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mc:AlternateContent xmlns:mc="http://schemas.openxmlformats.org/markup-compatibility/2006">
    <mc:Choice Requires="x15">
      <x15ac:absPath xmlns:x15ac="http://schemas.microsoft.com/office/spreadsheetml/2010/11/ac" url="C:\Users\Usuario\Desktop\PARA TRAB-YASLIL\"/>
    </mc:Choice>
  </mc:AlternateContent>
  <xr:revisionPtr revIDLastSave="0" documentId="13_ncr:1_{236A5917-5C9D-4A6C-B3FC-95E993B7112D}" xr6:coauthVersionLast="47" xr6:coauthVersionMax="47" xr10:uidLastSave="{00000000-0000-0000-0000-000000000000}"/>
  <bookViews>
    <workbookView xWindow="-120" yWindow="-120" windowWidth="20730" windowHeight="11160" firstSheet="4" activeTab="4" xr2:uid="{00000000-000D-0000-FFFF-FFFF00000000}"/>
  </bookViews>
  <sheets>
    <sheet name="Hoja1" sheetId="22" state="hidden" r:id="rId1"/>
    <sheet name="GRAFICO PRESUPUESTO ABIERTO" sheetId="21" state="hidden" r:id="rId2"/>
    <sheet name="INGRESOS 2024" sheetId="24" state="hidden" r:id="rId3"/>
    <sheet name="cuadro" sheetId="9" state="hidden" r:id="rId4"/>
    <sheet name="RECURSOS 2024" sheetId="33" r:id="rId5"/>
    <sheet name="D.E.M. 2024" sheetId="29" r:id="rId6"/>
    <sheet name="UNIDAD INTENDENCIA 2024" sheetId="28" r:id="rId7"/>
    <sheet name="GOBIERNO Y CULTURA 2024" sheetId="27" r:id="rId8"/>
    <sheet name="Prevención, Segur y Conviv 2024" sheetId="2" r:id="rId9"/>
    <sheet name="ECONOMIA 2024" sheetId="4" r:id="rId10"/>
    <sheet name="EDUCACION E IGUALDAD 2024" sheetId="7" r:id="rId11"/>
    <sheet name="DESARROLLO URBANO 2024" sheetId="3" r:id="rId12"/>
    <sheet name="SALUD 2024" sheetId="30" r:id="rId13"/>
    <sheet name="ASESORIA LETRADA 2024" sheetId="1" r:id="rId14"/>
    <sheet name="JUSTICIA DE FALTAS 2024" sheetId="19" r:id="rId15"/>
    <sheet name="Concejo Deliberante " sheetId="18" r:id="rId16"/>
    <sheet name="Trib-ctas " sheetId="17" r:id="rId17"/>
    <sheet name="Auditoria" sheetId="16" r:id="rId18"/>
    <sheet name="Ente Control SM " sheetId="14" r:id="rId19"/>
    <sheet name="CAM" sheetId="12" r:id="rId20"/>
    <sheet name="JUSTICIA ELECTORAL" sheetId="11" r:id="rId21"/>
    <sheet name="T-Admis-Conc-" sheetId="13" r:id="rId22"/>
    <sheet name="T-Reclam-Apelac" sheetId="15" r:id="rId23"/>
  </sheets>
  <externalReferences>
    <externalReference r:id="rId24"/>
  </externalReferences>
  <definedNames>
    <definedName name="_xlnm.Print_Area" localSheetId="13">'ASESORIA LETRADA 2024'!$A$1:$C$148</definedName>
    <definedName name="_xlnm.Print_Area" localSheetId="17">Auditoria!$A$2:$C$147</definedName>
    <definedName name="_xlnm.Print_Area" localSheetId="19">CAM!$A$1:$C$47</definedName>
    <definedName name="_xlnm.Print_Area" localSheetId="15">'Concejo Deliberante '!$A$1:$C$153</definedName>
    <definedName name="_xlnm.Print_Area" localSheetId="5">'D.E.M. 2024'!$A$1:$C$263</definedName>
    <definedName name="_xlnm.Print_Area" localSheetId="11">'DESARROLLO URBANO 2024'!$A$1:$C$838</definedName>
    <definedName name="_xlnm.Print_Area" localSheetId="9">'ECONOMIA 2024'!$A$1:$C$715</definedName>
    <definedName name="_xlnm.Print_Area" localSheetId="10">'EDUCACION E IGUALDAD 2024'!$A$1:$C$1455</definedName>
    <definedName name="_xlnm.Print_Area" localSheetId="18">'Ente Control SM '!$A$1:$C$37</definedName>
    <definedName name="_xlnm.Print_Area" localSheetId="7">'GOBIERNO Y CULTURA 2024'!$A$1:$C$748</definedName>
    <definedName name="_xlnm.Print_Area" localSheetId="2">'INGRESOS 2024'!$A$1:$P$132</definedName>
    <definedName name="_xlnm.Print_Area" localSheetId="14">'JUSTICIA DE FALTAS 2024'!$A$1:$C$200</definedName>
    <definedName name="_xlnm.Print_Area" localSheetId="20">'JUSTICIA ELECTORAL'!$A$1:$C$31</definedName>
    <definedName name="_xlnm.Print_Area" localSheetId="8">'Prevención, Segur y Conviv 2024'!$A$1:$C$414</definedName>
    <definedName name="_xlnm.Print_Area" localSheetId="4">'RECURSOS 2024'!$A$1:$P$138</definedName>
    <definedName name="_xlnm.Print_Area" localSheetId="12">'SALUD 2024'!$A$1:$C$472</definedName>
    <definedName name="_xlnm.Print_Area" localSheetId="21">'T-Admis-Conc-'!$A$1:$C$35</definedName>
    <definedName name="_xlnm.Print_Area" localSheetId="22">'T-Reclam-Apelac'!$A$2:$C$31</definedName>
    <definedName name="_xlnm.Print_Area" localSheetId="16">'Trib-ctas '!$A$2:$C$82</definedName>
    <definedName name="_xlnm.Print_Area" localSheetId="6">'UNIDAD INTENDENCIA 2024'!$A$1:$C$440</definedName>
  </definedNames>
  <calcPr calcId="191029"/>
</workbook>
</file>

<file path=xl/calcChain.xml><?xml version="1.0" encoding="utf-8"?>
<calcChain xmlns="http://schemas.openxmlformats.org/spreadsheetml/2006/main">
  <c r="O137" i="33" l="1"/>
  <c r="M134" i="33"/>
  <c r="D133" i="33"/>
  <c r="C133" i="33"/>
  <c r="B133" i="33"/>
  <c r="A133" i="33"/>
  <c r="M130" i="33"/>
  <c r="N129" i="33"/>
  <c r="M126" i="33"/>
  <c r="M124" i="33"/>
  <c r="M122" i="33"/>
  <c r="M118" i="33"/>
  <c r="M116" i="33"/>
  <c r="N115" i="33" s="1"/>
  <c r="O114" i="33" s="1"/>
  <c r="L108" i="33"/>
  <c r="M107" i="33" s="1"/>
  <c r="N106" i="33" s="1"/>
  <c r="M102" i="33"/>
  <c r="N101" i="33"/>
  <c r="O100" i="33" s="1"/>
  <c r="D99" i="33"/>
  <c r="C99" i="33"/>
  <c r="B99" i="33"/>
  <c r="A99" i="33"/>
  <c r="M89" i="33"/>
  <c r="K84" i="33"/>
  <c r="L77" i="33"/>
  <c r="M76" i="33" s="1"/>
  <c r="N75" i="33" s="1"/>
  <c r="L67" i="33"/>
  <c r="L62" i="33"/>
  <c r="L57" i="33"/>
  <c r="L52" i="33"/>
  <c r="E47" i="33"/>
  <c r="E48" i="33" s="1"/>
  <c r="E49" i="33" s="1"/>
  <c r="E50" i="33" s="1"/>
  <c r="E51" i="33" s="1"/>
  <c r="L46" i="33"/>
  <c r="M43" i="33" s="1"/>
  <c r="L38" i="33"/>
  <c r="D35" i="33"/>
  <c r="E34" i="33"/>
  <c r="E35" i="33" s="1"/>
  <c r="D34" i="33"/>
  <c r="C34" i="33"/>
  <c r="C35" i="33" s="1"/>
  <c r="B34" i="33"/>
  <c r="B35" i="33" s="1"/>
  <c r="A34" i="33"/>
  <c r="A35" i="33" s="1"/>
  <c r="L27" i="33"/>
  <c r="L22" i="33"/>
  <c r="L11" i="33"/>
  <c r="L8" i="33"/>
  <c r="L5" i="33"/>
  <c r="M4" i="33" s="1"/>
  <c r="N3" i="33" s="1"/>
  <c r="O2" i="33" s="1"/>
  <c r="P1" i="33" s="1"/>
  <c r="C34" i="29" l="1"/>
  <c r="C118" i="2" l="1"/>
  <c r="C47" i="7"/>
  <c r="C319" i="28"/>
  <c r="C318" i="28" s="1"/>
  <c r="C320" i="28"/>
  <c r="C324" i="28"/>
  <c r="C323" i="28" s="1"/>
  <c r="C326" i="28"/>
  <c r="C325" i="28" s="1"/>
  <c r="C327" i="28"/>
  <c r="C329" i="28"/>
  <c r="C336" i="28"/>
  <c r="C339" i="28"/>
  <c r="C345" i="28"/>
  <c r="C343" i="28" s="1"/>
  <c r="C346" i="28"/>
  <c r="C349" i="28"/>
  <c r="C348" i="28" s="1"/>
  <c r="C356" i="28"/>
  <c r="C355" i="28" s="1"/>
  <c r="C365" i="28"/>
  <c r="C364" i="28" s="1"/>
  <c r="C368" i="28"/>
  <c r="C381" i="28"/>
  <c r="C383" i="28"/>
  <c r="C386" i="28"/>
  <c r="C389" i="28"/>
  <c r="C391" i="28"/>
  <c r="C394" i="28"/>
  <c r="C402" i="28"/>
  <c r="C405" i="28"/>
  <c r="C413" i="28"/>
  <c r="C414" i="28"/>
  <c r="C415" i="28"/>
  <c r="C420" i="28"/>
  <c r="C419" i="28" s="1"/>
  <c r="C423" i="28"/>
  <c r="C422" i="28" s="1"/>
  <c r="C427" i="28"/>
  <c r="C428" i="28"/>
  <c r="C433" i="28"/>
  <c r="C432" i="28" s="1"/>
  <c r="C436" i="28"/>
  <c r="C437" i="28"/>
  <c r="C439" i="28"/>
  <c r="C438" i="28" s="1"/>
  <c r="C1339" i="7"/>
  <c r="C1335" i="7"/>
  <c r="C59" i="29"/>
  <c r="C66" i="29"/>
  <c r="C144" i="1"/>
  <c r="C93" i="29"/>
  <c r="C363" i="28" l="1"/>
  <c r="C380" i="28"/>
  <c r="C335" i="28"/>
  <c r="C412" i="28"/>
  <c r="C434" i="28"/>
  <c r="C431" i="28" s="1"/>
  <c r="C424" i="28"/>
  <c r="C317" i="28"/>
  <c r="C824" i="3"/>
  <c r="C411" i="28" l="1"/>
  <c r="C378" i="28" s="1"/>
  <c r="C315" i="28" s="1"/>
  <c r="C68" i="29"/>
  <c r="C55" i="29"/>
  <c r="C56" i="29"/>
  <c r="C54" i="29"/>
  <c r="C49" i="29"/>
  <c r="C44" i="29"/>
  <c r="C40" i="29"/>
  <c r="C38" i="29"/>
  <c r="C36" i="29"/>
  <c r="C168" i="29"/>
  <c r="C167" i="29" s="1"/>
  <c r="C164" i="29"/>
  <c r="C162" i="29"/>
  <c r="C160" i="29"/>
  <c r="C158" i="29"/>
  <c r="C153" i="29"/>
  <c r="C152" i="29" s="1"/>
  <c r="C147" i="29"/>
  <c r="C145" i="29"/>
  <c r="C143" i="29"/>
  <c r="C141" i="29"/>
  <c r="C138" i="29"/>
  <c r="C135" i="29"/>
  <c r="C130" i="29"/>
  <c r="C128" i="29"/>
  <c r="C126" i="29"/>
  <c r="C124" i="29"/>
  <c r="C122" i="29"/>
  <c r="C119" i="29"/>
  <c r="C76" i="29"/>
  <c r="C77" i="29"/>
  <c r="C137" i="1"/>
  <c r="C143" i="1"/>
  <c r="C81" i="29"/>
  <c r="C79" i="29" s="1"/>
  <c r="C75" i="29"/>
  <c r="C74" i="29"/>
  <c r="C784" i="3"/>
  <c r="C782" i="3"/>
  <c r="C641" i="3"/>
  <c r="C639" i="3" s="1"/>
  <c r="C642" i="3"/>
  <c r="C654" i="3"/>
  <c r="C655" i="3" s="1"/>
  <c r="C616" i="3"/>
  <c r="C615" i="3"/>
  <c r="C613" i="3" s="1"/>
  <c r="C603" i="3"/>
  <c r="C602" i="3"/>
  <c r="C600" i="3" s="1"/>
  <c r="C590" i="3"/>
  <c r="C589" i="3" s="1"/>
  <c r="C587" i="3" s="1"/>
  <c r="C577" i="3"/>
  <c r="C576" i="3" s="1"/>
  <c r="C574" i="3" s="1"/>
  <c r="C779" i="7"/>
  <c r="C541" i="7"/>
  <c r="C65" i="29"/>
  <c r="C277" i="3"/>
  <c r="C276" i="3" s="1"/>
  <c r="C275" i="3"/>
  <c r="C274" i="3" s="1"/>
  <c r="C231" i="3"/>
  <c r="C209" i="29"/>
  <c r="C577" i="4"/>
  <c r="C573" i="4"/>
  <c r="C1183" i="7"/>
  <c r="C1181" i="7"/>
  <c r="C1179" i="7"/>
  <c r="C1175" i="7"/>
  <c r="C1174" i="7"/>
  <c r="C1172" i="7"/>
  <c r="C1170" i="7"/>
  <c r="C1168" i="7"/>
  <c r="C1166" i="7"/>
  <c r="C1164" i="7"/>
  <c r="C129" i="18"/>
  <c r="C128" i="18" s="1"/>
  <c r="C123" i="18"/>
  <c r="C122" i="18" s="1"/>
  <c r="C120" i="18"/>
  <c r="C54" i="18"/>
  <c r="C52" i="18" s="1"/>
  <c r="C57" i="18"/>
  <c r="C56" i="18"/>
  <c r="C58" i="18"/>
  <c r="C51" i="18"/>
  <c r="C50" i="18"/>
  <c r="C49" i="18"/>
  <c r="C121" i="18"/>
  <c r="C88" i="18"/>
  <c r="C86" i="18"/>
  <c r="C403" i="30"/>
  <c r="C402" i="30"/>
  <c r="C187" i="30"/>
  <c r="C186" i="30"/>
  <c r="C185" i="30"/>
  <c r="C13" i="27"/>
  <c r="C14" i="27"/>
  <c r="C21" i="1"/>
  <c r="C20" i="1"/>
  <c r="C124" i="18"/>
  <c r="C337" i="30"/>
  <c r="C336" i="30" s="1"/>
  <c r="C314" i="7"/>
  <c r="C122" i="7"/>
  <c r="C121" i="7" s="1"/>
  <c r="C110" i="7"/>
  <c r="C108" i="7" s="1"/>
  <c r="C100" i="7"/>
  <c r="C134" i="1"/>
  <c r="C101" i="1"/>
  <c r="C410" i="30"/>
  <c r="C406" i="30"/>
  <c r="C341" i="30"/>
  <c r="C340" i="30"/>
  <c r="C335" i="30"/>
  <c r="C326" i="30"/>
  <c r="C320" i="30"/>
  <c r="C352" i="30"/>
  <c r="C347" i="30"/>
  <c r="C331" i="30"/>
  <c r="C324" i="30"/>
  <c r="C314" i="30"/>
  <c r="C301" i="30"/>
  <c r="C298" i="30"/>
  <c r="C268" i="30"/>
  <c r="C248" i="30"/>
  <c r="C247" i="30"/>
  <c r="C220" i="30"/>
  <c r="C212" i="30"/>
  <c r="C208" i="30"/>
  <c r="C163" i="30"/>
  <c r="C175" i="30"/>
  <c r="C173" i="30"/>
  <c r="C169" i="30"/>
  <c r="C168" i="30"/>
  <c r="C167" i="30"/>
  <c r="C194" i="30"/>
  <c r="C190" i="30"/>
  <c r="C127" i="30"/>
  <c r="C125" i="30"/>
  <c r="C118" i="30"/>
  <c r="C113" i="30"/>
  <c r="C107" i="30"/>
  <c r="C100" i="30"/>
  <c r="C98" i="30"/>
  <c r="C81" i="30"/>
  <c r="C68" i="30"/>
  <c r="C65" i="30"/>
  <c r="C59" i="30"/>
  <c r="C49" i="30"/>
  <c r="C43" i="30"/>
  <c r="C39" i="30"/>
  <c r="C36" i="30"/>
  <c r="C80" i="19"/>
  <c r="C171" i="19"/>
  <c r="C169" i="19"/>
  <c r="C158" i="19"/>
  <c r="C156" i="19"/>
  <c r="C153" i="19"/>
  <c r="C150" i="19"/>
  <c r="C145" i="19"/>
  <c r="C142" i="19"/>
  <c r="C137" i="19"/>
  <c r="C123" i="19"/>
  <c r="C95" i="19"/>
  <c r="C88" i="19"/>
  <c r="C83" i="19"/>
  <c r="C75" i="19"/>
  <c r="C72" i="19"/>
  <c r="C67" i="19"/>
  <c r="C148" i="18"/>
  <c r="C141" i="18"/>
  <c r="C138" i="18"/>
  <c r="C136" i="18"/>
  <c r="C134" i="18"/>
  <c r="C95" i="18"/>
  <c r="C79" i="18"/>
  <c r="C72" i="18"/>
  <c r="C69" i="18"/>
  <c r="C61" i="18"/>
  <c r="C30" i="18"/>
  <c r="C23" i="18"/>
  <c r="C16" i="18"/>
  <c r="C52" i="17"/>
  <c r="C47" i="17"/>
  <c r="C42" i="17"/>
  <c r="C70" i="17"/>
  <c r="C65" i="17"/>
  <c r="C62" i="17"/>
  <c r="C76" i="17"/>
  <c r="C138" i="16"/>
  <c r="C91" i="16"/>
  <c r="C87" i="16"/>
  <c r="C81" i="16"/>
  <c r="C76" i="16"/>
  <c r="C69" i="16"/>
  <c r="C63" i="16"/>
  <c r="C57" i="16"/>
  <c r="C50" i="16"/>
  <c r="C27" i="14"/>
  <c r="C37" i="12"/>
  <c r="C378" i="3"/>
  <c r="C376" i="3"/>
  <c r="C371" i="3"/>
  <c r="C362" i="3"/>
  <c r="C358" i="3"/>
  <c r="C353" i="3"/>
  <c r="C341" i="3"/>
  <c r="C337" i="3"/>
  <c r="C334" i="3"/>
  <c r="C222" i="3"/>
  <c r="C219" i="3"/>
  <c r="C216" i="3"/>
  <c r="C213" i="3"/>
  <c r="C207" i="3"/>
  <c r="C203" i="3"/>
  <c r="C179" i="3"/>
  <c r="C177" i="3"/>
  <c r="C174" i="3"/>
  <c r="C200" i="3"/>
  <c r="C196" i="3"/>
  <c r="C190" i="3" s="1"/>
  <c r="C542" i="3"/>
  <c r="C543" i="3"/>
  <c r="C539" i="3"/>
  <c r="C536" i="3"/>
  <c r="C530" i="3"/>
  <c r="C527" i="3"/>
  <c r="C525" i="3"/>
  <c r="C521" i="3"/>
  <c r="C496" i="3"/>
  <c r="C495" i="3"/>
  <c r="C505" i="3"/>
  <c r="C490" i="3"/>
  <c r="C457" i="3"/>
  <c r="C432" i="3"/>
  <c r="C431" i="3" s="1"/>
  <c r="C429" i="3"/>
  <c r="C412" i="3"/>
  <c r="C406" i="3"/>
  <c r="C413" i="3"/>
  <c r="C404" i="3"/>
  <c r="C402" i="3"/>
  <c r="C271" i="3"/>
  <c r="C270" i="3"/>
  <c r="C260" i="3"/>
  <c r="C253" i="3"/>
  <c r="C311" i="3"/>
  <c r="C316" i="3"/>
  <c r="C314" i="3"/>
  <c r="C310" i="3"/>
  <c r="C308" i="3" s="1"/>
  <c r="C305" i="3"/>
  <c r="C304" i="3"/>
  <c r="C109" i="3"/>
  <c r="C106" i="3"/>
  <c r="C104" i="3"/>
  <c r="C101" i="3"/>
  <c r="C94" i="3"/>
  <c r="C137" i="3"/>
  <c r="C138" i="3"/>
  <c r="C135" i="3"/>
  <c r="C129" i="3"/>
  <c r="C56" i="3"/>
  <c r="C59" i="3"/>
  <c r="C65" i="3"/>
  <c r="C64" i="3" s="1"/>
  <c r="C49" i="3"/>
  <c r="C43" i="3"/>
  <c r="C41" i="3"/>
  <c r="C1453" i="7"/>
  <c r="C1450" i="7"/>
  <c r="C1447" i="7"/>
  <c r="C1439" i="7"/>
  <c r="C1437" i="7"/>
  <c r="C1433" i="7"/>
  <c r="C1431" i="7"/>
  <c r="C1426" i="7"/>
  <c r="C1421" i="7"/>
  <c r="C1417" i="7"/>
  <c r="C1414" i="7"/>
  <c r="C1411" i="7"/>
  <c r="C1409" i="7"/>
  <c r="C1406" i="7"/>
  <c r="C1404" i="7"/>
  <c r="C1388" i="7"/>
  <c r="C1384" i="7"/>
  <c r="C1373" i="7"/>
  <c r="C1369" i="7"/>
  <c r="C1363" i="7"/>
  <c r="C1353" i="7"/>
  <c r="C1350" i="7"/>
  <c r="C1343" i="7"/>
  <c r="C1341" i="7"/>
  <c r="C1309" i="7"/>
  <c r="C1307" i="7"/>
  <c r="C1290" i="7"/>
  <c r="C1287" i="7"/>
  <c r="C1281" i="7"/>
  <c r="C1278" i="7"/>
  <c r="C1276" i="7"/>
  <c r="C1274" i="7"/>
  <c r="C1244" i="7"/>
  <c r="C1207" i="7"/>
  <c r="C1205" i="7"/>
  <c r="C1226" i="7"/>
  <c r="C1128" i="7"/>
  <c r="C1122" i="7"/>
  <c r="C1075" i="7"/>
  <c r="C1058" i="7"/>
  <c r="C1057" i="7"/>
  <c r="C1054" i="7"/>
  <c r="C1021" i="7"/>
  <c r="C977" i="7"/>
  <c r="C934" i="7"/>
  <c r="C932" i="7"/>
  <c r="C931" i="7"/>
  <c r="C924" i="7"/>
  <c r="C923" i="7" s="1"/>
  <c r="C922" i="7"/>
  <c r="C913" i="7"/>
  <c r="C910" i="7"/>
  <c r="C906" i="7"/>
  <c r="C876" i="7"/>
  <c r="C870" i="7"/>
  <c r="C875" i="7"/>
  <c r="C873" i="7" s="1"/>
  <c r="C856" i="7"/>
  <c r="C853" i="7"/>
  <c r="C852" i="7"/>
  <c r="C850" i="7"/>
  <c r="C151" i="18"/>
  <c r="C101" i="18"/>
  <c r="C99" i="18"/>
  <c r="C75" i="18"/>
  <c r="C67" i="18"/>
  <c r="C117" i="18"/>
  <c r="C1391" i="7"/>
  <c r="C1316" i="7"/>
  <c r="C1259" i="7"/>
  <c r="C1254" i="7"/>
  <c r="C1097" i="7"/>
  <c r="C660" i="7"/>
  <c r="C335" i="7"/>
  <c r="C82" i="7"/>
  <c r="C757" i="7"/>
  <c r="C822" i="7"/>
  <c r="C821" i="7"/>
  <c r="C819" i="7"/>
  <c r="C810" i="7"/>
  <c r="C782" i="7"/>
  <c r="C775" i="7"/>
  <c r="C774" i="7"/>
  <c r="C772" i="7"/>
  <c r="C771" i="7" s="1"/>
  <c r="C776" i="7"/>
  <c r="C769" i="7"/>
  <c r="C763" i="7"/>
  <c r="C762" i="7"/>
  <c r="C761" i="7" s="1"/>
  <c r="C760" i="7"/>
  <c r="C759" i="7" s="1"/>
  <c r="C756" i="7"/>
  <c r="C755" i="7" s="1"/>
  <c r="C754" i="7"/>
  <c r="C753" i="7" s="1"/>
  <c r="C695" i="7"/>
  <c r="C693" i="7"/>
  <c r="C691" i="7"/>
  <c r="C690" i="7"/>
  <c r="C657" i="7"/>
  <c r="C652" i="7"/>
  <c r="C651" i="7"/>
  <c r="C645" i="7"/>
  <c r="C644" i="7"/>
  <c r="C621" i="7"/>
  <c r="C584" i="7"/>
  <c r="C586" i="7"/>
  <c r="C593" i="7"/>
  <c r="C592" i="7"/>
  <c r="C591" i="7"/>
  <c r="C589" i="7"/>
  <c r="C588" i="7" s="1"/>
  <c r="C580" i="7"/>
  <c r="C573" i="7"/>
  <c r="C522" i="7"/>
  <c r="C520" i="7" s="1"/>
  <c r="C518" i="7"/>
  <c r="C508" i="7"/>
  <c r="C439" i="7"/>
  <c r="C436" i="7"/>
  <c r="C434" i="7"/>
  <c r="C421" i="7"/>
  <c r="C405" i="7"/>
  <c r="C404" i="7" s="1"/>
  <c r="C403" i="7"/>
  <c r="C387" i="7"/>
  <c r="C369" i="7"/>
  <c r="C367" i="7"/>
  <c r="C364" i="7"/>
  <c r="C359" i="7"/>
  <c r="C357" i="7"/>
  <c r="C339" i="7"/>
  <c r="C320" i="7"/>
  <c r="C308" i="7"/>
  <c r="C303" i="7"/>
  <c r="C301" i="7"/>
  <c r="C307" i="7"/>
  <c r="C306" i="7"/>
  <c r="C287" i="7"/>
  <c r="C286" i="7" s="1"/>
  <c r="C283" i="7"/>
  <c r="C285" i="7"/>
  <c r="C276" i="7"/>
  <c r="C274" i="7"/>
  <c r="C266" i="7"/>
  <c r="C262" i="7" s="1"/>
  <c r="C261" i="7"/>
  <c r="C260" i="7" s="1"/>
  <c r="C255" i="7"/>
  <c r="C254" i="7"/>
  <c r="C146" i="7"/>
  <c r="C145" i="7" s="1"/>
  <c r="C152" i="7"/>
  <c r="C151" i="7" s="1"/>
  <c r="C231" i="7"/>
  <c r="C241" i="7"/>
  <c r="C240" i="7" s="1"/>
  <c r="C239" i="7"/>
  <c r="C238" i="7"/>
  <c r="C184" i="7"/>
  <c r="C183" i="7" s="1"/>
  <c r="C182" i="7"/>
  <c r="C175" i="7"/>
  <c r="C172" i="7"/>
  <c r="C171" i="7" s="1"/>
  <c r="C168" i="7"/>
  <c r="C167" i="7" s="1"/>
  <c r="C170" i="7"/>
  <c r="C169" i="7" s="1"/>
  <c r="C161" i="7"/>
  <c r="C158" i="7"/>
  <c r="C147" i="7"/>
  <c r="C133" i="7"/>
  <c r="C132" i="7" s="1"/>
  <c r="C131" i="7"/>
  <c r="C119" i="7"/>
  <c r="C118" i="7"/>
  <c r="C117" i="7"/>
  <c r="C114" i="7"/>
  <c r="C103" i="7"/>
  <c r="C102" i="7" s="1"/>
  <c r="C99" i="7"/>
  <c r="C98" i="7"/>
  <c r="C36" i="7"/>
  <c r="C50" i="7"/>
  <c r="C49" i="7"/>
  <c r="C46" i="7"/>
  <c r="C34" i="7"/>
  <c r="C45" i="7"/>
  <c r="C44" i="7"/>
  <c r="C42" i="7"/>
  <c r="C28" i="7"/>
  <c r="C27" i="7"/>
  <c r="C20" i="7"/>
  <c r="C21" i="7"/>
  <c r="C119" i="18" l="1"/>
  <c r="C116" i="18" s="1"/>
  <c r="C133" i="18"/>
  <c r="C147" i="18"/>
  <c r="C55" i="18"/>
  <c r="C47" i="18"/>
  <c r="C124" i="30"/>
  <c r="C405" i="30"/>
  <c r="C189" i="30"/>
  <c r="C338" i="30"/>
  <c r="C165" i="30"/>
  <c r="C134" i="29"/>
  <c r="C157" i="29"/>
  <c r="C118" i="29"/>
  <c r="C73" i="29"/>
  <c r="C72" i="29" s="1"/>
  <c r="C781" i="3"/>
  <c r="C779" i="3" s="1"/>
  <c r="C652" i="3"/>
  <c r="C401" i="30"/>
  <c r="C400" i="30" s="1"/>
  <c r="C97" i="7"/>
  <c r="C493" i="3"/>
  <c r="C282" i="7"/>
  <c r="C281" i="7" s="1"/>
  <c r="C773" i="7"/>
  <c r="C116" i="7"/>
  <c r="C1446" i="7"/>
  <c r="C590" i="7"/>
  <c r="C583" i="7" s="1"/>
  <c r="C136" i="1"/>
  <c r="C136" i="19"/>
  <c r="C60" i="18"/>
  <c r="C273" i="3"/>
  <c r="C313" i="3"/>
  <c r="C1403" i="7"/>
  <c r="C237" i="7"/>
  <c r="C236" i="7" s="1"/>
  <c r="C334" i="7"/>
  <c r="C1253" i="7"/>
  <c r="C1383" i="7"/>
  <c r="C778" i="7"/>
  <c r="C41" i="7"/>
  <c r="C48" i="7"/>
  <c r="C305" i="7"/>
  <c r="C29" i="11"/>
  <c r="C27" i="11"/>
  <c r="C22" i="11"/>
  <c r="C20" i="11"/>
  <c r="C16" i="11"/>
  <c r="C14" i="11"/>
  <c r="C20" i="12"/>
  <c r="C17" i="12"/>
  <c r="C35" i="14"/>
  <c r="C33" i="14"/>
  <c r="C25" i="14"/>
  <c r="C24" i="14" s="1"/>
  <c r="C21" i="14"/>
  <c r="C19" i="14"/>
  <c r="C17" i="14"/>
  <c r="C15" i="14"/>
  <c r="C145" i="16"/>
  <c r="C144" i="16" s="1"/>
  <c r="C136" i="16"/>
  <c r="C134" i="16"/>
  <c r="C132" i="16"/>
  <c r="C130" i="16"/>
  <c r="C128" i="16"/>
  <c r="C79" i="16"/>
  <c r="C74" i="16"/>
  <c r="C72" i="16"/>
  <c r="C55" i="16"/>
  <c r="C48" i="16"/>
  <c r="C45" i="16"/>
  <c r="C43" i="16"/>
  <c r="C27" i="16"/>
  <c r="C20" i="16"/>
  <c r="C80" i="17"/>
  <c r="C75" i="17" s="1"/>
  <c r="C68" i="17"/>
  <c r="C60" i="17"/>
  <c r="C58" i="17"/>
  <c r="C40" i="17"/>
  <c r="C45" i="17"/>
  <c r="C31" i="17"/>
  <c r="C24" i="17"/>
  <c r="C39" i="17" l="1"/>
  <c r="C57" i="17"/>
  <c r="C114" i="18"/>
  <c r="C62" i="16"/>
  <c r="C115" i="29"/>
  <c r="C14" i="14"/>
  <c r="C32" i="14"/>
  <c r="C127" i="16"/>
  <c r="C42" i="16"/>
  <c r="C17" i="17"/>
  <c r="C118" i="19"/>
  <c r="C121" i="19"/>
  <c r="C129" i="19"/>
  <c r="C132" i="19"/>
  <c r="C116" i="19"/>
  <c r="C101" i="19"/>
  <c r="C99" i="19"/>
  <c r="C86" i="19"/>
  <c r="C66" i="19" s="1"/>
  <c r="C62" i="19"/>
  <c r="C59" i="19"/>
  <c r="C53" i="19"/>
  <c r="C51" i="19"/>
  <c r="C48" i="19"/>
  <c r="C46" i="19"/>
  <c r="C26" i="19"/>
  <c r="C19" i="19"/>
  <c r="C12" i="19"/>
  <c r="C93" i="18"/>
  <c r="C92" i="18" s="1"/>
  <c r="C87" i="18"/>
  <c r="C85" i="18"/>
  <c r="C45" i="18"/>
  <c r="C43" i="18"/>
  <c r="C41" i="18"/>
  <c r="C39" i="18"/>
  <c r="C15" i="18"/>
  <c r="C662" i="4"/>
  <c r="C653" i="4"/>
  <c r="C649" i="4"/>
  <c r="C646" i="4" s="1"/>
  <c r="C630" i="4"/>
  <c r="C629" i="4" s="1"/>
  <c r="C626" i="4"/>
  <c r="C625" i="4" s="1"/>
  <c r="C611" i="4"/>
  <c r="C610" i="4" s="1"/>
  <c r="C560" i="4"/>
  <c r="C476" i="4"/>
  <c r="C475" i="4"/>
  <c r="C474" i="4" s="1"/>
  <c r="C473" i="4"/>
  <c r="C472" i="4" s="1"/>
  <c r="C468" i="4"/>
  <c r="C449" i="4"/>
  <c r="C446" i="4"/>
  <c r="C445" i="4" s="1"/>
  <c r="C384" i="4"/>
  <c r="C382" i="4"/>
  <c r="C379" i="4" s="1"/>
  <c r="C378" i="4"/>
  <c r="C368" i="4"/>
  <c r="C367" i="4" s="1"/>
  <c r="C327" i="4"/>
  <c r="C317" i="4"/>
  <c r="C270" i="4"/>
  <c r="C256" i="4"/>
  <c r="C234" i="4"/>
  <c r="C198" i="4"/>
  <c r="C197" i="4" s="1"/>
  <c r="C196" i="4"/>
  <c r="C172" i="4"/>
  <c r="C70" i="4"/>
  <c r="C83" i="4"/>
  <c r="C41" i="4"/>
  <c r="C20" i="4"/>
  <c r="C14" i="4"/>
  <c r="C13" i="4"/>
  <c r="C298" i="2"/>
  <c r="C296" i="2" s="1"/>
  <c r="C280" i="2"/>
  <c r="C279" i="2" s="1"/>
  <c r="C276" i="2"/>
  <c r="C275" i="2" s="1"/>
  <c r="C252" i="2"/>
  <c r="C192" i="2"/>
  <c r="C191" i="2" s="1"/>
  <c r="C187" i="2"/>
  <c r="C186" i="2" s="1"/>
  <c r="C180" i="2"/>
  <c r="C179" i="2" s="1"/>
  <c r="C684" i="27"/>
  <c r="C681" i="27" s="1"/>
  <c r="C576" i="27"/>
  <c r="C575" i="27" s="1"/>
  <c r="C578" i="27"/>
  <c r="C577" i="27" s="1"/>
  <c r="C403" i="27"/>
  <c r="C401" i="27" s="1"/>
  <c r="C389" i="27"/>
  <c r="C388" i="27" s="1"/>
  <c r="C330" i="27"/>
  <c r="C328" i="27"/>
  <c r="C327" i="27" s="1"/>
  <c r="C87" i="27"/>
  <c r="C83" i="27"/>
  <c r="C84" i="27"/>
  <c r="C69" i="27"/>
  <c r="C67" i="27" s="1"/>
  <c r="C62" i="27"/>
  <c r="C61" i="27" s="1"/>
  <c r="C45" i="27"/>
  <c r="C39" i="27"/>
  <c r="C37" i="27" s="1"/>
  <c r="C276" i="28"/>
  <c r="C274" i="28"/>
  <c r="C219" i="28"/>
  <c r="C218" i="28"/>
  <c r="C172" i="28"/>
  <c r="C171" i="28"/>
  <c r="C161" i="28"/>
  <c r="C160" i="28"/>
  <c r="C159" i="28"/>
  <c r="C154" i="28"/>
  <c r="C153" i="28"/>
  <c r="C123" i="28"/>
  <c r="C122" i="28" s="1"/>
  <c r="C120" i="28"/>
  <c r="C119" i="28" s="1"/>
  <c r="C118" i="28"/>
  <c r="C117" i="28" s="1"/>
  <c r="C180" i="27"/>
  <c r="C179" i="27"/>
  <c r="C127" i="27"/>
  <c r="C125" i="27"/>
  <c r="C123" i="27"/>
  <c r="C785" i="7"/>
  <c r="C849" i="7"/>
  <c r="C628" i="27"/>
  <c r="C625" i="27"/>
  <c r="C618" i="27"/>
  <c r="C616" i="27"/>
  <c r="C614" i="27"/>
  <c r="C612" i="27"/>
  <c r="C606" i="27"/>
  <c r="C604" i="27"/>
  <c r="C602" i="27"/>
  <c r="C600" i="27"/>
  <c r="C598" i="27"/>
  <c r="C1146" i="7"/>
  <c r="C1138" i="7"/>
  <c r="C1136" i="7"/>
  <c r="C1134" i="7"/>
  <c r="C1126" i="7"/>
  <c r="C1124" i="7"/>
  <c r="C1121" i="7"/>
  <c r="C1119" i="7"/>
  <c r="C1117" i="7"/>
  <c r="C1102" i="7"/>
  <c r="C1096" i="7" s="1"/>
  <c r="C1089" i="7"/>
  <c r="C1079" i="7"/>
  <c r="C1077" i="7"/>
  <c r="C1073" i="7"/>
  <c r="C1071" i="7"/>
  <c r="C1063" i="7"/>
  <c r="C1061" i="7"/>
  <c r="C1056" i="7"/>
  <c r="C1050" i="7"/>
  <c r="C1048" i="7"/>
  <c r="C1025" i="7"/>
  <c r="C1023" i="7"/>
  <c r="C1019" i="7"/>
  <c r="C1016" i="7"/>
  <c r="C1008" i="7"/>
  <c r="C1005" i="7"/>
  <c r="C998" i="7"/>
  <c r="C996" i="7"/>
  <c r="C991" i="7"/>
  <c r="C888" i="7"/>
  <c r="C892" i="7"/>
  <c r="C880" i="7"/>
  <c r="C878" i="7"/>
  <c r="C867" i="7"/>
  <c r="C847" i="7"/>
  <c r="C788" i="7"/>
  <c r="C790" i="7"/>
  <c r="C476" i="7"/>
  <c r="C474" i="7" s="1"/>
  <c r="C220" i="7"/>
  <c r="C218" i="7" s="1"/>
  <c r="C157" i="7"/>
  <c r="C154" i="7"/>
  <c r="C150" i="7"/>
  <c r="C149" i="7" s="1"/>
  <c r="C181" i="7"/>
  <c r="C180" i="7"/>
  <c r="C174" i="7"/>
  <c r="C173" i="7" s="1"/>
  <c r="C166" i="7" s="1"/>
  <c r="C554" i="7"/>
  <c r="C555" i="7"/>
  <c r="C550" i="7"/>
  <c r="C535" i="7"/>
  <c r="C540" i="7"/>
  <c r="C538" i="7"/>
  <c r="C473" i="7"/>
  <c r="C472" i="7" s="1"/>
  <c r="C461" i="7"/>
  <c r="C460" i="7" s="1"/>
  <c r="C463" i="7"/>
  <c r="C464" i="7"/>
  <c r="C468" i="7"/>
  <c r="C467" i="7"/>
  <c r="C480" i="7"/>
  <c r="C459" i="7"/>
  <c r="C458" i="7" s="1"/>
  <c r="C457" i="7"/>
  <c r="C456" i="7" s="1"/>
  <c r="C228" i="7"/>
  <c r="C226" i="7"/>
  <c r="C225" i="7"/>
  <c r="C223" i="7"/>
  <c r="C222" i="7"/>
  <c r="C217" i="7"/>
  <c r="C216" i="7" s="1"/>
  <c r="C204" i="7"/>
  <c r="C203" i="7" s="1"/>
  <c r="C208" i="7"/>
  <c r="C207" i="7"/>
  <c r="C206" i="7"/>
  <c r="C210" i="7"/>
  <c r="C202" i="7"/>
  <c r="C201" i="7" s="1"/>
  <c r="C199" i="7"/>
  <c r="C198" i="7" s="1"/>
  <c r="C197" i="7"/>
  <c r="C66" i="7"/>
  <c r="C64" i="7"/>
  <c r="C802" i="7"/>
  <c r="C804" i="7"/>
  <c r="C807" i="7"/>
  <c r="C809" i="7"/>
  <c r="C811" i="7"/>
  <c r="C816" i="7"/>
  <c r="C818" i="7"/>
  <c r="C820" i="7"/>
  <c r="C827" i="7"/>
  <c r="C828" i="7"/>
  <c r="C829" i="7"/>
  <c r="C830" i="7"/>
  <c r="C507" i="3"/>
  <c r="C434" i="3"/>
  <c r="C420" i="3"/>
  <c r="C418" i="3"/>
  <c r="C416" i="3"/>
  <c r="C407" i="3"/>
  <c r="C405" i="3"/>
  <c r="C403" i="3"/>
  <c r="C401" i="3"/>
  <c r="C268" i="3"/>
  <c r="C266" i="3"/>
  <c r="C263" i="3"/>
  <c r="C256" i="3"/>
  <c r="C254" i="3"/>
  <c r="C252" i="3"/>
  <c r="C301" i="3"/>
  <c r="C299" i="3"/>
  <c r="C297" i="3"/>
  <c r="C107" i="3"/>
  <c r="C105" i="3"/>
  <c r="C102" i="3"/>
  <c r="C99" i="3"/>
  <c r="C97" i="3"/>
  <c r="C90" i="3"/>
  <c r="C88" i="3"/>
  <c r="C86" i="3"/>
  <c r="C62" i="3"/>
  <c r="C54" i="3"/>
  <c r="C52" i="3"/>
  <c r="C44" i="3"/>
  <c r="C42" i="3"/>
  <c r="C40" i="3"/>
  <c r="C35" i="3"/>
  <c r="C529" i="3"/>
  <c r="C411" i="3"/>
  <c r="C424" i="3"/>
  <c r="C422" i="3" s="1"/>
  <c r="C227" i="3"/>
  <c r="C225" i="3"/>
  <c r="C374" i="3"/>
  <c r="C339" i="3"/>
  <c r="C370" i="3"/>
  <c r="C369" i="3"/>
  <c r="C183" i="3"/>
  <c r="C182" i="3"/>
  <c r="C352" i="3"/>
  <c r="C345" i="3" s="1"/>
  <c r="C133" i="3"/>
  <c r="C132" i="3" s="1"/>
  <c r="C134" i="3"/>
  <c r="C128" i="3"/>
  <c r="C152" i="3"/>
  <c r="C144" i="3"/>
  <c r="C148" i="3"/>
  <c r="C147" i="3"/>
  <c r="C151" i="3"/>
  <c r="C142" i="3"/>
  <c r="C141" i="3" s="1"/>
  <c r="C159" i="3"/>
  <c r="C158" i="3" s="1"/>
  <c r="C157" i="3"/>
  <c r="C156" i="3"/>
  <c r="C150" i="3"/>
  <c r="C145" i="3"/>
  <c r="C131" i="3"/>
  <c r="C130" i="3" s="1"/>
  <c r="C21" i="4"/>
  <c r="C27" i="4"/>
  <c r="C91" i="1"/>
  <c r="C93" i="1"/>
  <c r="C283" i="30"/>
  <c r="C278" i="30"/>
  <c r="C262" i="30"/>
  <c r="C249" i="30"/>
  <c r="C245" i="30"/>
  <c r="C389" i="30"/>
  <c r="C382" i="30"/>
  <c r="C375" i="30"/>
  <c r="C369" i="30"/>
  <c r="C367" i="30"/>
  <c r="C365" i="30"/>
  <c r="C444" i="30"/>
  <c r="C441" i="30"/>
  <c r="C435" i="30"/>
  <c r="C434" i="30" s="1"/>
  <c r="C431" i="30"/>
  <c r="C430" i="30"/>
  <c r="C432" i="30"/>
  <c r="C433" i="30"/>
  <c r="C437" i="30"/>
  <c r="C428" i="30"/>
  <c r="C427" i="30" s="1"/>
  <c r="C426" i="30"/>
  <c r="C425" i="30" s="1"/>
  <c r="C424" i="30"/>
  <c r="C423" i="30" s="1"/>
  <c r="C222" i="30"/>
  <c r="C308" i="30"/>
  <c r="C313" i="30"/>
  <c r="C309" i="30" s="1"/>
  <c r="C304" i="30"/>
  <c r="C303" i="30" s="1"/>
  <c r="C224" i="30"/>
  <c r="C218" i="30"/>
  <c r="C143" i="30"/>
  <c r="C142" i="30" s="1"/>
  <c r="C156" i="30"/>
  <c r="C155" i="30" s="1"/>
  <c r="C154" i="30"/>
  <c r="C153" i="30"/>
  <c r="C152" i="30"/>
  <c r="C151" i="30"/>
  <c r="C149" i="30"/>
  <c r="C147" i="30"/>
  <c r="C146" i="30" s="1"/>
  <c r="C145" i="30"/>
  <c r="C144" i="30" s="1"/>
  <c r="C53" i="30"/>
  <c r="C42" i="30"/>
  <c r="C41" i="30" s="1"/>
  <c r="C35" i="30"/>
  <c r="C34" i="30" s="1"/>
  <c r="C265" i="30"/>
  <c r="C264" i="30" s="1"/>
  <c r="C259" i="30"/>
  <c r="C257" i="30" s="1"/>
  <c r="C86" i="30"/>
  <c r="C85" i="30" s="1"/>
  <c r="C388" i="30"/>
  <c r="C387" i="30"/>
  <c r="C386" i="30"/>
  <c r="C378" i="30"/>
  <c r="C374" i="30"/>
  <c r="C373" i="30"/>
  <c r="C471" i="30"/>
  <c r="C470" i="30" s="1"/>
  <c r="C468" i="30"/>
  <c r="C466" i="30" s="1"/>
  <c r="C463" i="30"/>
  <c r="C462" i="30"/>
  <c r="C461" i="30" s="1"/>
  <c r="C456" i="30"/>
  <c r="C454" i="30" s="1"/>
  <c r="C453" i="30"/>
  <c r="C452" i="30" s="1"/>
  <c r="C451" i="30"/>
  <c r="C450" i="30" s="1"/>
  <c r="C448" i="30"/>
  <c r="C438" i="30"/>
  <c r="C397" i="30"/>
  <c r="C395" i="30" s="1"/>
  <c r="C394" i="30"/>
  <c r="C393" i="30" s="1"/>
  <c r="C392" i="30"/>
  <c r="C391" i="30" s="1"/>
  <c r="C379" i="30"/>
  <c r="C345" i="30"/>
  <c r="C344" i="30" s="1"/>
  <c r="C343" i="30" s="1"/>
  <c r="C334" i="30"/>
  <c r="C333" i="30" s="1"/>
  <c r="C323" i="30" s="1"/>
  <c r="C318" i="30"/>
  <c r="C317" i="30" s="1"/>
  <c r="C307" i="30"/>
  <c r="C306" i="30"/>
  <c r="C297" i="30"/>
  <c r="C296" i="30" s="1"/>
  <c r="C276" i="30"/>
  <c r="C275" i="30" s="1"/>
  <c r="C272" i="30"/>
  <c r="C271" i="30" s="1"/>
  <c r="C270" i="30" s="1"/>
  <c r="C260" i="30"/>
  <c r="C255" i="30"/>
  <c r="C237" i="30"/>
  <c r="C234" i="30"/>
  <c r="C226" i="30"/>
  <c r="C215" i="30"/>
  <c r="C213" i="30"/>
  <c r="C209" i="30"/>
  <c r="C207" i="30"/>
  <c r="C184" i="30"/>
  <c r="C183" i="30" s="1"/>
  <c r="C177" i="30"/>
  <c r="C162" i="30" s="1"/>
  <c r="C158" i="30"/>
  <c r="C157" i="30" s="1"/>
  <c r="C141" i="30"/>
  <c r="C140" i="30" s="1"/>
  <c r="C121" i="30"/>
  <c r="C120" i="30" s="1"/>
  <c r="C117" i="30"/>
  <c r="C115" i="30" s="1"/>
  <c r="C112" i="30"/>
  <c r="C111" i="30" s="1"/>
  <c r="C104" i="30"/>
  <c r="C103" i="30" s="1"/>
  <c r="C97" i="30" s="1"/>
  <c r="C79" i="30"/>
  <c r="C76" i="30"/>
  <c r="C75" i="30"/>
  <c r="C73" i="30"/>
  <c r="C71" i="30"/>
  <c r="C70" i="30" s="1"/>
  <c r="C64" i="30"/>
  <c r="C61" i="30" s="1"/>
  <c r="C56" i="30"/>
  <c r="C55" i="30"/>
  <c r="C54" i="30"/>
  <c r="C28" i="30"/>
  <c r="C27" i="30"/>
  <c r="C21" i="30"/>
  <c r="C20" i="30"/>
  <c r="C18" i="30"/>
  <c r="C14" i="30"/>
  <c r="C13" i="30"/>
  <c r="C31" i="4"/>
  <c r="C29" i="4"/>
  <c r="C28" i="4"/>
  <c r="C24" i="4"/>
  <c r="C22" i="4"/>
  <c r="C17" i="4"/>
  <c r="C15" i="4"/>
  <c r="C606" i="4"/>
  <c r="C603" i="4"/>
  <c r="C602" i="4"/>
  <c r="C601" i="4"/>
  <c r="C599" i="4"/>
  <c r="C598" i="4" s="1"/>
  <c r="C597" i="4"/>
  <c r="C595" i="4" s="1"/>
  <c r="C590" i="4"/>
  <c r="C587" i="4" s="1"/>
  <c r="C579" i="4"/>
  <c r="C578" i="4" s="1"/>
  <c r="C576" i="4"/>
  <c r="C575" i="4"/>
  <c r="C574" i="4" s="1"/>
  <c r="C572" i="4"/>
  <c r="C396" i="4"/>
  <c r="C371" i="4"/>
  <c r="C361" i="4"/>
  <c r="C359" i="4"/>
  <c r="C354" i="4"/>
  <c r="C351" i="4"/>
  <c r="C345" i="4"/>
  <c r="C288" i="4"/>
  <c r="C244" i="4"/>
  <c r="C241" i="4"/>
  <c r="C184" i="4"/>
  <c r="C181" i="4"/>
  <c r="C175" i="4"/>
  <c r="C173" i="4"/>
  <c r="C128" i="2"/>
  <c r="C124" i="2"/>
  <c r="C294" i="2"/>
  <c r="C292" i="2"/>
  <c r="C304" i="2"/>
  <c r="C302" i="2"/>
  <c r="C290" i="2"/>
  <c r="C284" i="2"/>
  <c r="C281" i="2"/>
  <c r="C277" i="2"/>
  <c r="C147" i="2"/>
  <c r="C145" i="2"/>
  <c r="C138" i="2"/>
  <c r="C86" i="2"/>
  <c r="C84" i="2"/>
  <c r="C83" i="2" s="1"/>
  <c r="C68" i="2"/>
  <c r="C64" i="2"/>
  <c r="C51" i="2"/>
  <c r="C260" i="28"/>
  <c r="C220" i="29"/>
  <c r="C217" i="29"/>
  <c r="C212" i="29"/>
  <c r="C207" i="29"/>
  <c r="C205" i="29"/>
  <c r="C200" i="29"/>
  <c r="C198" i="29"/>
  <c r="C191" i="29"/>
  <c r="C187" i="29"/>
  <c r="C185" i="29"/>
  <c r="C668" i="27"/>
  <c r="C573" i="27"/>
  <c r="C565" i="27"/>
  <c r="C563" i="27"/>
  <c r="C561" i="27"/>
  <c r="C559" i="27"/>
  <c r="C557" i="27"/>
  <c r="C555" i="27"/>
  <c r="C536" i="27"/>
  <c r="C531" i="27"/>
  <c r="C524" i="27"/>
  <c r="C520" i="27"/>
  <c r="C516" i="27"/>
  <c r="C513" i="27"/>
  <c r="C511" i="27"/>
  <c r="C504" i="27"/>
  <c r="C500" i="27"/>
  <c r="C495" i="27"/>
  <c r="C492" i="27"/>
  <c r="C470" i="27"/>
  <c r="C461" i="27"/>
  <c r="C457" i="27"/>
  <c r="C452" i="27"/>
  <c r="C442" i="27"/>
  <c r="C438" i="27"/>
  <c r="C431" i="27"/>
  <c r="C426" i="27"/>
  <c r="C421" i="27"/>
  <c r="C419" i="27"/>
  <c r="C406" i="27"/>
  <c r="C396" i="27"/>
  <c r="C395" i="27" s="1"/>
  <c r="C382" i="27"/>
  <c r="C379" i="27"/>
  <c r="C370" i="27"/>
  <c r="C367" i="27"/>
  <c r="C362" i="27"/>
  <c r="C321" i="27"/>
  <c r="C319" i="27"/>
  <c r="C314" i="27"/>
  <c r="C302" i="27"/>
  <c r="C300" i="27"/>
  <c r="C256" i="27"/>
  <c r="C253" i="27"/>
  <c r="C247" i="27"/>
  <c r="C219" i="27"/>
  <c r="C217" i="27"/>
  <c r="C215" i="27"/>
  <c r="C213" i="27"/>
  <c r="C204" i="27"/>
  <c r="C202" i="27"/>
  <c r="C200" i="27"/>
  <c r="C91" i="27"/>
  <c r="C72" i="27"/>
  <c r="C70" i="27"/>
  <c r="C63" i="27"/>
  <c r="C51" i="27"/>
  <c r="C138" i="27"/>
  <c r="C186" i="27"/>
  <c r="C185" i="27" s="1"/>
  <c r="C184" i="27"/>
  <c r="C183" i="27" s="1"/>
  <c r="C174" i="27"/>
  <c r="C173" i="27" s="1"/>
  <c r="C171" i="27"/>
  <c r="C132" i="27"/>
  <c r="C129" i="27" s="1"/>
  <c r="C166" i="27"/>
  <c r="C165" i="27"/>
  <c r="C164" i="27"/>
  <c r="C153" i="27"/>
  <c r="C152" i="27" s="1"/>
  <c r="C114" i="27"/>
  <c r="C120" i="27"/>
  <c r="C117" i="27" s="1"/>
  <c r="C113" i="27"/>
  <c r="C112" i="27" s="1"/>
  <c r="C111" i="27"/>
  <c r="C110" i="27" s="1"/>
  <c r="C29" i="28"/>
  <c r="C28" i="28"/>
  <c r="C27" i="28"/>
  <c r="C29" i="29"/>
  <c r="C28" i="29"/>
  <c r="C27" i="29"/>
  <c r="C17" i="28"/>
  <c r="C15" i="28"/>
  <c r="C14" i="28"/>
  <c r="C13" i="28"/>
  <c r="C13" i="29"/>
  <c r="C12" i="29" s="1"/>
  <c r="C31" i="7"/>
  <c r="C29" i="7"/>
  <c r="C24" i="7"/>
  <c r="C22" i="7"/>
  <c r="C18" i="7"/>
  <c r="C17" i="7"/>
  <c r="C15" i="7"/>
  <c r="C14" i="7"/>
  <c r="C13" i="7"/>
  <c r="C133" i="1"/>
  <c r="C131" i="1"/>
  <c r="C118" i="1"/>
  <c r="C110" i="1"/>
  <c r="C100" i="1"/>
  <c r="C60" i="1"/>
  <c r="C57" i="1"/>
  <c r="C55" i="1"/>
  <c r="C53" i="1"/>
  <c r="C41" i="1"/>
  <c r="C45" i="1"/>
  <c r="C47" i="1"/>
  <c r="C26" i="1"/>
  <c r="C19" i="1"/>
  <c r="C12" i="1"/>
  <c r="C713" i="4"/>
  <c r="C710" i="4"/>
  <c r="C704" i="4"/>
  <c r="C702" i="4"/>
  <c r="C700" i="4"/>
  <c r="C698" i="4"/>
  <c r="C593" i="4"/>
  <c r="C584" i="4"/>
  <c r="C669" i="4"/>
  <c r="C667" i="4"/>
  <c r="C665" i="4"/>
  <c r="C656" i="4"/>
  <c r="C652" i="4"/>
  <c r="C644" i="4"/>
  <c r="C639" i="4"/>
  <c r="C635" i="4"/>
  <c r="C627" i="4"/>
  <c r="C555" i="4"/>
  <c r="C460" i="4"/>
  <c r="C455" i="4"/>
  <c r="C452" i="4"/>
  <c r="C443" i="4"/>
  <c r="C341" i="4"/>
  <c r="C339" i="4"/>
  <c r="C322" i="4"/>
  <c r="C313" i="4"/>
  <c r="C309" i="4"/>
  <c r="C306" i="4"/>
  <c r="C303" i="4"/>
  <c r="C301" i="4"/>
  <c r="C294" i="4"/>
  <c r="C284" i="4"/>
  <c r="C282" i="4"/>
  <c r="C257" i="4"/>
  <c r="C231" i="4"/>
  <c r="C229" i="4"/>
  <c r="C205" i="4"/>
  <c r="C203" i="4"/>
  <c r="C201" i="4"/>
  <c r="C191" i="4"/>
  <c r="C189" i="4"/>
  <c r="C86" i="4"/>
  <c r="C76" i="4"/>
  <c r="C74" i="4"/>
  <c r="C71" i="4"/>
  <c r="C65" i="4"/>
  <c r="C63" i="4"/>
  <c r="C57" i="4"/>
  <c r="C51" i="4"/>
  <c r="C48" i="4"/>
  <c r="C42" i="4"/>
  <c r="C35" i="4"/>
  <c r="C165" i="2"/>
  <c r="C155" i="2"/>
  <c r="C154" i="2" s="1"/>
  <c r="C76" i="2"/>
  <c r="C75" i="2" s="1"/>
  <c r="C41" i="2"/>
  <c r="C40" i="2" s="1"/>
  <c r="C36" i="2"/>
  <c r="C35" i="2" s="1"/>
  <c r="C412" i="2"/>
  <c r="C409" i="2"/>
  <c r="C400" i="2"/>
  <c r="C398" i="2"/>
  <c r="C395" i="2"/>
  <c r="C392" i="2"/>
  <c r="C384" i="2"/>
  <c r="C381" i="2"/>
  <c r="C377" i="2"/>
  <c r="C373" i="2"/>
  <c r="C371" i="2"/>
  <c r="C358" i="2"/>
  <c r="C354" i="2"/>
  <c r="C349" i="2"/>
  <c r="C348" i="2" s="1"/>
  <c r="C342" i="2"/>
  <c r="C340" i="2"/>
  <c r="C337" i="2"/>
  <c r="C335" i="2"/>
  <c r="C333" i="2"/>
  <c r="C327" i="2"/>
  <c r="C325" i="2"/>
  <c r="C323" i="2"/>
  <c r="C321" i="2"/>
  <c r="C319" i="2"/>
  <c r="C258" i="2"/>
  <c r="C247" i="2"/>
  <c r="C214" i="2"/>
  <c r="C212" i="2"/>
  <c r="C207" i="2"/>
  <c r="C204" i="2"/>
  <c r="C201" i="2"/>
  <c r="C199" i="2"/>
  <c r="C193" i="2"/>
  <c r="C188" i="2"/>
  <c r="C184" i="2"/>
  <c r="C181" i="2"/>
  <c r="C177" i="2"/>
  <c r="C160" i="2"/>
  <c r="C135" i="2"/>
  <c r="C120" i="2"/>
  <c r="C115" i="2"/>
  <c r="C107" i="2"/>
  <c r="C94" i="2"/>
  <c r="C90" i="2"/>
  <c r="C73" i="2"/>
  <c r="C71" i="2"/>
  <c r="C61" i="2"/>
  <c r="C37" i="2"/>
  <c r="C31" i="2"/>
  <c r="C29" i="2"/>
  <c r="C28" i="2"/>
  <c r="C27" i="2"/>
  <c r="C24" i="2"/>
  <c r="C22" i="2"/>
  <c r="C21" i="2"/>
  <c r="C20" i="2"/>
  <c r="C18" i="2"/>
  <c r="C17" i="2"/>
  <c r="C15" i="2"/>
  <c r="C14" i="2"/>
  <c r="C13" i="2"/>
  <c r="C746" i="27"/>
  <c r="C744" i="27"/>
  <c r="C742" i="27"/>
  <c r="C736" i="27"/>
  <c r="C730" i="27"/>
  <c r="C725" i="27"/>
  <c r="C723" i="27"/>
  <c r="C719" i="27"/>
  <c r="C716" i="27"/>
  <c r="C714" i="27"/>
  <c r="C712" i="27"/>
  <c r="C710" i="27"/>
  <c r="C705" i="27"/>
  <c r="C709" i="27"/>
  <c r="C708" i="27"/>
  <c r="C692" i="27"/>
  <c r="C690" i="27"/>
  <c r="C687" i="27"/>
  <c r="C679" i="27"/>
  <c r="C674" i="27"/>
  <c r="C650" i="27"/>
  <c r="C643" i="27"/>
  <c r="C647" i="27"/>
  <c r="C646" i="27" s="1"/>
  <c r="C642" i="27"/>
  <c r="C658" i="27"/>
  <c r="C654" i="27"/>
  <c r="C648" i="27"/>
  <c r="C644" i="27"/>
  <c r="C542" i="27"/>
  <c r="C540" i="27"/>
  <c r="C490" i="27"/>
  <c r="C488" i="27"/>
  <c r="C475" i="27"/>
  <c r="C467" i="27"/>
  <c r="C463" i="27" s="1"/>
  <c r="C429" i="27"/>
  <c r="C424" i="27"/>
  <c r="C386" i="27"/>
  <c r="C377" i="27"/>
  <c r="C360" i="27"/>
  <c r="C358" i="27"/>
  <c r="C356" i="27"/>
  <c r="C354" i="27"/>
  <c r="C283" i="27"/>
  <c r="C273" i="27"/>
  <c r="C278" i="27"/>
  <c r="C271" i="27"/>
  <c r="C269" i="27"/>
  <c r="C265" i="27"/>
  <c r="C262" i="27"/>
  <c r="C245" i="27"/>
  <c r="C243" i="27"/>
  <c r="C241" i="27"/>
  <c r="C95" i="27"/>
  <c r="C76" i="27"/>
  <c r="C75" i="27"/>
  <c r="C57" i="27"/>
  <c r="C43" i="27"/>
  <c r="C42" i="27" s="1"/>
  <c r="C41" i="27"/>
  <c r="C40" i="27" s="1"/>
  <c r="C36" i="27"/>
  <c r="C35" i="27" s="1"/>
  <c r="C31" i="27"/>
  <c r="C29" i="27"/>
  <c r="C28" i="27"/>
  <c r="C27" i="27"/>
  <c r="C24" i="27"/>
  <c r="C22" i="27"/>
  <c r="C21" i="27"/>
  <c r="C20" i="27"/>
  <c r="C18" i="27"/>
  <c r="C17" i="27"/>
  <c r="C15" i="27"/>
  <c r="C88" i="27"/>
  <c r="C55" i="27"/>
  <c r="C169" i="27"/>
  <c r="C160" i="27"/>
  <c r="C158" i="27"/>
  <c r="C156" i="27"/>
  <c r="C154" i="27"/>
  <c r="C305" i="28"/>
  <c r="C279" i="28"/>
  <c r="C268" i="28"/>
  <c r="C257" i="28"/>
  <c r="C255" i="28"/>
  <c r="C253" i="28"/>
  <c r="C248" i="28"/>
  <c r="C220" i="28"/>
  <c r="C212" i="28"/>
  <c r="C205" i="28"/>
  <c r="C195" i="28"/>
  <c r="C178" i="28"/>
  <c r="C176" i="28"/>
  <c r="C166" i="28"/>
  <c r="C164" i="28"/>
  <c r="C150" i="28"/>
  <c r="C148" i="28"/>
  <c r="C133" i="28"/>
  <c r="C130" i="28"/>
  <c r="C114" i="28"/>
  <c r="C102" i="28"/>
  <c r="C104" i="28"/>
  <c r="C106" i="28"/>
  <c r="C108" i="28"/>
  <c r="C85" i="28"/>
  <c r="C59" i="28"/>
  <c r="C62" i="28"/>
  <c r="C261" i="29"/>
  <c r="C258" i="29"/>
  <c r="C253" i="29"/>
  <c r="C249" i="29"/>
  <c r="C247" i="29"/>
  <c r="C245" i="29"/>
  <c r="C243" i="29"/>
  <c r="C239" i="29"/>
  <c r="C233" i="29"/>
  <c r="C235" i="29"/>
  <c r="C238" i="29"/>
  <c r="C237" i="29" s="1"/>
  <c r="C194" i="29"/>
  <c r="C64" i="29"/>
  <c r="C31" i="28"/>
  <c r="C24" i="28"/>
  <c r="C22" i="28"/>
  <c r="C21" i="28"/>
  <c r="C20" i="28"/>
  <c r="C31" i="29"/>
  <c r="C24" i="29"/>
  <c r="C22" i="29"/>
  <c r="C21" i="29"/>
  <c r="C20" i="29"/>
  <c r="C683" i="4"/>
  <c r="C685" i="4"/>
  <c r="C687" i="4"/>
  <c r="C689" i="4"/>
  <c r="C691" i="4"/>
  <c r="C696" i="4"/>
  <c r="C317" i="2"/>
  <c r="C303" i="28"/>
  <c r="C302" i="28"/>
  <c r="C300" i="28"/>
  <c r="C299" i="28"/>
  <c r="C293" i="28"/>
  <c r="C292" i="28" s="1"/>
  <c r="C290" i="28"/>
  <c r="C289" i="28" s="1"/>
  <c r="C288" i="28"/>
  <c r="C287" i="28"/>
  <c r="C285" i="28"/>
  <c r="C284" i="28"/>
  <c r="C283" i="28"/>
  <c r="C282" i="28"/>
  <c r="C273" i="28"/>
  <c r="C251" i="28"/>
  <c r="C250" i="28" s="1"/>
  <c r="C234" i="28"/>
  <c r="C233" i="28"/>
  <c r="C231" i="28"/>
  <c r="C230" i="28"/>
  <c r="C229" i="28"/>
  <c r="C223" i="28"/>
  <c r="C222" i="28" s="1"/>
  <c r="C216" i="28"/>
  <c r="C215" i="28" s="1"/>
  <c r="C209" i="28"/>
  <c r="C207" i="28" s="1"/>
  <c r="C203" i="28"/>
  <c r="C202" i="28"/>
  <c r="C200" i="28"/>
  <c r="C199" i="28" s="1"/>
  <c r="C198" i="28"/>
  <c r="C197" i="28" s="1"/>
  <c r="C194" i="28"/>
  <c r="C193" i="28" s="1"/>
  <c r="C192" i="28"/>
  <c r="C191" i="28" s="1"/>
  <c r="C12" i="14" l="1"/>
  <c r="C217" i="28"/>
  <c r="C175" i="27"/>
  <c r="C45" i="19"/>
  <c r="C94" i="19"/>
  <c r="C11" i="19"/>
  <c r="C115" i="19"/>
  <c r="C371" i="30"/>
  <c r="C12" i="30"/>
  <c r="C26" i="30"/>
  <c r="C385" i="30"/>
  <c r="C381" i="30" s="1"/>
  <c r="C436" i="30"/>
  <c r="C78" i="30"/>
  <c r="C19" i="30"/>
  <c r="C429" i="30"/>
  <c r="C305" i="30"/>
  <c r="C295" i="30" s="1"/>
  <c r="C293" i="30" s="1"/>
  <c r="C377" i="30"/>
  <c r="C364" i="30" s="1"/>
  <c r="C12" i="27"/>
  <c r="C232" i="28"/>
  <c r="C152" i="28"/>
  <c r="C158" i="28"/>
  <c r="C272" i="28"/>
  <c r="C247" i="28" s="1"/>
  <c r="C228" i="28"/>
  <c r="C227" i="28" s="1"/>
  <c r="C89" i="2"/>
  <c r="C211" i="28"/>
  <c r="C201" i="28"/>
  <c r="C190" i="28" s="1"/>
  <c r="C440" i="30"/>
  <c r="C52" i="30"/>
  <c r="C33" i="30" s="1"/>
  <c r="C110" i="30"/>
  <c r="C95" i="30" s="1"/>
  <c r="C72" i="30"/>
  <c r="C58" i="30" s="1"/>
  <c r="C148" i="30"/>
  <c r="C139" i="30" s="1"/>
  <c r="C137" i="30" s="1"/>
  <c r="C333" i="3"/>
  <c r="C415" i="3"/>
  <c r="C368" i="3"/>
  <c r="C357" i="3" s="1"/>
  <c r="C224" i="3"/>
  <c r="C202" i="3" s="1"/>
  <c r="C84" i="18"/>
  <c r="C38" i="18"/>
  <c r="C155" i="3"/>
  <c r="C179" i="7"/>
  <c r="C178" i="7" s="1"/>
  <c r="C887" i="7"/>
  <c r="C801" i="7"/>
  <c r="C466" i="7"/>
  <c r="C153" i="7"/>
  <c r="C144" i="7" s="1"/>
  <c r="C12" i="7"/>
  <c r="C221" i="7"/>
  <c r="C224" i="7"/>
  <c r="C19" i="7"/>
  <c r="C26" i="7"/>
  <c r="C826" i="7"/>
  <c r="C825" i="7" s="1"/>
  <c r="C605" i="4"/>
  <c r="C664" i="4"/>
  <c r="C682" i="4"/>
  <c r="C709" i="4"/>
  <c r="C571" i="4"/>
  <c r="C695" i="4"/>
  <c r="C353" i="2"/>
  <c r="C274" i="2"/>
  <c r="C85" i="27"/>
  <c r="C624" i="27"/>
  <c r="C597" i="27"/>
  <c r="C82" i="27"/>
  <c r="C74" i="27"/>
  <c r="C60" i="27" s="1"/>
  <c r="C469" i="27"/>
  <c r="C741" i="27"/>
  <c r="C163" i="27"/>
  <c r="C151" i="27" s="1"/>
  <c r="C257" i="29"/>
  <c r="C19" i="29"/>
  <c r="C242" i="29"/>
  <c r="C26" i="29"/>
  <c r="C232" i="29"/>
  <c r="C54" i="27"/>
  <c r="C611" i="27"/>
  <c r="C686" i="27"/>
  <c r="C707" i="27"/>
  <c r="C704" i="27" s="1"/>
  <c r="C641" i="27"/>
  <c r="C19" i="27"/>
  <c r="C44" i="27"/>
  <c r="C26" i="27"/>
  <c r="C261" i="27"/>
  <c r="C866" i="7"/>
  <c r="C205" i="7"/>
  <c r="C815" i="7"/>
  <c r="C428" i="3"/>
  <c r="C400" i="3"/>
  <c r="C51" i="3"/>
  <c r="C143" i="3"/>
  <c r="C149" i="3"/>
  <c r="C146" i="3"/>
  <c r="C136" i="3"/>
  <c r="C127" i="3" s="1"/>
  <c r="C221" i="30"/>
  <c r="C206" i="30" s="1"/>
  <c r="C274" i="30"/>
  <c r="C244" i="30"/>
  <c r="C460" i="30"/>
  <c r="C465" i="30"/>
  <c r="C176" i="2"/>
  <c r="C316" i="2"/>
  <c r="C332" i="2"/>
  <c r="C370" i="2"/>
  <c r="C301" i="2"/>
  <c r="C289" i="2"/>
  <c r="C600" i="4"/>
  <c r="C592" i="4" s="1"/>
  <c r="C90" i="27"/>
  <c r="C400" i="27"/>
  <c r="C535" i="27"/>
  <c r="C19" i="2"/>
  <c r="C12" i="2"/>
  <c r="C26" i="2"/>
  <c r="C60" i="2"/>
  <c r="C216" i="29"/>
  <c r="C554" i="27"/>
  <c r="C510" i="27"/>
  <c r="C487" i="27"/>
  <c r="C418" i="27"/>
  <c r="C376" i="27"/>
  <c r="C353" i="27"/>
  <c r="C240" i="27"/>
  <c r="C301" i="28"/>
  <c r="C129" i="28"/>
  <c r="C175" i="28"/>
  <c r="C101" i="28"/>
  <c r="C281" i="28"/>
  <c r="C286" i="28"/>
  <c r="C298" i="28"/>
  <c r="C130" i="1"/>
  <c r="C128" i="1" s="1"/>
  <c r="C11" i="1"/>
  <c r="C408" i="2"/>
  <c r="C182" i="27"/>
  <c r="C168" i="27"/>
  <c r="C19" i="28"/>
  <c r="C12" i="28"/>
  <c r="C26" i="28"/>
  <c r="C43" i="19" l="1"/>
  <c r="C13" i="18"/>
  <c r="C11" i="30"/>
  <c r="C422" i="30"/>
  <c r="C420" i="30" s="1"/>
  <c r="C362" i="30"/>
  <c r="C9" i="30"/>
  <c r="C204" i="30"/>
  <c r="C142" i="7"/>
  <c r="C569" i="4"/>
  <c r="C679" i="4"/>
  <c r="C272" i="2"/>
  <c r="C314" i="2"/>
  <c r="C351" i="27"/>
  <c r="C149" i="27"/>
  <c r="C81" i="27"/>
  <c r="C594" i="27"/>
  <c r="C278" i="28"/>
  <c r="C188" i="28"/>
  <c r="C297" i="28"/>
  <c r="C398" i="3"/>
  <c r="C230" i="29"/>
  <c r="C799" i="7"/>
  <c r="C11" i="7"/>
  <c r="C11" i="27"/>
  <c r="C34" i="27"/>
  <c r="C140" i="3"/>
  <c r="C11" i="29"/>
  <c r="C11" i="2"/>
  <c r="C11" i="28"/>
  <c r="C9" i="27" l="1"/>
  <c r="C245" i="28"/>
  <c r="C905" i="7"/>
  <c r="C907" i="7"/>
  <c r="C909" i="7"/>
  <c r="C911" i="7"/>
  <c r="C917" i="7"/>
  <c r="C919" i="7"/>
  <c r="C921" i="7"/>
  <c r="C929" i="7"/>
  <c r="C933" i="7"/>
  <c r="C584" i="27"/>
  <c r="C583" i="27" s="1"/>
  <c r="C571" i="27"/>
  <c r="C570" i="27" s="1"/>
  <c r="C789" i="7"/>
  <c r="C768" i="7"/>
  <c r="C752" i="7"/>
  <c r="C740" i="7"/>
  <c r="C738" i="7"/>
  <c r="C730" i="7"/>
  <c r="C727" i="7"/>
  <c r="C725" i="7"/>
  <c r="C723" i="7"/>
  <c r="C717" i="7"/>
  <c r="C706" i="7" s="1"/>
  <c r="C692" i="7"/>
  <c r="C689" i="7"/>
  <c r="C687" i="7"/>
  <c r="C682" i="7"/>
  <c r="C680" i="7"/>
  <c r="C678" i="7"/>
  <c r="C666" i="7"/>
  <c r="C665" i="7" s="1"/>
  <c r="C659" i="7" s="1"/>
  <c r="C656" i="7"/>
  <c r="C655" i="7" s="1"/>
  <c r="C649" i="7"/>
  <c r="C643" i="7"/>
  <c r="C638" i="7"/>
  <c r="C630" i="7"/>
  <c r="C628" i="7"/>
  <c r="C622" i="7"/>
  <c r="C619" i="7"/>
  <c r="C613" i="7"/>
  <c r="C601" i="7"/>
  <c r="C600" i="7" s="1"/>
  <c r="C599" i="7"/>
  <c r="C598" i="7"/>
  <c r="C597" i="7"/>
  <c r="C578" i="7"/>
  <c r="C572" i="7"/>
  <c r="C571" i="7" s="1"/>
  <c r="C570" i="7"/>
  <c r="C569" i="7" s="1"/>
  <c r="C568" i="7"/>
  <c r="C567" i="7" s="1"/>
  <c r="C486" i="7"/>
  <c r="C483" i="7"/>
  <c r="C553" i="7"/>
  <c r="C552" i="7" s="1"/>
  <c r="C551" i="7"/>
  <c r="C549" i="7" s="1"/>
  <c r="C545" i="7"/>
  <c r="C539" i="7"/>
  <c r="C537" i="7"/>
  <c r="C517" i="7"/>
  <c r="C515" i="7"/>
  <c r="C499" i="7"/>
  <c r="C498" i="7" s="1"/>
  <c r="C479" i="7"/>
  <c r="C478" i="7"/>
  <c r="C465" i="7"/>
  <c r="C462" i="7" s="1"/>
  <c r="C455" i="7" s="1"/>
  <c r="C444" i="7"/>
  <c r="C442" i="7"/>
  <c r="C429" i="7"/>
  <c r="C428" i="7" s="1"/>
  <c r="C427" i="7"/>
  <c r="C426" i="7" s="1"/>
  <c r="C425" i="7"/>
  <c r="C424" i="7" s="1"/>
  <c r="C420" i="7"/>
  <c r="C419" i="7" s="1"/>
  <c r="C402" i="7"/>
  <c r="C400" i="7"/>
  <c r="C395" i="7"/>
  <c r="C393" i="7"/>
  <c r="C391" i="7"/>
  <c r="C389" i="7"/>
  <c r="C374" i="7"/>
  <c r="C373" i="7" s="1"/>
  <c r="C372" i="7"/>
  <c r="C371" i="7" s="1"/>
  <c r="C360" i="7"/>
  <c r="C358" i="7"/>
  <c r="C356" i="7"/>
  <c r="C354" i="7"/>
  <c r="C352" i="7"/>
  <c r="C330" i="7"/>
  <c r="C329" i="7"/>
  <c r="C326" i="7"/>
  <c r="C325" i="7" s="1"/>
  <c r="C324" i="7"/>
  <c r="C322" i="7" s="1"/>
  <c r="C316" i="7"/>
  <c r="C313" i="7" s="1"/>
  <c r="C300" i="7"/>
  <c r="C299" i="7" s="1"/>
  <c r="C275" i="7"/>
  <c r="C273" i="7"/>
  <c r="C271" i="7"/>
  <c r="C269" i="7"/>
  <c r="C259" i="7"/>
  <c r="C258" i="7" s="1"/>
  <c r="C253" i="7"/>
  <c r="C213" i="7"/>
  <c r="C209" i="7" s="1"/>
  <c r="C196" i="7"/>
  <c r="C230" i="7"/>
  <c r="C130" i="7"/>
  <c r="C129" i="7" s="1"/>
  <c r="C128" i="7" s="1"/>
  <c r="C115" i="7"/>
  <c r="C106" i="7"/>
  <c r="C105" i="7"/>
  <c r="C96" i="7"/>
  <c r="C95" i="7" s="1"/>
  <c r="C80" i="7"/>
  <c r="C79" i="7"/>
  <c r="C75" i="7"/>
  <c r="C74" i="7"/>
  <c r="C62" i="7"/>
  <c r="C61" i="7" s="1"/>
  <c r="C59" i="7"/>
  <c r="C58" i="7" s="1"/>
  <c r="C56" i="7"/>
  <c r="C55" i="7" s="1"/>
  <c r="C40" i="7"/>
  <c r="C39" i="7" s="1"/>
  <c r="C33" i="7" s="1"/>
  <c r="C624" i="4"/>
  <c r="C623" i="4" s="1"/>
  <c r="C632" i="4"/>
  <c r="C631" i="4" s="1"/>
  <c r="C660" i="4"/>
  <c r="C659" i="4" s="1"/>
  <c r="C651" i="4" s="1"/>
  <c r="C202" i="29"/>
  <c r="C197" i="29" s="1"/>
  <c r="C183" i="29"/>
  <c r="C96" i="29"/>
  <c r="C95" i="29" s="1"/>
  <c r="C91" i="29"/>
  <c r="C67" i="29"/>
  <c r="C50" i="29"/>
  <c r="C48" i="29"/>
  <c r="C47" i="29"/>
  <c r="C46" i="29"/>
  <c r="C45" i="29"/>
  <c r="C41" i="29"/>
  <c r="C39" i="29"/>
  <c r="C37" i="29"/>
  <c r="C35" i="29"/>
  <c r="C622" i="4" l="1"/>
  <c r="C620" i="4" s="1"/>
  <c r="C552" i="27"/>
  <c r="C104" i="7"/>
  <c r="C94" i="7" s="1"/>
  <c r="C534" i="7"/>
  <c r="C548" i="7"/>
  <c r="C737" i="7"/>
  <c r="C298" i="7"/>
  <c r="C113" i="7"/>
  <c r="C112" i="7" s="1"/>
  <c r="C596" i="7"/>
  <c r="C595" i="7" s="1"/>
  <c r="C43" i="29"/>
  <c r="C78" i="7"/>
  <c r="C77" i="7" s="1"/>
  <c r="C482" i="7"/>
  <c r="C928" i="7"/>
  <c r="C327" i="7"/>
  <c r="C319" i="7" s="1"/>
  <c r="C351" i="7"/>
  <c r="C477" i="7"/>
  <c r="C471" i="7" s="1"/>
  <c r="C418" i="7"/>
  <c r="C441" i="7"/>
  <c r="C433" i="7" s="1"/>
  <c r="C787" i="7"/>
  <c r="C784" i="7" s="1"/>
  <c r="C750" i="7" s="1"/>
  <c r="C904" i="7"/>
  <c r="C386" i="7"/>
  <c r="C399" i="7"/>
  <c r="C195" i="7"/>
  <c r="C54" i="7"/>
  <c r="C181" i="29"/>
  <c r="C180" i="29" s="1"/>
  <c r="C178" i="29" s="1"/>
  <c r="C85" i="29"/>
  <c r="C916" i="7"/>
  <c r="C686" i="7"/>
  <c r="C73" i="7"/>
  <c r="C72" i="7" s="1"/>
  <c r="C612" i="7"/>
  <c r="C677" i="7"/>
  <c r="C215" i="7"/>
  <c r="C637" i="7"/>
  <c r="C514" i="7"/>
  <c r="C496" i="7" s="1"/>
  <c r="C566" i="7"/>
  <c r="C268" i="7"/>
  <c r="C366" i="7"/>
  <c r="C722" i="7"/>
  <c r="C252" i="7"/>
  <c r="C53" i="29"/>
  <c r="C62" i="29"/>
  <c r="C58" i="29" s="1"/>
  <c r="C295" i="27"/>
  <c r="C297" i="27"/>
  <c r="C304" i="27"/>
  <c r="C306" i="27"/>
  <c r="C312" i="27"/>
  <c r="C316" i="27"/>
  <c r="C337" i="27"/>
  <c r="C341" i="27"/>
  <c r="C108" i="27"/>
  <c r="C107" i="27" s="1"/>
  <c r="C137" i="27"/>
  <c r="C139" i="27"/>
  <c r="C198" i="27"/>
  <c r="C197" i="27" s="1"/>
  <c r="C211" i="27"/>
  <c r="C210" i="27" s="1"/>
  <c r="C226" i="27"/>
  <c r="C228" i="27"/>
  <c r="C528" i="4"/>
  <c r="C527" i="4" s="1"/>
  <c r="C530" i="4"/>
  <c r="C529" i="4" s="1"/>
  <c r="C532" i="4"/>
  <c r="C533" i="4"/>
  <c r="C535" i="4"/>
  <c r="C536" i="4"/>
  <c r="C538" i="4"/>
  <c r="C537" i="4" s="1"/>
  <c r="C542" i="4"/>
  <c r="C541" i="4" s="1"/>
  <c r="C544" i="4"/>
  <c r="C545" i="4"/>
  <c r="C547" i="4"/>
  <c r="C548" i="4"/>
  <c r="C550" i="4"/>
  <c r="C549" i="4" s="1"/>
  <c r="C559" i="4"/>
  <c r="C554" i="4" s="1"/>
  <c r="C147" i="28"/>
  <c r="C146" i="28" s="1"/>
  <c r="C145" i="28" s="1"/>
  <c r="C170" i="28"/>
  <c r="C169" i="28" s="1"/>
  <c r="C163" i="28" s="1"/>
  <c r="C90" i="28"/>
  <c r="C89" i="28" s="1"/>
  <c r="C84" i="28" s="1"/>
  <c r="C81" i="28"/>
  <c r="C79" i="28"/>
  <c r="C73" i="28"/>
  <c r="C70" i="28"/>
  <c r="C69" i="28"/>
  <c r="C68" i="28"/>
  <c r="C56" i="28"/>
  <c r="C55" i="28"/>
  <c r="C54" i="28"/>
  <c r="C50" i="28"/>
  <c r="C49" i="28"/>
  <c r="C48" i="28"/>
  <c r="C47" i="28"/>
  <c r="C46" i="28"/>
  <c r="C45" i="28"/>
  <c r="C44" i="28"/>
  <c r="C41" i="28"/>
  <c r="C40" i="28"/>
  <c r="C39" i="28" s="1"/>
  <c r="C38" i="28"/>
  <c r="C37" i="28" s="1"/>
  <c r="C36" i="28"/>
  <c r="C35" i="28" s="1"/>
  <c r="C735" i="27"/>
  <c r="C734" i="27" s="1"/>
  <c r="C729" i="27" s="1"/>
  <c r="C702" i="27" s="1"/>
  <c r="C663" i="27"/>
  <c r="C662" i="27" s="1"/>
  <c r="C640" i="27" s="1"/>
  <c r="C678" i="27"/>
  <c r="C676" i="27" s="1"/>
  <c r="C667" i="27" s="1"/>
  <c r="C140" i="4"/>
  <c r="C142" i="4"/>
  <c r="C144" i="4"/>
  <c r="C146" i="4"/>
  <c r="C150" i="4"/>
  <c r="C153" i="4"/>
  <c r="C155" i="4"/>
  <c r="C99" i="4"/>
  <c r="C101" i="4"/>
  <c r="C103" i="4"/>
  <c r="C105" i="4"/>
  <c r="C107" i="4"/>
  <c r="C112" i="4"/>
  <c r="C114" i="4"/>
  <c r="C116" i="4"/>
  <c r="C119" i="4"/>
  <c r="C125" i="4"/>
  <c r="C128" i="4"/>
  <c r="C127" i="4" s="1"/>
  <c r="C491" i="4"/>
  <c r="C490" i="4" s="1"/>
  <c r="C493" i="4"/>
  <c r="C494" i="4"/>
  <c r="C496" i="4"/>
  <c r="C495" i="4" s="1"/>
  <c r="C500" i="4"/>
  <c r="C499" i="4" s="1"/>
  <c r="C502" i="4"/>
  <c r="C503" i="4"/>
  <c r="C504" i="4"/>
  <c r="C506" i="4"/>
  <c r="C507" i="4"/>
  <c r="C508" i="4"/>
  <c r="C512" i="4"/>
  <c r="C513" i="4"/>
  <c r="C515" i="4"/>
  <c r="C514" i="4" s="1"/>
  <c r="C282" i="27"/>
  <c r="C277" i="27" s="1"/>
  <c r="C238" i="27" s="1"/>
  <c r="C530" i="27"/>
  <c r="C450" i="27"/>
  <c r="C449" i="27" s="1"/>
  <c r="C416" i="27" s="1"/>
  <c r="M89" i="24"/>
  <c r="K84" i="24"/>
  <c r="L77" i="24" s="1"/>
  <c r="M76" i="24" s="1"/>
  <c r="L8" i="24"/>
  <c r="L5" i="24"/>
  <c r="C851" i="7"/>
  <c r="C406" i="2"/>
  <c r="C405" i="2" s="1"/>
  <c r="C13" i="3"/>
  <c r="C770" i="3"/>
  <c r="C566" i="3"/>
  <c r="C757" i="3"/>
  <c r="C756" i="3"/>
  <c r="C755" i="3"/>
  <c r="C730" i="3"/>
  <c r="C729" i="3"/>
  <c r="C717" i="3"/>
  <c r="C716" i="3" s="1"/>
  <c r="C822" i="3"/>
  <c r="C821" i="3" s="1"/>
  <c r="C501" i="3"/>
  <c r="C500" i="3"/>
  <c r="C502" i="3"/>
  <c r="C504" i="3"/>
  <c r="C503" i="3" s="1"/>
  <c r="C389" i="3"/>
  <c r="C384" i="3"/>
  <c r="C383" i="3" s="1"/>
  <c r="C240" i="3"/>
  <c r="C239" i="3" s="1"/>
  <c r="C238" i="3"/>
  <c r="C237" i="3" s="1"/>
  <c r="C236" i="3"/>
  <c r="C235" i="3"/>
  <c r="C477" i="3"/>
  <c r="C475" i="3"/>
  <c r="C476" i="3"/>
  <c r="C488" i="3"/>
  <c r="C485" i="3"/>
  <c r="C483" i="3"/>
  <c r="C482" i="3"/>
  <c r="C481" i="3"/>
  <c r="C480" i="3"/>
  <c r="C479" i="3"/>
  <c r="C448" i="3"/>
  <c r="C447" i="3" s="1"/>
  <c r="C454" i="3"/>
  <c r="C456" i="3"/>
  <c r="C258" i="3"/>
  <c r="C251" i="3" s="1"/>
  <c r="C463" i="3"/>
  <c r="C471" i="3"/>
  <c r="C469" i="3" s="1"/>
  <c r="C467" i="3"/>
  <c r="C466" i="3"/>
  <c r="C464" i="3"/>
  <c r="C452" i="3"/>
  <c r="C451" i="3" s="1"/>
  <c r="C450" i="3"/>
  <c r="C449" i="3" s="1"/>
  <c r="C199" i="3"/>
  <c r="C186" i="3"/>
  <c r="C185" i="3" s="1"/>
  <c r="C184" i="3"/>
  <c r="C181" i="3" s="1"/>
  <c r="C173" i="3"/>
  <c r="C171" i="3" s="1"/>
  <c r="C198" i="3"/>
  <c r="C197" i="3" s="1"/>
  <c r="C303" i="3"/>
  <c r="C296" i="3" s="1"/>
  <c r="C92" i="3"/>
  <c r="C85" i="3" s="1"/>
  <c r="C528" i="3"/>
  <c r="C46" i="3"/>
  <c r="C27" i="3"/>
  <c r="C20" i="3"/>
  <c r="C28" i="3"/>
  <c r="C21" i="3"/>
  <c r="C14" i="3"/>
  <c r="C164" i="2"/>
  <c r="C158" i="2"/>
  <c r="C157" i="2"/>
  <c r="C87" i="2"/>
  <c r="C85" i="2" s="1"/>
  <c r="C82" i="2" s="1"/>
  <c r="C69" i="1"/>
  <c r="C68" i="1" s="1"/>
  <c r="C66" i="1"/>
  <c r="C64" i="1"/>
  <c r="C251" i="2"/>
  <c r="C144" i="2"/>
  <c r="C142" i="2" s="1"/>
  <c r="C134" i="2" s="1"/>
  <c r="C112" i="2"/>
  <c r="C109" i="2"/>
  <c r="C57" i="2"/>
  <c r="C55" i="2"/>
  <c r="C46" i="2"/>
  <c r="C45" i="2"/>
  <c r="C37" i="1"/>
  <c r="C40" i="1"/>
  <c r="C39" i="1" s="1"/>
  <c r="C36" i="1"/>
  <c r="C35" i="1" s="1"/>
  <c r="C43" i="2"/>
  <c r="C42" i="2" s="1"/>
  <c r="C238" i="2"/>
  <c r="C237" i="2" s="1"/>
  <c r="C235" i="2"/>
  <c r="C234" i="2" s="1"/>
  <c r="C243" i="2"/>
  <c r="C242" i="2" s="1"/>
  <c r="C117" i="2"/>
  <c r="C431" i="4"/>
  <c r="C430" i="4"/>
  <c r="C424" i="4"/>
  <c r="C423" i="4" s="1"/>
  <c r="C419" i="4"/>
  <c r="C412" i="4"/>
  <c r="C406" i="4"/>
  <c r="C383" i="4"/>
  <c r="C326" i="4"/>
  <c r="C321" i="4" s="1"/>
  <c r="C213" i="4"/>
  <c r="C212" i="4" s="1"/>
  <c r="C82" i="4"/>
  <c r="C81" i="4" s="1"/>
  <c r="C478" i="4"/>
  <c r="C477" i="4" s="1"/>
  <c r="C471" i="4" s="1"/>
  <c r="C469" i="4"/>
  <c r="C466" i="4" s="1"/>
  <c r="C465" i="4"/>
  <c r="C464" i="4" s="1"/>
  <c r="C366" i="4"/>
  <c r="C364" i="4" s="1"/>
  <c r="C358" i="4" s="1"/>
  <c r="C316" i="4"/>
  <c r="C300" i="4" s="1"/>
  <c r="C254" i="4"/>
  <c r="C194" i="4"/>
  <c r="C188" i="4" s="1"/>
  <c r="C68" i="4"/>
  <c r="C56" i="4" s="1"/>
  <c r="C169" i="4"/>
  <c r="C40" i="4"/>
  <c r="C448" i="4"/>
  <c r="C447" i="4" s="1"/>
  <c r="C442" i="4" s="1"/>
  <c r="C344" i="4"/>
  <c r="C343" i="4" s="1"/>
  <c r="C338" i="4" s="1"/>
  <c r="C287" i="4"/>
  <c r="C286" i="4" s="1"/>
  <c r="C233" i="4"/>
  <c r="C236" i="4"/>
  <c r="C235" i="4" s="1"/>
  <c r="C171" i="4"/>
  <c r="C18" i="4"/>
  <c r="C18" i="3"/>
  <c r="O131" i="24"/>
  <c r="B9" i="21" s="1"/>
  <c r="M128" i="24"/>
  <c r="D127" i="24"/>
  <c r="C127" i="24"/>
  <c r="B127" i="24"/>
  <c r="A127" i="24"/>
  <c r="M124" i="24"/>
  <c r="N123" i="24" s="1"/>
  <c r="M120" i="24"/>
  <c r="M118" i="24"/>
  <c r="M116" i="24"/>
  <c r="M112" i="24"/>
  <c r="N109" i="24" s="1"/>
  <c r="M110" i="24"/>
  <c r="L102" i="24"/>
  <c r="M101" i="24" s="1"/>
  <c r="N100" i="24" s="1"/>
  <c r="M96" i="24"/>
  <c r="N95" i="24"/>
  <c r="D93" i="24"/>
  <c r="C93" i="24"/>
  <c r="B93" i="24"/>
  <c r="A93" i="24"/>
  <c r="L67" i="24"/>
  <c r="L62" i="24"/>
  <c r="L57" i="24"/>
  <c r="L52" i="24"/>
  <c r="E47" i="24"/>
  <c r="E48" i="24" s="1"/>
  <c r="E49" i="24" s="1"/>
  <c r="E50" i="24" s="1"/>
  <c r="E51" i="24" s="1"/>
  <c r="L46" i="24"/>
  <c r="M43" i="24" s="1"/>
  <c r="L38" i="24"/>
  <c r="E34" i="24"/>
  <c r="E35" i="24" s="1"/>
  <c r="D34" i="24"/>
  <c r="D35" i="24" s="1"/>
  <c r="C34" i="24"/>
  <c r="C35" i="24" s="1"/>
  <c r="B34" i="24"/>
  <c r="B35" i="24" s="1"/>
  <c r="A34" i="24"/>
  <c r="A35" i="24" s="1"/>
  <c r="L27" i="24"/>
  <c r="L22" i="24"/>
  <c r="L11" i="24"/>
  <c r="C384" i="7" l="1"/>
  <c r="C564" i="7"/>
  <c r="C638" i="27"/>
  <c r="C485" i="27"/>
  <c r="C416" i="7"/>
  <c r="C143" i="28"/>
  <c r="C250" i="7"/>
  <c r="C675" i="7"/>
  <c r="C193" i="7"/>
  <c r="C532" i="7"/>
  <c r="C453" i="7" s="1"/>
  <c r="C704" i="7"/>
  <c r="C610" i="7"/>
  <c r="C92" i="7"/>
  <c r="C349" i="7"/>
  <c r="C9" i="7"/>
  <c r="C234" i="3"/>
  <c r="C233" i="3" s="1"/>
  <c r="C453" i="3"/>
  <c r="C499" i="3"/>
  <c r="C498" i="3" s="1"/>
  <c r="C478" i="3"/>
  <c r="C474" i="3"/>
  <c r="C170" i="3"/>
  <c r="C484" i="3"/>
  <c r="C462" i="3"/>
  <c r="C459" i="4"/>
  <c r="C440" i="4" s="1"/>
  <c r="C429" i="4"/>
  <c r="C228" i="4"/>
  <c r="C111" i="4"/>
  <c r="C98" i="4"/>
  <c r="C139" i="4"/>
  <c r="C44" i="2"/>
  <c r="C54" i="2"/>
  <c r="C728" i="3"/>
  <c r="C753" i="3"/>
  <c r="C19" i="3"/>
  <c r="C12" i="3"/>
  <c r="C26" i="3"/>
  <c r="C63" i="1"/>
  <c r="C52" i="1" s="1"/>
  <c r="C34" i="1"/>
  <c r="C501" i="4"/>
  <c r="C492" i="4"/>
  <c r="C489" i="4" s="1"/>
  <c r="C531" i="4"/>
  <c r="C12" i="4"/>
  <c r="C19" i="4"/>
  <c r="C225" i="27"/>
  <c r="C311" i="27"/>
  <c r="C294" i="27"/>
  <c r="C336" i="27"/>
  <c r="C106" i="2"/>
  <c r="C67" i="28"/>
  <c r="C26" i="4"/>
  <c r="C511" i="4"/>
  <c r="C510" i="4" s="1"/>
  <c r="C534" i="4"/>
  <c r="C505" i="4"/>
  <c r="C156" i="2"/>
  <c r="C153" i="2" s="1"/>
  <c r="C72" i="28"/>
  <c r="C122" i="27"/>
  <c r="C136" i="27"/>
  <c r="O108" i="24"/>
  <c r="B8" i="21" s="1"/>
  <c r="N75" i="24"/>
  <c r="C543" i="4"/>
  <c r="C124" i="4"/>
  <c r="C546" i="4"/>
  <c r="C149" i="4"/>
  <c r="C113" i="28"/>
  <c r="C99" i="28" s="1"/>
  <c r="C53" i="28"/>
  <c r="C78" i="28"/>
  <c r="C43" i="28"/>
  <c r="C246" i="2"/>
  <c r="B6" i="21"/>
  <c r="O94" i="24"/>
  <c r="B7" i="21" s="1"/>
  <c r="M4" i="24"/>
  <c r="N3" i="24" s="1"/>
  <c r="B5" i="21" s="1"/>
  <c r="C296" i="7" l="1"/>
  <c r="C137" i="4"/>
  <c r="C96" i="4"/>
  <c r="C104" i="2"/>
  <c r="C105" i="27"/>
  <c r="C292" i="27"/>
  <c r="C34" i="28"/>
  <c r="C58" i="28"/>
  <c r="C9" i="29"/>
  <c r="C34" i="2"/>
  <c r="C195" i="27"/>
  <c r="C446" i="3"/>
  <c r="C473" i="3"/>
  <c r="C526" i="4"/>
  <c r="C540" i="4"/>
  <c r="C11" i="3"/>
  <c r="C11" i="4"/>
  <c r="C498" i="4"/>
  <c r="C487" i="4" s="1"/>
  <c r="O2" i="24"/>
  <c r="P1" i="24" s="1"/>
  <c r="C819" i="3"/>
  <c r="C524" i="4" l="1"/>
  <c r="C9" i="28"/>
  <c r="C9" i="2"/>
  <c r="C444" i="3"/>
  <c r="O26" i="9"/>
  <c r="E12" i="9"/>
  <c r="G12" i="9"/>
  <c r="H12" i="9"/>
  <c r="I12" i="9"/>
  <c r="J12" i="9"/>
  <c r="K12" i="9"/>
  <c r="B12" i="9"/>
  <c r="C741" i="3"/>
  <c r="C404" i="2"/>
  <c r="C390" i="2"/>
  <c r="C388" i="2"/>
  <c r="C387" i="2" l="1"/>
  <c r="C368" i="2" s="1"/>
  <c r="C75" i="1" l="1"/>
  <c r="C77" i="1"/>
  <c r="C388" i="3"/>
  <c r="C386" i="3"/>
  <c r="C382" i="3" l="1"/>
  <c r="C331" i="3" s="1"/>
  <c r="C74" i="1"/>
  <c r="C1430" i="7"/>
  <c r="C1401" i="7" s="1"/>
  <c r="C9" i="1" l="1"/>
  <c r="D12" i="9"/>
  <c r="F12" i="9"/>
  <c r="C12" i="9" l="1"/>
  <c r="C836" i="3"/>
  <c r="C835" i="3"/>
  <c r="C833" i="3" s="1"/>
  <c r="C165" i="19" l="1"/>
  <c r="C164" i="19" s="1"/>
  <c r="C1052" i="7"/>
  <c r="C993" i="7"/>
  <c r="C973" i="7"/>
  <c r="C957" i="7"/>
  <c r="C952" i="7"/>
  <c r="C1235" i="7"/>
  <c r="C1238" i="7"/>
  <c r="C1242" i="7"/>
  <c r="C1247" i="7"/>
  <c r="C1227" i="7"/>
  <c r="C1224" i="7"/>
  <c r="C1218" i="7"/>
  <c r="C1212" i="7"/>
  <c r="C1376" i="7"/>
  <c r="C1338" i="7"/>
  <c r="C1303" i="7"/>
  <c r="C1299" i="7"/>
  <c r="C860" i="7"/>
  <c r="C857" i="7"/>
  <c r="C844" i="7"/>
  <c r="C113" i="19" l="1"/>
  <c r="C9" i="19" s="1"/>
  <c r="C296" i="4"/>
  <c r="C281" i="4" s="1"/>
  <c r="C279" i="4" s="1"/>
  <c r="C251" i="4"/>
  <c r="C259" i="4"/>
  <c r="C37" i="4"/>
  <c r="C34" i="4" s="1"/>
  <c r="C9" i="4" l="1"/>
  <c r="C37" i="3"/>
  <c r="C34" i="3" s="1"/>
  <c r="C230" i="2"/>
  <c r="C232" i="2"/>
  <c r="C229" i="2" l="1"/>
  <c r="B6" i="22" l="1"/>
  <c r="C5" i="22"/>
  <c r="D5" i="22" s="1"/>
  <c r="B10" i="21" l="1"/>
  <c r="C7" i="21" s="1"/>
  <c r="C5" i="21" l="1"/>
  <c r="C9" i="21"/>
  <c r="C8" i="21"/>
  <c r="C6" i="21"/>
  <c r="C809" i="3" l="1"/>
  <c r="C808" i="3" s="1"/>
  <c r="C806" i="3" s="1"/>
  <c r="C740" i="3"/>
  <c r="C738" i="3" s="1"/>
  <c r="C628" i="3"/>
  <c r="C668" i="3"/>
  <c r="C667" i="3"/>
  <c r="C665" i="3" s="1"/>
  <c r="C769" i="3"/>
  <c r="C768" i="3" s="1"/>
  <c r="C766" i="3" s="1"/>
  <c r="C549" i="3"/>
  <c r="C547" i="3"/>
  <c r="C540" i="3"/>
  <c r="C538" i="3"/>
  <c r="C535" i="3"/>
  <c r="C533" i="3"/>
  <c r="C526" i="3"/>
  <c r="C524" i="3"/>
  <c r="C522" i="3"/>
  <c r="C520" i="3"/>
  <c r="C519" i="3" l="1"/>
  <c r="C629" i="3"/>
  <c r="C546" i="3"/>
  <c r="C532" i="3"/>
  <c r="C517" i="3" l="1"/>
  <c r="N25" i="9"/>
  <c r="C199" i="19" l="1"/>
  <c r="C197" i="19"/>
  <c r="C195" i="19"/>
  <c r="C190" i="19"/>
  <c r="C189" i="19" s="1"/>
  <c r="C186" i="19"/>
  <c r="C184" i="19"/>
  <c r="C123" i="16"/>
  <c r="C121" i="16"/>
  <c r="C119" i="16"/>
  <c r="C117" i="16"/>
  <c r="C115" i="16"/>
  <c r="C113" i="16"/>
  <c r="C93" i="16"/>
  <c r="C86" i="16" s="1"/>
  <c r="C34" i="16"/>
  <c r="C19" i="16" s="1"/>
  <c r="C17" i="16" s="1"/>
  <c r="C29" i="15"/>
  <c r="C27" i="15"/>
  <c r="C26" i="15" s="1"/>
  <c r="IM24" i="15"/>
  <c r="C22" i="15"/>
  <c r="C20" i="15"/>
  <c r="C16" i="15"/>
  <c r="C14" i="15"/>
  <c r="C33" i="13"/>
  <c r="C31" i="13"/>
  <c r="C30" i="13" s="1"/>
  <c r="C26" i="13"/>
  <c r="C24" i="13"/>
  <c r="C22" i="13"/>
  <c r="C18" i="13"/>
  <c r="C16" i="13"/>
  <c r="C14" i="13"/>
  <c r="C45" i="12"/>
  <c r="C43" i="12"/>
  <c r="C42" i="12" s="1"/>
  <c r="C35" i="12"/>
  <c r="C33" i="12"/>
  <c r="C31" i="12"/>
  <c r="C26" i="12"/>
  <c r="C24" i="12"/>
  <c r="C22" i="12"/>
  <c r="C15" i="12"/>
  <c r="C106" i="9"/>
  <c r="H98" i="9"/>
  <c r="I98" i="9" s="1"/>
  <c r="H96" i="9"/>
  <c r="H95" i="9"/>
  <c r="I94" i="9" s="1"/>
  <c r="H113" i="9" s="1"/>
  <c r="H92" i="9"/>
  <c r="C92" i="9"/>
  <c r="H91" i="9"/>
  <c r="I90" i="9" s="1"/>
  <c r="H107" i="9" s="1"/>
  <c r="H88" i="9"/>
  <c r="H87" i="9"/>
  <c r="I86" i="9" s="1"/>
  <c r="I80" i="9"/>
  <c r="H80" i="9"/>
  <c r="G80" i="9"/>
  <c r="D80" i="9"/>
  <c r="B80" i="9"/>
  <c r="E78" i="9"/>
  <c r="C78" i="9"/>
  <c r="F78" i="9" s="1"/>
  <c r="E77" i="9"/>
  <c r="C77" i="9"/>
  <c r="F77" i="9" s="1"/>
  <c r="E76" i="9"/>
  <c r="C76" i="9"/>
  <c r="F76" i="9" s="1"/>
  <c r="E75" i="9"/>
  <c r="C75" i="9"/>
  <c r="F75" i="9" s="1"/>
  <c r="E74" i="9"/>
  <c r="C74" i="9"/>
  <c r="F74" i="9" s="1"/>
  <c r="E73" i="9"/>
  <c r="C73" i="9"/>
  <c r="F73" i="9" s="1"/>
  <c r="E72" i="9"/>
  <c r="C72" i="9"/>
  <c r="F72" i="9" s="1"/>
  <c r="E71" i="9"/>
  <c r="C71" i="9"/>
  <c r="F71" i="9" s="1"/>
  <c r="E70" i="9"/>
  <c r="C70" i="9"/>
  <c r="F70" i="9" s="1"/>
  <c r="E69" i="9"/>
  <c r="C69" i="9"/>
  <c r="F69" i="9" s="1"/>
  <c r="E68" i="9"/>
  <c r="C68" i="9"/>
  <c r="F68" i="9" s="1"/>
  <c r="I63" i="9"/>
  <c r="H63" i="9"/>
  <c r="G63" i="9"/>
  <c r="F63" i="9"/>
  <c r="D63" i="9"/>
  <c r="J61" i="9"/>
  <c r="K61" i="9" s="1"/>
  <c r="J60" i="9"/>
  <c r="K60" i="9" s="1"/>
  <c r="J59" i="9"/>
  <c r="K59" i="9" s="1"/>
  <c r="J58" i="9"/>
  <c r="K58" i="9" s="1"/>
  <c r="J57" i="9"/>
  <c r="K57" i="9" s="1"/>
  <c r="E57" i="9"/>
  <c r="E63" i="9" s="1"/>
  <c r="C57" i="9"/>
  <c r="C63" i="9" s="1"/>
  <c r="J56" i="9"/>
  <c r="K56" i="9" s="1"/>
  <c r="J55" i="9"/>
  <c r="K55" i="9" s="1"/>
  <c r="J54" i="9"/>
  <c r="K54" i="9" s="1"/>
  <c r="J53" i="9"/>
  <c r="K53" i="9" s="1"/>
  <c r="J52" i="9"/>
  <c r="J51" i="9"/>
  <c r="K51" i="9" s="1"/>
  <c r="G44" i="9"/>
  <c r="C44" i="9"/>
  <c r="B44" i="9"/>
  <c r="L42" i="9"/>
  <c r="I42" i="9"/>
  <c r="H42" i="9"/>
  <c r="E42" i="9"/>
  <c r="F42" i="9" s="1"/>
  <c r="D42" i="9"/>
  <c r="H41" i="9"/>
  <c r="E41" i="9"/>
  <c r="D41" i="9"/>
  <c r="I36" i="9"/>
  <c r="G36" i="9"/>
  <c r="E36" i="9"/>
  <c r="C36" i="9"/>
  <c r="C37" i="9" s="1"/>
  <c r="B36" i="9"/>
  <c r="I35" i="9"/>
  <c r="L35" i="9" s="1"/>
  <c r="H35" i="9"/>
  <c r="F35" i="9"/>
  <c r="D35" i="9"/>
  <c r="K34" i="9"/>
  <c r="K37" i="9" s="1"/>
  <c r="G34" i="9"/>
  <c r="H34" i="9" s="1"/>
  <c r="F34" i="9"/>
  <c r="B34" i="9"/>
  <c r="D34" i="9" s="1"/>
  <c r="P28" i="9"/>
  <c r="O29" i="9"/>
  <c r="Q29" i="9" s="1"/>
  <c r="R25" i="9"/>
  <c r="P25" i="9"/>
  <c r="K24" i="9"/>
  <c r="J24" i="9"/>
  <c r="I24" i="9"/>
  <c r="H24" i="9"/>
  <c r="G24" i="9"/>
  <c r="E24" i="9"/>
  <c r="B24" i="9"/>
  <c r="L23" i="9"/>
  <c r="L22" i="9"/>
  <c r="R22" i="9" s="1"/>
  <c r="L21" i="9"/>
  <c r="R21" i="9" s="1"/>
  <c r="K20" i="9"/>
  <c r="J20" i="9"/>
  <c r="I20" i="9"/>
  <c r="H20" i="9"/>
  <c r="G20" i="9"/>
  <c r="E20" i="9"/>
  <c r="B20" i="9"/>
  <c r="K19" i="9"/>
  <c r="J19" i="9"/>
  <c r="I19" i="9"/>
  <c r="H19" i="9"/>
  <c r="G19" i="9"/>
  <c r="E19" i="9"/>
  <c r="B19" i="9"/>
  <c r="K18" i="9"/>
  <c r="J18" i="9"/>
  <c r="I18" i="9"/>
  <c r="H18" i="9"/>
  <c r="G18" i="9"/>
  <c r="E18" i="9"/>
  <c r="B18" i="9"/>
  <c r="K17" i="9"/>
  <c r="J17" i="9"/>
  <c r="I17" i="9"/>
  <c r="H17" i="9"/>
  <c r="G17" i="9"/>
  <c r="E17" i="9"/>
  <c r="B17" i="9"/>
  <c r="K16" i="9"/>
  <c r="J16" i="9"/>
  <c r="H16" i="9"/>
  <c r="G16" i="9"/>
  <c r="E16" i="9"/>
  <c r="K15" i="9"/>
  <c r="J15" i="9"/>
  <c r="H15" i="9"/>
  <c r="G15" i="9"/>
  <c r="E15" i="9"/>
  <c r="K14" i="9"/>
  <c r="J14" i="9"/>
  <c r="I14" i="9"/>
  <c r="H14" i="9"/>
  <c r="G14" i="9"/>
  <c r="K13" i="9"/>
  <c r="J13" i="9"/>
  <c r="I13" i="9"/>
  <c r="H13" i="9"/>
  <c r="G13" i="9"/>
  <c r="E13" i="9"/>
  <c r="K11" i="9"/>
  <c r="J11" i="9"/>
  <c r="I11" i="9"/>
  <c r="H11" i="9"/>
  <c r="G11" i="9"/>
  <c r="K10" i="9"/>
  <c r="J10" i="9"/>
  <c r="I10" i="9"/>
  <c r="H10" i="9"/>
  <c r="G10" i="9"/>
  <c r="K9" i="9"/>
  <c r="J9" i="9"/>
  <c r="I9" i="9"/>
  <c r="H9" i="9"/>
  <c r="G9" i="9"/>
  <c r="H8" i="9"/>
  <c r="G8" i="9"/>
  <c r="E8" i="9"/>
  <c r="K7" i="9"/>
  <c r="J7" i="9"/>
  <c r="I7" i="9"/>
  <c r="H7" i="9"/>
  <c r="K6" i="9"/>
  <c r="J6" i="9"/>
  <c r="I6" i="9"/>
  <c r="H6" i="9"/>
  <c r="G6" i="9"/>
  <c r="K5" i="9"/>
  <c r="J5" i="9"/>
  <c r="I5" i="9"/>
  <c r="H5" i="9"/>
  <c r="L4" i="9"/>
  <c r="C1192" i="7"/>
  <c r="C1191" i="7" s="1"/>
  <c r="C1184" i="7"/>
  <c r="C1182" i="7"/>
  <c r="C1180" i="7"/>
  <c r="C1178" i="7"/>
  <c r="C1173" i="7"/>
  <c r="C1171" i="7"/>
  <c r="C1169" i="7"/>
  <c r="C1167" i="7"/>
  <c r="C1165" i="7"/>
  <c r="C1163" i="7"/>
  <c r="C1087" i="7"/>
  <c r="C1069" i="7"/>
  <c r="C1068" i="7" s="1"/>
  <c r="C1046" i="7"/>
  <c r="C1045" i="7" s="1"/>
  <c r="C963" i="7"/>
  <c r="C946" i="7"/>
  <c r="C1150" i="7"/>
  <c r="C1145" i="7" s="1"/>
  <c r="C1132" i="7"/>
  <c r="C1131" i="7" s="1"/>
  <c r="C1115" i="7"/>
  <c r="C1114" i="7" s="1"/>
  <c r="C1032" i="7"/>
  <c r="C1014" i="7"/>
  <c r="C989" i="7"/>
  <c r="C988" i="7" s="1"/>
  <c r="C1361" i="7"/>
  <c r="C1360" i="7" s="1"/>
  <c r="C1333" i="7"/>
  <c r="C1332" i="7" s="1"/>
  <c r="C1321" i="7"/>
  <c r="C1315" i="7" s="1"/>
  <c r="C1297" i="7"/>
  <c r="C1296" i="7" s="1"/>
  <c r="C1272" i="7"/>
  <c r="C1271" i="7" s="1"/>
  <c r="C842" i="7"/>
  <c r="C841" i="7" s="1"/>
  <c r="C426" i="4"/>
  <c r="C420" i="4"/>
  <c r="C416" i="4"/>
  <c r="C410" i="4" s="1"/>
  <c r="C403" i="4"/>
  <c r="C401" i="4"/>
  <c r="C377" i="4"/>
  <c r="C376" i="4" s="1"/>
  <c r="C336" i="4" s="1"/>
  <c r="C269" i="4"/>
  <c r="C265" i="4"/>
  <c r="C249" i="4"/>
  <c r="C248" i="4" s="1"/>
  <c r="C216" i="4"/>
  <c r="C211" i="4" s="1"/>
  <c r="C167" i="4"/>
  <c r="C166" i="4" s="1"/>
  <c r="C796" i="3"/>
  <c r="C794" i="3" s="1"/>
  <c r="C565" i="3"/>
  <c r="C564" i="3" s="1"/>
  <c r="C562" i="3" s="1"/>
  <c r="C752" i="3"/>
  <c r="C750" i="3" s="1"/>
  <c r="C727" i="3"/>
  <c r="C725" i="3" s="1"/>
  <c r="C715" i="3"/>
  <c r="C713" i="3" s="1"/>
  <c r="C703" i="3"/>
  <c r="C701" i="3"/>
  <c r="C696" i="3"/>
  <c r="C693" i="3"/>
  <c r="C688" i="3"/>
  <c r="C681" i="3"/>
  <c r="C230" i="3"/>
  <c r="C229" i="3" s="1"/>
  <c r="C168" i="3" s="1"/>
  <c r="C284" i="3"/>
  <c r="C282" i="3"/>
  <c r="C280" i="3"/>
  <c r="C321" i="3"/>
  <c r="C319" i="3"/>
  <c r="C115" i="3"/>
  <c r="C113" i="3"/>
  <c r="C73" i="3"/>
  <c r="C70" i="3"/>
  <c r="C262" i="2"/>
  <c r="C257" i="2" s="1"/>
  <c r="C227" i="2" s="1"/>
  <c r="C217" i="2"/>
  <c r="C211" i="2" s="1"/>
  <c r="C117" i="1"/>
  <c r="C115" i="1" s="1"/>
  <c r="C114" i="1" s="1"/>
  <c r="C108" i="1"/>
  <c r="C106" i="1"/>
  <c r="C104" i="1"/>
  <c r="C98" i="1"/>
  <c r="C94" i="1"/>
  <c r="C92" i="1"/>
  <c r="C90" i="1"/>
  <c r="C19" i="15" l="1"/>
  <c r="C13" i="15"/>
  <c r="C21" i="13"/>
  <c r="C13" i="13"/>
  <c r="C11" i="13" s="1"/>
  <c r="C14" i="12"/>
  <c r="C164" i="4"/>
  <c r="C678" i="3"/>
  <c r="C839" i="7"/>
  <c r="C1330" i="7"/>
  <c r="C1269" i="7"/>
  <c r="C1112" i="7"/>
  <c r="C89" i="1"/>
  <c r="C112" i="16"/>
  <c r="C110" i="16" s="1"/>
  <c r="C1162" i="7"/>
  <c r="C97" i="1"/>
  <c r="C264" i="4"/>
  <c r="C409" i="4"/>
  <c r="C395" i="4"/>
  <c r="E9" i="9"/>
  <c r="F17" i="9"/>
  <c r="K8" i="9"/>
  <c r="K26" i="9" s="1"/>
  <c r="C1031" i="7"/>
  <c r="G64" i="9"/>
  <c r="G5" i="9"/>
  <c r="N23" i="9"/>
  <c r="R23" i="9"/>
  <c r="C19" i="11"/>
  <c r="H36" i="9"/>
  <c r="J42" i="9"/>
  <c r="J36" i="9"/>
  <c r="E44" i="9"/>
  <c r="F45" i="9" s="1"/>
  <c r="E64" i="9"/>
  <c r="C154" i="3"/>
  <c r="C125" i="3" s="1"/>
  <c r="C69" i="3"/>
  <c r="C112" i="3"/>
  <c r="C680" i="3"/>
  <c r="C307" i="3"/>
  <c r="J28" i="9"/>
  <c r="C262" i="3"/>
  <c r="C692" i="3"/>
  <c r="G37" i="9"/>
  <c r="M42" i="9"/>
  <c r="C318" i="3"/>
  <c r="B37" i="9"/>
  <c r="D38" i="9" s="1"/>
  <c r="F18" i="9"/>
  <c r="D17" i="9"/>
  <c r="B11" i="9"/>
  <c r="C18" i="9"/>
  <c r="D81" i="9"/>
  <c r="C13" i="11"/>
  <c r="D18" i="9"/>
  <c r="C17" i="9"/>
  <c r="C945" i="7"/>
  <c r="C1177" i="7"/>
  <c r="D37" i="9"/>
  <c r="N22" i="9"/>
  <c r="C1086" i="7"/>
  <c r="C1042" i="7" s="1"/>
  <c r="J35" i="9"/>
  <c r="D36" i="9"/>
  <c r="F64" i="9"/>
  <c r="J81" i="9"/>
  <c r="C183" i="19"/>
  <c r="F36" i="9"/>
  <c r="E80" i="9"/>
  <c r="E81" i="9" s="1"/>
  <c r="K81" i="9"/>
  <c r="C26" i="11"/>
  <c r="C16" i="17"/>
  <c r="C96" i="3"/>
  <c r="C198" i="2"/>
  <c r="C174" i="2" s="1"/>
  <c r="C962" i="7"/>
  <c r="N21" i="9"/>
  <c r="I34" i="9"/>
  <c r="J34" i="9" s="1"/>
  <c r="C194" i="19"/>
  <c r="P23" i="9"/>
  <c r="P22" i="9"/>
  <c r="P21" i="9"/>
  <c r="C1204" i="7"/>
  <c r="C1234" i="7"/>
  <c r="C30" i="12"/>
  <c r="C279" i="3"/>
  <c r="P4" i="9"/>
  <c r="N4" i="9"/>
  <c r="L41" i="9"/>
  <c r="H44" i="9"/>
  <c r="H45" i="9"/>
  <c r="R4" i="9"/>
  <c r="C1013" i="7"/>
  <c r="J63" i="9"/>
  <c r="K52" i="9"/>
  <c r="D64" i="9"/>
  <c r="C80" i="9"/>
  <c r="H26" i="9"/>
  <c r="I64" i="9"/>
  <c r="J64" i="9"/>
  <c r="I84" i="9"/>
  <c r="H102" i="9"/>
  <c r="L36" i="9"/>
  <c r="E37" i="9"/>
  <c r="F41" i="9"/>
  <c r="C87" i="1" l="1"/>
  <c r="C12" i="12"/>
  <c r="C14" i="17"/>
  <c r="C11" i="15"/>
  <c r="C11" i="11"/>
  <c r="C986" i="7"/>
  <c r="C393" i="4"/>
  <c r="C226" i="4"/>
  <c r="C249" i="3"/>
  <c r="C9" i="3"/>
  <c r="C83" i="3"/>
  <c r="C294" i="3"/>
  <c r="C1202" i="7"/>
  <c r="C943" i="7"/>
  <c r="C902" i="7" s="1"/>
  <c r="C1160" i="7"/>
  <c r="F24" i="9"/>
  <c r="D24" i="9"/>
  <c r="C24" i="9"/>
  <c r="D16" i="9"/>
  <c r="F16" i="9"/>
  <c r="B15" i="9"/>
  <c r="D19" i="9"/>
  <c r="F19" i="9"/>
  <c r="C19" i="9"/>
  <c r="F11" i="9"/>
  <c r="F9" i="9"/>
  <c r="F7" i="9"/>
  <c r="I8" i="9"/>
  <c r="I26" i="9" s="1"/>
  <c r="D99" i="9" s="1"/>
  <c r="B16" i="9"/>
  <c r="J8" i="9"/>
  <c r="J26" i="9" s="1"/>
  <c r="C96" i="9" s="1"/>
  <c r="E7" i="9"/>
  <c r="E11" i="9"/>
  <c r="E6" i="9"/>
  <c r="B14" i="9"/>
  <c r="F20" i="9"/>
  <c r="D20" i="9"/>
  <c r="C20" i="9"/>
  <c r="D5" i="9"/>
  <c r="F5" i="9"/>
  <c r="F44" i="9"/>
  <c r="B5" i="9"/>
  <c r="B10" i="9"/>
  <c r="L17" i="9"/>
  <c r="P17" i="9" s="1"/>
  <c r="C16" i="9"/>
  <c r="L24" i="9"/>
  <c r="P24" i="9" s="1"/>
  <c r="L18" i="9"/>
  <c r="N18" i="9" s="1"/>
  <c r="C181" i="19"/>
  <c r="D13" i="9"/>
  <c r="F14" i="9"/>
  <c r="C13" i="9"/>
  <c r="L34" i="9"/>
  <c r="I37" i="9"/>
  <c r="I38" i="9" s="1"/>
  <c r="D8" i="9"/>
  <c r="L19" i="9"/>
  <c r="N19" i="9" s="1"/>
  <c r="B6" i="9"/>
  <c r="E14" i="9"/>
  <c r="D14" i="9"/>
  <c r="C14" i="9"/>
  <c r="F15" i="9"/>
  <c r="D15" i="9"/>
  <c r="C15" i="9"/>
  <c r="I107" i="9"/>
  <c r="B13" i="9"/>
  <c r="J65" i="9"/>
  <c r="K64" i="9"/>
  <c r="C90" i="9"/>
  <c r="F37" i="9"/>
  <c r="E38" i="9"/>
  <c r="B113" i="9"/>
  <c r="C103" i="9"/>
  <c r="F80" i="9"/>
  <c r="F81" i="9" s="1"/>
  <c r="D82" i="9"/>
  <c r="H37" i="9"/>
  <c r="G38" i="9"/>
  <c r="F13" i="9"/>
  <c r="B8" i="9"/>
  <c r="C8" i="9"/>
  <c r="C91" i="9"/>
  <c r="M41" i="9"/>
  <c r="L44" i="9"/>
  <c r="I15" i="9" l="1"/>
  <c r="E10" i="9"/>
  <c r="R18" i="9"/>
  <c r="F8" i="9"/>
  <c r="L8" i="9" s="1"/>
  <c r="C29" i="21" s="1"/>
  <c r="D11" i="9"/>
  <c r="D9" i="9"/>
  <c r="B9" i="9"/>
  <c r="G7" i="9"/>
  <c r="C95" i="9" s="1"/>
  <c r="D7" i="9"/>
  <c r="B7" i="9"/>
  <c r="F6" i="9"/>
  <c r="L20" i="9"/>
  <c r="N20" i="9" s="1"/>
  <c r="F10" i="9"/>
  <c r="C10" i="9"/>
  <c r="P18" i="9"/>
  <c r="L16" i="9"/>
  <c r="N16" i="9" s="1"/>
  <c r="N24" i="9"/>
  <c r="R24" i="9"/>
  <c r="N17" i="9"/>
  <c r="R17" i="9"/>
  <c r="J37" i="9"/>
  <c r="L15" i="9"/>
  <c r="N15" i="9" s="1"/>
  <c r="L12" i="9"/>
  <c r="K38" i="9"/>
  <c r="L37" i="9"/>
  <c r="L13" i="9"/>
  <c r="N13" i="9" s="1"/>
  <c r="P19" i="9"/>
  <c r="R19" i="9"/>
  <c r="L14" i="9"/>
  <c r="H116" i="9"/>
  <c r="C111" i="9"/>
  <c r="C113" i="9"/>
  <c r="D10" i="9"/>
  <c r="C9" i="9"/>
  <c r="C6" i="9"/>
  <c r="C11" i="9"/>
  <c r="M45" i="9"/>
  <c r="M44" i="9"/>
  <c r="I16" i="9" l="1"/>
  <c r="C31" i="21"/>
  <c r="L11" i="9"/>
  <c r="C23" i="21" s="1"/>
  <c r="L9" i="9"/>
  <c r="C26" i="21" s="1"/>
  <c r="B26" i="9"/>
  <c r="B122" i="9" s="1"/>
  <c r="G26" i="9"/>
  <c r="F26" i="9"/>
  <c r="C97" i="9" s="1"/>
  <c r="D94" i="9" s="1"/>
  <c r="H108" i="9" s="1"/>
  <c r="N12" i="9"/>
  <c r="C28" i="21"/>
  <c r="P20" i="9"/>
  <c r="R20" i="9"/>
  <c r="L10" i="9"/>
  <c r="P16" i="9"/>
  <c r="R16" i="9"/>
  <c r="P15" i="9"/>
  <c r="R15" i="9"/>
  <c r="P13" i="9"/>
  <c r="R14" i="9"/>
  <c r="N14" i="9"/>
  <c r="R13" i="9"/>
  <c r="P14" i="9"/>
  <c r="R8" i="9"/>
  <c r="P8" i="9"/>
  <c r="N8" i="9"/>
  <c r="P11" i="9" l="1"/>
  <c r="N11" i="9"/>
  <c r="R11" i="9"/>
  <c r="C86" i="9"/>
  <c r="N9" i="9"/>
  <c r="P9" i="9"/>
  <c r="R9" i="9"/>
  <c r="P10" i="9"/>
  <c r="C24" i="21"/>
  <c r="R10" i="9"/>
  <c r="N10" i="9"/>
  <c r="C5" i="9" l="1"/>
  <c r="E5" i="9" l="1"/>
  <c r="E26" i="9" l="1"/>
  <c r="L5" i="9"/>
  <c r="C30" i="21" s="1"/>
  <c r="R5" i="9" l="1"/>
  <c r="N5" i="9"/>
  <c r="C89" i="9"/>
  <c r="D6" i="9" l="1"/>
  <c r="L6" i="9" l="1"/>
  <c r="C27" i="21" s="1"/>
  <c r="D26" i="9"/>
  <c r="C88" i="9" l="1"/>
  <c r="N6" i="9"/>
  <c r="R6" i="9"/>
  <c r="P6" i="9"/>
  <c r="C7" i="9" l="1"/>
  <c r="L7" i="9" l="1"/>
  <c r="C25" i="21" s="1"/>
  <c r="C32" i="21" s="1"/>
  <c r="C26" i="9"/>
  <c r="J30" i="9" l="1"/>
  <c r="C87" i="9"/>
  <c r="D85" i="9" s="1"/>
  <c r="N7" i="9"/>
  <c r="L26" i="9"/>
  <c r="Q1" i="24" s="1"/>
  <c r="R1" i="24" s="1"/>
  <c r="R7" i="9"/>
  <c r="P7" i="9"/>
  <c r="C27" i="9" l="1"/>
  <c r="M7" i="9"/>
  <c r="B114" i="9"/>
  <c r="B115" i="9" s="1"/>
  <c r="H103" i="9"/>
  <c r="H105" i="9" s="1"/>
  <c r="H109" i="9" s="1"/>
  <c r="I110" i="9" s="1"/>
  <c r="D84" i="9"/>
  <c r="M12" i="9"/>
  <c r="K27" i="9"/>
  <c r="M10" i="9"/>
  <c r="F27" i="9"/>
  <c r="O27" i="9"/>
  <c r="B27" i="9"/>
  <c r="M14" i="9"/>
  <c r="L30" i="9"/>
  <c r="M13" i="9"/>
  <c r="I27" i="9"/>
  <c r="E27" i="9"/>
  <c r="G27" i="9"/>
  <c r="M19" i="9"/>
  <c r="M11" i="9"/>
  <c r="M8" i="9"/>
  <c r="M17" i="9"/>
  <c r="M18" i="9"/>
  <c r="M4" i="9"/>
  <c r="J27" i="9"/>
  <c r="D27" i="9"/>
  <c r="M6" i="9"/>
  <c r="M9" i="9"/>
  <c r="M16" i="9"/>
  <c r="M15" i="9"/>
  <c r="J31" i="9"/>
  <c r="L29" i="9"/>
  <c r="P26" i="9"/>
  <c r="M5" i="9"/>
  <c r="H27" i="9"/>
  <c r="Q30" i="9" l="1"/>
  <c r="I29" i="9"/>
  <c r="L27" i="9"/>
  <c r="J84" i="9"/>
  <c r="C102" i="9"/>
  <c r="H31" i="9"/>
  <c r="M24" i="9"/>
  <c r="P29" i="9"/>
  <c r="I41" i="9"/>
  <c r="M20" i="9"/>
  <c r="N29" i="9"/>
  <c r="C4" i="22"/>
  <c r="N32" i="9"/>
  <c r="M26" i="9" l="1"/>
  <c r="C6" i="22"/>
  <c r="D6" i="22" s="1"/>
  <c r="D4" i="22"/>
  <c r="J41" i="9"/>
  <c r="I44" i="9"/>
  <c r="C112" i="9"/>
  <c r="C114" i="9" s="1"/>
  <c r="C104" i="9"/>
  <c r="J45" i="9" l="1"/>
  <c r="J44" i="9"/>
</calcChain>
</file>

<file path=xl/sharedStrings.xml><?xml version="1.0" encoding="utf-8"?>
<sst xmlns="http://schemas.openxmlformats.org/spreadsheetml/2006/main" count="7398" uniqueCount="998">
  <si>
    <t>DURACIÓN ESTIMADA: 12 meses.</t>
  </si>
  <si>
    <t>COSTO TOTAL DEL PROGRAMA:</t>
  </si>
  <si>
    <t>PERSONAL</t>
  </si>
  <si>
    <t>BS. CONSUM.</t>
  </si>
  <si>
    <t>SERVICIOS</t>
  </si>
  <si>
    <t>TRANSFER.</t>
  </si>
  <si>
    <t>BS.CAPITAL</t>
  </si>
  <si>
    <t>TRABAJO PUB.</t>
  </si>
  <si>
    <t xml:space="preserve"> </t>
  </si>
  <si>
    <t>BIENES DE CONSUMO</t>
  </si>
  <si>
    <t>Racionamiento, Alimentos y Productos Alimenticios para Personas</t>
  </si>
  <si>
    <t>Útiles e Insumos de Oficina y Enseñanza</t>
  </si>
  <si>
    <t>Útiles, Artículos de Librería, Insumos Informáticos</t>
  </si>
  <si>
    <t>Repuestos, Accesorios, Herramientas Menores y Otros</t>
  </si>
  <si>
    <t>Repuestos y Accesorios Rodados</t>
  </si>
  <si>
    <t>2.1.1.2.08.</t>
  </si>
  <si>
    <t>Materiales Conservación y/o Construcción</t>
  </si>
  <si>
    <t>2.1.1.2.08.01</t>
  </si>
  <si>
    <t>Materiales Conservación Inmuebles</t>
  </si>
  <si>
    <t>2.1.1.2.08.05</t>
  </si>
  <si>
    <t>Materiales Conservaciones Varias</t>
  </si>
  <si>
    <t>2.1.1.2.09.</t>
  </si>
  <si>
    <t xml:space="preserve">Bienes de Consumo Varios </t>
  </si>
  <si>
    <t>2.1.1.2.09.01</t>
  </si>
  <si>
    <t>Elementos de Limpieza e Higiene</t>
  </si>
  <si>
    <t>2.1.1.3.02.</t>
  </si>
  <si>
    <t>Alquileres y Derechos</t>
  </si>
  <si>
    <t>2.1.1.3.02.04</t>
  </si>
  <si>
    <t>Alquileres Varios</t>
  </si>
  <si>
    <t>2.1.1.3.03.</t>
  </si>
  <si>
    <t>Servicios de Mantenimiento, Reparación y Limpieza</t>
  </si>
  <si>
    <t>2.1.1.3.03.01</t>
  </si>
  <si>
    <t>2.1.1.3.03.06</t>
  </si>
  <si>
    <t>2.1.1.3.03.07</t>
  </si>
  <si>
    <t>Mantenimiento y Reparaciones Varias</t>
  </si>
  <si>
    <t>2.1.1.3.05.</t>
  </si>
  <si>
    <t>Servicios Técnicos y Profesionales</t>
  </si>
  <si>
    <t>Capacitación/es y Cursos del Personal</t>
  </si>
  <si>
    <t>Honorarios por Servicios Técnicos y Profesionales</t>
  </si>
  <si>
    <t>Servicios Comerciales y Financieros</t>
  </si>
  <si>
    <t>2.1.1.3.09.</t>
  </si>
  <si>
    <t>Locaciones y Contrataciones Varias</t>
  </si>
  <si>
    <t>2.1.1.3.09.01</t>
  </si>
  <si>
    <t>2.1.1.3.09.08</t>
  </si>
  <si>
    <t>Otros Servicios</t>
  </si>
  <si>
    <t>TRANSFERENCIAS</t>
  </si>
  <si>
    <t>Transferencias al Sector Privado</t>
  </si>
  <si>
    <t xml:space="preserve">Subsidios a Entregar  </t>
  </si>
  <si>
    <t>BIENES DE CAPITAL</t>
  </si>
  <si>
    <t>Muebles, Equipos de Oficina, Comunicación, Educacional y Recreativo</t>
  </si>
  <si>
    <t>Otros Bienes de Capital no Especificados</t>
  </si>
  <si>
    <t xml:space="preserve">PROGRAMA: TECNOLOGÍAS Y COMUNICACIONES </t>
  </si>
  <si>
    <t>2.1.1.2.08.03</t>
  </si>
  <si>
    <t>Materiales de Electricidad</t>
  </si>
  <si>
    <t>Bienes de Consumo Varios</t>
  </si>
  <si>
    <t xml:space="preserve">2.1.1.2.09.06        </t>
  </si>
  <si>
    <t>Servicios Básicos</t>
  </si>
  <si>
    <t>Muebles y Equipos de Oficina</t>
  </si>
  <si>
    <t>Equipos de Computación, Software y Licencias de Computación</t>
  </si>
  <si>
    <t>DURACION ESTIMADA: 12 meses.</t>
  </si>
  <si>
    <t>COSTO TOTAL PROGRAMA:</t>
  </si>
  <si>
    <t xml:space="preserve">2.1.1.3.05.02       </t>
  </si>
  <si>
    <t xml:space="preserve">2.1.1.3.09.01       </t>
  </si>
  <si>
    <t>TRABAJO PÚBLICO</t>
  </si>
  <si>
    <t>Construcción Bienes de Dominio Privado</t>
  </si>
  <si>
    <t>Otros Bienes de Capital</t>
  </si>
  <si>
    <t>COSTO TOTAL DEL SUBPROGRAMA:</t>
  </si>
  <si>
    <t>Textiles y Vestuarios</t>
  </si>
  <si>
    <t>Confecciones Textiles</t>
  </si>
  <si>
    <t>2.1.1.2.08.06</t>
  </si>
  <si>
    <t>Estructuras Metálicas Acabadas</t>
  </si>
  <si>
    <t>Limpieza, Aseo y Fumigación</t>
  </si>
  <si>
    <t>Primas y Gastos de Seguros</t>
  </si>
  <si>
    <t>Cubiertas y Cámaras de Aire</t>
  </si>
  <si>
    <t xml:space="preserve">Mantenimiento y Reparación de Rodados </t>
  </si>
  <si>
    <t>Equipos y Maquinarias, Herramientas y Repuestos Mayores</t>
  </si>
  <si>
    <t xml:space="preserve">Equipos y Aparatos de Seguridad </t>
  </si>
  <si>
    <t>UNIDAD EJECUTORA: Secretaría de Gobierno, Seguridad Ciudadana y Asuntos Legales.</t>
  </si>
  <si>
    <t>COSTO TOTAL PROGRAMA</t>
  </si>
  <si>
    <t>PLAN HABIT.</t>
  </si>
  <si>
    <t>AMORT. DEUDA</t>
  </si>
  <si>
    <t>NO CLASIF.</t>
  </si>
  <si>
    <t>UNIDAD EJECUTORA: Asesoría Letrada - Coordinación Legal y Técnica</t>
  </si>
  <si>
    <t>Indumentaria y Accesorios de Seguridad Laboral</t>
  </si>
  <si>
    <t>Productos Farmacéuticos y Medicinales</t>
  </si>
  <si>
    <t>Descartables, Material de Cirugía y Curación</t>
  </si>
  <si>
    <t>Equipo e Instrumental Médico-Sanitario y de Laboratorio</t>
  </si>
  <si>
    <t>PROGRAMA: HABILITACIONES, CONTROL Y APLICACIONES DE NORMAS DE SEGURIDAD E HIGIENE</t>
  </si>
  <si>
    <t>2.1.1.3.03.05</t>
  </si>
  <si>
    <t>Mantenimiento y Reparación de Equipos y Maquinarias</t>
  </si>
  <si>
    <t>2.1.1.2.08.02</t>
  </si>
  <si>
    <t>Materiales Conservación Calles</t>
  </si>
  <si>
    <t>COSTO TOTAL SUBPROGRAMA:</t>
  </si>
  <si>
    <t>PROGRAMA: GESTIÓN DE RIESGO Y DEFENSA CIVIL</t>
  </si>
  <si>
    <t>2.1.1.2.08.04</t>
  </si>
  <si>
    <t>Materiales de Construcción</t>
  </si>
  <si>
    <t>2.1.1.3.02.02</t>
  </si>
  <si>
    <t>Alquileres de Maquinaria, Equipos y Medios de Transporte</t>
  </si>
  <si>
    <t>Mantenimiento y Reparaciones de Inmuebles</t>
  </si>
  <si>
    <t>PLAN DE OBRAS Y TRABAJOS PÚBLICOS</t>
  </si>
  <si>
    <t>COSTO TOTAL SUBPROGRAMA</t>
  </si>
  <si>
    <t>Ampliación y/o Mejora de Inmuebles Municipal</t>
  </si>
  <si>
    <t>DURACION ESTIMADA: 6 meses</t>
  </si>
  <si>
    <t>Energía Eléctrica</t>
  </si>
  <si>
    <t>PROGRAMA: CENTRO ESTADÍSTICO Y MEDICIÓN DEL DESEMPEÑO</t>
  </si>
  <si>
    <t xml:space="preserve">                                               BIENES DE CONSUMO</t>
  </si>
  <si>
    <t>PROGRAMA: INVERSIONES, APLICACIONES Y OTRAS PREVISIONES FINANCIERAS</t>
  </si>
  <si>
    <t>PARTICIPACIONES DE CAPITAL Y ACTIVOS FINANCIEROS</t>
  </si>
  <si>
    <t>AMORTIZACIÓN DE LA DEUDA</t>
  </si>
  <si>
    <t>NO CLASIFICADOS</t>
  </si>
  <si>
    <t>COSTO TOTAL DEL PROGRAMA</t>
  </si>
  <si>
    <t>SUBPROGRAMA: ABORDAJE INTEGRAL DE POLITICAS CONTRA LAS VIOLENCIAS POR RAZONES DE GÉNEROS</t>
  </si>
  <si>
    <t>SUBPROGRAMA: OBSERVATORIO DE VIOLENCIAS Y DESIGUALDADES POR MOTIVO DE GÉNERO</t>
  </si>
  <si>
    <t>UNIDAD EJECUTORA: Secretaría de Salud.</t>
  </si>
  <si>
    <t>Productos Alimenticios, Agropecuarios y Agroforestales</t>
  </si>
  <si>
    <t>Servicios de Mantenimiento, Reparaciones y Limpieza</t>
  </si>
  <si>
    <t>Compuestos y Productos Químicos de Uso Medicinal, Farmacéutico y de Laboratorio</t>
  </si>
  <si>
    <t>Útiles, Insumos e Instrumental Menor Médico, Quirúrgico y de Laboratorio</t>
  </si>
  <si>
    <t xml:space="preserve">Otros Bienes de Capital   </t>
  </si>
  <si>
    <t>PROGRAMA: FOMENTO DE LAS ARTES VISUALES, MUSEOS Y PATRIMONIO</t>
  </si>
  <si>
    <t>PROGRAMA: RELACIONES Y COOPERACIÓN INTERNACIONAL</t>
  </si>
  <si>
    <t>DUARCION ESTIMADA: 12 meses.</t>
  </si>
  <si>
    <r>
      <rPr>
        <u/>
        <sz val="9"/>
        <color theme="1"/>
        <rFont val="Arial Narrow"/>
        <family val="2"/>
      </rPr>
      <t>DURACIÓN ESTIMADA:</t>
    </r>
    <r>
      <rPr>
        <sz val="9"/>
        <color theme="1"/>
        <rFont val="Arial Narrow"/>
        <family val="2"/>
      </rPr>
      <t xml:space="preserve"> 12 meses.</t>
    </r>
  </si>
  <si>
    <t>PROGRAMA: ESCUELA DE OFICIOS</t>
  </si>
  <si>
    <t>Presupuesto de Gastos</t>
  </si>
  <si>
    <t>Finalidad</t>
  </si>
  <si>
    <t>Part. De K</t>
  </si>
  <si>
    <t>%</t>
  </si>
  <si>
    <t>1001-Dpto. Ejecutivo</t>
  </si>
  <si>
    <t>Dpto. Ejecutivo</t>
  </si>
  <si>
    <t>2001-Justicia de Faltas</t>
  </si>
  <si>
    <t>Justicia de Faltas</t>
  </si>
  <si>
    <t>3001-Concejo Deliberante</t>
  </si>
  <si>
    <t>Concejo Deliberante</t>
  </si>
  <si>
    <t>4001-Tribunal de Cuentas</t>
  </si>
  <si>
    <t>Tribunal de Cuentas</t>
  </si>
  <si>
    <t>4101-Auditor General</t>
  </si>
  <si>
    <t>Auditor General</t>
  </si>
  <si>
    <t>4201-Trib. Mun. Reclam.</t>
  </si>
  <si>
    <t>Trib. Mun. Reclam.</t>
  </si>
  <si>
    <t>4301-Ente de Control Ss. Municip.</t>
  </si>
  <si>
    <t xml:space="preserve">Ente de Control </t>
  </si>
  <si>
    <t>4401-Trib Admis. y Conc.</t>
  </si>
  <si>
    <t>Trib Admis. y Conc.</t>
  </si>
  <si>
    <t>5001-Cons. Asesor Mun.</t>
  </si>
  <si>
    <t>Cons. Asesor Mun.</t>
  </si>
  <si>
    <t>I.M.V.</t>
  </si>
  <si>
    <t>I.M.I.</t>
  </si>
  <si>
    <t>Esc. Granja Los Amigos</t>
  </si>
  <si>
    <t>6001-Justicia Electoral</t>
  </si>
  <si>
    <t>Justicia Electoral</t>
  </si>
  <si>
    <t>Sueldos estimados</t>
  </si>
  <si>
    <t>SUB-TOTAL</t>
  </si>
  <si>
    <t>Obra Pública-F-Ext.</t>
  </si>
  <si>
    <t>TOTAL DEL PROYECTO PRESUPUESTARIO</t>
  </si>
  <si>
    <t>IMPORTE P/CD 3%</t>
  </si>
  <si>
    <t>Trab. Pco. Total</t>
  </si>
  <si>
    <t>GASTOS</t>
  </si>
  <si>
    <t>Increm 09/2010</t>
  </si>
  <si>
    <t>Increm 2010/2011</t>
  </si>
  <si>
    <t>Increm. 2012/2011</t>
  </si>
  <si>
    <t>(+) 2013/2012</t>
  </si>
  <si>
    <t>2014 ORIGINAL</t>
  </si>
  <si>
    <t>(+) 2014/2013</t>
  </si>
  <si>
    <t>PRESUPUESTO GASTOS DE FUNCIONAMIENTO</t>
  </si>
  <si>
    <t>PRESUPUESTO PARTICIPATIVO</t>
  </si>
  <si>
    <t>PLAN DE OBRA PÚBLICA</t>
  </si>
  <si>
    <t>TOTAL</t>
  </si>
  <si>
    <t>INCREMENTO</t>
  </si>
  <si>
    <t>2014 MODIFICADO</t>
  </si>
  <si>
    <t>2015 MODIFICADO</t>
  </si>
  <si>
    <t>Increm 2015/2015</t>
  </si>
  <si>
    <t>Increm 2015/2016</t>
  </si>
  <si>
    <t>Increm 2016/2017</t>
  </si>
  <si>
    <t>INCREMENTO PRESUP.</t>
  </si>
  <si>
    <t>PARTIDAS PRINCIPALES</t>
  </si>
  <si>
    <t>2014 MODIFIC.</t>
  </si>
  <si>
    <t>2015 MODIFIC.</t>
  </si>
  <si>
    <t>Incremento</t>
  </si>
  <si>
    <t>BS. CONSUMO</t>
  </si>
  <si>
    <t>TRABAJO PCO.</t>
  </si>
  <si>
    <t xml:space="preserve">T.PCO. </t>
  </si>
  <si>
    <t>INVERS. FINANC.</t>
  </si>
  <si>
    <t>CRED. ESPEC.</t>
  </si>
  <si>
    <t>NO CLASIFIC.</t>
  </si>
  <si>
    <t>PARTICIPATIVO</t>
  </si>
  <si>
    <t>S/Original</t>
  </si>
  <si>
    <t>S/Modificado</t>
  </si>
  <si>
    <t>Presupuesto de Ingresos</t>
  </si>
  <si>
    <t>PRESUPUESTO SEGUNDO BORRADOR INGRESOS</t>
  </si>
  <si>
    <t>Erogaciones Corrientes</t>
  </si>
  <si>
    <t xml:space="preserve">       Personal</t>
  </si>
  <si>
    <t>Ingresos  Corrientes</t>
  </si>
  <si>
    <t xml:space="preserve">       Bienes de Consumo</t>
  </si>
  <si>
    <t xml:space="preserve">      De Jurisdiccion Municipal</t>
  </si>
  <si>
    <t xml:space="preserve">       Servicios</t>
  </si>
  <si>
    <t xml:space="preserve">      De Otras Jurisdicciones</t>
  </si>
  <si>
    <t xml:space="preserve">       Transferencias</t>
  </si>
  <si>
    <t xml:space="preserve">       Créditos Especiales</t>
  </si>
  <si>
    <t>Ingresos de Capital</t>
  </si>
  <si>
    <t xml:space="preserve">       No Clasificados</t>
  </si>
  <si>
    <t xml:space="preserve">      Ing. Prop. de Capital</t>
  </si>
  <si>
    <t>Presupuesto Participativo</t>
  </si>
  <si>
    <t xml:space="preserve">      Transferencias</t>
  </si>
  <si>
    <t>Erogaciones de Capital</t>
  </si>
  <si>
    <t>Fuentes Financieras</t>
  </si>
  <si>
    <t xml:space="preserve">      Trabajos Públicos</t>
  </si>
  <si>
    <t xml:space="preserve">      Uso del Crédito</t>
  </si>
  <si>
    <t xml:space="preserve">      Inversion Financiera</t>
  </si>
  <si>
    <t xml:space="preserve">      Recupero de Invers. y Pmos.</t>
  </si>
  <si>
    <t xml:space="preserve">      Bienes de Capital</t>
  </si>
  <si>
    <t>No Clasificados</t>
  </si>
  <si>
    <t xml:space="preserve">      Amortización de la Deuda</t>
  </si>
  <si>
    <t>Esquema Sintético Anteproyecto de Presupuesto</t>
  </si>
  <si>
    <t>Tablero de Control - E.A.I.F.</t>
  </si>
  <si>
    <t>Erogaciones</t>
  </si>
  <si>
    <t>Ingresos Corrientes + No Clasif.</t>
  </si>
  <si>
    <t>Recursos</t>
  </si>
  <si>
    <t>Gastos Corrientes</t>
  </si>
  <si>
    <t>Rdo. Financiero</t>
  </si>
  <si>
    <t xml:space="preserve">   (Incluye Intereses y Cred. Especiales)</t>
  </si>
  <si>
    <t>RESULTADO ECONÓMICO</t>
  </si>
  <si>
    <t xml:space="preserve">    Uso del Crédito</t>
  </si>
  <si>
    <t>Recursos de Capital</t>
  </si>
  <si>
    <t xml:space="preserve">    Recupero de Invers. y Pmos.</t>
  </si>
  <si>
    <t>Gastos de Capital</t>
  </si>
  <si>
    <t>RESULTADO FINANCIERO</t>
  </si>
  <si>
    <t>Aplicaciones Financieras</t>
  </si>
  <si>
    <t xml:space="preserve">    Amortización de Deuda</t>
  </si>
  <si>
    <t>Movimientos Bajo la Línea</t>
  </si>
  <si>
    <t>Debo llegar a un equilibrio</t>
  </si>
  <si>
    <t>Ingresos Totales</t>
  </si>
  <si>
    <t>Egresos (sin Amort. Deuda)</t>
  </si>
  <si>
    <t xml:space="preserve">    Colocación de Deuda</t>
  </si>
  <si>
    <t>Rdo. Primario</t>
  </si>
  <si>
    <t xml:space="preserve">     Amortización de la Deuda</t>
  </si>
  <si>
    <t>DISMINUIR PARTIDAS HASTA LLEGAR A 0,00</t>
  </si>
  <si>
    <t>Además falta: los 3.000.000,00 de incrementar en inclusión Social</t>
  </si>
  <si>
    <t>Incrementar Créditos Especiales y amortización de la deuda (epec)</t>
  </si>
  <si>
    <t>PROGRAMA: JUSTICIA ELECTORAL</t>
  </si>
  <si>
    <r>
      <rPr>
        <b/>
        <sz val="10"/>
        <color theme="1"/>
        <rFont val="Arial Narrow"/>
        <family val="2"/>
      </rPr>
      <t>OBJETIVO:</t>
    </r>
    <r>
      <rPr>
        <sz val="10"/>
        <color theme="1"/>
        <rFont val="Arial Narrow"/>
        <family val="2"/>
      </rPr>
      <t xml:space="preserve"> Mantener permanentemente actualizado el Padrón Electoral Municipal. Organizar y dirigir los comicios; controlar el cumplimiento de las disposiciones legales vinculadas con la legalidad de los mismos.</t>
    </r>
  </si>
  <si>
    <t>UNIDAD EJECUTORA: Junta Electoral.</t>
  </si>
  <si>
    <t>JEFE DE PROGRAMA: A Designar.</t>
  </si>
  <si>
    <t>PROGRAMA: CONSEJO ASESOR MUNICIPAL</t>
  </si>
  <si>
    <t>5001</t>
  </si>
  <si>
    <r>
      <rPr>
        <b/>
        <sz val="10"/>
        <color theme="1"/>
        <rFont val="Arial Narrow"/>
        <family val="2"/>
      </rPr>
      <t>OBJETIVOS:</t>
    </r>
    <r>
      <rPr>
        <sz val="10"/>
        <color theme="1"/>
        <rFont val="Arial Narrow"/>
        <family val="2"/>
      </rPr>
      <t xml:space="preserve"> Brindar información y asesoramiento a los órganos del gobierno municipal respecto de temas socioeconómicos de la comunidad. Asistir a las audiencias públicas, presentar proyectos o planes de obras, servicios o trabajos, e integrar los organismos que la Carta Orgánica Municipal, u Ordenanzas, así lo prevean. </t>
    </r>
  </si>
  <si>
    <t>UNIDAD EJECUTORA: Consejo Asesor Municipal.</t>
  </si>
  <si>
    <t>PROGRAMA: TRIBUNAL ADMINISTRATIVO DE ADMISIONES Y CONCURSOS</t>
  </si>
  <si>
    <r>
      <rPr>
        <b/>
        <sz val="10"/>
        <color theme="1"/>
        <rFont val="Arial Narrow"/>
        <family val="2"/>
      </rPr>
      <t>OBJETIVO:</t>
    </r>
    <r>
      <rPr>
        <sz val="10"/>
        <color theme="1"/>
        <rFont val="Arial Narrow"/>
        <family val="2"/>
      </rPr>
      <t xml:space="preserve"> Impulsar el desarrollo de las instancias de concursos de oposición y antecedentes; y emitir opinión fundada respecto de la idoneidad de todos quiénes se postulen para ser designados.</t>
    </r>
  </si>
  <si>
    <t>UNIDAD EJECUTORA: Tribunal Administrativo de Admisiones y Concursos.</t>
  </si>
  <si>
    <t>PROGRAMA: ENTE DE CONTROL DE SERVICIOS MUNICIPALES</t>
  </si>
  <si>
    <r>
      <rPr>
        <b/>
        <sz val="10"/>
        <color theme="1"/>
        <rFont val="Arial Narrow"/>
        <family val="2"/>
      </rPr>
      <t>OBJETIVO:</t>
    </r>
    <r>
      <rPr>
        <sz val="10"/>
        <color theme="1"/>
        <rFont val="Arial Narrow"/>
        <family val="2"/>
      </rPr>
      <t xml:space="preserve"> El control administrativo y técnico, la verificación y fiscalización de todos los servicios públicos que preste la Municipalidad por si misma o mediante terceros; velando para que los mismos se lleven a cabo respetando la normativa legal que los regula, las políticas del gobierno municipal sobre la materia y los derechos de los usuarios y prestadores.</t>
    </r>
  </si>
  <si>
    <t>UNIDAD EJECUTORA: Ente de Control de Servicios Municipales.</t>
  </si>
  <si>
    <t>JEFE DE PROGRAMA: a Definir.</t>
  </si>
  <si>
    <t>PROGRAMA: TRIBUNAL MUNICIPAL DE RECLAMOS Y APELACIONES FISCALES</t>
  </si>
  <si>
    <r>
      <rPr>
        <b/>
        <sz val="10"/>
        <color theme="1"/>
        <rFont val="Arial Narrow"/>
        <family val="2"/>
      </rPr>
      <t>OBJETIVO:</t>
    </r>
    <r>
      <rPr>
        <sz val="10"/>
        <color theme="1"/>
        <rFont val="Arial Narrow"/>
        <family val="2"/>
      </rPr>
      <t xml:space="preserve"> Entender en todos los recursos que se interpongan en contra de las resoluciones de la Administración Municipal que determinen obligaciones tributarias, impongan sanciones fiscales y/o resuelvan reclamos de repetición o de extinción de exenciones.</t>
    </r>
  </si>
  <si>
    <t>UNIDAD EJECUTORA: Tribunal Municipal de Reclamos y Apelaciones Fiscales.</t>
  </si>
  <si>
    <t>PROGRAMA: AUDITORIA GENERAL</t>
  </si>
  <si>
    <t>UNIDAD EJECUTORA: Auditor General.</t>
  </si>
  <si>
    <t>PROGRAMA:  AUDITORIA GENERAL EN LA CIUDAD Y CON LAS ORGANIZACIONES</t>
  </si>
  <si>
    <t>PROGRAMA: TRIBUNAL DE CUENTAS</t>
  </si>
  <si>
    <t>4001</t>
  </si>
  <si>
    <t>UNIDAD EJECUTORA: Tribunal de Cuentas.</t>
  </si>
  <si>
    <t xml:space="preserve">PROGRAMA: COORDINACIÓN Y ADMINISTRACIÓN DEL CONCEJO DELIBERANTE </t>
  </si>
  <si>
    <t>3001</t>
  </si>
  <si>
    <r>
      <rPr>
        <b/>
        <sz val="10"/>
        <color theme="1"/>
        <rFont val="Arial Narrow"/>
        <family val="2"/>
      </rPr>
      <t xml:space="preserve">OBJETIVOS: </t>
    </r>
    <r>
      <rPr>
        <sz val="10"/>
        <color theme="1"/>
        <rFont val="Arial Narrow"/>
        <family val="2"/>
      </rPr>
      <t>Coordinar y garantizar el funcionamiento de las diferentes áreas que conforman el Concejo Deliberante, para su mejor desempeño. Desarrollo eficiente de la gestión administrativa interna y externa garantizando el acceso a los recursos disponibles. Desarrollo eficaz en la comunicación interna con el uso de tecnología. Seguimiento de los trámites, presentaciones de documentos públicos, con la utilización de nueva tecnología.</t>
    </r>
  </si>
  <si>
    <t>UNIDAD EJECUTORA: Presidencia - Secretaría Habilitada.</t>
  </si>
  <si>
    <t>PROGRAMA: PROTOCOLO, COMUNICACIÓN Y PRENSA DEL CONCEJO DELIBERANTE</t>
  </si>
  <si>
    <t>3002</t>
  </si>
  <si>
    <t>PROGRAMA: JUSTICIA ADMINISTRATIVA MUNICIPAL DE FALTAS</t>
  </si>
  <si>
    <t>2001</t>
  </si>
  <si>
    <t>UNIDAD EJECUTORA: Justicia Administrativa Municipal de Faltas.</t>
  </si>
  <si>
    <t>2001-01</t>
  </si>
  <si>
    <t>Primera Instancia - Primera Nominación</t>
  </si>
  <si>
    <r>
      <rPr>
        <b/>
        <sz val="10"/>
        <color theme="1"/>
        <rFont val="Arial Narrow"/>
        <family val="2"/>
      </rPr>
      <t xml:space="preserve">OBJETIVO: </t>
    </r>
    <r>
      <rPr>
        <sz val="10"/>
        <color theme="1"/>
        <rFont val="Arial Narrow"/>
        <family val="2"/>
      </rPr>
      <t>Cumplir con las obligaciones impuestas por el Art. 141 de la C.O.M.: Entre ellas el trámite de las Causas que se generan con motivo de infracciones a las Ordenanzas vigentes.</t>
    </r>
  </si>
  <si>
    <t>2001-02</t>
  </si>
  <si>
    <t>Primera Instancia - Segunda Nominación</t>
  </si>
  <si>
    <r>
      <rPr>
        <b/>
        <sz val="10"/>
        <color theme="1"/>
        <rFont val="Arial Narrow"/>
        <family val="2"/>
      </rPr>
      <t>OBJETIVO:</t>
    </r>
    <r>
      <rPr>
        <sz val="10"/>
        <color theme="1"/>
        <rFont val="Arial Narrow"/>
        <family val="2"/>
      </rPr>
      <t xml:space="preserve"> Cumplir con las obligaciones impuestas por el Art. 141 de la C.O.M.: Entre ellas el trámite de las Causas que se generan con motivo de infracciones a las Ordenanzas vigentes.</t>
    </r>
  </si>
  <si>
    <t>PROGRAMA: CÁMARA DE APELACIONES DE FALTAS</t>
  </si>
  <si>
    <t>2002</t>
  </si>
  <si>
    <t>UNIDAD EJECUTORA: Cámara de Apelaciones de Faltas.</t>
  </si>
  <si>
    <t xml:space="preserve">COSTO TOTAL DEL PROGRAMA: </t>
  </si>
  <si>
    <t>PROGRAMA: CENTRO CULTURAL COMUNITARIO "LEONARDO FAVIO" -PROMOCIÓN DEL CINE ARGENTINO - ESPACIO INCAA - DEPARTAMENTO DE FOLKLORE</t>
  </si>
  <si>
    <t>COSTO TOTAL DEL SUBPROGRAMA</t>
  </si>
  <si>
    <t>PROGRAMA: DEPARTAMENTO DE TRABAJO SOCIAL</t>
  </si>
  <si>
    <t>PROGRAMA: FOMENTO DEL DESARROLLO URBANO INTEGRADO, INCLUSIVO, RESILIENTE Y ECOLÓGICO DE LA CIUDAD DE VILLA MARÍA Y SU REGIÓN - CSO-LA/2020/167744-3/18</t>
  </si>
  <si>
    <t xml:space="preserve">UNIDAD EJECUTORA: Organismo de Ejecución - Proyecto MVM - UE. </t>
  </si>
  <si>
    <t>JEFE DE SUBPROGRAMA: Juez Héctor Hugo PASCHETTO .</t>
  </si>
  <si>
    <t>JEFE DE PROGRAMA: Juez Héctor Hugo PASCHETTO  - Juez Julio César ALICIARDI .</t>
  </si>
  <si>
    <t>JEFE DE SUBPROGRAMA: Juez Julio César ALICIARDI.</t>
  </si>
  <si>
    <t>SUBPROGRAMA:  COBERTURA RED DE GAS 100% EN LA CIUDAD</t>
  </si>
  <si>
    <t>SUBPROGRAMA:  OBRAS DE INFRAESTRUCTURA BÁSICA</t>
  </si>
  <si>
    <t>PUESTA EN VALOR EDIFICIO CONCEJO DELIBERANTE</t>
  </si>
  <si>
    <t>1.</t>
  </si>
  <si>
    <t>RECURSOS</t>
  </si>
  <si>
    <t>INGRESOS CORRIENTES</t>
  </si>
  <si>
    <t>INGRESOS DE JURISDICCION MUNICIPAL</t>
  </si>
  <si>
    <t>INGRESOS TRIBUTARIOS</t>
  </si>
  <si>
    <t>01.</t>
  </si>
  <si>
    <t>Contribución sobre los Inmuebles</t>
  </si>
  <si>
    <t>Contribución sobre los Inmuebles del Ejercicio</t>
  </si>
  <si>
    <t>02.</t>
  </si>
  <si>
    <t>Contribución sobre los Inmuebles de Ejercicios Anteriores</t>
  </si>
  <si>
    <t>Impuesto sobre los Automotores, Acoplados y Similares</t>
  </si>
  <si>
    <t>Impuesto sobre los Automotores, Acoplados y Similares del Ejercicio</t>
  </si>
  <si>
    <t>Impuesto sobre los Automotores, Acoplados y Similares de Ejercicios Anteriores</t>
  </si>
  <si>
    <t>03.</t>
  </si>
  <si>
    <t>Contribución sobre la Actividad Comercial, Industrial y de Servicios</t>
  </si>
  <si>
    <t>Contribución sobre la Actividad Comercial, Industrial y de Servicios del Ejercicio</t>
  </si>
  <si>
    <t>Contribución sobre la Actividad Comercial, Industrial y de Servicios de Ejercicios Anteriores</t>
  </si>
  <si>
    <t>04.</t>
  </si>
  <si>
    <t>Tasa por Habilitación y Control de Antenas</t>
  </si>
  <si>
    <t>05.</t>
  </si>
  <si>
    <t>Contribución sobre Diversiones y Espectáculos Públicos</t>
  </si>
  <si>
    <t>06.</t>
  </si>
  <si>
    <t>Contribución sobre la Ocupación o Utilización de Espacios Públicos o de Uso Público</t>
  </si>
  <si>
    <t>07.</t>
  </si>
  <si>
    <t>Contribución Espacio Dominio Público</t>
  </si>
  <si>
    <t>08.</t>
  </si>
  <si>
    <t>Contribución sobre Ferias y Remates de Hacienda</t>
  </si>
  <si>
    <t>09.</t>
  </si>
  <si>
    <t>Contribución sobre los Cementerios</t>
  </si>
  <si>
    <t>10.</t>
  </si>
  <si>
    <t>Contribución sobre la Publicidad y Propaganda</t>
  </si>
  <si>
    <t>11.</t>
  </si>
  <si>
    <t>Contribución sobre Obras Privadas</t>
  </si>
  <si>
    <t>12.</t>
  </si>
  <si>
    <t>Contribución sobre Inspección Eléctrica y Mecánica y Suministro de Energía Eléctrica</t>
  </si>
  <si>
    <t>Por Consumo de Energía Eléctrica</t>
  </si>
  <si>
    <t>Por Inspección Eléctrica y Mecánica</t>
  </si>
  <si>
    <t>13.</t>
  </si>
  <si>
    <t>Derechos de Oficina</t>
  </si>
  <si>
    <t>14.</t>
  </si>
  <si>
    <t>Tasa Servicio Registro Civil</t>
  </si>
  <si>
    <t>15.</t>
  </si>
  <si>
    <t>Contribución por Mejoras</t>
  </si>
  <si>
    <t>Pavimento Construcción/Reconstrucción</t>
  </si>
  <si>
    <t>Pavimento Ejercicios Anteriores</t>
  </si>
  <si>
    <t>Gas por Redes</t>
  </si>
  <si>
    <t>Gas por Redes Ejercicios Anteriores</t>
  </si>
  <si>
    <t xml:space="preserve">Cordón Cuneta </t>
  </si>
  <si>
    <t>Cordón Cuneta Ejercicios Anteriores</t>
  </si>
  <si>
    <t>Iluminación/Alumbrado Público</t>
  </si>
  <si>
    <t>Iluminación/Alumbrado Público Ejercicios Anteriores</t>
  </si>
  <si>
    <t>Otras Contribuciones por Mejoras</t>
  </si>
  <si>
    <t>16.</t>
  </si>
  <si>
    <t>Inspección Sanitaria, Veterinaria, Bromatológica</t>
  </si>
  <si>
    <t>17.</t>
  </si>
  <si>
    <t>Otros Tributos</t>
  </si>
  <si>
    <t>Percepción Coop. 15 de Mayo por T.S.P.</t>
  </si>
  <si>
    <t>Contribución para el Financiamiento del Servicios de Salud Municipal</t>
  </si>
  <si>
    <t>Fondo p/Financiamiento de Obras Pcas. y Servicios Pcos. - FFOPSP</t>
  </si>
  <si>
    <t>Otros Tributos o Contribuciones</t>
  </si>
  <si>
    <t>2.</t>
  </si>
  <si>
    <t>OTROS INGRESOS NO TRIBUTARIOS</t>
  </si>
  <si>
    <t xml:space="preserve">Derechos </t>
  </si>
  <si>
    <t>Multas</t>
  </si>
  <si>
    <t>Multas de Tránsito</t>
  </si>
  <si>
    <t>Multas por Estacionamiento Medido</t>
  </si>
  <si>
    <t>Multas Varias por Servicios Bibliotecarios -  Biblioteca Municipal M. M.</t>
  </si>
  <si>
    <t>Multas Varias por Servicios Licitados y Concesionados</t>
  </si>
  <si>
    <t>Otras Multas</t>
  </si>
  <si>
    <t>Intereses y Recargos</t>
  </si>
  <si>
    <t>Intereses por Depósitos</t>
  </si>
  <si>
    <t>Intereses por Préstamos</t>
  </si>
  <si>
    <t>Intereses por Pago Fuera de Término (surge de multas-tributarias a la OGI)</t>
  </si>
  <si>
    <t xml:space="preserve">Otros Intereses Ganados </t>
  </si>
  <si>
    <t>Rentas del Patrimonio Municipal</t>
  </si>
  <si>
    <t>Cementerio Ampliación y Concesión</t>
  </si>
  <si>
    <t>Venta de Pliegos y otros</t>
  </si>
  <si>
    <t>Alquiler de Inmuebles</t>
  </si>
  <si>
    <t xml:space="preserve">Otras Rentas del Patrimonio Municipal </t>
  </si>
  <si>
    <t>Recuperos Varios</t>
  </si>
  <si>
    <t>Reintegros de Viáticos</t>
  </si>
  <si>
    <t>Reintegros O.S., A.R.T. y  similares</t>
  </si>
  <si>
    <t>Reintegros por Convenio Sistema GPRS</t>
  </si>
  <si>
    <t>Otros Reintegros Varios</t>
  </si>
  <si>
    <t>Otros Ingresos</t>
  </si>
  <si>
    <t>Eventuales e Imprevistos</t>
  </si>
  <si>
    <t>Aportes Fondo Permanente para Obras de Infraestructura - Fo.P.O.I</t>
  </si>
  <si>
    <t>Fondo para Reinversión Comunitaria</t>
  </si>
  <si>
    <t>Ingresos por Regímenes de Ordenanzas Varias</t>
  </si>
  <si>
    <t>Otros Ingresos no Tributarios</t>
  </si>
  <si>
    <t>Ingresos por Servicios de Estacionamiento Tarifado</t>
  </si>
  <si>
    <t>INGRESOS DE OTRAS JURISDICCIONES</t>
  </si>
  <si>
    <t>TRANSFERENCIAS CORRIENTES</t>
  </si>
  <si>
    <t>Transferencias desde el Sector Público Nacional, Provincial y Municipal</t>
  </si>
  <si>
    <t>PAMI</t>
  </si>
  <si>
    <t>Prog. Permanente Atención al Niño y la Flia.</t>
  </si>
  <si>
    <t>Ley 7077 Atención Permanente al Anciano</t>
  </si>
  <si>
    <t>Recursos Juegos de Azar</t>
  </si>
  <si>
    <t>Subsidios p/Organismos Diversos de Asistencia Social</t>
  </si>
  <si>
    <t>FO.VI.COR.</t>
  </si>
  <si>
    <t xml:space="preserve">Transferencias de la Provincia </t>
  </si>
  <si>
    <t>Transferencias de la Nación</t>
  </si>
  <si>
    <t xml:space="preserve">Otras Transferencias desde el Sector Público </t>
  </si>
  <si>
    <t>Trasferencias desde el Sector Privado</t>
  </si>
  <si>
    <t>Transferencias del Exterior</t>
  </si>
  <si>
    <t>PARTICIPACIÓN EN IMPUESTOS NACIONALES/PROVINCIALES</t>
  </si>
  <si>
    <t>Coparticipación Impositiva</t>
  </si>
  <si>
    <t>Fondo Federal Solidario</t>
  </si>
  <si>
    <t>FO.FIN.DES.</t>
  </si>
  <si>
    <t>Otras Participaciones en Impuestos</t>
  </si>
  <si>
    <t>INGRESOS DE CAPITAL</t>
  </si>
  <si>
    <t>INGRESOS PROPIOS DE CAPITAL</t>
  </si>
  <si>
    <t>VENTA DE BIENES PATRIMONIABLES</t>
  </si>
  <si>
    <t>Venta de Bienes Muebles Varios</t>
  </si>
  <si>
    <t>Venta de Bienes Inmuebles de Propiedad Municipal</t>
  </si>
  <si>
    <t xml:space="preserve">Venta de Tierras </t>
  </si>
  <si>
    <t xml:space="preserve">TRANSFERENCIAS </t>
  </si>
  <si>
    <t>TRANSFERENCIAS DE CAPITAL</t>
  </si>
  <si>
    <t>Transferencias desde la Provincia</t>
  </si>
  <si>
    <t>Transferencias desde la Nación</t>
  </si>
  <si>
    <t>3.</t>
  </si>
  <si>
    <t>FUENTES FINANCIERAS</t>
  </si>
  <si>
    <t>USO DEL CRÉDITO</t>
  </si>
  <si>
    <t>CRÉDITOS CON INSTITUCIONES BANCARIAS Y FINANCIERAS</t>
  </si>
  <si>
    <t>Créditos con Instituciones Bancarias y Financieras</t>
  </si>
  <si>
    <t>CRÉDITOS CON ORGANISMOS PÚBLICOS NACIONALES, PCIALES., MUNICIPALES</t>
  </si>
  <si>
    <t>Créditos con Organismos Nacionales</t>
  </si>
  <si>
    <t>Créditos con Organismos Provinciales</t>
  </si>
  <si>
    <t>Créditos con otros Organimos Pcos.</t>
  </si>
  <si>
    <t>CRÉDITOS CON ORGANISMOS INTERNACIONALES</t>
  </si>
  <si>
    <t>Créditos con Organismos Internacionales</t>
  </si>
  <si>
    <t>4.</t>
  </si>
  <si>
    <t>CRÉDITOS CON EL SECTOR PRIVADO</t>
  </si>
  <si>
    <t>Créditos con el Sector Privado</t>
  </si>
  <si>
    <t>5.</t>
  </si>
  <si>
    <t>COLOCACIÓN DE DEUDA / OTRO USO DEL CRÉDITO</t>
  </si>
  <si>
    <t>Colocación de Deuda</t>
  </si>
  <si>
    <t>Otro Uso del Crédito</t>
  </si>
  <si>
    <t xml:space="preserve">RECUPERO DE INVERSIONES Y PRÉSTAMOS </t>
  </si>
  <si>
    <t>DEL SECTOR PÚBLICO</t>
  </si>
  <si>
    <t>Recupero de Asistencia a Municipios y Entes Comunales</t>
  </si>
  <si>
    <t>Otros Recuperos de Préstamos o Aportes Econ. Reintegrables</t>
  </si>
  <si>
    <t>Recupero de Títulos y Valores del Sector Público</t>
  </si>
  <si>
    <t>DEL SECTOR PRIVADO</t>
  </si>
  <si>
    <t>Recupero de Préstamos o Asistencias Varias</t>
  </si>
  <si>
    <t>Recupero de Títulos y Valores del Sector Privado</t>
  </si>
  <si>
    <t>PLAN HABITACIONAL B° SAN MARTÍN (400 viviendas)</t>
  </si>
  <si>
    <t>MONTO</t>
  </si>
  <si>
    <t>PORCENTAJE</t>
  </si>
  <si>
    <t>INGRESOS PROPIOS</t>
  </si>
  <si>
    <t xml:space="preserve">INGRESOS DE OTRAS JURISDICCIONES </t>
  </si>
  <si>
    <t>OTRAS FUENTES FINANCIERAS</t>
  </si>
  <si>
    <t>OTROS INGRESOS</t>
  </si>
  <si>
    <t>TOTAL INGRESOS</t>
  </si>
  <si>
    <t>Obra Publica Nacional</t>
  </si>
  <si>
    <t>Sin Obra Publica</t>
  </si>
  <si>
    <t>Presupuesto</t>
  </si>
  <si>
    <t>Prendas de Vestir, Uniformes y otros accesorio o Artículos de Ropería</t>
  </si>
  <si>
    <t>UNIDAD EJECUTORA: Secretaria de Planeamiento, Relaciones Institucionales y Vínculos Comunitarios</t>
  </si>
  <si>
    <r>
      <rPr>
        <b/>
        <sz val="10"/>
        <color theme="1"/>
        <rFont val="Arial Narrow"/>
        <family val="2"/>
      </rPr>
      <t>OBJETIVOS:</t>
    </r>
    <r>
      <rPr>
        <sz val="10"/>
        <color theme="1"/>
        <rFont val="Arial Narrow"/>
        <family val="2"/>
      </rPr>
      <t xml:space="preserve"> promover la realización de obras y servicios fundamentales para la ciudad, durante 4 años, con fondos provenientes en un noventa y cinco por ciento de organismos internacionales, trabajando de manera articulada con las diferentes secretarías del municipio. Programas propios: 1 - fortalecer las capacidades organizacionales de los gobiernos locales intervinientes y de la región. 2 - adecuar e integrar el sistema local de gestión de residuos sólidos urbanos con la política ambiental provincial y nacional. 3 - crear el consejo de desarrollo y gestión sostenible del territorio, de la ciudad de villa maría y el área de influencia, 4- aprendizaje entre pares como metodología de fortalecimiento de la gobernanza urbana, la resiliencia y la ecologización de las ciudades, 6- incorporar tics que promuevan una mejor gobernanza 7- desarrollar e implementar un programa de alineación de las actividades de la ciudad con los ods, 8-recuperación y restauración del edificio cabín ferroviario, 9- concientizar e integrar a la población en la ejecución de medidas respetuosas con el medioambiente, 10- desarrollo de acciones que promuevan un desarrollo urbano sostenible y ecológico, 11- promover la economía circular, 12- institucionalizar el ecosistema emprendedor de la ciudad de villa maría y la región, 13- fortalecer el ecosistema emprendedor, y promocionar el emprendedorismo, priorizando la innovación y la economía circular.14 generación de 5 km de ciclovia.</t>
    </r>
  </si>
  <si>
    <r>
      <rPr>
        <b/>
        <sz val="10"/>
        <color theme="1"/>
        <rFont val="Arial Narrow"/>
        <family val="2"/>
      </rPr>
      <t>OBJETIVOS:</t>
    </r>
    <r>
      <rPr>
        <sz val="10"/>
        <color theme="1"/>
        <rFont val="Arial Narrow"/>
        <family val="2"/>
      </rPr>
      <t xml:space="preserve"> Cumplir con las obligaciones impuestas por el Art. 166 de la C.O.M. y el Art. 9 de la Ordenanza 3983, tales como: Asumir la defensa de las libertades, derechos y garantías de los ciudadanos ante hechos u omisiones de la Administración Pública Municipal. Supervisar la eficacia en la prestación de los servicios públicos, los derechos del consumidor y la aplicación de la legislación municipal. Intervenir a solicitud de los vecinos, al solo efecto conciliatorio y a pedido de ambas partes, en todas aquellas controversias que se susciten entre ellos. Intervenir en los grupos de riesgos: Adultos Mayores, Discapacitados, Embarazadas, Adolescentes, Privados de la Libertad y Violencia de Género. Articulación con la Defensoría de la Pcia de Córdoba para resolver conflictos con Organismos Públicos, trámites de Obras Sociales, pensiones, jubilaciones, entre otras. Presentar Recursos de Amparo para proteger  los derechos de los ciudadanos ante medidas desproporcionadas y/o arbitrarias.</t>
    </r>
  </si>
  <si>
    <r>
      <rPr>
        <b/>
        <sz val="10"/>
        <color theme="1"/>
        <rFont val="Arial Narrow"/>
        <family val="2"/>
      </rPr>
      <t>OBJETIVO:</t>
    </r>
    <r>
      <rPr>
        <sz val="10"/>
        <color theme="1"/>
        <rFont val="Arial Narrow"/>
        <family val="2"/>
      </rPr>
      <t xml:space="preserve"> Participación activa en los Municercas, Centros Vecinales y de Jubilados con el fin de recepcionar las inquietudes de los vecinos y dar prontas respuestas. Promover la defensa y protección de los derechos de niños, niñas y adolescentes, en especial en aquellos casos de violencia, abusos, explotación sexual y trabajo infantil. Organización de cursos y talleres con instituciones para trabajar en los problemas de violencia y prevención de adicciones. Intervenir en los conflictos escolares a través de mediaciones. Poner en marcha el Programa "Transitando Calles, nos Cuidamos". Realizar una Campaña con ACOVIM, AERCA y demás instituciones, para tomar conocimiento de derechos y obligaciones del consumidor. Gestionar articuladamente con la Defensoría de la Nación y la Defensoría de la Pcia. de Córdoba. Realizar el Observatorio Electoral y Político con el objeto de brindar a la ciudadanía la información necesaria para el ejercicio de su derecho y deber en los sufragios correspondientes.</t>
    </r>
  </si>
  <si>
    <r>
      <rPr>
        <b/>
        <sz val="10"/>
        <color theme="1"/>
        <rFont val="Arial Narrow"/>
        <family val="2"/>
      </rPr>
      <t>OBJETIVOS:</t>
    </r>
    <r>
      <rPr>
        <sz val="10"/>
        <color theme="1"/>
        <rFont val="Arial Narrow"/>
        <family val="2"/>
      </rPr>
      <t xml:space="preserve"> Controlar la legalidad y motivación de los gastos, visando u observando las órdenes de pago. Intervenir en todos los actos administrativos que dispongan gastos, en forma previa a la realización de éstos y al solo efecto del control de la legalidad de la erogación. Resolver sobre las Ejecuciones Presupuestarias Trimestrales. Dictaminar sobre el Balance General del Estado Municipal, Inst. Municipal de la Vivienda, Inst. Municipal de Inversión y Escuela Granja los Amigos. Presidir en el seno del Tribunal de Cuentas, las aperturas de sobres de las ofertas en concursos de precios y licitaciones privadas.</t>
    </r>
  </si>
  <si>
    <r>
      <rPr>
        <b/>
        <sz val="10"/>
        <color theme="1"/>
        <rFont val="Arial Narrow"/>
        <family val="2"/>
      </rPr>
      <t>OBJETIVOS</t>
    </r>
    <r>
      <rPr>
        <sz val="10"/>
        <color theme="1"/>
        <rFont val="Arial Narrow"/>
        <family val="2"/>
      </rPr>
      <t>: Lograr la mayor participación ciudadana a partir de mejorar la comunicación y difusión externa de las actividades institucionales con el uso de nuevas tecnologías y la programación de actividades comunicacionales con los medios de prensa locales y actores sociales.</t>
    </r>
  </si>
  <si>
    <t>SUBPROGRAMA: FESTIVAL DEL ADULTO MAYOR</t>
  </si>
  <si>
    <t>PROGRAMA: VERANO CON LA GENTE</t>
  </si>
  <si>
    <t>PRODUCTOS ALIMENTICIOS, AGROPECUARIOS Y FORESTALES</t>
  </si>
  <si>
    <t>racionamiento, alimento y productos alimenticios para personas</t>
  </si>
  <si>
    <t>PRODUCTOS DE PAPEL, CARTÓN E IMPRESOS</t>
  </si>
  <si>
    <t>productos de artes gráficas</t>
  </si>
  <si>
    <t>ÚTILES E INSUMOS DE OFICINA Y ENSEÑANZA</t>
  </si>
  <si>
    <t>útiles, artículos de librería, insumos informáticos</t>
  </si>
  <si>
    <t>COMBUSTIBLES, LUBRICANTES, PRODUCTOS QUÍMICOS</t>
  </si>
  <si>
    <t>combustibles y lubricantes</t>
  </si>
  <si>
    <t>REPUESTOS, ACCESORIOS, HERRAMIENTAS MENORES Y OTROS</t>
  </si>
  <si>
    <t>repuestos y accesorios equipos y sistemas informáticos y de comunicación en gral</t>
  </si>
  <si>
    <t>repuestos y accesorios rodados</t>
  </si>
  <si>
    <t>aparatos electrónicos y de comunicación menores</t>
  </si>
  <si>
    <t>artefactos y electrodomésticos menores</t>
  </si>
  <si>
    <t>repuestos y accesorios para inmuebles</t>
  </si>
  <si>
    <t>repuestos y accesorios varios</t>
  </si>
  <si>
    <t>MATERIALES CONSERVACIÓN Y/O CONSTRUCCIÓN</t>
  </si>
  <si>
    <t>materiales conservación inmuebles</t>
  </si>
  <si>
    <t>materiales conservaciones varias</t>
  </si>
  <si>
    <t>BIENES DE CONSUMO VARIOS</t>
  </si>
  <si>
    <t>elementos de limpieza e higiene</t>
  </si>
  <si>
    <t>bienes de consumo varios</t>
  </si>
  <si>
    <t>bienes de consumo para organización de eventos</t>
  </si>
  <si>
    <t>ALQUILERES Y DERECHOS</t>
  </si>
  <si>
    <t>alquileres de edificios, locales e inmuebles</t>
  </si>
  <si>
    <t>alquileres varios</t>
  </si>
  <si>
    <t>SERVICIOS DE MANTENIMIENTO, REPARACIÓN Y LIMPIEZA</t>
  </si>
  <si>
    <t>limpieza, aseo y fumigación</t>
  </si>
  <si>
    <t>mantenimiento y reparación de rodados</t>
  </si>
  <si>
    <t>mantenimiento y reparación de inmuebles</t>
  </si>
  <si>
    <t>mantenimiento y reparaciones varias</t>
  </si>
  <si>
    <t>SERVICIOS TÉCNICOS Y PROFESIONALES</t>
  </si>
  <si>
    <t>capacitación/es y cursos del personal</t>
  </si>
  <si>
    <t>honorarios por servicios técnicos y profesionales</t>
  </si>
  <si>
    <t>SERVICIOS COMERCIALES Y FINANCIEROS</t>
  </si>
  <si>
    <t>trámites y gastos varios</t>
  </si>
  <si>
    <t>PUBLICIDAD Y PROPAGANDA</t>
  </si>
  <si>
    <t>publicidad y propaganda</t>
  </si>
  <si>
    <t>LOCACIONES Y CONTRATACIONES VARIAS</t>
  </si>
  <si>
    <t>locaciones y contrataciones varias</t>
  </si>
  <si>
    <t>pasajes, viáticos y movilidad</t>
  </si>
  <si>
    <t>gastos varios protocolares y de organización de eventos</t>
  </si>
  <si>
    <t>otros servicios</t>
  </si>
  <si>
    <t>TRANSFERENCIAS AL SECTOR PÚBLICO</t>
  </si>
  <si>
    <t>otras transferencias al sector público</t>
  </si>
  <si>
    <t>TRANSFERENCIAS AL SECTOR PRIVADO</t>
  </si>
  <si>
    <t>subsidios a entregar</t>
  </si>
  <si>
    <t>BIENES PREEXISTENTES</t>
  </si>
  <si>
    <t>tierras y terrenos</t>
  </si>
  <si>
    <t>edificios, obras e instalaciones</t>
  </si>
  <si>
    <t>VEHÍCULOS Y RODADOS</t>
  </si>
  <si>
    <t>rodados</t>
  </si>
  <si>
    <t>MUEBLES, EQUIPOS DE OFICINA, COMUNICACIÓN, EDUCACIONAL Y RECREATIVO</t>
  </si>
  <si>
    <t>muebles y equipos de oficina</t>
  </si>
  <si>
    <t>aparato audio-visuales y electrónicos varios</t>
  </si>
  <si>
    <t>artefactos y electrodomésticos</t>
  </si>
  <si>
    <t>OTROS BIENES DE CAPITAL</t>
  </si>
  <si>
    <t>otros bienes de capital no especificados</t>
  </si>
  <si>
    <t>últiles y/o insumos técnico-profesional</t>
  </si>
  <si>
    <t>materiales de electricidad</t>
  </si>
  <si>
    <t>SERVICIOS BÁSICOS</t>
  </si>
  <si>
    <t>teléfonía, telefax, internet y similar</t>
  </si>
  <si>
    <t>mantenimiento y reparación de equipos y sist. informáticos y de comunic.en gral.</t>
  </si>
  <si>
    <t>equipos y aparatos de telefonía</t>
  </si>
  <si>
    <t>servicios de asesoramiento y consultoría</t>
  </si>
  <si>
    <t>EQUIPOS DE COMPUTACIÓN, SOFTWARE Y LICENCIAS DE COMPUTACIÓN</t>
  </si>
  <si>
    <t>equipos de computación, softwares y licencias de computación</t>
  </si>
  <si>
    <t>premios, obsequios, presentes, otros</t>
  </si>
  <si>
    <t>CONSTRUCCIONES EN BIENES DE DOMINIO PRIVADO</t>
  </si>
  <si>
    <t>libros, revistas y periódicos</t>
  </si>
  <si>
    <t>elementos de deportes</t>
  </si>
  <si>
    <t>TEXTILES Y VESTUARIOS</t>
  </si>
  <si>
    <t>confecciones textiles</t>
  </si>
  <si>
    <t>derechos de bienes intangibles</t>
  </si>
  <si>
    <t>gastos protocolares de traslado, alojamiento y estadía</t>
  </si>
  <si>
    <t>cartelería, señaléctica y otros impresos</t>
  </si>
  <si>
    <t>estructuras metálicas acabadas</t>
  </si>
  <si>
    <t>imprenta, publicaciones y reproducciones</t>
  </si>
  <si>
    <t>auspicios / adhesiones</t>
  </si>
  <si>
    <t>costos de creación, edición y distribución de material de difusión</t>
  </si>
  <si>
    <t>costos de creación, impresión y colocación de material y cartelería de difusión</t>
  </si>
  <si>
    <t>primas y gastos de seguros</t>
  </si>
  <si>
    <t>prendas de vestir, uniformes y otros accesorios o art. de ropería</t>
  </si>
  <si>
    <t>cubiertas y cámaras de aire</t>
  </si>
  <si>
    <t>herramientas menores</t>
  </si>
  <si>
    <t>EQUIPOS Y MAQUINARIAS, HERRAMIENTAS Y REPUESTOS MAYORES</t>
  </si>
  <si>
    <t>equipos y aparatos de seguridad</t>
  </si>
  <si>
    <t>equipos y maquinarias</t>
  </si>
  <si>
    <t>herramientas y repuestos mayores</t>
  </si>
  <si>
    <t>transferencia al imv - instituto municipal de la vivienda</t>
  </si>
  <si>
    <t>transferencia al imi - instituto municipal de inversión</t>
  </si>
  <si>
    <t>transferencias a instituciones de enseñanza/académicas, culturales y deportivas</t>
  </si>
  <si>
    <t>transf.a instituciones de enseñanza, culturales, deportivas y sociales en gral.</t>
  </si>
  <si>
    <t>transferencias de los recursos por juegos de azar</t>
  </si>
  <si>
    <t>transferencias a cooperativas y empresas privadas</t>
  </si>
  <si>
    <t>ayudas sociales a personas y familias</t>
  </si>
  <si>
    <t>muebles y equipos especializados</t>
  </si>
  <si>
    <t>leasing-alquileres con opción a compra</t>
  </si>
  <si>
    <t>becas, capacitación y formación</t>
  </si>
  <si>
    <t>servicios de resguardo y archivo documental</t>
  </si>
  <si>
    <t>boletín oficial y otras publicaciones oficiales</t>
  </si>
  <si>
    <t>IMPUESTOS, DERECHOS, TASAS Y JUICIOS</t>
  </si>
  <si>
    <t>sentencias y otros gastos judiciales relacionados</t>
  </si>
  <si>
    <t>mediaciones, acuerdos extrajudiciales y otros gastos relacionados</t>
  </si>
  <si>
    <t>indemnizaciones por daños y perjuicios</t>
  </si>
  <si>
    <t>embargos y otros gastos relacionados</t>
  </si>
  <si>
    <t>indumentaria y accesorios de seguridad laboral</t>
  </si>
  <si>
    <t>PRODUCTOS FARMACÉUTICOS Y MEDICINALES</t>
  </si>
  <si>
    <t>descartables, material de cirugía y curación</t>
  </si>
  <si>
    <t>útiles, insumos e instrumental menor médico, quirúrgico y de laboratorio</t>
  </si>
  <si>
    <t>repuestos y accesorios equipos médico-sanitarios y de laboratorio</t>
  </si>
  <si>
    <t>elementos e insumos de seguridad</t>
  </si>
  <si>
    <t>mantenimiento y reparación de equipos médicos-sanitarios y de laboratorio</t>
  </si>
  <si>
    <t>equipos e instrumental médico-sanitario y de laboratorio</t>
  </si>
  <si>
    <t>compuestos y productos químicos</t>
  </si>
  <si>
    <t>insecticidas, fumigantes y otros</t>
  </si>
  <si>
    <t>compuestos y productos químicos de uso medicinal, farmacéutico y de laboratorio</t>
  </si>
  <si>
    <t>alimentos para animales</t>
  </si>
  <si>
    <t>productos específicos veterinarios</t>
  </si>
  <si>
    <t>mantenimiento y reparación de equipos y maquinarias</t>
  </si>
  <si>
    <t>SERVICIOS PÚBLICOS MUNICIPALES</t>
  </si>
  <si>
    <t>recolección y tratamiento de residuos</t>
  </si>
  <si>
    <t>tintas, pinturas y colorantes</t>
  </si>
  <si>
    <t>servicios de seguridad y vigilancia</t>
  </si>
  <si>
    <t>semáforos y otros equipos de señalización</t>
  </si>
  <si>
    <t>repuestos y accesorios equipos y maquinaria</t>
  </si>
  <si>
    <t>utensilios de cocina y comedor</t>
  </si>
  <si>
    <t>transferencia - trabajo público en instituciones del sector público</t>
  </si>
  <si>
    <t>trabajo de terceros</t>
  </si>
  <si>
    <t>productos agroforestales</t>
  </si>
  <si>
    <t>abonos y fertilizantes</t>
  </si>
  <si>
    <t>materiales conservación calles</t>
  </si>
  <si>
    <t>materiales de construcción</t>
  </si>
  <si>
    <t>productos y/o materiales específicos para tratamiento de residuos</t>
  </si>
  <si>
    <t>alquileres de maquinarias, equipos y medios de transporte</t>
  </si>
  <si>
    <t>mantenimiento y limpieza de espacios públicos</t>
  </si>
  <si>
    <t>transferencia - trabajo público en obras de infraestructura por fopoi</t>
  </si>
  <si>
    <t>barrido, limpieza y riego de calles</t>
  </si>
  <si>
    <t>energía eléctrica para alumbrado público, semáforos y otros</t>
  </si>
  <si>
    <t>otros servicios públicos municipales</t>
  </si>
  <si>
    <t>CONSTRUCCIONES EN BIENES DE DOMINIO PÚBLICO</t>
  </si>
  <si>
    <t>red de gas</t>
  </si>
  <si>
    <t>pavimentación</t>
  </si>
  <si>
    <t>cordón cuneta</t>
  </si>
  <si>
    <t>iluminación y alumbrado público</t>
  </si>
  <si>
    <t>mantenimiento y conservación red vial urbana</t>
  </si>
  <si>
    <t>sistema de desagües pluviales</t>
  </si>
  <si>
    <t>mantenimiento y conservación calles sin pavimentar y caminos rurales</t>
  </si>
  <si>
    <t>energía eléctrica</t>
  </si>
  <si>
    <t>agua y cloacas</t>
  </si>
  <si>
    <t>gas</t>
  </si>
  <si>
    <t>correos y telégrafo</t>
  </si>
  <si>
    <t>otros servicios básicos no especificados</t>
  </si>
  <si>
    <t>suscripciones</t>
  </si>
  <si>
    <t>impuestos, derechos y tasas</t>
  </si>
  <si>
    <t>multas y recargos</t>
  </si>
  <si>
    <t>gastos y comisiones bancarias</t>
  </si>
  <si>
    <t>comisiones por recaudación</t>
  </si>
  <si>
    <t>mantenimiento y repar. sist. de seguridad, monitoreo y vigilancia y otros simil.</t>
  </si>
  <si>
    <t>APORTES DE CAPITAL</t>
  </si>
  <si>
    <t>aportes de capital a soc. del estado y/o soc. de economía mixta</t>
  </si>
  <si>
    <t>aportes de capital a instituciones públicas financieras</t>
  </si>
  <si>
    <t>aportes de capital a fondos fiduciarios</t>
  </si>
  <si>
    <t>otros aportes de capital</t>
  </si>
  <si>
    <t>TÍTULOS Y VALORES</t>
  </si>
  <si>
    <t>títulos y valores a corto y largo plazo</t>
  </si>
  <si>
    <t>PRÉSTAMOS</t>
  </si>
  <si>
    <t>préstamos a municipios y entes comunales</t>
  </si>
  <si>
    <t>otros préstamos</t>
  </si>
  <si>
    <t>OTRAS PARTICIPACIONES</t>
  </si>
  <si>
    <t>aporte fondo permanente pcial. para obras 1% - ord. 5427</t>
  </si>
  <si>
    <t>i.p.v. - fo.vi.cor.</t>
  </si>
  <si>
    <t>préstamos provinciales - fondo permanente</t>
  </si>
  <si>
    <t>ley provincial refinanciación deuda 9802</t>
  </si>
  <si>
    <t>préstamo provincial ley  - vida digna</t>
  </si>
  <si>
    <t>préstamo provincial ley  - foprop</t>
  </si>
  <si>
    <t>otros préstamos tomados</t>
  </si>
  <si>
    <t>otras amortizaciones de deudas con organismos provinciales</t>
  </si>
  <si>
    <t>fondo p/const.,reparación, mejora y/o ampliación de infraestructura</t>
  </si>
  <si>
    <t>fondo de asist. fciera.  para municipios y comunas</t>
  </si>
  <si>
    <t>CON INSTITUCIONES BANCARIAS Y FINANCIERAS</t>
  </si>
  <si>
    <t>amortización préstamos bancarios</t>
  </si>
  <si>
    <t>otras amortizaciones de deudas con instituciones financieras</t>
  </si>
  <si>
    <t>CON OTRAS ENTIDADES DEL SECTOR PRIVADO</t>
  </si>
  <si>
    <t>caja de previsión y seg. social de abog. y procur de la pcia. de cba.</t>
  </si>
  <si>
    <t>otras amortizaciones de deudas con otras entidades del sector privado</t>
  </si>
  <si>
    <t>DE TÍTULOS Y BONOS EMITIDOS POR EL ESTADO MUNICIPAL</t>
  </si>
  <si>
    <t>amortización de títulos y bonos emitidos por el estado municipal</t>
  </si>
  <si>
    <t>CON ORGANISMOS PROVINCIALES</t>
  </si>
  <si>
    <t>créditos especiales</t>
  </si>
  <si>
    <t>plan habitacional bº san martín (400 viviendas)</t>
  </si>
  <si>
    <t>útiles, artículos de librería, insumos de enseñanza</t>
  </si>
  <si>
    <t>apoyo a microemprendimientos</t>
  </si>
  <si>
    <t>servicios en talleres, cursos, programas y capacitaciones</t>
  </si>
  <si>
    <t>pasajes y abonos de transporte</t>
  </si>
  <si>
    <t>apoyo a centros vecinales</t>
  </si>
  <si>
    <t>trámites varios a personas de escasos recursos</t>
  </si>
  <si>
    <t>sistemas de atención de urgencias y emergencias</t>
  </si>
  <si>
    <t>juegos, material didáctico, de enseñanza y recreación</t>
  </si>
  <si>
    <t>insumos para diágnostico por imágenes</t>
  </si>
  <si>
    <t>transferencia escuela granja los amigos</t>
  </si>
  <si>
    <t>apoyo a proyectos y artistas o autores locales y regionales</t>
  </si>
  <si>
    <t>instrumentos musicales</t>
  </si>
  <si>
    <t>muebles y equipo educacional, cultural y recreativo</t>
  </si>
  <si>
    <t>LIBROS, REVISTAS Y OTROS ELEMENTOS COLECCIONABLES</t>
  </si>
  <si>
    <t>colecciones y elementos de biblioteca y museos</t>
  </si>
  <si>
    <t>colecciones audio-visuales (películas, grabaciones, otros)</t>
  </si>
  <si>
    <t>fletes/transporte y almacenamiento</t>
  </si>
  <si>
    <t>ayudas escolares</t>
  </si>
  <si>
    <t>PERSONAL PERMANENTE</t>
  </si>
  <si>
    <t>GABINETE DE AUTORIDADES Y PERSONAL JERÁRQUICO</t>
  </si>
  <si>
    <t>PERSONAL CONTRATADO</t>
  </si>
  <si>
    <t>otros gastos en personal contratado</t>
  </si>
  <si>
    <t>FECHA DE INICIO: 01/01/2024</t>
  </si>
  <si>
    <t>construcción, ampliación y/o mejora centros de apoyo y/o educativos</t>
  </si>
  <si>
    <t>proyecto área ferro-urbanística</t>
  </si>
  <si>
    <t>2023 ORIGINAL</t>
  </si>
  <si>
    <t>FECHA DE INICIO: 01/01/2024.</t>
  </si>
  <si>
    <t>JEFE DE PROGRAMA: A designar</t>
  </si>
  <si>
    <t>ampliación y/o mejora anfiteatro</t>
  </si>
  <si>
    <t>ampliación, revalorización y/o mejora de la costanera</t>
  </si>
  <si>
    <t>construcción, ampliación y/o mejora edif./ espacios culturales y recreativos</t>
  </si>
  <si>
    <t>construcción, ampliación y/o mejora edif. hogar de ancianos</t>
  </si>
  <si>
    <t>construcción, ampliación y/o mejora centros de salud</t>
  </si>
  <si>
    <t>FECHA DE INICIO: 01/01/2024..</t>
  </si>
  <si>
    <t>CULTURA Y EDUCACION</t>
  </si>
  <si>
    <t>SALUD Y PREVENCION</t>
  </si>
  <si>
    <t>DESARROLLO URBANISTICO</t>
  </si>
  <si>
    <t>INCLUSION SOCIAL</t>
  </si>
  <si>
    <t>SEGURIDAD CIUDADANA</t>
  </si>
  <si>
    <t>TRANSPARENCIA</t>
  </si>
  <si>
    <t>AUTOSUSTENTABILIDAD FINANCIERA</t>
  </si>
  <si>
    <t>RESGUARDO LEGAL</t>
  </si>
  <si>
    <t>espacios verdes y pcos-creación, revalor.y/o mejora parques, plazas y otros esp.</t>
  </si>
  <si>
    <t>revalorización sector céntrico</t>
  </si>
  <si>
    <t>otras obras y/o proyectos</t>
  </si>
  <si>
    <t>ciclovías</t>
  </si>
  <si>
    <t>Fondo Municipal de Ayuda a Bomberos Voluntarios Villa María</t>
  </si>
  <si>
    <t>FECHA INICIO: 01/01/2024.</t>
  </si>
  <si>
    <t>EDUCACION Y CULTURA</t>
  </si>
  <si>
    <t>DESARROLLO URBANISTICO Y PROTECCION DEL MEDIO AMBIENTE</t>
  </si>
  <si>
    <t>INCLUSION SOCIAL - ACCESIBILIDAD Y MAYORES OPORTUNIDADES PARA TODOS</t>
  </si>
  <si>
    <t>TRANSPARENCIA - BUENAS PRACTICAS DE GESTION Y CUMPLIMIENTO DE ESTANDARES INTERNACIONALES EN LA ADMINISTRACION</t>
  </si>
  <si>
    <t>RESGUARDO LEGAL - APOYO INSTITUCIONAL Y DE LAS PERSONAS</t>
  </si>
  <si>
    <t>OTROS (CONCEJO - AUDITORIA - TRIB.CTAS….)</t>
  </si>
  <si>
    <t>POLITICA DE GESTIÓN</t>
  </si>
  <si>
    <t>FUENTES DE INGRESOS</t>
  </si>
  <si>
    <t xml:space="preserve">PROGRAMA: </t>
  </si>
  <si>
    <t>UNIDAD EJECUTORA: Sec. Unidad Intendencia</t>
  </si>
  <si>
    <t>UNIDAD EJECUTORA: Departamento Ejecutivo Municipal.</t>
  </si>
  <si>
    <t xml:space="preserve">COMUNICACIÓN INSTITUCIONAL - PRENSA Y DIFUSIÓN </t>
  </si>
  <si>
    <t>INTERNALIZACION Y COMPETITIVIDAD</t>
  </si>
  <si>
    <t>UNIDAD EJECUTORA: Secretaría de Economía, Transformación Digital y Des. Productivo</t>
  </si>
  <si>
    <t>UNIDAD EJECUTORA: Subsecretaría de Ingresos Públicos.</t>
  </si>
  <si>
    <t>JEFE DE PROGRAMA: Cra. Victoria PONCIO.</t>
  </si>
  <si>
    <t>JEFE DE PROGRAMA: Cr. Javier SUPPO y Sra. Fabiana LOPEZ.</t>
  </si>
  <si>
    <t>UNIDAD EJECUTORA: Unidad de Administració Financiera.</t>
  </si>
  <si>
    <t>JEFE DE PROGRAMA: Cra. Mariela BOAGLIO.</t>
  </si>
  <si>
    <t>UNIDAD EJECUTORA: Subsecretaría de Sistemas y Transformación Digital.</t>
  </si>
  <si>
    <t>JEFE DE PROGRAMA: Ing. Pablo ROSSO.</t>
  </si>
  <si>
    <t>JEFE DE PROGRAMA: Cr. Guillermo PIECKENSTAINER.</t>
  </si>
  <si>
    <t>GOBIERNO ABIERTO - TRANSPARENCIA</t>
  </si>
  <si>
    <t>UNIDAD EJECUTORA:</t>
  </si>
  <si>
    <t>PROGRAMA: COORDINACIÓN Y ADMINISTRACIÓN DE LA SECRETARÍA DE  EDUCACIÓN E IGUALDAD</t>
  </si>
  <si>
    <t>UNIDAD EJECUTORA: Secretaría de Educación e Igualdad.</t>
  </si>
  <si>
    <t>JEFE DE PROGRAMA: Lic. Adela Ghirardeli.</t>
  </si>
  <si>
    <t>PROGRAMA: COORDINACIÓN Y ADMINISTRACIÓN DE LA SUBSECRETARÍA DE EDUCACIÓN Y DERECHOS HUMANOS</t>
  </si>
  <si>
    <t>JEFE DE PROGRAMA: Intendente Eduardo Accastello.</t>
  </si>
  <si>
    <t>JEFE DE PROGRAMA: Sr. Agustín Turletti.</t>
  </si>
  <si>
    <t>PROGRAMA: RELACIONES INSTITUCIONALES, POLITICAS, CULTO Y GUBERNAMENTAL</t>
  </si>
  <si>
    <t>UNIDAD EJECUTORA: Secretaría de Gobierno, Cultura y Relaciones Institucionales.</t>
  </si>
  <si>
    <t>JEFE DE PROGRAMA: Lic. Marcos Bovo.</t>
  </si>
  <si>
    <t>1306</t>
  </si>
  <si>
    <t>1307</t>
  </si>
  <si>
    <t>UNIDAD EJECUTORA: Secretaría de Prevención, Seguridad y Convivencia Urbana.</t>
  </si>
  <si>
    <t>JEFE DE PROGRAMA: Sra. Guadalupe Vázquez.</t>
  </si>
  <si>
    <t>1001</t>
  </si>
  <si>
    <t>1002</t>
  </si>
  <si>
    <t>1003</t>
  </si>
  <si>
    <t>PROGRAMA: PLANIFICACION  Y EJECUCION DE PROYECTOS PARTICIPATIVOS</t>
  </si>
  <si>
    <t xml:space="preserve">PROGRAMA: PREVENCIÓN COMUNITARIA Y SEGURIDAD CIUDADANA </t>
  </si>
  <si>
    <t>PROGRAMAS CULTURALES</t>
  </si>
  <si>
    <t>1406</t>
  </si>
  <si>
    <t>1407</t>
  </si>
  <si>
    <t>UNIDAD EJECUTORA: Contaduría General - Dir. Compras, Suministros y Logísticas</t>
  </si>
  <si>
    <t>JEFE DE PROGRAMA: Cr. Javier SUPPO.</t>
  </si>
  <si>
    <t>UNIDAD EJECUTORA: Contaduría General.</t>
  </si>
  <si>
    <t>JEFE DE PROGRAMA: Dr. César RIVERA.</t>
  </si>
  <si>
    <t>PROGRAMA: HOGAR DE ANCIANOS - RESIDENCIA ROBERO VELO DE IPOLA</t>
  </si>
  <si>
    <t>PROGRAMA: CENTRO PRIMARIO DE ATENCION DE LA SALUD MENTAL</t>
  </si>
  <si>
    <t>PROGRAMA: PROGRAMA DE GESTION INTEGRAL PRIMARIA DE LA SALUD - ADMINISTRACION Y PLANEAMIENTO</t>
  </si>
  <si>
    <t>DEL SISTEMA DE SALUD MUNICIPAL - CAPS</t>
  </si>
  <si>
    <t>GESTION SANITARIA Y FORTALECIMIENTO</t>
  </si>
  <si>
    <t>PROGRAMA: ASISTENCIA PÚBLICA Y CENTRO ODONTOLÓGICO RAMÓN CARRILLO</t>
  </si>
  <si>
    <t>PROGRAMA: COORDINACIÓN Y ADMINISTRACIÓN DE LA SECRETARÍA DE INFRAESTRUCTURA, DESARROLLO URBANO Y AMBIENTE</t>
  </si>
  <si>
    <t>UNIDAD EJECUTORA: Secretaría de Infraestructura, Desarrollo Urbano y Ambiente.</t>
  </si>
  <si>
    <t>JEFE DE PROGRAMA: Cra. Alejandra BARBERO.</t>
  </si>
  <si>
    <t>PROGRAMA: COORDINACIÓN Y ADMINISTRACIÓN DE INFRAESTRUCTURA Y PROYECTOS</t>
  </si>
  <si>
    <t>PROGRAMA: COORDINACIÓN Y ADMINISTRACIÓN DE CATASTRO</t>
  </si>
  <si>
    <t>PROGRAMA: CENTROS DE GESTION COMUNITARIA NORTE Y SUR</t>
  </si>
  <si>
    <t>PROGRAMA: PROGRAMAS INTERINSTITUCIONALES</t>
  </si>
  <si>
    <t>PROGRAMA: COORDINACION TERRITORIAL DE MUNICERCAS</t>
  </si>
  <si>
    <t xml:space="preserve">PROGRAMA: CONSEJO MUNICIPAL DE CULTURA </t>
  </si>
  <si>
    <t>PROGRAMA: SERVICIOS GENERALES AL PALACIO - MOVILIDAD Y MAYORDOMIA</t>
  </si>
  <si>
    <t>1101</t>
  </si>
  <si>
    <t>1102</t>
  </si>
  <si>
    <t>1203</t>
  </si>
  <si>
    <t>1205</t>
  </si>
  <si>
    <t>1206</t>
  </si>
  <si>
    <t>PROGRAMA: ADMINISTRACIÓN DE LA SUBSECRETARÍA DE  CULTURA</t>
  </si>
  <si>
    <t>1207</t>
  </si>
  <si>
    <t>1208</t>
  </si>
  <si>
    <t>1210</t>
  </si>
  <si>
    <t>1211</t>
  </si>
  <si>
    <t>PROGRAMA: CUIDADO ANIMAL - CENTRO DE ADOPCIÓN MUNICIPAL</t>
  </si>
  <si>
    <t>PROGRAMA: ADMINISTRACION DE MOVILIDAD URBANA</t>
  </si>
  <si>
    <t>PROGRAMA: PARTICIPACIÓN Y MEDIACION VECINAL</t>
  </si>
  <si>
    <t>1402</t>
  </si>
  <si>
    <t>1403</t>
  </si>
  <si>
    <t>1404</t>
  </si>
  <si>
    <t>1405</t>
  </si>
  <si>
    <t>1408</t>
  </si>
  <si>
    <t>1409</t>
  </si>
  <si>
    <t>1410</t>
  </si>
  <si>
    <t>1411</t>
  </si>
  <si>
    <t>1412</t>
  </si>
  <si>
    <t>1414</t>
  </si>
  <si>
    <t>1503</t>
  </si>
  <si>
    <t xml:space="preserve">SUBPROGRAMA: SEGURIDAD ALIMENTARIA </t>
  </si>
  <si>
    <t>1513</t>
  </si>
  <si>
    <t>1514</t>
  </si>
  <si>
    <t>1515</t>
  </si>
  <si>
    <t>1516</t>
  </si>
  <si>
    <t>1517</t>
  </si>
  <si>
    <t>1518</t>
  </si>
  <si>
    <t>1519</t>
  </si>
  <si>
    <t>1520</t>
  </si>
  <si>
    <t>TRANSFERENCIAS AL SECTOR PUBLICO</t>
  </si>
  <si>
    <t>1701</t>
  </si>
  <si>
    <t>1702</t>
  </si>
  <si>
    <t>1703</t>
  </si>
  <si>
    <t>1704</t>
  </si>
  <si>
    <t>PROGRAMA: CENTRO MUNICIPAL PARA LA PREVENCIÓN Y RECUPERACION DE LAS ADICCIONES Y U.I.S.P.</t>
  </si>
  <si>
    <t>transferencia - trabajo público en instituciones del sector privado</t>
  </si>
  <si>
    <t>transferencias/subsidios a sociedades del estado y/o economía mixta</t>
  </si>
  <si>
    <t>1401</t>
  </si>
  <si>
    <t>1620-01</t>
  </si>
  <si>
    <t>1620-02</t>
  </si>
  <si>
    <t>1620-03</t>
  </si>
  <si>
    <t>1620-04</t>
  </si>
  <si>
    <t>1106</t>
  </si>
  <si>
    <t>1106-01</t>
  </si>
  <si>
    <t>Sueldos y Salarios Personal Permanente</t>
  </si>
  <si>
    <t>Contribuciones Patronales Personal Permanente</t>
  </si>
  <si>
    <t>Seguros Personal Permanente</t>
  </si>
  <si>
    <t>Indemnizaciones Personal Permanente</t>
  </si>
  <si>
    <t>Asignaciones Familiares Personal Permanente</t>
  </si>
  <si>
    <t>Otros Gastos en Personal Permanente</t>
  </si>
  <si>
    <t>Sueldos y Salarios Autoridades y Personal Jerárquico</t>
  </si>
  <si>
    <t>Contribuciones Patronales Autoridades y Personal Jerárquico</t>
  </si>
  <si>
    <t>Seguros Autoridades y Personal Jerárquico</t>
  </si>
  <si>
    <t>Indemnizaciones Autoridades y Personal Jerárquico</t>
  </si>
  <si>
    <t>Asignaciones Familiares Autoridades y Personal Jerárquico</t>
  </si>
  <si>
    <t>Otros Gastos en Autoridades y Personal Jerárquico</t>
  </si>
  <si>
    <t>Sueldos y Salarios Personal Contratado</t>
  </si>
  <si>
    <t>Contribuciones Patronales Personal Contratado</t>
  </si>
  <si>
    <t>Seguros Personal Contratado</t>
  </si>
  <si>
    <t>Indemnizaciones Personal Contratado</t>
  </si>
  <si>
    <t>Asignaciones Familiares Personal Contratado</t>
  </si>
  <si>
    <t>1001-01</t>
  </si>
  <si>
    <t>211203</t>
  </si>
  <si>
    <t>21120302</t>
  </si>
  <si>
    <t>211204</t>
  </si>
  <si>
    <t>21120401</t>
  </si>
  <si>
    <t>211209</t>
  </si>
  <si>
    <t>21120906</t>
  </si>
  <si>
    <t>21120702</t>
  </si>
  <si>
    <t>211207</t>
  </si>
  <si>
    <t>21120709</t>
  </si>
  <si>
    <t>21120711</t>
  </si>
  <si>
    <t>21120805</t>
  </si>
  <si>
    <t>211208</t>
  </si>
  <si>
    <t>21120901</t>
  </si>
  <si>
    <t>21120907</t>
  </si>
  <si>
    <t>211302</t>
  </si>
  <si>
    <t>21130204</t>
  </si>
  <si>
    <t>211305</t>
  </si>
  <si>
    <t>21130502</t>
  </si>
  <si>
    <t>211306</t>
  </si>
  <si>
    <t>21130607</t>
  </si>
  <si>
    <t>21130608</t>
  </si>
  <si>
    <t>211307</t>
  </si>
  <si>
    <t>211307010</t>
  </si>
  <si>
    <t>211307020</t>
  </si>
  <si>
    <t>211308</t>
  </si>
  <si>
    <t>21130803</t>
  </si>
  <si>
    <t>21130804</t>
  </si>
  <si>
    <t>21130805</t>
  </si>
  <si>
    <t>21130806</t>
  </si>
  <si>
    <t>211309</t>
  </si>
  <si>
    <t>21130901</t>
  </si>
  <si>
    <t>21130903</t>
  </si>
  <si>
    <t>21130906</t>
  </si>
  <si>
    <t>21130908</t>
  </si>
  <si>
    <t>221104</t>
  </si>
  <si>
    <t>22110401</t>
  </si>
  <si>
    <t>221107</t>
  </si>
  <si>
    <t>22110702</t>
  </si>
  <si>
    <t>211303</t>
  </si>
  <si>
    <t>21130301</t>
  </si>
  <si>
    <t>21130306</t>
  </si>
  <si>
    <t>21130307</t>
  </si>
  <si>
    <t>21130604</t>
  </si>
  <si>
    <t>21130701</t>
  </si>
  <si>
    <t>22110404</t>
  </si>
  <si>
    <t>211401</t>
  </si>
  <si>
    <t>21140102</t>
  </si>
  <si>
    <t>21140103</t>
  </si>
  <si>
    <t>21140104</t>
  </si>
  <si>
    <t>21140108</t>
  </si>
  <si>
    <t>21140109</t>
  </si>
  <si>
    <t>211402</t>
  </si>
  <si>
    <t>21140203</t>
  </si>
  <si>
    <t>21140209</t>
  </si>
  <si>
    <t>21140212</t>
  </si>
  <si>
    <t>21140213</t>
  </si>
  <si>
    <t>PROGRAMA: GESTIÓN Y ADMINISTRACIÓN DE DESARROLLO URBANO Y ESPACIOS PÚBLICOS</t>
  </si>
  <si>
    <t>PROGRAMA: COORDINACIÓN Y ADMINISTRACIÓN DEL CORRALÓN MUNICIPAL</t>
  </si>
  <si>
    <t>1209</t>
  </si>
  <si>
    <t xml:space="preserve">PROGRAMA: ATENCIÓN CIUDADANA </t>
  </si>
  <si>
    <t>JEFE DE PROGRAMA: Rodrigo Fraire.</t>
  </si>
  <si>
    <t>PROGRAMA: COORDINACIÓN Y ADMINISTRACIÓN DE LA SECRETARÍA DE PREVENCION, SEGURIDAD CIUDADANA Y CONVIVENCIA URBANA.</t>
  </si>
  <si>
    <t>PROGRAMA: FUNCIONAMENTO NUEVA GUARDIA LOCAL</t>
  </si>
  <si>
    <t>PROGRAMA: APOYO INSTITUCIONAL A BOMBEROS VOLUNTARIOS DE VILLA MARIA</t>
  </si>
  <si>
    <t>PROGRAMA: ADMINISTRACIÓN FINANCIERA Y GESTIÓN CREDITICIA - TESORERÍA</t>
  </si>
  <si>
    <t>PROGRAMA: PROMOCIÓN DEL EMPLEO Y EMPRENDEDURISMO</t>
  </si>
  <si>
    <t>PROGRAMA: COORDINACIÓN, GESTIÓN Y ADMINISTRACIÓN DE LA SECRETARÍA DE  ECONOMÍA, TRANSFORMACIÓN DIGITAL Y DESARROLLO PRODUCTIVO</t>
  </si>
  <si>
    <t>PROGRAMA: CENTRO COMUNITARIO DE INCLUSIÓN INTEGRAL</t>
  </si>
  <si>
    <t>PROGRAMA: POLÍTICAS Y PROGRAMAS INTEGRALES DE NIÑECES</t>
  </si>
  <si>
    <t>PROGRAMA: POLÍTICAS Y PROGRAMAS INTEGRALES DE JUVENTUDES</t>
  </si>
  <si>
    <t>PROGRAMA:  CONSEJO Y POLÍTICAS INTEGRALES DE PERSONAS MAYORES</t>
  </si>
  <si>
    <t>SUBPROGRAMA: PROGRAMAS DE EDUCACION PERMANENTE, DESARROLLO DE HABILIDADES Y RECREACIÓN</t>
  </si>
  <si>
    <t>SUBPROGRAMA: BALLET OFICIAL DE PERSONAS MAYORES MUNICIPAL VILLA MARÍA</t>
  </si>
  <si>
    <t>PROGRAMA: COORDINACIÓN DE DERECHOS SOCIALES, GÉNERO Y DIVERSIDADES</t>
  </si>
  <si>
    <t>PROGRAMA: POLÍTICAS DE INCLUSIÓN DE PERSONAS CON DISCAPACIDAD  - CONSEJO ASESOR</t>
  </si>
  <si>
    <t>PROGRAMA: COORDINACIÓN DE CENTROS Y TALLERES</t>
  </si>
  <si>
    <t>PROGRAMA: PROGRAMA INTERCULTURAL Y DE EQUIDAD ÉTNICA.</t>
  </si>
  <si>
    <t>PROGRAMA: ASISTENCIA AL LIBERADO</t>
  </si>
  <si>
    <t>PROGRAMA: COORDINACIÓN DE ECONOMÍA SOCIAL Y SOLIDARIA</t>
  </si>
  <si>
    <t>SUBPROGRAMA: AHORA LOS CHICOS, EN EL BARRIO Y LA CIUDAD</t>
  </si>
  <si>
    <t>1514-01</t>
  </si>
  <si>
    <t>PROGRAMA: RED DE FORMACIÓN Y APRENDIZAJE - CENTRO DE ALFABETIZACIÓN</t>
  </si>
  <si>
    <t>SUBPROGRAMA: PROGRAMAS Y EQUIPOS TÉCNICOS - APOYO ESCOLAR Y MUSEO PEDAGÓGICO</t>
  </si>
  <si>
    <t>SUBPROGRAMA: EDUCACIÓN PARA JÓVENES Y ADULTOS</t>
  </si>
  <si>
    <t>PROGRAMA: VILLA MARÍA CIUDAD DEL APRENDIZAJE - UNESCO</t>
  </si>
  <si>
    <t>PROGRAMA: CORD. DE EDUCACIÓN INICIAL, CENTROS DE PROMOCION FAMILIAR, APOYO AL APRENDIZAJE Y JARDINES MATERNALES</t>
  </si>
  <si>
    <t>PROGRAMA: TECNOTECA, CIENCIA Y TECNOLOGÍA</t>
  </si>
  <si>
    <t>PROGRAMA:  MEDIOTECA - LECTURA, EDUCACIÓN E INFORMACIÓN</t>
  </si>
  <si>
    <t>1506-01</t>
  </si>
  <si>
    <t>1506-02</t>
  </si>
  <si>
    <t>1506-03</t>
  </si>
  <si>
    <t>1507-01</t>
  </si>
  <si>
    <t>1507-02</t>
  </si>
  <si>
    <t>1512-01</t>
  </si>
  <si>
    <t>1515-01</t>
  </si>
  <si>
    <t>1515-02</t>
  </si>
  <si>
    <t>PROGRAMA: GESTIÓN Y PROMOCIÓN AMBIENTAL</t>
  </si>
  <si>
    <t>PROGRAMA: HIGIENE URBANA Y CONTROL AMBIENTAL</t>
  </si>
  <si>
    <t>PROGRAMA: COORDINACIÓN Y ADMINISTRACIÓN DE OBRAS PRIVADAS</t>
  </si>
  <si>
    <t>PROGRAMA:  CDI NICOLÁS AVELLANEDA</t>
  </si>
  <si>
    <t xml:space="preserve">PROGRAMA: CDI PADRE MUGICA </t>
  </si>
  <si>
    <t>SUBPROGRAMA:  PAVIMENTACIÓN, REPAVIMENTACIÓN Y OBRAS DE CORDÓN CUNETA</t>
  </si>
  <si>
    <t>UNIDAD EJECUTORA: Secretaría de Infraestructura, Desarrollo Urbano y Ambiente - IMI.</t>
  </si>
  <si>
    <t>UNIDAD EJECUTORA: Secretaría de Ambiente, Obras y Servicios Públicos - IMI.</t>
  </si>
  <si>
    <t>UNIDAD EJECUTORA: Secretaría de Ambiente, Obras y Servicios Públicos.</t>
  </si>
  <si>
    <t>PROGRAMA: ASESORÍA LETRADA - COORDINACIÓN LEGAL Y TÉCNICA - MESA DE ENTRADA</t>
  </si>
  <si>
    <t>PROGRAMA: RELACIONES, VINCULACIONES Y SEGUIMIENTO A ENTES, SOCIEDADES</t>
  </si>
  <si>
    <t>PROGRAMA: COORDINACIÓN Y ADMINISTRACION DEL ARCHIVO GENERAL</t>
  </si>
  <si>
    <t>JEFE DE PROGRAMA: Ab. Franco VALZACCHI.</t>
  </si>
  <si>
    <t>SUBPROGRAMA: JUSTICIA ADMINISTRATIVA MUNICIPAL DE FALTAS</t>
  </si>
  <si>
    <t xml:space="preserve">PROGRAMA: SISTEMAS MUNICIPALES DE ATENCIÓN DE URGENCIAS Y EMERGENCIAS </t>
  </si>
  <si>
    <t>JEFE DE PROGRAMA: Ab. José María SÁNCHEZ.</t>
  </si>
  <si>
    <t>JEFE DE PROGRAMA: Ab. Juan Pablo INGLESE.</t>
  </si>
  <si>
    <t>JEFE DE PROGRAMA: Prof. Rafael SACHETTO.</t>
  </si>
  <si>
    <t>PROGRAMA: GESTIÓN DE SERVICIOS PÚBLICOS - CONTROL Y MANTENIMIENTO URBANO</t>
  </si>
  <si>
    <t xml:space="preserve">PROGRAMA: RESTAURACIÓN Y PUESTA EN VALOR SECTORES FERRO-URBANOS (TUNEL HERMANOS SECO) </t>
  </si>
  <si>
    <t>PROGRAMA: MANTENIMIENTO DE VEREDAS EN ESPACIOS PÚBLICOS Y EXTENSIÓN DE CICLOVIAS</t>
  </si>
  <si>
    <t>PROGRAMA: “REFUNCIONALIZACIÓN DE LOS 4 BULEVARES”</t>
  </si>
  <si>
    <t>PROGRAMA: EXTENSIÓN OBRA CENTRO COMERCIAL A CIELO ABIERTO</t>
  </si>
  <si>
    <t>PROGRAMA: MANTENIMIENTO Y MEJORAS ANFITEATRO MUNICIPAL Y ENTORNO COSTANERA</t>
  </si>
  <si>
    <t>PROGRAMA: MANTENIMIENTO Y REVALORIZACIÓN DE PLAZAS, PLAZOLETAS Y PLAYONES/ESPC. DEPORTIVOS Y RECRETIVOS</t>
  </si>
  <si>
    <t>SUBPROGRAMA: RECAMBIO DE ILUMINACIÓN 100% LED</t>
  </si>
  <si>
    <t>PROGRAMA: OBRAS DE INFRAESTRUCTURA URBANA Y SERVICIOS PÚBLICOS</t>
  </si>
  <si>
    <t xml:space="preserve">PROGRAMA: REFACCIONES Y MEJORAS CAPS Y ASISTENCIA PÚBLICA </t>
  </si>
  <si>
    <t>PROGRAMA: REFACCIONES Y MEJORAS HOGAR DE ANCIANOS MUNICIPAL</t>
  </si>
  <si>
    <t>PROGRAMA: SALA DE MONITOREO</t>
  </si>
  <si>
    <t>PROGRAMA: REVALORIZACIÓN Y  MEJORAS ESPACIOS DE INCLUSIÓN SOCIAL Y PROMOCIÓN FAMILIAR</t>
  </si>
  <si>
    <t>PROGRAMA: MANTENIMIENTO Y PUESTA EN VALOR DE EDIFICIOS CULTURALES Y RECREATIVOS DE LA CIUDAD</t>
  </si>
  <si>
    <t>PROGRAMA: MANTENIMIENTO Y REVALORIZACIÓN DE INMUEBLES MUNICIPALES</t>
  </si>
  <si>
    <t>PROGRAMA: MEJORAS CONTINUAS Y CERTIFICACIONES DE NORMAS DE CALIDAD</t>
  </si>
  <si>
    <t>PROGRAMA: GESTIÓN DE RECAUDACIÓN E INTELIGENCIA FISCAL - PROCURACIÓN</t>
  </si>
  <si>
    <t>PROGRAMA: COMPRAS, SUMINISTROS Y LOGÍSTICA - INVENTARIO Y PATRIMONIO</t>
  </si>
  <si>
    <t>PROGRAMA:  CONTADURÍA GENERAL, PRESUPUESTO  Y CONTROL DE GESTIÓN Y PROCEDIMIENTOS</t>
  </si>
  <si>
    <t>PROGRAMA: INFRAESTRUCTURA DE TECNOLOGÍAS SISTEMAS Y SEGURIDAD TIC</t>
  </si>
  <si>
    <t>PROGRAMA: INNOVACIÓN DEL ESTADO - CIUDAD INTELIGENTE  Y PLANEAMIENTO DIGITAL</t>
  </si>
  <si>
    <t>PROGRAMA: POLÍTICAS DE INNOVACIÓN EN EL DESARROLLO PRODUCTIVO, EL COMERCIO Y LA INDUSTRIA</t>
  </si>
  <si>
    <t>PROGRAMA: COORDINACIÓN Y ADMINISTRACIÓN DE LA SECRETARÍA DE GOBIERNO, CULTURA Y RELACIONES INSTITUCIONALES</t>
  </si>
  <si>
    <t>PROGRAMA: COORDINACIÓN, GESTIÓN Y ADMINISTRACIÓN DE LA DIRECCION DE CAPITAL HUMANO</t>
  </si>
  <si>
    <t xml:space="preserve">PROGRAMA: COORDINACIÓN Y ADMINISTRACIÓN DE UNIDAD INTENDENCIA Y  OFICINA PRIVADA </t>
  </si>
  <si>
    <t>PROGRAMA: ORGANIZACIÓN DE EVENTOS, CEREMONIAL  Y PROTOCOLO</t>
  </si>
  <si>
    <t>PROGRAMA:  REGISTRO CIVIL</t>
  </si>
  <si>
    <t>SUBPROGRAMA: FUNCIONAMIENTO OPERATIVO DE MUNICERCAS</t>
  </si>
  <si>
    <t>PROGRAMA: COORDINACIÓN EJECUTIVA DEL D.E.M - METAS ODS - MESA UNICA DE PROYECTOS TECNICOS</t>
  </si>
  <si>
    <t>JEFE DE PROGRAMA: Lic. Martín Ruiz.</t>
  </si>
  <si>
    <t>1 - DEPARTAMENTO EJECUTIVO MUNICIPAL</t>
  </si>
  <si>
    <t>2 - UNIDAD INTENDENCIA</t>
  </si>
  <si>
    <t>3 - SEC. DE GOBIERNO, CULTURA Y RELACIONES INSTITUCIONALES</t>
  </si>
  <si>
    <t>4 - SEC. DE PREVENCIÓN, SEGURIDAD Y CONVIVENCIA URBANA</t>
  </si>
  <si>
    <t>5 - SEC. DE ECONOMÍA, TRANSFORMACIÓN DIGITAL Y DES. PRODUCTIVO</t>
  </si>
  <si>
    <t>6 - SEC. DE EDUCACIÓN E IGUALDAD</t>
  </si>
  <si>
    <t>7 - SEC. DE INFRAESTRUCTURA, DESARROLLO URBANO Y AMBIENTE</t>
  </si>
  <si>
    <t>8 - SEC. DE SALUD</t>
  </si>
  <si>
    <t>9 - ASESORÍA LETRADA</t>
  </si>
  <si>
    <t>JUSTICIA ADMINISTRATIVA MUNICIPAL DE FALTAS</t>
  </si>
  <si>
    <t>CONCEJO DELIBERANTE</t>
  </si>
  <si>
    <t>TRIBUNAL DE CUENTAS</t>
  </si>
  <si>
    <t>AUDITORÍA GENERAL</t>
  </si>
  <si>
    <t>ENTE DE CONTROL DE SERVICIOS MUNICIPALES</t>
  </si>
  <si>
    <t>CONSEJO ASESOR MUNICIPAL</t>
  </si>
  <si>
    <t>JUSTICIA ELECTORAL</t>
  </si>
  <si>
    <t>TRIBUNAL ADMINISTRATIVO DE ADMISIONES Y CONCURSOS</t>
  </si>
  <si>
    <t>TRIBUNAL MUNICIPAL DE RECLAMOS Y APELACIONES FISCALES</t>
  </si>
  <si>
    <t>PARTICIPACIÓN EN IMPUESTOS NACIONALES/PROVINCIALES Y DISTRIBUCIÓN DE OTROS FONDOS</t>
  </si>
  <si>
    <t>Coparticipación Impositiva - Ley 8663</t>
  </si>
  <si>
    <t>FO.DE.M.E.E.P. - Ley 9835</t>
  </si>
  <si>
    <t>FA.SA.MU.</t>
  </si>
  <si>
    <t>CONSENSO FISCAL-27429</t>
  </si>
  <si>
    <t xml:space="preserve">   BONO POR CONSENSO FISCALL</t>
  </si>
  <si>
    <t>FOMEEP-(Edificios y móviles policiales)</t>
  </si>
  <si>
    <t>SLOTS Y JUEGOS DE AZAR-FONDOS  DISTRIBUIDOS POR LOTERIA DE CORDOBA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</si>
</sst>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4" formatCode="_-&quot;$&quot;\ * #,##0.00_-;\-&quot;$&quot;\ * #,##0.00_-;_-&quot;$&quot;\ * &quot;-&quot;??_-;_-@_-"/>
    <numFmt numFmtId="43" formatCode="_-* #,##0.00_-;\-* #,##0.00_-;_-* &quot;-&quot;??_-;_-@_-"/>
    <numFmt numFmtId="164" formatCode="&quot;$&quot;\ #,##0.00;[Red]&quot;$&quot;\ \-#,##0.00"/>
    <numFmt numFmtId="165" formatCode="_ &quot;$&quot;\ * #,##0.00_ ;_ &quot;$&quot;\ * \-#,##0.00_ ;_ &quot;$&quot;\ * &quot;-&quot;??_ ;_ @_ "/>
    <numFmt numFmtId="166" formatCode="[$$-2C0A]\ #,##0.00"/>
    <numFmt numFmtId="167" formatCode="&quot;$&quot;\ #,##0.00"/>
    <numFmt numFmtId="168" formatCode="[$ $]#,##0.00"/>
    <numFmt numFmtId="169" formatCode="_-* #,##0.00\ _€_-;\-* #,##0.00\ _€_-;_-* &quot;-&quot;??\ _€_-;_-@"/>
    <numFmt numFmtId="170" formatCode="_-* #,##0.00\ &quot;€&quot;_-;\-* #,##0.00\ &quot;€&quot;_-;_-* &quot;-&quot;??\ &quot;€&quot;_-;_-@"/>
    <numFmt numFmtId="171" formatCode="&quot;$&quot;#,##0.00"/>
    <numFmt numFmtId="172" formatCode="[$$-2C0A]\ #,##0.00;[$$-2C0A]\ \-#,##0.00"/>
    <numFmt numFmtId="173" formatCode="_ [$$-2C0A]\ * #,##0.00_ ;_ [$$-2C0A]\ * \-#,##0.00_ ;_ [$$-2C0A]\ * &quot;-&quot;??_ ;_ @_ "/>
    <numFmt numFmtId="174" formatCode="#,##0.00\ _€"/>
    <numFmt numFmtId="175" formatCode="yyyy\-mm"/>
    <numFmt numFmtId="176" formatCode="[$$-2C0A]\ #,##0.000"/>
    <numFmt numFmtId="177" formatCode="#,##0.0"/>
    <numFmt numFmtId="178" formatCode="_-* #,##0.00\ _€_-;\-* #,##0.00\ _€_-;_-* &quot;-&quot;??\ _€_-;_-@_-"/>
    <numFmt numFmtId="179" formatCode="_(* #,##0.00_);_(* \(#,##0.00\);_(* &quot;-&quot;??_);_(@_)"/>
    <numFmt numFmtId="180" formatCode="_-&quot;$&quot;* #,##0.00_-;\-&quot;$&quot;* #,##0.00_-;_-&quot;$&quot;* &quot;-&quot;??_-;_-@_-"/>
  </numFmts>
  <fonts count="107">
    <font>
      <sz val="10"/>
      <color rgb="FF000000"/>
      <name val="Arial"/>
    </font>
    <font>
      <b/>
      <sz val="10"/>
      <color theme="1"/>
      <name val="Arial Narrow"/>
      <family val="2"/>
    </font>
    <font>
      <sz val="10"/>
      <color theme="1"/>
      <name val="Arial Narrow"/>
      <family val="2"/>
    </font>
    <font>
      <sz val="10"/>
      <color theme="1"/>
      <name val="Arial"/>
      <family val="2"/>
    </font>
    <font>
      <b/>
      <sz val="10"/>
      <color theme="0"/>
      <name val="Arial Narrow"/>
      <family val="2"/>
    </font>
    <font>
      <sz val="8"/>
      <color theme="1"/>
      <name val="Arial"/>
      <family val="2"/>
    </font>
    <font>
      <b/>
      <sz val="8"/>
      <color theme="1"/>
      <name val="Arial"/>
      <family val="2"/>
    </font>
    <font>
      <sz val="9"/>
      <color theme="1"/>
      <name val="Arial Narrow"/>
      <family val="2"/>
    </font>
    <font>
      <b/>
      <sz val="9"/>
      <color theme="0"/>
      <name val="Arial Narrow"/>
      <family val="2"/>
    </font>
    <font>
      <b/>
      <sz val="9"/>
      <color theme="1"/>
      <name val="Arial Narrow"/>
      <family val="2"/>
    </font>
    <font>
      <sz val="10"/>
      <name val="Arial"/>
      <family val="2"/>
    </font>
    <font>
      <b/>
      <sz val="9"/>
      <color rgb="FF000000"/>
      <name val="Arial Narrow"/>
      <family val="2"/>
    </font>
    <font>
      <b/>
      <sz val="10"/>
      <color theme="1"/>
      <name val="Arial"/>
      <family val="2"/>
    </font>
    <font>
      <sz val="9"/>
      <name val="Arial Narrow"/>
      <family val="2"/>
    </font>
    <font>
      <b/>
      <sz val="8"/>
      <color theme="1"/>
      <name val="Arial Narrow"/>
      <family val="2"/>
    </font>
    <font>
      <sz val="8"/>
      <color theme="1"/>
      <name val="Arial Narrow"/>
      <family val="2"/>
    </font>
    <font>
      <sz val="9"/>
      <color rgb="FF000000"/>
      <name val="Arial Narrow"/>
      <family val="2"/>
    </font>
    <font>
      <sz val="7"/>
      <color theme="1"/>
      <name val="Arial"/>
      <family val="2"/>
    </font>
    <font>
      <b/>
      <u/>
      <sz val="9"/>
      <color theme="1"/>
      <name val="Arial Narrow"/>
      <family val="2"/>
    </font>
    <font>
      <sz val="9"/>
      <color theme="1"/>
      <name val="Arial"/>
      <family val="2"/>
    </font>
    <font>
      <sz val="10"/>
      <color theme="0"/>
      <name val="Arial Narrow"/>
      <family val="2"/>
    </font>
    <font>
      <sz val="9"/>
      <color theme="0"/>
      <name val="Arial Narrow"/>
      <family val="2"/>
    </font>
    <font>
      <b/>
      <i/>
      <u/>
      <sz val="9"/>
      <color theme="1"/>
      <name val="Arial Narrow"/>
      <family val="2"/>
    </font>
    <font>
      <b/>
      <i/>
      <u/>
      <sz val="8"/>
      <color theme="1"/>
      <name val="Arial"/>
      <family val="2"/>
    </font>
    <font>
      <b/>
      <i/>
      <u/>
      <sz val="10"/>
      <color theme="1"/>
      <name val="Arial"/>
      <family val="2"/>
    </font>
    <font>
      <b/>
      <sz val="9"/>
      <color rgb="FFC00000"/>
      <name val="Arial Narrow"/>
      <family val="2"/>
    </font>
    <font>
      <sz val="7"/>
      <color theme="1"/>
      <name val="Arial Narrow"/>
      <family val="2"/>
    </font>
    <font>
      <sz val="11"/>
      <color theme="1"/>
      <name val="Arial Narrow"/>
      <family val="2"/>
    </font>
    <font>
      <sz val="9"/>
      <color theme="1"/>
      <name val="Courier New"/>
      <family val="3"/>
    </font>
    <font>
      <b/>
      <sz val="10"/>
      <color rgb="FF000000"/>
      <name val="Arial Narrow"/>
      <family val="2"/>
    </font>
    <font>
      <sz val="10"/>
      <color rgb="FF000000"/>
      <name val="Arial Narrow"/>
      <family val="2"/>
    </font>
    <font>
      <b/>
      <u/>
      <sz val="10"/>
      <color rgb="FF000000"/>
      <name val="Arial Narrow"/>
      <family val="2"/>
    </font>
    <font>
      <b/>
      <u/>
      <sz val="9"/>
      <color theme="1"/>
      <name val="Arial Narrow"/>
      <family val="2"/>
    </font>
    <font>
      <b/>
      <u/>
      <sz val="8"/>
      <color theme="1"/>
      <name val="Balthazar"/>
    </font>
    <font>
      <b/>
      <u/>
      <sz val="8"/>
      <color theme="1"/>
      <name val="Balthazar"/>
    </font>
    <font>
      <b/>
      <sz val="8"/>
      <color theme="1"/>
      <name val="Balthazar"/>
    </font>
    <font>
      <sz val="7"/>
      <color theme="1"/>
      <name val="Balthazar"/>
    </font>
    <font>
      <b/>
      <sz val="7"/>
      <color theme="1"/>
      <name val="Balthazar"/>
    </font>
    <font>
      <sz val="12"/>
      <color rgb="FFFF0000"/>
      <name val="Times New Roman"/>
      <family val="1"/>
    </font>
    <font>
      <b/>
      <sz val="11"/>
      <color theme="0"/>
      <name val="Arial Narrow"/>
      <family val="2"/>
    </font>
    <font>
      <u/>
      <sz val="10"/>
      <color theme="1"/>
      <name val="Arial Narrow"/>
      <family val="2"/>
    </font>
    <font>
      <b/>
      <sz val="7"/>
      <color rgb="FFC00000"/>
      <name val="Arial Narrow"/>
      <family val="2"/>
    </font>
    <font>
      <b/>
      <sz val="10"/>
      <color rgb="FFC00000"/>
      <name val="Arial Narrow"/>
      <family val="2"/>
    </font>
    <font>
      <u/>
      <sz val="9"/>
      <color rgb="FF000000"/>
      <name val="Arial Narrow"/>
      <family val="2"/>
    </font>
    <font>
      <u/>
      <sz val="9"/>
      <color rgb="FF000000"/>
      <name val="Arial Narrow"/>
      <family val="2"/>
    </font>
    <font>
      <u/>
      <sz val="9"/>
      <color rgb="FF000000"/>
      <name val="Arial Narrow"/>
      <family val="2"/>
    </font>
    <font>
      <u/>
      <sz val="9"/>
      <color rgb="FF000000"/>
      <name val="Arial Narrow"/>
      <family val="2"/>
    </font>
    <font>
      <b/>
      <sz val="10"/>
      <color rgb="FFFFFFFF"/>
      <name val="Arial Narrow"/>
      <family val="2"/>
    </font>
    <font>
      <b/>
      <sz val="9"/>
      <color rgb="FFFFFFFF"/>
      <name val="Arial Narrow"/>
      <family val="2"/>
    </font>
    <font>
      <u/>
      <sz val="11"/>
      <color theme="1"/>
      <name val="Calibri"/>
      <family val="2"/>
    </font>
    <font>
      <sz val="8"/>
      <color rgb="FF000000"/>
      <name val="Arial Narrow"/>
      <family val="2"/>
    </font>
    <font>
      <sz val="8"/>
      <color rgb="FF000000"/>
      <name val="Arial"/>
      <family val="2"/>
    </font>
    <font>
      <sz val="10"/>
      <color rgb="FF000000"/>
      <name val="Arial"/>
      <family val="2"/>
    </font>
    <font>
      <sz val="9"/>
      <color rgb="FF000000"/>
      <name val="&quot;Arial Narrow&quot;"/>
    </font>
    <font>
      <b/>
      <sz val="9"/>
      <color rgb="FFFFFFFF"/>
      <name val="&quot;Arial Narrow&quot;"/>
    </font>
    <font>
      <i/>
      <sz val="10"/>
      <color theme="1"/>
      <name val="Arial Narrow"/>
      <family val="2"/>
    </font>
    <font>
      <sz val="9"/>
      <color theme="1"/>
      <name val="&quot;Arial Narrow&quot;"/>
    </font>
    <font>
      <b/>
      <sz val="11"/>
      <color theme="1"/>
      <name val="Arial Narrow"/>
      <family val="2"/>
    </font>
    <font>
      <b/>
      <i/>
      <u/>
      <sz val="10"/>
      <color theme="1"/>
      <name val="Arial Narrow"/>
      <family val="2"/>
    </font>
    <font>
      <b/>
      <i/>
      <sz val="9"/>
      <color theme="1"/>
      <name val="Arial Narrow"/>
      <family val="2"/>
    </font>
    <font>
      <i/>
      <sz val="9"/>
      <color theme="1"/>
      <name val="Arial Narrow"/>
      <family val="2"/>
    </font>
    <font>
      <b/>
      <i/>
      <sz val="9"/>
      <color rgb="FF800000"/>
      <name val="Arial Narrow"/>
      <family val="2"/>
    </font>
    <font>
      <b/>
      <i/>
      <sz val="10"/>
      <color theme="1"/>
      <name val="Arial Narrow"/>
      <family val="2"/>
    </font>
    <font>
      <b/>
      <sz val="7"/>
      <color theme="1"/>
      <name val="Arial Narrow"/>
      <family val="2"/>
    </font>
    <font>
      <b/>
      <sz val="14"/>
      <color theme="1"/>
      <name val="Arial Narrow"/>
      <family val="2"/>
    </font>
    <font>
      <sz val="9"/>
      <color rgb="FF800000"/>
      <name val="Arial Narrow"/>
      <family val="2"/>
    </font>
    <font>
      <b/>
      <sz val="9"/>
      <color rgb="FF800000"/>
      <name val="Arial Narrow"/>
      <family val="2"/>
    </font>
    <font>
      <b/>
      <i/>
      <u/>
      <sz val="9"/>
      <color theme="1"/>
      <name val="Arial Narrow"/>
      <family val="2"/>
    </font>
    <font>
      <b/>
      <i/>
      <u/>
      <sz val="9"/>
      <color theme="1"/>
      <name val="Arial Narrow"/>
      <family val="2"/>
    </font>
    <font>
      <u/>
      <sz val="9"/>
      <color theme="1"/>
      <name val="Arial Narrow"/>
      <family val="2"/>
    </font>
    <font>
      <u/>
      <sz val="9"/>
      <color theme="1"/>
      <name val="Arial Narrow"/>
      <family val="2"/>
    </font>
    <font>
      <u/>
      <sz val="10"/>
      <color theme="1"/>
      <name val="Arial Narrow"/>
      <family val="2"/>
    </font>
    <font>
      <sz val="10"/>
      <color rgb="FF000000"/>
      <name val="Arial"/>
      <family val="2"/>
    </font>
    <font>
      <sz val="10"/>
      <name val="Arial Narrow"/>
      <family val="2"/>
    </font>
    <font>
      <b/>
      <sz val="9"/>
      <name val="Arial Narrow"/>
      <family val="2"/>
    </font>
    <font>
      <b/>
      <i/>
      <u/>
      <sz val="9"/>
      <color rgb="FFFF0000"/>
      <name val="Arial Narrow"/>
      <family val="2"/>
    </font>
    <font>
      <sz val="9"/>
      <color indexed="8"/>
      <name val="Arial Narrow"/>
      <family val="2"/>
    </font>
    <font>
      <b/>
      <sz val="9"/>
      <color indexed="8"/>
      <name val="Arial Narrow"/>
      <family val="2"/>
    </font>
    <font>
      <sz val="10"/>
      <name val="Arial"/>
      <family val="2"/>
    </font>
    <font>
      <b/>
      <sz val="8"/>
      <color indexed="9"/>
      <name val="Arial Narrow"/>
      <family val="2"/>
    </font>
    <font>
      <b/>
      <sz val="8"/>
      <name val="Arial Narrow"/>
      <family val="2"/>
    </font>
    <font>
      <b/>
      <sz val="8"/>
      <color rgb="FFFF0000"/>
      <name val="Arial Narrow"/>
      <family val="2"/>
    </font>
    <font>
      <b/>
      <sz val="8"/>
      <color theme="0"/>
      <name val="Arial Narrow"/>
      <family val="2"/>
    </font>
    <font>
      <sz val="8"/>
      <color theme="0"/>
      <name val="Arial Narrow"/>
      <family val="2"/>
    </font>
    <font>
      <sz val="8"/>
      <name val="Arial Narrow"/>
      <family val="2"/>
    </font>
    <font>
      <sz val="8"/>
      <color rgb="FFFF0000"/>
      <name val="Arial Narrow"/>
      <family val="2"/>
    </font>
    <font>
      <b/>
      <sz val="10"/>
      <name val="Arial"/>
      <family val="2"/>
    </font>
    <font>
      <sz val="10"/>
      <color rgb="FF000000"/>
      <name val="Arial"/>
      <family val="2"/>
    </font>
    <font>
      <b/>
      <sz val="10"/>
      <name val="Arial Narrow"/>
      <family val="2"/>
    </font>
    <font>
      <sz val="6"/>
      <color indexed="8"/>
      <name val="Arial"/>
      <family val="2"/>
    </font>
    <font>
      <b/>
      <sz val="8"/>
      <color rgb="FF000000"/>
      <name val="Arial Narrow"/>
      <family val="2"/>
    </font>
    <font>
      <b/>
      <sz val="10"/>
      <color rgb="FF000000"/>
      <name val="Arial"/>
      <family val="2"/>
    </font>
    <font>
      <b/>
      <sz val="14"/>
      <color theme="0"/>
      <name val="Arial Narrow"/>
      <family val="2"/>
    </font>
    <font>
      <b/>
      <sz val="18"/>
      <name val="Arial"/>
      <family val="2"/>
    </font>
    <font>
      <b/>
      <sz val="18"/>
      <color rgb="FF000000"/>
      <name val="Arial"/>
      <family val="2"/>
    </font>
    <font>
      <b/>
      <sz val="14"/>
      <name val="Arial"/>
      <family val="2"/>
    </font>
    <font>
      <b/>
      <sz val="12"/>
      <name val="Arial"/>
      <family val="2"/>
    </font>
    <font>
      <sz val="9"/>
      <color theme="1"/>
      <name val="Balthazar"/>
    </font>
    <font>
      <sz val="13"/>
      <color theme="1"/>
      <name val="Arial Narrow"/>
      <family val="2"/>
    </font>
    <font>
      <sz val="8"/>
      <name val="Arial"/>
      <family val="2"/>
    </font>
    <font>
      <sz val="9"/>
      <color rgb="FF000000"/>
      <name val="Arial"/>
      <family val="2"/>
    </font>
    <font>
      <b/>
      <sz val="9"/>
      <color rgb="FF000000"/>
      <name val="Arial"/>
      <family val="2"/>
    </font>
    <font>
      <sz val="8"/>
      <name val="Arial"/>
      <family val="2"/>
    </font>
    <font>
      <b/>
      <sz val="10"/>
      <color theme="0"/>
      <name val="Arial"/>
      <family val="2"/>
    </font>
    <font>
      <b/>
      <sz val="13"/>
      <color rgb="FF000000"/>
      <name val="Arial Narrow"/>
      <family val="2"/>
    </font>
    <font>
      <b/>
      <sz val="13"/>
      <color theme="1"/>
      <name val="Arial Narrow"/>
      <family val="2"/>
    </font>
    <font>
      <b/>
      <u/>
      <sz val="13"/>
      <color theme="1"/>
      <name val="Arial Narrow"/>
      <family val="2"/>
    </font>
  </fonts>
  <fills count="62">
    <fill>
      <patternFill patternType="none"/>
    </fill>
    <fill>
      <patternFill patternType="gray125"/>
    </fill>
    <fill>
      <patternFill patternType="solid">
        <fgColor rgb="FF7F7F7F"/>
        <bgColor rgb="FF7F7F7F"/>
      </patternFill>
    </fill>
    <fill>
      <patternFill patternType="solid">
        <fgColor rgb="FF003366"/>
        <bgColor rgb="FF003366"/>
      </patternFill>
    </fill>
    <fill>
      <patternFill patternType="solid">
        <fgColor rgb="FF800000"/>
        <bgColor rgb="FF800000"/>
      </patternFill>
    </fill>
    <fill>
      <patternFill patternType="solid">
        <fgColor rgb="FFFF6600"/>
        <bgColor rgb="FFFF6600"/>
      </patternFill>
    </fill>
    <fill>
      <patternFill patternType="solid">
        <fgColor rgb="FF003300"/>
        <bgColor rgb="FF003300"/>
      </patternFill>
    </fill>
    <fill>
      <patternFill patternType="solid">
        <fgColor rgb="FF006666"/>
        <bgColor rgb="FF006666"/>
      </patternFill>
    </fill>
    <fill>
      <patternFill patternType="solid">
        <fgColor rgb="FF5F497A"/>
        <bgColor rgb="FF5F497A"/>
      </patternFill>
    </fill>
    <fill>
      <patternFill patternType="solid">
        <fgColor theme="0"/>
        <bgColor theme="0"/>
      </patternFill>
    </fill>
    <fill>
      <patternFill patternType="solid">
        <fgColor rgb="FF0F243E"/>
        <bgColor rgb="FF0F243E"/>
      </patternFill>
    </fill>
    <fill>
      <patternFill patternType="solid">
        <fgColor rgb="FFFFCC99"/>
        <bgColor rgb="FFFFCC99"/>
      </patternFill>
    </fill>
    <fill>
      <patternFill patternType="solid">
        <fgColor rgb="FFC2D69B"/>
        <bgColor rgb="FFC2D69B"/>
      </patternFill>
    </fill>
    <fill>
      <patternFill patternType="solid">
        <fgColor rgb="FFFFFF99"/>
        <bgColor rgb="FFFFFF99"/>
      </patternFill>
    </fill>
    <fill>
      <patternFill patternType="solid">
        <fgColor rgb="FFFFFFFF"/>
        <bgColor rgb="FFFFFFFF"/>
      </patternFill>
    </fill>
    <fill>
      <patternFill patternType="solid">
        <fgColor rgb="FFCC99FF"/>
        <bgColor rgb="FFCC99FF"/>
      </patternFill>
    </fill>
    <fill>
      <patternFill patternType="solid">
        <fgColor rgb="FF99CC00"/>
        <bgColor rgb="FF99CC00"/>
      </patternFill>
    </fill>
    <fill>
      <patternFill patternType="solid">
        <fgColor rgb="FF632423"/>
        <bgColor rgb="FF632423"/>
      </patternFill>
    </fill>
    <fill>
      <patternFill patternType="solid">
        <fgColor rgb="FF666666"/>
        <bgColor rgb="FF666666"/>
      </patternFill>
    </fill>
    <fill>
      <patternFill patternType="solid">
        <fgColor rgb="FF808080"/>
        <bgColor rgb="FF808080"/>
      </patternFill>
    </fill>
    <fill>
      <patternFill patternType="solid">
        <fgColor rgb="FFFFFF00"/>
        <bgColor rgb="FFFFFF00"/>
      </patternFill>
    </fill>
    <fill>
      <patternFill patternType="solid">
        <fgColor rgb="FF244061"/>
        <bgColor rgb="FF244061"/>
      </patternFill>
    </fill>
    <fill>
      <patternFill patternType="solid">
        <fgColor rgb="FF254061"/>
        <bgColor rgb="FF254061"/>
      </patternFill>
    </fill>
    <fill>
      <patternFill patternType="solid">
        <fgColor rgb="FF548DD4"/>
        <bgColor rgb="FF548DD4"/>
      </patternFill>
    </fill>
    <fill>
      <patternFill patternType="solid">
        <fgColor rgb="FFE36C09"/>
        <bgColor rgb="FFE36C09"/>
      </patternFill>
    </fill>
    <fill>
      <patternFill patternType="solid">
        <fgColor theme="6"/>
        <bgColor theme="6"/>
      </patternFill>
    </fill>
    <fill>
      <patternFill patternType="solid">
        <fgColor rgb="FFF2DBDB"/>
        <bgColor rgb="FFF2DBDB"/>
      </patternFill>
    </fill>
    <fill>
      <patternFill patternType="solid">
        <fgColor rgb="FFB8CCE4"/>
        <bgColor rgb="FFB8CCE4"/>
      </patternFill>
    </fill>
    <fill>
      <patternFill patternType="solid">
        <fgColor rgb="FFFFC000"/>
        <bgColor rgb="FFFFC000"/>
      </patternFill>
    </fill>
    <fill>
      <patternFill patternType="solid">
        <fgColor rgb="FFD99594"/>
        <bgColor rgb="FFD99594"/>
      </patternFill>
    </fill>
    <fill>
      <patternFill patternType="solid">
        <fgColor rgb="FF92D050"/>
        <bgColor rgb="FF92D050"/>
      </patternFill>
    </fill>
    <fill>
      <patternFill patternType="solid">
        <fgColor rgb="FFD6E3BC"/>
        <bgColor rgb="FFD6E3BC"/>
      </patternFill>
    </fill>
    <fill>
      <patternFill patternType="solid">
        <fgColor rgb="FFCCFFFF"/>
        <bgColor rgb="FFCCFFFF"/>
      </patternFill>
    </fill>
    <fill>
      <patternFill patternType="solid">
        <fgColor rgb="FFCCFFCC"/>
        <bgColor rgb="FFCCFFCC"/>
      </patternFill>
    </fill>
    <fill>
      <patternFill patternType="solid">
        <fgColor rgb="FFB2A1C7"/>
        <bgColor rgb="FFB2A1C7"/>
      </patternFill>
    </fill>
    <fill>
      <patternFill patternType="solid">
        <fgColor rgb="FFFFCC00"/>
        <bgColor rgb="FFFFCC00"/>
      </patternFill>
    </fill>
    <fill>
      <patternFill patternType="solid">
        <fgColor rgb="FF5A5A5A"/>
        <bgColor rgb="FF5A5A5A"/>
      </patternFill>
    </fill>
    <fill>
      <patternFill patternType="solid">
        <fgColor theme="1" tint="0.499984740745262"/>
        <bgColor indexed="64"/>
      </patternFill>
    </fill>
    <fill>
      <patternFill patternType="solid">
        <fgColor rgb="FFD8E4BC"/>
        <bgColor rgb="FF000000"/>
      </patternFill>
    </fill>
    <fill>
      <patternFill patternType="solid">
        <fgColor theme="0"/>
        <bgColor indexed="64"/>
      </patternFill>
    </fill>
    <fill>
      <patternFill patternType="solid">
        <fgColor rgb="FFFFFF00"/>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rgb="FF006666"/>
        <bgColor indexed="64"/>
      </patternFill>
    </fill>
    <fill>
      <patternFill patternType="solid">
        <fgColor rgb="FF339966"/>
        <bgColor indexed="64"/>
      </patternFill>
    </fill>
    <fill>
      <patternFill patternType="solid">
        <fgColor indexed="41"/>
        <bgColor indexed="64"/>
      </patternFill>
    </fill>
    <fill>
      <patternFill patternType="solid">
        <fgColor theme="3" tint="0.59999389629810485"/>
        <bgColor indexed="64"/>
      </patternFill>
    </fill>
    <fill>
      <patternFill patternType="solid">
        <fgColor rgb="FF92D050"/>
        <bgColor indexed="64"/>
      </patternFill>
    </fill>
    <fill>
      <patternFill patternType="solid">
        <fgColor rgb="FF003399"/>
        <bgColor indexed="64"/>
      </patternFill>
    </fill>
    <fill>
      <patternFill patternType="solid">
        <fgColor rgb="FF003300"/>
        <bgColor indexed="64"/>
      </patternFill>
    </fill>
    <fill>
      <patternFill patternType="solid">
        <fgColor rgb="FF800000"/>
        <bgColor indexed="64"/>
      </patternFill>
    </fill>
    <fill>
      <patternFill patternType="solid">
        <fgColor rgb="FFFF6600"/>
        <bgColor indexed="64"/>
      </patternFill>
    </fill>
    <fill>
      <patternFill patternType="solid">
        <fgColor rgb="FF9BBB59"/>
        <bgColor rgb="FF9BBB59"/>
      </patternFill>
    </fill>
    <fill>
      <patternFill patternType="solid">
        <fgColor theme="9" tint="-0.249977111117893"/>
        <bgColor indexed="64"/>
      </patternFill>
    </fill>
    <fill>
      <patternFill patternType="solid">
        <fgColor theme="0" tint="-0.499984740745262"/>
        <bgColor rgb="FF7F7F7F"/>
      </patternFill>
    </fill>
    <fill>
      <patternFill patternType="solid">
        <fgColor theme="0" tint="-0.499984740745262"/>
        <bgColor indexed="64"/>
      </patternFill>
    </fill>
    <fill>
      <patternFill patternType="solid">
        <fgColor theme="4" tint="-0.499984740745262"/>
        <bgColor rgb="FF003366"/>
      </patternFill>
    </fill>
    <fill>
      <patternFill patternType="solid">
        <fgColor theme="4" tint="-0.499984740745262"/>
        <bgColor indexed="64"/>
      </patternFill>
    </fill>
    <fill>
      <patternFill patternType="solid">
        <fgColor theme="5" tint="-0.249977111117893"/>
        <bgColor rgb="FF800000"/>
      </patternFill>
    </fill>
    <fill>
      <patternFill patternType="solid">
        <fgColor theme="9" tint="-0.249977111117893"/>
        <bgColor rgb="FFFF6600"/>
      </patternFill>
    </fill>
    <fill>
      <patternFill patternType="solid">
        <fgColor theme="8" tint="-0.499984740745262"/>
        <bgColor rgb="FF006666"/>
      </patternFill>
    </fill>
    <fill>
      <patternFill patternType="solid">
        <fgColor theme="3"/>
        <bgColor indexed="64"/>
      </patternFill>
    </fill>
  </fills>
  <borders count="137">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800000"/>
      </left>
      <right style="thin">
        <color rgb="FF800000"/>
      </right>
      <top style="medium">
        <color rgb="FF800000"/>
      </top>
      <bottom style="medium">
        <color rgb="FF8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medium">
        <color rgb="FF000000"/>
      </right>
      <top/>
      <bottom/>
      <diagonal/>
    </border>
    <border>
      <left style="thin">
        <color rgb="FF000000"/>
      </left>
      <right/>
      <top/>
      <bottom/>
      <diagonal/>
    </border>
    <border>
      <left/>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800000"/>
      </left>
      <right style="thin">
        <color rgb="FF800000"/>
      </right>
      <top/>
      <bottom style="medium">
        <color rgb="FF800000"/>
      </bottom>
      <diagonal/>
    </border>
    <border>
      <left style="thin">
        <color rgb="FF800000"/>
      </left>
      <right style="medium">
        <color rgb="FF800000"/>
      </right>
      <top style="medium">
        <color rgb="FF800000"/>
      </top>
      <bottom style="medium">
        <color rgb="FF800000"/>
      </bottom>
      <diagonal/>
    </border>
    <border>
      <left style="thin">
        <color rgb="FF000000"/>
      </left>
      <right style="thin">
        <color rgb="FF000000"/>
      </right>
      <top style="thin">
        <color rgb="FF000000"/>
      </top>
      <bottom style="thin">
        <color rgb="FF000000"/>
      </bottom>
      <diagonal/>
    </border>
    <border>
      <left style="thin">
        <color rgb="FF800000"/>
      </left>
      <right style="thin">
        <color rgb="FF800000"/>
      </right>
      <top/>
      <bottom style="thin">
        <color rgb="FF800000"/>
      </bottom>
      <diagonal/>
    </border>
    <border>
      <left style="thin">
        <color rgb="FF800000"/>
      </left>
      <right style="thin">
        <color rgb="FF800000"/>
      </right>
      <top style="thin">
        <color rgb="FF800000"/>
      </top>
      <bottom style="thin">
        <color rgb="FF800000"/>
      </bottom>
      <diagonal/>
    </border>
    <border>
      <left/>
      <right style="thin">
        <color rgb="FF800000"/>
      </right>
      <top/>
      <bottom style="thin">
        <color rgb="FF800000"/>
      </bottom>
      <diagonal/>
    </border>
    <border>
      <left/>
      <right style="thin">
        <color rgb="FF800000"/>
      </right>
      <top/>
      <bottom style="thin">
        <color rgb="FF800000"/>
      </bottom>
      <diagonal/>
    </border>
    <border>
      <left style="thin">
        <color rgb="FF800000"/>
      </left>
      <right style="thin">
        <color rgb="FF800000"/>
      </right>
      <top style="thin">
        <color rgb="FF800000"/>
      </top>
      <bottom style="thin">
        <color rgb="FF000000"/>
      </bottom>
      <diagonal/>
    </border>
    <border>
      <left style="thin">
        <color rgb="FF800000"/>
      </left>
      <right style="thin">
        <color rgb="FF800000"/>
      </right>
      <top/>
      <bottom style="thin">
        <color rgb="FF800000"/>
      </bottom>
      <diagonal/>
    </border>
    <border>
      <left style="thin">
        <color rgb="FF800000"/>
      </left>
      <right/>
      <top/>
      <bottom style="thin">
        <color rgb="FF800000"/>
      </bottom>
      <diagonal/>
    </border>
    <border>
      <left style="thin">
        <color rgb="FF800000"/>
      </left>
      <right style="thin">
        <color rgb="FF800000"/>
      </right>
      <top style="thin">
        <color rgb="FF800000"/>
      </top>
      <bottom/>
      <diagonal/>
    </border>
    <border>
      <left style="thin">
        <color rgb="FF800000"/>
      </left>
      <right/>
      <top style="thin">
        <color rgb="FF800000"/>
      </top>
      <bottom style="thin">
        <color rgb="FF800000"/>
      </bottom>
      <diagonal/>
    </border>
    <border>
      <left style="thin">
        <color rgb="FF800000"/>
      </left>
      <right style="thin">
        <color rgb="FF000000"/>
      </right>
      <top style="thin">
        <color rgb="FF800000"/>
      </top>
      <bottom style="thin">
        <color rgb="FF800000"/>
      </bottom>
      <diagonal/>
    </border>
    <border>
      <left/>
      <right style="thin">
        <color rgb="FF800000"/>
      </right>
      <top style="thin">
        <color rgb="FF800000"/>
      </top>
      <bottom/>
      <diagonal/>
    </border>
    <border>
      <left/>
      <right/>
      <top style="thin">
        <color rgb="FF800000"/>
      </top>
      <bottom style="thin">
        <color rgb="FF800000"/>
      </bottom>
      <diagonal/>
    </border>
    <border>
      <left/>
      <right/>
      <top style="thin">
        <color rgb="FF800000"/>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thin">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bottom style="medium">
        <color indexed="64"/>
      </bottom>
      <diagonal/>
    </border>
    <border>
      <left style="medium">
        <color indexed="64"/>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indexed="64"/>
      </right>
      <top/>
      <bottom/>
      <diagonal/>
    </border>
    <border>
      <left style="thin">
        <color rgb="FF000000"/>
      </left>
      <right/>
      <top/>
      <bottom style="medium">
        <color indexed="64"/>
      </bottom>
      <diagonal/>
    </border>
  </borders>
  <cellStyleXfs count="13">
    <xf numFmtId="0" fontId="0" fillId="0" borderId="0"/>
    <xf numFmtId="165" fontId="72" fillId="0" borderId="0" applyFont="0" applyFill="0" applyBorder="0" applyAlignment="0" applyProtection="0"/>
    <xf numFmtId="178" fontId="10" fillId="0" borderId="24" applyFont="0" applyFill="0" applyBorder="0" applyAlignment="0" applyProtection="0"/>
    <xf numFmtId="0" fontId="78" fillId="0" borderId="24"/>
    <xf numFmtId="178" fontId="78" fillId="0" borderId="24" applyFont="0" applyFill="0" applyBorder="0" applyAlignment="0" applyProtection="0"/>
    <xf numFmtId="9" fontId="78" fillId="0" borderId="24" applyFont="0" applyFill="0" applyBorder="0" applyAlignment="0" applyProtection="0"/>
    <xf numFmtId="9" fontId="87" fillId="0" borderId="0" applyFont="0" applyFill="0" applyBorder="0" applyAlignment="0" applyProtection="0"/>
    <xf numFmtId="0" fontId="52" fillId="0" borderId="24"/>
    <xf numFmtId="165" fontId="52" fillId="0" borderId="24" applyFont="0" applyFill="0" applyBorder="0" applyAlignment="0" applyProtection="0"/>
    <xf numFmtId="0" fontId="10" fillId="0" borderId="24"/>
    <xf numFmtId="178" fontId="10" fillId="0" borderId="24" applyFont="0" applyFill="0" applyBorder="0" applyAlignment="0" applyProtection="0"/>
    <xf numFmtId="9" fontId="10" fillId="0" borderId="24" applyFont="0" applyFill="0" applyBorder="0" applyAlignment="0" applyProtection="0"/>
    <xf numFmtId="43" fontId="52" fillId="0" borderId="24" applyFont="0" applyFill="0" applyBorder="0" applyAlignment="0" applyProtection="0"/>
  </cellStyleXfs>
  <cellXfs count="1652">
    <xf numFmtId="0" fontId="0" fillId="0" borderId="0" xfId="0"/>
    <xf numFmtId="0" fontId="1" fillId="0" borderId="0" xfId="0" applyFont="1" applyAlignment="1">
      <alignment vertical="center"/>
    </xf>
    <xf numFmtId="166" fontId="1" fillId="0" borderId="0" xfId="0" applyNumberFormat="1" applyFont="1" applyAlignment="1">
      <alignment vertical="center"/>
    </xf>
    <xf numFmtId="166" fontId="2" fillId="0" borderId="0" xfId="0" applyNumberFormat="1" applyFont="1" applyAlignment="1">
      <alignment vertical="center"/>
    </xf>
    <xf numFmtId="0" fontId="2" fillId="0" borderId="0" xfId="0" applyFont="1" applyAlignment="1">
      <alignment vertical="center"/>
    </xf>
    <xf numFmtId="164" fontId="3" fillId="0" borderId="0" xfId="0" applyNumberFormat="1" applyFont="1"/>
    <xf numFmtId="166" fontId="3" fillId="0" borderId="0" xfId="0" applyNumberFormat="1" applyFont="1"/>
    <xf numFmtId="0" fontId="5" fillId="0" borderId="0" xfId="0" applyFont="1"/>
    <xf numFmtId="0" fontId="2" fillId="0" borderId="0" xfId="0" applyFont="1"/>
    <xf numFmtId="0" fontId="3" fillId="0" borderId="0" xfId="0" applyFont="1"/>
    <xf numFmtId="166" fontId="2" fillId="0" borderId="0" xfId="0" applyNumberFormat="1" applyFont="1" applyAlignment="1">
      <alignment horizontal="left"/>
    </xf>
    <xf numFmtId="0" fontId="7" fillId="0" borderId="2" xfId="0" applyFont="1" applyBorder="1"/>
    <xf numFmtId="0" fontId="7" fillId="0" borderId="3" xfId="0" applyFont="1" applyBorder="1"/>
    <xf numFmtId="0" fontId="7" fillId="0" borderId="0" xfId="0" applyFont="1"/>
    <xf numFmtId="166" fontId="7" fillId="0" borderId="0" xfId="0" applyNumberFormat="1" applyFont="1"/>
    <xf numFmtId="0" fontId="9" fillId="0" borderId="0" xfId="0" applyFont="1"/>
    <xf numFmtId="166" fontId="9" fillId="0" borderId="0" xfId="0" applyNumberFormat="1" applyFont="1"/>
    <xf numFmtId="0" fontId="9" fillId="0" borderId="14" xfId="0" applyFont="1" applyBorder="1" applyAlignment="1">
      <alignment horizontal="center"/>
    </xf>
    <xf numFmtId="166" fontId="8" fillId="3" borderId="13" xfId="0" applyNumberFormat="1" applyFont="1" applyFill="1" applyBorder="1"/>
    <xf numFmtId="10" fontId="7" fillId="0" borderId="0" xfId="0" applyNumberFormat="1" applyFont="1"/>
    <xf numFmtId="166" fontId="5" fillId="0" borderId="0" xfId="0" applyNumberFormat="1" applyFont="1"/>
    <xf numFmtId="0" fontId="9" fillId="0" borderId="0" xfId="0" applyFont="1" applyAlignment="1">
      <alignment vertical="center"/>
    </xf>
    <xf numFmtId="0" fontId="9" fillId="0" borderId="0" xfId="0" applyFont="1" applyAlignment="1">
      <alignment horizontal="left"/>
    </xf>
    <xf numFmtId="0" fontId="7" fillId="0" borderId="0" xfId="0" applyFont="1" applyAlignment="1">
      <alignment vertical="center"/>
    </xf>
    <xf numFmtId="166" fontId="7" fillId="0" borderId="0" xfId="0" applyNumberFormat="1" applyFont="1" applyAlignment="1">
      <alignment vertical="center"/>
    </xf>
    <xf numFmtId="166" fontId="7" fillId="0" borderId="0" xfId="0" applyNumberFormat="1" applyFont="1" applyAlignment="1">
      <alignment horizontal="right" vertical="center"/>
    </xf>
    <xf numFmtId="166" fontId="9" fillId="0" borderId="0" xfId="0" applyNumberFormat="1" applyFont="1" applyAlignment="1">
      <alignment vertical="center"/>
    </xf>
    <xf numFmtId="167" fontId="7" fillId="0" borderId="0" xfId="0" applyNumberFormat="1" applyFont="1"/>
    <xf numFmtId="0" fontId="7" fillId="0" borderId="0" xfId="0" applyFont="1" applyAlignment="1">
      <alignment horizontal="center"/>
    </xf>
    <xf numFmtId="167" fontId="7" fillId="0" borderId="0" xfId="0" applyNumberFormat="1" applyFont="1" applyAlignment="1">
      <alignment horizontal="center"/>
    </xf>
    <xf numFmtId="166" fontId="2" fillId="0" borderId="0" xfId="0" applyNumberFormat="1" applyFont="1"/>
    <xf numFmtId="166" fontId="8" fillId="4" borderId="13" xfId="0" applyNumberFormat="1" applyFont="1" applyFill="1" applyBorder="1"/>
    <xf numFmtId="166" fontId="7" fillId="0" borderId="0" xfId="0" applyNumberFormat="1" applyFont="1" applyAlignment="1">
      <alignment horizontal="left" vertical="center"/>
    </xf>
    <xf numFmtId="0" fontId="7"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166" fontId="11" fillId="0" borderId="0" xfId="0" applyNumberFormat="1" applyFont="1" applyAlignment="1">
      <alignment vertical="center"/>
    </xf>
    <xf numFmtId="169" fontId="9" fillId="0" borderId="0" xfId="0" applyNumberFormat="1" applyFont="1" applyAlignment="1">
      <alignment vertical="center"/>
    </xf>
    <xf numFmtId="0" fontId="12" fillId="0" borderId="0" xfId="0" applyFont="1" applyAlignment="1">
      <alignment vertical="center"/>
    </xf>
    <xf numFmtId="170" fontId="12" fillId="0" borderId="0" xfId="0" applyNumberFormat="1" applyFont="1" applyAlignment="1">
      <alignment vertical="center"/>
    </xf>
    <xf numFmtId="0" fontId="7" fillId="0" borderId="0" xfId="0" applyFont="1" applyAlignment="1">
      <alignment horizontal="left"/>
    </xf>
    <xf numFmtId="166" fontId="8" fillId="5" borderId="13" xfId="0" applyNumberFormat="1" applyFont="1" applyFill="1" applyBorder="1"/>
    <xf numFmtId="167" fontId="9" fillId="0" borderId="0" xfId="0" applyNumberFormat="1" applyFont="1" applyAlignment="1">
      <alignment vertical="center"/>
    </xf>
    <xf numFmtId="166" fontId="13" fillId="0" borderId="0" xfId="0" applyNumberFormat="1" applyFont="1"/>
    <xf numFmtId="166" fontId="1" fillId="0" borderId="0" xfId="0" applyNumberFormat="1" applyFont="1" applyAlignment="1">
      <alignment horizontal="center"/>
    </xf>
    <xf numFmtId="167" fontId="7" fillId="0" borderId="0" xfId="0" applyNumberFormat="1" applyFont="1" applyAlignment="1">
      <alignment vertical="center"/>
    </xf>
    <xf numFmtId="165" fontId="7" fillId="0" borderId="0" xfId="0" applyNumberFormat="1" applyFont="1" applyAlignment="1">
      <alignment vertical="center"/>
    </xf>
    <xf numFmtId="166" fontId="8" fillId="6" borderId="13" xfId="0" applyNumberFormat="1" applyFont="1" applyFill="1" applyBorder="1" applyAlignment="1">
      <alignment vertical="center"/>
    </xf>
    <xf numFmtId="0" fontId="9" fillId="0" borderId="0" xfId="0" applyFont="1" applyAlignment="1">
      <alignment horizontal="left" vertical="center"/>
    </xf>
    <xf numFmtId="166" fontId="9" fillId="0" borderId="0" xfId="0" applyNumberFormat="1" applyFont="1" applyAlignment="1">
      <alignment horizontal="right" vertical="center"/>
    </xf>
    <xf numFmtId="166" fontId="7" fillId="0" borderId="0" xfId="0" applyNumberFormat="1" applyFont="1" applyAlignment="1">
      <alignment horizontal="left"/>
    </xf>
    <xf numFmtId="166" fontId="13" fillId="0" borderId="0" xfId="0" applyNumberFormat="1" applyFont="1" applyAlignment="1">
      <alignment vertical="center"/>
    </xf>
    <xf numFmtId="166" fontId="8" fillId="7" borderId="13" xfId="0" applyNumberFormat="1" applyFont="1" applyFill="1" applyBorder="1"/>
    <xf numFmtId="0" fontId="7" fillId="0" borderId="5"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166" fontId="7" fillId="0" borderId="8" xfId="0" applyNumberFormat="1" applyFont="1" applyBorder="1" applyAlignment="1">
      <alignment vertical="center"/>
    </xf>
    <xf numFmtId="0" fontId="8" fillId="2" borderId="10" xfId="0" applyFont="1" applyFill="1" applyBorder="1" applyAlignment="1">
      <alignment vertical="center"/>
    </xf>
    <xf numFmtId="0" fontId="8" fillId="2" borderId="11" xfId="0" applyFont="1" applyFill="1" applyBorder="1" applyAlignment="1">
      <alignment vertical="center"/>
    </xf>
    <xf numFmtId="166" fontId="8" fillId="2" borderId="13" xfId="0" applyNumberFormat="1" applyFont="1" applyFill="1" applyBorder="1" applyAlignment="1">
      <alignment vertical="center"/>
    </xf>
    <xf numFmtId="166" fontId="2" fillId="0" borderId="0" xfId="0" applyNumberFormat="1" applyFont="1" applyAlignment="1">
      <alignment horizontal="left" vertical="center"/>
    </xf>
    <xf numFmtId="9" fontId="7" fillId="0" borderId="0" xfId="0" applyNumberFormat="1" applyFont="1" applyAlignment="1">
      <alignment horizontal="right" vertical="center"/>
    </xf>
    <xf numFmtId="166" fontId="8" fillId="4" borderId="13" xfId="0" applyNumberFormat="1" applyFont="1" applyFill="1" applyBorder="1" applyAlignment="1">
      <alignment vertical="center"/>
    </xf>
    <xf numFmtId="170" fontId="7" fillId="0" borderId="0" xfId="0" applyNumberFormat="1" applyFont="1" applyAlignment="1">
      <alignment vertical="center"/>
    </xf>
    <xf numFmtId="166" fontId="8" fillId="5" borderId="13" xfId="0" applyNumberFormat="1" applyFont="1" applyFill="1" applyBorder="1" applyAlignment="1">
      <alignment vertical="center"/>
    </xf>
    <xf numFmtId="166" fontId="8" fillId="7" borderId="13" xfId="0" applyNumberFormat="1" applyFont="1" applyFill="1" applyBorder="1" applyAlignment="1">
      <alignment vertical="center"/>
    </xf>
    <xf numFmtId="166" fontId="7" fillId="0" borderId="0" xfId="0" applyNumberFormat="1" applyFont="1" applyAlignment="1">
      <alignment horizontal="right"/>
    </xf>
    <xf numFmtId="0" fontId="5" fillId="0" borderId="0" xfId="0" applyFont="1" applyAlignment="1">
      <alignment vertical="center"/>
    </xf>
    <xf numFmtId="167" fontId="7" fillId="0" borderId="0" xfId="0" applyNumberFormat="1" applyFont="1" applyAlignment="1">
      <alignment vertical="center" wrapText="1"/>
    </xf>
    <xf numFmtId="167" fontId="2" fillId="0" borderId="0" xfId="0" applyNumberFormat="1" applyFont="1" applyAlignment="1">
      <alignment vertical="center"/>
    </xf>
    <xf numFmtId="0" fontId="14" fillId="0" borderId="0" xfId="0" applyFont="1" applyAlignment="1">
      <alignment horizontal="left"/>
    </xf>
    <xf numFmtId="166" fontId="8" fillId="8" borderId="13" xfId="0" applyNumberFormat="1" applyFont="1" applyFill="1" applyBorder="1" applyAlignment="1">
      <alignment vertical="center"/>
    </xf>
    <xf numFmtId="166" fontId="16" fillId="0" borderId="0" xfId="0" applyNumberFormat="1" applyFont="1" applyAlignment="1">
      <alignment vertical="center"/>
    </xf>
    <xf numFmtId="0" fontId="17" fillId="0" borderId="0" xfId="0" applyFont="1" applyAlignment="1">
      <alignment vertical="center"/>
    </xf>
    <xf numFmtId="170" fontId="17" fillId="0" borderId="0" xfId="0" applyNumberFormat="1" applyFont="1"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16" fillId="0" borderId="0" xfId="0" applyFont="1"/>
    <xf numFmtId="167" fontId="5" fillId="0" borderId="0" xfId="0" applyNumberFormat="1" applyFont="1"/>
    <xf numFmtId="0" fontId="17" fillId="0" borderId="0" xfId="0" applyFont="1"/>
    <xf numFmtId="9" fontId="2" fillId="0" borderId="0" xfId="0" applyNumberFormat="1" applyFont="1"/>
    <xf numFmtId="167" fontId="9" fillId="0" borderId="0" xfId="0" applyNumberFormat="1" applyFont="1"/>
    <xf numFmtId="166" fontId="9" fillId="0" borderId="0" xfId="0" applyNumberFormat="1" applyFont="1" applyAlignment="1">
      <alignment horizontal="right"/>
    </xf>
    <xf numFmtId="9" fontId="2" fillId="0" borderId="0" xfId="0" applyNumberFormat="1" applyFont="1" applyAlignment="1">
      <alignment horizontal="left"/>
    </xf>
    <xf numFmtId="0" fontId="2" fillId="0" borderId="0" xfId="0" applyFont="1" applyAlignment="1">
      <alignment horizontal="left"/>
    </xf>
    <xf numFmtId="166" fontId="9" fillId="0" borderId="0" xfId="0" applyNumberFormat="1" applyFont="1" applyAlignment="1">
      <alignment horizontal="center"/>
    </xf>
    <xf numFmtId="166" fontId="15" fillId="0" borderId="0" xfId="0" applyNumberFormat="1" applyFont="1"/>
    <xf numFmtId="166" fontId="8" fillId="6" borderId="13" xfId="0" applyNumberFormat="1" applyFont="1" applyFill="1" applyBorder="1"/>
    <xf numFmtId="0" fontId="18" fillId="0" borderId="0" xfId="0" applyFont="1" applyAlignment="1">
      <alignment vertical="center"/>
    </xf>
    <xf numFmtId="9" fontId="7" fillId="0" borderId="0" xfId="0" applyNumberFormat="1" applyFont="1" applyAlignment="1">
      <alignment vertical="center"/>
    </xf>
    <xf numFmtId="9" fontId="7" fillId="0" borderId="0" xfId="0" applyNumberFormat="1" applyFont="1" applyAlignment="1">
      <alignment horizontal="left" vertical="center"/>
    </xf>
    <xf numFmtId="167" fontId="7" fillId="0" borderId="0" xfId="0" applyNumberFormat="1" applyFont="1" applyAlignment="1">
      <alignment horizontal="left" vertical="center"/>
    </xf>
    <xf numFmtId="0" fontId="3" fillId="0" borderId="0" xfId="0" applyFont="1" applyAlignment="1">
      <alignment horizontal="left" vertical="center"/>
    </xf>
    <xf numFmtId="0" fontId="19" fillId="0" borderId="0" xfId="0" applyFont="1" applyAlignment="1">
      <alignment vertical="center"/>
    </xf>
    <xf numFmtId="166" fontId="7" fillId="0" borderId="7" xfId="0" applyNumberFormat="1" applyFont="1" applyBorder="1" applyAlignment="1">
      <alignment vertical="center"/>
    </xf>
    <xf numFmtId="166" fontId="20" fillId="0" borderId="0" xfId="0" applyNumberFormat="1" applyFont="1" applyAlignment="1">
      <alignment horizontal="left"/>
    </xf>
    <xf numFmtId="0" fontId="21" fillId="0" borderId="0" xfId="0" applyFont="1"/>
    <xf numFmtId="172" fontId="8" fillId="5" borderId="13" xfId="0" applyNumberFormat="1" applyFont="1" applyFill="1" applyBorder="1" applyAlignment="1">
      <alignment vertical="center"/>
    </xf>
    <xf numFmtId="172" fontId="11" fillId="0" borderId="0" xfId="0" applyNumberFormat="1" applyFont="1" applyAlignment="1">
      <alignment vertical="center"/>
    </xf>
    <xf numFmtId="165" fontId="16" fillId="0" borderId="0" xfId="0" applyNumberFormat="1" applyFont="1" applyAlignment="1">
      <alignment vertical="center"/>
    </xf>
    <xf numFmtId="0" fontId="16" fillId="0" borderId="0" xfId="0" applyFont="1" applyAlignment="1">
      <alignment vertical="center"/>
    </xf>
    <xf numFmtId="172" fontId="16" fillId="0" borderId="0" xfId="0" applyNumberFormat="1" applyFont="1" applyAlignment="1">
      <alignment vertical="center"/>
    </xf>
    <xf numFmtId="167" fontId="22" fillId="0" borderId="0" xfId="0" applyNumberFormat="1" applyFont="1"/>
    <xf numFmtId="0" fontId="23" fillId="0" borderId="0" xfId="0" applyFont="1"/>
    <xf numFmtId="0" fontId="24" fillId="0" borderId="0" xfId="0" applyFont="1"/>
    <xf numFmtId="0" fontId="3" fillId="0" borderId="0" xfId="0" applyFont="1" applyAlignment="1">
      <alignment horizontal="center"/>
    </xf>
    <xf numFmtId="166" fontId="8" fillId="3" borderId="13" xfId="0" applyNumberFormat="1" applyFont="1" applyFill="1" applyBorder="1" applyAlignment="1">
      <alignment vertical="center"/>
    </xf>
    <xf numFmtId="167" fontId="7" fillId="0" borderId="0" xfId="0" applyNumberFormat="1" applyFont="1" applyAlignment="1">
      <alignment horizontal="left"/>
    </xf>
    <xf numFmtId="165" fontId="5" fillId="0" borderId="0" xfId="0" applyNumberFormat="1" applyFont="1"/>
    <xf numFmtId="9" fontId="7" fillId="0" borderId="0" xfId="0" applyNumberFormat="1" applyFont="1" applyAlignment="1">
      <alignment horizontal="center" vertical="center"/>
    </xf>
    <xf numFmtId="165" fontId="5" fillId="0" borderId="0" xfId="0" applyNumberFormat="1" applyFont="1" applyAlignment="1">
      <alignment horizontal="left"/>
    </xf>
    <xf numFmtId="0" fontId="5" fillId="0" borderId="0" xfId="0" applyFont="1" applyAlignment="1">
      <alignment horizontal="left"/>
    </xf>
    <xf numFmtId="0" fontId="17" fillId="0" borderId="0" xfId="0" applyFont="1" applyAlignment="1">
      <alignment horizontal="left"/>
    </xf>
    <xf numFmtId="166" fontId="11" fillId="0" borderId="0" xfId="0" applyNumberFormat="1" applyFont="1" applyAlignment="1">
      <alignment horizontal="center" vertical="center"/>
    </xf>
    <xf numFmtId="166" fontId="16" fillId="0" borderId="0" xfId="0" applyNumberFormat="1" applyFont="1" applyAlignment="1">
      <alignment horizontal="right" vertical="center"/>
    </xf>
    <xf numFmtId="169" fontId="3" fillId="0" borderId="0" xfId="0" applyNumberFormat="1" applyFont="1" applyAlignment="1">
      <alignment horizontal="left" vertical="center"/>
    </xf>
    <xf numFmtId="0" fontId="19" fillId="0" borderId="0" xfId="0" applyFont="1" applyAlignment="1">
      <alignment horizontal="left" vertical="center"/>
    </xf>
    <xf numFmtId="166" fontId="16" fillId="0" borderId="0" xfId="0" applyNumberFormat="1" applyFont="1" applyAlignment="1">
      <alignment horizontal="left" vertical="center"/>
    </xf>
    <xf numFmtId="166" fontId="1" fillId="0" borderId="0" xfId="0" applyNumberFormat="1" applyFont="1"/>
    <xf numFmtId="165" fontId="9" fillId="0" borderId="0" xfId="0" applyNumberFormat="1" applyFont="1" applyAlignment="1">
      <alignment vertical="center"/>
    </xf>
    <xf numFmtId="4" fontId="7" fillId="0" borderId="0" xfId="0" applyNumberFormat="1" applyFont="1" applyAlignment="1">
      <alignment horizontal="right"/>
    </xf>
    <xf numFmtId="166" fontId="8" fillId="4" borderId="12" xfId="0" applyNumberFormat="1" applyFont="1" applyFill="1" applyBorder="1" applyAlignment="1">
      <alignment vertical="center"/>
    </xf>
    <xf numFmtId="4" fontId="2" fillId="0" borderId="0" xfId="0" applyNumberFormat="1" applyFont="1" applyAlignment="1">
      <alignment horizontal="right"/>
    </xf>
    <xf numFmtId="4" fontId="2" fillId="0" borderId="0" xfId="0" applyNumberFormat="1" applyFont="1" applyAlignment="1">
      <alignment horizontal="right" vertical="center"/>
    </xf>
    <xf numFmtId="166" fontId="8" fillId="5" borderId="12" xfId="0" applyNumberFormat="1" applyFont="1" applyFill="1" applyBorder="1" applyAlignment="1">
      <alignment vertical="center"/>
    </xf>
    <xf numFmtId="166" fontId="8" fillId="7" borderId="12" xfId="0" applyNumberFormat="1" applyFont="1" applyFill="1" applyBorder="1" applyAlignment="1">
      <alignment vertical="center"/>
    </xf>
    <xf numFmtId="170" fontId="3" fillId="0" borderId="0" xfId="0" applyNumberFormat="1" applyFont="1" applyAlignment="1">
      <alignment vertical="center"/>
    </xf>
    <xf numFmtId="0" fontId="27" fillId="0" borderId="0" xfId="0" applyFont="1"/>
    <xf numFmtId="167" fontId="3" fillId="0" borderId="0" xfId="0" applyNumberFormat="1" applyFont="1"/>
    <xf numFmtId="167" fontId="2" fillId="0" borderId="0" xfId="0" applyNumberFormat="1" applyFont="1"/>
    <xf numFmtId="167" fontId="9" fillId="0" borderId="0" xfId="0" applyNumberFormat="1" applyFont="1" applyAlignment="1">
      <alignment horizontal="left" vertical="center"/>
    </xf>
    <xf numFmtId="0" fontId="28" fillId="0" borderId="0" xfId="0" applyFont="1" applyAlignment="1">
      <alignment vertical="center"/>
    </xf>
    <xf numFmtId="165" fontId="28" fillId="0" borderId="0" xfId="0" applyNumberFormat="1" applyFont="1" applyAlignment="1">
      <alignment vertical="center"/>
    </xf>
    <xf numFmtId="0" fontId="28" fillId="0" borderId="0" xfId="0" applyFont="1"/>
    <xf numFmtId="0" fontId="29" fillId="0" borderId="0" xfId="0" applyFont="1" applyAlignment="1">
      <alignment vertical="center"/>
    </xf>
    <xf numFmtId="0" fontId="30" fillId="0" borderId="0" xfId="0" applyFont="1" applyAlignment="1">
      <alignment vertical="center"/>
    </xf>
    <xf numFmtId="165" fontId="31" fillId="0" borderId="0" xfId="0" applyNumberFormat="1" applyFont="1" applyAlignment="1">
      <alignment vertical="center"/>
    </xf>
    <xf numFmtId="169" fontId="32" fillId="0" borderId="0" xfId="0" applyNumberFormat="1" applyFont="1" applyAlignment="1">
      <alignment vertical="center"/>
    </xf>
    <xf numFmtId="0" fontId="33" fillId="0" borderId="0" xfId="0" applyFont="1" applyAlignment="1">
      <alignment vertical="center"/>
    </xf>
    <xf numFmtId="170" fontId="34" fillId="0" borderId="0" xfId="0" applyNumberFormat="1" applyFont="1" applyAlignment="1">
      <alignment vertical="center"/>
    </xf>
    <xf numFmtId="0" fontId="35" fillId="0" borderId="0" xfId="0" applyFont="1" applyAlignment="1">
      <alignment vertical="center"/>
    </xf>
    <xf numFmtId="170" fontId="35" fillId="0" borderId="0" xfId="0" applyNumberFormat="1" applyFont="1" applyAlignment="1">
      <alignment vertical="center"/>
    </xf>
    <xf numFmtId="0" fontId="16" fillId="0" borderId="7" xfId="0" applyFont="1" applyBorder="1" applyAlignment="1">
      <alignment vertical="center"/>
    </xf>
    <xf numFmtId="166" fontId="16" fillId="0" borderId="0" xfId="0" applyNumberFormat="1" applyFont="1" applyAlignment="1">
      <alignment horizontal="center" vertical="center"/>
    </xf>
    <xf numFmtId="0" fontId="36" fillId="0" borderId="0" xfId="0" applyFont="1" applyAlignment="1">
      <alignment vertical="center"/>
    </xf>
    <xf numFmtId="170" fontId="36" fillId="0" borderId="0" xfId="0" applyNumberFormat="1" applyFont="1" applyAlignment="1">
      <alignment vertical="center"/>
    </xf>
    <xf numFmtId="169" fontId="7" fillId="0" borderId="0" xfId="0" applyNumberFormat="1" applyFont="1" applyAlignment="1">
      <alignment vertical="center"/>
    </xf>
    <xf numFmtId="170" fontId="5" fillId="0" borderId="0" xfId="0" applyNumberFormat="1" applyFont="1" applyAlignment="1">
      <alignment vertical="center"/>
    </xf>
    <xf numFmtId="169" fontId="7" fillId="0" borderId="0" xfId="0" applyNumberFormat="1" applyFont="1" applyAlignment="1">
      <alignment horizontal="left" vertical="center"/>
    </xf>
    <xf numFmtId="167" fontId="5" fillId="0" borderId="0" xfId="0" applyNumberFormat="1" applyFont="1" applyAlignment="1">
      <alignment vertical="center"/>
    </xf>
    <xf numFmtId="167" fontId="17" fillId="0" borderId="0" xfId="0" applyNumberFormat="1" applyFont="1" applyAlignment="1">
      <alignment vertical="center"/>
    </xf>
    <xf numFmtId="0" fontId="37" fillId="0" borderId="0" xfId="0" applyFont="1" applyAlignment="1">
      <alignment vertical="center"/>
    </xf>
    <xf numFmtId="169" fontId="11" fillId="0" borderId="0" xfId="0" applyNumberFormat="1" applyFont="1" applyAlignment="1">
      <alignment vertical="center"/>
    </xf>
    <xf numFmtId="170" fontId="37" fillId="0" borderId="0" xfId="0" applyNumberFormat="1" applyFont="1" applyAlignment="1">
      <alignment vertical="center"/>
    </xf>
    <xf numFmtId="0" fontId="16" fillId="0" borderId="0" xfId="0" applyFont="1" applyAlignment="1">
      <alignment horizontal="left" vertical="center"/>
    </xf>
    <xf numFmtId="166" fontId="11" fillId="0" borderId="0" xfId="0" applyNumberFormat="1" applyFont="1" applyAlignment="1">
      <alignment horizontal="right" vertical="center"/>
    </xf>
    <xf numFmtId="170" fontId="2" fillId="0" borderId="0" xfId="0" applyNumberFormat="1" applyFont="1" applyAlignment="1">
      <alignment vertical="center"/>
    </xf>
    <xf numFmtId="169" fontId="9" fillId="0" borderId="0" xfId="0" applyNumberFormat="1" applyFont="1" applyAlignment="1">
      <alignment horizontal="left" vertical="center"/>
    </xf>
    <xf numFmtId="169" fontId="25" fillId="0" borderId="0" xfId="0" applyNumberFormat="1" applyFont="1" applyAlignment="1">
      <alignment vertical="center"/>
    </xf>
    <xf numFmtId="169" fontId="25" fillId="0" borderId="0" xfId="0" applyNumberFormat="1" applyFont="1" applyAlignment="1">
      <alignment horizontal="left" vertical="center"/>
    </xf>
    <xf numFmtId="170" fontId="3" fillId="0" borderId="0" xfId="0" applyNumberFormat="1" applyFont="1" applyAlignment="1">
      <alignment horizontal="left" vertical="center"/>
    </xf>
    <xf numFmtId="0" fontId="25" fillId="0" borderId="0" xfId="0" applyFont="1" applyAlignment="1">
      <alignment vertical="center"/>
    </xf>
    <xf numFmtId="166" fontId="3" fillId="0" borderId="0" xfId="0" applyNumberFormat="1" applyFont="1" applyAlignment="1">
      <alignment vertical="center"/>
    </xf>
    <xf numFmtId="166" fontId="13" fillId="0" borderId="0" xfId="0" applyNumberFormat="1" applyFont="1" applyAlignment="1">
      <alignment horizontal="right" vertical="center"/>
    </xf>
    <xf numFmtId="0" fontId="38" fillId="0" borderId="0" xfId="0" applyFont="1" applyAlignment="1">
      <alignment vertical="center"/>
    </xf>
    <xf numFmtId="169" fontId="3" fillId="0" borderId="0" xfId="0" applyNumberFormat="1" applyFont="1" applyAlignment="1">
      <alignment vertical="center"/>
    </xf>
    <xf numFmtId="167" fontId="3" fillId="0" borderId="0" xfId="0" applyNumberFormat="1" applyFont="1" applyAlignment="1">
      <alignment vertical="center"/>
    </xf>
    <xf numFmtId="169" fontId="2" fillId="0" borderId="0" xfId="0" applyNumberFormat="1" applyFont="1" applyAlignment="1">
      <alignment vertical="center"/>
    </xf>
    <xf numFmtId="166" fontId="26" fillId="0" borderId="0" xfId="0" applyNumberFormat="1" applyFont="1" applyAlignment="1">
      <alignment vertical="center"/>
    </xf>
    <xf numFmtId="166" fontId="12" fillId="0" borderId="0" xfId="0" applyNumberFormat="1" applyFont="1" applyAlignment="1">
      <alignment vertical="center"/>
    </xf>
    <xf numFmtId="166" fontId="6" fillId="0" borderId="0" xfId="0" applyNumberFormat="1" applyFont="1" applyAlignment="1">
      <alignment vertical="center"/>
    </xf>
    <xf numFmtId="0" fontId="6" fillId="0" borderId="0" xfId="0" applyFont="1" applyAlignment="1">
      <alignment vertical="center"/>
    </xf>
    <xf numFmtId="170" fontId="6" fillId="0" borderId="0" xfId="0" applyNumberFormat="1" applyFont="1" applyAlignment="1">
      <alignment vertical="center"/>
    </xf>
    <xf numFmtId="166" fontId="11" fillId="11" borderId="13" xfId="0" applyNumberFormat="1" applyFont="1" applyFill="1" applyBorder="1" applyAlignment="1">
      <alignment vertical="center"/>
    </xf>
    <xf numFmtId="166" fontId="7" fillId="12" borderId="20" xfId="0" applyNumberFormat="1" applyFont="1" applyFill="1" applyBorder="1" applyAlignment="1">
      <alignment vertical="center"/>
    </xf>
    <xf numFmtId="166" fontId="11" fillId="13" borderId="13" xfId="0" applyNumberFormat="1" applyFont="1" applyFill="1" applyBorder="1" applyAlignment="1">
      <alignment vertical="center"/>
    </xf>
    <xf numFmtId="166" fontId="16" fillId="12" borderId="20" xfId="0" applyNumberFormat="1" applyFont="1" applyFill="1" applyBorder="1" applyAlignment="1">
      <alignment vertical="center"/>
    </xf>
    <xf numFmtId="0" fontId="40" fillId="0" borderId="0" xfId="0" applyFont="1" applyAlignment="1">
      <alignment vertical="center"/>
    </xf>
    <xf numFmtId="0" fontId="8" fillId="4" borderId="10" xfId="0" applyFont="1" applyFill="1" applyBorder="1"/>
    <xf numFmtId="0" fontId="8" fillId="4" borderId="12" xfId="0" applyFont="1" applyFill="1" applyBorder="1"/>
    <xf numFmtId="166" fontId="15" fillId="0" borderId="0" xfId="0" applyNumberFormat="1" applyFont="1" applyAlignment="1">
      <alignment vertical="center"/>
    </xf>
    <xf numFmtId="9" fontId="9" fillId="0" borderId="0" xfId="0" applyNumberFormat="1" applyFont="1" applyAlignment="1">
      <alignment vertical="center"/>
    </xf>
    <xf numFmtId="9" fontId="15" fillId="0" borderId="0" xfId="0" applyNumberFormat="1" applyFont="1" applyAlignment="1">
      <alignment vertical="center"/>
    </xf>
    <xf numFmtId="0" fontId="15" fillId="0" borderId="0" xfId="0" applyFont="1" applyAlignment="1">
      <alignment vertical="center"/>
    </xf>
    <xf numFmtId="4" fontId="15" fillId="0" borderId="0" xfId="0" applyNumberFormat="1" applyFont="1" applyAlignment="1">
      <alignment horizontal="center" vertical="center"/>
    </xf>
    <xf numFmtId="167" fontId="26" fillId="0" borderId="0" xfId="0" applyNumberFormat="1" applyFont="1" applyAlignment="1">
      <alignment vertical="center"/>
    </xf>
    <xf numFmtId="0" fontId="4" fillId="0" borderId="0" xfId="0" applyFont="1" applyAlignment="1">
      <alignment vertical="center"/>
    </xf>
    <xf numFmtId="166" fontId="15" fillId="0" borderId="0" xfId="0" applyNumberFormat="1" applyFont="1" applyAlignment="1">
      <alignment horizontal="left" vertical="center"/>
    </xf>
    <xf numFmtId="166" fontId="41" fillId="0" borderId="0" xfId="0" applyNumberFormat="1" applyFont="1" applyAlignment="1">
      <alignment vertical="center"/>
    </xf>
    <xf numFmtId="166" fontId="13" fillId="14" borderId="0" xfId="0" applyNumberFormat="1" applyFont="1" applyFill="1" applyAlignment="1">
      <alignment vertical="center"/>
    </xf>
    <xf numFmtId="0" fontId="42" fillId="0" borderId="0" xfId="0" applyFont="1" applyAlignment="1">
      <alignment vertical="center"/>
    </xf>
    <xf numFmtId="0" fontId="42" fillId="0" borderId="0" xfId="0" applyFont="1" applyAlignment="1">
      <alignment horizontal="left" vertical="center"/>
    </xf>
    <xf numFmtId="166" fontId="9" fillId="15" borderId="13" xfId="0" applyNumberFormat="1" applyFont="1" applyFill="1" applyBorder="1" applyAlignment="1">
      <alignment vertical="center"/>
    </xf>
    <xf numFmtId="166" fontId="9" fillId="16" borderId="13" xfId="0" applyNumberFormat="1" applyFont="1" applyFill="1" applyBorder="1" applyAlignment="1">
      <alignment vertical="center"/>
    </xf>
    <xf numFmtId="0" fontId="26" fillId="0" borderId="0" xfId="0" applyFont="1" applyAlignment="1">
      <alignment vertical="center"/>
    </xf>
    <xf numFmtId="166" fontId="8" fillId="17" borderId="13" xfId="0" applyNumberFormat="1" applyFont="1" applyFill="1" applyBorder="1" applyAlignment="1">
      <alignment vertical="center"/>
    </xf>
    <xf numFmtId="166" fontId="43" fillId="0" borderId="0" xfId="0" applyNumberFormat="1" applyFont="1" applyAlignment="1">
      <alignment vertical="center"/>
    </xf>
    <xf numFmtId="9" fontId="44" fillId="0" borderId="0" xfId="0" applyNumberFormat="1" applyFont="1" applyAlignment="1">
      <alignment vertical="center"/>
    </xf>
    <xf numFmtId="0" fontId="45" fillId="0" borderId="0" xfId="0" applyFont="1" applyAlignment="1">
      <alignment vertical="center"/>
    </xf>
    <xf numFmtId="0" fontId="46" fillId="0" borderId="0" xfId="0" applyFont="1" applyAlignment="1">
      <alignment horizontal="right" vertical="center"/>
    </xf>
    <xf numFmtId="0" fontId="16" fillId="0" borderId="0" xfId="0" applyFont="1" applyAlignment="1">
      <alignment horizontal="right" vertical="center"/>
    </xf>
    <xf numFmtId="9" fontId="16" fillId="0" borderId="0" xfId="0" applyNumberFormat="1" applyFont="1" applyAlignment="1">
      <alignment vertical="center"/>
    </xf>
    <xf numFmtId="0" fontId="30" fillId="0" borderId="0" xfId="0" applyFont="1" applyAlignment="1">
      <alignment horizontal="right" vertical="center"/>
    </xf>
    <xf numFmtId="166" fontId="30" fillId="0" borderId="0" xfId="0" applyNumberFormat="1" applyFont="1" applyAlignment="1">
      <alignment vertical="center"/>
    </xf>
    <xf numFmtId="9" fontId="30" fillId="0" borderId="0" xfId="0" applyNumberFormat="1" applyFont="1" applyAlignment="1">
      <alignment vertical="center"/>
    </xf>
    <xf numFmtId="4" fontId="16" fillId="0" borderId="0" xfId="0" applyNumberFormat="1" applyFont="1" applyAlignment="1">
      <alignment horizontal="right" vertical="center"/>
    </xf>
    <xf numFmtId="9" fontId="16" fillId="0" borderId="0" xfId="0" applyNumberFormat="1" applyFont="1" applyAlignment="1">
      <alignment horizontal="right" vertical="center"/>
    </xf>
    <xf numFmtId="4" fontId="16" fillId="0" borderId="0" xfId="0" applyNumberFormat="1" applyFont="1" applyAlignment="1">
      <alignment vertical="center"/>
    </xf>
    <xf numFmtId="0" fontId="49" fillId="0" borderId="0" xfId="0" applyFont="1"/>
    <xf numFmtId="166" fontId="48" fillId="3" borderId="12" xfId="0" applyNumberFormat="1" applyFont="1" applyFill="1" applyBorder="1" applyAlignment="1">
      <alignment vertical="center"/>
    </xf>
    <xf numFmtId="4" fontId="11" fillId="0" borderId="0" xfId="0" applyNumberFormat="1" applyFont="1" applyAlignment="1">
      <alignment horizontal="right" vertical="center"/>
    </xf>
    <xf numFmtId="167" fontId="16" fillId="0" borderId="0" xfId="0" applyNumberFormat="1" applyFont="1" applyAlignment="1">
      <alignment vertical="center"/>
    </xf>
    <xf numFmtId="166" fontId="48" fillId="4" borderId="13" xfId="0" applyNumberFormat="1" applyFont="1" applyFill="1" applyBorder="1" applyAlignment="1">
      <alignment vertical="center"/>
    </xf>
    <xf numFmtId="4" fontId="29" fillId="0" borderId="0" xfId="0" applyNumberFormat="1" applyFont="1" applyAlignment="1">
      <alignment horizontal="right" vertical="center"/>
    </xf>
    <xf numFmtId="4" fontId="16" fillId="0" borderId="0" xfId="0" applyNumberFormat="1" applyFont="1" applyAlignment="1">
      <alignment horizontal="left" vertical="center"/>
    </xf>
    <xf numFmtId="9" fontId="16" fillId="0" borderId="0" xfId="0" applyNumberFormat="1" applyFont="1" applyAlignment="1">
      <alignment horizontal="left" vertical="center"/>
    </xf>
    <xf numFmtId="4" fontId="30" fillId="0" borderId="0" xfId="0" applyNumberFormat="1" applyFont="1" applyAlignment="1">
      <alignment horizontal="right" vertical="center"/>
    </xf>
    <xf numFmtId="0" fontId="11" fillId="0" borderId="0" xfId="0" applyFont="1"/>
    <xf numFmtId="0" fontId="30" fillId="0" borderId="0" xfId="0" applyFont="1"/>
    <xf numFmtId="0" fontId="30" fillId="0" borderId="0" xfId="0" applyFont="1" applyAlignment="1">
      <alignment horizontal="left" vertical="center"/>
    </xf>
    <xf numFmtId="166" fontId="48" fillId="5" borderId="13" xfId="0" applyNumberFormat="1" applyFont="1" applyFill="1" applyBorder="1" applyAlignment="1">
      <alignment vertical="center"/>
    </xf>
    <xf numFmtId="9" fontId="11" fillId="0" borderId="0" xfId="0" applyNumberFormat="1" applyFont="1" applyAlignment="1">
      <alignment vertical="center"/>
    </xf>
    <xf numFmtId="166" fontId="30" fillId="0" borderId="0" xfId="0" applyNumberFormat="1" applyFont="1" applyAlignment="1">
      <alignment horizontal="left" vertical="center"/>
    </xf>
    <xf numFmtId="4" fontId="30" fillId="0" borderId="0" xfId="0" applyNumberFormat="1" applyFont="1" applyAlignment="1">
      <alignment horizontal="left" vertical="center"/>
    </xf>
    <xf numFmtId="166" fontId="16" fillId="0" borderId="0" xfId="0" applyNumberFormat="1" applyFont="1"/>
    <xf numFmtId="166" fontId="30" fillId="0" borderId="0" xfId="0" applyNumberFormat="1" applyFont="1"/>
    <xf numFmtId="9" fontId="16" fillId="0" borderId="0" xfId="0" applyNumberFormat="1" applyFont="1" applyAlignment="1">
      <alignment horizontal="center" vertical="center"/>
    </xf>
    <xf numFmtId="4" fontId="50" fillId="0" borderId="0" xfId="0" applyNumberFormat="1" applyFont="1" applyAlignment="1">
      <alignment horizontal="left" vertical="center"/>
    </xf>
    <xf numFmtId="166" fontId="48" fillId="6" borderId="13" xfId="0" applyNumberFormat="1" applyFont="1" applyFill="1" applyBorder="1" applyAlignment="1">
      <alignment vertical="center"/>
    </xf>
    <xf numFmtId="166" fontId="50" fillId="0" borderId="0" xfId="0" applyNumberFormat="1" applyFont="1" applyAlignment="1">
      <alignment horizontal="left" vertical="center"/>
    </xf>
    <xf numFmtId="167" fontId="16" fillId="0" borderId="0" xfId="0" applyNumberFormat="1" applyFont="1" applyAlignment="1">
      <alignment horizontal="right" vertical="center"/>
    </xf>
    <xf numFmtId="0" fontId="50" fillId="0" borderId="0" xfId="0" applyFont="1"/>
    <xf numFmtId="166" fontId="48" fillId="7" borderId="13" xfId="0" applyNumberFormat="1" applyFont="1" applyFill="1" applyBorder="1" applyAlignment="1">
      <alignment vertical="center"/>
    </xf>
    <xf numFmtId="0" fontId="16" fillId="0" borderId="0" xfId="0" applyFont="1" applyAlignment="1">
      <alignment horizontal="left"/>
    </xf>
    <xf numFmtId="167" fontId="11" fillId="0" borderId="0" xfId="0" applyNumberFormat="1" applyFont="1" applyAlignment="1">
      <alignment vertical="center"/>
    </xf>
    <xf numFmtId="167" fontId="16" fillId="0" borderId="0" xfId="0" applyNumberFormat="1" applyFont="1"/>
    <xf numFmtId="0" fontId="51" fillId="0" borderId="0" xfId="0" applyFont="1"/>
    <xf numFmtId="167" fontId="51" fillId="0" borderId="0" xfId="0" applyNumberFormat="1" applyFont="1"/>
    <xf numFmtId="0" fontId="51" fillId="0" borderId="0" xfId="0" applyFont="1" applyAlignment="1">
      <alignment vertical="center"/>
    </xf>
    <xf numFmtId="0" fontId="0" fillId="0" borderId="0" xfId="0" applyAlignment="1">
      <alignment vertical="center"/>
    </xf>
    <xf numFmtId="167" fontId="30" fillId="0" borderId="0" xfId="0" applyNumberFormat="1" applyFont="1" applyAlignment="1">
      <alignment vertical="center"/>
    </xf>
    <xf numFmtId="0" fontId="11" fillId="0" borderId="0" xfId="0" applyFont="1" applyAlignment="1">
      <alignment horizontal="left"/>
    </xf>
    <xf numFmtId="166" fontId="30" fillId="0" borderId="0" xfId="0" applyNumberFormat="1" applyFont="1" applyAlignment="1">
      <alignment horizontal="left"/>
    </xf>
    <xf numFmtId="166" fontId="29" fillId="0" borderId="0" xfId="0" applyNumberFormat="1" applyFont="1" applyAlignment="1">
      <alignment horizontal="left"/>
    </xf>
    <xf numFmtId="166" fontId="16" fillId="0" borderId="0" xfId="0" applyNumberFormat="1" applyFont="1" applyAlignment="1">
      <alignment horizontal="left"/>
    </xf>
    <xf numFmtId="9" fontId="51" fillId="0" borderId="0" xfId="0" applyNumberFormat="1" applyFont="1"/>
    <xf numFmtId="0" fontId="52" fillId="0" borderId="0" xfId="0" applyFont="1"/>
    <xf numFmtId="9" fontId="53" fillId="0" borderId="0" xfId="0" applyNumberFormat="1" applyFont="1"/>
    <xf numFmtId="0" fontId="53" fillId="0" borderId="0" xfId="0" applyFont="1"/>
    <xf numFmtId="166" fontId="11" fillId="0" borderId="0" xfId="0" applyNumberFormat="1" applyFont="1" applyAlignment="1">
      <alignment horizontal="right"/>
    </xf>
    <xf numFmtId="9" fontId="50" fillId="0" borderId="0" xfId="0" applyNumberFormat="1" applyFont="1" applyAlignment="1">
      <alignment vertical="center"/>
    </xf>
    <xf numFmtId="9" fontId="30" fillId="0" borderId="0" xfId="0" applyNumberFormat="1" applyFont="1" applyAlignment="1">
      <alignment horizontal="right" vertical="center"/>
    </xf>
    <xf numFmtId="0" fontId="11" fillId="0" borderId="0" xfId="0" applyFont="1" applyAlignment="1">
      <alignment horizontal="right" vertical="center"/>
    </xf>
    <xf numFmtId="166" fontId="50" fillId="0" borderId="0" xfId="0" applyNumberFormat="1" applyFont="1" applyAlignment="1">
      <alignment vertical="center"/>
    </xf>
    <xf numFmtId="0" fontId="11" fillId="0" borderId="5" xfId="0" applyFont="1" applyBorder="1" applyAlignment="1">
      <alignment vertical="center"/>
    </xf>
    <xf numFmtId="9" fontId="30" fillId="0" borderId="0" xfId="0" applyNumberFormat="1" applyFont="1" applyAlignment="1">
      <alignment horizontal="left" vertical="center"/>
    </xf>
    <xf numFmtId="166" fontId="11" fillId="0" borderId="0" xfId="0" applyNumberFormat="1" applyFont="1"/>
    <xf numFmtId="166" fontId="48" fillId="4" borderId="13" xfId="0" applyNumberFormat="1" applyFont="1" applyFill="1" applyBorder="1"/>
    <xf numFmtId="166" fontId="48" fillId="5" borderId="13" xfId="0" applyNumberFormat="1" applyFont="1" applyFill="1" applyBorder="1"/>
    <xf numFmtId="9" fontId="29" fillId="0" borderId="0" xfId="0" applyNumberFormat="1" applyFont="1" applyAlignment="1">
      <alignment horizontal="right" vertical="center"/>
    </xf>
    <xf numFmtId="176" fontId="50" fillId="0" borderId="0" xfId="0" applyNumberFormat="1" applyFont="1" applyAlignment="1">
      <alignment vertical="center"/>
    </xf>
    <xf numFmtId="166" fontId="11" fillId="0" borderId="0" xfId="0" applyNumberFormat="1" applyFont="1" applyAlignment="1">
      <alignment horizontal="center"/>
    </xf>
    <xf numFmtId="4" fontId="30" fillId="0" borderId="0" xfId="0" applyNumberFormat="1" applyFont="1" applyAlignment="1">
      <alignment horizontal="right"/>
    </xf>
    <xf numFmtId="166" fontId="48" fillId="6" borderId="13" xfId="0" applyNumberFormat="1" applyFont="1" applyFill="1" applyBorder="1"/>
    <xf numFmtId="166" fontId="48" fillId="7" borderId="13" xfId="0" applyNumberFormat="1" applyFont="1" applyFill="1" applyBorder="1"/>
    <xf numFmtId="0" fontId="1" fillId="0" borderId="0" xfId="0" applyFont="1"/>
    <xf numFmtId="166" fontId="9" fillId="0" borderId="0" xfId="0" applyNumberFormat="1" applyFont="1" applyAlignment="1">
      <alignment horizontal="left"/>
    </xf>
    <xf numFmtId="0" fontId="9" fillId="0" borderId="0" xfId="0" applyFont="1" applyAlignment="1">
      <alignment horizontal="center"/>
    </xf>
    <xf numFmtId="166" fontId="2" fillId="0" borderId="0" xfId="0" applyNumberFormat="1" applyFont="1" applyAlignment="1">
      <alignment horizontal="right"/>
    </xf>
    <xf numFmtId="0" fontId="55" fillId="0" borderId="0" xfId="0" applyFont="1"/>
    <xf numFmtId="4" fontId="2" fillId="0" borderId="0" xfId="0" applyNumberFormat="1" applyFont="1" applyAlignment="1">
      <alignment horizontal="center" vertical="center"/>
    </xf>
    <xf numFmtId="4" fontId="7" fillId="0" borderId="0" xfId="0" applyNumberFormat="1" applyFont="1" applyAlignment="1">
      <alignment horizontal="center" vertical="center"/>
    </xf>
    <xf numFmtId="4" fontId="2" fillId="0" borderId="0" xfId="0" applyNumberFormat="1" applyFont="1" applyAlignment="1">
      <alignment horizontal="left" vertical="center"/>
    </xf>
    <xf numFmtId="4" fontId="7" fillId="0" borderId="0" xfId="0" applyNumberFormat="1" applyFont="1" applyAlignment="1">
      <alignment horizontal="left" vertical="center"/>
    </xf>
    <xf numFmtId="9" fontId="2" fillId="0" borderId="0" xfId="0" applyNumberFormat="1" applyFont="1" applyAlignment="1">
      <alignment vertical="center"/>
    </xf>
    <xf numFmtId="4" fontId="15" fillId="0" borderId="0" xfId="0" applyNumberFormat="1" applyFont="1" applyAlignment="1">
      <alignment horizontal="left" vertical="center"/>
    </xf>
    <xf numFmtId="4" fontId="15" fillId="0" borderId="0" xfId="0" applyNumberFormat="1" applyFont="1" applyAlignment="1">
      <alignment horizontal="right" vertical="center"/>
    </xf>
    <xf numFmtId="9" fontId="2" fillId="0" borderId="0" xfId="0" applyNumberFormat="1" applyFont="1" applyAlignment="1">
      <alignment horizontal="right" vertical="center"/>
    </xf>
    <xf numFmtId="4" fontId="7" fillId="0" borderId="0" xfId="0" applyNumberFormat="1" applyFont="1" applyAlignment="1">
      <alignment horizontal="left"/>
    </xf>
    <xf numFmtId="177" fontId="15" fillId="0" borderId="0" xfId="0" applyNumberFormat="1" applyFont="1" applyAlignment="1">
      <alignment horizontal="left" vertical="center"/>
    </xf>
    <xf numFmtId="2" fontId="7" fillId="0" borderId="0" xfId="0" applyNumberFormat="1" applyFont="1" applyAlignment="1">
      <alignment vertical="center"/>
    </xf>
    <xf numFmtId="2" fontId="2" fillId="0" borderId="0" xfId="0" applyNumberFormat="1" applyFont="1" applyAlignment="1">
      <alignment vertical="center"/>
    </xf>
    <xf numFmtId="2" fontId="2" fillId="0" borderId="0" xfId="0" applyNumberFormat="1" applyFont="1" applyAlignment="1">
      <alignment horizontal="left" vertical="center"/>
    </xf>
    <xf numFmtId="4" fontId="7" fillId="0" borderId="0" xfId="0" applyNumberFormat="1" applyFont="1"/>
    <xf numFmtId="4" fontId="42" fillId="0" borderId="0" xfId="0" applyNumberFormat="1" applyFont="1" applyAlignment="1">
      <alignment horizontal="left" vertical="center"/>
    </xf>
    <xf numFmtId="4" fontId="42" fillId="0" borderId="0" xfId="0" applyNumberFormat="1" applyFont="1" applyAlignment="1">
      <alignment horizontal="center" vertical="center"/>
    </xf>
    <xf numFmtId="9" fontId="42" fillId="0" borderId="0" xfId="0" applyNumberFormat="1" applyFont="1" applyAlignment="1">
      <alignment vertical="center"/>
    </xf>
    <xf numFmtId="4" fontId="2" fillId="0" borderId="0" xfId="0" applyNumberFormat="1" applyFont="1" applyAlignment="1">
      <alignment horizontal="left"/>
    </xf>
    <xf numFmtId="4" fontId="1" fillId="0" borderId="0" xfId="0" applyNumberFormat="1" applyFont="1" applyAlignment="1">
      <alignment horizontal="left" vertical="center"/>
    </xf>
    <xf numFmtId="4" fontId="1" fillId="0" borderId="0" xfId="0" applyNumberFormat="1" applyFont="1" applyAlignment="1">
      <alignment horizontal="center" vertical="center"/>
    </xf>
    <xf numFmtId="4" fontId="1" fillId="0" borderId="0" xfId="0" applyNumberFormat="1" applyFont="1" applyAlignment="1">
      <alignment vertical="center"/>
    </xf>
    <xf numFmtId="174" fontId="2" fillId="0" borderId="0" xfId="0" applyNumberFormat="1" applyFont="1" applyAlignment="1">
      <alignment vertical="center"/>
    </xf>
    <xf numFmtId="0" fontId="56" fillId="0" borderId="0" xfId="0" applyFont="1"/>
    <xf numFmtId="0" fontId="57" fillId="23" borderId="13" xfId="0" applyFont="1" applyFill="1" applyBorder="1" applyAlignment="1">
      <alignment horizontal="center"/>
    </xf>
    <xf numFmtId="0" fontId="26" fillId="0" borderId="0" xfId="0" applyFont="1"/>
    <xf numFmtId="0" fontId="58" fillId="0" borderId="13" xfId="0" applyFont="1" applyBorder="1" applyAlignment="1">
      <alignment horizontal="left"/>
    </xf>
    <xf numFmtId="0" fontId="9" fillId="0" borderId="40" xfId="0" applyFont="1" applyBorder="1"/>
    <xf numFmtId="0" fontId="9" fillId="0" borderId="41" xfId="0" applyFont="1" applyBorder="1" applyAlignment="1">
      <alignment horizontal="center"/>
    </xf>
    <xf numFmtId="0" fontId="9" fillId="0" borderId="42" xfId="0" applyFont="1" applyBorder="1" applyAlignment="1">
      <alignment horizontal="center"/>
    </xf>
    <xf numFmtId="0" fontId="7" fillId="24" borderId="43" xfId="0" applyFont="1" applyFill="1" applyBorder="1"/>
    <xf numFmtId="167" fontId="7" fillId="24" borderId="20" xfId="0" applyNumberFormat="1" applyFont="1" applyFill="1" applyBorder="1"/>
    <xf numFmtId="167" fontId="7" fillId="24" borderId="43" xfId="0" applyNumberFormat="1" applyFont="1" applyFill="1" applyBorder="1"/>
    <xf numFmtId="2" fontId="7" fillId="24" borderId="43" xfId="0" applyNumberFormat="1" applyFont="1" applyFill="1" applyBorder="1" applyAlignment="1">
      <alignment horizontal="center"/>
    </xf>
    <xf numFmtId="10" fontId="26" fillId="24" borderId="20" xfId="0" applyNumberFormat="1" applyFont="1" applyFill="1" applyBorder="1"/>
    <xf numFmtId="167" fontId="7" fillId="24" borderId="42" xfId="0" applyNumberFormat="1" applyFont="1" applyFill="1" applyBorder="1"/>
    <xf numFmtId="9" fontId="7" fillId="24" borderId="42" xfId="0" applyNumberFormat="1" applyFont="1" applyFill="1" applyBorder="1" applyAlignment="1">
      <alignment horizontal="center"/>
    </xf>
    <xf numFmtId="0" fontId="7" fillId="24" borderId="42" xfId="0" applyFont="1" applyFill="1" applyBorder="1"/>
    <xf numFmtId="10" fontId="7" fillId="24" borderId="20" xfId="0" applyNumberFormat="1" applyFont="1" applyFill="1" applyBorder="1"/>
    <xf numFmtId="0" fontId="7" fillId="24" borderId="20" xfId="0" applyFont="1" applyFill="1" applyBorder="1"/>
    <xf numFmtId="0" fontId="7" fillId="25" borderId="44" xfId="0" applyFont="1" applyFill="1" applyBorder="1"/>
    <xf numFmtId="167" fontId="7" fillId="25" borderId="44" xfId="0" applyNumberFormat="1" applyFont="1" applyFill="1" applyBorder="1"/>
    <xf numFmtId="167" fontId="7" fillId="25" borderId="43" xfId="0" applyNumberFormat="1" applyFont="1" applyFill="1" applyBorder="1"/>
    <xf numFmtId="2" fontId="7" fillId="25" borderId="43" xfId="0" applyNumberFormat="1" applyFont="1" applyFill="1" applyBorder="1" applyAlignment="1">
      <alignment horizontal="center"/>
    </xf>
    <xf numFmtId="10" fontId="26" fillId="25" borderId="20" xfId="0" applyNumberFormat="1" applyFont="1" applyFill="1" applyBorder="1"/>
    <xf numFmtId="9" fontId="7" fillId="25" borderId="42" xfId="0" applyNumberFormat="1" applyFont="1" applyFill="1" applyBorder="1" applyAlignment="1">
      <alignment horizontal="center"/>
    </xf>
    <xf numFmtId="10" fontId="7" fillId="25" borderId="20" xfId="0" applyNumberFormat="1" applyFont="1" applyFill="1" applyBorder="1"/>
    <xf numFmtId="0" fontId="7" fillId="25" borderId="20" xfId="0" applyFont="1" applyFill="1" applyBorder="1"/>
    <xf numFmtId="0" fontId="7" fillId="26" borderId="44" xfId="0" applyFont="1" applyFill="1" applyBorder="1" applyAlignment="1">
      <alignment horizontal="left"/>
    </xf>
    <xf numFmtId="167" fontId="7" fillId="26" borderId="44" xfId="0" applyNumberFormat="1" applyFont="1" applyFill="1" applyBorder="1"/>
    <xf numFmtId="167" fontId="7" fillId="26" borderId="43" xfId="0" applyNumberFormat="1" applyFont="1" applyFill="1" applyBorder="1"/>
    <xf numFmtId="2" fontId="7" fillId="26" borderId="44" xfId="0" applyNumberFormat="1" applyFont="1" applyFill="1" applyBorder="1" applyAlignment="1">
      <alignment horizontal="center"/>
    </xf>
    <xf numFmtId="10" fontId="26" fillId="26" borderId="20" xfId="0" applyNumberFormat="1" applyFont="1" applyFill="1" applyBorder="1"/>
    <xf numFmtId="9" fontId="7" fillId="26" borderId="42" xfId="0" applyNumberFormat="1" applyFont="1" applyFill="1" applyBorder="1" applyAlignment="1">
      <alignment horizontal="center"/>
    </xf>
    <xf numFmtId="10" fontId="7" fillId="26" borderId="20" xfId="0" applyNumberFormat="1" applyFont="1" applyFill="1" applyBorder="1"/>
    <xf numFmtId="0" fontId="7" fillId="26" borderId="20" xfId="0" applyFont="1" applyFill="1" applyBorder="1"/>
    <xf numFmtId="0" fontId="7" fillId="27" borderId="44" xfId="0" applyFont="1" applyFill="1" applyBorder="1"/>
    <xf numFmtId="167" fontId="7" fillId="27" borderId="44" xfId="0" applyNumberFormat="1" applyFont="1" applyFill="1" applyBorder="1"/>
    <xf numFmtId="167" fontId="7" fillId="27" borderId="43" xfId="0" applyNumberFormat="1" applyFont="1" applyFill="1" applyBorder="1"/>
    <xf numFmtId="2" fontId="7" fillId="27" borderId="44" xfId="0" applyNumberFormat="1" applyFont="1" applyFill="1" applyBorder="1" applyAlignment="1">
      <alignment horizontal="center"/>
    </xf>
    <xf numFmtId="10" fontId="26" fillId="27" borderId="20" xfId="0" applyNumberFormat="1" applyFont="1" applyFill="1" applyBorder="1"/>
    <xf numFmtId="9" fontId="7" fillId="27" borderId="42" xfId="0" applyNumberFormat="1" applyFont="1" applyFill="1" applyBorder="1" applyAlignment="1">
      <alignment horizontal="center"/>
    </xf>
    <xf numFmtId="10" fontId="7" fillId="27" borderId="20" xfId="0" applyNumberFormat="1" applyFont="1" applyFill="1" applyBorder="1"/>
    <xf numFmtId="0" fontId="7" fillId="27" borderId="20" xfId="0" applyFont="1" applyFill="1" applyBorder="1"/>
    <xf numFmtId="0" fontId="7" fillId="28" borderId="44" xfId="0" applyFont="1" applyFill="1" applyBorder="1"/>
    <xf numFmtId="167" fontId="7" fillId="28" borderId="44" xfId="0" applyNumberFormat="1" applyFont="1" applyFill="1" applyBorder="1"/>
    <xf numFmtId="167" fontId="7" fillId="28" borderId="43" xfId="0" applyNumberFormat="1" applyFont="1" applyFill="1" applyBorder="1"/>
    <xf numFmtId="2" fontId="7" fillId="28" borderId="44" xfId="0" applyNumberFormat="1" applyFont="1" applyFill="1" applyBorder="1" applyAlignment="1">
      <alignment horizontal="center"/>
    </xf>
    <xf numFmtId="10" fontId="26" fillId="28" borderId="20" xfId="0" applyNumberFormat="1" applyFont="1" applyFill="1" applyBorder="1"/>
    <xf numFmtId="9" fontId="7" fillId="28" borderId="42" xfId="0" applyNumberFormat="1" applyFont="1" applyFill="1" applyBorder="1" applyAlignment="1">
      <alignment horizontal="center"/>
    </xf>
    <xf numFmtId="10" fontId="7" fillId="28" borderId="20" xfId="0" applyNumberFormat="1" applyFont="1" applyFill="1" applyBorder="1"/>
    <xf numFmtId="0" fontId="7" fillId="28" borderId="20" xfId="0" applyFont="1" applyFill="1" applyBorder="1"/>
    <xf numFmtId="0" fontId="7" fillId="29" borderId="44" xfId="0" applyFont="1" applyFill="1" applyBorder="1"/>
    <xf numFmtId="167" fontId="7" fillId="29" borderId="44" xfId="0" applyNumberFormat="1" applyFont="1" applyFill="1" applyBorder="1"/>
    <xf numFmtId="167" fontId="7" fillId="29" borderId="43" xfId="0" applyNumberFormat="1" applyFont="1" applyFill="1" applyBorder="1"/>
    <xf numFmtId="2" fontId="7" fillId="29" borderId="44" xfId="0" applyNumberFormat="1" applyFont="1" applyFill="1" applyBorder="1" applyAlignment="1">
      <alignment horizontal="center"/>
    </xf>
    <xf numFmtId="10" fontId="26" fillId="29" borderId="20" xfId="0" applyNumberFormat="1" applyFont="1" applyFill="1" applyBorder="1"/>
    <xf numFmtId="9" fontId="7" fillId="29" borderId="42" xfId="0" applyNumberFormat="1" applyFont="1" applyFill="1" applyBorder="1" applyAlignment="1">
      <alignment horizontal="center"/>
    </xf>
    <xf numFmtId="10" fontId="7" fillId="29" borderId="20" xfId="0" applyNumberFormat="1" applyFont="1" applyFill="1" applyBorder="1"/>
    <xf numFmtId="0" fontId="7" fillId="29" borderId="20" xfId="0" applyFont="1" applyFill="1" applyBorder="1"/>
    <xf numFmtId="0" fontId="7" fillId="30" borderId="44" xfId="0" applyFont="1" applyFill="1" applyBorder="1"/>
    <xf numFmtId="167" fontId="7" fillId="30" borderId="44" xfId="0" applyNumberFormat="1" applyFont="1" applyFill="1" applyBorder="1"/>
    <xf numFmtId="167" fontId="7" fillId="30" borderId="43" xfId="0" applyNumberFormat="1" applyFont="1" applyFill="1" applyBorder="1"/>
    <xf numFmtId="2" fontId="7" fillId="30" borderId="44" xfId="0" applyNumberFormat="1" applyFont="1" applyFill="1" applyBorder="1" applyAlignment="1">
      <alignment horizontal="center"/>
    </xf>
    <xf numFmtId="10" fontId="26" fillId="30" borderId="20" xfId="0" applyNumberFormat="1" applyFont="1" applyFill="1" applyBorder="1"/>
    <xf numFmtId="9" fontId="7" fillId="30" borderId="42" xfId="0" applyNumberFormat="1" applyFont="1" applyFill="1" applyBorder="1" applyAlignment="1">
      <alignment horizontal="center"/>
    </xf>
    <xf numFmtId="10" fontId="7" fillId="30" borderId="20" xfId="0" applyNumberFormat="1" applyFont="1" applyFill="1" applyBorder="1"/>
    <xf numFmtId="0" fontId="7" fillId="30" borderId="20" xfId="0" applyFont="1" applyFill="1" applyBorder="1"/>
    <xf numFmtId="0" fontId="7" fillId="23" borderId="44" xfId="0" applyFont="1" applyFill="1" applyBorder="1"/>
    <xf numFmtId="167" fontId="7" fillId="23" borderId="44" xfId="0" applyNumberFormat="1" applyFont="1" applyFill="1" applyBorder="1"/>
    <xf numFmtId="167" fontId="7" fillId="23" borderId="43" xfId="0" applyNumberFormat="1" applyFont="1" applyFill="1" applyBorder="1"/>
    <xf numFmtId="2" fontId="7" fillId="23" borderId="44" xfId="0" applyNumberFormat="1" applyFont="1" applyFill="1" applyBorder="1" applyAlignment="1">
      <alignment horizontal="center"/>
    </xf>
    <xf numFmtId="10" fontId="26" fillId="23" borderId="20" xfId="0" applyNumberFormat="1" applyFont="1" applyFill="1" applyBorder="1"/>
    <xf numFmtId="9" fontId="7" fillId="23" borderId="42" xfId="0" applyNumberFormat="1" applyFont="1" applyFill="1" applyBorder="1" applyAlignment="1">
      <alignment horizontal="center"/>
    </xf>
    <xf numFmtId="10" fontId="7" fillId="23" borderId="20" xfId="0" applyNumberFormat="1" applyFont="1" applyFill="1" applyBorder="1"/>
    <xf numFmtId="0" fontId="7" fillId="23" borderId="20" xfId="0" applyFont="1" applyFill="1" applyBorder="1"/>
    <xf numFmtId="0" fontId="7" fillId="31" borderId="44" xfId="0" applyFont="1" applyFill="1" applyBorder="1"/>
    <xf numFmtId="167" fontId="7" fillId="31" borderId="44" xfId="0" applyNumberFormat="1" applyFont="1" applyFill="1" applyBorder="1"/>
    <xf numFmtId="167" fontId="7" fillId="31" borderId="43" xfId="0" applyNumberFormat="1" applyFont="1" applyFill="1" applyBorder="1"/>
    <xf numFmtId="2" fontId="7" fillId="0" borderId="44" xfId="0" applyNumberFormat="1" applyFont="1" applyBorder="1" applyAlignment="1">
      <alignment horizontal="center"/>
    </xf>
    <xf numFmtId="167" fontId="7" fillId="0" borderId="42" xfId="0" applyNumberFormat="1" applyFont="1" applyBorder="1"/>
    <xf numFmtId="9" fontId="7" fillId="0" borderId="42" xfId="0" applyNumberFormat="1" applyFont="1" applyBorder="1" applyAlignment="1">
      <alignment horizontal="center"/>
    </xf>
    <xf numFmtId="0" fontId="7" fillId="0" borderId="42" xfId="0" applyFont="1" applyBorder="1"/>
    <xf numFmtId="166" fontId="7" fillId="31" borderId="44" xfId="0" applyNumberFormat="1" applyFont="1" applyFill="1" applyBorder="1"/>
    <xf numFmtId="167" fontId="7" fillId="31" borderId="45" xfId="0" applyNumberFormat="1" applyFont="1" applyFill="1" applyBorder="1"/>
    <xf numFmtId="0" fontId="7" fillId="32" borderId="44" xfId="0" applyFont="1" applyFill="1" applyBorder="1"/>
    <xf numFmtId="167" fontId="7" fillId="0" borderId="44" xfId="0" applyNumberFormat="1" applyFont="1" applyBorder="1"/>
    <xf numFmtId="167" fontId="7" fillId="0" borderId="46" xfId="0" applyNumberFormat="1" applyFont="1" applyBorder="1"/>
    <xf numFmtId="167" fontId="7" fillId="31" borderId="47" xfId="0" applyNumberFormat="1" applyFont="1" applyFill="1" applyBorder="1"/>
    <xf numFmtId="0" fontId="9" fillId="20" borderId="44" xfId="0" applyFont="1" applyFill="1" applyBorder="1"/>
    <xf numFmtId="167" fontId="7" fillId="0" borderId="48" xfId="0" applyNumberFormat="1" applyFont="1" applyBorder="1"/>
    <xf numFmtId="167" fontId="9" fillId="0" borderId="48" xfId="0" applyNumberFormat="1" applyFont="1" applyBorder="1"/>
    <xf numFmtId="10" fontId="26" fillId="0" borderId="0" xfId="0" applyNumberFormat="1" applyFont="1"/>
    <xf numFmtId="9" fontId="7" fillId="0" borderId="49" xfId="0" applyNumberFormat="1" applyFont="1" applyBorder="1" applyAlignment="1">
      <alignment horizontal="center"/>
    </xf>
    <xf numFmtId="0" fontId="9" fillId="0" borderId="44" xfId="0" applyFont="1" applyBorder="1"/>
    <xf numFmtId="167" fontId="9" fillId="13" borderId="44" xfId="0" applyNumberFormat="1" applyFont="1" applyFill="1" applyBorder="1"/>
    <xf numFmtId="167" fontId="9" fillId="0" borderId="44" xfId="0" applyNumberFormat="1" applyFont="1" applyBorder="1"/>
    <xf numFmtId="2" fontId="9" fillId="0" borderId="44" xfId="0" applyNumberFormat="1" applyFont="1" applyBorder="1" applyAlignment="1">
      <alignment horizontal="center"/>
    </xf>
    <xf numFmtId="167" fontId="9" fillId="0" borderId="50" xfId="0" applyNumberFormat="1" applyFont="1" applyBorder="1"/>
    <xf numFmtId="10" fontId="7" fillId="0" borderId="51" xfId="0" applyNumberFormat="1" applyFont="1" applyBorder="1"/>
    <xf numFmtId="9" fontId="9" fillId="0" borderId="44" xfId="0" applyNumberFormat="1" applyFont="1" applyBorder="1"/>
    <xf numFmtId="9" fontId="9" fillId="0" borderId="52" xfId="0" applyNumberFormat="1" applyFont="1" applyBorder="1"/>
    <xf numFmtId="167" fontId="9" fillId="0" borderId="53" xfId="0" applyNumberFormat="1" applyFont="1" applyBorder="1" applyAlignment="1">
      <alignment horizontal="center"/>
    </xf>
    <xf numFmtId="9" fontId="26" fillId="0" borderId="0" xfId="0" applyNumberFormat="1" applyFont="1"/>
    <xf numFmtId="10" fontId="7" fillId="0" borderId="13" xfId="0" applyNumberFormat="1" applyFont="1" applyBorder="1"/>
    <xf numFmtId="167" fontId="9" fillId="0" borderId="54" xfId="0" applyNumberFormat="1" applyFont="1" applyBorder="1"/>
    <xf numFmtId="0" fontId="7" fillId="0" borderId="44" xfId="0" applyFont="1" applyBorder="1" applyAlignment="1">
      <alignment horizontal="right"/>
    </xf>
    <xf numFmtId="10" fontId="9" fillId="20" borderId="44" xfId="0" applyNumberFormat="1" applyFont="1" applyFill="1" applyBorder="1" applyAlignment="1">
      <alignment horizontal="right"/>
    </xf>
    <xf numFmtId="167" fontId="59" fillId="0" borderId="44" xfId="0" applyNumberFormat="1" applyFont="1" applyBorder="1"/>
    <xf numFmtId="0" fontId="7" fillId="0" borderId="39" xfId="0" applyFont="1" applyBorder="1" applyAlignment="1">
      <alignment horizontal="center"/>
    </xf>
    <xf numFmtId="167" fontId="60" fillId="0" borderId="48" xfId="0" applyNumberFormat="1" applyFont="1" applyBorder="1"/>
    <xf numFmtId="0" fontId="61" fillId="0" borderId="44" xfId="0" applyFont="1" applyBorder="1"/>
    <xf numFmtId="0" fontId="7" fillId="0" borderId="44" xfId="0" applyFont="1" applyBorder="1"/>
    <xf numFmtId="167" fontId="62" fillId="20" borderId="44" xfId="0" applyNumberFormat="1" applyFont="1" applyFill="1" applyBorder="1"/>
    <xf numFmtId="167" fontId="59" fillId="33" borderId="44" xfId="0" applyNumberFormat="1" applyFont="1" applyFill="1" applyBorder="1"/>
    <xf numFmtId="4" fontId="9" fillId="0" borderId="0" xfId="0" applyNumberFormat="1" applyFont="1"/>
    <xf numFmtId="0" fontId="61" fillId="0" borderId="0" xfId="0" applyFont="1"/>
    <xf numFmtId="167" fontId="59" fillId="0" borderId="0" xfId="0" applyNumberFormat="1" applyFont="1"/>
    <xf numFmtId="0" fontId="7" fillId="0" borderId="42" xfId="0" applyFont="1" applyBorder="1" applyAlignment="1">
      <alignment horizontal="center"/>
    </xf>
    <xf numFmtId="0" fontId="7" fillId="0" borderId="15" xfId="0" applyFont="1" applyBorder="1" applyAlignment="1">
      <alignment horizontal="center"/>
    </xf>
    <xf numFmtId="4" fontId="7" fillId="0" borderId="16" xfId="0" applyNumberFormat="1" applyFont="1" applyBorder="1"/>
    <xf numFmtId="0" fontId="7" fillId="0" borderId="0" xfId="0" applyFont="1" applyAlignment="1">
      <alignment horizontal="right"/>
    </xf>
    <xf numFmtId="167" fontId="59" fillId="0" borderId="42" xfId="0" applyNumberFormat="1" applyFont="1" applyBorder="1" applyAlignment="1">
      <alignment horizontal="right"/>
    </xf>
    <xf numFmtId="10" fontId="7" fillId="0" borderId="56" xfId="0" applyNumberFormat="1" applyFont="1" applyBorder="1"/>
    <xf numFmtId="10" fontId="63" fillId="0" borderId="42" xfId="0" applyNumberFormat="1" applyFont="1" applyBorder="1"/>
    <xf numFmtId="0" fontId="9" fillId="0" borderId="15" xfId="0" applyFont="1" applyBorder="1"/>
    <xf numFmtId="0" fontId="9" fillId="0" borderId="57" xfId="0" applyFont="1" applyBorder="1" applyAlignment="1">
      <alignment horizontal="center"/>
    </xf>
    <xf numFmtId="0" fontId="9" fillId="0" borderId="58" xfId="0" applyFont="1" applyBorder="1" applyAlignment="1">
      <alignment horizontal="center"/>
    </xf>
    <xf numFmtId="0" fontId="7" fillId="0" borderId="21" xfId="0" applyFont="1" applyBorder="1"/>
    <xf numFmtId="0" fontId="9" fillId="0" borderId="59" xfId="0" applyFont="1" applyBorder="1" applyAlignment="1">
      <alignment horizontal="center"/>
    </xf>
    <xf numFmtId="0" fontId="9" fillId="0" borderId="15" xfId="0" applyFont="1" applyBorder="1" applyAlignment="1">
      <alignment horizontal="center"/>
    </xf>
    <xf numFmtId="0" fontId="7" fillId="0" borderId="13" xfId="0" applyFont="1" applyBorder="1"/>
    <xf numFmtId="0" fontId="9" fillId="0" borderId="13" xfId="0" applyFont="1" applyBorder="1" applyAlignment="1">
      <alignment horizontal="center"/>
    </xf>
    <xf numFmtId="0" fontId="26" fillId="0" borderId="0" xfId="0" applyFont="1" applyAlignment="1">
      <alignment horizontal="center"/>
    </xf>
    <xf numFmtId="0" fontId="7" fillId="0" borderId="60" xfId="0" applyFont="1" applyBorder="1"/>
    <xf numFmtId="167" fontId="7" fillId="0" borderId="61" xfId="0" applyNumberFormat="1" applyFont="1" applyBorder="1"/>
    <xf numFmtId="10" fontId="7" fillId="0" borderId="61" xfId="0" applyNumberFormat="1" applyFont="1" applyBorder="1"/>
    <xf numFmtId="167" fontId="7" fillId="0" borderId="62" xfId="0" applyNumberFormat="1" applyFont="1" applyBorder="1"/>
    <xf numFmtId="10" fontId="7" fillId="0" borderId="62" xfId="0" applyNumberFormat="1" applyFont="1" applyBorder="1"/>
    <xf numFmtId="167" fontId="7" fillId="0" borderId="63" xfId="0" applyNumberFormat="1" applyFont="1" applyBorder="1"/>
    <xf numFmtId="10" fontId="7" fillId="0" borderId="63" xfId="0" applyNumberFormat="1" applyFont="1" applyBorder="1"/>
    <xf numFmtId="167" fontId="7" fillId="0" borderId="64" xfId="0" applyNumberFormat="1" applyFont="1" applyBorder="1"/>
    <xf numFmtId="10" fontId="7" fillId="0" borderId="2" xfId="0" applyNumberFormat="1" applyFont="1" applyBorder="1"/>
    <xf numFmtId="167" fontId="9" fillId="0" borderId="65" xfId="0" applyNumberFormat="1" applyFont="1" applyBorder="1"/>
    <xf numFmtId="10" fontId="9" fillId="0" borderId="65" xfId="0" applyNumberFormat="1" applyFont="1" applyBorder="1"/>
    <xf numFmtId="0" fontId="7" fillId="0" borderId="66" xfId="0" applyFont="1" applyBorder="1"/>
    <xf numFmtId="166" fontId="7" fillId="0" borderId="42" xfId="0" applyNumberFormat="1" applyFont="1" applyBorder="1"/>
    <xf numFmtId="10" fontId="7" fillId="0" borderId="42" xfId="0" applyNumberFormat="1" applyFont="1" applyBorder="1"/>
    <xf numFmtId="166" fontId="7" fillId="0" borderId="25" xfId="0" applyNumberFormat="1" applyFont="1" applyBorder="1"/>
    <xf numFmtId="10" fontId="7" fillId="0" borderId="25" xfId="0" applyNumberFormat="1" applyFont="1" applyBorder="1"/>
    <xf numFmtId="167" fontId="7" fillId="0" borderId="67" xfId="0" applyNumberFormat="1" applyFont="1" applyBorder="1"/>
    <xf numFmtId="10" fontId="7" fillId="0" borderId="67" xfId="0" applyNumberFormat="1" applyFont="1" applyBorder="1"/>
    <xf numFmtId="166" fontId="7" fillId="0" borderId="68" xfId="0" applyNumberFormat="1" applyFont="1" applyBorder="1"/>
    <xf numFmtId="0" fontId="9" fillId="0" borderId="68" xfId="0" applyFont="1" applyBorder="1"/>
    <xf numFmtId="0" fontId="7" fillId="0" borderId="69" xfId="0" applyFont="1" applyBorder="1"/>
    <xf numFmtId="167" fontId="7" fillId="0" borderId="30" xfId="0" applyNumberFormat="1" applyFont="1" applyBorder="1"/>
    <xf numFmtId="10" fontId="7" fillId="0" borderId="30" xfId="0" applyNumberFormat="1" applyFont="1" applyBorder="1"/>
    <xf numFmtId="167" fontId="7" fillId="0" borderId="27" xfId="0" applyNumberFormat="1" applyFont="1" applyBorder="1"/>
    <xf numFmtId="10" fontId="7" fillId="0" borderId="27" xfId="0" applyNumberFormat="1" applyFont="1" applyBorder="1"/>
    <xf numFmtId="167" fontId="7" fillId="0" borderId="70" xfId="0" applyNumberFormat="1" applyFont="1" applyBorder="1"/>
    <xf numFmtId="10" fontId="7" fillId="0" borderId="70" xfId="0" applyNumberFormat="1" applyFont="1" applyBorder="1"/>
    <xf numFmtId="166" fontId="7" fillId="0" borderId="71" xfId="0" applyNumberFormat="1" applyFont="1" applyBorder="1"/>
    <xf numFmtId="10" fontId="7" fillId="0" borderId="5" xfId="0" applyNumberFormat="1" applyFont="1" applyBorder="1"/>
    <xf numFmtId="167" fontId="9" fillId="0" borderId="71" xfId="0" applyNumberFormat="1" applyFont="1" applyBorder="1"/>
    <xf numFmtId="10" fontId="9" fillId="0" borderId="72" xfId="0" applyNumberFormat="1" applyFont="1" applyBorder="1"/>
    <xf numFmtId="0" fontId="59" fillId="0" borderId="57" xfId="0" applyFont="1" applyBorder="1" applyAlignment="1">
      <alignment horizontal="center"/>
    </xf>
    <xf numFmtId="167" fontId="59" fillId="0" borderId="58" xfId="0" applyNumberFormat="1" applyFont="1" applyBorder="1"/>
    <xf numFmtId="10" fontId="7" fillId="0" borderId="58" xfId="0" applyNumberFormat="1" applyFont="1" applyBorder="1"/>
    <xf numFmtId="167" fontId="9" fillId="0" borderId="73" xfId="0" applyNumberFormat="1" applyFont="1" applyBorder="1"/>
    <xf numFmtId="10" fontId="7" fillId="0" borderId="73" xfId="0" applyNumberFormat="1" applyFont="1" applyBorder="1"/>
    <xf numFmtId="167" fontId="9" fillId="0" borderId="15" xfId="0" applyNumberFormat="1" applyFont="1" applyBorder="1"/>
    <xf numFmtId="10" fontId="7" fillId="0" borderId="15" xfId="0" applyNumberFormat="1" applyFont="1" applyBorder="1"/>
    <xf numFmtId="166" fontId="9" fillId="0" borderId="13" xfId="0" applyNumberFormat="1" applyFont="1" applyBorder="1"/>
    <xf numFmtId="167" fontId="9" fillId="0" borderId="13" xfId="0" applyNumberFormat="1" applyFont="1" applyBorder="1"/>
    <xf numFmtId="10" fontId="9" fillId="0" borderId="13" xfId="0" applyNumberFormat="1" applyFont="1" applyBorder="1"/>
    <xf numFmtId="0" fontId="7" fillId="0" borderId="57" xfId="0" applyFont="1" applyBorder="1" applyAlignment="1">
      <alignment horizontal="center"/>
    </xf>
    <xf numFmtId="0" fontId="7" fillId="0" borderId="58" xfId="0" applyFont="1" applyBorder="1"/>
    <xf numFmtId="10" fontId="7" fillId="0" borderId="21" xfId="0" applyNumberFormat="1" applyFont="1" applyBorder="1"/>
    <xf numFmtId="10" fontId="7" fillId="0" borderId="59" xfId="0" applyNumberFormat="1" applyFont="1" applyBorder="1"/>
    <xf numFmtId="0" fontId="7" fillId="0" borderId="15" xfId="0" applyFont="1" applyBorder="1"/>
    <xf numFmtId="10" fontId="9" fillId="0" borderId="13" xfId="0" applyNumberFormat="1" applyFont="1" applyBorder="1" applyAlignment="1">
      <alignment horizontal="right"/>
    </xf>
    <xf numFmtId="167" fontId="59" fillId="0" borderId="13" xfId="0" applyNumberFormat="1" applyFont="1" applyBorder="1"/>
    <xf numFmtId="0" fontId="9" fillId="20" borderId="58" xfId="0" applyFont="1" applyFill="1" applyBorder="1" applyAlignment="1">
      <alignment horizontal="center"/>
    </xf>
    <xf numFmtId="0" fontId="9" fillId="20" borderId="74" xfId="0" applyFont="1" applyFill="1" applyBorder="1" applyAlignment="1">
      <alignment horizontal="center"/>
    </xf>
    <xf numFmtId="0" fontId="7" fillId="0" borderId="59" xfId="0" applyFont="1" applyBorder="1"/>
    <xf numFmtId="0" fontId="9" fillId="34" borderId="74" xfId="0" applyFont="1" applyFill="1" applyBorder="1" applyAlignment="1">
      <alignment horizontal="center"/>
    </xf>
    <xf numFmtId="0" fontId="9" fillId="12" borderId="59" xfId="0" applyFont="1" applyFill="1" applyBorder="1"/>
    <xf numFmtId="0" fontId="9" fillId="0" borderId="73" xfId="0" applyFont="1" applyBorder="1" applyAlignment="1">
      <alignment horizontal="center"/>
    </xf>
    <xf numFmtId="0" fontId="9" fillId="12" borderId="59" xfId="0" applyFont="1" applyFill="1" applyBorder="1" applyAlignment="1">
      <alignment horizontal="center"/>
    </xf>
    <xf numFmtId="167" fontId="7" fillId="20" borderId="61" xfId="0" applyNumberFormat="1" applyFont="1" applyFill="1" applyBorder="1"/>
    <xf numFmtId="167" fontId="7" fillId="20" borderId="75" xfId="0" applyNumberFormat="1" applyFont="1" applyFill="1" applyBorder="1"/>
    <xf numFmtId="10" fontId="7" fillId="0" borderId="76" xfId="0" applyNumberFormat="1" applyFont="1" applyBorder="1"/>
    <xf numFmtId="167" fontId="7" fillId="34" borderId="75" xfId="0" applyNumberFormat="1" applyFont="1" applyFill="1" applyBorder="1"/>
    <xf numFmtId="10" fontId="9" fillId="12" borderId="76" xfId="0" applyNumberFormat="1" applyFont="1" applyFill="1" applyBorder="1"/>
    <xf numFmtId="10" fontId="9" fillId="12" borderId="76" xfId="0" applyNumberFormat="1" applyFont="1" applyFill="1" applyBorder="1" applyAlignment="1">
      <alignment horizontal="center"/>
    </xf>
    <xf numFmtId="0" fontId="7" fillId="0" borderId="77" xfId="0" applyFont="1" applyBorder="1"/>
    <xf numFmtId="167" fontId="7" fillId="0" borderId="78" xfId="0" applyNumberFormat="1" applyFont="1" applyBorder="1"/>
    <xf numFmtId="167" fontId="7" fillId="20" borderId="79" xfId="0" applyNumberFormat="1" applyFont="1" applyFill="1" applyBorder="1"/>
    <xf numFmtId="167" fontId="7" fillId="20" borderId="80" xfId="0" applyNumberFormat="1" applyFont="1" applyFill="1" applyBorder="1"/>
    <xf numFmtId="10" fontId="7" fillId="0" borderId="81" xfId="0" applyNumberFormat="1" applyFont="1" applyBorder="1"/>
    <xf numFmtId="167" fontId="7" fillId="34" borderId="80" xfId="0" applyNumberFormat="1" applyFont="1" applyFill="1" applyBorder="1"/>
    <xf numFmtId="10" fontId="9" fillId="12" borderId="82" xfId="0" applyNumberFormat="1" applyFont="1" applyFill="1" applyBorder="1"/>
    <xf numFmtId="167" fontId="7" fillId="0" borderId="32" xfId="0" applyNumberFormat="1" applyFont="1" applyBorder="1"/>
    <xf numFmtId="10" fontId="9" fillId="12" borderId="82" xfId="0" applyNumberFormat="1" applyFont="1" applyFill="1" applyBorder="1" applyAlignment="1">
      <alignment horizontal="center"/>
    </xf>
    <xf numFmtId="0" fontId="7" fillId="0" borderId="83" xfId="0" applyFont="1" applyBorder="1"/>
    <xf numFmtId="167" fontId="7" fillId="0" borderId="84" xfId="0" applyNumberFormat="1" applyFont="1" applyBorder="1"/>
    <xf numFmtId="167" fontId="7" fillId="20" borderId="85" xfId="0" applyNumberFormat="1" applyFont="1" applyFill="1" applyBorder="1"/>
    <xf numFmtId="10" fontId="7" fillId="0" borderId="86" xfId="0" applyNumberFormat="1" applyFont="1" applyBorder="1"/>
    <xf numFmtId="167" fontId="7" fillId="20" borderId="87" xfId="0" applyNumberFormat="1" applyFont="1" applyFill="1" applyBorder="1"/>
    <xf numFmtId="10" fontId="7" fillId="0" borderId="88" xfId="0" applyNumberFormat="1" applyFont="1" applyBorder="1"/>
    <xf numFmtId="167" fontId="7" fillId="34" borderId="87" xfId="0" applyNumberFormat="1" applyFont="1" applyFill="1" applyBorder="1"/>
    <xf numFmtId="10" fontId="9" fillId="12" borderId="89" xfId="0" applyNumberFormat="1" applyFont="1" applyFill="1" applyBorder="1"/>
    <xf numFmtId="167" fontId="7" fillId="0" borderId="86" xfId="0" applyNumberFormat="1" applyFont="1" applyBorder="1"/>
    <xf numFmtId="10" fontId="9" fillId="12" borderId="89" xfId="0" applyNumberFormat="1" applyFont="1" applyFill="1" applyBorder="1" applyAlignment="1">
      <alignment horizontal="center"/>
    </xf>
    <xf numFmtId="0" fontId="59" fillId="0" borderId="15" xfId="0" applyFont="1" applyBorder="1" applyAlignment="1">
      <alignment horizontal="center"/>
    </xf>
    <xf numFmtId="167" fontId="59" fillId="0" borderId="57" xfId="0" applyNumberFormat="1" applyFont="1" applyBorder="1"/>
    <xf numFmtId="167" fontId="59" fillId="20" borderId="58" xfId="0" applyNumberFormat="1" applyFont="1" applyFill="1" applyBorder="1"/>
    <xf numFmtId="167" fontId="9" fillId="20" borderId="74" xfId="0" applyNumberFormat="1" applyFont="1" applyFill="1" applyBorder="1"/>
    <xf numFmtId="167" fontId="9" fillId="34" borderId="74" xfId="0" applyNumberFormat="1" applyFont="1" applyFill="1" applyBorder="1"/>
    <xf numFmtId="10" fontId="9" fillId="12" borderId="59" xfId="0" applyNumberFormat="1" applyFont="1" applyFill="1" applyBorder="1"/>
    <xf numFmtId="10" fontId="9" fillId="12" borderId="59" xfId="0" applyNumberFormat="1" applyFont="1" applyFill="1" applyBorder="1" applyAlignment="1">
      <alignment horizontal="center"/>
    </xf>
    <xf numFmtId="0" fontId="7" fillId="0" borderId="57" xfId="0" applyFont="1" applyBorder="1"/>
    <xf numFmtId="10" fontId="7" fillId="20" borderId="58" xfId="0" applyNumberFormat="1" applyFont="1" applyFill="1" applyBorder="1"/>
    <xf numFmtId="10" fontId="7" fillId="20" borderId="74" xfId="0" applyNumberFormat="1" applyFont="1" applyFill="1" applyBorder="1"/>
    <xf numFmtId="10" fontId="7" fillId="34" borderId="74" xfId="0" applyNumberFormat="1" applyFont="1" applyFill="1" applyBorder="1"/>
    <xf numFmtId="10" fontId="9" fillId="0" borderId="0" xfId="0" applyNumberFormat="1" applyFont="1" applyAlignment="1">
      <alignment horizontal="right"/>
    </xf>
    <xf numFmtId="10" fontId="64" fillId="0" borderId="0" xfId="0" applyNumberFormat="1" applyFont="1"/>
    <xf numFmtId="0" fontId="61" fillId="0" borderId="15" xfId="0" applyFont="1" applyBorder="1"/>
    <xf numFmtId="0" fontId="9" fillId="0" borderId="21" xfId="0" applyFont="1" applyBorder="1" applyAlignment="1">
      <alignment horizontal="center"/>
    </xf>
    <xf numFmtId="0" fontId="9" fillId="0" borderId="16" xfId="0" applyFont="1" applyBorder="1" applyAlignment="1">
      <alignment horizontal="center"/>
    </xf>
    <xf numFmtId="0" fontId="65" fillId="0" borderId="90" xfId="0" applyFont="1" applyBorder="1"/>
    <xf numFmtId="166" fontId="7" fillId="0" borderId="35" xfId="0" applyNumberFormat="1" applyFont="1" applyBorder="1"/>
    <xf numFmtId="166" fontId="7" fillId="0" borderId="32" xfId="0" applyNumberFormat="1" applyFont="1" applyBorder="1"/>
    <xf numFmtId="166" fontId="7" fillId="0" borderId="33" xfId="0" applyNumberFormat="1" applyFont="1" applyBorder="1"/>
    <xf numFmtId="167" fontId="7" fillId="0" borderId="35" xfId="0" applyNumberFormat="1" applyFont="1" applyBorder="1"/>
    <xf numFmtId="166" fontId="7" fillId="0" borderId="91" xfId="0" applyNumberFormat="1" applyFont="1" applyBorder="1"/>
    <xf numFmtId="10" fontId="7" fillId="0" borderId="91" xfId="0" applyNumberFormat="1" applyFont="1" applyBorder="1"/>
    <xf numFmtId="10" fontId="7" fillId="0" borderId="0" xfId="0" applyNumberFormat="1" applyFont="1" applyAlignment="1">
      <alignment horizontal="center"/>
    </xf>
    <xf numFmtId="0" fontId="65" fillId="0" borderId="66" xfId="0" applyFont="1" applyBorder="1"/>
    <xf numFmtId="166" fontId="7" fillId="0" borderId="26" xfId="0" applyNumberFormat="1" applyFont="1" applyBorder="1"/>
    <xf numFmtId="0" fontId="7" fillId="0" borderId="32" xfId="0" applyFont="1" applyBorder="1"/>
    <xf numFmtId="0" fontId="65" fillId="0" borderId="69" xfId="0" applyFont="1" applyBorder="1"/>
    <xf numFmtId="166" fontId="7" fillId="0" borderId="27" xfId="0" applyNumberFormat="1" applyFont="1" applyBorder="1"/>
    <xf numFmtId="166" fontId="7" fillId="0" borderId="28" xfId="0" applyNumberFormat="1" applyFont="1" applyBorder="1"/>
    <xf numFmtId="0" fontId="7" fillId="0" borderId="30" xfId="0" applyFont="1" applyBorder="1"/>
    <xf numFmtId="166" fontId="7" fillId="0" borderId="30" xfId="0" applyNumberFormat="1" applyFont="1" applyBorder="1"/>
    <xf numFmtId="166" fontId="7" fillId="0" borderId="37" xfId="0" applyNumberFormat="1" applyFont="1" applyBorder="1"/>
    <xf numFmtId="0" fontId="66" fillId="0" borderId="57" xfId="0" applyFont="1" applyBorder="1" applyAlignment="1">
      <alignment horizontal="center"/>
    </xf>
    <xf numFmtId="166" fontId="9" fillId="0" borderId="21" xfId="0" applyNumberFormat="1" applyFont="1" applyBorder="1"/>
    <xf numFmtId="167" fontId="9" fillId="0" borderId="58" xfId="0" applyNumberFormat="1" applyFont="1" applyBorder="1"/>
    <xf numFmtId="167" fontId="9" fillId="0" borderId="21" xfId="0" applyNumberFormat="1" applyFont="1" applyBorder="1"/>
    <xf numFmtId="9" fontId="7" fillId="0" borderId="16" xfId="0" applyNumberFormat="1" applyFont="1" applyBorder="1"/>
    <xf numFmtId="10" fontId="7" fillId="0" borderId="16" xfId="0" applyNumberFormat="1" applyFont="1" applyBorder="1"/>
    <xf numFmtId="0" fontId="66" fillId="0" borderId="0" xfId="0" applyFont="1" applyAlignment="1">
      <alignment horizontal="center"/>
    </xf>
    <xf numFmtId="0" fontId="9" fillId="0" borderId="92" xfId="0" applyFont="1" applyBorder="1" applyAlignment="1">
      <alignment horizontal="center"/>
    </xf>
    <xf numFmtId="10" fontId="7" fillId="0" borderId="33" xfId="0" applyNumberFormat="1" applyFont="1" applyBorder="1"/>
    <xf numFmtId="10" fontId="9" fillId="0" borderId="21" xfId="0" applyNumberFormat="1" applyFont="1" applyBorder="1"/>
    <xf numFmtId="166" fontId="9" fillId="0" borderId="73" xfId="0" applyNumberFormat="1" applyFont="1" applyBorder="1"/>
    <xf numFmtId="10" fontId="9" fillId="20" borderId="13" xfId="0" applyNumberFormat="1" applyFont="1" applyFill="1" applyBorder="1"/>
    <xf numFmtId="10" fontId="9" fillId="20" borderId="17" xfId="0" applyNumberFormat="1" applyFont="1" applyFill="1" applyBorder="1"/>
    <xf numFmtId="0" fontId="61" fillId="0" borderId="42" xfId="0" applyFont="1" applyBorder="1" applyAlignment="1">
      <alignment horizontal="left"/>
    </xf>
    <xf numFmtId="167" fontId="9" fillId="33" borderId="42" xfId="0" applyNumberFormat="1" applyFont="1" applyFill="1" applyBorder="1"/>
    <xf numFmtId="165" fontId="9" fillId="33" borderId="42" xfId="0" applyNumberFormat="1" applyFont="1" applyFill="1" applyBorder="1"/>
    <xf numFmtId="167" fontId="14" fillId="0" borderId="0" xfId="0" applyNumberFormat="1" applyFont="1"/>
    <xf numFmtId="165" fontId="7" fillId="0" borderId="42" xfId="0" applyNumberFormat="1" applyFont="1" applyBorder="1"/>
    <xf numFmtId="165" fontId="15" fillId="0" borderId="0" xfId="0" applyNumberFormat="1" applyFont="1"/>
    <xf numFmtId="0" fontId="67" fillId="0" borderId="2" xfId="0" applyFont="1" applyBorder="1" applyAlignment="1">
      <alignment horizontal="left"/>
    </xf>
    <xf numFmtId="0" fontId="7" fillId="0" borderId="3" xfId="0" applyFont="1" applyBorder="1" applyAlignment="1">
      <alignment horizontal="center"/>
    </xf>
    <xf numFmtId="0" fontId="7" fillId="0" borderId="4" xfId="0" applyFont="1" applyBorder="1"/>
    <xf numFmtId="0" fontId="68" fillId="0" borderId="2" xfId="0" applyFont="1" applyBorder="1"/>
    <xf numFmtId="167" fontId="7" fillId="0" borderId="76" xfId="0" applyNumberFormat="1" applyFont="1" applyBorder="1"/>
    <xf numFmtId="0" fontId="7" fillId="0" borderId="60" xfId="0" applyFont="1" applyBorder="1" applyAlignment="1">
      <alignment horizontal="left"/>
    </xf>
    <xf numFmtId="0" fontId="7" fillId="0" borderId="61" xfId="0" applyFont="1" applyBorder="1" applyAlignment="1">
      <alignment horizontal="left"/>
    </xf>
    <xf numFmtId="165" fontId="7" fillId="0" borderId="76" xfId="0" applyNumberFormat="1" applyFont="1" applyBorder="1"/>
    <xf numFmtId="165" fontId="7" fillId="0" borderId="0" xfId="0" applyNumberFormat="1" applyFont="1"/>
    <xf numFmtId="167" fontId="7" fillId="0" borderId="6" xfId="0" applyNumberFormat="1" applyFont="1" applyBorder="1"/>
    <xf numFmtId="0" fontId="7" fillId="0" borderId="66" xfId="0" applyFont="1" applyBorder="1" applyAlignment="1">
      <alignment horizontal="left"/>
    </xf>
    <xf numFmtId="0" fontId="7" fillId="0" borderId="42" xfId="0" applyFont="1" applyBorder="1" applyAlignment="1">
      <alignment horizontal="left"/>
    </xf>
    <xf numFmtId="167" fontId="7" fillId="0" borderId="95" xfId="0" applyNumberFormat="1" applyFont="1" applyBorder="1"/>
    <xf numFmtId="167" fontId="9" fillId="33" borderId="96" xfId="0" applyNumberFormat="1" applyFont="1" applyFill="1" applyBorder="1"/>
    <xf numFmtId="0" fontId="7" fillId="0" borderId="95" xfId="0" applyFont="1" applyBorder="1"/>
    <xf numFmtId="0" fontId="7" fillId="0" borderId="5" xfId="0" applyFont="1" applyBorder="1" applyAlignment="1">
      <alignment horizontal="left"/>
    </xf>
    <xf numFmtId="0" fontId="7" fillId="0" borderId="6" xfId="0" applyFont="1" applyBorder="1"/>
    <xf numFmtId="0" fontId="9" fillId="0" borderId="66" xfId="0" applyFont="1" applyBorder="1" applyAlignment="1">
      <alignment horizontal="left"/>
    </xf>
    <xf numFmtId="0" fontId="9" fillId="0" borderId="42" xfId="0" applyFont="1" applyBorder="1" applyAlignment="1">
      <alignment horizontal="left"/>
    </xf>
    <xf numFmtId="165" fontId="9" fillId="32" borderId="95" xfId="0" applyNumberFormat="1" applyFont="1" applyFill="1" applyBorder="1"/>
    <xf numFmtId="166" fontId="7" fillId="0" borderId="95" xfId="0" applyNumberFormat="1" applyFont="1" applyBorder="1"/>
    <xf numFmtId="0" fontId="9" fillId="0" borderId="5" xfId="0" applyFont="1" applyBorder="1" applyAlignment="1">
      <alignment horizontal="left"/>
    </xf>
    <xf numFmtId="165" fontId="9" fillId="0" borderId="6" xfId="0" applyNumberFormat="1" applyFont="1" applyBorder="1"/>
    <xf numFmtId="165" fontId="7" fillId="0" borderId="95" xfId="0" applyNumberFormat="1" applyFont="1" applyBorder="1"/>
    <xf numFmtId="0" fontId="9" fillId="0" borderId="97" xfId="0" applyFont="1" applyBorder="1" applyAlignment="1">
      <alignment horizontal="left"/>
    </xf>
    <xf numFmtId="0" fontId="9" fillId="0" borderId="98" xfId="0" applyFont="1" applyBorder="1" applyAlignment="1">
      <alignment horizontal="left"/>
    </xf>
    <xf numFmtId="165" fontId="9" fillId="33" borderId="99" xfId="0" applyNumberFormat="1" applyFont="1" applyFill="1" applyBorder="1"/>
    <xf numFmtId="0" fontId="7" fillId="0" borderId="62" xfId="0" applyFont="1" applyBorder="1"/>
    <xf numFmtId="0" fontId="7" fillId="0" borderId="61" xfId="0" applyFont="1" applyBorder="1"/>
    <xf numFmtId="166" fontId="9" fillId="35" borderId="100" xfId="0" applyNumberFormat="1" applyFont="1" applyFill="1" applyBorder="1" applyAlignment="1">
      <alignment horizontal="center"/>
    </xf>
    <xf numFmtId="166" fontId="7" fillId="0" borderId="39" xfId="0" applyNumberFormat="1" applyFont="1" applyBorder="1" applyAlignment="1">
      <alignment horizontal="left"/>
    </xf>
    <xf numFmtId="167" fontId="7" fillId="0" borderId="99" xfId="0" applyNumberFormat="1" applyFont="1" applyBorder="1"/>
    <xf numFmtId="0" fontId="69" fillId="0" borderId="67" xfId="0" applyFont="1" applyBorder="1" applyAlignment="1">
      <alignment horizontal="left"/>
    </xf>
    <xf numFmtId="0" fontId="70" fillId="0" borderId="42" xfId="0" applyFont="1" applyBorder="1" applyAlignment="1">
      <alignment horizontal="left"/>
    </xf>
    <xf numFmtId="0" fontId="7" fillId="0" borderId="103" xfId="0" applyFont="1" applyBorder="1"/>
    <xf numFmtId="0" fontId="7" fillId="0" borderId="26" xfId="0" applyFont="1" applyBorder="1" applyAlignment="1">
      <alignment horizontal="left"/>
    </xf>
    <xf numFmtId="0" fontId="7" fillId="0" borderId="27" xfId="0" applyFont="1" applyBorder="1"/>
    <xf numFmtId="166" fontId="7" fillId="0" borderId="29" xfId="0" applyNumberFormat="1" applyFont="1" applyBorder="1"/>
    <xf numFmtId="0" fontId="7" fillId="0" borderId="37" xfId="0" applyFont="1" applyBorder="1"/>
    <xf numFmtId="166" fontId="7" fillId="0" borderId="34" xfId="0" applyNumberFormat="1" applyFont="1" applyBorder="1"/>
    <xf numFmtId="0" fontId="7" fillId="0" borderId="97" xfId="0" applyFont="1" applyBorder="1" applyAlignment="1">
      <alignment horizontal="left"/>
    </xf>
    <xf numFmtId="0" fontId="7" fillId="0" borderId="98" xfId="0" applyFont="1" applyBorder="1" applyAlignment="1">
      <alignment horizontal="left"/>
    </xf>
    <xf numFmtId="0" fontId="9" fillId="20" borderId="20" xfId="0" applyFont="1" applyFill="1" applyBorder="1"/>
    <xf numFmtId="169" fontId="7" fillId="0" borderId="0" xfId="0" applyNumberFormat="1" applyFont="1"/>
    <xf numFmtId="165" fontId="15" fillId="0" borderId="0" xfId="0" applyNumberFormat="1" applyFont="1" applyAlignment="1">
      <alignment vertical="center"/>
    </xf>
    <xf numFmtId="165" fontId="71" fillId="0" borderId="0" xfId="0" applyNumberFormat="1" applyFont="1" applyAlignment="1">
      <alignment vertical="center"/>
    </xf>
    <xf numFmtId="166" fontId="8" fillId="22" borderId="13" xfId="0" applyNumberFormat="1" applyFont="1" applyFill="1" applyBorder="1"/>
    <xf numFmtId="166" fontId="8" fillId="22" borderId="13" xfId="0" applyNumberFormat="1" applyFont="1" applyFill="1" applyBorder="1" applyAlignment="1">
      <alignment vertical="center"/>
    </xf>
    <xf numFmtId="166" fontId="14" fillId="0" borderId="0" xfId="0" applyNumberFormat="1" applyFont="1" applyAlignment="1">
      <alignment vertical="center"/>
    </xf>
    <xf numFmtId="166" fontId="2" fillId="0" borderId="0" xfId="0" applyNumberFormat="1" applyFont="1" applyAlignment="1">
      <alignment horizontal="center"/>
    </xf>
    <xf numFmtId="0" fontId="2" fillId="0" borderId="0" xfId="0" applyFont="1" applyAlignment="1">
      <alignment horizontal="center"/>
    </xf>
    <xf numFmtId="166" fontId="16" fillId="0" borderId="24" xfId="0" applyNumberFormat="1" applyFont="1" applyBorder="1" applyAlignment="1">
      <alignment vertical="center"/>
    </xf>
    <xf numFmtId="166" fontId="8" fillId="37" borderId="115" xfId="0" applyNumberFormat="1" applyFont="1" applyFill="1" applyBorder="1" applyAlignment="1">
      <alignment vertical="center"/>
    </xf>
    <xf numFmtId="0" fontId="16" fillId="0" borderId="104" xfId="0" applyFont="1" applyBorder="1" applyAlignment="1">
      <alignment vertical="center"/>
    </xf>
    <xf numFmtId="0" fontId="16" fillId="0" borderId="116" xfId="0" applyFont="1" applyBorder="1" applyAlignment="1">
      <alignment vertical="center"/>
    </xf>
    <xf numFmtId="166" fontId="13" fillId="0" borderId="24" xfId="0" applyNumberFormat="1" applyFont="1" applyBorder="1" applyAlignment="1">
      <alignment vertical="center"/>
    </xf>
    <xf numFmtId="0" fontId="16" fillId="0" borderId="19" xfId="0" applyFont="1" applyBorder="1" applyAlignment="1">
      <alignment vertical="center"/>
    </xf>
    <xf numFmtId="0" fontId="16" fillId="0" borderId="24" xfId="0" applyFont="1" applyBorder="1" applyAlignment="1">
      <alignment vertical="center"/>
    </xf>
    <xf numFmtId="0" fontId="16" fillId="0" borderId="23" xfId="0" applyFont="1" applyBorder="1" applyAlignment="1">
      <alignment vertical="center"/>
    </xf>
    <xf numFmtId="166" fontId="74" fillId="0" borderId="24" xfId="0" applyNumberFormat="1" applyFont="1" applyBorder="1"/>
    <xf numFmtId="166" fontId="74" fillId="0" borderId="24" xfId="0" applyNumberFormat="1" applyFont="1" applyBorder="1" applyAlignment="1">
      <alignment vertical="center"/>
    </xf>
    <xf numFmtId="166" fontId="13" fillId="0" borderId="24" xfId="0" applyNumberFormat="1" applyFont="1" applyBorder="1"/>
    <xf numFmtId="166" fontId="74" fillId="0" borderId="24" xfId="0" applyNumberFormat="1" applyFont="1" applyBorder="1" applyAlignment="1">
      <alignment horizontal="right"/>
    </xf>
    <xf numFmtId="164" fontId="13" fillId="38" borderId="46" xfId="0" applyNumberFormat="1" applyFont="1" applyFill="1" applyBorder="1"/>
    <xf numFmtId="167" fontId="7" fillId="0" borderId="20" xfId="0" applyNumberFormat="1" applyFont="1" applyBorder="1" applyAlignment="1">
      <alignment horizontal="left"/>
    </xf>
    <xf numFmtId="0" fontId="3" fillId="0" borderId="20" xfId="0" applyFont="1" applyBorder="1"/>
    <xf numFmtId="0" fontId="4" fillId="0" borderId="0" xfId="0" applyFont="1"/>
    <xf numFmtId="167" fontId="75" fillId="0" borderId="0" xfId="0" applyNumberFormat="1" applyFont="1"/>
    <xf numFmtId="0" fontId="16" fillId="0" borderId="105" xfId="0" applyFont="1" applyBorder="1" applyAlignment="1">
      <alignment vertical="center"/>
    </xf>
    <xf numFmtId="166" fontId="53" fillId="0" borderId="117" xfId="0" applyNumberFormat="1" applyFont="1" applyBorder="1"/>
    <xf numFmtId="166" fontId="11" fillId="0" borderId="117" xfId="0" applyNumberFormat="1" applyFont="1" applyBorder="1" applyAlignment="1">
      <alignment vertical="center"/>
    </xf>
    <xf numFmtId="166" fontId="16" fillId="0" borderId="117" xfId="0" applyNumberFormat="1" applyFont="1" applyBorder="1" applyAlignment="1">
      <alignment vertical="center"/>
    </xf>
    <xf numFmtId="0" fontId="48" fillId="2" borderId="122" xfId="0" applyFont="1" applyFill="1" applyBorder="1" applyAlignment="1">
      <alignment vertical="center"/>
    </xf>
    <xf numFmtId="0" fontId="48" fillId="2" borderId="123" xfId="0" applyFont="1" applyFill="1" applyBorder="1" applyAlignment="1">
      <alignment vertical="center"/>
    </xf>
    <xf numFmtId="0" fontId="16" fillId="0" borderId="18" xfId="0" applyFont="1" applyBorder="1" applyAlignment="1">
      <alignment vertical="center"/>
    </xf>
    <xf numFmtId="0" fontId="48" fillId="2" borderId="127" xfId="0" applyFont="1" applyFill="1" applyBorder="1" applyAlignment="1">
      <alignment vertical="center"/>
    </xf>
    <xf numFmtId="0" fontId="16" fillId="0" borderId="24" xfId="0" applyFont="1" applyBorder="1"/>
    <xf numFmtId="0" fontId="48" fillId="2" borderId="122" xfId="0" applyFont="1" applyFill="1" applyBorder="1"/>
    <xf numFmtId="0" fontId="48" fillId="2" borderId="123" xfId="0" applyFont="1" applyFill="1" applyBorder="1"/>
    <xf numFmtId="0" fontId="16" fillId="0" borderId="118" xfId="0" applyFont="1" applyBorder="1" applyAlignment="1">
      <alignment vertical="center"/>
    </xf>
    <xf numFmtId="166" fontId="16" fillId="0" borderId="110" xfId="0" applyNumberFormat="1" applyFont="1" applyBorder="1" applyAlignment="1">
      <alignment vertical="center"/>
    </xf>
    <xf numFmtId="165" fontId="16" fillId="0" borderId="24" xfId="0" applyNumberFormat="1" applyFont="1" applyBorder="1" applyAlignment="1">
      <alignment vertical="center"/>
    </xf>
    <xf numFmtId="166" fontId="48" fillId="2" borderId="128" xfId="0" applyNumberFormat="1" applyFont="1" applyFill="1" applyBorder="1" applyAlignment="1">
      <alignment vertical="center"/>
    </xf>
    <xf numFmtId="166" fontId="48" fillId="2" borderId="115" xfId="0" applyNumberFormat="1" applyFont="1" applyFill="1" applyBorder="1" applyAlignment="1">
      <alignment vertical="center"/>
    </xf>
    <xf numFmtId="166" fontId="48" fillId="18" borderId="115" xfId="0" applyNumberFormat="1" applyFont="1" applyFill="1" applyBorder="1" applyAlignment="1">
      <alignment vertical="center"/>
    </xf>
    <xf numFmtId="168" fontId="48" fillId="4" borderId="39" xfId="0" applyNumberFormat="1" applyFont="1" applyFill="1" applyBorder="1" applyAlignment="1">
      <alignment horizontal="right"/>
    </xf>
    <xf numFmtId="168" fontId="7" fillId="0" borderId="0" xfId="0" applyNumberFormat="1" applyFont="1" applyAlignment="1">
      <alignment horizontal="right"/>
    </xf>
    <xf numFmtId="168" fontId="48" fillId="5" borderId="39" xfId="0" applyNumberFormat="1" applyFont="1" applyFill="1" applyBorder="1" applyAlignment="1">
      <alignment horizontal="right"/>
    </xf>
    <xf numFmtId="168" fontId="9" fillId="0" borderId="0" xfId="0" applyNumberFormat="1" applyFont="1" applyAlignment="1">
      <alignment horizontal="right"/>
    </xf>
    <xf numFmtId="168" fontId="48" fillId="6" borderId="39" xfId="0" applyNumberFormat="1" applyFont="1" applyFill="1" applyBorder="1" applyAlignment="1">
      <alignment horizontal="right"/>
    </xf>
    <xf numFmtId="168" fontId="48" fillId="7" borderId="39" xfId="0" applyNumberFormat="1" applyFont="1" applyFill="1" applyBorder="1" applyAlignment="1">
      <alignment horizontal="right"/>
    </xf>
    <xf numFmtId="0" fontId="11" fillId="14" borderId="0" xfId="0" applyFont="1" applyFill="1" applyAlignment="1">
      <alignment horizontal="left"/>
    </xf>
    <xf numFmtId="168" fontId="11" fillId="14" borderId="0" xfId="0" applyNumberFormat="1" applyFont="1" applyFill="1" applyAlignment="1">
      <alignment horizontal="right"/>
    </xf>
    <xf numFmtId="0" fontId="16" fillId="14" borderId="0" xfId="0" applyFont="1" applyFill="1" applyAlignment="1">
      <alignment horizontal="left"/>
    </xf>
    <xf numFmtId="168" fontId="16" fillId="14" borderId="0" xfId="0" applyNumberFormat="1" applyFont="1" applyFill="1" applyAlignment="1">
      <alignment horizontal="right"/>
    </xf>
    <xf numFmtId="168" fontId="11" fillId="0" borderId="0" xfId="0" applyNumberFormat="1" applyFont="1" applyAlignment="1">
      <alignment horizontal="right"/>
    </xf>
    <xf numFmtId="165" fontId="7" fillId="0" borderId="44" xfId="1" applyFont="1" applyBorder="1"/>
    <xf numFmtId="165" fontId="7" fillId="0" borderId="0" xfId="1" applyFont="1"/>
    <xf numFmtId="167" fontId="9" fillId="40" borderId="44" xfId="0" applyNumberFormat="1" applyFont="1" applyFill="1" applyBorder="1"/>
    <xf numFmtId="166" fontId="11" fillId="0" borderId="0" xfId="0" applyNumberFormat="1" applyFont="1" applyAlignment="1">
      <alignment horizontal="left" vertical="center"/>
    </xf>
    <xf numFmtId="0" fontId="12" fillId="0" borderId="0" xfId="0" applyFont="1" applyAlignment="1">
      <alignment horizontal="left" vertical="center"/>
    </xf>
    <xf numFmtId="170" fontId="12" fillId="0" borderId="0" xfId="0" applyNumberFormat="1" applyFont="1" applyAlignment="1">
      <alignment horizontal="left" vertical="center"/>
    </xf>
    <xf numFmtId="0" fontId="4" fillId="37" borderId="104" xfId="0" applyFont="1" applyFill="1" applyBorder="1" applyAlignment="1">
      <alignment vertical="center"/>
    </xf>
    <xf numFmtId="0" fontId="4" fillId="37" borderId="105" xfId="0" applyFont="1" applyFill="1" applyBorder="1" applyAlignment="1">
      <alignment vertical="center"/>
    </xf>
    <xf numFmtId="178" fontId="74" fillId="0" borderId="24" xfId="2" applyFont="1" applyAlignment="1">
      <alignment vertical="center"/>
    </xf>
    <xf numFmtId="165" fontId="0" fillId="0" borderId="0" xfId="1" applyFont="1" applyAlignment="1">
      <alignment vertical="center"/>
    </xf>
    <xf numFmtId="0" fontId="76" fillId="0" borderId="116" xfId="0" applyFont="1" applyBorder="1" applyAlignment="1">
      <alignment vertical="center"/>
    </xf>
    <xf numFmtId="0" fontId="76" fillId="0" borderId="0" xfId="0" applyFont="1" applyAlignment="1">
      <alignment vertical="center"/>
    </xf>
    <xf numFmtId="166" fontId="76" fillId="0" borderId="0" xfId="0" applyNumberFormat="1" applyFont="1" applyAlignment="1">
      <alignment vertical="center"/>
    </xf>
    <xf numFmtId="166" fontId="76" fillId="0" borderId="117" xfId="0" applyNumberFormat="1" applyFont="1" applyBorder="1" applyAlignment="1">
      <alignment vertical="center"/>
    </xf>
    <xf numFmtId="0" fontId="8" fillId="37" borderId="112" xfId="0" applyFont="1" applyFill="1" applyBorder="1" applyAlignment="1">
      <alignment vertical="center"/>
    </xf>
    <xf numFmtId="0" fontId="8" fillId="37" borderId="113" xfId="0" applyFont="1" applyFill="1" applyBorder="1" applyAlignment="1">
      <alignment vertical="center"/>
    </xf>
    <xf numFmtId="0" fontId="13" fillId="0" borderId="0" xfId="0" applyFont="1" applyAlignment="1">
      <alignment vertical="center"/>
    </xf>
    <xf numFmtId="166" fontId="8" fillId="41" borderId="115" xfId="0" applyNumberFormat="1" applyFont="1" applyFill="1" applyBorder="1" applyAlignment="1">
      <alignment vertical="center"/>
    </xf>
    <xf numFmtId="0" fontId="77" fillId="0" borderId="0" xfId="0" applyFont="1" applyAlignment="1">
      <alignment horizontal="left" vertical="center"/>
    </xf>
    <xf numFmtId="166" fontId="77" fillId="0" borderId="0" xfId="0" applyNumberFormat="1" applyFont="1" applyAlignment="1">
      <alignment vertical="center"/>
    </xf>
    <xf numFmtId="0" fontId="13" fillId="0" borderId="0" xfId="0" applyFont="1"/>
    <xf numFmtId="0" fontId="4" fillId="37" borderId="108" xfId="0" applyFont="1" applyFill="1" applyBorder="1"/>
    <xf numFmtId="0" fontId="4" fillId="37" borderId="109" xfId="0" applyFont="1" applyFill="1" applyBorder="1"/>
    <xf numFmtId="0" fontId="76" fillId="0" borderId="104" xfId="0" applyFont="1" applyBorder="1" applyAlignment="1">
      <alignment vertical="center"/>
    </xf>
    <xf numFmtId="0" fontId="76" fillId="0" borderId="105" xfId="0" applyFont="1" applyBorder="1" applyAlignment="1">
      <alignment vertical="center"/>
    </xf>
    <xf numFmtId="166" fontId="76" fillId="0" borderId="106" xfId="0" applyNumberFormat="1" applyFont="1" applyBorder="1" applyAlignment="1">
      <alignment vertical="center"/>
    </xf>
    <xf numFmtId="0" fontId="76" fillId="0" borderId="108" xfId="0" applyFont="1" applyBorder="1" applyAlignment="1">
      <alignment vertical="center"/>
    </xf>
    <xf numFmtId="0" fontId="76" fillId="0" borderId="109" xfId="0" applyFont="1" applyBorder="1" applyAlignment="1">
      <alignment vertical="center"/>
    </xf>
    <xf numFmtId="166" fontId="76" fillId="0" borderId="110" xfId="0" applyNumberFormat="1" applyFont="1" applyBorder="1" applyAlignment="1">
      <alignment vertical="center"/>
    </xf>
    <xf numFmtId="178" fontId="74" fillId="0" borderId="24" xfId="2" applyFont="1" applyBorder="1" applyAlignment="1">
      <alignment vertical="center"/>
    </xf>
    <xf numFmtId="165" fontId="0" fillId="0" borderId="24" xfId="1" applyFont="1" applyBorder="1" applyAlignment="1">
      <alignment vertical="center"/>
    </xf>
    <xf numFmtId="165" fontId="76" fillId="0" borderId="0" xfId="0" applyNumberFormat="1" applyFont="1" applyAlignment="1">
      <alignment vertical="center"/>
    </xf>
    <xf numFmtId="0" fontId="8" fillId="41" borderId="112" xfId="0" applyFont="1" applyFill="1" applyBorder="1" applyAlignment="1">
      <alignment horizontal="center" vertical="center"/>
    </xf>
    <xf numFmtId="0" fontId="8" fillId="41" borderId="114" xfId="0" applyFont="1" applyFill="1" applyBorder="1" applyAlignment="1">
      <alignment horizontal="center" vertical="center"/>
    </xf>
    <xf numFmtId="0" fontId="78" fillId="0" borderId="24" xfId="3"/>
    <xf numFmtId="0" fontId="86" fillId="0" borderId="129" xfId="3" applyFont="1" applyBorder="1"/>
    <xf numFmtId="180" fontId="0" fillId="0" borderId="129" xfId="4" applyNumberFormat="1" applyFont="1" applyBorder="1"/>
    <xf numFmtId="9" fontId="0" fillId="0" borderId="129" xfId="5" applyFont="1" applyBorder="1"/>
    <xf numFmtId="180" fontId="86" fillId="0" borderId="129" xfId="4" applyNumberFormat="1" applyFont="1" applyBorder="1"/>
    <xf numFmtId="178" fontId="0" fillId="0" borderId="24" xfId="4" applyFont="1"/>
    <xf numFmtId="9" fontId="0" fillId="0" borderId="24" xfId="5" applyFont="1"/>
    <xf numFmtId="0" fontId="86" fillId="0" borderId="24" xfId="3" applyFont="1"/>
    <xf numFmtId="9" fontId="0" fillId="0" borderId="24" xfId="5" applyFont="1" applyBorder="1"/>
    <xf numFmtId="178" fontId="0" fillId="0" borderId="24" xfId="4" applyFont="1" applyBorder="1"/>
    <xf numFmtId="49" fontId="7" fillId="0" borderId="0" xfId="0" applyNumberFormat="1" applyFont="1"/>
    <xf numFmtId="166" fontId="0" fillId="0" borderId="0" xfId="0" applyNumberFormat="1"/>
    <xf numFmtId="9" fontId="5" fillId="0" borderId="0" xfId="6" applyFont="1"/>
    <xf numFmtId="0" fontId="7" fillId="0" borderId="20" xfId="0" applyFont="1" applyBorder="1" applyAlignment="1">
      <alignment vertical="center"/>
    </xf>
    <xf numFmtId="0" fontId="2" fillId="0" borderId="20" xfId="0" applyFont="1" applyBorder="1" applyAlignment="1">
      <alignment vertical="center"/>
    </xf>
    <xf numFmtId="166" fontId="15" fillId="0" borderId="20" xfId="0" applyNumberFormat="1" applyFont="1" applyBorder="1" applyAlignment="1">
      <alignment vertical="center"/>
    </xf>
    <xf numFmtId="165" fontId="0" fillId="0" borderId="0" xfId="1" applyFont="1" applyAlignment="1"/>
    <xf numFmtId="9" fontId="0" fillId="0" borderId="0" xfId="6" applyFont="1" applyAlignment="1"/>
    <xf numFmtId="44" fontId="0" fillId="0" borderId="0" xfId="0" applyNumberFormat="1"/>
    <xf numFmtId="43" fontId="12" fillId="0" borderId="0" xfId="0" applyNumberFormat="1" applyFont="1" applyAlignment="1">
      <alignment vertical="center"/>
    </xf>
    <xf numFmtId="0" fontId="74" fillId="0" borderId="0" xfId="0" applyFont="1" applyAlignment="1">
      <alignment vertical="center"/>
    </xf>
    <xf numFmtId="0" fontId="74" fillId="0" borderId="0" xfId="0" applyFont="1" applyAlignment="1">
      <alignment horizontal="left"/>
    </xf>
    <xf numFmtId="166" fontId="74" fillId="0" borderId="0" xfId="0" applyNumberFormat="1" applyFont="1"/>
    <xf numFmtId="0" fontId="74" fillId="0" borderId="0" xfId="0" applyFont="1"/>
    <xf numFmtId="166" fontId="74" fillId="0" borderId="0" xfId="0" applyNumberFormat="1" applyFont="1" applyAlignment="1">
      <alignment vertical="center"/>
    </xf>
    <xf numFmtId="0" fontId="13" fillId="0" borderId="0" xfId="0" applyFont="1" applyAlignment="1">
      <alignment horizontal="left"/>
    </xf>
    <xf numFmtId="166" fontId="8" fillId="49" borderId="115" xfId="0" applyNumberFormat="1" applyFont="1" applyFill="1" applyBorder="1"/>
    <xf numFmtId="166" fontId="8" fillId="50" borderId="115" xfId="0" applyNumberFormat="1" applyFont="1" applyFill="1" applyBorder="1"/>
    <xf numFmtId="0" fontId="73" fillId="0" borderId="0" xfId="0" applyFont="1"/>
    <xf numFmtId="166" fontId="74" fillId="0" borderId="0" xfId="0" applyNumberFormat="1" applyFont="1" applyAlignment="1">
      <alignment horizontal="right"/>
    </xf>
    <xf numFmtId="0" fontId="73" fillId="0" borderId="0" xfId="0" applyFont="1" applyAlignment="1">
      <alignment horizontal="left"/>
    </xf>
    <xf numFmtId="166" fontId="73" fillId="0" borderId="0" xfId="0" applyNumberFormat="1" applyFont="1"/>
    <xf numFmtId="0" fontId="86" fillId="0" borderId="0" xfId="0" applyFont="1" applyAlignment="1">
      <alignment vertical="center"/>
    </xf>
    <xf numFmtId="165" fontId="86" fillId="0" borderId="24" xfId="1" applyFont="1" applyBorder="1" applyAlignment="1">
      <alignment vertical="center"/>
    </xf>
    <xf numFmtId="166" fontId="73" fillId="0" borderId="0" xfId="0" applyNumberFormat="1" applyFont="1" applyAlignment="1">
      <alignment horizontal="left"/>
    </xf>
    <xf numFmtId="166" fontId="8" fillId="51" borderId="115" xfId="0" applyNumberFormat="1" applyFont="1" applyFill="1" applyBorder="1"/>
    <xf numFmtId="166" fontId="88" fillId="0" borderId="0" xfId="0" applyNumberFormat="1" applyFont="1"/>
    <xf numFmtId="166" fontId="13" fillId="0" borderId="0" xfId="0" applyNumberFormat="1" applyFont="1" applyAlignment="1">
      <alignment horizontal="right"/>
    </xf>
    <xf numFmtId="166" fontId="74" fillId="0" borderId="0" xfId="0" applyNumberFormat="1" applyFont="1" applyAlignment="1">
      <alignment horizontal="left"/>
    </xf>
    <xf numFmtId="166" fontId="84" fillId="0" borderId="0" xfId="0" applyNumberFormat="1" applyFont="1"/>
    <xf numFmtId="166" fontId="8" fillId="43" borderId="115" xfId="0" applyNumberFormat="1" applyFont="1" applyFill="1" applyBorder="1"/>
    <xf numFmtId="166" fontId="88" fillId="0" borderId="0" xfId="0" applyNumberFormat="1" applyFont="1" applyAlignment="1">
      <alignment horizontal="left"/>
    </xf>
    <xf numFmtId="166" fontId="8" fillId="50" borderId="115" xfId="0" applyNumberFormat="1" applyFont="1" applyFill="1" applyBorder="1" applyAlignment="1">
      <alignment vertical="center"/>
    </xf>
    <xf numFmtId="167" fontId="74" fillId="0" borderId="0" xfId="0" applyNumberFormat="1" applyFont="1"/>
    <xf numFmtId="167" fontId="13" fillId="0" borderId="0" xfId="0" applyNumberFormat="1" applyFont="1"/>
    <xf numFmtId="166" fontId="74" fillId="0" borderId="0" xfId="0" applyNumberFormat="1" applyFont="1" applyAlignment="1">
      <alignment horizontal="right" vertical="center"/>
    </xf>
    <xf numFmtId="167" fontId="13" fillId="0" borderId="0" xfId="0" applyNumberFormat="1" applyFont="1" applyAlignment="1">
      <alignment horizontal="left"/>
    </xf>
    <xf numFmtId="166" fontId="13" fillId="0" borderId="0" xfId="0" applyNumberFormat="1" applyFont="1" applyAlignment="1">
      <alignment horizontal="left" vertical="center"/>
    </xf>
    <xf numFmtId="166" fontId="8" fillId="51" borderId="115" xfId="0" applyNumberFormat="1" applyFont="1" applyFill="1" applyBorder="1" applyAlignment="1">
      <alignment vertical="center"/>
    </xf>
    <xf numFmtId="166" fontId="13" fillId="0" borderId="0" xfId="0" applyNumberFormat="1" applyFont="1" applyAlignment="1">
      <alignment horizontal="left"/>
    </xf>
    <xf numFmtId="0" fontId="13" fillId="0" borderId="24" xfId="3" applyFont="1"/>
    <xf numFmtId="166" fontId="8" fillId="43" borderId="115" xfId="0" applyNumberFormat="1" applyFont="1" applyFill="1" applyBorder="1" applyAlignment="1">
      <alignment vertical="center"/>
    </xf>
    <xf numFmtId="0" fontId="89" fillId="0" borderId="0" xfId="0" applyFont="1" applyAlignment="1">
      <alignment vertical="top"/>
    </xf>
    <xf numFmtId="0" fontId="39" fillId="0" borderId="0" xfId="0" applyFont="1" applyAlignment="1">
      <alignment vertical="center"/>
    </xf>
    <xf numFmtId="166" fontId="39" fillId="0" borderId="0" xfId="0" applyNumberFormat="1" applyFont="1" applyAlignment="1">
      <alignment vertical="center"/>
    </xf>
    <xf numFmtId="8" fontId="16" fillId="52" borderId="48" xfId="0" applyNumberFormat="1" applyFont="1" applyFill="1" applyBorder="1"/>
    <xf numFmtId="8" fontId="16" fillId="26" borderId="48" xfId="0" applyNumberFormat="1" applyFont="1" applyFill="1" applyBorder="1"/>
    <xf numFmtId="8" fontId="16" fillId="27" borderId="48" xfId="0" applyNumberFormat="1" applyFont="1" applyFill="1" applyBorder="1"/>
    <xf numFmtId="8" fontId="16" fillId="28" borderId="48" xfId="0" applyNumberFormat="1" applyFont="1" applyFill="1" applyBorder="1"/>
    <xf numFmtId="8" fontId="16" fillId="29" borderId="48" xfId="0" applyNumberFormat="1" applyFont="1" applyFill="1" applyBorder="1"/>
    <xf numFmtId="8" fontId="16" fillId="30" borderId="48" xfId="0" applyNumberFormat="1" applyFont="1" applyFill="1" applyBorder="1"/>
    <xf numFmtId="8" fontId="16" fillId="23" borderId="48" xfId="0" applyNumberFormat="1" applyFont="1" applyFill="1" applyBorder="1"/>
    <xf numFmtId="8" fontId="16" fillId="31" borderId="48" xfId="0" applyNumberFormat="1" applyFont="1" applyFill="1" applyBorder="1"/>
    <xf numFmtId="8" fontId="16" fillId="31" borderId="46" xfId="0" applyNumberFormat="1" applyFont="1" applyFill="1" applyBorder="1"/>
    <xf numFmtId="169" fontId="9" fillId="0" borderId="24" xfId="7" applyNumberFormat="1" applyFont="1" applyAlignment="1">
      <alignment vertical="center"/>
    </xf>
    <xf numFmtId="166" fontId="6" fillId="0" borderId="24" xfId="7" applyNumberFormat="1" applyFont="1" applyAlignment="1">
      <alignment vertical="center"/>
    </xf>
    <xf numFmtId="0" fontId="6" fillId="0" borderId="24" xfId="7" applyFont="1" applyAlignment="1">
      <alignment vertical="center"/>
    </xf>
    <xf numFmtId="170" fontId="6" fillId="0" borderId="24" xfId="7" applyNumberFormat="1" applyFont="1" applyAlignment="1">
      <alignment vertical="center"/>
    </xf>
    <xf numFmtId="0" fontId="52" fillId="0" borderId="24" xfId="7"/>
    <xf numFmtId="0" fontId="16" fillId="0" borderId="24" xfId="7" applyFont="1" applyAlignment="1">
      <alignment vertical="center"/>
    </xf>
    <xf numFmtId="166" fontId="16" fillId="0" borderId="24" xfId="7" applyNumberFormat="1" applyFont="1" applyAlignment="1">
      <alignment vertical="center"/>
    </xf>
    <xf numFmtId="166" fontId="16" fillId="0" borderId="24" xfId="7" applyNumberFormat="1" applyFont="1" applyAlignment="1">
      <alignment horizontal="center" vertical="center"/>
    </xf>
    <xf numFmtId="0" fontId="17" fillId="0" borderId="24" xfId="7" applyFont="1" applyAlignment="1">
      <alignment vertical="center"/>
    </xf>
    <xf numFmtId="170" fontId="17" fillId="0" borderId="24" xfId="7" applyNumberFormat="1" applyFont="1" applyAlignment="1">
      <alignment vertical="center"/>
    </xf>
    <xf numFmtId="0" fontId="7" fillId="0" borderId="24" xfId="7" applyFont="1" applyAlignment="1">
      <alignment vertical="center"/>
    </xf>
    <xf numFmtId="166" fontId="16" fillId="0" borderId="24" xfId="7" applyNumberFormat="1" applyFont="1" applyAlignment="1">
      <alignment horizontal="left" vertical="center"/>
    </xf>
    <xf numFmtId="166" fontId="8" fillId="8" borderId="13" xfId="7" applyNumberFormat="1" applyFont="1" applyFill="1" applyBorder="1" applyAlignment="1">
      <alignment vertical="center"/>
    </xf>
    <xf numFmtId="166" fontId="11" fillId="0" borderId="24" xfId="7" applyNumberFormat="1" applyFont="1" applyAlignment="1">
      <alignment horizontal="right" vertical="center"/>
    </xf>
    <xf numFmtId="0" fontId="11" fillId="0" borderId="24" xfId="7" applyFont="1" applyAlignment="1">
      <alignment vertical="center"/>
    </xf>
    <xf numFmtId="0" fontId="11" fillId="0" borderId="24" xfId="7" applyFont="1" applyAlignment="1">
      <alignment horizontal="left" vertical="center"/>
    </xf>
    <xf numFmtId="166" fontId="11" fillId="0" borderId="24" xfId="7" applyNumberFormat="1" applyFont="1" applyAlignment="1">
      <alignment vertical="center"/>
    </xf>
    <xf numFmtId="165" fontId="6" fillId="0" borderId="24" xfId="8" applyFont="1" applyAlignment="1">
      <alignment vertical="center"/>
    </xf>
    <xf numFmtId="0" fontId="16" fillId="0" borderId="24" xfId="7" applyFont="1" applyAlignment="1">
      <alignment horizontal="left" vertical="center"/>
    </xf>
    <xf numFmtId="166" fontId="7" fillId="0" borderId="24" xfId="7" applyNumberFormat="1" applyFont="1" applyAlignment="1">
      <alignment vertical="center"/>
    </xf>
    <xf numFmtId="0" fontId="7" fillId="0" borderId="24" xfId="7" applyFont="1"/>
    <xf numFmtId="0" fontId="12" fillId="0" borderId="24" xfId="7" applyFont="1" applyAlignment="1">
      <alignment vertical="center"/>
    </xf>
    <xf numFmtId="170" fontId="12" fillId="0" borderId="24" xfId="7" applyNumberFormat="1" applyFont="1" applyAlignment="1">
      <alignment vertical="center"/>
    </xf>
    <xf numFmtId="166" fontId="16" fillId="0" borderId="24" xfId="7" applyNumberFormat="1" applyFont="1" applyAlignment="1">
      <alignment horizontal="right" vertical="center"/>
    </xf>
    <xf numFmtId="166" fontId="7" fillId="0" borderId="24" xfId="7" applyNumberFormat="1" applyFont="1" applyAlignment="1">
      <alignment horizontal="right" vertical="center"/>
    </xf>
    <xf numFmtId="166" fontId="11" fillId="0" borderId="24" xfId="7" applyNumberFormat="1" applyFont="1" applyAlignment="1">
      <alignment horizontal="left" vertical="center"/>
    </xf>
    <xf numFmtId="169" fontId="9" fillId="0" borderId="24" xfId="7" applyNumberFormat="1" applyFont="1" applyAlignment="1">
      <alignment horizontal="left" vertical="center"/>
    </xf>
    <xf numFmtId="0" fontId="12" fillId="0" borderId="24" xfId="7" applyFont="1" applyAlignment="1">
      <alignment horizontal="left" vertical="center"/>
    </xf>
    <xf numFmtId="170" fontId="12" fillId="0" borderId="24" xfId="7" applyNumberFormat="1" applyFont="1" applyAlignment="1">
      <alignment horizontal="left" vertical="center"/>
    </xf>
    <xf numFmtId="166" fontId="8" fillId="4" borderId="13" xfId="7" applyNumberFormat="1" applyFont="1" applyFill="1" applyBorder="1" applyAlignment="1">
      <alignment vertical="center"/>
    </xf>
    <xf numFmtId="0" fontId="3" fillId="0" borderId="24" xfId="7" applyFont="1" applyAlignment="1">
      <alignment vertical="center"/>
    </xf>
    <xf numFmtId="169" fontId="3" fillId="0" borderId="24" xfId="7" applyNumberFormat="1" applyFont="1" applyAlignment="1">
      <alignment vertical="center"/>
    </xf>
    <xf numFmtId="0" fontId="9" fillId="0" borderId="24" xfId="7" applyFont="1" applyAlignment="1">
      <alignment vertical="center"/>
    </xf>
    <xf numFmtId="166" fontId="9" fillId="0" borderId="24" xfId="7" applyNumberFormat="1" applyFont="1" applyAlignment="1">
      <alignment vertical="center"/>
    </xf>
    <xf numFmtId="169" fontId="7" fillId="0" borderId="24" xfId="7" applyNumberFormat="1" applyFont="1" applyAlignment="1">
      <alignment horizontal="left" vertical="center"/>
    </xf>
    <xf numFmtId="170" fontId="7" fillId="0" borderId="24" xfId="7" applyNumberFormat="1" applyFont="1" applyAlignment="1">
      <alignment vertical="center"/>
    </xf>
    <xf numFmtId="166" fontId="13" fillId="0" borderId="24" xfId="7" applyNumberFormat="1" applyFont="1" applyAlignment="1">
      <alignment vertical="center"/>
    </xf>
    <xf numFmtId="166" fontId="7" fillId="0" borderId="24" xfId="7" applyNumberFormat="1" applyFont="1" applyAlignment="1">
      <alignment horizontal="left" vertical="center"/>
    </xf>
    <xf numFmtId="170" fontId="3" fillId="0" borderId="24" xfId="7" applyNumberFormat="1" applyFont="1" applyAlignment="1">
      <alignment vertical="center"/>
    </xf>
    <xf numFmtId="169" fontId="7" fillId="0" borderId="24" xfId="7" applyNumberFormat="1" applyFont="1" applyAlignment="1">
      <alignment vertical="center"/>
    </xf>
    <xf numFmtId="166" fontId="2" fillId="0" borderId="24" xfId="7" applyNumberFormat="1" applyFont="1" applyAlignment="1">
      <alignment vertical="center"/>
    </xf>
    <xf numFmtId="0" fontId="2" fillId="0" borderId="24" xfId="7" applyFont="1" applyAlignment="1">
      <alignment vertical="center"/>
    </xf>
    <xf numFmtId="170" fontId="2" fillId="0" borderId="24" xfId="7" applyNumberFormat="1" applyFont="1" applyAlignment="1">
      <alignment vertical="center"/>
    </xf>
    <xf numFmtId="0" fontId="37" fillId="0" borderId="24" xfId="7" applyFont="1" applyAlignment="1">
      <alignment vertical="center"/>
    </xf>
    <xf numFmtId="170" fontId="37" fillId="0" borderId="24" xfId="7" applyNumberFormat="1" applyFont="1" applyAlignment="1">
      <alignment vertical="center"/>
    </xf>
    <xf numFmtId="167" fontId="3" fillId="0" borderId="24" xfId="7" applyNumberFormat="1" applyFont="1" applyAlignment="1">
      <alignment vertical="center"/>
    </xf>
    <xf numFmtId="166" fontId="8" fillId="5" borderId="13" xfId="7" applyNumberFormat="1" applyFont="1" applyFill="1" applyBorder="1" applyAlignment="1">
      <alignment vertical="center"/>
    </xf>
    <xf numFmtId="0" fontId="3" fillId="0" borderId="24" xfId="7" applyFont="1" applyAlignment="1">
      <alignment horizontal="left" vertical="center"/>
    </xf>
    <xf numFmtId="169" fontId="3" fillId="0" borderId="24" xfId="7" applyNumberFormat="1" applyFont="1" applyAlignment="1">
      <alignment horizontal="left" vertical="center"/>
    </xf>
    <xf numFmtId="0" fontId="7" fillId="0" borderId="24" xfId="7" applyFont="1" applyAlignment="1">
      <alignment horizontal="left" vertical="center"/>
    </xf>
    <xf numFmtId="0" fontId="19" fillId="0" borderId="24" xfId="7" applyFont="1" applyAlignment="1">
      <alignment horizontal="left" vertical="center"/>
    </xf>
    <xf numFmtId="169" fontId="2" fillId="0" borderId="24" xfId="7" applyNumberFormat="1" applyFont="1" applyAlignment="1">
      <alignment vertical="center"/>
    </xf>
    <xf numFmtId="169" fontId="25" fillId="0" borderId="24" xfId="7" applyNumberFormat="1" applyFont="1" applyAlignment="1">
      <alignment vertical="center"/>
    </xf>
    <xf numFmtId="0" fontId="19" fillId="0" borderId="24" xfId="7" applyFont="1" applyAlignment="1">
      <alignment vertical="center"/>
    </xf>
    <xf numFmtId="166" fontId="8" fillId="7" borderId="13" xfId="7" applyNumberFormat="1" applyFont="1" applyFill="1" applyBorder="1" applyAlignment="1">
      <alignment vertical="center"/>
    </xf>
    <xf numFmtId="166" fontId="3" fillId="0" borderId="24" xfId="7" applyNumberFormat="1" applyFont="1" applyAlignment="1">
      <alignment vertical="center"/>
    </xf>
    <xf numFmtId="166" fontId="9" fillId="0" borderId="24" xfId="7" applyNumberFormat="1" applyFont="1" applyAlignment="1">
      <alignment horizontal="right" vertical="center"/>
    </xf>
    <xf numFmtId="166" fontId="12" fillId="0" borderId="24" xfId="7" applyNumberFormat="1" applyFont="1" applyAlignment="1">
      <alignment vertical="center"/>
    </xf>
    <xf numFmtId="0" fontId="7" fillId="0" borderId="19" xfId="0" applyFont="1" applyBorder="1" applyAlignment="1">
      <alignment vertical="center"/>
    </xf>
    <xf numFmtId="0" fontId="7" fillId="0" borderId="24" xfId="0" applyFont="1" applyBorder="1" applyAlignment="1">
      <alignment vertical="center"/>
    </xf>
    <xf numFmtId="166" fontId="7" fillId="0" borderId="24" xfId="0" applyNumberFormat="1" applyFont="1" applyBorder="1" applyAlignment="1">
      <alignment vertical="center"/>
    </xf>
    <xf numFmtId="166" fontId="7" fillId="0" borderId="19" xfId="7" applyNumberFormat="1" applyFont="1" applyBorder="1" applyAlignment="1">
      <alignment vertical="center"/>
    </xf>
    <xf numFmtId="166" fontId="7" fillId="0" borderId="7" xfId="7" applyNumberFormat="1" applyFont="1" applyBorder="1" applyAlignment="1">
      <alignment vertical="center"/>
    </xf>
    <xf numFmtId="0" fontId="9" fillId="0" borderId="24" xfId="7" applyFont="1"/>
    <xf numFmtId="166" fontId="9" fillId="0" borderId="24" xfId="7" applyNumberFormat="1" applyFont="1"/>
    <xf numFmtId="166" fontId="8" fillId="4" borderId="13" xfId="7" applyNumberFormat="1" applyFont="1" applyFill="1" applyBorder="1"/>
    <xf numFmtId="0" fontId="9" fillId="0" borderId="24" xfId="7" applyFont="1" applyAlignment="1">
      <alignment horizontal="left"/>
    </xf>
    <xf numFmtId="166" fontId="74" fillId="0" borderId="24" xfId="7" applyNumberFormat="1" applyFont="1" applyAlignment="1">
      <alignment horizontal="right"/>
    </xf>
    <xf numFmtId="166" fontId="74" fillId="0" borderId="24" xfId="7" applyNumberFormat="1" applyFont="1" applyAlignment="1">
      <alignment vertical="center"/>
    </xf>
    <xf numFmtId="166" fontId="13" fillId="0" borderId="24" xfId="7" applyNumberFormat="1" applyFont="1"/>
    <xf numFmtId="166" fontId="74" fillId="0" borderId="24" xfId="7" applyNumberFormat="1" applyFont="1"/>
    <xf numFmtId="166" fontId="8" fillId="5" borderId="13" xfId="7" applyNumberFormat="1" applyFont="1" applyFill="1" applyBorder="1"/>
    <xf numFmtId="0" fontId="9" fillId="0" borderId="24" xfId="7" applyFont="1" applyAlignment="1">
      <alignment horizontal="left" vertical="center"/>
    </xf>
    <xf numFmtId="166" fontId="7" fillId="0" borderId="24" xfId="7" applyNumberFormat="1" applyFont="1"/>
    <xf numFmtId="166" fontId="8" fillId="6" borderId="13" xfId="7" applyNumberFormat="1" applyFont="1" applyFill="1" applyBorder="1"/>
    <xf numFmtId="166" fontId="9" fillId="0" borderId="24" xfId="7" applyNumberFormat="1" applyFont="1" applyAlignment="1">
      <alignment horizontal="right"/>
    </xf>
    <xf numFmtId="166" fontId="8" fillId="7" borderId="13" xfId="7" applyNumberFormat="1" applyFont="1" applyFill="1" applyBorder="1"/>
    <xf numFmtId="0" fontId="90" fillId="0" borderId="0" xfId="0" applyFont="1" applyAlignment="1">
      <alignment horizontal="left" vertical="center"/>
    </xf>
    <xf numFmtId="0" fontId="14" fillId="0" borderId="0" xfId="0" applyFont="1" applyAlignment="1">
      <alignment horizontal="left" vertical="center"/>
    </xf>
    <xf numFmtId="0" fontId="14" fillId="0" borderId="0" xfId="0" applyFont="1"/>
    <xf numFmtId="166" fontId="80" fillId="0" borderId="0" xfId="0" applyNumberFormat="1" applyFont="1" applyAlignment="1">
      <alignment vertical="center"/>
    </xf>
    <xf numFmtId="0" fontId="80" fillId="0" borderId="0" xfId="0" applyFont="1" applyAlignment="1">
      <alignment horizontal="left"/>
    </xf>
    <xf numFmtId="0" fontId="91" fillId="0" borderId="0" xfId="0" applyFont="1"/>
    <xf numFmtId="170" fontId="9" fillId="0" borderId="0" xfId="0" applyNumberFormat="1" applyFont="1" applyAlignment="1">
      <alignment vertical="center"/>
    </xf>
    <xf numFmtId="170" fontId="1" fillId="0" borderId="0" xfId="0" applyNumberFormat="1" applyFont="1" applyAlignment="1">
      <alignment vertical="center"/>
    </xf>
    <xf numFmtId="0" fontId="37" fillId="0" borderId="0" xfId="0" applyFont="1" applyAlignment="1">
      <alignment horizontal="left" vertical="center"/>
    </xf>
    <xf numFmtId="170" fontId="37" fillId="0" borderId="0" xfId="0" applyNumberFormat="1" applyFont="1" applyAlignment="1">
      <alignment horizontal="left" vertical="center"/>
    </xf>
    <xf numFmtId="169" fontId="12" fillId="0" borderId="0" xfId="0" applyNumberFormat="1" applyFont="1" applyAlignment="1">
      <alignment horizontal="left" vertical="center"/>
    </xf>
    <xf numFmtId="169" fontId="1" fillId="0" borderId="0" xfId="0" applyNumberFormat="1" applyFont="1" applyAlignment="1">
      <alignment vertical="center"/>
    </xf>
    <xf numFmtId="166" fontId="12" fillId="0" borderId="0" xfId="0" applyNumberFormat="1" applyFont="1" applyAlignment="1">
      <alignment horizontal="left" vertical="center"/>
    </xf>
    <xf numFmtId="170" fontId="9" fillId="0" borderId="24" xfId="7" applyNumberFormat="1" applyFont="1" applyAlignment="1">
      <alignment vertical="center"/>
    </xf>
    <xf numFmtId="0" fontId="91" fillId="0" borderId="24" xfId="7" applyFont="1"/>
    <xf numFmtId="167" fontId="9" fillId="0" borderId="24" xfId="7" applyNumberFormat="1" applyFont="1" applyAlignment="1">
      <alignment vertical="center"/>
    </xf>
    <xf numFmtId="166" fontId="1" fillId="0" borderId="24" xfId="7" applyNumberFormat="1" applyFont="1" applyAlignment="1">
      <alignment vertical="center"/>
    </xf>
    <xf numFmtId="169" fontId="12" fillId="0" borderId="24" xfId="7" applyNumberFormat="1" applyFont="1" applyAlignment="1">
      <alignment horizontal="left" vertical="center"/>
    </xf>
    <xf numFmtId="0" fontId="1" fillId="0" borderId="24" xfId="7" applyFont="1" applyAlignment="1">
      <alignment vertical="center"/>
    </xf>
    <xf numFmtId="169" fontId="1" fillId="0" borderId="24" xfId="7" applyNumberFormat="1" applyFont="1" applyAlignment="1">
      <alignment vertical="center"/>
    </xf>
    <xf numFmtId="166" fontId="12" fillId="0" borderId="24" xfId="7" applyNumberFormat="1" applyFont="1" applyAlignment="1">
      <alignment horizontal="left" vertical="center"/>
    </xf>
    <xf numFmtId="170" fontId="1" fillId="0" borderId="24" xfId="7" applyNumberFormat="1" applyFont="1" applyAlignment="1">
      <alignment vertical="center"/>
    </xf>
    <xf numFmtId="0" fontId="90" fillId="0" borderId="0" xfId="0" applyFont="1"/>
    <xf numFmtId="0" fontId="90" fillId="0" borderId="0" xfId="0" applyFont="1" applyAlignment="1">
      <alignment horizontal="left"/>
    </xf>
    <xf numFmtId="0" fontId="90" fillId="0" borderId="0" xfId="0" applyFont="1" applyAlignment="1">
      <alignment vertical="center"/>
    </xf>
    <xf numFmtId="166" fontId="90" fillId="0" borderId="0" xfId="0" applyNumberFormat="1" applyFont="1" applyAlignment="1">
      <alignment vertical="center"/>
    </xf>
    <xf numFmtId="0" fontId="90" fillId="14" borderId="0" xfId="0" applyFont="1" applyFill="1" applyAlignment="1">
      <alignment horizontal="left"/>
    </xf>
    <xf numFmtId="0" fontId="79" fillId="42" borderId="104" xfId="9" applyFont="1" applyFill="1" applyBorder="1"/>
    <xf numFmtId="0" fontId="79" fillId="42" borderId="105" xfId="9" applyFont="1" applyFill="1" applyBorder="1"/>
    <xf numFmtId="166" fontId="79" fillId="42" borderId="105" xfId="10" applyNumberFormat="1" applyFont="1" applyFill="1" applyBorder="1"/>
    <xf numFmtId="166" fontId="79" fillId="42" borderId="106" xfId="9" applyNumberFormat="1" applyFont="1" applyFill="1" applyBorder="1"/>
    <xf numFmtId="166" fontId="80" fillId="0" borderId="24" xfId="9" applyNumberFormat="1" applyFont="1"/>
    <xf numFmtId="166" fontId="81" fillId="0" borderId="24" xfId="9" applyNumberFormat="1" applyFont="1"/>
    <xf numFmtId="0" fontId="79" fillId="0" borderId="24" xfId="9" applyFont="1"/>
    <xf numFmtId="0" fontId="82" fillId="43" borderId="112" xfId="9" applyFont="1" applyFill="1" applyBorder="1"/>
    <xf numFmtId="0" fontId="82" fillId="43" borderId="113" xfId="9" applyFont="1" applyFill="1" applyBorder="1"/>
    <xf numFmtId="0" fontId="83" fillId="43" borderId="113" xfId="9" applyFont="1" applyFill="1" applyBorder="1"/>
    <xf numFmtId="166" fontId="83" fillId="43" borderId="113" xfId="9" applyNumberFormat="1" applyFont="1" applyFill="1" applyBorder="1"/>
    <xf numFmtId="166" fontId="83" fillId="43" borderId="113" xfId="10" applyNumberFormat="1" applyFont="1" applyFill="1" applyBorder="1"/>
    <xf numFmtId="166" fontId="82" fillId="43" borderId="113" xfId="10" applyNumberFormat="1" applyFont="1" applyFill="1" applyBorder="1"/>
    <xf numFmtId="166" fontId="82" fillId="43" borderId="113" xfId="9" applyNumberFormat="1" applyFont="1" applyFill="1" applyBorder="1"/>
    <xf numFmtId="0" fontId="82" fillId="43" borderId="114" xfId="9" applyFont="1" applyFill="1" applyBorder="1"/>
    <xf numFmtId="0" fontId="84" fillId="0" borderId="24" xfId="9" applyFont="1"/>
    <xf numFmtId="0" fontId="85" fillId="0" borderId="24" xfId="9" applyFont="1"/>
    <xf numFmtId="0" fontId="82" fillId="44" borderId="116" xfId="9" applyFont="1" applyFill="1" applyBorder="1"/>
    <xf numFmtId="0" fontId="82" fillId="44" borderId="24" xfId="9" applyFont="1" applyFill="1"/>
    <xf numFmtId="0" fontId="83" fillId="44" borderId="24" xfId="9" applyFont="1" applyFill="1"/>
    <xf numFmtId="166" fontId="83" fillId="44" borderId="24" xfId="9" applyNumberFormat="1" applyFont="1" applyFill="1"/>
    <xf numFmtId="166" fontId="83" fillId="44" borderId="24" xfId="10" applyNumberFormat="1" applyFont="1" applyFill="1" applyBorder="1"/>
    <xf numFmtId="166" fontId="82" fillId="44" borderId="24" xfId="10" applyNumberFormat="1" applyFont="1" applyFill="1" applyBorder="1"/>
    <xf numFmtId="166" fontId="82" fillId="44" borderId="24" xfId="9" applyNumberFormat="1" applyFont="1" applyFill="1"/>
    <xf numFmtId="0" fontId="82" fillId="44" borderId="117" xfId="9" applyFont="1" applyFill="1" applyBorder="1"/>
    <xf numFmtId="0" fontId="83" fillId="0" borderId="24" xfId="9" applyFont="1"/>
    <xf numFmtId="0" fontId="83" fillId="45" borderId="24" xfId="9" applyFont="1" applyFill="1"/>
    <xf numFmtId="0" fontId="14" fillId="46" borderId="112" xfId="9" applyFont="1" applyFill="1" applyBorder="1"/>
    <xf numFmtId="0" fontId="14" fillId="46" borderId="113" xfId="9" applyFont="1" applyFill="1" applyBorder="1"/>
    <xf numFmtId="0" fontId="15" fillId="46" borderId="113" xfId="9" applyFont="1" applyFill="1" applyBorder="1"/>
    <xf numFmtId="166" fontId="15" fillId="46" borderId="113" xfId="9" applyNumberFormat="1" applyFont="1" applyFill="1" applyBorder="1"/>
    <xf numFmtId="166" fontId="15" fillId="46" borderId="113" xfId="10" applyNumberFormat="1" applyFont="1" applyFill="1" applyBorder="1"/>
    <xf numFmtId="166" fontId="14" fillId="46" borderId="113" xfId="10" applyNumberFormat="1" applyFont="1" applyFill="1" applyBorder="1"/>
    <xf numFmtId="0" fontId="14" fillId="46" borderId="114" xfId="9" applyFont="1" applyFill="1" applyBorder="1"/>
    <xf numFmtId="0" fontId="84" fillId="0" borderId="116" xfId="9" applyFont="1" applyBorder="1"/>
    <xf numFmtId="166" fontId="84" fillId="0" borderId="24" xfId="9" applyNumberFormat="1" applyFont="1"/>
    <xf numFmtId="166" fontId="84" fillId="0" borderId="24" xfId="10" applyNumberFormat="1" applyFont="1" applyFill="1" applyBorder="1"/>
    <xf numFmtId="166" fontId="80" fillId="0" borderId="24" xfId="10" applyNumberFormat="1" applyFont="1" applyFill="1" applyBorder="1" applyAlignment="1">
      <alignment horizontal="left"/>
    </xf>
    <xf numFmtId="0" fontId="80" fillId="0" borderId="24" xfId="9" applyFont="1"/>
    <xf numFmtId="0" fontId="80" fillId="0" borderId="117" xfId="9" applyFont="1" applyBorder="1"/>
    <xf numFmtId="166" fontId="84" fillId="0" borderId="24" xfId="11" applyNumberFormat="1" applyFont="1" applyFill="1" applyBorder="1"/>
    <xf numFmtId="178" fontId="80" fillId="0" borderId="24" xfId="10" applyFont="1" applyFill="1" applyBorder="1"/>
    <xf numFmtId="9" fontId="80" fillId="0" borderId="24" xfId="11" applyFont="1" applyFill="1" applyBorder="1"/>
    <xf numFmtId="43" fontId="80" fillId="0" borderId="117" xfId="12" applyFont="1" applyBorder="1"/>
    <xf numFmtId="43" fontId="80" fillId="0" borderId="117" xfId="9" applyNumberFormat="1" applyFont="1" applyBorder="1"/>
    <xf numFmtId="179" fontId="80" fillId="0" borderId="117" xfId="9" applyNumberFormat="1" applyFont="1" applyBorder="1"/>
    <xf numFmtId="167" fontId="84" fillId="0" borderId="24" xfId="10" applyNumberFormat="1" applyFont="1" applyFill="1" applyBorder="1" applyAlignment="1">
      <alignment horizontal="right"/>
    </xf>
    <xf numFmtId="166" fontId="15" fillId="0" borderId="24" xfId="11" applyNumberFormat="1" applyFont="1" applyFill="1" applyBorder="1"/>
    <xf numFmtId="166" fontId="85" fillId="0" borderId="24" xfId="10" applyNumberFormat="1" applyFont="1" applyFill="1" applyBorder="1"/>
    <xf numFmtId="166" fontId="80" fillId="0" borderId="24" xfId="11" applyNumberFormat="1" applyFont="1" applyFill="1" applyBorder="1"/>
    <xf numFmtId="0" fontId="80" fillId="46" borderId="112" xfId="9" applyFont="1" applyFill="1" applyBorder="1"/>
    <xf numFmtId="0" fontId="80" fillId="46" borderId="113" xfId="9" applyFont="1" applyFill="1" applyBorder="1"/>
    <xf numFmtId="0" fontId="84" fillId="46" borderId="113" xfId="9" applyFont="1" applyFill="1" applyBorder="1"/>
    <xf numFmtId="166" fontId="84" fillId="46" borderId="113" xfId="11" applyNumberFormat="1" applyFont="1" applyFill="1" applyBorder="1"/>
    <xf numFmtId="166" fontId="84" fillId="46" borderId="113" xfId="10" applyNumberFormat="1" applyFont="1" applyFill="1" applyBorder="1"/>
    <xf numFmtId="166" fontId="80" fillId="46" borderId="113" xfId="9" applyNumberFormat="1" applyFont="1" applyFill="1" applyBorder="1"/>
    <xf numFmtId="0" fontId="80" fillId="46" borderId="114" xfId="9" applyFont="1" applyFill="1" applyBorder="1"/>
    <xf numFmtId="0" fontId="80" fillId="47" borderId="116" xfId="9" applyFont="1" applyFill="1" applyBorder="1"/>
    <xf numFmtId="0" fontId="80" fillId="47" borderId="24" xfId="9" applyFont="1" applyFill="1"/>
    <xf numFmtId="0" fontId="84" fillId="47" borderId="24" xfId="9" applyFont="1" applyFill="1"/>
    <xf numFmtId="0" fontId="80" fillId="0" borderId="116" xfId="9" applyFont="1" applyBorder="1"/>
    <xf numFmtId="0" fontId="84" fillId="0" borderId="104" xfId="9" applyFont="1" applyBorder="1"/>
    <xf numFmtId="0" fontId="84" fillId="0" borderId="105" xfId="9" applyFont="1" applyBorder="1"/>
    <xf numFmtId="166" fontId="84" fillId="0" borderId="105" xfId="11" applyNumberFormat="1" applyFont="1" applyFill="1" applyBorder="1"/>
    <xf numFmtId="166" fontId="84" fillId="0" borderId="105" xfId="10" applyNumberFormat="1" applyFont="1" applyFill="1" applyBorder="1"/>
    <xf numFmtId="166" fontId="80" fillId="0" borderId="105" xfId="9" applyNumberFormat="1" applyFont="1" applyBorder="1"/>
    <xf numFmtId="0" fontId="80" fillId="0" borderId="105" xfId="9" applyFont="1" applyBorder="1"/>
    <xf numFmtId="0" fontId="80" fillId="0" borderId="106" xfId="9" applyFont="1" applyBorder="1"/>
    <xf numFmtId="0" fontId="84" fillId="40" borderId="115" xfId="9" applyFont="1" applyFill="1" applyBorder="1"/>
    <xf numFmtId="0" fontId="80" fillId="40" borderId="24" xfId="9" applyFont="1" applyFill="1"/>
    <xf numFmtId="0" fontId="84" fillId="40" borderId="116" xfId="9" applyFont="1" applyFill="1" applyBorder="1"/>
    <xf numFmtId="0" fontId="84" fillId="40" borderId="24" xfId="9" applyFont="1" applyFill="1"/>
    <xf numFmtId="0" fontId="84" fillId="0" borderId="24" xfId="9" applyFont="1" applyAlignment="1">
      <alignment horizontal="left"/>
    </xf>
    <xf numFmtId="0" fontId="84" fillId="0" borderId="117" xfId="9" applyFont="1" applyBorder="1"/>
    <xf numFmtId="49" fontId="84" fillId="0" borderId="116" xfId="9" applyNumberFormat="1" applyFont="1" applyBorder="1" applyAlignment="1">
      <alignment horizontal="left"/>
    </xf>
    <xf numFmtId="49" fontId="84" fillId="0" borderId="24" xfId="9" applyNumberFormat="1" applyFont="1"/>
    <xf numFmtId="49" fontId="84" fillId="0" borderId="24" xfId="9" applyNumberFormat="1" applyFont="1" applyAlignment="1">
      <alignment horizontal="left"/>
    </xf>
    <xf numFmtId="0" fontId="84" fillId="0" borderId="108" xfId="9" applyFont="1" applyBorder="1"/>
    <xf numFmtId="0" fontId="84" fillId="0" borderId="109" xfId="9" applyFont="1" applyBorder="1"/>
    <xf numFmtId="49" fontId="84" fillId="0" borderId="109" xfId="9" applyNumberFormat="1" applyFont="1" applyBorder="1" applyAlignment="1">
      <alignment horizontal="left"/>
    </xf>
    <xf numFmtId="171" fontId="84" fillId="0" borderId="109" xfId="9" applyNumberFormat="1" applyFont="1" applyBorder="1"/>
    <xf numFmtId="0" fontId="80" fillId="0" borderId="109" xfId="9" applyFont="1" applyBorder="1"/>
    <xf numFmtId="166" fontId="80" fillId="0" borderId="109" xfId="9" applyNumberFormat="1" applyFont="1" applyBorder="1"/>
    <xf numFmtId="0" fontId="80" fillId="0" borderId="110" xfId="9" applyFont="1" applyBorder="1"/>
    <xf numFmtId="0" fontId="82" fillId="44" borderId="112" xfId="9" applyFont="1" applyFill="1" applyBorder="1"/>
    <xf numFmtId="0" fontId="82" fillId="44" borderId="113" xfId="9" applyFont="1" applyFill="1" applyBorder="1"/>
    <xf numFmtId="0" fontId="83" fillId="44" borderId="113" xfId="9" applyFont="1" applyFill="1" applyBorder="1"/>
    <xf numFmtId="166" fontId="83" fillId="44" borderId="113" xfId="11" applyNumberFormat="1" applyFont="1" applyFill="1" applyBorder="1"/>
    <xf numFmtId="166" fontId="83" fillId="44" borderId="113" xfId="10" applyNumberFormat="1" applyFont="1" applyFill="1" applyBorder="1"/>
    <xf numFmtId="166" fontId="82" fillId="44" borderId="113" xfId="10" applyNumberFormat="1" applyFont="1" applyFill="1" applyBorder="1"/>
    <xf numFmtId="166" fontId="82" fillId="44" borderId="113" xfId="9" applyNumberFormat="1" applyFont="1" applyFill="1" applyBorder="1"/>
    <xf numFmtId="0" fontId="82" fillId="44" borderId="114" xfId="9" applyFont="1" applyFill="1" applyBorder="1"/>
    <xf numFmtId="166" fontId="80" fillId="46" borderId="113" xfId="10" applyNumberFormat="1" applyFont="1" applyFill="1" applyBorder="1"/>
    <xf numFmtId="166" fontId="80" fillId="0" borderId="24" xfId="10" applyNumberFormat="1" applyFont="1" applyFill="1" applyBorder="1"/>
    <xf numFmtId="166" fontId="84" fillId="39" borderId="24" xfId="11" applyNumberFormat="1" applyFont="1" applyFill="1" applyBorder="1"/>
    <xf numFmtId="166" fontId="84" fillId="46" borderId="114" xfId="11" applyNumberFormat="1" applyFont="1" applyFill="1" applyBorder="1"/>
    <xf numFmtId="0" fontId="81" fillId="0" borderId="24" xfId="9" applyFont="1"/>
    <xf numFmtId="166" fontId="84" fillId="0" borderId="109" xfId="11" applyNumberFormat="1" applyFont="1" applyFill="1" applyBorder="1"/>
    <xf numFmtId="166" fontId="84" fillId="0" borderId="109" xfId="10" applyNumberFormat="1" applyFont="1" applyFill="1" applyBorder="1"/>
    <xf numFmtId="166" fontId="83" fillId="43" borderId="113" xfId="11" applyNumberFormat="1" applyFont="1" applyFill="1" applyBorder="1"/>
    <xf numFmtId="0" fontId="82" fillId="48" borderId="112" xfId="9" applyFont="1" applyFill="1" applyBorder="1"/>
    <xf numFmtId="0" fontId="82" fillId="48" borderId="113" xfId="9" applyFont="1" applyFill="1" applyBorder="1"/>
    <xf numFmtId="0" fontId="83" fillId="48" borderId="113" xfId="9" applyFont="1" applyFill="1" applyBorder="1"/>
    <xf numFmtId="166" fontId="83" fillId="48" borderId="113" xfId="11" applyNumberFormat="1" applyFont="1" applyFill="1" applyBorder="1"/>
    <xf numFmtId="166" fontId="83" fillId="48" borderId="113" xfId="10" applyNumberFormat="1" applyFont="1" applyFill="1" applyBorder="1"/>
    <xf numFmtId="166" fontId="82" fillId="48" borderId="113" xfId="10" applyNumberFormat="1" applyFont="1" applyFill="1" applyBorder="1"/>
    <xf numFmtId="166" fontId="82" fillId="48" borderId="113" xfId="9" applyNumberFormat="1" applyFont="1" applyFill="1" applyBorder="1"/>
    <xf numFmtId="0" fontId="82" fillId="48" borderId="114" xfId="9" applyFont="1" applyFill="1" applyBorder="1"/>
    <xf numFmtId="166" fontId="85" fillId="0" borderId="24" xfId="9" applyNumberFormat="1" applyFont="1"/>
    <xf numFmtId="166" fontId="82" fillId="44" borderId="114" xfId="9" applyNumberFormat="1" applyFont="1" applyFill="1" applyBorder="1"/>
    <xf numFmtId="0" fontId="82" fillId="43" borderId="108" xfId="9" applyFont="1" applyFill="1" applyBorder="1"/>
    <xf numFmtId="0" fontId="82" fillId="43" borderId="109" xfId="9" applyFont="1" applyFill="1" applyBorder="1"/>
    <xf numFmtId="173" fontId="82" fillId="43" borderId="109" xfId="10" applyNumberFormat="1" applyFont="1" applyFill="1" applyBorder="1"/>
    <xf numFmtId="166" fontId="82" fillId="43" borderId="109" xfId="11" applyNumberFormat="1" applyFont="1" applyFill="1" applyBorder="1"/>
    <xf numFmtId="166" fontId="82" fillId="43" borderId="109" xfId="10" applyNumberFormat="1" applyFont="1" applyFill="1" applyBorder="1"/>
    <xf numFmtId="166" fontId="82" fillId="43" borderId="109" xfId="9" applyNumberFormat="1" applyFont="1" applyFill="1" applyBorder="1"/>
    <xf numFmtId="166" fontId="82" fillId="43" borderId="110" xfId="9" applyNumberFormat="1" applyFont="1" applyFill="1" applyBorder="1"/>
    <xf numFmtId="166" fontId="9" fillId="0" borderId="24" xfId="0" applyNumberFormat="1" applyFont="1" applyBorder="1" applyAlignment="1">
      <alignment vertical="center"/>
    </xf>
    <xf numFmtId="165" fontId="0" fillId="0" borderId="0" xfId="1" applyFont="1" applyFill="1" applyAlignment="1">
      <alignment vertical="center"/>
    </xf>
    <xf numFmtId="0" fontId="78" fillId="0" borderId="24" xfId="3" applyAlignment="1">
      <alignment vertical="center"/>
    </xf>
    <xf numFmtId="0" fontId="96" fillId="0" borderId="129" xfId="3" applyFont="1" applyBorder="1" applyAlignment="1">
      <alignment horizontal="center" vertical="center"/>
    </xf>
    <xf numFmtId="178" fontId="96" fillId="0" borderId="129" xfId="4" applyFont="1" applyBorder="1" applyAlignment="1">
      <alignment horizontal="center" vertical="center"/>
    </xf>
    <xf numFmtId="9" fontId="96" fillId="0" borderId="129" xfId="5" applyFont="1" applyBorder="1" applyAlignment="1">
      <alignment horizontal="center" vertical="center"/>
    </xf>
    <xf numFmtId="10" fontId="0" fillId="0" borderId="129" xfId="5" applyNumberFormat="1" applyFont="1" applyBorder="1" applyAlignment="1">
      <alignment horizontal="center"/>
    </xf>
    <xf numFmtId="0" fontId="52" fillId="0" borderId="107" xfId="0" applyFont="1" applyBorder="1"/>
    <xf numFmtId="0" fontId="52" fillId="0" borderId="111" xfId="0" applyFont="1" applyBorder="1"/>
    <xf numFmtId="166" fontId="98" fillId="0" borderId="0" xfId="0" applyNumberFormat="1" applyFont="1" applyAlignment="1">
      <alignment horizontal="right" vertical="center"/>
    </xf>
    <xf numFmtId="0" fontId="4" fillId="2" borderId="23" xfId="0" applyFont="1" applyFill="1" applyBorder="1" applyAlignment="1">
      <alignment vertical="center" wrapText="1"/>
    </xf>
    <xf numFmtId="0" fontId="4" fillId="2" borderId="23" xfId="0" applyFont="1" applyFill="1" applyBorder="1" applyAlignment="1">
      <alignment vertical="center"/>
    </xf>
    <xf numFmtId="0" fontId="7" fillId="0" borderId="23" xfId="0" applyFont="1" applyBorder="1" applyAlignment="1">
      <alignment vertical="center"/>
    </xf>
    <xf numFmtId="165" fontId="7" fillId="0" borderId="23" xfId="0" applyNumberFormat="1" applyFont="1" applyBorder="1" applyAlignment="1">
      <alignment vertical="center"/>
    </xf>
    <xf numFmtId="0" fontId="0" fillId="0" borderId="24" xfId="0" applyBorder="1"/>
    <xf numFmtId="0" fontId="4" fillId="2" borderId="105" xfId="0" applyFont="1" applyFill="1" applyBorder="1" applyAlignment="1">
      <alignment vertical="center"/>
    </xf>
    <xf numFmtId="0" fontId="7" fillId="0" borderId="24" xfId="0" applyFont="1" applyBorder="1"/>
    <xf numFmtId="166" fontId="7" fillId="0" borderId="24" xfId="0" applyNumberFormat="1" applyFont="1" applyBorder="1"/>
    <xf numFmtId="0" fontId="8" fillId="2" borderId="112" xfId="0" applyFont="1" applyFill="1" applyBorder="1"/>
    <xf numFmtId="0" fontId="8" fillId="2" borderId="113" xfId="0" applyFont="1" applyFill="1" applyBorder="1"/>
    <xf numFmtId="0" fontId="100" fillId="0" borderId="0" xfId="0" applyFont="1"/>
    <xf numFmtId="0" fontId="4" fillId="2" borderId="104" xfId="0" applyFont="1" applyFill="1" applyBorder="1" applyAlignment="1">
      <alignment vertical="center" wrapText="1"/>
    </xf>
    <xf numFmtId="0" fontId="4" fillId="2" borderId="105" xfId="0" applyFont="1" applyFill="1" applyBorder="1" applyAlignment="1">
      <alignment vertical="center" wrapText="1"/>
    </xf>
    <xf numFmtId="0" fontId="7" fillId="0" borderId="24" xfId="0" applyFont="1" applyBorder="1" applyAlignment="1">
      <alignment horizontal="left"/>
    </xf>
    <xf numFmtId="167" fontId="7" fillId="0" borderId="24" xfId="0" applyNumberFormat="1" applyFont="1" applyBorder="1"/>
    <xf numFmtId="0" fontId="9" fillId="0" borderId="24" xfId="0" applyFont="1" applyBorder="1" applyAlignment="1">
      <alignment horizontal="center"/>
    </xf>
    <xf numFmtId="167" fontId="7" fillId="0" borderId="24" xfId="0" applyNumberFormat="1" applyFont="1" applyBorder="1" applyAlignment="1">
      <alignment horizontal="left"/>
    </xf>
    <xf numFmtId="49" fontId="7" fillId="0" borderId="24" xfId="0" applyNumberFormat="1" applyFont="1" applyBorder="1"/>
    <xf numFmtId="0" fontId="5" fillId="0" borderId="24" xfId="0" applyFont="1" applyBorder="1"/>
    <xf numFmtId="167" fontId="5" fillId="0" borderId="24" xfId="0" applyNumberFormat="1" applyFont="1" applyBorder="1"/>
    <xf numFmtId="166" fontId="5" fillId="0" borderId="24" xfId="0" applyNumberFormat="1" applyFont="1" applyBorder="1"/>
    <xf numFmtId="173" fontId="7" fillId="0" borderId="24" xfId="0" applyNumberFormat="1" applyFont="1" applyBorder="1" applyAlignment="1">
      <alignment horizontal="left"/>
    </xf>
    <xf numFmtId="173" fontId="7" fillId="0" borderId="24" xfId="0" applyNumberFormat="1" applyFont="1" applyBorder="1"/>
    <xf numFmtId="167" fontId="7" fillId="0" borderId="24" xfId="0" applyNumberFormat="1" applyFont="1" applyBorder="1" applyAlignment="1">
      <alignment horizontal="center"/>
    </xf>
    <xf numFmtId="167" fontId="16" fillId="0" borderId="24" xfId="0" applyNumberFormat="1" applyFont="1" applyBorder="1" applyAlignment="1">
      <alignment vertical="center"/>
    </xf>
    <xf numFmtId="9" fontId="16" fillId="0" borderId="24" xfId="0" applyNumberFormat="1" applyFont="1" applyBorder="1" applyAlignment="1">
      <alignment vertical="center"/>
    </xf>
    <xf numFmtId="2" fontId="16" fillId="0" borderId="24" xfId="0" applyNumberFormat="1" applyFont="1" applyBorder="1" applyAlignment="1">
      <alignment vertical="center"/>
    </xf>
    <xf numFmtId="166" fontId="11" fillId="0" borderId="24" xfId="0" applyNumberFormat="1" applyFont="1" applyBorder="1" applyAlignment="1">
      <alignment vertical="center"/>
    </xf>
    <xf numFmtId="0" fontId="11" fillId="0" borderId="24" xfId="0" applyFont="1" applyBorder="1" applyAlignment="1">
      <alignment vertical="center"/>
    </xf>
    <xf numFmtId="4" fontId="2" fillId="0" borderId="24" xfId="0" applyNumberFormat="1" applyFont="1" applyBorder="1" applyAlignment="1">
      <alignment vertical="center"/>
    </xf>
    <xf numFmtId="0" fontId="2" fillId="0" borderId="24" xfId="0" applyFont="1" applyBorder="1" applyAlignment="1">
      <alignment vertical="center"/>
    </xf>
    <xf numFmtId="167" fontId="7" fillId="0" borderId="24" xfId="0" applyNumberFormat="1" applyFont="1" applyBorder="1" applyAlignment="1">
      <alignment vertical="center"/>
    </xf>
    <xf numFmtId="9" fontId="5" fillId="0" borderId="24" xfId="6" applyFont="1" applyFill="1" applyBorder="1"/>
    <xf numFmtId="166" fontId="0" fillId="0" borderId="24" xfId="0" applyNumberFormat="1" applyBorder="1"/>
    <xf numFmtId="0" fontId="17" fillId="0" borderId="24" xfId="0" applyFont="1" applyBorder="1"/>
    <xf numFmtId="165" fontId="5" fillId="0" borderId="24" xfId="0" applyNumberFormat="1" applyFont="1" applyBorder="1"/>
    <xf numFmtId="165" fontId="5" fillId="0" borderId="24" xfId="0" applyNumberFormat="1" applyFont="1" applyBorder="1" applyAlignment="1">
      <alignment horizontal="left"/>
    </xf>
    <xf numFmtId="0" fontId="5" fillId="0" borderId="24" xfId="0" applyFont="1" applyBorder="1" applyAlignment="1">
      <alignment horizontal="left"/>
    </xf>
    <xf numFmtId="0" fontId="17" fillId="0" borderId="24" xfId="0" applyFont="1" applyBorder="1" applyAlignment="1">
      <alignment horizontal="left"/>
    </xf>
    <xf numFmtId="166" fontId="7" fillId="0" borderId="24" xfId="0" applyNumberFormat="1" applyFont="1" applyBorder="1" applyAlignment="1">
      <alignment horizontal="left" vertical="center"/>
    </xf>
    <xf numFmtId="0" fontId="3" fillId="0" borderId="24" xfId="0" applyFont="1" applyBorder="1" applyAlignment="1">
      <alignment vertical="center"/>
    </xf>
    <xf numFmtId="0" fontId="7" fillId="0" borderId="24" xfId="0" applyFont="1" applyBorder="1" applyAlignment="1">
      <alignment horizontal="left" vertical="center"/>
    </xf>
    <xf numFmtId="9" fontId="7" fillId="0" borderId="24" xfId="0" applyNumberFormat="1" applyFont="1" applyBorder="1" applyAlignment="1">
      <alignment horizontal="right" vertical="center"/>
    </xf>
    <xf numFmtId="167" fontId="7" fillId="0" borderId="24" xfId="0" applyNumberFormat="1" applyFont="1" applyBorder="1" applyAlignment="1">
      <alignment horizontal="left" vertical="center"/>
    </xf>
    <xf numFmtId="0" fontId="2" fillId="0" borderId="24" xfId="0" applyFont="1" applyBorder="1" applyAlignment="1">
      <alignment horizontal="left" vertical="center"/>
    </xf>
    <xf numFmtId="0" fontId="7" fillId="0" borderId="104" xfId="0" applyFont="1" applyBorder="1" applyAlignment="1">
      <alignment vertical="center"/>
    </xf>
    <xf numFmtId="0" fontId="7" fillId="0" borderId="105" xfId="0" applyFont="1" applyBorder="1" applyAlignment="1">
      <alignment vertical="center"/>
    </xf>
    <xf numFmtId="166" fontId="7" fillId="0" borderId="106" xfId="0" applyNumberFormat="1" applyFont="1" applyBorder="1" applyAlignment="1">
      <alignment vertical="center"/>
    </xf>
    <xf numFmtId="0" fontId="7" fillId="0" borderId="116" xfId="0" applyFont="1" applyBorder="1" applyAlignment="1">
      <alignment vertical="center"/>
    </xf>
    <xf numFmtId="166" fontId="7" fillId="0" borderId="117" xfId="0" applyNumberFormat="1" applyFont="1" applyBorder="1" applyAlignment="1">
      <alignment vertical="center"/>
    </xf>
    <xf numFmtId="0" fontId="7" fillId="0" borderId="108" xfId="0" applyFont="1" applyBorder="1" applyAlignment="1">
      <alignment vertical="center"/>
    </xf>
    <xf numFmtId="0" fontId="7" fillId="0" borderId="109" xfId="0" applyFont="1" applyBorder="1" applyAlignment="1">
      <alignment vertical="center"/>
    </xf>
    <xf numFmtId="166" fontId="7" fillId="0" borderId="110" xfId="0" applyNumberFormat="1" applyFont="1" applyBorder="1" applyAlignment="1">
      <alignment vertical="center"/>
    </xf>
    <xf numFmtId="166" fontId="8" fillId="2" borderId="115" xfId="0" applyNumberFormat="1" applyFont="1" applyFill="1" applyBorder="1" applyAlignment="1">
      <alignment vertical="center"/>
    </xf>
    <xf numFmtId="166" fontId="7" fillId="0" borderId="24" xfId="0" applyNumberFormat="1" applyFont="1" applyBorder="1" applyAlignment="1">
      <alignment horizontal="right" vertical="center"/>
    </xf>
    <xf numFmtId="0" fontId="36" fillId="0" borderId="24" xfId="0" applyFont="1" applyBorder="1" applyAlignment="1">
      <alignment vertical="center"/>
    </xf>
    <xf numFmtId="0" fontId="12" fillId="0" borderId="24" xfId="0" applyFont="1" applyBorder="1" applyAlignment="1">
      <alignment vertical="center"/>
    </xf>
    <xf numFmtId="170" fontId="7" fillId="0" borderId="24" xfId="0" applyNumberFormat="1" applyFont="1" applyBorder="1" applyAlignment="1">
      <alignment vertical="center"/>
    </xf>
    <xf numFmtId="169" fontId="7" fillId="0" borderId="24" xfId="0" applyNumberFormat="1" applyFont="1" applyBorder="1" applyAlignment="1">
      <alignment vertical="center"/>
    </xf>
    <xf numFmtId="0" fontId="100" fillId="0" borderId="24" xfId="0" applyFont="1" applyBorder="1"/>
    <xf numFmtId="167" fontId="19" fillId="0" borderId="0" xfId="0" applyNumberFormat="1" applyFont="1"/>
    <xf numFmtId="166" fontId="19" fillId="0" borderId="24" xfId="0" applyNumberFormat="1" applyFont="1" applyBorder="1" applyAlignment="1">
      <alignment vertical="center"/>
    </xf>
    <xf numFmtId="166" fontId="8" fillId="4" borderId="56" xfId="0" applyNumberFormat="1" applyFont="1" applyFill="1" applyBorder="1" applyAlignment="1">
      <alignment vertical="center"/>
    </xf>
    <xf numFmtId="0" fontId="4" fillId="37" borderId="108" xfId="0" applyFont="1" applyFill="1" applyBorder="1" applyAlignment="1">
      <alignment vertical="center"/>
    </xf>
    <xf numFmtId="0" fontId="4" fillId="37" borderId="109" xfId="0" applyFont="1" applyFill="1" applyBorder="1" applyAlignment="1">
      <alignment vertical="center"/>
    </xf>
    <xf numFmtId="166" fontId="4" fillId="37" borderId="111" xfId="0" applyNumberFormat="1" applyFont="1" applyFill="1" applyBorder="1" applyAlignment="1">
      <alignment vertical="center"/>
    </xf>
    <xf numFmtId="0" fontId="8" fillId="41" borderId="113" xfId="0" applyFont="1" applyFill="1" applyBorder="1" applyAlignment="1">
      <alignment horizontal="center" vertical="center"/>
    </xf>
    <xf numFmtId="0" fontId="8" fillId="41" borderId="112" xfId="0" applyFont="1" applyFill="1" applyBorder="1" applyAlignment="1">
      <alignment vertical="center"/>
    </xf>
    <xf numFmtId="166" fontId="8" fillId="41" borderId="114" xfId="0" applyNumberFormat="1" applyFont="1" applyFill="1" applyBorder="1" applyAlignment="1">
      <alignment vertical="center"/>
    </xf>
    <xf numFmtId="0" fontId="13" fillId="0" borderId="0" xfId="0" applyFont="1" applyAlignment="1">
      <alignment horizontal="left" vertical="center"/>
    </xf>
    <xf numFmtId="0" fontId="0" fillId="0" borderId="0" xfId="0" applyAlignment="1">
      <alignment horizontal="left"/>
    </xf>
    <xf numFmtId="0" fontId="7" fillId="0" borderId="24" xfId="7" applyFont="1" applyAlignment="1">
      <alignment horizontal="left"/>
    </xf>
    <xf numFmtId="49" fontId="9" fillId="0" borderId="0" xfId="0" applyNumberFormat="1" applyFont="1" applyAlignment="1">
      <alignment horizontal="left" vertical="center"/>
    </xf>
    <xf numFmtId="49" fontId="7" fillId="0" borderId="0" xfId="0" applyNumberFormat="1" applyFont="1" applyAlignment="1">
      <alignment horizontal="left" vertical="center"/>
    </xf>
    <xf numFmtId="49" fontId="7" fillId="0" borderId="0" xfId="0" applyNumberFormat="1" applyFont="1" applyAlignment="1">
      <alignment vertical="center"/>
    </xf>
    <xf numFmtId="49" fontId="7" fillId="0" borderId="0" xfId="0" applyNumberFormat="1" applyFont="1" applyAlignment="1">
      <alignment horizontal="left"/>
    </xf>
    <xf numFmtId="49" fontId="9" fillId="0" borderId="0" xfId="0" applyNumberFormat="1" applyFont="1" applyAlignment="1">
      <alignment horizontal="left"/>
    </xf>
    <xf numFmtId="49" fontId="11" fillId="0" borderId="0" xfId="0" applyNumberFormat="1" applyFont="1" applyAlignment="1">
      <alignment horizontal="left" vertical="center"/>
    </xf>
    <xf numFmtId="49" fontId="16" fillId="0" borderId="0" xfId="0" applyNumberFormat="1" applyFont="1" applyAlignment="1">
      <alignment horizontal="left" vertical="center"/>
    </xf>
    <xf numFmtId="49" fontId="16" fillId="0" borderId="0" xfId="0" applyNumberFormat="1" applyFont="1" applyAlignment="1">
      <alignment vertical="center"/>
    </xf>
    <xf numFmtId="49" fontId="0" fillId="0" borderId="0" xfId="0" applyNumberFormat="1"/>
    <xf numFmtId="0" fontId="74" fillId="0" borderId="0" xfId="0" applyFont="1" applyAlignment="1">
      <alignment horizontal="left" vertical="center"/>
    </xf>
    <xf numFmtId="0" fontId="7" fillId="0" borderId="20" xfId="0" applyFont="1" applyBorder="1" applyAlignment="1">
      <alignment horizontal="left" vertical="center"/>
    </xf>
    <xf numFmtId="0" fontId="4" fillId="2" borderId="104" xfId="0" applyFont="1" applyFill="1" applyBorder="1" applyAlignment="1">
      <alignment vertical="center"/>
    </xf>
    <xf numFmtId="0" fontId="4" fillId="2" borderId="108" xfId="0" applyFont="1" applyFill="1" applyBorder="1" applyAlignment="1">
      <alignment vertical="center"/>
    </xf>
    <xf numFmtId="0" fontId="4" fillId="2" borderId="109" xfId="0" applyFont="1" applyFill="1" applyBorder="1" applyAlignment="1">
      <alignment vertical="center"/>
    </xf>
    <xf numFmtId="0" fontId="16" fillId="0" borderId="105" xfId="0" applyFont="1" applyBorder="1"/>
    <xf numFmtId="166" fontId="16" fillId="0" borderId="106" xfId="0" applyNumberFormat="1" applyFont="1" applyBorder="1"/>
    <xf numFmtId="166" fontId="16" fillId="0" borderId="117" xfId="0" applyNumberFormat="1" applyFont="1" applyBorder="1"/>
    <xf numFmtId="0" fontId="16" fillId="0" borderId="108" xfId="0" applyFont="1" applyBorder="1" applyAlignment="1">
      <alignment vertical="center"/>
    </xf>
    <xf numFmtId="0" fontId="16" fillId="0" borderId="109" xfId="0" applyFont="1" applyBorder="1"/>
    <xf numFmtId="166" fontId="16" fillId="0" borderId="110" xfId="0" applyNumberFormat="1" applyFont="1" applyBorder="1"/>
    <xf numFmtId="165" fontId="7" fillId="0" borderId="24" xfId="0" applyNumberFormat="1" applyFont="1" applyBorder="1" applyAlignment="1">
      <alignment vertical="center"/>
    </xf>
    <xf numFmtId="0" fontId="7" fillId="0" borderId="117" xfId="0" applyFont="1" applyBorder="1" applyAlignment="1">
      <alignment vertical="center"/>
    </xf>
    <xf numFmtId="0" fontId="4" fillId="54" borderId="104" xfId="0" applyFont="1" applyFill="1" applyBorder="1" applyAlignment="1">
      <alignment vertical="top" wrapText="1"/>
    </xf>
    <xf numFmtId="0" fontId="103" fillId="55" borderId="105" xfId="0" applyFont="1" applyFill="1" applyBorder="1"/>
    <xf numFmtId="0" fontId="103" fillId="55" borderId="108" xfId="0" applyFont="1" applyFill="1" applyBorder="1"/>
    <xf numFmtId="0" fontId="103" fillId="55" borderId="109" xfId="0" applyFont="1" applyFill="1" applyBorder="1"/>
    <xf numFmtId="0" fontId="4" fillId="2" borderId="108" xfId="0" applyFont="1" applyFill="1" applyBorder="1" applyAlignment="1">
      <alignment horizontal="left" vertical="center" wrapText="1"/>
    </xf>
    <xf numFmtId="0" fontId="9" fillId="0" borderId="24" xfId="0" applyFont="1" applyBorder="1" applyAlignment="1">
      <alignment vertical="center"/>
    </xf>
    <xf numFmtId="0" fontId="0" fillId="0" borderId="117" xfId="0" applyBorder="1"/>
    <xf numFmtId="0" fontId="4" fillId="2" borderId="110" xfId="0" applyFont="1" applyFill="1" applyBorder="1" applyAlignment="1">
      <alignment horizontal="left" vertical="center" wrapText="1"/>
    </xf>
    <xf numFmtId="166" fontId="8" fillId="2" borderId="124" xfId="0" applyNumberFormat="1" applyFont="1" applyFill="1" applyBorder="1" applyAlignment="1">
      <alignment vertical="center"/>
    </xf>
    <xf numFmtId="0" fontId="8" fillId="2" borderId="112" xfId="0" applyFont="1" applyFill="1" applyBorder="1" applyAlignment="1">
      <alignment vertical="center"/>
    </xf>
    <xf numFmtId="0" fontId="8" fillId="2" borderId="113" xfId="0" applyFont="1" applyFill="1" applyBorder="1" applyAlignment="1">
      <alignment vertical="center"/>
    </xf>
    <xf numFmtId="166" fontId="48" fillId="19" borderId="115" xfId="0" applyNumberFormat="1" applyFont="1" applyFill="1" applyBorder="1" applyAlignment="1">
      <alignment horizontal="right"/>
    </xf>
    <xf numFmtId="0" fontId="48" fillId="2" borderId="112" xfId="0" applyFont="1" applyFill="1" applyBorder="1" applyAlignment="1">
      <alignment vertical="center"/>
    </xf>
    <xf numFmtId="0" fontId="48" fillId="2" borderId="113" xfId="0" applyFont="1" applyFill="1" applyBorder="1" applyAlignment="1">
      <alignment vertical="center"/>
    </xf>
    <xf numFmtId="0" fontId="16" fillId="0" borderId="125" xfId="0" applyFont="1" applyBorder="1" applyAlignment="1">
      <alignment vertical="center"/>
    </xf>
    <xf numFmtId="0" fontId="16" fillId="0" borderId="120" xfId="0" applyFont="1" applyBorder="1" applyAlignment="1">
      <alignment vertical="center"/>
    </xf>
    <xf numFmtId="0" fontId="8" fillId="2" borderId="122" xfId="7" applyFont="1" applyFill="1" applyBorder="1" applyAlignment="1">
      <alignment vertical="center"/>
    </xf>
    <xf numFmtId="0" fontId="21" fillId="2" borderId="123" xfId="7" applyFont="1" applyFill="1" applyBorder="1" applyAlignment="1">
      <alignment vertical="center"/>
    </xf>
    <xf numFmtId="165" fontId="17" fillId="0" borderId="0" xfId="1" applyFont="1" applyFill="1" applyAlignment="1">
      <alignment vertical="center"/>
    </xf>
    <xf numFmtId="0" fontId="8" fillId="2" borderId="113" xfId="0" applyFont="1" applyFill="1" applyBorder="1" applyAlignment="1">
      <alignment horizontal="center"/>
    </xf>
    <xf numFmtId="0" fontId="7" fillId="0" borderId="125" xfId="0" applyFont="1" applyBorder="1"/>
    <xf numFmtId="0" fontId="7" fillId="0" borderId="22" xfId="0" applyFont="1" applyBorder="1"/>
    <xf numFmtId="166" fontId="7" fillId="0" borderId="126" xfId="0" applyNumberFormat="1" applyFont="1" applyBorder="1"/>
    <xf numFmtId="0" fontId="7" fillId="0" borderId="116" xfId="0" applyFont="1" applyBorder="1"/>
    <xf numFmtId="166" fontId="7" fillId="0" borderId="117" xfId="0" applyNumberFormat="1" applyFont="1" applyBorder="1"/>
    <xf numFmtId="166" fontId="7" fillId="0" borderId="121" xfId="0" applyNumberFormat="1" applyFont="1" applyBorder="1"/>
    <xf numFmtId="0" fontId="4" fillId="2" borderId="121" xfId="0" applyFont="1" applyFill="1" applyBorder="1" applyAlignment="1">
      <alignment vertical="center"/>
    </xf>
    <xf numFmtId="166" fontId="7" fillId="0" borderId="121" xfId="0" applyNumberFormat="1" applyFont="1" applyBorder="1" applyAlignment="1">
      <alignment vertical="center"/>
    </xf>
    <xf numFmtId="166" fontId="8" fillId="2" borderId="110" xfId="0" applyNumberFormat="1" applyFont="1" applyFill="1" applyBorder="1" applyAlignment="1">
      <alignment vertical="center"/>
    </xf>
    <xf numFmtId="0" fontId="4" fillId="2" borderId="23" xfId="0" applyFont="1" applyFill="1" applyBorder="1" applyAlignment="1">
      <alignment horizontal="left" vertical="center"/>
    </xf>
    <xf numFmtId="0" fontId="4" fillId="2" borderId="104" xfId="0" applyFont="1" applyFill="1" applyBorder="1" applyAlignment="1">
      <alignment horizontal="left" vertical="center"/>
    </xf>
    <xf numFmtId="0" fontId="4" fillId="2" borderId="105" xfId="0" applyFont="1" applyFill="1" applyBorder="1" applyAlignment="1">
      <alignment horizontal="left" vertical="center"/>
    </xf>
    <xf numFmtId="0" fontId="100" fillId="0" borderId="24" xfId="0" applyFont="1" applyBorder="1" applyAlignment="1">
      <alignment horizontal="center"/>
    </xf>
    <xf numFmtId="166" fontId="100" fillId="0" borderId="24" xfId="0" applyNumberFormat="1" applyFont="1" applyBorder="1"/>
    <xf numFmtId="0" fontId="2" fillId="0" borderId="24" xfId="0" applyFont="1" applyBorder="1"/>
    <xf numFmtId="166" fontId="101" fillId="0" borderId="24" xfId="0" applyNumberFormat="1" applyFont="1" applyBorder="1"/>
    <xf numFmtId="0" fontId="4" fillId="36" borderId="18" xfId="0" applyFont="1" applyFill="1" applyBorder="1" applyAlignment="1">
      <alignment vertical="center"/>
    </xf>
    <xf numFmtId="0" fontId="4" fillId="36" borderId="22" xfId="0" applyFont="1" applyFill="1" applyBorder="1" applyAlignment="1">
      <alignment vertical="center"/>
    </xf>
    <xf numFmtId="0" fontId="4" fillId="36" borderId="31" xfId="0" applyFont="1" applyFill="1" applyBorder="1" applyAlignment="1">
      <alignment vertical="center"/>
    </xf>
    <xf numFmtId="0" fontId="4" fillId="36" borderId="23" xfId="0" applyFont="1" applyFill="1" applyBorder="1" applyAlignment="1">
      <alignment vertical="center"/>
    </xf>
    <xf numFmtId="0" fontId="4" fillId="36" borderId="24" xfId="0" applyFont="1" applyFill="1" applyBorder="1" applyAlignment="1">
      <alignment vertical="center"/>
    </xf>
    <xf numFmtId="0" fontId="4" fillId="36" borderId="24" xfId="0" applyFont="1" applyFill="1" applyBorder="1" applyAlignment="1">
      <alignment horizontal="right" vertical="center"/>
    </xf>
    <xf numFmtId="0" fontId="4" fillId="36" borderId="104" xfId="0" applyFont="1" applyFill="1" applyBorder="1" applyAlignment="1">
      <alignment vertical="center"/>
    </xf>
    <xf numFmtId="0" fontId="4" fillId="36" borderId="106" xfId="0" applyFont="1" applyFill="1" applyBorder="1" applyAlignment="1">
      <alignment vertical="center"/>
    </xf>
    <xf numFmtId="0" fontId="4" fillId="36" borderId="108" xfId="0" applyFont="1" applyFill="1" applyBorder="1" applyAlignment="1">
      <alignment vertical="center"/>
    </xf>
    <xf numFmtId="0" fontId="4" fillId="36" borderId="116" xfId="0" applyFont="1" applyFill="1" applyBorder="1" applyAlignment="1">
      <alignment vertical="center"/>
    </xf>
    <xf numFmtId="0" fontId="4" fillId="36" borderId="117" xfId="0" applyFont="1" applyFill="1" applyBorder="1" applyAlignment="1">
      <alignment horizontal="right" vertical="center"/>
    </xf>
    <xf numFmtId="0" fontId="4" fillId="36" borderId="36" xfId="0" applyFont="1" applyFill="1" applyBorder="1" applyAlignment="1">
      <alignment vertical="center"/>
    </xf>
    <xf numFmtId="0" fontId="7" fillId="0" borderId="125" xfId="0" applyFont="1" applyBorder="1" applyAlignment="1">
      <alignment vertical="center"/>
    </xf>
    <xf numFmtId="165" fontId="7" fillId="0" borderId="22" xfId="0" applyNumberFormat="1" applyFont="1" applyBorder="1" applyAlignment="1">
      <alignment vertical="center"/>
    </xf>
    <xf numFmtId="166" fontId="7" fillId="0" borderId="126" xfId="0" applyNumberFormat="1" applyFont="1" applyBorder="1" applyAlignment="1">
      <alignment vertical="center"/>
    </xf>
    <xf numFmtId="0" fontId="7" fillId="0" borderId="120" xfId="0" applyFont="1" applyBorder="1" applyAlignment="1">
      <alignment vertical="center"/>
    </xf>
    <xf numFmtId="0" fontId="8" fillId="36" borderId="108" xfId="0" applyFont="1" applyFill="1" applyBorder="1" applyAlignment="1">
      <alignment vertical="center"/>
    </xf>
    <xf numFmtId="165" fontId="9" fillId="36" borderId="109" xfId="0" applyNumberFormat="1" applyFont="1" applyFill="1" applyBorder="1" applyAlignment="1">
      <alignment vertical="center"/>
    </xf>
    <xf numFmtId="166" fontId="8" fillId="36" borderId="110" xfId="0" applyNumberFormat="1" applyFont="1" applyFill="1" applyBorder="1" applyAlignment="1">
      <alignment vertical="center"/>
    </xf>
    <xf numFmtId="0" fontId="4" fillId="36" borderId="107" xfId="0" applyFont="1" applyFill="1" applyBorder="1" applyAlignment="1">
      <alignment vertical="center"/>
    </xf>
    <xf numFmtId="49" fontId="4" fillId="36" borderId="111" xfId="0" applyNumberFormat="1" applyFont="1" applyFill="1" applyBorder="1" applyAlignment="1">
      <alignment vertical="center"/>
    </xf>
    <xf numFmtId="0" fontId="4" fillId="36" borderId="19" xfId="0" applyFont="1" applyFill="1" applyBorder="1" applyAlignment="1">
      <alignment vertical="center"/>
    </xf>
    <xf numFmtId="0" fontId="8" fillId="36" borderId="122" xfId="0" applyFont="1" applyFill="1" applyBorder="1"/>
    <xf numFmtId="0" fontId="8" fillId="36" borderId="123" xfId="0" applyFont="1" applyFill="1" applyBorder="1"/>
    <xf numFmtId="166" fontId="8" fillId="36" borderId="128" xfId="0" applyNumberFormat="1" applyFont="1" applyFill="1" applyBorder="1"/>
    <xf numFmtId="0" fontId="4" fillId="36" borderId="105" xfId="0" applyFont="1" applyFill="1" applyBorder="1" applyAlignment="1">
      <alignment vertical="center"/>
    </xf>
    <xf numFmtId="166" fontId="4" fillId="36" borderId="109" xfId="0" applyNumberFormat="1" applyFont="1" applyFill="1" applyBorder="1" applyAlignment="1">
      <alignment horizontal="right" vertical="center"/>
    </xf>
    <xf numFmtId="0" fontId="7" fillId="0" borderId="22" xfId="0" applyFont="1" applyBorder="1" applyAlignment="1">
      <alignment vertical="center"/>
    </xf>
    <xf numFmtId="0" fontId="8" fillId="36" borderId="109" xfId="0" applyFont="1" applyFill="1" applyBorder="1" applyAlignment="1">
      <alignment vertical="center"/>
    </xf>
    <xf numFmtId="49" fontId="4" fillId="36" borderId="119" xfId="0" applyNumberFormat="1" applyFont="1" applyFill="1" applyBorder="1" applyAlignment="1">
      <alignment horizontal="right" vertical="center"/>
    </xf>
    <xf numFmtId="0" fontId="4" fillId="36" borderId="111" xfId="0" applyFont="1" applyFill="1" applyBorder="1" applyAlignment="1">
      <alignment vertical="center"/>
    </xf>
    <xf numFmtId="0" fontId="4" fillId="36" borderId="119" xfId="0" applyFont="1" applyFill="1" applyBorder="1" applyAlignment="1">
      <alignment vertical="center"/>
    </xf>
    <xf numFmtId="0" fontId="8" fillId="36" borderId="122" xfId="0" applyFont="1" applyFill="1" applyBorder="1" applyAlignment="1">
      <alignment vertical="center"/>
    </xf>
    <xf numFmtId="0" fontId="8" fillId="36" borderId="123" xfId="0" applyFont="1" applyFill="1" applyBorder="1" applyAlignment="1">
      <alignment vertical="center"/>
    </xf>
    <xf numFmtId="166" fontId="8" fillId="36" borderId="115" xfId="0" applyNumberFormat="1" applyFont="1" applyFill="1" applyBorder="1" applyAlignment="1">
      <alignment vertical="center"/>
    </xf>
    <xf numFmtId="166" fontId="8" fillId="36" borderId="128" xfId="0" applyNumberFormat="1" applyFont="1" applyFill="1" applyBorder="1" applyAlignment="1">
      <alignment vertical="center"/>
    </xf>
    <xf numFmtId="49" fontId="4" fillId="36" borderId="107" xfId="0" applyNumberFormat="1" applyFont="1" applyFill="1" applyBorder="1" applyAlignment="1">
      <alignment horizontal="right" vertical="center"/>
    </xf>
    <xf numFmtId="49" fontId="4" fillId="36" borderId="111" xfId="0" applyNumberFormat="1" applyFont="1" applyFill="1" applyBorder="1" applyAlignment="1">
      <alignment horizontal="right" vertical="center"/>
    </xf>
    <xf numFmtId="0" fontId="4" fillId="36" borderId="120" xfId="0" applyFont="1" applyFill="1" applyBorder="1" applyAlignment="1">
      <alignment vertical="center"/>
    </xf>
    <xf numFmtId="0" fontId="4" fillId="36" borderId="109" xfId="0" applyFont="1" applyFill="1" applyBorder="1" applyAlignment="1">
      <alignment vertical="center"/>
    </xf>
    <xf numFmtId="0" fontId="7" fillId="0" borderId="120" xfId="0" applyFont="1" applyBorder="1"/>
    <xf numFmtId="0" fontId="7" fillId="0" borderId="23" xfId="0" applyFont="1" applyBorder="1"/>
    <xf numFmtId="0" fontId="4" fillId="36" borderId="111" xfId="0" applyFont="1" applyFill="1" applyBorder="1" applyAlignment="1">
      <alignment horizontal="right" vertical="center"/>
    </xf>
    <xf numFmtId="0" fontId="4" fillId="2" borderId="106" xfId="0" applyFont="1" applyFill="1" applyBorder="1" applyAlignment="1">
      <alignment vertical="center"/>
    </xf>
    <xf numFmtId="0" fontId="4" fillId="2" borderId="110" xfId="0" applyFont="1" applyFill="1" applyBorder="1" applyAlignment="1">
      <alignment vertical="center"/>
    </xf>
    <xf numFmtId="0" fontId="4" fillId="2" borderId="23" xfId="0" applyFont="1" applyFill="1" applyBorder="1" applyAlignment="1">
      <alignment horizontal="center"/>
    </xf>
    <xf numFmtId="166" fontId="8" fillId="2" borderId="115" xfId="0" applyNumberFormat="1" applyFont="1" applyFill="1" applyBorder="1"/>
    <xf numFmtId="49" fontId="4" fillId="2" borderId="106" xfId="0" applyNumberFormat="1" applyFont="1" applyFill="1" applyBorder="1" applyAlignment="1">
      <alignment horizontal="right" vertical="center"/>
    </xf>
    <xf numFmtId="0" fontId="8" fillId="2" borderId="122" xfId="0" applyFont="1" applyFill="1" applyBorder="1"/>
    <xf numFmtId="0" fontId="8" fillId="2" borderId="123" xfId="0" applyFont="1" applyFill="1" applyBorder="1"/>
    <xf numFmtId="166" fontId="8" fillId="2" borderId="128" xfId="0" applyNumberFormat="1" applyFont="1" applyFill="1" applyBorder="1" applyAlignment="1">
      <alignment horizontal="right"/>
    </xf>
    <xf numFmtId="49" fontId="4" fillId="2" borderId="132" xfId="0" applyNumberFormat="1" applyFont="1" applyFill="1" applyBorder="1" applyAlignment="1">
      <alignment horizontal="right" vertical="center"/>
    </xf>
    <xf numFmtId="166" fontId="4" fillId="2" borderId="134" xfId="0" applyNumberFormat="1" applyFont="1" applyFill="1" applyBorder="1" applyAlignment="1">
      <alignment vertical="center"/>
    </xf>
    <xf numFmtId="0" fontId="4" fillId="2" borderId="120" xfId="0" applyFont="1" applyFill="1" applyBorder="1"/>
    <xf numFmtId="166" fontId="4" fillId="2" borderId="134" xfId="0" applyNumberFormat="1" applyFont="1" applyFill="1" applyBorder="1" applyAlignment="1">
      <alignment horizontal="center" vertical="center"/>
    </xf>
    <xf numFmtId="166" fontId="8" fillId="2" borderId="128" xfId="0" applyNumberFormat="1" applyFont="1" applyFill="1" applyBorder="1"/>
    <xf numFmtId="0" fontId="4" fillId="2" borderId="120" xfId="0" applyFont="1" applyFill="1" applyBorder="1" applyAlignment="1">
      <alignment wrapText="1"/>
    </xf>
    <xf numFmtId="0" fontId="4" fillId="2" borderId="9" xfId="0" applyFont="1" applyFill="1" applyBorder="1" applyAlignment="1">
      <alignment horizontal="center" wrapText="1"/>
    </xf>
    <xf numFmtId="0" fontId="4" fillId="2" borderId="120" xfId="0" applyFont="1" applyFill="1" applyBorder="1" applyAlignment="1">
      <alignment vertical="center"/>
    </xf>
    <xf numFmtId="49" fontId="4" fillId="2" borderId="134" xfId="0" applyNumberFormat="1" applyFont="1" applyFill="1" applyBorder="1" applyAlignment="1">
      <alignment vertical="center"/>
    </xf>
    <xf numFmtId="0" fontId="4" fillId="2" borderId="121" xfId="0" applyFont="1" applyFill="1" applyBorder="1" applyAlignment="1">
      <alignment vertical="center" wrapText="1"/>
    </xf>
    <xf numFmtId="0" fontId="8" fillId="2" borderId="122" xfId="0" applyFont="1" applyFill="1" applyBorder="1" applyAlignment="1">
      <alignment vertical="center"/>
    </xf>
    <xf numFmtId="165" fontId="8" fillId="2" borderId="123" xfId="0" applyNumberFormat="1" applyFont="1" applyFill="1" applyBorder="1" applyAlignment="1">
      <alignment vertical="center"/>
    </xf>
    <xf numFmtId="166" fontId="8" fillId="2" borderId="128" xfId="0" applyNumberFormat="1" applyFont="1" applyFill="1" applyBorder="1" applyAlignment="1">
      <alignment vertical="center"/>
    </xf>
    <xf numFmtId="0" fontId="4" fillId="2" borderId="107" xfId="0" applyFont="1" applyFill="1" applyBorder="1" applyAlignment="1">
      <alignment vertical="center"/>
    </xf>
    <xf numFmtId="0" fontId="4" fillId="2" borderId="111" xfId="0" applyFont="1" applyFill="1" applyBorder="1" applyAlignment="1">
      <alignment vertical="center" wrapText="1"/>
    </xf>
    <xf numFmtId="0" fontId="4" fillId="2" borderId="111" xfId="0" applyFont="1" applyFill="1" applyBorder="1" applyAlignment="1">
      <alignment vertical="top" wrapText="1"/>
    </xf>
    <xf numFmtId="49" fontId="4" fillId="54" borderId="107" xfId="0" applyNumberFormat="1" applyFont="1" applyFill="1" applyBorder="1" applyAlignment="1">
      <alignment horizontal="right" vertical="center"/>
    </xf>
    <xf numFmtId="0" fontId="10" fillId="55" borderId="111" xfId="0" applyFont="1" applyFill="1" applyBorder="1" applyAlignment="1">
      <alignment horizontal="right"/>
    </xf>
    <xf numFmtId="49" fontId="4" fillId="2" borderId="107" xfId="0" applyNumberFormat="1" applyFont="1" applyFill="1" applyBorder="1" applyAlignment="1">
      <alignment horizontal="right" vertical="center"/>
    </xf>
    <xf numFmtId="166" fontId="4" fillId="2" borderId="111" xfId="0" applyNumberFormat="1" applyFont="1" applyFill="1" applyBorder="1" applyAlignment="1">
      <alignment vertical="center"/>
    </xf>
    <xf numFmtId="166" fontId="4" fillId="2" borderId="111" xfId="0" applyNumberFormat="1" applyFont="1" applyFill="1" applyBorder="1" applyAlignment="1">
      <alignment horizontal="right" vertical="center"/>
    </xf>
    <xf numFmtId="0" fontId="4" fillId="2" borderId="107" xfId="0" applyFont="1" applyFill="1" applyBorder="1" applyAlignment="1">
      <alignment horizontal="right" vertical="center"/>
    </xf>
    <xf numFmtId="165" fontId="7" fillId="0" borderId="126" xfId="0" applyNumberFormat="1" applyFont="1" applyBorder="1" applyAlignment="1">
      <alignment vertical="center"/>
    </xf>
    <xf numFmtId="165" fontId="7" fillId="0" borderId="117" xfId="0" applyNumberFormat="1" applyFont="1" applyBorder="1" applyAlignment="1">
      <alignment vertical="center"/>
    </xf>
    <xf numFmtId="165" fontId="7" fillId="0" borderId="121" xfId="0" applyNumberFormat="1" applyFont="1" applyBorder="1" applyAlignment="1">
      <alignment vertical="center"/>
    </xf>
    <xf numFmtId="0" fontId="8" fillId="2" borderId="123" xfId="0" applyFont="1" applyFill="1" applyBorder="1" applyAlignment="1">
      <alignment vertical="center"/>
    </xf>
    <xf numFmtId="0" fontId="4" fillId="2" borderId="121" xfId="0" applyFont="1" applyFill="1" applyBorder="1" applyAlignment="1">
      <alignment vertical="top" wrapText="1"/>
    </xf>
    <xf numFmtId="166" fontId="7" fillId="0" borderId="19" xfId="0" applyNumberFormat="1" applyFont="1" applyBorder="1" applyAlignment="1">
      <alignment vertical="center"/>
    </xf>
    <xf numFmtId="166" fontId="9" fillId="0" borderId="117" xfId="0" applyNumberFormat="1" applyFont="1" applyBorder="1" applyAlignment="1">
      <alignment vertical="center"/>
    </xf>
    <xf numFmtId="0" fontId="8" fillId="2" borderId="108" xfId="0" applyFont="1" applyFill="1" applyBorder="1" applyAlignment="1">
      <alignment vertical="center"/>
    </xf>
    <xf numFmtId="166" fontId="8" fillId="2" borderId="109" xfId="0" applyNumberFormat="1" applyFont="1" applyFill="1" applyBorder="1" applyAlignment="1">
      <alignment vertical="center"/>
    </xf>
    <xf numFmtId="165" fontId="16" fillId="0" borderId="126" xfId="0" applyNumberFormat="1" applyFont="1" applyBorder="1" applyAlignment="1">
      <alignment vertical="center"/>
    </xf>
    <xf numFmtId="165" fontId="16" fillId="0" borderId="117" xfId="0" applyNumberFormat="1" applyFont="1" applyBorder="1" applyAlignment="1">
      <alignment vertical="center"/>
    </xf>
    <xf numFmtId="165" fontId="16" fillId="0" borderId="121" xfId="0" applyNumberFormat="1" applyFont="1" applyBorder="1" applyAlignment="1">
      <alignment vertical="center"/>
    </xf>
    <xf numFmtId="0" fontId="21" fillId="2" borderId="109" xfId="0" applyFont="1" applyFill="1" applyBorder="1" applyAlignment="1">
      <alignment vertical="center"/>
    </xf>
    <xf numFmtId="0" fontId="10" fillId="55" borderId="121" xfId="0" applyFont="1" applyFill="1" applyBorder="1"/>
    <xf numFmtId="0" fontId="21" fillId="2" borderId="123" xfId="0" applyFont="1" applyFill="1" applyBorder="1" applyAlignment="1">
      <alignment vertical="center"/>
    </xf>
    <xf numFmtId="0" fontId="10" fillId="55" borderId="111" xfId="0" applyFont="1" applyFill="1" applyBorder="1"/>
    <xf numFmtId="166" fontId="8" fillId="2" borderId="115" xfId="7" applyNumberFormat="1" applyFont="1" applyFill="1" applyBorder="1" applyAlignment="1">
      <alignment horizontal="center" vertical="center"/>
    </xf>
    <xf numFmtId="0" fontId="103" fillId="55" borderId="121" xfId="0" applyFont="1" applyFill="1" applyBorder="1"/>
    <xf numFmtId="166" fontId="16" fillId="0" borderId="117" xfId="7" applyNumberFormat="1" applyFont="1" applyBorder="1" applyAlignment="1">
      <alignment vertical="center"/>
    </xf>
    <xf numFmtId="0" fontId="4" fillId="2" borderId="106" xfId="7" applyFont="1" applyFill="1" applyBorder="1" applyAlignment="1">
      <alignment vertical="center"/>
    </xf>
    <xf numFmtId="0" fontId="4" fillId="2" borderId="121" xfId="7" applyFont="1" applyFill="1" applyBorder="1" applyAlignment="1">
      <alignment vertical="center" wrapText="1"/>
    </xf>
    <xf numFmtId="0" fontId="16" fillId="0" borderId="116" xfId="7" applyFont="1" applyBorder="1" applyAlignment="1">
      <alignment vertical="center"/>
    </xf>
    <xf numFmtId="166" fontId="16" fillId="0" borderId="121" xfId="7" applyNumberFormat="1" applyFont="1" applyBorder="1" applyAlignment="1">
      <alignment vertical="center"/>
    </xf>
    <xf numFmtId="166" fontId="8" fillId="2" borderId="124" xfId="7" applyNumberFormat="1" applyFont="1" applyFill="1" applyBorder="1" applyAlignment="1">
      <alignment vertical="center"/>
    </xf>
    <xf numFmtId="166" fontId="8" fillId="2" borderId="115" xfId="7" applyNumberFormat="1" applyFont="1" applyFill="1" applyBorder="1" applyAlignment="1">
      <alignment vertical="center"/>
    </xf>
    <xf numFmtId="0" fontId="4" fillId="2" borderId="107" xfId="7" applyFont="1" applyFill="1" applyBorder="1" applyAlignment="1">
      <alignment vertical="center"/>
    </xf>
    <xf numFmtId="0" fontId="4" fillId="2" borderId="111" xfId="7" applyFont="1" applyFill="1" applyBorder="1" applyAlignment="1">
      <alignment vertical="center" wrapText="1"/>
    </xf>
    <xf numFmtId="0" fontId="4" fillId="2" borderId="111" xfId="0" applyFont="1" applyFill="1" applyBorder="1" applyAlignment="1">
      <alignment vertical="center"/>
    </xf>
    <xf numFmtId="0" fontId="4" fillId="2" borderId="120" xfId="0" applyFont="1" applyFill="1" applyBorder="1" applyAlignment="1">
      <alignment horizontal="left" vertical="center"/>
    </xf>
    <xf numFmtId="0" fontId="4" fillId="37" borderId="107" xfId="0" applyFont="1" applyFill="1" applyBorder="1" applyAlignment="1">
      <alignment vertical="center"/>
    </xf>
    <xf numFmtId="0" fontId="4" fillId="37" borderId="111" xfId="0" applyFont="1" applyFill="1" applyBorder="1" applyAlignment="1">
      <alignment vertical="center" wrapText="1"/>
    </xf>
    <xf numFmtId="0" fontId="76" fillId="0" borderId="24" xfId="0" applyFont="1" applyBorder="1" applyAlignment="1">
      <alignment vertical="center"/>
    </xf>
    <xf numFmtId="0" fontId="11" fillId="0" borderId="7" xfId="0" applyFont="1" applyBorder="1" applyAlignment="1">
      <alignment vertical="center"/>
    </xf>
    <xf numFmtId="166" fontId="11" fillId="0" borderId="23" xfId="0" applyNumberFormat="1" applyFont="1" applyBorder="1" applyAlignment="1">
      <alignment vertical="center"/>
    </xf>
    <xf numFmtId="166" fontId="16" fillId="0" borderId="121" xfId="0" applyNumberFormat="1" applyFont="1" applyBorder="1" applyAlignment="1">
      <alignment vertical="center"/>
    </xf>
    <xf numFmtId="166" fontId="8" fillId="2" borderId="115" xfId="0" applyNumberFormat="1" applyFont="1" applyFill="1" applyBorder="1" applyAlignment="1">
      <alignment horizontal="center" vertical="center"/>
    </xf>
    <xf numFmtId="0" fontId="16" fillId="0" borderId="22" xfId="0" applyFont="1" applyBorder="1" applyAlignment="1">
      <alignment vertical="center"/>
    </xf>
    <xf numFmtId="166" fontId="4" fillId="2" borderId="132" xfId="0" applyNumberFormat="1" applyFont="1" applyFill="1" applyBorder="1" applyAlignment="1">
      <alignment horizontal="right" vertical="center"/>
    </xf>
    <xf numFmtId="166" fontId="8" fillId="2" borderId="128" xfId="0" applyNumberFormat="1" applyFont="1" applyFill="1" applyBorder="1" applyAlignment="1">
      <alignment horizontal="center" vertical="center"/>
    </xf>
    <xf numFmtId="0" fontId="4" fillId="37" borderId="107" xfId="0" applyFont="1" applyFill="1" applyBorder="1" applyAlignment="1">
      <alignment horizontal="right" vertical="center"/>
    </xf>
    <xf numFmtId="166" fontId="16" fillId="0" borderId="117" xfId="0" applyNumberFormat="1" applyFont="1" applyBorder="1" applyAlignment="1">
      <alignment horizontal="center" vertical="center"/>
    </xf>
    <xf numFmtId="0" fontId="13" fillId="0" borderId="116" xfId="0" applyFont="1" applyBorder="1" applyAlignment="1">
      <alignment vertical="center"/>
    </xf>
    <xf numFmtId="0" fontId="13" fillId="0" borderId="24" xfId="0" applyFont="1" applyBorder="1" applyAlignment="1">
      <alignment vertical="center"/>
    </xf>
    <xf numFmtId="0" fontId="11" fillId="0" borderId="116" xfId="0" applyFont="1" applyBorder="1" applyAlignment="1">
      <alignment horizontal="left" vertical="center"/>
    </xf>
    <xf numFmtId="0" fontId="11" fillId="0" borderId="24" xfId="0" applyFont="1" applyBorder="1" applyAlignment="1">
      <alignment horizontal="left" vertical="center"/>
    </xf>
    <xf numFmtId="0" fontId="16" fillId="0" borderId="108" xfId="0" applyFont="1" applyBorder="1" applyAlignment="1">
      <alignment horizontal="left" vertical="center"/>
    </xf>
    <xf numFmtId="166" fontId="4" fillId="2" borderId="107" xfId="0" applyNumberFormat="1" applyFont="1" applyFill="1" applyBorder="1" applyAlignment="1">
      <alignment horizontal="right" vertical="center"/>
    </xf>
    <xf numFmtId="0" fontId="20" fillId="2" borderId="105" xfId="0" applyFont="1" applyFill="1" applyBorder="1" applyAlignment="1">
      <alignment vertical="center"/>
    </xf>
    <xf numFmtId="0" fontId="20" fillId="2" borderId="23" xfId="0" applyFont="1" applyFill="1" applyBorder="1"/>
    <xf numFmtId="0" fontId="47" fillId="2" borderId="107" xfId="0" applyFont="1" applyFill="1" applyBorder="1" applyAlignment="1">
      <alignment vertical="center"/>
    </xf>
    <xf numFmtId="0" fontId="47" fillId="2" borderId="111" xfId="0" applyFont="1" applyFill="1" applyBorder="1" applyAlignment="1">
      <alignment vertical="center"/>
    </xf>
    <xf numFmtId="0" fontId="47" fillId="2" borderId="111" xfId="0" applyFont="1" applyFill="1" applyBorder="1" applyAlignment="1">
      <alignment vertical="top" wrapText="1"/>
    </xf>
    <xf numFmtId="166" fontId="16" fillId="0" borderId="106" xfId="0" applyNumberFormat="1" applyFont="1" applyBorder="1" applyAlignment="1">
      <alignment vertical="center"/>
    </xf>
    <xf numFmtId="0" fontId="47" fillId="2" borderId="106" xfId="0" applyFont="1" applyFill="1" applyBorder="1" applyAlignment="1">
      <alignment vertical="center"/>
    </xf>
    <xf numFmtId="0" fontId="47" fillId="2" borderId="110" xfId="0" applyFont="1" applyFill="1" applyBorder="1" applyAlignment="1">
      <alignment vertical="center" wrapText="1"/>
    </xf>
    <xf numFmtId="49" fontId="47" fillId="54" borderId="107" xfId="0" applyNumberFormat="1" applyFont="1" applyFill="1" applyBorder="1" applyAlignment="1">
      <alignment horizontal="right" vertical="center"/>
    </xf>
    <xf numFmtId="0" fontId="73" fillId="55" borderId="111" xfId="0" applyFont="1" applyFill="1" applyBorder="1" applyAlignment="1">
      <alignment horizontal="left" vertical="center"/>
    </xf>
    <xf numFmtId="0" fontId="47" fillId="37" borderId="104" xfId="0" applyFont="1" applyFill="1" applyBorder="1" applyAlignment="1">
      <alignment vertical="center"/>
    </xf>
    <xf numFmtId="0" fontId="47" fillId="37" borderId="105" xfId="0" applyFont="1" applyFill="1" applyBorder="1" applyAlignment="1">
      <alignment vertical="center"/>
    </xf>
    <xf numFmtId="0" fontId="47" fillId="37" borderId="108" xfId="0" applyFont="1" applyFill="1" applyBorder="1" applyAlignment="1">
      <alignment vertical="center"/>
    </xf>
    <xf numFmtId="0" fontId="47" fillId="37" borderId="109" xfId="0" applyFont="1" applyFill="1" applyBorder="1" applyAlignment="1">
      <alignment vertical="center"/>
    </xf>
    <xf numFmtId="0" fontId="48" fillId="37" borderId="112" xfId="0" applyFont="1" applyFill="1" applyBorder="1" applyAlignment="1">
      <alignment vertical="center"/>
    </xf>
    <xf numFmtId="0" fontId="48" fillId="37" borderId="113" xfId="0" applyFont="1" applyFill="1" applyBorder="1" applyAlignment="1">
      <alignment vertical="center"/>
    </xf>
    <xf numFmtId="0" fontId="47" fillId="37" borderId="111" xfId="0" applyFont="1" applyFill="1" applyBorder="1" applyAlignment="1">
      <alignment vertical="center"/>
    </xf>
    <xf numFmtId="166" fontId="48" fillId="2" borderId="115" xfId="0" applyNumberFormat="1" applyFont="1" applyFill="1" applyBorder="1"/>
    <xf numFmtId="0" fontId="47" fillId="2" borderId="109" xfId="0" applyFont="1" applyFill="1" applyBorder="1" applyAlignment="1">
      <alignment vertical="center"/>
    </xf>
    <xf numFmtId="0" fontId="47" fillId="2" borderId="104" xfId="0" applyFont="1" applyFill="1" applyBorder="1" applyAlignment="1">
      <alignment vertical="center"/>
    </xf>
    <xf numFmtId="0" fontId="47" fillId="2" borderId="105" xfId="0" applyFont="1" applyFill="1" applyBorder="1" applyAlignment="1">
      <alignment vertical="center"/>
    </xf>
    <xf numFmtId="0" fontId="47" fillId="2" borderId="108" xfId="0" applyFont="1" applyFill="1" applyBorder="1" applyAlignment="1">
      <alignment vertical="center"/>
    </xf>
    <xf numFmtId="166" fontId="47" fillId="2" borderId="107" xfId="0" applyNumberFormat="1" applyFont="1" applyFill="1" applyBorder="1" applyAlignment="1">
      <alignment horizontal="right" vertical="center"/>
    </xf>
    <xf numFmtId="0" fontId="47" fillId="2" borderId="111" xfId="0" applyFont="1" applyFill="1" applyBorder="1" applyAlignment="1">
      <alignment vertical="center" wrapText="1"/>
    </xf>
    <xf numFmtId="166" fontId="47" fillId="54" borderId="107" xfId="0" applyNumberFormat="1" applyFont="1" applyFill="1" applyBorder="1" applyAlignment="1">
      <alignment horizontal="right" vertical="center"/>
    </xf>
    <xf numFmtId="0" fontId="10" fillId="55" borderId="111" xfId="0" applyFont="1" applyFill="1" applyBorder="1" applyAlignment="1">
      <alignment vertical="center"/>
    </xf>
    <xf numFmtId="0" fontId="47" fillId="2" borderId="107" xfId="0" applyFont="1" applyFill="1" applyBorder="1" applyAlignment="1">
      <alignment horizontal="right" vertical="center"/>
    </xf>
    <xf numFmtId="0" fontId="47" fillId="2" borderId="133" xfId="0" applyFont="1" applyFill="1" applyBorder="1" applyAlignment="1">
      <alignment vertical="center" wrapText="1"/>
    </xf>
    <xf numFmtId="0" fontId="47" fillId="2" borderId="121" xfId="0" applyFont="1" applyFill="1" applyBorder="1" applyAlignment="1">
      <alignment vertical="center" wrapText="1"/>
    </xf>
    <xf numFmtId="0" fontId="10" fillId="0" borderId="24" xfId="3" applyFont="1" applyAlignment="1">
      <alignment horizontal="center"/>
    </xf>
    <xf numFmtId="0" fontId="93" fillId="0" borderId="129" xfId="3" applyFont="1" applyBorder="1" applyAlignment="1">
      <alignment horizontal="center" vertical="center"/>
    </xf>
    <xf numFmtId="165" fontId="0" fillId="0" borderId="129" xfId="1" applyFont="1" applyBorder="1" applyAlignment="1">
      <alignment horizontal="center" vertical="center"/>
    </xf>
    <xf numFmtId="9" fontId="94" fillId="0" borderId="129" xfId="5" applyFont="1" applyBorder="1" applyAlignment="1">
      <alignment horizontal="center" vertical="center"/>
    </xf>
    <xf numFmtId="0" fontId="95" fillId="0" borderId="129" xfId="3" applyFont="1" applyBorder="1" applyAlignment="1">
      <alignment horizontal="center" vertical="center" wrapText="1"/>
    </xf>
    <xf numFmtId="165" fontId="95" fillId="0" borderId="129" xfId="3" applyNumberFormat="1" applyFont="1" applyBorder="1" applyAlignment="1">
      <alignment horizontal="center" vertical="center"/>
    </xf>
    <xf numFmtId="0" fontId="95" fillId="0" borderId="129" xfId="3" applyFont="1" applyBorder="1" applyAlignment="1">
      <alignment horizontal="center" vertical="center"/>
    </xf>
    <xf numFmtId="0" fontId="10" fillId="0" borderId="24" xfId="3" applyFont="1" applyAlignment="1">
      <alignment horizontal="center" vertical="center"/>
    </xf>
    <xf numFmtId="0" fontId="10" fillId="0" borderId="129" xfId="3" applyFont="1" applyBorder="1" applyAlignment="1">
      <alignment horizontal="left" vertical="center" wrapText="1"/>
    </xf>
    <xf numFmtId="165" fontId="10" fillId="0" borderId="129" xfId="1" applyFont="1" applyBorder="1" applyAlignment="1">
      <alignment horizontal="center" vertical="center"/>
    </xf>
    <xf numFmtId="0" fontId="79" fillId="42" borderId="105" xfId="9" applyFont="1" applyFill="1" applyBorder="1" applyAlignment="1">
      <alignment horizontal="left"/>
    </xf>
    <xf numFmtId="0" fontId="7" fillId="0" borderId="67" xfId="0" applyFont="1" applyBorder="1" applyAlignment="1">
      <alignment horizontal="left"/>
    </xf>
    <xf numFmtId="0" fontId="10" fillId="0" borderId="39" xfId="0" applyFont="1" applyBorder="1"/>
    <xf numFmtId="0" fontId="7" fillId="0" borderId="101" xfId="0" applyFont="1" applyBorder="1" applyAlignment="1">
      <alignment horizontal="left"/>
    </xf>
    <xf numFmtId="0" fontId="10" fillId="0" borderId="102" xfId="0" applyFont="1" applyBorder="1"/>
    <xf numFmtId="167" fontId="7" fillId="0" borderId="55" xfId="0" applyNumberFormat="1" applyFont="1" applyBorder="1" applyAlignment="1">
      <alignment horizontal="center"/>
    </xf>
    <xf numFmtId="0" fontId="10" fillId="0" borderId="55" xfId="0" applyFont="1" applyBorder="1"/>
    <xf numFmtId="0" fontId="7" fillId="0" borderId="15" xfId="0" applyFont="1" applyBorder="1" applyAlignment="1">
      <alignment horizontal="center"/>
    </xf>
    <xf numFmtId="0" fontId="10" fillId="0" borderId="21" xfId="0" applyFont="1" applyBorder="1"/>
    <xf numFmtId="0" fontId="7" fillId="0" borderId="93" xfId="0" applyFont="1" applyBorder="1" applyAlignment="1">
      <alignment horizontal="left"/>
    </xf>
    <xf numFmtId="0" fontId="10" fillId="0" borderId="94" xfId="0" applyFont="1" applyBorder="1"/>
    <xf numFmtId="0" fontId="8" fillId="4" borderId="15" xfId="0" applyFont="1" applyFill="1" applyBorder="1" applyAlignment="1">
      <alignment horizontal="center"/>
    </xf>
    <xf numFmtId="0" fontId="10" fillId="0" borderId="16" xfId="0" applyFont="1" applyBorder="1"/>
    <xf numFmtId="0" fontId="8" fillId="5" borderId="15" xfId="0" applyFont="1" applyFill="1" applyBorder="1" applyAlignment="1">
      <alignment horizontal="center"/>
    </xf>
    <xf numFmtId="0" fontId="8" fillId="7" borderId="15" xfId="0" applyFont="1" applyFill="1" applyBorder="1" applyAlignment="1">
      <alignment horizontal="center"/>
    </xf>
    <xf numFmtId="0" fontId="48" fillId="4" borderId="25" xfId="0" applyFont="1" applyFill="1" applyBorder="1" applyAlignment="1">
      <alignment horizontal="center"/>
    </xf>
    <xf numFmtId="0" fontId="73" fillId="0" borderId="39" xfId="0" applyFont="1" applyBorder="1"/>
    <xf numFmtId="0" fontId="10" fillId="53" borderId="16" xfId="0" applyFont="1" applyFill="1" applyBorder="1"/>
    <xf numFmtId="0" fontId="8" fillId="6" borderId="15" xfId="0" applyFont="1" applyFill="1" applyBorder="1" applyAlignment="1">
      <alignment horizontal="center" vertical="center"/>
    </xf>
    <xf numFmtId="0" fontId="48" fillId="5" borderId="25" xfId="0" applyFont="1" applyFill="1" applyBorder="1" applyAlignment="1">
      <alignment horizontal="center"/>
    </xf>
    <xf numFmtId="0" fontId="48" fillId="7" borderId="25" xfId="0" applyFont="1" applyFill="1" applyBorder="1" applyAlignment="1">
      <alignment horizontal="center"/>
    </xf>
    <xf numFmtId="0" fontId="48" fillId="6" borderId="25" xfId="0" applyFont="1" applyFill="1" applyBorder="1" applyAlignment="1">
      <alignment horizontal="center"/>
    </xf>
    <xf numFmtId="0" fontId="2" fillId="0" borderId="104" xfId="0" applyFont="1" applyBorder="1" applyAlignment="1">
      <alignment horizontal="justify" vertical="top" wrapText="1"/>
    </xf>
    <xf numFmtId="0" fontId="2" fillId="0" borderId="105" xfId="0" applyFont="1" applyBorder="1" applyAlignment="1">
      <alignment horizontal="justify" vertical="top" wrapText="1"/>
    </xf>
    <xf numFmtId="0" fontId="2" fillId="0" borderId="106" xfId="0" applyFont="1" applyBorder="1" applyAlignment="1">
      <alignment horizontal="justify" vertical="top" wrapText="1"/>
    </xf>
    <xf numFmtId="0" fontId="2" fillId="0" borderId="116" xfId="0" applyFont="1" applyBorder="1" applyAlignment="1">
      <alignment horizontal="justify" vertical="top" wrapText="1"/>
    </xf>
    <xf numFmtId="0" fontId="2" fillId="0" borderId="24" xfId="0" applyFont="1" applyBorder="1" applyAlignment="1">
      <alignment horizontal="justify" vertical="top" wrapText="1"/>
    </xf>
    <xf numFmtId="0" fontId="2" fillId="0" borderId="117" xfId="0" applyFont="1" applyBorder="1" applyAlignment="1">
      <alignment horizontal="justify" vertical="top" wrapText="1"/>
    </xf>
    <xf numFmtId="0" fontId="8" fillId="4" borderId="15" xfId="0" applyFont="1" applyFill="1" applyBorder="1" applyAlignment="1">
      <alignment horizontal="center" vertical="center"/>
    </xf>
    <xf numFmtId="0" fontId="8" fillId="5" borderId="15" xfId="0" applyFont="1" applyFill="1" applyBorder="1" applyAlignment="1">
      <alignment horizontal="center" vertical="center"/>
    </xf>
    <xf numFmtId="0" fontId="8" fillId="7" borderId="15" xfId="0" applyFont="1" applyFill="1" applyBorder="1" applyAlignment="1">
      <alignment horizontal="center" vertical="center"/>
    </xf>
    <xf numFmtId="0" fontId="4" fillId="2" borderId="18" xfId="0" applyFont="1" applyFill="1" applyBorder="1" applyAlignment="1">
      <alignment horizontal="left" vertical="center" wrapText="1"/>
    </xf>
    <xf numFmtId="0" fontId="4" fillId="2" borderId="31"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8" fillId="4" borderId="15" xfId="0" applyFont="1" applyFill="1" applyBorder="1" applyAlignment="1">
      <alignment horizontal="center"/>
    </xf>
    <xf numFmtId="0" fontId="48" fillId="5" borderId="15" xfId="0" applyFont="1" applyFill="1" applyBorder="1" applyAlignment="1">
      <alignment horizontal="center"/>
    </xf>
    <xf numFmtId="0" fontId="48" fillId="7" borderId="15" xfId="0" applyFont="1" applyFill="1" applyBorder="1" applyAlignment="1">
      <alignment horizontal="center"/>
    </xf>
    <xf numFmtId="0" fontId="47" fillId="2" borderId="104" xfId="0" applyFont="1" applyFill="1" applyBorder="1" applyAlignment="1">
      <alignment horizontal="left" vertical="center" wrapText="1"/>
    </xf>
    <xf numFmtId="0" fontId="47" fillId="2" borderId="106" xfId="0" applyFont="1" applyFill="1" applyBorder="1" applyAlignment="1">
      <alignment horizontal="left" vertical="center" wrapText="1"/>
    </xf>
    <xf numFmtId="0" fontId="47" fillId="2" borderId="116" xfId="0" applyFont="1" applyFill="1" applyBorder="1" applyAlignment="1">
      <alignment horizontal="left" vertical="center" wrapText="1"/>
    </xf>
    <xf numFmtId="0" fontId="47" fillId="2" borderId="117" xfId="0" applyFont="1" applyFill="1" applyBorder="1" applyAlignment="1">
      <alignment horizontal="left" vertical="center" wrapText="1"/>
    </xf>
    <xf numFmtId="167" fontId="8" fillId="7" borderId="15" xfId="0" applyNumberFormat="1" applyFont="1" applyFill="1" applyBorder="1" applyAlignment="1">
      <alignment horizontal="center" vertical="center"/>
    </xf>
    <xf numFmtId="0" fontId="48" fillId="6" borderId="15" xfId="0" applyFont="1" applyFill="1" applyBorder="1" applyAlignment="1">
      <alignment horizontal="center"/>
    </xf>
    <xf numFmtId="0" fontId="8" fillId="3" borderId="15" xfId="0" applyFont="1" applyFill="1" applyBorder="1" applyAlignment="1">
      <alignment horizontal="center" vertical="center"/>
    </xf>
    <xf numFmtId="0" fontId="8" fillId="6" borderId="15" xfId="0" applyFont="1" applyFill="1" applyBorder="1" applyAlignment="1">
      <alignment horizontal="center"/>
    </xf>
    <xf numFmtId="0" fontId="8" fillId="4" borderId="16" xfId="0" applyFont="1" applyFill="1" applyBorder="1" applyAlignment="1">
      <alignment horizontal="center" vertical="center"/>
    </xf>
    <xf numFmtId="0" fontId="8" fillId="5" borderId="16" xfId="0" applyFont="1" applyFill="1" applyBorder="1" applyAlignment="1">
      <alignment horizontal="center" vertical="center"/>
    </xf>
    <xf numFmtId="0" fontId="8" fillId="7" borderId="16" xfId="0" applyFont="1" applyFill="1" applyBorder="1" applyAlignment="1">
      <alignment horizontal="center" vertical="center"/>
    </xf>
    <xf numFmtId="0" fontId="8" fillId="7" borderId="15" xfId="7" applyFont="1" applyFill="1" applyBorder="1" applyAlignment="1">
      <alignment horizontal="center"/>
    </xf>
    <xf numFmtId="0" fontId="10" fillId="0" borderId="16" xfId="7" applyFont="1" applyBorder="1"/>
    <xf numFmtId="0" fontId="4" fillId="2" borderId="104" xfId="7" applyFont="1" applyFill="1" applyBorder="1" applyAlignment="1">
      <alignment horizontal="left" vertical="top" wrapText="1"/>
    </xf>
    <xf numFmtId="0" fontId="4" fillId="2" borderId="105" xfId="7" applyFont="1" applyFill="1" applyBorder="1" applyAlignment="1">
      <alignment horizontal="left" vertical="top" wrapText="1"/>
    </xf>
    <xf numFmtId="0" fontId="4" fillId="2" borderId="108" xfId="7" applyFont="1" applyFill="1" applyBorder="1" applyAlignment="1">
      <alignment horizontal="left" vertical="top" wrapText="1"/>
    </xf>
    <xf numFmtId="0" fontId="4" fillId="2" borderId="109" xfId="7" applyFont="1" applyFill="1" applyBorder="1" applyAlignment="1">
      <alignment horizontal="left" vertical="top" wrapText="1"/>
    </xf>
    <xf numFmtId="0" fontId="4" fillId="2" borderId="104" xfId="0" applyFont="1" applyFill="1" applyBorder="1" applyAlignment="1">
      <alignment horizontal="left" vertical="center"/>
    </xf>
    <xf numFmtId="0" fontId="4" fillId="2" borderId="108" xfId="0" applyFont="1" applyFill="1" applyBorder="1" applyAlignment="1">
      <alignment horizontal="left" vertical="center"/>
    </xf>
    <xf numFmtId="0" fontId="8" fillId="5" borderId="15" xfId="7" applyFont="1" applyFill="1" applyBorder="1" applyAlignment="1">
      <alignment horizontal="center"/>
    </xf>
    <xf numFmtId="0" fontId="8" fillId="6" borderId="15" xfId="7" applyFont="1" applyFill="1" applyBorder="1" applyAlignment="1">
      <alignment horizontal="center"/>
    </xf>
    <xf numFmtId="0" fontId="8" fillId="4" borderId="15" xfId="7" applyFont="1" applyFill="1" applyBorder="1" applyAlignment="1">
      <alignment horizontal="center"/>
    </xf>
    <xf numFmtId="0" fontId="4" fillId="2" borderId="23" xfId="0" applyFont="1" applyFill="1" applyBorder="1" applyAlignment="1">
      <alignment horizontal="left" vertical="top" wrapText="1"/>
    </xf>
    <xf numFmtId="0" fontId="4" fillId="2" borderId="9" xfId="0" applyFont="1" applyFill="1" applyBorder="1" applyAlignment="1">
      <alignment horizontal="left" vertical="top" wrapText="1"/>
    </xf>
    <xf numFmtId="0" fontId="9" fillId="15" borderId="15" xfId="0" applyFont="1" applyFill="1" applyBorder="1" applyAlignment="1">
      <alignment horizontal="center" vertical="center"/>
    </xf>
    <xf numFmtId="0" fontId="8" fillId="17" borderId="15" xfId="0" applyFont="1" applyFill="1" applyBorder="1" applyAlignment="1">
      <alignment horizontal="center" vertical="center"/>
    </xf>
    <xf numFmtId="0" fontId="4" fillId="2" borderId="104" xfId="0" applyFont="1" applyFill="1" applyBorder="1" applyAlignment="1">
      <alignment horizontal="left" vertical="center" wrapText="1"/>
    </xf>
    <xf numFmtId="0" fontId="4" fillId="2" borderId="105" xfId="0" applyFont="1" applyFill="1" applyBorder="1" applyAlignment="1">
      <alignment horizontal="left" vertical="center" wrapText="1"/>
    </xf>
    <xf numFmtId="0" fontId="4" fillId="2" borderId="130" xfId="0" applyFont="1" applyFill="1" applyBorder="1" applyAlignment="1">
      <alignment horizontal="left" vertical="center" wrapText="1"/>
    </xf>
    <xf numFmtId="0" fontId="4" fillId="2" borderId="108" xfId="0" applyFont="1" applyFill="1" applyBorder="1" applyAlignment="1">
      <alignment horizontal="left" vertical="center" wrapText="1"/>
    </xf>
    <xf numFmtId="0" fontId="4" fillId="2" borderId="131" xfId="0" applyFont="1" applyFill="1" applyBorder="1" applyAlignment="1">
      <alignment horizontal="left" vertical="center" wrapText="1"/>
    </xf>
    <xf numFmtId="0" fontId="9" fillId="16" borderId="15" xfId="0" applyFont="1" applyFill="1" applyBorder="1" applyAlignment="1">
      <alignment horizontal="center" vertical="center"/>
    </xf>
    <xf numFmtId="0" fontId="47" fillId="2" borderId="104" xfId="0" applyFont="1" applyFill="1" applyBorder="1" applyAlignment="1">
      <alignment horizontal="left" vertical="top" wrapText="1"/>
    </xf>
    <xf numFmtId="0" fontId="47" fillId="2" borderId="106" xfId="0" applyFont="1" applyFill="1" applyBorder="1" applyAlignment="1">
      <alignment horizontal="left" vertical="top" wrapText="1"/>
    </xf>
    <xf numFmtId="0" fontId="47" fillId="2" borderId="108" xfId="0" applyFont="1" applyFill="1" applyBorder="1" applyAlignment="1">
      <alignment horizontal="left" vertical="top" wrapText="1"/>
    </xf>
    <xf numFmtId="0" fontId="47" fillId="2" borderId="110" xfId="0" applyFont="1" applyFill="1" applyBorder="1" applyAlignment="1">
      <alignment horizontal="left" vertical="top" wrapText="1"/>
    </xf>
    <xf numFmtId="0" fontId="47" fillId="2" borderId="108" xfId="0" applyFont="1" applyFill="1" applyBorder="1" applyAlignment="1">
      <alignment horizontal="left" vertical="center" wrapText="1"/>
    </xf>
    <xf numFmtId="0" fontId="47" fillId="2" borderId="110" xfId="0" applyFont="1" applyFill="1" applyBorder="1" applyAlignment="1">
      <alignment horizontal="left" vertical="center" wrapText="1"/>
    </xf>
    <xf numFmtId="166" fontId="47" fillId="19" borderId="104" xfId="0" applyNumberFormat="1" applyFont="1" applyFill="1" applyBorder="1" applyAlignment="1">
      <alignment horizontal="left" vertical="center"/>
    </xf>
    <xf numFmtId="166" fontId="47" fillId="19" borderId="105" xfId="0" applyNumberFormat="1" applyFont="1" applyFill="1" applyBorder="1" applyAlignment="1">
      <alignment horizontal="left" vertical="center"/>
    </xf>
    <xf numFmtId="166" fontId="47" fillId="19" borderId="108" xfId="0" applyNumberFormat="1" applyFont="1" applyFill="1" applyBorder="1" applyAlignment="1">
      <alignment horizontal="left" vertical="center"/>
    </xf>
    <xf numFmtId="166" fontId="47" fillId="19" borderId="109" xfId="0" applyNumberFormat="1" applyFont="1" applyFill="1" applyBorder="1" applyAlignment="1">
      <alignment horizontal="left" vertical="center"/>
    </xf>
    <xf numFmtId="0" fontId="47" fillId="2" borderId="105" xfId="0" applyFont="1" applyFill="1" applyBorder="1" applyAlignment="1">
      <alignment horizontal="left" vertical="top" wrapText="1"/>
    </xf>
    <xf numFmtId="0" fontId="47" fillId="2" borderId="109" xfId="0" applyFont="1" applyFill="1" applyBorder="1" applyAlignment="1">
      <alignment horizontal="left" vertical="top" wrapText="1"/>
    </xf>
    <xf numFmtId="0" fontId="4" fillId="2" borderId="106" xfId="0" applyFont="1" applyFill="1" applyBorder="1" applyAlignment="1">
      <alignment horizontal="left" vertical="center" wrapText="1"/>
    </xf>
    <xf numFmtId="0" fontId="4" fillId="2" borderId="110" xfId="0" applyFont="1" applyFill="1" applyBorder="1" applyAlignment="1">
      <alignment horizontal="left" vertical="center" wrapText="1"/>
    </xf>
    <xf numFmtId="0" fontId="48" fillId="5" borderId="15" xfId="0" applyFont="1" applyFill="1" applyBorder="1" applyAlignment="1">
      <alignment horizontal="center" vertical="center"/>
    </xf>
    <xf numFmtId="0" fontId="48" fillId="7" borderId="15" xfId="0" applyFont="1" applyFill="1" applyBorder="1" applyAlignment="1">
      <alignment horizontal="center" vertical="center"/>
    </xf>
    <xf numFmtId="0" fontId="48" fillId="4" borderId="15" xfId="0" applyFont="1" applyFill="1" applyBorder="1" applyAlignment="1">
      <alignment horizontal="center" vertical="center"/>
    </xf>
    <xf numFmtId="0" fontId="48" fillId="6" borderId="15" xfId="0" applyFont="1" applyFill="1" applyBorder="1" applyAlignment="1">
      <alignment horizontal="center" vertical="center"/>
    </xf>
    <xf numFmtId="0" fontId="47" fillId="2" borderId="105" xfId="0" applyFont="1" applyFill="1" applyBorder="1" applyAlignment="1">
      <alignment horizontal="left" vertical="center" wrapText="1"/>
    </xf>
    <xf numFmtId="0" fontId="47" fillId="2" borderId="109" xfId="0" applyFont="1" applyFill="1" applyBorder="1" applyAlignment="1">
      <alignment horizontal="left" vertical="center" wrapText="1"/>
    </xf>
    <xf numFmtId="0" fontId="48" fillId="3" borderId="15" xfId="0" applyFont="1" applyFill="1" applyBorder="1" applyAlignment="1">
      <alignment horizontal="center" vertical="center"/>
    </xf>
    <xf numFmtId="166" fontId="48" fillId="19" borderId="112" xfId="0" applyNumberFormat="1" applyFont="1" applyFill="1" applyBorder="1"/>
    <xf numFmtId="0" fontId="73" fillId="0" borderId="113" xfId="0" applyFont="1" applyBorder="1"/>
    <xf numFmtId="0" fontId="4" fillId="2" borderId="120" xfId="0" applyFont="1" applyFill="1" applyBorder="1" applyAlignment="1">
      <alignment horizontal="left" vertical="center" wrapText="1"/>
    </xf>
    <xf numFmtId="0" fontId="4" fillId="2" borderId="121" xfId="0" applyFont="1" applyFill="1" applyBorder="1" applyAlignment="1">
      <alignment horizontal="left" vertical="center" wrapText="1"/>
    </xf>
    <xf numFmtId="0" fontId="4" fillId="2" borderId="104" xfId="7" applyFont="1" applyFill="1" applyBorder="1" applyAlignment="1">
      <alignment horizontal="left" vertical="center" wrapText="1"/>
    </xf>
    <xf numFmtId="0" fontId="4" fillId="2" borderId="106" xfId="7" applyFont="1" applyFill="1" applyBorder="1" applyAlignment="1">
      <alignment horizontal="left" vertical="center" wrapText="1"/>
    </xf>
    <xf numFmtId="0" fontId="4" fillId="2" borderId="108" xfId="7" applyFont="1" applyFill="1" applyBorder="1" applyAlignment="1">
      <alignment horizontal="left" vertical="center" wrapText="1"/>
    </xf>
    <xf numFmtId="0" fontId="4" fillId="2" borderId="110" xfId="7" applyFont="1" applyFill="1" applyBorder="1" applyAlignment="1">
      <alignment horizontal="left" vertical="center" wrapText="1"/>
    </xf>
    <xf numFmtId="0" fontId="4" fillId="2" borderId="120" xfId="7" applyFont="1" applyFill="1" applyBorder="1" applyAlignment="1">
      <alignment horizontal="left" vertical="center" wrapText="1"/>
    </xf>
    <xf numFmtId="0" fontId="4" fillId="2" borderId="121" xfId="7" applyFont="1" applyFill="1" applyBorder="1" applyAlignment="1">
      <alignment horizontal="left" vertical="center" wrapText="1"/>
    </xf>
    <xf numFmtId="0" fontId="4" fillId="2" borderId="106" xfId="0" applyFont="1" applyFill="1" applyBorder="1" applyAlignment="1">
      <alignment horizontal="left" vertical="center"/>
    </xf>
    <xf numFmtId="0" fontId="4" fillId="2" borderId="120" xfId="0" applyFont="1" applyFill="1" applyBorder="1" applyAlignment="1">
      <alignment horizontal="left" vertical="center"/>
    </xf>
    <xf numFmtId="0" fontId="4" fillId="2" borderId="121" xfId="0" applyFont="1" applyFill="1" applyBorder="1" applyAlignment="1">
      <alignment horizontal="left" vertical="center"/>
    </xf>
    <xf numFmtId="0" fontId="4" fillId="2" borderId="110" xfId="0" applyFont="1" applyFill="1" applyBorder="1" applyAlignment="1">
      <alignment horizontal="left" vertical="center"/>
    </xf>
    <xf numFmtId="0" fontId="4" fillId="37" borderId="104" xfId="0" applyFont="1" applyFill="1" applyBorder="1" applyAlignment="1">
      <alignment horizontal="left" vertical="center" wrapText="1"/>
    </xf>
    <xf numFmtId="0" fontId="4" fillId="37" borderId="106" xfId="0" applyFont="1" applyFill="1" applyBorder="1" applyAlignment="1">
      <alignment horizontal="left" vertical="center" wrapText="1"/>
    </xf>
    <xf numFmtId="0" fontId="4" fillId="37" borderId="108" xfId="0" applyFont="1" applyFill="1" applyBorder="1" applyAlignment="1">
      <alignment horizontal="left" vertical="center" wrapText="1"/>
    </xf>
    <xf numFmtId="0" fontId="4" fillId="37" borderId="110" xfId="0" applyFont="1" applyFill="1" applyBorder="1" applyAlignment="1">
      <alignment horizontal="left" vertical="center" wrapText="1"/>
    </xf>
    <xf numFmtId="0" fontId="4" fillId="54" borderId="104" xfId="0" applyFont="1" applyFill="1" applyBorder="1" applyAlignment="1">
      <alignment horizontal="left" vertical="top" wrapText="1"/>
    </xf>
    <xf numFmtId="0" fontId="4" fillId="54" borderId="106" xfId="0" applyFont="1" applyFill="1" applyBorder="1" applyAlignment="1">
      <alignment horizontal="left" vertical="top" wrapText="1"/>
    </xf>
    <xf numFmtId="0" fontId="4" fillId="54" borderId="108" xfId="0" applyFont="1" applyFill="1" applyBorder="1" applyAlignment="1">
      <alignment horizontal="left" vertical="top" wrapText="1"/>
    </xf>
    <xf numFmtId="0" fontId="4" fillId="54" borderId="110" xfId="0" applyFont="1" applyFill="1" applyBorder="1" applyAlignment="1">
      <alignment horizontal="left" vertical="top" wrapText="1"/>
    </xf>
    <xf numFmtId="0" fontId="4" fillId="2" borderId="104" xfId="0" applyFont="1" applyFill="1" applyBorder="1" applyAlignment="1">
      <alignment horizontal="left" vertical="top" wrapText="1"/>
    </xf>
    <xf numFmtId="0" fontId="4" fillId="2" borderId="106" xfId="0" applyFont="1" applyFill="1" applyBorder="1" applyAlignment="1">
      <alignment horizontal="left" vertical="top" wrapText="1"/>
    </xf>
    <xf numFmtId="0" fontId="4" fillId="2" borderId="108" xfId="0" applyFont="1" applyFill="1" applyBorder="1" applyAlignment="1">
      <alignment horizontal="left" vertical="top" wrapText="1"/>
    </xf>
    <xf numFmtId="0" fontId="4" fillId="2" borderId="110" xfId="0" applyFont="1" applyFill="1" applyBorder="1" applyAlignment="1">
      <alignment horizontal="left" vertical="top" wrapText="1"/>
    </xf>
    <xf numFmtId="0" fontId="4" fillId="2" borderId="105" xfId="0" applyFont="1" applyFill="1" applyBorder="1" applyAlignment="1">
      <alignment horizontal="left" vertical="top" wrapText="1"/>
    </xf>
    <xf numFmtId="0" fontId="4" fillId="2" borderId="120" xfId="0" applyFont="1" applyFill="1" applyBorder="1" applyAlignment="1">
      <alignment horizontal="left" vertical="top" wrapText="1"/>
    </xf>
    <xf numFmtId="0" fontId="92" fillId="10" borderId="20" xfId="0" applyFont="1" applyFill="1" applyBorder="1" applyAlignment="1">
      <alignment horizontal="center" vertical="center"/>
    </xf>
    <xf numFmtId="0" fontId="8" fillId="8" borderId="15" xfId="0" applyFont="1" applyFill="1" applyBorder="1" applyAlignment="1">
      <alignment horizontal="center" vertical="center"/>
    </xf>
    <xf numFmtId="0" fontId="8" fillId="8" borderId="15" xfId="7" applyFont="1" applyFill="1" applyBorder="1" applyAlignment="1">
      <alignment horizontal="center" vertical="center"/>
    </xf>
    <xf numFmtId="0" fontId="8" fillId="4" borderId="15" xfId="7" applyFont="1" applyFill="1" applyBorder="1" applyAlignment="1">
      <alignment horizontal="center" vertical="center"/>
    </xf>
    <xf numFmtId="0" fontId="8" fillId="5" borderId="15" xfId="7" applyFont="1" applyFill="1" applyBorder="1" applyAlignment="1">
      <alignment horizontal="center" vertical="center"/>
    </xf>
    <xf numFmtId="0" fontId="8" fillId="7" borderId="15" xfId="7" applyFont="1" applyFill="1" applyBorder="1" applyAlignment="1">
      <alignment horizontal="center" vertical="center"/>
    </xf>
    <xf numFmtId="0" fontId="8" fillId="41" borderId="112" xfId="0" applyFont="1" applyFill="1" applyBorder="1" applyAlignment="1">
      <alignment horizontal="center" vertical="center"/>
    </xf>
    <xf numFmtId="0" fontId="8" fillId="41" borderId="114" xfId="0" applyFont="1" applyFill="1" applyBorder="1" applyAlignment="1">
      <alignment horizontal="center" vertical="center"/>
    </xf>
    <xf numFmtId="0" fontId="11" fillId="11" borderId="15" xfId="0" applyFont="1" applyFill="1" applyBorder="1" applyAlignment="1">
      <alignment horizontal="center" vertical="center"/>
    </xf>
    <xf numFmtId="0" fontId="11" fillId="13" borderId="15" xfId="0" applyFont="1" applyFill="1" applyBorder="1" applyAlignment="1">
      <alignment horizontal="center" vertical="center"/>
    </xf>
    <xf numFmtId="0" fontId="4" fillId="54" borderId="104" xfId="7" applyFont="1" applyFill="1" applyBorder="1" applyAlignment="1">
      <alignment horizontal="left" vertical="center" wrapText="1"/>
    </xf>
    <xf numFmtId="0" fontId="4" fillId="54" borderId="106" xfId="7" applyFont="1" applyFill="1" applyBorder="1" applyAlignment="1">
      <alignment horizontal="left" vertical="center" wrapText="1"/>
    </xf>
    <xf numFmtId="0" fontId="4" fillId="54" borderId="108" xfId="7" applyFont="1" applyFill="1" applyBorder="1" applyAlignment="1">
      <alignment horizontal="left" vertical="center" wrapText="1"/>
    </xf>
    <xf numFmtId="0" fontId="4" fillId="54" borderId="110" xfId="7" applyFont="1" applyFill="1" applyBorder="1" applyAlignment="1">
      <alignment horizontal="left" vertical="center" wrapText="1"/>
    </xf>
    <xf numFmtId="0" fontId="4" fillId="2" borderId="104" xfId="0" applyFont="1" applyFill="1" applyBorder="1" applyAlignment="1">
      <alignment horizontal="center" vertical="center" wrapText="1"/>
    </xf>
    <xf numFmtId="0" fontId="4" fillId="2" borderId="106" xfId="0" applyFont="1" applyFill="1" applyBorder="1" applyAlignment="1">
      <alignment horizontal="center" vertical="center" wrapText="1"/>
    </xf>
    <xf numFmtId="0" fontId="4" fillId="2" borderId="108" xfId="0" applyFont="1" applyFill="1" applyBorder="1" applyAlignment="1">
      <alignment horizontal="center" vertical="center" wrapText="1"/>
    </xf>
    <xf numFmtId="0" fontId="4" fillId="2" borderId="110" xfId="0" applyFont="1" applyFill="1" applyBorder="1" applyAlignment="1">
      <alignment horizontal="center" vertical="center" wrapText="1"/>
    </xf>
    <xf numFmtId="0" fontId="8" fillId="21" borderId="15" xfId="0" applyFont="1" applyFill="1" applyBorder="1" applyAlignment="1">
      <alignment horizontal="center"/>
    </xf>
    <xf numFmtId="0" fontId="4" fillId="2" borderId="104" xfId="0" applyFont="1" applyFill="1" applyBorder="1" applyAlignment="1">
      <alignment horizontal="left" wrapText="1"/>
    </xf>
    <xf numFmtId="0" fontId="4" fillId="2" borderId="105" xfId="0" applyFont="1" applyFill="1" applyBorder="1" applyAlignment="1">
      <alignment horizontal="left" wrapText="1"/>
    </xf>
    <xf numFmtId="0" fontId="4" fillId="2" borderId="108" xfId="0" applyFont="1" applyFill="1" applyBorder="1" applyAlignment="1">
      <alignment horizontal="left" wrapText="1"/>
    </xf>
    <xf numFmtId="0" fontId="4" fillId="2" borderId="109" xfId="0" applyFont="1" applyFill="1" applyBorder="1" applyAlignment="1">
      <alignment horizontal="left" wrapText="1"/>
    </xf>
    <xf numFmtId="0" fontId="4" fillId="2" borderId="109" xfId="0" applyFont="1" applyFill="1" applyBorder="1" applyAlignment="1">
      <alignment horizontal="left" vertical="top" wrapText="1"/>
    </xf>
    <xf numFmtId="0" fontId="8" fillId="4" borderId="16" xfId="0" applyFont="1" applyFill="1" applyBorder="1" applyAlignment="1">
      <alignment horizontal="center"/>
    </xf>
    <xf numFmtId="0" fontId="8" fillId="49" borderId="112" xfId="0" applyFont="1" applyFill="1" applyBorder="1" applyAlignment="1">
      <alignment horizontal="center"/>
    </xf>
    <xf numFmtId="0" fontId="8" fillId="49" borderId="113" xfId="0" applyFont="1" applyFill="1" applyBorder="1" applyAlignment="1">
      <alignment horizontal="center"/>
    </xf>
    <xf numFmtId="0" fontId="10" fillId="0" borderId="38" xfId="0" applyFont="1" applyBorder="1"/>
    <xf numFmtId="0" fontId="10" fillId="0" borderId="105" xfId="0" applyFont="1" applyBorder="1"/>
    <xf numFmtId="0" fontId="10" fillId="0" borderId="108" xfId="0" applyFont="1" applyBorder="1"/>
    <xf numFmtId="0" fontId="10" fillId="0" borderId="109" xfId="0" applyFont="1" applyBorder="1"/>
    <xf numFmtId="0" fontId="8" fillId="50" borderId="112" xfId="0" applyFont="1" applyFill="1" applyBorder="1" applyAlignment="1">
      <alignment horizontal="center"/>
    </xf>
    <xf numFmtId="0" fontId="8" fillId="50" borderId="114" xfId="0" applyFont="1" applyFill="1" applyBorder="1" applyAlignment="1">
      <alignment horizontal="center"/>
    </xf>
    <xf numFmtId="0" fontId="8" fillId="51" borderId="112" xfId="0" applyFont="1" applyFill="1" applyBorder="1" applyAlignment="1">
      <alignment horizontal="center"/>
    </xf>
    <xf numFmtId="0" fontId="8" fillId="51" borderId="114" xfId="0" applyFont="1" applyFill="1" applyBorder="1" applyAlignment="1">
      <alignment horizontal="center"/>
    </xf>
    <xf numFmtId="0" fontId="8" fillId="43" borderId="112" xfId="0" applyFont="1" applyFill="1" applyBorder="1" applyAlignment="1">
      <alignment horizontal="center"/>
    </xf>
    <xf numFmtId="0" fontId="8" fillId="43" borderId="114" xfId="0" applyFont="1" applyFill="1" applyBorder="1" applyAlignment="1">
      <alignment horizontal="center"/>
    </xf>
    <xf numFmtId="0" fontId="8" fillId="50" borderId="112" xfId="0" applyFont="1" applyFill="1" applyBorder="1" applyAlignment="1">
      <alignment horizontal="center" vertical="center"/>
    </xf>
    <xf numFmtId="0" fontId="8" fillId="50" borderId="114" xfId="0" applyFont="1" applyFill="1" applyBorder="1" applyAlignment="1">
      <alignment horizontal="center" vertical="center"/>
    </xf>
    <xf numFmtId="0" fontId="8" fillId="51" borderId="112" xfId="0" applyFont="1" applyFill="1" applyBorder="1" applyAlignment="1">
      <alignment horizontal="center" vertical="center"/>
    </xf>
    <xf numFmtId="0" fontId="8" fillId="51" borderId="114" xfId="0" applyFont="1" applyFill="1" applyBorder="1" applyAlignment="1">
      <alignment horizontal="center" vertical="center"/>
    </xf>
    <xf numFmtId="167" fontId="8" fillId="43" borderId="112" xfId="0" applyNumberFormat="1" applyFont="1" applyFill="1" applyBorder="1" applyAlignment="1">
      <alignment horizontal="center" vertical="center"/>
    </xf>
    <xf numFmtId="167" fontId="8" fillId="43" borderId="114" xfId="0" applyNumberFormat="1" applyFont="1" applyFill="1" applyBorder="1" applyAlignment="1">
      <alignment horizontal="center" vertical="center"/>
    </xf>
    <xf numFmtId="0" fontId="9" fillId="0" borderId="0" xfId="0" applyFont="1" applyAlignment="1">
      <alignment horizontal="center"/>
    </xf>
    <xf numFmtId="0" fontId="0" fillId="0" borderId="0" xfId="0"/>
    <xf numFmtId="165" fontId="8" fillId="3" borderId="15" xfId="0" applyNumberFormat="1" applyFont="1" applyFill="1" applyBorder="1" applyAlignment="1">
      <alignment horizontal="center" vertical="center"/>
    </xf>
    <xf numFmtId="0" fontId="4" fillId="2" borderId="104" xfId="0" applyFont="1" applyFill="1" applyBorder="1" applyAlignment="1">
      <alignment horizontal="center" vertical="top" wrapText="1"/>
    </xf>
    <xf numFmtId="0" fontId="4" fillId="2" borderId="106" xfId="0" applyFont="1" applyFill="1" applyBorder="1" applyAlignment="1">
      <alignment horizontal="center" vertical="top" wrapText="1"/>
    </xf>
    <xf numFmtId="0" fontId="4" fillId="2" borderId="108" xfId="0" applyFont="1" applyFill="1" applyBorder="1" applyAlignment="1">
      <alignment horizontal="center" vertical="top" wrapText="1"/>
    </xf>
    <xf numFmtId="0" fontId="4" fillId="2" borderId="110" xfId="0" applyFont="1" applyFill="1" applyBorder="1" applyAlignment="1">
      <alignment horizontal="center" vertical="top" wrapText="1"/>
    </xf>
    <xf numFmtId="0" fontId="4" fillId="2" borderId="121" xfId="0" applyFont="1" applyFill="1" applyBorder="1" applyAlignment="1">
      <alignment horizontal="left" vertical="top" wrapText="1"/>
    </xf>
    <xf numFmtId="0" fontId="4" fillId="2" borderId="105" xfId="0" applyFont="1" applyFill="1" applyBorder="1" applyAlignment="1">
      <alignment horizontal="center" vertical="center" wrapText="1"/>
    </xf>
    <xf numFmtId="0" fontId="4" fillId="2" borderId="120"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04" xfId="0" applyFont="1" applyFill="1" applyBorder="1" applyAlignment="1">
      <alignment horizontal="left"/>
    </xf>
    <xf numFmtId="0" fontId="4" fillId="2" borderId="130" xfId="0" applyFont="1" applyFill="1" applyBorder="1" applyAlignment="1">
      <alignment horizontal="left"/>
    </xf>
    <xf numFmtId="0" fontId="2" fillId="0" borderId="125" xfId="0" applyFont="1" applyBorder="1" applyAlignment="1">
      <alignment horizontal="justify" wrapText="1"/>
    </xf>
    <xf numFmtId="0" fontId="10" fillId="0" borderId="22" xfId="0" applyFont="1" applyBorder="1" applyAlignment="1">
      <alignment horizontal="justify"/>
    </xf>
    <xf numFmtId="0" fontId="10" fillId="0" borderId="126" xfId="0" applyFont="1" applyBorder="1" applyAlignment="1">
      <alignment horizontal="justify"/>
    </xf>
    <xf numFmtId="0" fontId="10" fillId="0" borderId="120" xfId="0" applyFont="1" applyBorder="1" applyAlignment="1">
      <alignment horizontal="justify"/>
    </xf>
    <xf numFmtId="0" fontId="10" fillId="0" borderId="23" xfId="0" applyFont="1" applyBorder="1" applyAlignment="1">
      <alignment horizontal="justify"/>
    </xf>
    <xf numFmtId="0" fontId="10" fillId="0" borderId="121" xfId="0" applyFont="1" applyBorder="1" applyAlignment="1">
      <alignment horizontal="justify"/>
    </xf>
    <xf numFmtId="0" fontId="8" fillId="22" borderId="15" xfId="0" applyFont="1" applyFill="1" applyBorder="1" applyAlignment="1">
      <alignment horizontal="center"/>
    </xf>
    <xf numFmtId="0" fontId="4" fillId="36" borderId="104" xfId="0" applyFont="1" applyFill="1" applyBorder="1" applyAlignment="1">
      <alignment horizontal="left" vertical="center" wrapText="1"/>
    </xf>
    <xf numFmtId="0" fontId="4" fillId="36" borderId="106" xfId="0" applyFont="1" applyFill="1" applyBorder="1" applyAlignment="1">
      <alignment horizontal="left" vertical="center" wrapText="1"/>
    </xf>
    <xf numFmtId="0" fontId="4" fillId="36" borderId="120" xfId="0" applyFont="1" applyFill="1" applyBorder="1" applyAlignment="1">
      <alignment horizontal="left" vertical="center" wrapText="1"/>
    </xf>
    <xf numFmtId="0" fontId="4" fillId="36" borderId="121" xfId="0" applyFont="1" applyFill="1" applyBorder="1" applyAlignment="1">
      <alignment horizontal="left" vertical="center" wrapText="1"/>
    </xf>
    <xf numFmtId="0" fontId="4" fillId="36" borderId="108" xfId="0" applyFont="1" applyFill="1" applyBorder="1" applyAlignment="1">
      <alignment horizontal="left" vertical="center" wrapText="1"/>
    </xf>
    <xf numFmtId="0" fontId="4" fillId="36" borderId="110" xfId="0" applyFont="1" applyFill="1" applyBorder="1" applyAlignment="1">
      <alignment horizontal="left" vertical="center" wrapText="1"/>
    </xf>
    <xf numFmtId="0" fontId="2" fillId="0" borderId="125" xfId="0" applyFont="1" applyBorder="1" applyAlignment="1">
      <alignment horizontal="justify" vertical="top" wrapText="1"/>
    </xf>
    <xf numFmtId="0" fontId="10" fillId="0" borderId="117" xfId="0" applyFont="1" applyBorder="1" applyAlignment="1">
      <alignment horizontal="justify"/>
    </xf>
    <xf numFmtId="0" fontId="10" fillId="0" borderId="116" xfId="0" applyFont="1" applyBorder="1" applyAlignment="1">
      <alignment horizontal="justify"/>
    </xf>
    <xf numFmtId="0" fontId="0" fillId="0" borderId="24" xfId="0" applyBorder="1" applyAlignment="1">
      <alignment horizontal="justify"/>
    </xf>
    <xf numFmtId="0" fontId="0" fillId="0" borderId="117" xfId="0" applyBorder="1" applyAlignment="1">
      <alignment horizontal="justify"/>
    </xf>
    <xf numFmtId="0" fontId="8" fillId="22" borderId="15" xfId="0" applyFont="1" applyFill="1" applyBorder="1" applyAlignment="1">
      <alignment horizontal="center" vertical="center"/>
    </xf>
    <xf numFmtId="0" fontId="10" fillId="0" borderId="24" xfId="0" applyFont="1" applyBorder="1" applyAlignment="1">
      <alignment horizontal="justify"/>
    </xf>
    <xf numFmtId="0" fontId="10" fillId="0" borderId="105" xfId="0" applyFont="1" applyBorder="1" applyAlignment="1">
      <alignment horizontal="justify"/>
    </xf>
    <xf numFmtId="0" fontId="10" fillId="0" borderId="106" xfId="0" applyFont="1" applyBorder="1" applyAlignment="1">
      <alignment horizontal="justify"/>
    </xf>
    <xf numFmtId="0" fontId="4" fillId="36" borderId="23" xfId="0" applyFont="1" applyFill="1" applyBorder="1" applyAlignment="1">
      <alignment horizontal="center" vertical="center"/>
    </xf>
    <xf numFmtId="0" fontId="4" fillId="36" borderId="18" xfId="0" applyFont="1" applyFill="1" applyBorder="1" applyAlignment="1">
      <alignment horizontal="left" vertical="center" wrapText="1"/>
    </xf>
    <xf numFmtId="0" fontId="4" fillId="36" borderId="126" xfId="0" applyFont="1" applyFill="1" applyBorder="1" applyAlignment="1">
      <alignment horizontal="left" vertical="center" wrapText="1"/>
    </xf>
    <xf numFmtId="0" fontId="4" fillId="36" borderId="118" xfId="0" applyFont="1" applyFill="1" applyBorder="1" applyAlignment="1">
      <alignment horizontal="left" vertical="center" wrapText="1"/>
    </xf>
    <xf numFmtId="0" fontId="2" fillId="0" borderId="120" xfId="0" applyFont="1" applyBorder="1" applyAlignment="1">
      <alignment horizontal="justify" vertical="top" wrapText="1"/>
    </xf>
    <xf numFmtId="0" fontId="2" fillId="0" borderId="23" xfId="0" applyFont="1" applyBorder="1" applyAlignment="1">
      <alignment horizontal="justify" vertical="top" wrapText="1"/>
    </xf>
    <xf numFmtId="0" fontId="2" fillId="0" borderId="121" xfId="0" applyFont="1" applyBorder="1" applyAlignment="1">
      <alignment horizontal="justify" vertical="top" wrapText="1"/>
    </xf>
    <xf numFmtId="0" fontId="47" fillId="2" borderId="107" xfId="0" applyFont="1" applyFill="1" applyBorder="1" applyAlignment="1">
      <alignment horizontal="right" vertical="center"/>
    </xf>
    <xf numFmtId="0" fontId="47" fillId="2" borderId="111" xfId="0" applyFont="1" applyFill="1" applyBorder="1" applyAlignment="1">
      <alignment horizontal="right" vertical="center"/>
    </xf>
    <xf numFmtId="1" fontId="47" fillId="2" borderId="107" xfId="0" applyNumberFormat="1" applyFont="1" applyFill="1" applyBorder="1" applyAlignment="1">
      <alignment horizontal="right" vertical="center"/>
    </xf>
    <xf numFmtId="1" fontId="47" fillId="2" borderId="111" xfId="0" applyNumberFormat="1" applyFont="1" applyFill="1" applyBorder="1" applyAlignment="1">
      <alignment horizontal="right" vertical="center"/>
    </xf>
    <xf numFmtId="175" fontId="47" fillId="2" borderId="107" xfId="0" applyNumberFormat="1" applyFont="1" applyFill="1" applyBorder="1" applyAlignment="1">
      <alignment horizontal="right" vertical="center"/>
    </xf>
    <xf numFmtId="175" fontId="47" fillId="2" borderId="119" xfId="0" applyNumberFormat="1" applyFont="1" applyFill="1" applyBorder="1" applyAlignment="1">
      <alignment horizontal="right" vertical="center"/>
    </xf>
    <xf numFmtId="166" fontId="16" fillId="0" borderId="126" xfId="0" applyNumberFormat="1" applyFont="1" applyBorder="1" applyAlignment="1">
      <alignment vertical="center"/>
    </xf>
    <xf numFmtId="49" fontId="47" fillId="2" borderId="106" xfId="0" applyNumberFormat="1" applyFont="1" applyFill="1" applyBorder="1" applyAlignment="1">
      <alignment horizontal="right" vertical="center"/>
    </xf>
    <xf numFmtId="49" fontId="47" fillId="2" borderId="121" xfId="0" applyNumberFormat="1" applyFont="1" applyFill="1" applyBorder="1" applyAlignment="1">
      <alignment horizontal="right" vertical="center"/>
    </xf>
    <xf numFmtId="166" fontId="4" fillId="2" borderId="106" xfId="0" applyNumberFormat="1" applyFont="1" applyFill="1" applyBorder="1" applyAlignment="1">
      <alignment horizontal="right" vertical="center"/>
    </xf>
    <xf numFmtId="166" fontId="4" fillId="2" borderId="110" xfId="0" applyNumberFormat="1" applyFont="1" applyFill="1" applyBorder="1" applyAlignment="1">
      <alignment horizontal="right" vertical="center"/>
    </xf>
    <xf numFmtId="49" fontId="4" fillId="2" borderId="132" xfId="0" applyNumberFormat="1" applyFont="1" applyFill="1" applyBorder="1" applyAlignment="1">
      <alignment horizontal="right" vertical="center" wrapText="1"/>
    </xf>
    <xf numFmtId="49" fontId="4" fillId="2" borderId="133" xfId="0" applyNumberFormat="1" applyFont="1" applyFill="1" applyBorder="1" applyAlignment="1">
      <alignment horizontal="right" vertical="center" wrapText="1"/>
    </xf>
    <xf numFmtId="49" fontId="4" fillId="2" borderId="1" xfId="0" applyNumberFormat="1" applyFont="1" applyFill="1" applyBorder="1" applyAlignment="1">
      <alignment horizontal="right" vertical="center"/>
    </xf>
    <xf numFmtId="49" fontId="4" fillId="2" borderId="56" xfId="0" applyNumberFormat="1" applyFont="1" applyFill="1" applyBorder="1" applyAlignment="1">
      <alignment horizontal="right" vertical="center"/>
    </xf>
    <xf numFmtId="0" fontId="4" fillId="2" borderId="120" xfId="0" applyFont="1" applyFill="1" applyBorder="1" applyAlignment="1">
      <alignment vertical="center" wrapText="1"/>
    </xf>
    <xf numFmtId="49" fontId="4" fillId="2" borderId="134" xfId="0" applyNumberFormat="1" applyFont="1" applyFill="1" applyBorder="1" applyAlignment="1">
      <alignment horizontal="right" vertical="center"/>
    </xf>
    <xf numFmtId="49" fontId="4" fillId="2" borderId="133" xfId="0" applyNumberFormat="1" applyFont="1" applyFill="1" applyBorder="1" applyAlignment="1">
      <alignment horizontal="right" vertical="center"/>
    </xf>
    <xf numFmtId="0" fontId="1" fillId="0" borderId="24" xfId="0" applyFont="1" applyBorder="1" applyAlignment="1">
      <alignment horizontal="left" vertical="top"/>
    </xf>
    <xf numFmtId="0" fontId="1" fillId="0" borderId="117" xfId="0" applyFont="1" applyBorder="1" applyAlignment="1">
      <alignment horizontal="left" vertical="top"/>
    </xf>
    <xf numFmtId="0" fontId="8" fillId="9" borderId="7" xfId="0" applyFont="1" applyFill="1" applyBorder="1" applyAlignment="1">
      <alignment vertical="center"/>
    </xf>
    <xf numFmtId="0" fontId="8" fillId="9" borderId="23" xfId="0" applyFont="1" applyFill="1" applyBorder="1" applyAlignment="1">
      <alignment vertical="center"/>
    </xf>
    <xf numFmtId="166" fontId="8" fillId="9" borderId="23" xfId="0" applyNumberFormat="1" applyFont="1" applyFill="1" applyBorder="1" applyAlignment="1">
      <alignment vertical="center"/>
    </xf>
    <xf numFmtId="49" fontId="4" fillId="2" borderId="111" xfId="0" applyNumberFormat="1" applyFont="1" applyFill="1" applyBorder="1" applyAlignment="1">
      <alignment horizontal="right" vertical="center"/>
    </xf>
    <xf numFmtId="0" fontId="4" fillId="2" borderId="131" xfId="0" applyFont="1" applyFill="1" applyBorder="1" applyAlignment="1">
      <alignment horizontal="left" vertical="top" wrapText="1"/>
    </xf>
    <xf numFmtId="0" fontId="4" fillId="2" borderId="130" xfId="0" applyFont="1" applyFill="1" applyBorder="1" applyAlignment="1">
      <alignment horizontal="left" vertical="top" wrapText="1"/>
    </xf>
    <xf numFmtId="49" fontId="4" fillId="2" borderId="135" xfId="0" applyNumberFormat="1" applyFont="1" applyFill="1" applyBorder="1" applyAlignment="1">
      <alignment horizontal="right" vertical="center"/>
    </xf>
    <xf numFmtId="0" fontId="8" fillId="2" borderId="109" xfId="0" applyFont="1" applyFill="1" applyBorder="1" applyAlignment="1">
      <alignment vertical="center"/>
    </xf>
    <xf numFmtId="0" fontId="4" fillId="54" borderId="130" xfId="0" applyFont="1" applyFill="1" applyBorder="1" applyAlignment="1">
      <alignment horizontal="left" vertical="top" wrapText="1"/>
    </xf>
    <xf numFmtId="0" fontId="4" fillId="54" borderId="131" xfId="0" applyFont="1" applyFill="1" applyBorder="1" applyAlignment="1">
      <alignment horizontal="left" vertical="top" wrapText="1"/>
    </xf>
    <xf numFmtId="0" fontId="4" fillId="54" borderId="23" xfId="0" applyFont="1" applyFill="1" applyBorder="1" applyAlignment="1">
      <alignment horizontal="left" vertical="center" wrapText="1"/>
    </xf>
    <xf numFmtId="0" fontId="4" fillId="54" borderId="104" xfId="0" applyFont="1" applyFill="1" applyBorder="1" applyAlignment="1">
      <alignment horizontal="left" vertical="center" wrapText="1"/>
    </xf>
    <xf numFmtId="0" fontId="4" fillId="54" borderId="105" xfId="0" applyFont="1" applyFill="1" applyBorder="1" applyAlignment="1">
      <alignment horizontal="left" vertical="center" wrapText="1"/>
    </xf>
    <xf numFmtId="0" fontId="4" fillId="54" borderId="120" xfId="0" applyFont="1" applyFill="1" applyBorder="1" applyAlignment="1">
      <alignment horizontal="left" vertical="center" wrapText="1"/>
    </xf>
    <xf numFmtId="0" fontId="4" fillId="54" borderId="9" xfId="0" applyFont="1" applyFill="1" applyBorder="1" applyAlignment="1">
      <alignment vertical="center" wrapText="1"/>
    </xf>
    <xf numFmtId="0" fontId="4" fillId="54" borderId="104" xfId="0" applyFont="1" applyFill="1" applyBorder="1" applyAlignment="1">
      <alignment vertical="center" wrapText="1"/>
    </xf>
    <xf numFmtId="0" fontId="4" fillId="54" borderId="130" xfId="0" applyFont="1" applyFill="1" applyBorder="1" applyAlignment="1">
      <alignment vertical="center" wrapText="1"/>
    </xf>
    <xf numFmtId="0" fontId="4" fillId="54" borderId="120" xfId="0" applyFont="1" applyFill="1" applyBorder="1" applyAlignment="1">
      <alignment vertical="center" wrapText="1"/>
    </xf>
    <xf numFmtId="166" fontId="8" fillId="2" borderId="115" xfId="0" applyNumberFormat="1" applyFont="1" applyFill="1" applyBorder="1" applyAlignment="1">
      <alignment horizontal="right" vertical="center"/>
    </xf>
    <xf numFmtId="166" fontId="8" fillId="2" borderId="123" xfId="0" applyNumberFormat="1" applyFont="1" applyFill="1" applyBorder="1" applyAlignment="1">
      <alignment vertical="center"/>
    </xf>
    <xf numFmtId="0" fontId="4" fillId="2" borderId="111" xfId="0" applyFont="1" applyFill="1" applyBorder="1" applyAlignment="1">
      <alignment horizontal="right" vertical="center"/>
    </xf>
    <xf numFmtId="167" fontId="8" fillId="2" borderId="115" xfId="0" applyNumberFormat="1" applyFont="1" applyFill="1" applyBorder="1" applyAlignment="1">
      <alignment vertical="center"/>
    </xf>
    <xf numFmtId="0" fontId="4" fillId="2" borderId="132" xfId="0" applyFont="1" applyFill="1" applyBorder="1" applyAlignment="1">
      <alignment vertical="center"/>
    </xf>
    <xf numFmtId="0" fontId="4" fillId="2" borderId="134" xfId="0" applyFont="1" applyFill="1" applyBorder="1" applyAlignment="1">
      <alignment vertical="center"/>
    </xf>
    <xf numFmtId="0" fontId="4" fillId="2" borderId="132" xfId="0" applyFont="1" applyFill="1" applyBorder="1" applyAlignment="1">
      <alignment horizontal="right" vertical="center"/>
    </xf>
    <xf numFmtId="0" fontId="4" fillId="2" borderId="134" xfId="0" applyFont="1" applyFill="1" applyBorder="1" applyAlignment="1">
      <alignment horizontal="right" vertical="center"/>
    </xf>
    <xf numFmtId="166" fontId="8" fillId="54" borderId="115" xfId="0" applyNumberFormat="1" applyFont="1" applyFill="1" applyBorder="1" applyAlignment="1">
      <alignment vertical="center"/>
    </xf>
    <xf numFmtId="166" fontId="7" fillId="0" borderId="18" xfId="0" applyNumberFormat="1" applyFont="1" applyBorder="1" applyAlignment="1">
      <alignment vertical="center"/>
    </xf>
    <xf numFmtId="166" fontId="8" fillId="2" borderId="127" xfId="0" applyNumberFormat="1" applyFont="1" applyFill="1" applyBorder="1" applyAlignment="1">
      <alignment vertical="center"/>
    </xf>
    <xf numFmtId="0" fontId="4" fillId="55" borderId="104" xfId="0" applyFont="1" applyFill="1" applyBorder="1" applyAlignment="1">
      <alignment horizontal="left" vertical="center" wrapText="1"/>
    </xf>
    <xf numFmtId="0" fontId="4" fillId="55" borderId="105" xfId="0" applyFont="1" applyFill="1" applyBorder="1" applyAlignment="1">
      <alignment horizontal="left" vertical="center" wrapText="1"/>
    </xf>
    <xf numFmtId="49" fontId="4" fillId="55" borderId="132" xfId="0" applyNumberFormat="1" applyFont="1" applyFill="1" applyBorder="1" applyAlignment="1">
      <alignment horizontal="right" vertical="center"/>
    </xf>
    <xf numFmtId="0" fontId="4" fillId="55" borderId="108" xfId="0" applyFont="1" applyFill="1" applyBorder="1" applyAlignment="1">
      <alignment horizontal="left" vertical="center" wrapText="1"/>
    </xf>
    <xf numFmtId="0" fontId="4" fillId="55" borderId="109" xfId="0" applyFont="1" applyFill="1" applyBorder="1" applyAlignment="1">
      <alignment horizontal="left" vertical="center" wrapText="1"/>
    </xf>
    <xf numFmtId="49" fontId="4" fillId="55" borderId="133" xfId="0" applyNumberFormat="1" applyFont="1" applyFill="1" applyBorder="1" applyAlignment="1">
      <alignment horizontal="right" vertical="center"/>
    </xf>
    <xf numFmtId="0" fontId="8" fillId="55" borderId="122" xfId="0" applyFont="1" applyFill="1" applyBorder="1" applyAlignment="1">
      <alignment vertical="center"/>
    </xf>
    <xf numFmtId="0" fontId="8" fillId="55" borderId="123" xfId="0" applyFont="1" applyFill="1" applyBorder="1" applyAlignment="1">
      <alignment vertical="center"/>
    </xf>
    <xf numFmtId="166" fontId="8" fillId="55" borderId="115" xfId="0" applyNumberFormat="1" applyFont="1" applyFill="1" applyBorder="1" applyAlignment="1">
      <alignment vertical="center"/>
    </xf>
    <xf numFmtId="0" fontId="4" fillId="2" borderId="112" xfId="0" applyFont="1" applyFill="1" applyBorder="1" applyAlignment="1">
      <alignment vertical="center"/>
    </xf>
    <xf numFmtId="165" fontId="4" fillId="2" borderId="113" xfId="0" applyNumberFormat="1" applyFont="1" applyFill="1" applyBorder="1" applyAlignment="1">
      <alignment vertical="center"/>
    </xf>
    <xf numFmtId="167" fontId="4" fillId="2" borderId="115" xfId="0" applyNumberFormat="1" applyFont="1" applyFill="1" applyBorder="1" applyAlignment="1">
      <alignment vertical="center"/>
    </xf>
    <xf numFmtId="167" fontId="8" fillId="2" borderId="122" xfId="0" applyNumberFormat="1" applyFont="1" applyFill="1" applyBorder="1" applyAlignment="1">
      <alignment vertical="center"/>
    </xf>
    <xf numFmtId="167" fontId="8" fillId="2" borderId="123" xfId="0" applyNumberFormat="1" applyFont="1" applyFill="1" applyBorder="1" applyAlignment="1">
      <alignment vertical="center"/>
    </xf>
    <xf numFmtId="166" fontId="48" fillId="2" borderId="128" xfId="0" applyNumberFormat="1" applyFont="1" applyFill="1" applyBorder="1"/>
    <xf numFmtId="49" fontId="47" fillId="2" borderId="106" xfId="0" applyNumberFormat="1" applyFont="1" applyFill="1" applyBorder="1" applyAlignment="1">
      <alignment horizontal="right" vertical="center"/>
    </xf>
    <xf numFmtId="49" fontId="47" fillId="2" borderId="121" xfId="0" applyNumberFormat="1" applyFont="1" applyFill="1" applyBorder="1" applyAlignment="1">
      <alignment horizontal="right" vertical="center"/>
    </xf>
    <xf numFmtId="0" fontId="48" fillId="2" borderId="108" xfId="0" applyFont="1" applyFill="1" applyBorder="1"/>
    <xf numFmtId="0" fontId="48" fillId="2" borderId="109" xfId="0" applyFont="1" applyFill="1" applyBorder="1"/>
    <xf numFmtId="168" fontId="48" fillId="2" borderId="115" xfId="0" applyNumberFormat="1" applyFont="1" applyFill="1" applyBorder="1" applyAlignment="1">
      <alignment horizontal="right"/>
    </xf>
    <xf numFmtId="0" fontId="2" fillId="0" borderId="104" xfId="0" applyFont="1" applyBorder="1" applyAlignment="1">
      <alignment horizontal="left" wrapText="1"/>
    </xf>
    <xf numFmtId="0" fontId="2" fillId="0" borderId="105" xfId="0" applyFont="1" applyBorder="1" applyAlignment="1">
      <alignment horizontal="left" wrapText="1"/>
    </xf>
    <xf numFmtId="0" fontId="2" fillId="0" borderId="116" xfId="0" applyFont="1" applyBorder="1" applyAlignment="1">
      <alignment horizontal="left" wrapText="1"/>
    </xf>
    <xf numFmtId="0" fontId="2" fillId="0" borderId="24" xfId="0" applyFont="1" applyBorder="1" applyAlignment="1">
      <alignment horizontal="left" wrapText="1"/>
    </xf>
    <xf numFmtId="0" fontId="2" fillId="0" borderId="120" xfId="0" applyFont="1" applyBorder="1" applyAlignment="1">
      <alignment horizontal="left" wrapText="1"/>
    </xf>
    <xf numFmtId="0" fontId="2" fillId="0" borderId="23" xfId="0" applyFont="1" applyBorder="1" applyAlignment="1">
      <alignment horizontal="left" wrapText="1"/>
    </xf>
    <xf numFmtId="0" fontId="2" fillId="0" borderId="106" xfId="0" applyFont="1" applyBorder="1" applyAlignment="1">
      <alignment horizontal="left" wrapText="1"/>
    </xf>
    <xf numFmtId="0" fontId="2" fillId="0" borderId="117" xfId="0" applyFont="1" applyBorder="1" applyAlignment="1">
      <alignment horizontal="left" wrapText="1"/>
    </xf>
    <xf numFmtId="0" fontId="2" fillId="0" borderId="121" xfId="0" applyFont="1" applyBorder="1" applyAlignment="1">
      <alignment horizontal="left" wrapText="1"/>
    </xf>
    <xf numFmtId="0" fontId="54" fillId="2" borderId="136" xfId="0" applyFont="1" applyFill="1" applyBorder="1"/>
    <xf numFmtId="0" fontId="0" fillId="0" borderId="113" xfId="0" applyBorder="1"/>
    <xf numFmtId="0" fontId="0" fillId="0" borderId="114" xfId="0" applyBorder="1"/>
    <xf numFmtId="0" fontId="104" fillId="0" borderId="112" xfId="0" applyFont="1" applyBorder="1"/>
    <xf numFmtId="0" fontId="104" fillId="0" borderId="113" xfId="0" applyFont="1" applyBorder="1"/>
    <xf numFmtId="0" fontId="104" fillId="0" borderId="114" xfId="0" applyFont="1" applyBorder="1"/>
    <xf numFmtId="0" fontId="105" fillId="0" borderId="112" xfId="0" applyFont="1" applyBorder="1" applyAlignment="1">
      <alignment vertical="center"/>
    </xf>
    <xf numFmtId="0" fontId="105" fillId="0" borderId="113" xfId="0" applyFont="1" applyBorder="1" applyAlignment="1">
      <alignment vertical="center"/>
    </xf>
    <xf numFmtId="165" fontId="106" fillId="0" borderId="114" xfId="0" applyNumberFormat="1" applyFont="1" applyBorder="1" applyAlignment="1">
      <alignment vertical="center"/>
    </xf>
    <xf numFmtId="0" fontId="4" fillId="2" borderId="133" xfId="0" applyFont="1" applyFill="1" applyBorder="1" applyAlignment="1">
      <alignment vertical="center"/>
    </xf>
    <xf numFmtId="0" fontId="8" fillId="2" borderId="112" xfId="7" applyFont="1" applyFill="1" applyBorder="1" applyAlignment="1"/>
    <xf numFmtId="0" fontId="8" fillId="2" borderId="113" xfId="7" applyFont="1" applyFill="1" applyBorder="1" applyAlignment="1"/>
    <xf numFmtId="0" fontId="7" fillId="0" borderId="116" xfId="7" applyFont="1" applyBorder="1" applyAlignment="1">
      <alignment vertical="center"/>
    </xf>
    <xf numFmtId="166" fontId="9" fillId="0" borderId="117" xfId="7" applyNumberFormat="1" applyFont="1" applyBorder="1" applyAlignment="1">
      <alignment vertical="center"/>
    </xf>
    <xf numFmtId="166" fontId="9" fillId="0" borderId="24" xfId="7" applyNumberFormat="1" applyFont="1" applyBorder="1" applyAlignment="1">
      <alignment vertical="center"/>
    </xf>
    <xf numFmtId="0" fontId="7" fillId="0" borderId="120" xfId="7" applyFont="1" applyBorder="1" applyAlignment="1">
      <alignment vertical="center"/>
    </xf>
    <xf numFmtId="166" fontId="9" fillId="0" borderId="121" xfId="7" applyNumberFormat="1" applyFont="1" applyBorder="1" applyAlignment="1">
      <alignment vertical="center"/>
    </xf>
    <xf numFmtId="166" fontId="8" fillId="2" borderId="110" xfId="7" applyNumberFormat="1" applyFont="1" applyFill="1" applyBorder="1"/>
    <xf numFmtId="49" fontId="4" fillId="2" borderId="107" xfId="7" applyNumberFormat="1" applyFont="1" applyFill="1" applyBorder="1" applyAlignment="1">
      <alignment horizontal="right" vertical="center"/>
    </xf>
    <xf numFmtId="49" fontId="4" fillId="2" borderId="111" xfId="7" applyNumberFormat="1" applyFont="1" applyFill="1" applyBorder="1" applyAlignment="1">
      <alignment horizontal="right" vertical="center"/>
    </xf>
    <xf numFmtId="0" fontId="47" fillId="18" borderId="112" xfId="0" applyFont="1" applyFill="1" applyBorder="1" applyAlignment="1">
      <alignment horizontal="left"/>
    </xf>
    <xf numFmtId="0" fontId="47" fillId="18" borderId="114" xfId="0" applyFont="1" applyFill="1" applyBorder="1" applyAlignment="1">
      <alignment horizontal="left"/>
    </xf>
    <xf numFmtId="49" fontId="4" fillId="2" borderId="132" xfId="0" applyNumberFormat="1" applyFont="1" applyFill="1" applyBorder="1" applyAlignment="1">
      <alignment horizontal="right" vertical="center"/>
    </xf>
    <xf numFmtId="49" fontId="4" fillId="2" borderId="134" xfId="0" applyNumberFormat="1" applyFont="1" applyFill="1" applyBorder="1" applyAlignment="1">
      <alignment horizontal="right" vertical="center"/>
    </xf>
    <xf numFmtId="0" fontId="4" fillId="36" borderId="104" xfId="0" applyFont="1" applyFill="1" applyBorder="1" applyAlignment="1">
      <alignment horizontal="center" vertical="center"/>
    </xf>
    <xf numFmtId="0" fontId="4" fillId="36" borderId="105" xfId="0" applyFont="1" applyFill="1" applyBorder="1" applyAlignment="1">
      <alignment horizontal="center" vertical="center"/>
    </xf>
    <xf numFmtId="0" fontId="4" fillId="36" borderId="120" xfId="0" applyFont="1" applyFill="1" applyBorder="1" applyAlignment="1">
      <alignment horizontal="center" vertical="center"/>
    </xf>
    <xf numFmtId="0" fontId="8" fillId="56" borderId="15" xfId="0" applyFont="1" applyFill="1" applyBorder="1" applyAlignment="1">
      <alignment horizontal="center"/>
    </xf>
    <xf numFmtId="0" fontId="10" fillId="57" borderId="16" xfId="0" applyFont="1" applyFill="1" applyBorder="1"/>
    <xf numFmtId="166" fontId="8" fillId="56" borderId="13" xfId="0" applyNumberFormat="1" applyFont="1" applyFill="1" applyBorder="1"/>
    <xf numFmtId="166" fontId="8" fillId="58" borderId="13" xfId="0" applyNumberFormat="1" applyFont="1" applyFill="1" applyBorder="1"/>
    <xf numFmtId="0" fontId="8" fillId="59" borderId="15" xfId="0" applyFont="1" applyFill="1" applyBorder="1" applyAlignment="1">
      <alignment horizontal="center"/>
    </xf>
    <xf numFmtId="166" fontId="8" fillId="59" borderId="13" xfId="0" applyNumberFormat="1" applyFont="1" applyFill="1" applyBorder="1"/>
    <xf numFmtId="166" fontId="8" fillId="60" borderId="13" xfId="0" applyNumberFormat="1" applyFont="1" applyFill="1" applyBorder="1"/>
    <xf numFmtId="0" fontId="79" fillId="61" borderId="104" xfId="9" applyFont="1" applyFill="1" applyBorder="1"/>
    <xf numFmtId="0" fontId="79" fillId="61" borderId="105" xfId="9" applyFont="1" applyFill="1" applyBorder="1"/>
    <xf numFmtId="0" fontId="79" fillId="61" borderId="105" xfId="9" applyFont="1" applyFill="1" applyBorder="1" applyAlignment="1">
      <alignment horizontal="left"/>
    </xf>
    <xf numFmtId="166" fontId="79" fillId="61" borderId="105" xfId="10" applyNumberFormat="1" applyFont="1" applyFill="1" applyBorder="1"/>
    <xf numFmtId="166" fontId="79" fillId="61" borderId="106" xfId="9" applyNumberFormat="1" applyFont="1" applyFill="1" applyBorder="1"/>
    <xf numFmtId="166" fontId="82" fillId="43" borderId="114" xfId="9" applyNumberFormat="1" applyFont="1" applyFill="1" applyBorder="1"/>
    <xf numFmtId="0" fontId="84" fillId="0" borderId="24" xfId="9" applyFont="1" applyBorder="1"/>
    <xf numFmtId="49" fontId="84" fillId="0" borderId="24" xfId="9" applyNumberFormat="1" applyFont="1" applyBorder="1" applyAlignment="1">
      <alignment horizontal="left"/>
    </xf>
    <xf numFmtId="171" fontId="84" fillId="0" borderId="24" xfId="9" applyNumberFormat="1" applyFont="1" applyBorder="1"/>
    <xf numFmtId="0" fontId="80" fillId="0" borderId="24" xfId="9" applyFont="1" applyBorder="1"/>
    <xf numFmtId="166" fontId="80" fillId="0" borderId="24" xfId="9" applyNumberFormat="1" applyFont="1" applyBorder="1"/>
    <xf numFmtId="0" fontId="80" fillId="46" borderId="108" xfId="9" applyFont="1" applyFill="1" applyBorder="1"/>
    <xf numFmtId="0" fontId="80" fillId="46" borderId="109" xfId="9" applyFont="1" applyFill="1" applyBorder="1"/>
    <xf numFmtId="0" fontId="84" fillId="46" borderId="109" xfId="9" applyFont="1" applyFill="1" applyBorder="1"/>
    <xf numFmtId="166" fontId="84" fillId="46" borderId="109" xfId="11" applyNumberFormat="1" applyFont="1" applyFill="1" applyBorder="1"/>
    <xf numFmtId="166" fontId="84" fillId="46" borderId="109" xfId="10" applyNumberFormat="1" applyFont="1" applyFill="1" applyBorder="1"/>
    <xf numFmtId="166" fontId="80" fillId="46" borderId="109" xfId="10" applyNumberFormat="1" applyFont="1" applyFill="1" applyBorder="1"/>
    <xf numFmtId="0" fontId="80" fillId="46" borderId="110" xfId="9" applyFont="1" applyFill="1" applyBorder="1"/>
    <xf numFmtId="0" fontId="82" fillId="44" borderId="108" xfId="9" applyFont="1" applyFill="1" applyBorder="1"/>
    <xf numFmtId="0" fontId="82" fillId="44" borderId="109" xfId="9" applyFont="1" applyFill="1" applyBorder="1"/>
    <xf numFmtId="173" fontId="82" fillId="44" borderId="109" xfId="10" applyNumberFormat="1" applyFont="1" applyFill="1" applyBorder="1"/>
    <xf numFmtId="166" fontId="82" fillId="44" borderId="109" xfId="11" applyNumberFormat="1" applyFont="1" applyFill="1" applyBorder="1"/>
    <xf numFmtId="166" fontId="82" fillId="44" borderId="109" xfId="10" applyNumberFormat="1" applyFont="1" applyFill="1" applyBorder="1"/>
    <xf numFmtId="166" fontId="82" fillId="44" borderId="109" xfId="9" applyNumberFormat="1" applyFont="1" applyFill="1" applyBorder="1"/>
    <xf numFmtId="166" fontId="82" fillId="44" borderId="110" xfId="9" applyNumberFormat="1" applyFont="1" applyFill="1" applyBorder="1"/>
    <xf numFmtId="0" fontId="0" fillId="0" borderId="24" xfId="0" applyFill="1" applyBorder="1"/>
    <xf numFmtId="0" fontId="52" fillId="0" borderId="24" xfId="0" applyFont="1" applyFill="1" applyBorder="1"/>
    <xf numFmtId="166" fontId="100" fillId="0" borderId="24" xfId="0" applyNumberFormat="1" applyFont="1" applyFill="1" applyBorder="1"/>
    <xf numFmtId="166" fontId="0" fillId="0" borderId="24" xfId="0" applyNumberFormat="1" applyFill="1" applyBorder="1"/>
    <xf numFmtId="0" fontId="100" fillId="0" borderId="24" xfId="0" applyFont="1" applyFill="1" applyBorder="1"/>
    <xf numFmtId="166" fontId="91" fillId="0" borderId="24" xfId="0" applyNumberFormat="1" applyFont="1" applyFill="1" applyBorder="1"/>
    <xf numFmtId="166" fontId="101" fillId="0" borderId="24" xfId="0" applyNumberFormat="1" applyFont="1" applyFill="1" applyBorder="1"/>
    <xf numFmtId="0" fontId="100" fillId="0" borderId="24" xfId="0" applyFont="1" applyFill="1" applyBorder="1" applyAlignment="1">
      <alignment horizontal="center"/>
    </xf>
    <xf numFmtId="0" fontId="7" fillId="0" borderId="24" xfId="0" applyFont="1" applyFill="1" applyBorder="1" applyAlignment="1">
      <alignment horizontal="left"/>
    </xf>
    <xf numFmtId="167" fontId="7" fillId="0" borderId="24" xfId="0" applyNumberFormat="1" applyFont="1" applyFill="1" applyBorder="1"/>
    <xf numFmtId="0" fontId="7" fillId="0" borderId="24" xfId="0" applyFont="1" applyFill="1" applyBorder="1"/>
    <xf numFmtId="166" fontId="9" fillId="0" borderId="24" xfId="0" applyNumberFormat="1" applyFont="1" applyBorder="1"/>
    <xf numFmtId="166" fontId="100" fillId="0" borderId="24" xfId="0" applyNumberFormat="1" applyFont="1" applyFill="1" applyBorder="1" applyAlignment="1">
      <alignment horizontal="center"/>
    </xf>
    <xf numFmtId="166" fontId="8" fillId="3" borderId="115" xfId="0" applyNumberFormat="1" applyFont="1" applyFill="1" applyBorder="1" applyAlignment="1">
      <alignment vertical="center"/>
    </xf>
    <xf numFmtId="167" fontId="7" fillId="0" borderId="24" xfId="0" applyNumberFormat="1" applyFont="1" applyFill="1" applyBorder="1" applyAlignment="1">
      <alignment vertical="center"/>
    </xf>
    <xf numFmtId="0" fontId="3" fillId="0" borderId="24" xfId="0" applyFont="1" applyFill="1" applyBorder="1" applyAlignment="1">
      <alignment vertical="center"/>
    </xf>
    <xf numFmtId="0" fontId="7" fillId="0" borderId="24" xfId="0" applyFont="1" applyFill="1" applyBorder="1" applyAlignment="1">
      <alignment vertical="center"/>
    </xf>
    <xf numFmtId="167" fontId="1" fillId="0" borderId="24" xfId="0" applyNumberFormat="1" applyFont="1" applyFill="1" applyBorder="1" applyAlignment="1">
      <alignment vertical="center"/>
    </xf>
    <xf numFmtId="166" fontId="2" fillId="0" borderId="24" xfId="0" applyNumberFormat="1" applyFont="1" applyFill="1" applyBorder="1" applyAlignment="1">
      <alignment horizontal="left" vertical="center"/>
    </xf>
    <xf numFmtId="166" fontId="2" fillId="0" borderId="24" xfId="0" applyNumberFormat="1" applyFont="1" applyFill="1" applyBorder="1" applyAlignment="1">
      <alignment vertical="center"/>
    </xf>
    <xf numFmtId="167" fontId="13" fillId="0" borderId="24" xfId="0" applyNumberFormat="1" applyFont="1" applyFill="1" applyBorder="1" applyAlignment="1">
      <alignment vertical="center"/>
    </xf>
    <xf numFmtId="167" fontId="7" fillId="0" borderId="24" xfId="0" applyNumberFormat="1" applyFont="1" applyFill="1" applyBorder="1" applyAlignment="1">
      <alignment horizontal="center" vertical="center"/>
    </xf>
    <xf numFmtId="166" fontId="1" fillId="0" borderId="24" xfId="0" applyNumberFormat="1" applyFont="1" applyFill="1" applyBorder="1" applyAlignment="1">
      <alignment vertical="center"/>
    </xf>
    <xf numFmtId="167" fontId="7" fillId="0" borderId="24" xfId="0" applyNumberFormat="1" applyFont="1" applyFill="1" applyBorder="1" applyAlignment="1">
      <alignment horizontal="left" vertical="center"/>
    </xf>
    <xf numFmtId="0" fontId="7" fillId="0" borderId="24" xfId="0" applyFont="1" applyFill="1" applyBorder="1" applyAlignment="1">
      <alignment horizontal="left" vertical="center"/>
    </xf>
    <xf numFmtId="167" fontId="16" fillId="0" borderId="24" xfId="0" applyNumberFormat="1" applyFont="1" applyFill="1" applyBorder="1" applyAlignment="1">
      <alignment horizontal="center" vertical="center"/>
    </xf>
    <xf numFmtId="167" fontId="16" fillId="0" borderId="24" xfId="0" applyNumberFormat="1" applyFont="1" applyFill="1" applyBorder="1" applyAlignment="1">
      <alignment vertical="center"/>
    </xf>
    <xf numFmtId="166" fontId="7" fillId="0" borderId="24" xfId="0" applyNumberFormat="1" applyFont="1" applyFill="1" applyBorder="1"/>
    <xf numFmtId="4" fontId="16" fillId="0" borderId="24" xfId="0" applyNumberFormat="1" applyFont="1" applyFill="1" applyBorder="1" applyAlignment="1">
      <alignment horizontal="right" vertical="center"/>
    </xf>
    <xf numFmtId="9" fontId="16" fillId="0" borderId="24" xfId="0" applyNumberFormat="1" applyFont="1" applyFill="1" applyBorder="1" applyAlignment="1">
      <alignment vertical="center"/>
    </xf>
    <xf numFmtId="0" fontId="97" fillId="0" borderId="24" xfId="0" applyFont="1" applyFill="1" applyBorder="1" applyAlignment="1">
      <alignment vertical="center"/>
    </xf>
    <xf numFmtId="167" fontId="3" fillId="0" borderId="24" xfId="0" applyNumberFormat="1" applyFont="1" applyFill="1" applyBorder="1" applyAlignment="1">
      <alignment vertical="center"/>
    </xf>
    <xf numFmtId="0" fontId="9" fillId="0" borderId="24" xfId="0" applyFont="1" applyFill="1" applyBorder="1" applyAlignment="1">
      <alignment horizontal="center"/>
    </xf>
    <xf numFmtId="169" fontId="7" fillId="0" borderId="24" xfId="0" applyNumberFormat="1" applyFont="1" applyFill="1" applyBorder="1" applyAlignment="1">
      <alignment horizontal="left" vertical="center"/>
    </xf>
    <xf numFmtId="170" fontId="7" fillId="0" borderId="24" xfId="0" applyNumberFormat="1" applyFont="1" applyFill="1" applyBorder="1" applyAlignment="1">
      <alignment vertical="center"/>
    </xf>
    <xf numFmtId="0" fontId="7" fillId="0" borderId="24" xfId="0" applyFont="1" applyFill="1" applyBorder="1" applyAlignment="1">
      <alignment horizontal="center" vertical="center"/>
    </xf>
    <xf numFmtId="166" fontId="2" fillId="0" borderId="24" xfId="0" applyNumberFormat="1" applyFont="1" applyFill="1" applyBorder="1" applyAlignment="1">
      <alignment horizontal="left"/>
    </xf>
    <xf numFmtId="166" fontId="8" fillId="21" borderId="115" xfId="0" applyNumberFormat="1" applyFont="1" applyFill="1" applyBorder="1"/>
    <xf numFmtId="166" fontId="7" fillId="0" borderId="24" xfId="0" applyNumberFormat="1" applyFont="1" applyFill="1" applyBorder="1" applyAlignment="1">
      <alignment vertical="center"/>
    </xf>
    <xf numFmtId="166" fontId="8" fillId="22" borderId="115" xfId="0" applyNumberFormat="1" applyFont="1" applyFill="1" applyBorder="1"/>
    <xf numFmtId="166" fontId="8" fillId="2" borderId="115" xfId="0" applyNumberFormat="1" applyFont="1" applyFill="1" applyBorder="1" applyAlignment="1">
      <alignment horizontal="right"/>
    </xf>
  </cellXfs>
  <cellStyles count="13">
    <cellStyle name="Millares 2" xfId="4" xr:uid="{00000000-0005-0000-0000-000000000000}"/>
    <cellStyle name="Millares 2 2" xfId="10" xr:uid="{00000000-0005-0000-0000-000001000000}"/>
    <cellStyle name="Millares 3" xfId="2" xr:uid="{00000000-0005-0000-0000-000002000000}"/>
    <cellStyle name="Millares 4" xfId="12" xr:uid="{00000000-0005-0000-0000-000003000000}"/>
    <cellStyle name="Moneda" xfId="1" builtinId="4"/>
    <cellStyle name="Moneda 2" xfId="8" xr:uid="{00000000-0005-0000-0000-000005000000}"/>
    <cellStyle name="Normal" xfId="0" builtinId="0"/>
    <cellStyle name="Normal 2" xfId="3" xr:uid="{00000000-0005-0000-0000-000007000000}"/>
    <cellStyle name="Normal 2 2" xfId="9" xr:uid="{00000000-0005-0000-0000-000008000000}"/>
    <cellStyle name="Normal 3" xfId="7" xr:uid="{00000000-0005-0000-0000-000009000000}"/>
    <cellStyle name="Porcentaje" xfId="6" builtinId="5"/>
    <cellStyle name="Porcentaje 2" xfId="5" xr:uid="{00000000-0005-0000-0000-00000B000000}"/>
    <cellStyle name="Porcentaje 2 2" xfId="11" xr:uid="{00000000-0005-0000-0000-00000C000000}"/>
  </cellStyles>
  <dxfs count="0"/>
  <tableStyles count="0" defaultTableStyle="TableStyleMedium2" defaultPivotStyle="PivotStyleLight16"/>
  <colors>
    <mruColors>
      <color rgb="FF339966"/>
      <color rgb="FF006666"/>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FUENTES</a:t>
            </a:r>
            <a:r>
              <a:rPr lang="en-US" baseline="0"/>
              <a:t> DE </a:t>
            </a:r>
            <a:r>
              <a:rPr lang="en-US"/>
              <a:t>INGRESOS</a:t>
            </a:r>
          </a:p>
        </c:rich>
      </c:tx>
      <c:overlay val="0"/>
    </c:title>
    <c:autoTitleDeleted val="0"/>
    <c:plotArea>
      <c:layout/>
      <c:doughnutChart>
        <c:varyColors val="1"/>
        <c:ser>
          <c:idx val="0"/>
          <c:order val="0"/>
          <c:explosion val="25"/>
          <c:dPt>
            <c:idx val="0"/>
            <c:bubble3D val="0"/>
            <c:spPr>
              <a:solidFill>
                <a:srgbClr val="003366"/>
              </a:solidFill>
            </c:spPr>
            <c:extLst>
              <c:ext xmlns:c16="http://schemas.microsoft.com/office/drawing/2014/chart" uri="{C3380CC4-5D6E-409C-BE32-E72D297353CC}">
                <c16:uniqueId val="{00000001-49C9-43A2-9AC2-DC6B40D2A49C}"/>
              </c:ext>
            </c:extLst>
          </c:dPt>
          <c:dPt>
            <c:idx val="1"/>
            <c:bubble3D val="0"/>
            <c:spPr>
              <a:solidFill>
                <a:srgbClr val="009900"/>
              </a:solidFill>
            </c:spPr>
            <c:extLst>
              <c:ext xmlns:c16="http://schemas.microsoft.com/office/drawing/2014/chart" uri="{C3380CC4-5D6E-409C-BE32-E72D297353CC}">
                <c16:uniqueId val="{00000003-49C9-43A2-9AC2-DC6B40D2A49C}"/>
              </c:ext>
            </c:extLst>
          </c:dPt>
          <c:dPt>
            <c:idx val="2"/>
            <c:bubble3D val="0"/>
            <c:spPr>
              <a:solidFill>
                <a:srgbClr val="990000"/>
              </a:solidFill>
            </c:spPr>
            <c:extLst>
              <c:ext xmlns:c16="http://schemas.microsoft.com/office/drawing/2014/chart" uri="{C3380CC4-5D6E-409C-BE32-E72D297353CC}">
                <c16:uniqueId val="{00000005-49C9-43A2-9AC2-DC6B40D2A49C}"/>
              </c:ext>
            </c:extLst>
          </c:dPt>
          <c:dPt>
            <c:idx val="3"/>
            <c:bubble3D val="0"/>
            <c:spPr>
              <a:solidFill>
                <a:srgbClr val="00CC99"/>
              </a:solidFill>
            </c:spPr>
            <c:extLst>
              <c:ext xmlns:c16="http://schemas.microsoft.com/office/drawing/2014/chart" uri="{C3380CC4-5D6E-409C-BE32-E72D297353CC}">
                <c16:uniqueId val="{00000007-49C9-43A2-9AC2-DC6B40D2A49C}"/>
              </c:ext>
            </c:extLst>
          </c:dPt>
          <c:dPt>
            <c:idx val="4"/>
            <c:bubble3D val="0"/>
            <c:extLst>
              <c:ext xmlns:c16="http://schemas.microsoft.com/office/drawing/2014/chart" uri="{C3380CC4-5D6E-409C-BE32-E72D297353CC}">
                <c16:uniqueId val="{00000008-49C9-43A2-9AC2-DC6B40D2A49C}"/>
              </c:ext>
            </c:extLst>
          </c:dPt>
          <c:cat>
            <c:strRef>
              <c:f>'GRAFICO PRESUPUESTO ABIERTO'!$A$5:$A$9</c:f>
              <c:strCache>
                <c:ptCount val="5"/>
                <c:pt idx="0">
                  <c:v>INGRESOS PROPIOS</c:v>
                </c:pt>
                <c:pt idx="1">
                  <c:v>INGRESOS DE OTRAS JURISDICCIONES </c:v>
                </c:pt>
                <c:pt idx="2">
                  <c:v>INGRESOS DE CAPITAL</c:v>
                </c:pt>
                <c:pt idx="3">
                  <c:v>OTRAS FUENTES FINANCIERAS</c:v>
                </c:pt>
                <c:pt idx="4">
                  <c:v>OTROS INGRESOS</c:v>
                </c:pt>
              </c:strCache>
            </c:strRef>
          </c:cat>
          <c:val>
            <c:numRef>
              <c:f>'GRAFICO PRESUPUESTO ABIERTO'!$B$5:$B$9</c:f>
              <c:numCache>
                <c:formatCode>_-"$"* #,##0.00_-;\-"$"* #,##0.00_-;_-"$"* "-"??_-;_-@_-</c:formatCode>
                <c:ptCount val="5"/>
                <c:pt idx="0">
                  <c:v>14283331902.160004</c:v>
                </c:pt>
                <c:pt idx="1">
                  <c:v>11153669107.059999</c:v>
                </c:pt>
                <c:pt idx="2">
                  <c:v>4350934536.2800007</c:v>
                </c:pt>
                <c:pt idx="3">
                  <c:v>13</c:v>
                </c:pt>
                <c:pt idx="4">
                  <c:v>3201397.5</c:v>
                </c:pt>
              </c:numCache>
            </c:numRef>
          </c:val>
          <c:extLst>
            <c:ext xmlns:c16="http://schemas.microsoft.com/office/drawing/2014/chart" uri="{C3380CC4-5D6E-409C-BE32-E72D297353CC}">
              <c16:uniqueId val="{00000009-49C9-43A2-9AC2-DC6B40D2A49C}"/>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egendEntry>
        <c:idx val="4"/>
        <c:delete val="1"/>
      </c:legendEntry>
      <c:layout>
        <c:manualLayout>
          <c:xMode val="edge"/>
          <c:yMode val="edge"/>
          <c:x val="0.68127230971128605"/>
          <c:y val="0.21528506853310003"/>
          <c:w val="0.29792629046369212"/>
          <c:h val="0.5555745115193934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FUENTES</a:t>
            </a:r>
            <a:r>
              <a:rPr lang="en-US" baseline="0"/>
              <a:t> DE </a:t>
            </a:r>
            <a:r>
              <a:rPr lang="en-US"/>
              <a:t>INGRESOS</a:t>
            </a:r>
          </a:p>
        </c:rich>
      </c:tx>
      <c:overlay val="0"/>
    </c:title>
    <c:autoTitleDeleted val="0"/>
    <c:plotArea>
      <c:layout/>
      <c:doughnutChart>
        <c:varyColors val="1"/>
        <c:ser>
          <c:idx val="0"/>
          <c:order val="0"/>
          <c:explosion val="25"/>
          <c:dPt>
            <c:idx val="0"/>
            <c:bubble3D val="0"/>
            <c:spPr>
              <a:solidFill>
                <a:srgbClr val="003366"/>
              </a:solidFill>
            </c:spPr>
            <c:extLst>
              <c:ext xmlns:c16="http://schemas.microsoft.com/office/drawing/2014/chart" uri="{C3380CC4-5D6E-409C-BE32-E72D297353CC}">
                <c16:uniqueId val="{00000001-1036-46AE-B103-145E8B16876E}"/>
              </c:ext>
            </c:extLst>
          </c:dPt>
          <c:dPt>
            <c:idx val="1"/>
            <c:bubble3D val="0"/>
            <c:spPr>
              <a:solidFill>
                <a:srgbClr val="009900"/>
              </a:solidFill>
            </c:spPr>
            <c:extLst>
              <c:ext xmlns:c16="http://schemas.microsoft.com/office/drawing/2014/chart" uri="{C3380CC4-5D6E-409C-BE32-E72D297353CC}">
                <c16:uniqueId val="{00000003-1036-46AE-B103-145E8B16876E}"/>
              </c:ext>
            </c:extLst>
          </c:dPt>
          <c:dPt>
            <c:idx val="2"/>
            <c:bubble3D val="0"/>
            <c:spPr>
              <a:solidFill>
                <a:srgbClr val="990000"/>
              </a:solidFill>
            </c:spPr>
            <c:extLst>
              <c:ext xmlns:c16="http://schemas.microsoft.com/office/drawing/2014/chart" uri="{C3380CC4-5D6E-409C-BE32-E72D297353CC}">
                <c16:uniqueId val="{00000005-1036-46AE-B103-145E8B16876E}"/>
              </c:ext>
            </c:extLst>
          </c:dPt>
          <c:dPt>
            <c:idx val="3"/>
            <c:bubble3D val="0"/>
            <c:spPr>
              <a:solidFill>
                <a:srgbClr val="00CC99"/>
              </a:solidFill>
            </c:spPr>
            <c:extLst>
              <c:ext xmlns:c16="http://schemas.microsoft.com/office/drawing/2014/chart" uri="{C3380CC4-5D6E-409C-BE32-E72D297353CC}">
                <c16:uniqueId val="{00000007-1036-46AE-B103-145E8B16876E}"/>
              </c:ext>
            </c:extLst>
          </c:dPt>
          <c:dPt>
            <c:idx val="4"/>
            <c:bubble3D val="0"/>
            <c:extLst>
              <c:ext xmlns:c16="http://schemas.microsoft.com/office/drawing/2014/chart" uri="{C3380CC4-5D6E-409C-BE32-E72D297353CC}">
                <c16:uniqueId val="{00000008-1036-46AE-B103-145E8B16876E}"/>
              </c:ext>
            </c:extLst>
          </c:dPt>
          <c:cat>
            <c:strRef>
              <c:f>'GRAFICO PRESUPUESTO ABIERTO'!$A$23:$A$31</c:f>
              <c:strCache>
                <c:ptCount val="9"/>
                <c:pt idx="0">
                  <c:v>EDUCACION Y CULTURA</c:v>
                </c:pt>
                <c:pt idx="1">
                  <c:v>SALUD Y PREVENCION</c:v>
                </c:pt>
                <c:pt idx="2">
                  <c:v>DESARROLLO URBANISTICO Y PROTECCION DEL MEDIO AMBIENTE</c:v>
                </c:pt>
                <c:pt idx="3">
                  <c:v>INCLUSION SOCIAL - ACCESIBILIDAD Y MAYORES OPORTUNIDADES PARA TODOS</c:v>
                </c:pt>
                <c:pt idx="4">
                  <c:v>SEGURIDAD CIUDADANA</c:v>
                </c:pt>
                <c:pt idx="5">
                  <c:v>TRANSPARENCIA - BUENAS PRACTICAS DE GESTION Y CUMPLIMIENTO DE ESTANDARES INTERNACIONALES EN LA ADMINISTRACION</c:v>
                </c:pt>
                <c:pt idx="6">
                  <c:v>AUTOSUSTENTABILIDAD FINANCIERA</c:v>
                </c:pt>
                <c:pt idx="7">
                  <c:v>RESGUARDO LEGAL - APOYO INSTITUCIONAL Y DE LAS PERSONAS</c:v>
                </c:pt>
                <c:pt idx="8">
                  <c:v>OTROS (CONCEJO - AUDITORIA - TRIB.CTAS….)</c:v>
                </c:pt>
              </c:strCache>
            </c:strRef>
          </c:cat>
          <c:val>
            <c:numRef>
              <c:f>'GRAFICO PRESUPUESTO ABIERTO'!$C$23:$C$31</c:f>
              <c:numCache>
                <c:formatCode>_ "$"\ * #,##0.00_ ;_ "$"\ * \-#,##0.00_ ;_ "$"\ * "-"??_ ;_ @_ </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1036-46AE-B103-145E8B16876E}"/>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1"/>
                <c:order val="1"/>
                <c:cat>
                  <c:strRef>
                    <c:extLst>
                      <c:ext uri="{02D57815-91ED-43cb-92C2-25804820EDAC}">
                        <c15:formulaRef>
                          <c15:sqref>'GRAFICO PRESUPUESTO ABIERTO'!$A$23:$A$31</c15:sqref>
                        </c15:formulaRef>
                      </c:ext>
                    </c:extLst>
                    <c:strCache>
                      <c:ptCount val="9"/>
                      <c:pt idx="0">
                        <c:v>EDUCACION Y CULTURA</c:v>
                      </c:pt>
                      <c:pt idx="1">
                        <c:v>SALUD Y PREVENCION</c:v>
                      </c:pt>
                      <c:pt idx="2">
                        <c:v>DESARROLLO URBANISTICO Y PROTECCION DEL MEDIO AMBIENTE</c:v>
                      </c:pt>
                      <c:pt idx="3">
                        <c:v>INCLUSION SOCIAL - ACCESIBILIDAD Y MAYORES OPORTUNIDADES PARA TODOS</c:v>
                      </c:pt>
                      <c:pt idx="4">
                        <c:v>SEGURIDAD CIUDADANA</c:v>
                      </c:pt>
                      <c:pt idx="5">
                        <c:v>TRANSPARENCIA - BUENAS PRACTICAS DE GESTION Y CUMPLIMIENTO DE ESTANDARES INTERNACIONALES EN LA ADMINISTRACION</c:v>
                      </c:pt>
                      <c:pt idx="6">
                        <c:v>AUTOSUSTENTABILIDAD FINANCIERA</c:v>
                      </c:pt>
                      <c:pt idx="7">
                        <c:v>RESGUARDO LEGAL - APOYO INSTITUCIONAL Y DE LAS PERSONAS</c:v>
                      </c:pt>
                      <c:pt idx="8">
                        <c:v>OTROS (CONCEJO - AUDITORIA - TRIB.CTAS….)</c:v>
                      </c:pt>
                    </c:strCache>
                  </c:strRef>
                </c:cat>
                <c:val>
                  <c:numRef>
                    <c:extLst>
                      <c:ext uri="{02D57815-91ED-43cb-92C2-25804820EDAC}">
                        <c15:formulaRef>
                          <c15:sqref>'GRAFICO PRESUPUESTO ABIERTO'!$D$23:$D$31</c15:sqref>
                        </c15:formulaRef>
                      </c:ext>
                    </c:extLst>
                    <c:numCache>
                      <c:formatCode>_ "$"\ * #,##0.00_ ;_ "$"\ * \-#,##0.00_ ;_ "$"\ * "-"??_ ;_ @_ </c:formatCode>
                      <c:ptCount val="9"/>
                    </c:numCache>
                  </c:numRef>
                </c:val>
                <c:extLst>
                  <c:ext xmlns:c16="http://schemas.microsoft.com/office/drawing/2014/chart" uri="{C3380CC4-5D6E-409C-BE32-E72D297353CC}">
                    <c16:uniqueId val="{0000000A-1036-46AE-B103-145E8B16876E}"/>
                  </c:ext>
                </c:extLst>
              </c15:ser>
            </c15:filteredPieSeries>
          </c:ext>
        </c:extLst>
      </c:doughnutChart>
      <c:spPr>
        <a:noFill/>
        <a:ln w="25400">
          <a:noFill/>
        </a:ln>
      </c:spPr>
    </c:plotArea>
    <c:legend>
      <c:legendPos val="l"/>
      <c:legendEntry>
        <c:idx val="4"/>
        <c:delete val="1"/>
      </c:legendEntry>
      <c:layout>
        <c:manualLayout>
          <c:xMode val="edge"/>
          <c:yMode val="edge"/>
          <c:x val="1.7474877455701874E-3"/>
          <c:y val="7.7080708289908706E-2"/>
          <c:w val="0.33513333744291079"/>
          <c:h val="0.92061190197441356"/>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333375</xdr:colOff>
      <xdr:row>3</xdr:row>
      <xdr:rowOff>66675</xdr:rowOff>
    </xdr:from>
    <xdr:to>
      <xdr:col>10</xdr:col>
      <xdr:colOff>333375</xdr:colOff>
      <xdr:row>15</xdr:row>
      <xdr:rowOff>66675</xdr:rowOff>
    </xdr:to>
    <xdr:graphicFrame macro="">
      <xdr:nvGraphicFramePr>
        <xdr:cNvPr id="2" name="2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761999</xdr:colOff>
      <xdr:row>29</xdr:row>
      <xdr:rowOff>438149</xdr:rowOff>
    </xdr:from>
    <xdr:to>
      <xdr:col>15</xdr:col>
      <xdr:colOff>409575</xdr:colOff>
      <xdr:row>60</xdr:row>
      <xdr:rowOff>95250</xdr:rowOff>
    </xdr:to>
    <xdr:graphicFrame macro="">
      <xdr:nvGraphicFramePr>
        <xdr:cNvPr id="4" name="2 Gráfico">
          <a:extLst>
            <a:ext uri="{FF2B5EF4-FFF2-40B4-BE49-F238E27FC236}">
              <a16:creationId xmlns:a16="http://schemas.microsoft.com/office/drawing/2014/main" id="{B4FF627D-E664-47E2-A8C5-DD566C455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2257425</xdr:colOff>
      <xdr:row>9</xdr:row>
      <xdr:rowOff>57150</xdr:rowOff>
    </xdr:from>
    <xdr:ext cx="190500" cy="266700"/>
    <xdr:sp macro="" textlink="">
      <xdr:nvSpPr>
        <xdr:cNvPr id="3" name="Shape 3">
          <a:extLst>
            <a:ext uri="{FF2B5EF4-FFF2-40B4-BE49-F238E27FC236}">
              <a16:creationId xmlns:a16="http://schemas.microsoft.com/office/drawing/2014/main" id="{00000000-0008-0000-0A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Presupuesto%20de%20Ingresos%20y%20Gastos%20por%20Ejes%20de%20Gestion%202023%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RESUPUESTO ABIERTO"/>
      <sheetName val="INGRESOS 2023"/>
      <sheetName val="Educacion y Cultura"/>
      <sheetName val="Salud y Prevención"/>
      <sheetName val="Desarrollo Urbanistico"/>
      <sheetName val="Inclusion Social"/>
      <sheetName val="Seguridad Ciudadana"/>
      <sheetName val="Transparencia"/>
      <sheetName val="Autosustentabilidad Financiera"/>
      <sheetName val="Resguardo Legal - Apoyo Institu"/>
      <sheetName val="JUSTICIA ELECTORAL 2021"/>
      <sheetName val="CAM 2021"/>
      <sheetName val="T-Admis-Conc-2021"/>
      <sheetName val="Ente Control SM 2021"/>
      <sheetName val="T-Reclam-Apelac-2021"/>
      <sheetName val="Auditoria 2022"/>
      <sheetName val="Trib-ctas 2022"/>
      <sheetName val="Concejo Deliberante 2022"/>
      <sheetName val="justicia de faltas 20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D7"/>
  <sheetViews>
    <sheetView workbookViewId="0">
      <selection activeCell="D6" sqref="D6"/>
    </sheetView>
  </sheetViews>
  <sheetFormatPr baseColWidth="10" defaultRowHeight="12.75"/>
  <cols>
    <col min="1" max="1" width="19.5703125" bestFit="1" customWidth="1"/>
    <col min="2" max="3" width="18.140625" bestFit="1" customWidth="1"/>
    <col min="4" max="4" width="13" customWidth="1"/>
  </cols>
  <sheetData>
    <row r="3" spans="1:4">
      <c r="B3">
        <v>2021</v>
      </c>
      <c r="C3">
        <v>2022</v>
      </c>
    </row>
    <row r="4" spans="1:4">
      <c r="A4" s="246" t="s">
        <v>449</v>
      </c>
      <c r="B4" s="701">
        <v>4011576655.27</v>
      </c>
      <c r="C4" s="701" t="e">
        <f>cuadro!L29</f>
        <v>#REF!</v>
      </c>
      <c r="D4" s="702" t="e">
        <f>(C4/B4)-1</f>
        <v>#REF!</v>
      </c>
    </row>
    <row r="5" spans="1:4">
      <c r="A5" s="246" t="s">
        <v>447</v>
      </c>
      <c r="B5" s="701">
        <v>640500000</v>
      </c>
      <c r="C5" s="701" t="e">
        <f>#REF!</f>
        <v>#REF!</v>
      </c>
      <c r="D5" s="702" t="e">
        <f>(C5/B5)-1</f>
        <v>#REF!</v>
      </c>
    </row>
    <row r="6" spans="1:4">
      <c r="A6" s="246" t="s">
        <v>448</v>
      </c>
      <c r="B6" s="701">
        <f>B4-B5</f>
        <v>3371076655.27</v>
      </c>
      <c r="C6" s="701" t="e">
        <f>C4-C5</f>
        <v>#REF!</v>
      </c>
      <c r="D6" s="702" t="e">
        <f>(C6/B6)-1</f>
        <v>#REF!</v>
      </c>
    </row>
    <row r="7" spans="1:4">
      <c r="C7" s="70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FF33"/>
  </sheetPr>
  <dimension ref="A1:AH714"/>
  <sheetViews>
    <sheetView zoomScaleNormal="100" workbookViewId="0">
      <selection activeCell="D12" sqref="D12"/>
    </sheetView>
  </sheetViews>
  <sheetFormatPr baseColWidth="10" defaultColWidth="14.42578125" defaultRowHeight="15" customHeight="1"/>
  <cols>
    <col min="1" max="1" width="10.7109375" customWidth="1"/>
    <col min="2" max="2" width="50.7109375" customWidth="1"/>
    <col min="3" max="3" width="15.7109375" customWidth="1"/>
    <col min="4" max="4" width="17.140625" customWidth="1"/>
    <col min="5" max="5" width="17.7109375" customWidth="1"/>
    <col min="6" max="6" width="15.85546875" customWidth="1"/>
    <col min="7" max="8" width="13.5703125" customWidth="1"/>
    <col min="9" max="9" width="17.7109375" customWidth="1"/>
    <col min="10" max="10" width="16.140625" customWidth="1"/>
    <col min="11" max="11" width="13.7109375" customWidth="1"/>
    <col min="12" max="12" width="15.140625" customWidth="1"/>
    <col min="13" max="23" width="11.42578125" customWidth="1"/>
    <col min="24" max="24" width="10.7109375" customWidth="1"/>
  </cols>
  <sheetData>
    <row r="1" spans="1:28" ht="15" customHeight="1" thickBot="1">
      <c r="A1" s="1555" t="s">
        <v>976</v>
      </c>
      <c r="B1" s="1556"/>
      <c r="C1" s="1557"/>
    </row>
    <row r="2" spans="1:28" ht="12.75" customHeight="1" thickBot="1">
      <c r="A2" s="4"/>
      <c r="B2" s="4"/>
      <c r="C2" s="3"/>
      <c r="D2" s="4"/>
      <c r="E2" s="60"/>
      <c r="F2" s="4"/>
      <c r="G2" s="4"/>
      <c r="H2" s="4"/>
      <c r="I2" s="4"/>
      <c r="J2" s="4"/>
      <c r="K2" s="4"/>
      <c r="L2" s="4"/>
      <c r="M2" s="4"/>
      <c r="N2" s="4"/>
      <c r="O2" s="4"/>
      <c r="P2" s="4"/>
      <c r="Q2" s="4"/>
      <c r="R2" s="4"/>
      <c r="S2" s="4"/>
      <c r="T2" s="4"/>
      <c r="U2" s="4"/>
      <c r="V2" s="4"/>
      <c r="W2" s="4"/>
      <c r="X2" s="4"/>
    </row>
    <row r="3" spans="1:28" ht="12.75" customHeight="1">
      <c r="A3" s="1383" t="s">
        <v>894</v>
      </c>
      <c r="B3" s="1499"/>
      <c r="C3" s="1161" t="s">
        <v>803</v>
      </c>
      <c r="D3" s="4"/>
      <c r="E3" s="34"/>
      <c r="F3" s="4"/>
      <c r="G3" s="4"/>
      <c r="H3" s="4"/>
      <c r="I3" s="4"/>
      <c r="J3" s="4"/>
      <c r="K3" s="4"/>
      <c r="L3" s="4"/>
      <c r="M3" s="4"/>
      <c r="N3" s="4"/>
      <c r="O3" s="4"/>
      <c r="P3" s="4"/>
      <c r="Q3" s="4"/>
      <c r="R3" s="4"/>
      <c r="S3" s="4"/>
      <c r="T3" s="4"/>
      <c r="U3" s="4"/>
      <c r="V3" s="4"/>
      <c r="W3" s="4"/>
      <c r="X3" s="4"/>
    </row>
    <row r="4" spans="1:28" ht="12.75" customHeight="1" thickBot="1">
      <c r="A4" s="1385"/>
      <c r="B4" s="1498"/>
      <c r="C4" s="1500"/>
      <c r="D4" s="4"/>
      <c r="E4" s="34"/>
      <c r="F4" s="4"/>
      <c r="G4" s="4"/>
      <c r="H4" s="4"/>
      <c r="I4" s="4"/>
      <c r="J4" s="4"/>
      <c r="K4" s="4"/>
      <c r="L4" s="4"/>
      <c r="M4" s="4"/>
      <c r="N4" s="4"/>
      <c r="O4" s="4"/>
      <c r="P4" s="4"/>
      <c r="Q4" s="4"/>
      <c r="R4" s="4"/>
      <c r="S4" s="4"/>
      <c r="T4" s="4"/>
      <c r="U4" s="4"/>
      <c r="V4" s="4"/>
      <c r="W4" s="4"/>
      <c r="X4" s="4"/>
    </row>
    <row r="5" spans="1:28" ht="12.75" customHeight="1">
      <c r="A5" s="1025" t="s">
        <v>675</v>
      </c>
      <c r="B5" s="1026"/>
      <c r="C5" s="1027"/>
      <c r="D5" s="23"/>
      <c r="E5" s="33"/>
      <c r="F5" s="23"/>
      <c r="G5" s="23"/>
      <c r="H5" s="23"/>
      <c r="I5" s="23"/>
      <c r="J5" s="23"/>
      <c r="K5" s="23"/>
      <c r="L5" s="23"/>
      <c r="M5" s="23"/>
      <c r="N5" s="23"/>
      <c r="O5" s="23"/>
      <c r="P5" s="23"/>
      <c r="Q5" s="23"/>
      <c r="R5" s="23"/>
      <c r="S5" s="23"/>
      <c r="T5" s="23"/>
      <c r="U5" s="23"/>
      <c r="V5" s="23"/>
      <c r="W5" s="23"/>
      <c r="X5" s="23"/>
    </row>
    <row r="6" spans="1:28" ht="12.75" customHeight="1">
      <c r="A6" s="1028" t="s">
        <v>710</v>
      </c>
      <c r="B6" s="808"/>
      <c r="C6" s="1029"/>
      <c r="D6" s="23"/>
      <c r="E6" s="33"/>
      <c r="F6" s="23"/>
      <c r="G6" s="23"/>
      <c r="H6" s="23"/>
      <c r="I6" s="23"/>
      <c r="J6" s="23"/>
      <c r="K6" s="23"/>
      <c r="L6" s="23"/>
      <c r="M6" s="23"/>
      <c r="N6" s="23"/>
      <c r="O6" s="23"/>
      <c r="P6" s="23"/>
      <c r="Q6" s="23"/>
      <c r="R6" s="23"/>
      <c r="S6" s="23"/>
      <c r="T6" s="23"/>
      <c r="U6" s="23"/>
      <c r="V6" s="23"/>
      <c r="W6" s="23"/>
      <c r="X6" s="23"/>
    </row>
    <row r="7" spans="1:28" ht="12.75" customHeight="1">
      <c r="A7" s="1028" t="s">
        <v>718</v>
      </c>
      <c r="B7" s="808"/>
      <c r="C7" s="1029"/>
      <c r="D7" s="808"/>
      <c r="E7" s="1021"/>
      <c r="F7" s="808"/>
      <c r="G7" s="808"/>
      <c r="H7" s="808"/>
      <c r="I7" s="808"/>
      <c r="J7" s="808"/>
      <c r="K7" s="808"/>
      <c r="L7" s="808"/>
      <c r="M7" s="808"/>
      <c r="N7" s="808"/>
      <c r="O7" s="808"/>
      <c r="P7" s="808"/>
      <c r="Q7" s="808"/>
      <c r="R7" s="808"/>
      <c r="S7" s="808"/>
      <c r="T7" s="808"/>
      <c r="U7" s="808"/>
      <c r="V7" s="808"/>
      <c r="W7" s="808"/>
      <c r="X7" s="808"/>
      <c r="Y7" s="984"/>
      <c r="Z7" s="984"/>
      <c r="AA7" s="984"/>
      <c r="AB7" s="984"/>
    </row>
    <row r="8" spans="1:28" ht="12" customHeight="1" thickBot="1">
      <c r="A8" s="1030" t="s">
        <v>0</v>
      </c>
      <c r="B8" s="1031"/>
      <c r="C8" s="1032"/>
      <c r="D8" s="808"/>
      <c r="E8" s="1021"/>
      <c r="F8" s="808"/>
      <c r="G8" s="808"/>
      <c r="H8" s="808"/>
      <c r="I8" s="808"/>
      <c r="J8" s="808"/>
      <c r="K8" s="808"/>
      <c r="L8" s="808"/>
      <c r="M8" s="808"/>
      <c r="N8" s="808"/>
      <c r="O8" s="808"/>
      <c r="P8" s="808"/>
      <c r="Q8" s="808"/>
      <c r="R8" s="808"/>
      <c r="S8" s="808"/>
      <c r="T8" s="808"/>
      <c r="U8" s="808"/>
      <c r="V8" s="808"/>
      <c r="W8" s="808"/>
      <c r="X8" s="808"/>
      <c r="Y8" s="984"/>
      <c r="Z8" s="984"/>
      <c r="AA8" s="984"/>
      <c r="AB8" s="984"/>
    </row>
    <row r="9" spans="1:28" ht="12.75" customHeight="1" thickBot="1">
      <c r="A9" s="1190" t="s">
        <v>1</v>
      </c>
      <c r="B9" s="1501"/>
      <c r="C9" s="1033">
        <f>C11+C34+C56+C81</f>
        <v>1063989271.6675</v>
      </c>
      <c r="D9" s="1041"/>
      <c r="E9" s="1034"/>
      <c r="F9" s="808"/>
      <c r="G9" s="808"/>
      <c r="H9" s="808"/>
      <c r="I9" s="808"/>
      <c r="J9" s="808"/>
      <c r="K9" s="808"/>
      <c r="L9" s="808"/>
      <c r="M9" s="808"/>
      <c r="N9" s="808"/>
      <c r="O9" s="808"/>
      <c r="P9" s="808"/>
      <c r="Q9" s="808"/>
      <c r="R9" s="808"/>
      <c r="S9" s="808"/>
      <c r="T9" s="808"/>
      <c r="U9" s="808"/>
      <c r="V9" s="808"/>
      <c r="W9" s="808"/>
      <c r="X9" s="808"/>
      <c r="Y9" s="984"/>
      <c r="Z9" s="984"/>
      <c r="AA9" s="984"/>
      <c r="AB9" s="984"/>
    </row>
    <row r="10" spans="1:28" ht="12.75" customHeight="1" thickBot="1">
      <c r="A10" s="21"/>
      <c r="B10" s="21"/>
      <c r="C10" s="26"/>
      <c r="D10" s="1022"/>
      <c r="E10" s="995"/>
      <c r="F10" s="995"/>
      <c r="G10" s="995"/>
      <c r="H10" s="995"/>
      <c r="I10" s="995"/>
      <c r="J10" s="995"/>
      <c r="K10" s="995"/>
      <c r="L10" s="995"/>
      <c r="M10" s="995"/>
      <c r="N10" s="995"/>
      <c r="O10" s="808"/>
      <c r="P10" s="808"/>
      <c r="Q10" s="808"/>
      <c r="R10" s="808"/>
      <c r="S10" s="808"/>
      <c r="T10" s="808"/>
      <c r="U10" s="808"/>
      <c r="V10" s="808"/>
      <c r="W10" s="808"/>
      <c r="X10" s="808"/>
      <c r="Y10" s="984"/>
      <c r="Z10" s="984"/>
      <c r="AA10" s="984"/>
      <c r="AB10" s="984"/>
    </row>
    <row r="11" spans="1:28" ht="12.75" customHeight="1" thickBot="1">
      <c r="A11" s="1314" t="s">
        <v>2</v>
      </c>
      <c r="B11" s="1416"/>
      <c r="C11" s="1624">
        <f>C12+C19+C26</f>
        <v>909595537.28750002</v>
      </c>
      <c r="D11" s="1618"/>
      <c r="E11" s="1618"/>
      <c r="F11" s="1618"/>
      <c r="G11" s="1618"/>
      <c r="H11" s="1618"/>
      <c r="I11" s="1618"/>
      <c r="J11" s="1618"/>
      <c r="K11" s="1618"/>
      <c r="L11" s="1618"/>
      <c r="M11" s="1625"/>
      <c r="N11" s="1625"/>
      <c r="O11" s="1625"/>
      <c r="P11" s="1625"/>
      <c r="Q11" s="1625"/>
      <c r="R11" s="1625"/>
      <c r="S11" s="1011"/>
      <c r="T11" s="1011"/>
      <c r="U11" s="1011"/>
      <c r="V11" s="1011"/>
      <c r="W11" s="1011"/>
      <c r="X11" s="1011"/>
      <c r="Y11" s="984"/>
      <c r="Z11" s="984"/>
      <c r="AA11" s="984"/>
      <c r="AB11" s="984"/>
    </row>
    <row r="12" spans="1:28" ht="12.75" customHeight="1">
      <c r="A12" s="48">
        <v>211101</v>
      </c>
      <c r="B12" s="22" t="s">
        <v>667</v>
      </c>
      <c r="C12" s="970">
        <f>SUM(C13:C18)</f>
        <v>377203075.27499998</v>
      </c>
      <c r="D12" s="1623"/>
      <c r="E12" s="1623"/>
      <c r="F12" s="1623"/>
      <c r="G12" s="1623"/>
      <c r="H12" s="1623"/>
      <c r="I12" s="1623"/>
      <c r="J12" s="1623"/>
      <c r="K12" s="1623"/>
      <c r="L12" s="1623"/>
      <c r="M12" s="1626"/>
      <c r="N12" s="1626"/>
      <c r="O12" s="1626"/>
      <c r="P12" s="1626"/>
      <c r="Q12" s="1626"/>
      <c r="R12" s="1626"/>
      <c r="S12" s="1020"/>
      <c r="T12" s="1020"/>
      <c r="U12" s="1020"/>
      <c r="V12" s="1020"/>
      <c r="W12" s="1020"/>
      <c r="X12" s="1020"/>
      <c r="Y12" s="984"/>
      <c r="Z12" s="984"/>
      <c r="AA12" s="984"/>
      <c r="AB12" s="984"/>
    </row>
    <row r="13" spans="1:28" ht="12.75" customHeight="1">
      <c r="A13" s="33">
        <v>21110101</v>
      </c>
      <c r="B13" s="24" t="s">
        <v>810</v>
      </c>
      <c r="C13" s="809">
        <f>157997806.2425+24082212.27+22995325.47+70000000</f>
        <v>275075343.98250002</v>
      </c>
      <c r="D13" s="1615"/>
      <c r="E13" s="1615"/>
      <c r="F13" s="1615"/>
      <c r="G13" s="1615"/>
      <c r="H13" s="1615"/>
      <c r="I13" s="1615"/>
      <c r="J13" s="1615"/>
      <c r="K13" s="1615"/>
      <c r="L13" s="1615"/>
      <c r="M13" s="1627"/>
      <c r="N13" s="1627"/>
      <c r="O13" s="1627"/>
      <c r="P13" s="1627"/>
      <c r="Q13" s="1627"/>
      <c r="R13" s="1627"/>
      <c r="S13" s="808"/>
      <c r="T13" s="808"/>
      <c r="U13" s="808"/>
      <c r="V13" s="808"/>
      <c r="W13" s="808"/>
      <c r="X13" s="808"/>
      <c r="Y13" s="984"/>
      <c r="Z13" s="984"/>
      <c r="AA13" s="984"/>
      <c r="AB13" s="984"/>
    </row>
    <row r="14" spans="1:28" ht="12.75" customHeight="1">
      <c r="A14" s="33">
        <v>21110102</v>
      </c>
      <c r="B14" s="24" t="s">
        <v>811</v>
      </c>
      <c r="C14" s="809">
        <f>26697429.915+6991610.01+3864189.42+30000000</f>
        <v>67553229.344999999</v>
      </c>
      <c r="D14" s="1615"/>
      <c r="E14" s="1615"/>
      <c r="F14" s="1615"/>
      <c r="G14" s="1615"/>
      <c r="H14" s="1615"/>
      <c r="I14" s="1625"/>
      <c r="J14" s="1625"/>
      <c r="K14" s="1625"/>
      <c r="L14" s="1625"/>
      <c r="M14" s="1625"/>
      <c r="N14" s="1625"/>
      <c r="O14" s="1625"/>
      <c r="P14" s="1625"/>
      <c r="Q14" s="1625"/>
      <c r="R14" s="1625"/>
      <c r="S14" s="1011"/>
      <c r="T14" s="1011"/>
      <c r="U14" s="1011"/>
      <c r="V14" s="1011"/>
      <c r="W14" s="1011"/>
      <c r="X14" s="1011"/>
      <c r="Y14" s="984"/>
      <c r="Z14" s="984"/>
      <c r="AA14" s="984"/>
      <c r="AB14" s="984"/>
    </row>
    <row r="15" spans="1:28" ht="12.75" customHeight="1">
      <c r="A15" s="33">
        <v>21110103</v>
      </c>
      <c r="B15" s="24" t="s">
        <v>812</v>
      </c>
      <c r="C15" s="809">
        <f>5286875.5875+720581.36</f>
        <v>6007456.9475000007</v>
      </c>
      <c r="D15" s="1615"/>
      <c r="E15" s="1615"/>
      <c r="F15" s="1617"/>
      <c r="G15" s="1615"/>
      <c r="H15" s="1615"/>
      <c r="I15" s="1625"/>
      <c r="J15" s="1625"/>
      <c r="K15" s="1625"/>
      <c r="L15" s="1628"/>
      <c r="M15" s="1625"/>
      <c r="N15" s="1625"/>
      <c r="O15" s="1625"/>
      <c r="P15" s="1625"/>
      <c r="Q15" s="1625"/>
      <c r="R15" s="1625"/>
      <c r="S15" s="1011"/>
      <c r="T15" s="1011"/>
      <c r="U15" s="1011"/>
      <c r="V15" s="1011"/>
      <c r="W15" s="1011"/>
      <c r="X15" s="1011"/>
      <c r="Y15" s="984"/>
      <c r="Z15" s="984"/>
      <c r="AA15" s="984"/>
      <c r="AB15" s="984"/>
    </row>
    <row r="16" spans="1:28" ht="12.75" customHeight="1">
      <c r="A16" s="33">
        <v>21110104</v>
      </c>
      <c r="B16" s="24" t="s">
        <v>813</v>
      </c>
      <c r="C16" s="809">
        <v>1</v>
      </c>
      <c r="D16" s="1619"/>
      <c r="E16" s="1619"/>
      <c r="F16" s="1621"/>
      <c r="G16" s="1621"/>
      <c r="H16" s="1620"/>
      <c r="I16" s="1625"/>
      <c r="J16" s="1625"/>
      <c r="K16" s="1625"/>
      <c r="L16" s="1625"/>
      <c r="M16" s="1625"/>
      <c r="N16" s="1625"/>
      <c r="O16" s="1625"/>
      <c r="P16" s="1625"/>
      <c r="Q16" s="1625"/>
      <c r="R16" s="1625"/>
      <c r="S16" s="1011"/>
      <c r="T16" s="1011"/>
      <c r="U16" s="1011"/>
      <c r="V16" s="1011"/>
      <c r="W16" s="1011"/>
      <c r="X16" s="1011"/>
      <c r="Y16" s="984"/>
      <c r="Z16" s="984"/>
      <c r="AA16" s="984"/>
      <c r="AB16" s="984"/>
    </row>
    <row r="17" spans="1:28" ht="12.75" customHeight="1">
      <c r="A17" s="33">
        <v>21110105</v>
      </c>
      <c r="B17" s="24" t="s">
        <v>814</v>
      </c>
      <c r="C17" s="809">
        <f>1507662+2+259380</f>
        <v>1767044</v>
      </c>
      <c r="D17" s="1629"/>
      <c r="E17" s="1627"/>
      <c r="F17" s="1625"/>
      <c r="G17" s="1625"/>
      <c r="H17" s="1627"/>
      <c r="I17" s="1625"/>
      <c r="J17" s="1627"/>
      <c r="K17" s="1627"/>
      <c r="L17" s="1627"/>
      <c r="M17" s="1627"/>
      <c r="N17" s="1627"/>
      <c r="O17" s="1627"/>
      <c r="P17" s="1627"/>
      <c r="Q17" s="1627"/>
      <c r="R17" s="1627"/>
      <c r="S17" s="808"/>
      <c r="T17" s="808"/>
      <c r="U17" s="808"/>
      <c r="V17" s="808"/>
      <c r="W17" s="808"/>
      <c r="X17" s="808"/>
      <c r="Y17" s="984"/>
      <c r="Z17" s="984"/>
      <c r="AA17" s="984"/>
      <c r="AB17" s="984"/>
    </row>
    <row r="18" spans="1:28" ht="12.75" customHeight="1">
      <c r="A18" s="33">
        <v>21110106</v>
      </c>
      <c r="B18" s="24" t="s">
        <v>815</v>
      </c>
      <c r="C18" s="809">
        <f>5700000+7600000+1400000+9400000+2700000</f>
        <v>26800000</v>
      </c>
      <c r="D18" s="1630"/>
      <c r="E18" s="1631"/>
      <c r="F18" s="1625"/>
      <c r="G18" s="1611"/>
      <c r="H18" s="1625"/>
      <c r="I18" s="1625"/>
      <c r="J18" s="1625"/>
      <c r="K18" s="1625"/>
      <c r="L18" s="1625"/>
      <c r="M18" s="1625"/>
      <c r="N18" s="1625"/>
      <c r="O18" s="1625"/>
      <c r="P18" s="1625"/>
      <c r="Q18" s="1625"/>
      <c r="R18" s="1625"/>
      <c r="S18" s="1011"/>
      <c r="T18" s="1011"/>
      <c r="U18" s="1011"/>
      <c r="V18" s="1011"/>
      <c r="W18" s="1011"/>
      <c r="X18" s="1011"/>
      <c r="Y18" s="984"/>
      <c r="Z18" s="984"/>
      <c r="AA18" s="984"/>
      <c r="AB18" s="984"/>
    </row>
    <row r="19" spans="1:28" ht="12.75" customHeight="1">
      <c r="A19" s="48">
        <v>211102</v>
      </c>
      <c r="B19" s="26" t="s">
        <v>668</v>
      </c>
      <c r="C19" s="970">
        <f>SUM(C20:C25)</f>
        <v>395597999.50749999</v>
      </c>
      <c r="D19" s="1630"/>
      <c r="E19" s="1625"/>
      <c r="F19" s="1625"/>
      <c r="G19" s="1632"/>
      <c r="H19" s="1625"/>
      <c r="I19" s="1625"/>
      <c r="J19" s="1625"/>
      <c r="K19" s="1625"/>
      <c r="L19" s="1625"/>
      <c r="M19" s="1625"/>
      <c r="N19" s="1625"/>
      <c r="O19" s="1625"/>
      <c r="P19" s="1625"/>
      <c r="Q19" s="1625"/>
      <c r="R19" s="1625"/>
      <c r="S19" s="1011"/>
      <c r="T19" s="1011"/>
      <c r="U19" s="1011"/>
      <c r="V19" s="1011"/>
      <c r="W19" s="1011"/>
      <c r="X19" s="1011"/>
      <c r="Y19" s="984"/>
      <c r="Z19" s="984"/>
      <c r="AA19" s="984"/>
      <c r="AB19" s="984"/>
    </row>
    <row r="20" spans="1:28" ht="12.75" customHeight="1">
      <c r="A20" s="33">
        <v>21110201</v>
      </c>
      <c r="B20" s="24" t="s">
        <v>816</v>
      </c>
      <c r="C20" s="809">
        <f>308394001.3475+24082212.27+81559402.18-3000000-100000000</f>
        <v>311035615.79750001</v>
      </c>
      <c r="D20" s="1630"/>
      <c r="E20" s="1627"/>
      <c r="F20" s="1633"/>
      <c r="G20" s="1627"/>
      <c r="H20" s="1627"/>
      <c r="I20" s="1627"/>
      <c r="J20" s="1627"/>
      <c r="K20" s="1627"/>
      <c r="L20" s="1627"/>
      <c r="M20" s="1627"/>
      <c r="N20" s="1627"/>
      <c r="O20" s="1627"/>
      <c r="P20" s="1627"/>
      <c r="Q20" s="1627"/>
      <c r="R20" s="1627"/>
      <c r="S20" s="808"/>
      <c r="T20" s="808"/>
      <c r="U20" s="808"/>
      <c r="V20" s="808"/>
      <c r="W20" s="808"/>
      <c r="X20" s="808"/>
      <c r="Y20" s="984"/>
      <c r="Z20" s="984"/>
      <c r="AA20" s="984"/>
      <c r="AB20" s="984"/>
    </row>
    <row r="21" spans="1:28" ht="12.75" customHeight="1">
      <c r="A21" s="33">
        <v>21110202</v>
      </c>
      <c r="B21" s="24" t="s">
        <v>817</v>
      </c>
      <c r="C21" s="809">
        <f>53202783.9225+6991610.01+13622876.48-1538036.94</f>
        <v>72279233.472499996</v>
      </c>
      <c r="D21" s="1629"/>
      <c r="E21" s="1625"/>
      <c r="F21" s="1625"/>
      <c r="G21" s="1625"/>
      <c r="H21" s="1625"/>
      <c r="I21" s="1625"/>
      <c r="J21" s="1625"/>
      <c r="K21" s="1625"/>
      <c r="L21" s="1625"/>
      <c r="M21" s="1625"/>
      <c r="N21" s="1625"/>
      <c r="O21" s="1625"/>
      <c r="P21" s="1625"/>
      <c r="Q21" s="1625"/>
      <c r="R21" s="1625"/>
      <c r="S21" s="1011"/>
      <c r="T21" s="1011"/>
      <c r="U21" s="1011"/>
      <c r="V21" s="1011"/>
      <c r="W21" s="1011"/>
      <c r="X21" s="1011"/>
      <c r="Y21" s="984"/>
      <c r="Z21" s="984"/>
      <c r="AA21" s="984"/>
      <c r="AB21" s="984"/>
    </row>
    <row r="22" spans="1:28" ht="12.75" customHeight="1">
      <c r="A22" s="33">
        <v>21110203</v>
      </c>
      <c r="B22" s="24" t="s">
        <v>818</v>
      </c>
      <c r="C22" s="809">
        <f>9218029.1775+2535953.06</f>
        <v>11753982.237500001</v>
      </c>
      <c r="D22" s="1629"/>
      <c r="E22" s="1625"/>
      <c r="F22" s="1625"/>
      <c r="G22" s="1625"/>
      <c r="H22" s="1625"/>
      <c r="I22" s="1625"/>
      <c r="J22" s="1625"/>
      <c r="K22" s="1625"/>
      <c r="L22" s="1625"/>
      <c r="M22" s="1625"/>
      <c r="N22" s="1625"/>
      <c r="O22" s="1625"/>
      <c r="P22" s="1625"/>
      <c r="Q22" s="1625"/>
      <c r="R22" s="1625"/>
      <c r="S22" s="1011"/>
      <c r="T22" s="1011"/>
      <c r="U22" s="1011"/>
      <c r="V22" s="1011"/>
      <c r="W22" s="1011"/>
      <c r="X22" s="1011"/>
      <c r="Y22" s="984"/>
      <c r="Z22" s="984"/>
      <c r="AA22" s="984"/>
      <c r="AB22" s="984"/>
    </row>
    <row r="23" spans="1:28" ht="12.75" customHeight="1">
      <c r="A23" s="33">
        <v>21110204</v>
      </c>
      <c r="B23" s="24" t="s">
        <v>819</v>
      </c>
      <c r="C23" s="809">
        <v>1</v>
      </c>
      <c r="D23" s="1629"/>
      <c r="E23" s="1625"/>
      <c r="F23" s="1625"/>
      <c r="G23" s="1625"/>
      <c r="H23" s="1625"/>
      <c r="I23" s="1625"/>
      <c r="J23" s="1625"/>
      <c r="K23" s="1625"/>
      <c r="L23" s="1625"/>
      <c r="M23" s="1625"/>
      <c r="N23" s="1625"/>
      <c r="O23" s="1625"/>
      <c r="P23" s="1625"/>
      <c r="Q23" s="1625"/>
      <c r="R23" s="1625"/>
      <c r="S23" s="1011"/>
      <c r="T23" s="1011"/>
      <c r="U23" s="1011"/>
      <c r="V23" s="1011"/>
      <c r="W23" s="1011"/>
      <c r="X23" s="1011"/>
      <c r="Y23" s="984"/>
      <c r="Z23" s="984"/>
      <c r="AA23" s="984"/>
      <c r="AB23" s="984"/>
    </row>
    <row r="24" spans="1:28" ht="12.75" customHeight="1">
      <c r="A24" s="33">
        <v>21110205</v>
      </c>
      <c r="B24" s="24" t="s">
        <v>820</v>
      </c>
      <c r="C24" s="809">
        <f>129690+2+399474</f>
        <v>529166</v>
      </c>
      <c r="D24" s="1629"/>
      <c r="E24" s="1627"/>
      <c r="F24" s="1627"/>
      <c r="G24" s="1627"/>
      <c r="H24" s="1627"/>
      <c r="I24" s="1627"/>
      <c r="J24" s="1627"/>
      <c r="K24" s="1627"/>
      <c r="L24" s="1627"/>
      <c r="M24" s="1627"/>
      <c r="N24" s="1627"/>
      <c r="O24" s="1627"/>
      <c r="P24" s="1627"/>
      <c r="Q24" s="1627"/>
      <c r="R24" s="1627"/>
      <c r="S24" s="808"/>
      <c r="T24" s="808"/>
      <c r="U24" s="808"/>
      <c r="V24" s="808"/>
      <c r="W24" s="808"/>
      <c r="X24" s="808"/>
      <c r="Y24" s="984"/>
      <c r="Z24" s="984"/>
      <c r="AA24" s="984"/>
      <c r="AB24" s="984"/>
    </row>
    <row r="25" spans="1:28" ht="12.75" customHeight="1">
      <c r="A25" s="33">
        <v>21110206</v>
      </c>
      <c r="B25" s="24" t="s">
        <v>821</v>
      </c>
      <c r="C25" s="809">
        <v>1</v>
      </c>
      <c r="D25" s="1630"/>
      <c r="E25" s="1625"/>
      <c r="F25" s="1625"/>
      <c r="G25" s="1625"/>
      <c r="H25" s="1625"/>
      <c r="I25" s="1625"/>
      <c r="J25" s="1625"/>
      <c r="K25" s="1625"/>
      <c r="L25" s="1625"/>
      <c r="M25" s="1625"/>
      <c r="N25" s="1625"/>
      <c r="O25" s="1625"/>
      <c r="P25" s="1625"/>
      <c r="Q25" s="1625"/>
      <c r="R25" s="1625"/>
      <c r="S25" s="1011"/>
      <c r="T25" s="1011"/>
      <c r="U25" s="1011"/>
      <c r="V25" s="1011"/>
      <c r="W25" s="1011"/>
      <c r="X25" s="1011"/>
      <c r="Y25" s="984"/>
      <c r="Z25" s="984"/>
      <c r="AA25" s="984"/>
      <c r="AB25" s="984"/>
    </row>
    <row r="26" spans="1:28" ht="12.75" customHeight="1">
      <c r="A26" s="48">
        <v>211103</v>
      </c>
      <c r="B26" s="26" t="s">
        <v>669</v>
      </c>
      <c r="C26" s="970">
        <f>SUM(C27:C32)</f>
        <v>136794462.505</v>
      </c>
      <c r="D26" s="1630"/>
      <c r="E26" s="1625"/>
      <c r="F26" s="1625"/>
      <c r="G26" s="1625"/>
      <c r="H26" s="1625"/>
      <c r="I26" s="1625"/>
      <c r="J26" s="1625"/>
      <c r="K26" s="1625"/>
      <c r="L26" s="1625"/>
      <c r="M26" s="1625"/>
      <c r="N26" s="1625"/>
      <c r="O26" s="1625"/>
      <c r="P26" s="1625"/>
      <c r="Q26" s="1625"/>
      <c r="R26" s="1625"/>
      <c r="S26" s="1011"/>
      <c r="T26" s="1011"/>
      <c r="U26" s="1011"/>
      <c r="V26" s="1011"/>
      <c r="W26" s="1011"/>
      <c r="X26" s="1011"/>
      <c r="Y26" s="984"/>
      <c r="Z26" s="984"/>
      <c r="AA26" s="984"/>
      <c r="AB26" s="984"/>
    </row>
    <row r="27" spans="1:28" ht="12.75" customHeight="1">
      <c r="A27" s="33">
        <v>21110301</v>
      </c>
      <c r="B27" s="24" t="s">
        <v>822</v>
      </c>
      <c r="C27" s="809">
        <f>59694220.505+24082212.27+29830701.23-4000000</f>
        <v>109607134.00500001</v>
      </c>
      <c r="D27" s="1634"/>
      <c r="E27" s="1634"/>
      <c r="F27" s="1627"/>
      <c r="G27" s="1627"/>
      <c r="H27" s="1627"/>
      <c r="I27" s="1627"/>
      <c r="J27" s="1627"/>
      <c r="K27" s="1627"/>
      <c r="L27" s="1627"/>
      <c r="M27" s="1627"/>
      <c r="N27" s="1627"/>
      <c r="O27" s="1627"/>
      <c r="P27" s="1627"/>
      <c r="Q27" s="1627"/>
      <c r="R27" s="1627"/>
      <c r="S27" s="808"/>
      <c r="T27" s="808"/>
      <c r="U27" s="808"/>
      <c r="V27" s="808"/>
      <c r="W27" s="808"/>
      <c r="X27" s="808"/>
      <c r="Y27" s="984"/>
      <c r="Z27" s="984"/>
      <c r="AA27" s="984"/>
      <c r="AB27" s="984"/>
    </row>
    <row r="28" spans="1:28" ht="12.75" customHeight="1">
      <c r="A28" s="33">
        <v>21110302</v>
      </c>
      <c r="B28" s="24" t="s">
        <v>823</v>
      </c>
      <c r="C28" s="809">
        <f>11189392.695+6991610.01+4881732.47</f>
        <v>23062735.174999997</v>
      </c>
      <c r="D28" s="1625"/>
      <c r="E28" s="1634"/>
      <c r="F28" s="1625"/>
      <c r="G28" s="1625"/>
      <c r="H28" s="1625"/>
      <c r="I28" s="1625"/>
      <c r="J28" s="1625"/>
      <c r="K28" s="1625"/>
      <c r="L28" s="1625"/>
      <c r="M28" s="1625"/>
      <c r="N28" s="1625"/>
      <c r="O28" s="1625"/>
      <c r="P28" s="1625"/>
      <c r="Q28" s="1625"/>
      <c r="R28" s="1625"/>
      <c r="S28" s="1011"/>
      <c r="T28" s="1011"/>
      <c r="U28" s="1011"/>
      <c r="V28" s="1011"/>
      <c r="W28" s="1011"/>
      <c r="X28" s="1011"/>
      <c r="Y28" s="984"/>
      <c r="Z28" s="984"/>
      <c r="AA28" s="984"/>
      <c r="AB28" s="984"/>
    </row>
    <row r="29" spans="1:28" ht="12.75" customHeight="1">
      <c r="A29" s="33">
        <v>21110303</v>
      </c>
      <c r="B29" s="24" t="s">
        <v>824</v>
      </c>
      <c r="C29" s="809">
        <f>2217882.615+936272.71</f>
        <v>3154155.3250000002</v>
      </c>
      <c r="D29" s="1635"/>
      <c r="E29" s="1635"/>
      <c r="F29" s="1625"/>
      <c r="G29" s="1625"/>
      <c r="H29" s="1625"/>
      <c r="I29" s="1625"/>
      <c r="J29" s="1625"/>
      <c r="K29" s="1625"/>
      <c r="L29" s="1625"/>
      <c r="M29" s="1625"/>
      <c r="N29" s="1625"/>
      <c r="O29" s="1625"/>
      <c r="P29" s="1625"/>
      <c r="Q29" s="1625"/>
      <c r="R29" s="1625"/>
      <c r="S29" s="1011"/>
      <c r="T29" s="1011"/>
      <c r="U29" s="1011"/>
      <c r="V29" s="1011"/>
      <c r="W29" s="1011"/>
      <c r="X29" s="1011"/>
      <c r="Y29" s="984"/>
      <c r="Z29" s="984"/>
      <c r="AA29" s="984"/>
      <c r="AB29" s="984"/>
    </row>
    <row r="30" spans="1:28" ht="12.75" customHeight="1">
      <c r="A30" s="33">
        <v>21110304</v>
      </c>
      <c r="B30" s="24" t="s">
        <v>825</v>
      </c>
      <c r="C30" s="809">
        <v>1</v>
      </c>
      <c r="D30" s="1635"/>
      <c r="E30" s="1635"/>
      <c r="F30" s="1625"/>
      <c r="G30" s="1625"/>
      <c r="H30" s="1625"/>
      <c r="I30" s="1625"/>
      <c r="J30" s="1625"/>
      <c r="K30" s="1625"/>
      <c r="L30" s="1625"/>
      <c r="M30" s="1625"/>
      <c r="N30" s="1625"/>
      <c r="O30" s="1625"/>
      <c r="P30" s="1625"/>
      <c r="Q30" s="1625"/>
      <c r="R30" s="1625"/>
      <c r="S30" s="1011"/>
      <c r="T30" s="1011"/>
      <c r="U30" s="1011"/>
      <c r="V30" s="1011"/>
      <c r="W30" s="1011"/>
      <c r="X30" s="1011"/>
      <c r="Y30" s="984"/>
      <c r="Z30" s="984"/>
      <c r="AA30" s="984"/>
      <c r="AB30" s="984"/>
    </row>
    <row r="31" spans="1:28" ht="12.75" customHeight="1">
      <c r="A31" s="33">
        <v>21110305</v>
      </c>
      <c r="B31" s="24" t="s">
        <v>826</v>
      </c>
      <c r="C31" s="24">
        <f>711054+2+259380</f>
        <v>970436</v>
      </c>
      <c r="D31" s="1023"/>
      <c r="E31" s="1023"/>
      <c r="F31" s="1011"/>
      <c r="G31" s="1011"/>
      <c r="H31" s="1011"/>
      <c r="I31" s="1011"/>
      <c r="J31" s="1011"/>
      <c r="K31" s="1011"/>
      <c r="L31" s="1011"/>
      <c r="M31" s="1011"/>
      <c r="N31" s="1011"/>
      <c r="O31" s="1011"/>
      <c r="P31" s="1011"/>
      <c r="Q31" s="1011"/>
      <c r="R31" s="1011"/>
      <c r="S31" s="1011"/>
      <c r="T31" s="1011"/>
      <c r="U31" s="1011"/>
      <c r="V31" s="1011"/>
      <c r="W31" s="1011"/>
      <c r="X31" s="1011"/>
      <c r="Y31" s="984"/>
      <c r="Z31" s="984"/>
      <c r="AA31" s="984"/>
      <c r="AB31" s="984"/>
    </row>
    <row r="32" spans="1:28" ht="12.75" customHeight="1">
      <c r="A32" s="33">
        <v>21110306</v>
      </c>
      <c r="B32" s="24" t="s">
        <v>670</v>
      </c>
      <c r="C32" s="24">
        <v>1</v>
      </c>
      <c r="D32" s="1023"/>
      <c r="E32" s="1023"/>
      <c r="F32" s="1011"/>
      <c r="G32" s="1011"/>
      <c r="H32" s="1011"/>
      <c r="I32" s="1011"/>
      <c r="J32" s="1011"/>
      <c r="K32" s="1011"/>
      <c r="L32" s="1011"/>
      <c r="M32" s="1011"/>
      <c r="N32" s="1011"/>
      <c r="O32" s="1011"/>
      <c r="P32" s="1011"/>
      <c r="Q32" s="1011"/>
      <c r="R32" s="1011"/>
      <c r="S32" s="1011"/>
      <c r="T32" s="1011"/>
      <c r="U32" s="1011"/>
      <c r="V32" s="1011"/>
      <c r="W32" s="1011"/>
      <c r="X32" s="1011"/>
      <c r="Y32" s="984"/>
      <c r="Z32" s="984"/>
      <c r="AA32" s="984"/>
      <c r="AB32" s="984"/>
    </row>
    <row r="33" spans="1:28" ht="13.5" customHeight="1" thickBot="1">
      <c r="A33" s="23"/>
      <c r="B33" s="24"/>
      <c r="C33" s="24"/>
      <c r="D33" s="1011"/>
      <c r="E33" s="1023"/>
      <c r="F33" s="808"/>
      <c r="G33" s="808"/>
      <c r="H33" s="808"/>
      <c r="I33" s="808"/>
      <c r="J33" s="808"/>
      <c r="K33" s="808"/>
      <c r="L33" s="808"/>
      <c r="M33" s="808"/>
      <c r="N33" s="808"/>
      <c r="O33" s="808"/>
      <c r="P33" s="808"/>
      <c r="Q33" s="808"/>
      <c r="R33" s="808"/>
      <c r="S33" s="808"/>
      <c r="T33" s="808"/>
      <c r="U33" s="808"/>
      <c r="V33" s="808"/>
      <c r="W33" s="808"/>
      <c r="X33" s="808"/>
      <c r="Y33" s="984"/>
      <c r="Z33" s="984"/>
      <c r="AA33" s="984"/>
      <c r="AB33" s="984"/>
    </row>
    <row r="34" spans="1:28" ht="13.5" customHeight="1" thickBot="1">
      <c r="A34" s="1297" t="s">
        <v>9</v>
      </c>
      <c r="B34" s="1281"/>
      <c r="C34" s="62">
        <f>C35+C37+C40+C42+C48+C51</f>
        <v>4530032.41</v>
      </c>
      <c r="D34" s="1010"/>
      <c r="E34" s="1024"/>
      <c r="F34" s="808"/>
      <c r="G34" s="808"/>
      <c r="H34" s="808"/>
      <c r="I34" s="808"/>
      <c r="J34" s="808"/>
      <c r="K34" s="808"/>
      <c r="L34" s="808"/>
      <c r="M34" s="808"/>
      <c r="N34" s="808"/>
      <c r="O34" s="808"/>
      <c r="P34" s="808"/>
      <c r="Q34" s="808"/>
      <c r="R34" s="808"/>
      <c r="S34" s="808"/>
      <c r="T34" s="808"/>
      <c r="U34" s="808"/>
      <c r="V34" s="808"/>
      <c r="W34" s="808"/>
      <c r="X34" s="808"/>
      <c r="Y34" s="984"/>
      <c r="Z34" s="984"/>
      <c r="AA34" s="984"/>
      <c r="AB34" s="984"/>
    </row>
    <row r="35" spans="1:28" ht="13.5" customHeight="1">
      <c r="A35" s="48">
        <v>211201</v>
      </c>
      <c r="B35" s="48" t="s">
        <v>459</v>
      </c>
      <c r="C35" s="49">
        <f>C36</f>
        <v>658500</v>
      </c>
      <c r="D35" s="1024"/>
      <c r="E35" s="1024"/>
      <c r="F35" s="1021"/>
      <c r="G35" s="1021"/>
      <c r="H35" s="1021"/>
      <c r="I35" s="1021"/>
      <c r="J35" s="1021"/>
      <c r="K35" s="1021"/>
      <c r="L35" s="1021"/>
      <c r="M35" s="1021"/>
      <c r="N35" s="1021"/>
      <c r="O35" s="1021"/>
      <c r="P35" s="1021"/>
      <c r="Q35" s="1021"/>
      <c r="R35" s="1021"/>
      <c r="S35" s="1021"/>
      <c r="T35" s="1021"/>
      <c r="U35" s="1021"/>
      <c r="V35" s="1021"/>
      <c r="W35" s="1021"/>
      <c r="X35" s="1021"/>
      <c r="Y35" s="984"/>
      <c r="Z35" s="984"/>
      <c r="AA35" s="984"/>
      <c r="AB35" s="984"/>
    </row>
    <row r="36" spans="1:28" ht="13.5" customHeight="1">
      <c r="A36" s="33">
        <v>21120101</v>
      </c>
      <c r="B36" s="23" t="s">
        <v>460</v>
      </c>
      <c r="C36" s="24">
        <v>658500</v>
      </c>
      <c r="D36" s="1019"/>
      <c r="E36" s="1019"/>
      <c r="F36" s="808"/>
      <c r="G36" s="808"/>
      <c r="H36" s="808"/>
      <c r="I36" s="808"/>
      <c r="J36" s="808"/>
      <c r="K36" s="808"/>
      <c r="L36" s="808"/>
      <c r="M36" s="808"/>
      <c r="N36" s="808"/>
      <c r="O36" s="808"/>
      <c r="P36" s="808"/>
      <c r="Q36" s="808"/>
      <c r="R36" s="808"/>
      <c r="S36" s="808"/>
      <c r="T36" s="808"/>
      <c r="U36" s="808"/>
      <c r="V36" s="808"/>
      <c r="W36" s="808"/>
      <c r="X36" s="808"/>
      <c r="Y36" s="984"/>
      <c r="Z36" s="984"/>
      <c r="AA36" s="984"/>
      <c r="AB36" s="984"/>
    </row>
    <row r="37" spans="1:28" ht="13.5" customHeight="1">
      <c r="A37" s="48">
        <v>211203</v>
      </c>
      <c r="B37" s="21" t="s">
        <v>461</v>
      </c>
      <c r="C37" s="26">
        <f>SUM(C38:C39)</f>
        <v>1120000</v>
      </c>
      <c r="D37" s="23"/>
      <c r="E37" s="32"/>
      <c r="F37" s="23"/>
      <c r="G37" s="23"/>
      <c r="H37" s="23"/>
      <c r="I37" s="23"/>
      <c r="J37" s="23"/>
      <c r="K37" s="23"/>
      <c r="L37" s="23"/>
      <c r="M37" s="23"/>
      <c r="N37" s="23"/>
      <c r="O37" s="23"/>
      <c r="P37" s="23"/>
      <c r="Q37" s="23"/>
      <c r="R37" s="23"/>
      <c r="S37" s="23"/>
      <c r="T37" s="23"/>
      <c r="U37" s="23"/>
      <c r="V37" s="23"/>
      <c r="W37" s="23"/>
      <c r="X37" s="23"/>
    </row>
    <row r="38" spans="1:28" ht="13.5">
      <c r="A38" s="33">
        <v>21120301</v>
      </c>
      <c r="B38" s="23" t="s">
        <v>527</v>
      </c>
      <c r="C38" s="24">
        <v>560000</v>
      </c>
      <c r="D38" s="23"/>
      <c r="E38" s="32"/>
      <c r="F38" s="4"/>
      <c r="G38" s="4"/>
      <c r="H38" s="4"/>
      <c r="I38" s="4"/>
      <c r="J38" s="4"/>
      <c r="K38" s="4"/>
      <c r="L38" s="4"/>
      <c r="M38" s="4"/>
      <c r="N38" s="4"/>
      <c r="O38" s="4"/>
      <c r="P38" s="4"/>
      <c r="Q38" s="4"/>
      <c r="R38" s="4"/>
      <c r="S38" s="4"/>
      <c r="T38" s="4"/>
      <c r="U38" s="4"/>
      <c r="V38" s="4"/>
      <c r="W38" s="4"/>
      <c r="X38" s="4"/>
    </row>
    <row r="39" spans="1:28" ht="13.5" customHeight="1">
      <c r="A39" s="33">
        <v>21120302</v>
      </c>
      <c r="B39" s="13" t="s">
        <v>462</v>
      </c>
      <c r="C39" s="24">
        <v>560000</v>
      </c>
      <c r="D39" s="32"/>
      <c r="E39" s="14"/>
      <c r="F39" s="13"/>
      <c r="G39" s="13"/>
      <c r="H39" s="13"/>
      <c r="I39" s="13"/>
      <c r="J39" s="13"/>
      <c r="K39" s="13"/>
      <c r="L39" s="13"/>
      <c r="M39" s="13"/>
      <c r="N39" s="13"/>
      <c r="O39" s="13"/>
      <c r="P39" s="13"/>
      <c r="Q39" s="13"/>
      <c r="R39" s="13"/>
      <c r="S39" s="13"/>
      <c r="T39" s="13"/>
      <c r="U39" s="13"/>
      <c r="V39" s="13"/>
      <c r="W39" s="13"/>
      <c r="X39" s="13"/>
    </row>
    <row r="40" spans="1:28" ht="13.5" customHeight="1">
      <c r="A40" s="48">
        <v>211204</v>
      </c>
      <c r="B40" s="21" t="s">
        <v>463</v>
      </c>
      <c r="C40" s="26">
        <f>C41</f>
        <v>1906532.41</v>
      </c>
      <c r="D40" s="23"/>
      <c r="E40" s="32"/>
      <c r="F40" s="23"/>
      <c r="G40" s="23"/>
      <c r="H40" s="23"/>
      <c r="I40" s="23"/>
      <c r="J40" s="23"/>
      <c r="K40" s="23"/>
      <c r="L40" s="23"/>
      <c r="M40" s="23"/>
      <c r="N40" s="23"/>
      <c r="O40" s="23"/>
      <c r="P40" s="23"/>
      <c r="Q40" s="23"/>
      <c r="R40" s="23"/>
      <c r="S40" s="23"/>
      <c r="T40" s="23"/>
      <c r="U40" s="23"/>
      <c r="V40" s="23"/>
      <c r="W40" s="23"/>
      <c r="X40" s="23"/>
    </row>
    <row r="41" spans="1:28" ht="13.5" customHeight="1">
      <c r="A41" s="33">
        <v>21120401</v>
      </c>
      <c r="B41" s="24" t="s">
        <v>464</v>
      </c>
      <c r="C41" s="24">
        <f>103000+1803532.41</f>
        <v>1906532.41</v>
      </c>
      <c r="D41" s="33"/>
      <c r="E41" s="32"/>
      <c r="F41" s="23"/>
      <c r="G41" s="23"/>
      <c r="H41" s="23"/>
      <c r="I41" s="23"/>
      <c r="J41" s="23"/>
      <c r="K41" s="23"/>
      <c r="L41" s="23"/>
      <c r="M41" s="23"/>
      <c r="N41" s="23"/>
      <c r="O41" s="23"/>
      <c r="P41" s="23"/>
      <c r="Q41" s="23"/>
      <c r="R41" s="23"/>
      <c r="S41" s="23"/>
      <c r="T41" s="23"/>
      <c r="U41" s="23"/>
      <c r="V41" s="23"/>
      <c r="W41" s="23"/>
      <c r="X41" s="23"/>
    </row>
    <row r="42" spans="1:28" ht="13.5" customHeight="1">
      <c r="A42" s="48">
        <v>211207</v>
      </c>
      <c r="B42" s="26" t="s">
        <v>467</v>
      </c>
      <c r="C42" s="26">
        <f>SUM(C43:C47)</f>
        <v>240500</v>
      </c>
      <c r="D42" s="33"/>
      <c r="E42" s="32"/>
      <c r="F42" s="23"/>
      <c r="G42" s="23"/>
      <c r="H42" s="23"/>
      <c r="I42" s="23"/>
      <c r="J42" s="23"/>
      <c r="K42" s="23"/>
      <c r="L42" s="23"/>
      <c r="M42" s="23"/>
      <c r="N42" s="23"/>
      <c r="O42" s="23"/>
      <c r="P42" s="23"/>
      <c r="Q42" s="23"/>
      <c r="R42" s="23"/>
      <c r="S42" s="23"/>
      <c r="T42" s="23"/>
      <c r="U42" s="23"/>
      <c r="V42" s="23"/>
      <c r="W42" s="23"/>
      <c r="X42" s="23"/>
    </row>
    <row r="43" spans="1:28" ht="13.5" customHeight="1">
      <c r="A43" s="33">
        <v>21120702</v>
      </c>
      <c r="B43" s="24" t="s">
        <v>468</v>
      </c>
      <c r="C43" s="24">
        <v>30000</v>
      </c>
      <c r="D43" s="4"/>
      <c r="E43" s="34"/>
      <c r="F43" s="35"/>
      <c r="G43" s="23"/>
      <c r="H43" s="23"/>
      <c r="I43" s="23"/>
      <c r="J43" s="23"/>
      <c r="K43" s="23"/>
      <c r="L43" s="23"/>
      <c r="M43" s="23"/>
      <c r="N43" s="23"/>
      <c r="O43" s="23"/>
      <c r="P43" s="23"/>
      <c r="Q43" s="23"/>
      <c r="R43" s="23"/>
      <c r="S43" s="23"/>
      <c r="T43" s="23"/>
      <c r="U43" s="23"/>
      <c r="V43" s="23"/>
      <c r="W43" s="23"/>
      <c r="X43" s="23"/>
    </row>
    <row r="44" spans="1:28" ht="13.5" customHeight="1">
      <c r="A44" s="33">
        <v>21120708</v>
      </c>
      <c r="B44" s="24" t="s">
        <v>470</v>
      </c>
      <c r="C44" s="24">
        <v>20000</v>
      </c>
      <c r="D44" s="4"/>
      <c r="E44" s="34"/>
      <c r="F44" s="35"/>
      <c r="G44" s="23"/>
      <c r="H44" s="23"/>
      <c r="I44" s="23"/>
      <c r="J44" s="23"/>
      <c r="K44" s="23"/>
      <c r="L44" s="23"/>
      <c r="M44" s="23"/>
      <c r="N44" s="23"/>
      <c r="O44" s="23"/>
      <c r="P44" s="23"/>
      <c r="Q44" s="23"/>
      <c r="R44" s="23"/>
      <c r="S44" s="23"/>
      <c r="T44" s="23"/>
      <c r="U44" s="23"/>
      <c r="V44" s="23"/>
      <c r="W44" s="23"/>
      <c r="X44" s="23"/>
    </row>
    <row r="45" spans="1:28" ht="13.5" customHeight="1">
      <c r="A45" s="33">
        <v>21120709</v>
      </c>
      <c r="B45" s="13" t="s">
        <v>471</v>
      </c>
      <c r="C45" s="24">
        <v>38000</v>
      </c>
      <c r="D45" s="4"/>
      <c r="E45" s="34"/>
      <c r="F45" s="35"/>
      <c r="G45" s="23"/>
      <c r="H45" s="23"/>
      <c r="I45" s="23"/>
      <c r="J45" s="23"/>
      <c r="K45" s="23"/>
      <c r="L45" s="23"/>
      <c r="M45" s="23"/>
      <c r="N45" s="23"/>
      <c r="O45" s="23"/>
      <c r="P45" s="23"/>
      <c r="Q45" s="23"/>
      <c r="R45" s="23"/>
      <c r="S45" s="23"/>
      <c r="T45" s="23"/>
      <c r="U45" s="23"/>
      <c r="V45" s="23"/>
      <c r="W45" s="23"/>
      <c r="X45" s="23"/>
    </row>
    <row r="46" spans="1:28" ht="12.75" customHeight="1">
      <c r="A46" s="33">
        <v>21120710</v>
      </c>
      <c r="B46" s="24" t="s">
        <v>472</v>
      </c>
      <c r="C46" s="24">
        <v>120000</v>
      </c>
      <c r="D46" s="8"/>
      <c r="E46" s="8"/>
      <c r="F46" s="8"/>
      <c r="G46" s="8"/>
      <c r="H46" s="8"/>
      <c r="I46" s="8"/>
      <c r="J46" s="8"/>
      <c r="K46" s="8"/>
      <c r="L46" s="8"/>
      <c r="M46" s="8"/>
      <c r="N46" s="8"/>
      <c r="O46" s="8"/>
      <c r="P46" s="8"/>
      <c r="Q46" s="8"/>
      <c r="R46" s="8"/>
      <c r="S46" s="8"/>
      <c r="T46" s="8"/>
      <c r="U46" s="8"/>
      <c r="V46" s="8"/>
      <c r="W46" s="8"/>
      <c r="X46" s="8"/>
    </row>
    <row r="47" spans="1:28" ht="12.75" customHeight="1">
      <c r="A47" s="33">
        <v>21120711</v>
      </c>
      <c r="B47" s="24" t="s">
        <v>473</v>
      </c>
      <c r="C47" s="24">
        <v>32500</v>
      </c>
      <c r="D47" s="8"/>
      <c r="E47" s="8"/>
      <c r="F47" s="8"/>
      <c r="G47" s="8"/>
      <c r="H47" s="8"/>
      <c r="I47" s="8"/>
      <c r="J47" s="8"/>
      <c r="K47" s="8"/>
      <c r="L47" s="8"/>
      <c r="M47" s="8"/>
      <c r="N47" s="8"/>
      <c r="O47" s="8"/>
      <c r="P47" s="8"/>
      <c r="Q47" s="8"/>
      <c r="R47" s="8"/>
      <c r="S47" s="8"/>
      <c r="T47" s="8"/>
      <c r="U47" s="8"/>
      <c r="V47" s="8"/>
      <c r="W47" s="8"/>
      <c r="X47" s="8"/>
    </row>
    <row r="48" spans="1:28" ht="13.5" customHeight="1">
      <c r="A48" s="48">
        <v>211208</v>
      </c>
      <c r="B48" s="26" t="s">
        <v>474</v>
      </c>
      <c r="C48" s="26">
        <f>SUM(C49:C50)</f>
        <v>108000</v>
      </c>
      <c r="D48" s="33"/>
      <c r="E48" s="32"/>
      <c r="F48" s="23"/>
      <c r="G48" s="23"/>
      <c r="H48" s="23"/>
      <c r="I48" s="23"/>
      <c r="J48" s="23"/>
      <c r="K48" s="23"/>
      <c r="L48" s="23"/>
      <c r="M48" s="23"/>
      <c r="N48" s="23"/>
      <c r="O48" s="23"/>
      <c r="P48" s="23"/>
      <c r="Q48" s="23"/>
      <c r="R48" s="23"/>
      <c r="S48" s="23"/>
      <c r="T48" s="23"/>
      <c r="U48" s="23"/>
      <c r="V48" s="23"/>
      <c r="W48" s="23"/>
      <c r="X48" s="23"/>
    </row>
    <row r="49" spans="1:24" ht="12.75" customHeight="1">
      <c r="A49" s="33">
        <v>21120801</v>
      </c>
      <c r="B49" s="13" t="s">
        <v>475</v>
      </c>
      <c r="C49" s="24">
        <v>73000</v>
      </c>
      <c r="D49" s="8"/>
      <c r="E49" s="8"/>
      <c r="F49" s="8"/>
      <c r="G49" s="8"/>
      <c r="H49" s="8"/>
      <c r="I49" s="8"/>
      <c r="J49" s="8"/>
      <c r="K49" s="8"/>
      <c r="L49" s="8"/>
      <c r="M49" s="8"/>
      <c r="N49" s="8"/>
      <c r="O49" s="8"/>
      <c r="P49" s="8"/>
      <c r="Q49" s="8"/>
      <c r="R49" s="8"/>
      <c r="S49" s="8"/>
      <c r="T49" s="8"/>
      <c r="U49" s="8"/>
      <c r="V49" s="8"/>
      <c r="W49" s="8"/>
      <c r="X49" s="8"/>
    </row>
    <row r="50" spans="1:24" ht="12.75" customHeight="1">
      <c r="A50" s="33">
        <v>21120805</v>
      </c>
      <c r="B50" s="13" t="s">
        <v>476</v>
      </c>
      <c r="C50" s="24">
        <v>35000</v>
      </c>
      <c r="D50" s="8"/>
      <c r="E50" s="8"/>
      <c r="F50" s="8"/>
      <c r="G50" s="8"/>
      <c r="H50" s="8"/>
      <c r="I50" s="8"/>
      <c r="J50" s="8"/>
      <c r="K50" s="8"/>
      <c r="L50" s="8"/>
      <c r="M50" s="8"/>
      <c r="N50" s="8"/>
      <c r="O50" s="8"/>
      <c r="P50" s="8"/>
      <c r="Q50" s="8"/>
      <c r="R50" s="8"/>
      <c r="S50" s="8"/>
      <c r="T50" s="8"/>
      <c r="U50" s="8"/>
      <c r="V50" s="8"/>
      <c r="W50" s="8"/>
      <c r="X50" s="8"/>
    </row>
    <row r="51" spans="1:24" ht="13.5" customHeight="1">
      <c r="A51" s="48">
        <v>211209</v>
      </c>
      <c r="B51" s="26" t="s">
        <v>477</v>
      </c>
      <c r="C51" s="26">
        <f>SUM(C52:C54)</f>
        <v>496500</v>
      </c>
      <c r="D51" s="33"/>
      <c r="E51" s="32"/>
      <c r="F51" s="23"/>
      <c r="G51" s="23"/>
      <c r="H51" s="23"/>
      <c r="I51" s="23"/>
      <c r="J51" s="23"/>
      <c r="K51" s="23"/>
      <c r="L51" s="23"/>
      <c r="M51" s="23"/>
      <c r="N51" s="23"/>
      <c r="O51" s="23"/>
      <c r="P51" s="23"/>
      <c r="Q51" s="23"/>
      <c r="R51" s="23"/>
      <c r="S51" s="23"/>
      <c r="T51" s="23"/>
      <c r="U51" s="23"/>
      <c r="V51" s="23"/>
      <c r="W51" s="23"/>
      <c r="X51" s="23"/>
    </row>
    <row r="52" spans="1:24" ht="12.75" customHeight="1">
      <c r="A52" s="33">
        <v>21120901</v>
      </c>
      <c r="B52" s="13" t="s">
        <v>478</v>
      </c>
      <c r="C52" s="24">
        <v>148500</v>
      </c>
      <c r="D52" s="8"/>
      <c r="E52" s="8"/>
      <c r="F52" s="8"/>
      <c r="G52" s="8"/>
      <c r="H52" s="8"/>
      <c r="I52" s="8"/>
      <c r="J52" s="8"/>
      <c r="K52" s="8"/>
      <c r="L52" s="8"/>
      <c r="M52" s="8"/>
      <c r="N52" s="8"/>
      <c r="O52" s="8"/>
      <c r="P52" s="8"/>
      <c r="Q52" s="8"/>
      <c r="R52" s="8"/>
      <c r="S52" s="8"/>
      <c r="T52" s="8"/>
      <c r="U52" s="8"/>
      <c r="V52" s="8"/>
      <c r="W52" s="8"/>
      <c r="X52" s="8"/>
    </row>
    <row r="53" spans="1:24" ht="12.75" customHeight="1">
      <c r="A53" s="33">
        <v>21120905</v>
      </c>
      <c r="B53" s="24" t="s">
        <v>525</v>
      </c>
      <c r="C53" s="24">
        <v>116000</v>
      </c>
      <c r="D53" s="33"/>
      <c r="E53" s="32"/>
      <c r="F53" s="4"/>
      <c r="G53" s="4"/>
      <c r="H53" s="4"/>
      <c r="I53" s="4"/>
      <c r="J53" s="4"/>
      <c r="K53" s="4"/>
      <c r="L53" s="4"/>
      <c r="M53" s="4"/>
      <c r="N53" s="4"/>
      <c r="O53" s="4"/>
      <c r="P53" s="4"/>
      <c r="Q53" s="4"/>
      <c r="R53" s="4"/>
      <c r="S53" s="4"/>
      <c r="T53" s="4"/>
      <c r="U53" s="4"/>
      <c r="V53" s="4"/>
      <c r="W53" s="4"/>
      <c r="X53" s="4"/>
    </row>
    <row r="54" spans="1:24" ht="12.75" customHeight="1">
      <c r="A54" s="33">
        <v>21120906</v>
      </c>
      <c r="B54" s="24" t="s">
        <v>479</v>
      </c>
      <c r="C54" s="24">
        <v>232000</v>
      </c>
      <c r="D54" s="33"/>
      <c r="E54" s="32"/>
      <c r="F54" s="4"/>
      <c r="G54" s="4"/>
      <c r="H54" s="4"/>
      <c r="I54" s="4"/>
      <c r="J54" s="4"/>
      <c r="K54" s="4"/>
      <c r="L54" s="4"/>
      <c r="M54" s="4"/>
      <c r="N54" s="4"/>
      <c r="O54" s="4"/>
      <c r="P54" s="4"/>
      <c r="Q54" s="4"/>
      <c r="R54" s="4"/>
      <c r="S54" s="4"/>
      <c r="T54" s="4"/>
      <c r="U54" s="4"/>
      <c r="V54" s="4"/>
      <c r="W54" s="4"/>
      <c r="X54" s="4"/>
    </row>
    <row r="55" spans="1:24" ht="12.75" customHeight="1" thickBot="1">
      <c r="A55" s="23"/>
      <c r="B55" s="24"/>
      <c r="C55" s="24"/>
      <c r="D55" s="48"/>
      <c r="E55" s="32"/>
      <c r="F55" s="4"/>
      <c r="G55" s="4"/>
      <c r="H55" s="4"/>
      <c r="I55" s="4"/>
      <c r="J55" s="4"/>
      <c r="K55" s="4"/>
      <c r="L55" s="4"/>
      <c r="M55" s="4"/>
      <c r="N55" s="4"/>
      <c r="O55" s="4"/>
      <c r="P55" s="4"/>
      <c r="Q55" s="4"/>
      <c r="R55" s="4"/>
      <c r="S55" s="4"/>
      <c r="T55" s="4"/>
      <c r="U55" s="4"/>
      <c r="V55" s="4"/>
      <c r="W55" s="4"/>
      <c r="X55" s="4"/>
    </row>
    <row r="56" spans="1:24" ht="13.5" customHeight="1" thickBot="1">
      <c r="A56" s="1298" t="s">
        <v>4</v>
      </c>
      <c r="B56" s="1281"/>
      <c r="C56" s="64">
        <f>+C57+C63+C65+C68+C71+C74+C76</f>
        <v>146118701.97</v>
      </c>
      <c r="D56" s="4"/>
      <c r="E56" s="34"/>
      <c r="F56" s="24"/>
      <c r="G56" s="23"/>
      <c r="H56" s="23"/>
      <c r="I56" s="23"/>
      <c r="J56" s="23"/>
      <c r="K56" s="23"/>
      <c r="L56" s="23"/>
      <c r="M56" s="23"/>
      <c r="N56" s="23"/>
      <c r="O56" s="23"/>
      <c r="P56" s="23"/>
      <c r="Q56" s="23"/>
      <c r="R56" s="23"/>
      <c r="S56" s="23"/>
      <c r="T56" s="23"/>
      <c r="U56" s="23"/>
      <c r="V56" s="23"/>
      <c r="W56" s="23"/>
      <c r="X56" s="23"/>
    </row>
    <row r="57" spans="1:24" ht="13.5" customHeight="1">
      <c r="A57" s="48">
        <v>211301</v>
      </c>
      <c r="B57" s="48" t="s">
        <v>518</v>
      </c>
      <c r="C57" s="49">
        <f>SUM(C58:C62)</f>
        <v>124740500</v>
      </c>
      <c r="D57" s="34"/>
      <c r="E57" s="34"/>
      <c r="F57" s="32"/>
      <c r="G57" s="33"/>
      <c r="H57" s="33"/>
      <c r="I57" s="33"/>
      <c r="J57" s="33"/>
      <c r="K57" s="33"/>
      <c r="L57" s="33"/>
      <c r="M57" s="33"/>
      <c r="N57" s="33"/>
      <c r="O57" s="33"/>
      <c r="P57" s="33"/>
      <c r="Q57" s="33"/>
      <c r="R57" s="33"/>
      <c r="S57" s="33"/>
      <c r="T57" s="33"/>
      <c r="U57" s="33"/>
      <c r="V57" s="33"/>
      <c r="W57" s="33"/>
      <c r="X57" s="33"/>
    </row>
    <row r="58" spans="1:24" ht="13.5" customHeight="1">
      <c r="A58" s="33">
        <v>21130101</v>
      </c>
      <c r="B58" s="33" t="s">
        <v>606</v>
      </c>
      <c r="C58" s="25">
        <v>60000000</v>
      </c>
      <c r="D58" s="33"/>
      <c r="E58" s="60"/>
      <c r="F58" s="60"/>
      <c r="G58" s="34"/>
      <c r="H58" s="33"/>
      <c r="I58" s="33"/>
      <c r="J58" s="33"/>
      <c r="K58" s="33"/>
      <c r="L58" s="33"/>
      <c r="M58" s="33"/>
      <c r="N58" s="33"/>
      <c r="O58" s="33"/>
      <c r="P58" s="33"/>
      <c r="Q58" s="33"/>
      <c r="R58" s="33"/>
      <c r="S58" s="33"/>
      <c r="T58" s="33"/>
      <c r="U58" s="33"/>
      <c r="V58" s="33"/>
      <c r="W58" s="33"/>
      <c r="X58" s="33"/>
    </row>
    <row r="59" spans="1:24" ht="13.5" customHeight="1">
      <c r="A59" s="33">
        <v>21130102</v>
      </c>
      <c r="B59" s="33" t="s">
        <v>607</v>
      </c>
      <c r="C59" s="25">
        <v>14000</v>
      </c>
      <c r="D59" s="33"/>
      <c r="E59" s="60"/>
      <c r="F59" s="60"/>
      <c r="G59" s="34"/>
      <c r="H59" s="33"/>
      <c r="I59" s="33"/>
      <c r="J59" s="33"/>
      <c r="K59" s="33"/>
      <c r="L59" s="33"/>
      <c r="M59" s="33"/>
      <c r="N59" s="33"/>
      <c r="O59" s="33"/>
      <c r="P59" s="33"/>
      <c r="Q59" s="33"/>
      <c r="R59" s="33"/>
      <c r="S59" s="33"/>
      <c r="T59" s="33"/>
      <c r="U59" s="33"/>
      <c r="V59" s="33"/>
      <c r="W59" s="33"/>
      <c r="X59" s="33"/>
    </row>
    <row r="60" spans="1:24" ht="13.5" customHeight="1">
      <c r="A60" s="33">
        <v>21130103</v>
      </c>
      <c r="B60" s="23" t="s">
        <v>608</v>
      </c>
      <c r="C60" s="25">
        <v>8656000</v>
      </c>
      <c r="D60" s="23"/>
      <c r="E60" s="61"/>
      <c r="F60" s="26"/>
      <c r="G60" s="33"/>
      <c r="H60" s="23"/>
      <c r="I60" s="23"/>
      <c r="J60" s="23"/>
      <c r="K60" s="23"/>
      <c r="L60" s="23"/>
      <c r="M60" s="23"/>
      <c r="N60" s="23"/>
      <c r="O60" s="23"/>
      <c r="P60" s="23"/>
      <c r="Q60" s="23"/>
      <c r="R60" s="23"/>
      <c r="S60" s="23"/>
      <c r="T60" s="23"/>
      <c r="U60" s="23"/>
      <c r="V60" s="23"/>
      <c r="W60" s="23"/>
      <c r="X60" s="23"/>
    </row>
    <row r="61" spans="1:24" ht="13.5" customHeight="1">
      <c r="A61" s="33">
        <v>21130105</v>
      </c>
      <c r="B61" s="23" t="s">
        <v>609</v>
      </c>
      <c r="C61" s="25">
        <v>54978500</v>
      </c>
      <c r="D61" s="33"/>
      <c r="E61" s="32"/>
      <c r="F61" s="26"/>
      <c r="G61" s="33"/>
      <c r="H61" s="23"/>
      <c r="I61" s="23"/>
      <c r="J61" s="23"/>
      <c r="K61" s="23"/>
      <c r="L61" s="23"/>
      <c r="M61" s="23"/>
      <c r="N61" s="23"/>
      <c r="O61" s="23"/>
      <c r="P61" s="23"/>
      <c r="Q61" s="23"/>
      <c r="R61" s="23"/>
      <c r="S61" s="23"/>
      <c r="T61" s="23"/>
      <c r="U61" s="23"/>
      <c r="V61" s="23"/>
      <c r="W61" s="23"/>
      <c r="X61" s="23"/>
    </row>
    <row r="62" spans="1:24" ht="13.5" customHeight="1">
      <c r="A62" s="33">
        <v>21130106</v>
      </c>
      <c r="B62" s="23" t="s">
        <v>610</v>
      </c>
      <c r="C62" s="25">
        <v>1092000</v>
      </c>
      <c r="D62" s="23"/>
      <c r="E62" s="25"/>
      <c r="F62" s="26"/>
      <c r="G62" s="33"/>
      <c r="H62" s="23"/>
      <c r="I62" s="23"/>
      <c r="J62" s="23"/>
      <c r="K62" s="23"/>
      <c r="L62" s="23"/>
      <c r="M62" s="23"/>
      <c r="N62" s="23"/>
      <c r="O62" s="23"/>
      <c r="P62" s="23"/>
      <c r="Q62" s="23"/>
      <c r="R62" s="23"/>
      <c r="S62" s="23"/>
      <c r="T62" s="23"/>
      <c r="U62" s="23"/>
      <c r="V62" s="23"/>
      <c r="W62" s="23"/>
      <c r="X62" s="23"/>
    </row>
    <row r="63" spans="1:24" ht="13.5" customHeight="1">
      <c r="A63" s="48">
        <v>211302</v>
      </c>
      <c r="B63" s="21" t="s">
        <v>481</v>
      </c>
      <c r="C63" s="26">
        <f>C64</f>
        <v>446000</v>
      </c>
      <c r="D63" s="23"/>
      <c r="E63" s="25"/>
      <c r="F63" s="26"/>
      <c r="G63" s="33"/>
      <c r="H63" s="23"/>
      <c r="I63" s="23"/>
      <c r="J63" s="23"/>
      <c r="K63" s="23"/>
      <c r="L63" s="23"/>
      <c r="M63" s="23"/>
      <c r="N63" s="23"/>
      <c r="O63" s="23"/>
      <c r="P63" s="23"/>
      <c r="Q63" s="23"/>
      <c r="R63" s="23"/>
      <c r="S63" s="23"/>
      <c r="T63" s="23"/>
      <c r="U63" s="23"/>
      <c r="V63" s="23"/>
      <c r="W63" s="23"/>
      <c r="X63" s="23"/>
    </row>
    <row r="64" spans="1:24" ht="13.5" customHeight="1">
      <c r="A64" s="33">
        <v>21130204</v>
      </c>
      <c r="B64" s="23" t="s">
        <v>483</v>
      </c>
      <c r="C64" s="24">
        <v>446000</v>
      </c>
      <c r="D64" s="33"/>
      <c r="E64" s="32"/>
      <c r="F64" s="23"/>
      <c r="G64" s="23"/>
      <c r="H64" s="23"/>
      <c r="I64" s="23"/>
      <c r="J64" s="23"/>
      <c r="K64" s="23"/>
      <c r="L64" s="23"/>
      <c r="M64" s="23"/>
      <c r="N64" s="23"/>
      <c r="O64" s="23"/>
      <c r="P64" s="23"/>
      <c r="Q64" s="23"/>
      <c r="R64" s="23"/>
      <c r="S64" s="23"/>
      <c r="T64" s="23"/>
      <c r="U64" s="23"/>
      <c r="V64" s="23"/>
      <c r="W64" s="23"/>
      <c r="X64" s="23"/>
    </row>
    <row r="65" spans="1:24" ht="12.75" customHeight="1">
      <c r="A65" s="48">
        <v>211303</v>
      </c>
      <c r="B65" s="26" t="s">
        <v>484</v>
      </c>
      <c r="C65" s="26">
        <f>+SUM(C66:C67)</f>
        <v>191000</v>
      </c>
      <c r="D65" s="3"/>
      <c r="E65" s="34"/>
      <c r="F65" s="4"/>
      <c r="G65" s="4"/>
      <c r="H65" s="4"/>
      <c r="I65" s="4"/>
      <c r="J65" s="4"/>
      <c r="K65" s="4"/>
      <c r="L65" s="4"/>
      <c r="M65" s="4"/>
      <c r="N65" s="4"/>
      <c r="O65" s="4"/>
      <c r="P65" s="4"/>
      <c r="Q65" s="4"/>
      <c r="R65" s="4"/>
      <c r="S65" s="4"/>
      <c r="T65" s="4"/>
      <c r="U65" s="4"/>
      <c r="V65" s="4"/>
      <c r="W65" s="4"/>
      <c r="X65" s="4"/>
    </row>
    <row r="66" spans="1:24" ht="13.5" customHeight="1">
      <c r="A66" s="40">
        <v>21130306</v>
      </c>
      <c r="B66" s="13" t="s">
        <v>487</v>
      </c>
      <c r="C66" s="14">
        <v>90000</v>
      </c>
      <c r="D66" s="8"/>
      <c r="E66" s="14"/>
      <c r="F66" s="30"/>
      <c r="G66" s="30"/>
      <c r="H66" s="8"/>
      <c r="I66" s="8"/>
      <c r="J66" s="8"/>
      <c r="K66" s="8"/>
      <c r="L66" s="8"/>
      <c r="M66" s="8"/>
      <c r="N66" s="8"/>
      <c r="O66" s="8"/>
      <c r="P66" s="8"/>
      <c r="Q66" s="8"/>
      <c r="R66" s="8"/>
      <c r="S66" s="8"/>
      <c r="T66" s="8"/>
      <c r="U66" s="8"/>
      <c r="V66" s="8"/>
      <c r="W66" s="8"/>
      <c r="X66" s="8"/>
    </row>
    <row r="67" spans="1:24" ht="13.5" customHeight="1">
      <c r="A67" s="33">
        <v>21130307</v>
      </c>
      <c r="B67" s="23" t="s">
        <v>488</v>
      </c>
      <c r="C67" s="24">
        <v>101000</v>
      </c>
      <c r="D67" s="33"/>
      <c r="E67" s="32"/>
      <c r="F67" s="24"/>
      <c r="G67" s="23"/>
      <c r="H67" s="23"/>
      <c r="I67" s="23"/>
      <c r="J67" s="23"/>
      <c r="K67" s="23"/>
      <c r="L67" s="23"/>
      <c r="M67" s="23"/>
      <c r="N67" s="23"/>
      <c r="O67" s="23"/>
      <c r="P67" s="23"/>
      <c r="Q67" s="23"/>
      <c r="R67" s="23"/>
      <c r="S67" s="23"/>
      <c r="T67" s="23"/>
      <c r="U67" s="23"/>
      <c r="V67" s="23"/>
      <c r="W67" s="23"/>
      <c r="X67" s="23"/>
    </row>
    <row r="68" spans="1:24" ht="13.5" customHeight="1">
      <c r="A68" s="48">
        <v>211305</v>
      </c>
      <c r="B68" s="21" t="s">
        <v>489</v>
      </c>
      <c r="C68" s="26">
        <f>+SUM(C69:C70)</f>
        <v>13713701.970000001</v>
      </c>
      <c r="D68" s="33"/>
      <c r="E68" s="32"/>
      <c r="F68" s="23"/>
      <c r="G68" s="23"/>
      <c r="H68" s="23"/>
      <c r="I68" s="23"/>
      <c r="J68" s="23"/>
      <c r="K68" s="23"/>
      <c r="L68" s="23"/>
      <c r="M68" s="23"/>
      <c r="N68" s="23"/>
      <c r="O68" s="23"/>
      <c r="P68" s="23"/>
      <c r="Q68" s="23"/>
      <c r="R68" s="23"/>
      <c r="S68" s="23"/>
      <c r="T68" s="23"/>
      <c r="U68" s="23"/>
      <c r="V68" s="23"/>
      <c r="W68" s="23"/>
      <c r="X68" s="23"/>
    </row>
    <row r="69" spans="1:24" ht="12.75" customHeight="1">
      <c r="A69" s="33">
        <v>21130501</v>
      </c>
      <c r="B69" s="13" t="s">
        <v>490</v>
      </c>
      <c r="C69" s="24">
        <v>632000</v>
      </c>
      <c r="D69" s="3"/>
      <c r="E69" s="34"/>
      <c r="F69" s="4"/>
      <c r="G69" s="4"/>
      <c r="H69" s="4"/>
      <c r="I69" s="4"/>
      <c r="J69" s="4"/>
      <c r="K69" s="4"/>
      <c r="L69" s="4"/>
      <c r="M69" s="4"/>
      <c r="N69" s="4"/>
      <c r="O69" s="4"/>
      <c r="P69" s="4"/>
      <c r="Q69" s="4"/>
      <c r="R69" s="4"/>
      <c r="S69" s="4"/>
      <c r="T69" s="4"/>
      <c r="U69" s="4"/>
      <c r="V69" s="4"/>
      <c r="W69" s="4"/>
      <c r="X69" s="4"/>
    </row>
    <row r="70" spans="1:24" ht="12.75" customHeight="1">
      <c r="A70" s="33">
        <v>21130502</v>
      </c>
      <c r="B70" s="24" t="s">
        <v>491</v>
      </c>
      <c r="C70" s="24">
        <f>318500+12963201.97-200000</f>
        <v>13081701.970000001</v>
      </c>
      <c r="D70" s="4"/>
      <c r="E70" s="34"/>
      <c r="F70" s="4"/>
      <c r="G70" s="4"/>
      <c r="H70" s="4"/>
      <c r="I70" s="4"/>
      <c r="J70" s="4"/>
      <c r="K70" s="4"/>
      <c r="L70" s="4"/>
      <c r="M70" s="4"/>
      <c r="N70" s="4"/>
      <c r="O70" s="4"/>
      <c r="P70" s="4"/>
      <c r="Q70" s="4"/>
      <c r="R70" s="4"/>
      <c r="S70" s="4"/>
      <c r="T70" s="4"/>
      <c r="U70" s="4"/>
      <c r="V70" s="4"/>
      <c r="W70" s="4"/>
      <c r="X70" s="4"/>
    </row>
    <row r="71" spans="1:24" ht="12.75" customHeight="1">
      <c r="A71" s="48">
        <v>211306</v>
      </c>
      <c r="B71" s="26" t="s">
        <v>492</v>
      </c>
      <c r="C71" s="26">
        <f>+SUM(C72:C73)</f>
        <v>235500</v>
      </c>
      <c r="D71" s="3"/>
      <c r="E71" s="3"/>
      <c r="F71" s="4"/>
      <c r="G71" s="4"/>
      <c r="H71" s="4"/>
      <c r="I71" s="4"/>
      <c r="J71" s="4"/>
      <c r="K71" s="4"/>
      <c r="L71" s="4"/>
      <c r="M71" s="4"/>
      <c r="N71" s="4"/>
      <c r="O71" s="4"/>
      <c r="P71" s="4"/>
      <c r="Q71" s="4"/>
      <c r="R71" s="4"/>
      <c r="S71" s="4"/>
      <c r="T71" s="4"/>
      <c r="U71" s="4"/>
      <c r="V71" s="4"/>
      <c r="W71" s="4"/>
      <c r="X71" s="4"/>
    </row>
    <row r="72" spans="1:24" ht="12.75" customHeight="1">
      <c r="A72" s="33">
        <v>21130605</v>
      </c>
      <c r="B72" s="23" t="s">
        <v>611</v>
      </c>
      <c r="C72" s="24">
        <v>217500</v>
      </c>
      <c r="D72" s="3"/>
      <c r="E72" s="34"/>
      <c r="F72" s="4"/>
      <c r="G72" s="4"/>
      <c r="H72" s="4"/>
      <c r="I72" s="4"/>
      <c r="J72" s="4"/>
      <c r="K72" s="4"/>
      <c r="L72" s="4"/>
      <c r="M72" s="4"/>
      <c r="N72" s="4"/>
      <c r="O72" s="4"/>
      <c r="P72" s="4"/>
      <c r="Q72" s="4"/>
      <c r="R72" s="4"/>
      <c r="S72" s="4"/>
      <c r="T72" s="4"/>
      <c r="U72" s="4"/>
      <c r="V72" s="4"/>
      <c r="W72" s="4"/>
      <c r="X72" s="4"/>
    </row>
    <row r="73" spans="1:24" ht="12.75" customHeight="1">
      <c r="A73" s="33">
        <v>21130607</v>
      </c>
      <c r="B73" s="24" t="s">
        <v>493</v>
      </c>
      <c r="C73" s="24">
        <v>18000</v>
      </c>
      <c r="D73" s="3"/>
      <c r="E73" s="34"/>
      <c r="F73" s="4"/>
      <c r="G73" s="4"/>
      <c r="H73" s="4"/>
      <c r="I73" s="4"/>
      <c r="J73" s="4"/>
      <c r="K73" s="4"/>
      <c r="L73" s="4"/>
      <c r="M73" s="4"/>
      <c r="N73" s="4"/>
      <c r="O73" s="4"/>
      <c r="P73" s="4"/>
      <c r="Q73" s="4"/>
      <c r="R73" s="4"/>
      <c r="S73" s="4"/>
      <c r="T73" s="4"/>
      <c r="U73" s="4"/>
      <c r="V73" s="4"/>
      <c r="W73" s="4"/>
      <c r="X73" s="4"/>
    </row>
    <row r="74" spans="1:24" ht="12.75" customHeight="1">
      <c r="A74" s="48">
        <v>211307</v>
      </c>
      <c r="B74" s="26" t="s">
        <v>494</v>
      </c>
      <c r="C74" s="26">
        <f>C75</f>
        <v>35000</v>
      </c>
      <c r="D74" s="3"/>
      <c r="E74" s="34"/>
      <c r="F74" s="4"/>
      <c r="G74" s="4"/>
      <c r="H74" s="4"/>
      <c r="I74" s="4"/>
      <c r="J74" s="4"/>
      <c r="K74" s="4"/>
      <c r="L74" s="4"/>
      <c r="M74" s="4"/>
      <c r="N74" s="4"/>
      <c r="O74" s="4"/>
      <c r="P74" s="4"/>
      <c r="Q74" s="4"/>
      <c r="R74" s="4"/>
      <c r="S74" s="4"/>
      <c r="T74" s="4"/>
      <c r="U74" s="4"/>
      <c r="V74" s="4"/>
      <c r="W74" s="4"/>
      <c r="X74" s="4"/>
    </row>
    <row r="75" spans="1:24" ht="12.75" customHeight="1">
      <c r="A75" s="33">
        <v>21130701</v>
      </c>
      <c r="B75" s="23" t="s">
        <v>495</v>
      </c>
      <c r="C75" s="24">
        <v>35000</v>
      </c>
      <c r="D75" s="3"/>
      <c r="E75" s="34"/>
      <c r="F75" s="4"/>
      <c r="G75" s="4"/>
      <c r="H75" s="4"/>
      <c r="I75" s="4"/>
      <c r="J75" s="4"/>
      <c r="K75" s="4"/>
      <c r="L75" s="4"/>
      <c r="M75" s="4"/>
      <c r="N75" s="4"/>
      <c r="O75" s="4"/>
      <c r="P75" s="4"/>
      <c r="Q75" s="4"/>
      <c r="R75" s="4"/>
      <c r="S75" s="4"/>
      <c r="T75" s="4"/>
      <c r="U75" s="4"/>
      <c r="V75" s="4"/>
      <c r="W75" s="4"/>
      <c r="X75" s="4"/>
    </row>
    <row r="76" spans="1:24" ht="12.75" customHeight="1">
      <c r="A76" s="48">
        <v>211309</v>
      </c>
      <c r="B76" s="26" t="s">
        <v>496</v>
      </c>
      <c r="C76" s="26">
        <f>+SUM(C77:C79)</f>
        <v>6757000</v>
      </c>
      <c r="D76" s="3"/>
      <c r="E76" s="34"/>
      <c r="F76" s="4"/>
      <c r="G76" s="4"/>
      <c r="H76" s="4"/>
      <c r="I76" s="4"/>
      <c r="J76" s="4"/>
      <c r="K76" s="4"/>
      <c r="L76" s="4"/>
      <c r="M76" s="4"/>
      <c r="N76" s="4"/>
      <c r="O76" s="4"/>
      <c r="P76" s="4"/>
      <c r="Q76" s="4"/>
      <c r="R76" s="4"/>
      <c r="S76" s="4"/>
      <c r="T76" s="4"/>
      <c r="U76" s="4"/>
      <c r="V76" s="4"/>
      <c r="W76" s="4"/>
      <c r="X76" s="4"/>
    </row>
    <row r="77" spans="1:24" ht="12.75" customHeight="1">
      <c r="A77" s="33">
        <v>32110901</v>
      </c>
      <c r="B77" s="24" t="s">
        <v>497</v>
      </c>
      <c r="C77" s="24">
        <v>3000000</v>
      </c>
      <c r="D77" s="3"/>
      <c r="E77" s="34"/>
      <c r="F77" s="4"/>
      <c r="G77" s="4"/>
      <c r="H77" s="4"/>
      <c r="I77" s="4"/>
      <c r="J77" s="4"/>
      <c r="K77" s="4"/>
      <c r="L77" s="4"/>
      <c r="M77" s="4"/>
      <c r="N77" s="4"/>
      <c r="O77" s="4"/>
      <c r="P77" s="4"/>
      <c r="Q77" s="4"/>
      <c r="R77" s="4"/>
      <c r="S77" s="4"/>
      <c r="T77" s="4"/>
      <c r="U77" s="4"/>
      <c r="V77" s="4"/>
      <c r="W77" s="4"/>
      <c r="X77" s="4"/>
    </row>
    <row r="78" spans="1:24" ht="12.75" customHeight="1">
      <c r="A78" s="33">
        <v>21130903</v>
      </c>
      <c r="B78" s="24" t="s">
        <v>498</v>
      </c>
      <c r="C78" s="24">
        <v>819500</v>
      </c>
      <c r="D78" s="3"/>
      <c r="E78" s="34"/>
      <c r="F78" s="4"/>
      <c r="G78" s="4"/>
      <c r="H78" s="4"/>
      <c r="I78" s="4"/>
      <c r="J78" s="4"/>
      <c r="K78" s="4"/>
      <c r="L78" s="4"/>
      <c r="M78" s="4"/>
      <c r="N78" s="4"/>
      <c r="O78" s="4"/>
      <c r="P78" s="4"/>
      <c r="Q78" s="4"/>
      <c r="R78" s="4"/>
      <c r="S78" s="4"/>
      <c r="T78" s="4"/>
      <c r="U78" s="4"/>
      <c r="V78" s="4"/>
      <c r="W78" s="4"/>
      <c r="X78" s="4"/>
    </row>
    <row r="79" spans="1:24" ht="12.75" customHeight="1">
      <c r="A79" s="33">
        <v>21130908</v>
      </c>
      <c r="B79" s="24" t="s">
        <v>500</v>
      </c>
      <c r="C79" s="24">
        <v>2937500</v>
      </c>
      <c r="D79" s="3"/>
      <c r="E79" s="34"/>
      <c r="F79" s="4"/>
      <c r="G79" s="4"/>
      <c r="H79" s="4"/>
      <c r="I79" s="4"/>
      <c r="J79" s="4"/>
      <c r="K79" s="4"/>
      <c r="L79" s="4"/>
      <c r="M79" s="4"/>
      <c r="N79" s="4"/>
      <c r="O79" s="4"/>
      <c r="P79" s="4"/>
      <c r="Q79" s="4"/>
      <c r="R79" s="4"/>
      <c r="S79" s="4"/>
      <c r="T79" s="4"/>
      <c r="U79" s="4"/>
      <c r="V79" s="4"/>
      <c r="W79" s="4"/>
      <c r="X79" s="4"/>
    </row>
    <row r="80" spans="1:24" ht="13.5" customHeight="1" thickBot="1">
      <c r="A80" s="23"/>
      <c r="B80" s="23"/>
      <c r="C80" s="24"/>
      <c r="D80" s="33"/>
      <c r="E80" s="32"/>
      <c r="F80" s="24"/>
      <c r="G80" s="23"/>
      <c r="H80" s="23"/>
      <c r="I80" s="23"/>
      <c r="J80" s="23"/>
      <c r="K80" s="23"/>
      <c r="L80" s="23"/>
      <c r="M80" s="23"/>
      <c r="N80" s="23"/>
      <c r="O80" s="23"/>
      <c r="P80" s="23"/>
      <c r="Q80" s="23"/>
      <c r="R80" s="23"/>
      <c r="S80" s="23"/>
      <c r="T80" s="23"/>
      <c r="U80" s="23"/>
      <c r="V80" s="23"/>
      <c r="W80" s="23"/>
      <c r="X80" s="23"/>
    </row>
    <row r="81" spans="1:24" ht="12.75" customHeight="1" thickBot="1">
      <c r="A81" s="1299" t="s">
        <v>48</v>
      </c>
      <c r="B81" s="1281"/>
      <c r="C81" s="65">
        <f>+C82+C86</f>
        <v>3745000</v>
      </c>
      <c r="D81" s="4"/>
      <c r="E81" s="34"/>
      <c r="F81" s="4"/>
      <c r="G81" s="4"/>
      <c r="H81" s="4"/>
      <c r="I81" s="4"/>
      <c r="J81" s="4"/>
      <c r="K81" s="4"/>
      <c r="L81" s="4"/>
      <c r="M81" s="4"/>
      <c r="N81" s="4"/>
      <c r="O81" s="4"/>
      <c r="P81" s="4"/>
      <c r="Q81" s="4"/>
      <c r="R81" s="4"/>
      <c r="S81" s="4"/>
      <c r="T81" s="4"/>
      <c r="U81" s="4"/>
      <c r="V81" s="4"/>
      <c r="W81" s="4"/>
      <c r="X81" s="4"/>
    </row>
    <row r="82" spans="1:24" ht="12.75" customHeight="1">
      <c r="A82" s="48">
        <v>221104</v>
      </c>
      <c r="B82" s="21" t="s">
        <v>510</v>
      </c>
      <c r="C82" s="26">
        <f>SUM(C83:C85)</f>
        <v>3215000</v>
      </c>
      <c r="D82" s="4"/>
      <c r="E82" s="34"/>
      <c r="F82" s="4"/>
      <c r="G82" s="4"/>
      <c r="H82" s="4"/>
      <c r="I82" s="4"/>
      <c r="J82" s="4"/>
      <c r="K82" s="4"/>
      <c r="L82" s="4"/>
      <c r="M82" s="4"/>
      <c r="N82" s="4"/>
      <c r="O82" s="4"/>
      <c r="P82" s="4"/>
      <c r="Q82" s="4"/>
      <c r="R82" s="4"/>
      <c r="S82" s="4"/>
      <c r="T82" s="4"/>
      <c r="U82" s="4"/>
      <c r="V82" s="4"/>
      <c r="W82" s="4"/>
      <c r="X82" s="4"/>
    </row>
    <row r="83" spans="1:24" ht="12.75" customHeight="1">
      <c r="A83" s="33">
        <v>22110401</v>
      </c>
      <c r="B83" s="23" t="s">
        <v>511</v>
      </c>
      <c r="C83" s="24">
        <f>200000+3375000-500000</f>
        <v>3075000</v>
      </c>
      <c r="D83" s="4"/>
      <c r="E83" s="34"/>
      <c r="F83" s="4"/>
      <c r="G83" s="4"/>
      <c r="H83" s="4"/>
      <c r="I83" s="4"/>
      <c r="J83" s="4"/>
      <c r="K83" s="4"/>
      <c r="L83" s="4"/>
      <c r="M83" s="4"/>
      <c r="N83" s="4"/>
      <c r="O83" s="4"/>
      <c r="P83" s="4"/>
      <c r="Q83" s="4"/>
      <c r="R83" s="4"/>
      <c r="S83" s="4"/>
      <c r="T83" s="4"/>
      <c r="U83" s="4"/>
      <c r="V83" s="4"/>
      <c r="W83" s="4"/>
      <c r="X83" s="4"/>
    </row>
    <row r="84" spans="1:24" ht="12.75" customHeight="1">
      <c r="A84" s="33">
        <v>22110404</v>
      </c>
      <c r="B84" s="23" t="s">
        <v>512</v>
      </c>
      <c r="C84" s="24">
        <v>70000</v>
      </c>
      <c r="D84" s="4"/>
      <c r="E84" s="34"/>
      <c r="F84" s="4"/>
      <c r="G84" s="4"/>
      <c r="H84" s="4"/>
      <c r="I84" s="4"/>
      <c r="J84" s="4"/>
      <c r="K84" s="4"/>
      <c r="L84" s="4"/>
      <c r="M84" s="4"/>
      <c r="N84" s="4"/>
      <c r="O84" s="4"/>
      <c r="P84" s="4"/>
      <c r="Q84" s="4"/>
      <c r="R84" s="4"/>
      <c r="S84" s="4"/>
      <c r="T84" s="4"/>
      <c r="U84" s="4"/>
      <c r="V84" s="4"/>
      <c r="W84" s="4"/>
      <c r="X84" s="4"/>
    </row>
    <row r="85" spans="1:24" ht="13.5" customHeight="1">
      <c r="A85" s="33">
        <v>22110409</v>
      </c>
      <c r="B85" s="24" t="s">
        <v>513</v>
      </c>
      <c r="C85" s="24">
        <v>70000</v>
      </c>
      <c r="D85" s="40"/>
      <c r="E85" s="14"/>
      <c r="F85" s="13"/>
      <c r="G85" s="13"/>
      <c r="H85" s="13"/>
      <c r="I85" s="13"/>
      <c r="J85" s="13"/>
      <c r="K85" s="13"/>
      <c r="L85" s="13"/>
      <c r="M85" s="13"/>
      <c r="N85" s="13"/>
      <c r="O85" s="13"/>
      <c r="P85" s="13"/>
      <c r="Q85" s="13"/>
      <c r="R85" s="13"/>
      <c r="S85" s="13"/>
      <c r="T85" s="13"/>
      <c r="U85" s="13"/>
      <c r="V85" s="13"/>
      <c r="W85" s="13"/>
      <c r="X85" s="13"/>
    </row>
    <row r="86" spans="1:24" ht="12.75" customHeight="1">
      <c r="A86" s="48">
        <v>221107</v>
      </c>
      <c r="B86" s="26" t="s">
        <v>514</v>
      </c>
      <c r="C86" s="26">
        <f>SUM(C87)</f>
        <v>530000</v>
      </c>
      <c r="D86" s="4"/>
      <c r="E86" s="34"/>
      <c r="F86" s="4"/>
      <c r="G86" s="4"/>
      <c r="H86" s="4"/>
      <c r="I86" s="4"/>
      <c r="J86" s="4"/>
      <c r="K86" s="4"/>
      <c r="L86" s="4"/>
      <c r="M86" s="4"/>
      <c r="N86" s="4"/>
      <c r="O86" s="4"/>
      <c r="P86" s="4"/>
      <c r="Q86" s="4"/>
      <c r="R86" s="4"/>
      <c r="S86" s="4"/>
      <c r="T86" s="4"/>
      <c r="U86" s="4"/>
      <c r="V86" s="4"/>
      <c r="W86" s="4"/>
      <c r="X86" s="4"/>
    </row>
    <row r="87" spans="1:24" ht="12.75" customHeight="1">
      <c r="A87" s="33">
        <v>22110702</v>
      </c>
      <c r="B87" s="24" t="s">
        <v>515</v>
      </c>
      <c r="C87" s="24">
        <v>530000</v>
      </c>
      <c r="D87" s="4"/>
      <c r="E87" s="34"/>
      <c r="F87" s="4"/>
      <c r="G87" s="4"/>
      <c r="H87" s="4"/>
      <c r="I87" s="4"/>
      <c r="J87" s="4"/>
      <c r="K87" s="4"/>
      <c r="L87" s="4"/>
      <c r="M87" s="4"/>
      <c r="N87" s="4"/>
      <c r="O87" s="4"/>
      <c r="P87" s="4"/>
      <c r="Q87" s="4"/>
      <c r="R87" s="4"/>
      <c r="S87" s="4"/>
      <c r="T87" s="4"/>
      <c r="U87" s="4"/>
      <c r="V87" s="4"/>
      <c r="W87" s="4"/>
      <c r="X87" s="4"/>
    </row>
    <row r="88" spans="1:24" ht="12.75" customHeight="1">
      <c r="A88" s="23"/>
      <c r="B88" s="24"/>
      <c r="C88" s="24"/>
      <c r="D88" s="4"/>
      <c r="E88" s="34"/>
      <c r="F88" s="4"/>
      <c r="G88" s="4"/>
      <c r="H88" s="4"/>
      <c r="I88" s="4"/>
      <c r="J88" s="4"/>
      <c r="K88" s="4"/>
      <c r="L88" s="4"/>
      <c r="M88" s="4"/>
      <c r="N88" s="4"/>
      <c r="O88" s="4"/>
      <c r="P88" s="4"/>
      <c r="Q88" s="4"/>
      <c r="R88" s="4"/>
      <c r="S88" s="4"/>
      <c r="T88" s="4"/>
      <c r="U88" s="4"/>
      <c r="V88" s="4"/>
      <c r="W88" s="4"/>
      <c r="X88" s="4"/>
    </row>
    <row r="89" spans="1:24" ht="12.75" customHeight="1" thickBot="1">
      <c r="A89" s="23"/>
      <c r="B89" s="24"/>
      <c r="C89" s="24"/>
      <c r="D89" s="4"/>
      <c r="E89" s="4"/>
      <c r="F89" s="4"/>
      <c r="G89" s="4"/>
      <c r="H89" s="4"/>
      <c r="I89" s="4"/>
      <c r="J89" s="4"/>
      <c r="K89" s="4"/>
      <c r="L89" s="4"/>
      <c r="M89" s="4"/>
      <c r="N89" s="4"/>
      <c r="O89" s="4"/>
      <c r="P89" s="4"/>
      <c r="Q89" s="4"/>
      <c r="R89" s="4"/>
      <c r="S89" s="4"/>
      <c r="T89" s="4"/>
      <c r="U89" s="4"/>
      <c r="V89" s="4"/>
      <c r="W89" s="4"/>
      <c r="X89" s="4"/>
    </row>
    <row r="90" spans="1:24" ht="12.75" customHeight="1">
      <c r="A90" s="1063" t="s">
        <v>705</v>
      </c>
      <c r="B90" s="985" t="s">
        <v>719</v>
      </c>
      <c r="C90" s="1161" t="s">
        <v>775</v>
      </c>
      <c r="D90" s="23"/>
      <c r="E90" s="4"/>
      <c r="F90" s="4"/>
      <c r="G90" s="4"/>
      <c r="H90" s="4"/>
      <c r="I90" s="4"/>
      <c r="J90" s="4"/>
      <c r="K90" s="4"/>
      <c r="L90" s="4"/>
      <c r="M90" s="4"/>
      <c r="N90" s="4"/>
      <c r="O90" s="4"/>
      <c r="P90" s="4"/>
      <c r="Q90" s="4"/>
      <c r="R90" s="4"/>
      <c r="S90" s="4"/>
      <c r="T90" s="4"/>
      <c r="U90" s="4"/>
      <c r="V90" s="4"/>
      <c r="W90" s="4"/>
      <c r="X90" s="4"/>
    </row>
    <row r="91" spans="1:24" ht="12.75" customHeight="1" thickBot="1">
      <c r="A91" s="1168"/>
      <c r="B91" s="981"/>
      <c r="C91" s="1490"/>
      <c r="D91" s="23"/>
      <c r="E91" s="4"/>
      <c r="F91" s="4"/>
      <c r="G91" s="4"/>
      <c r="H91" s="4"/>
      <c r="I91" s="4"/>
      <c r="J91" s="4"/>
      <c r="K91" s="4"/>
      <c r="L91" s="4"/>
      <c r="M91" s="4"/>
      <c r="N91" s="4"/>
      <c r="O91" s="4"/>
      <c r="P91" s="4"/>
      <c r="Q91" s="4"/>
      <c r="R91" s="4"/>
      <c r="S91" s="4"/>
      <c r="T91" s="4"/>
      <c r="U91" s="4"/>
      <c r="V91" s="4"/>
      <c r="W91" s="4"/>
      <c r="X91" s="4"/>
    </row>
    <row r="92" spans="1:24" ht="12.75" customHeight="1">
      <c r="A92" s="1122" t="s">
        <v>675</v>
      </c>
      <c r="B92" s="808"/>
      <c r="C92" s="1029"/>
      <c r="D92" s="4"/>
      <c r="E92" s="4"/>
      <c r="F92" s="4"/>
      <c r="G92" s="4"/>
      <c r="H92" s="4"/>
      <c r="I92" s="4"/>
      <c r="J92" s="4"/>
      <c r="K92" s="4"/>
      <c r="L92" s="4"/>
      <c r="M92" s="4"/>
      <c r="N92" s="4"/>
      <c r="O92" s="4"/>
      <c r="P92" s="4"/>
      <c r="Q92" s="4"/>
      <c r="R92" s="4"/>
      <c r="S92" s="4"/>
      <c r="T92" s="4"/>
      <c r="U92" s="4"/>
      <c r="V92" s="4"/>
      <c r="W92" s="4"/>
      <c r="X92" s="4"/>
    </row>
    <row r="93" spans="1:24" ht="12.75" customHeight="1">
      <c r="A93" s="1028" t="s">
        <v>710</v>
      </c>
      <c r="B93" s="808"/>
      <c r="C93" s="1029"/>
      <c r="D93" s="4"/>
      <c r="E93" s="4"/>
      <c r="F93" s="4"/>
      <c r="G93" s="4"/>
      <c r="H93" s="4"/>
      <c r="I93" s="4"/>
      <c r="J93" s="4"/>
      <c r="K93" s="4"/>
      <c r="L93" s="4"/>
      <c r="M93" s="4"/>
      <c r="N93" s="4"/>
      <c r="O93" s="4"/>
      <c r="P93" s="4"/>
      <c r="Q93" s="4"/>
      <c r="R93" s="4"/>
      <c r="S93" s="4"/>
      <c r="T93" s="4"/>
      <c r="U93" s="4"/>
      <c r="V93" s="4"/>
      <c r="W93" s="4"/>
      <c r="X93" s="4"/>
    </row>
    <row r="94" spans="1:24" ht="12.75" customHeight="1">
      <c r="A94" s="1028" t="s">
        <v>718</v>
      </c>
      <c r="B94" s="808"/>
      <c r="C94" s="1029"/>
      <c r="D94" s="23"/>
      <c r="E94" s="4"/>
      <c r="F94" s="4"/>
      <c r="G94" s="4"/>
      <c r="H94" s="4"/>
      <c r="I94" s="4"/>
      <c r="J94" s="4"/>
      <c r="K94" s="4"/>
      <c r="L94" s="4"/>
      <c r="M94" s="4"/>
      <c r="N94" s="4"/>
      <c r="O94" s="4"/>
      <c r="P94" s="4"/>
      <c r="Q94" s="4"/>
      <c r="R94" s="4"/>
      <c r="S94" s="4"/>
      <c r="T94" s="4"/>
      <c r="U94" s="4"/>
      <c r="V94" s="4"/>
      <c r="W94" s="4"/>
      <c r="X94" s="4"/>
    </row>
    <row r="95" spans="1:24" ht="12.75" customHeight="1" thickBot="1">
      <c r="A95" s="1125" t="s">
        <v>0</v>
      </c>
      <c r="B95" s="982"/>
      <c r="C95" s="1029"/>
      <c r="D95" s="23"/>
      <c r="E95" s="4"/>
      <c r="F95" s="4"/>
      <c r="G95" s="4"/>
      <c r="H95" s="4"/>
      <c r="I95" s="4"/>
      <c r="J95" s="4"/>
      <c r="K95" s="4"/>
      <c r="L95" s="4"/>
      <c r="M95" s="4"/>
      <c r="N95" s="4"/>
      <c r="O95" s="4"/>
      <c r="P95" s="4"/>
      <c r="Q95" s="4"/>
      <c r="R95" s="4"/>
      <c r="S95" s="4"/>
      <c r="T95" s="4"/>
      <c r="U95" s="4"/>
      <c r="V95" s="4"/>
      <c r="W95" s="4"/>
      <c r="X95" s="4"/>
    </row>
    <row r="96" spans="1:24" ht="12.75" customHeight="1" thickBot="1">
      <c r="A96" s="1171" t="s">
        <v>1</v>
      </c>
      <c r="B96" s="1186"/>
      <c r="C96" s="1033">
        <f>+C98+C111+C124</f>
        <v>4745400</v>
      </c>
      <c r="D96" s="23"/>
      <c r="E96" s="4"/>
      <c r="F96" s="4"/>
      <c r="G96" s="4"/>
      <c r="H96" s="4"/>
      <c r="I96" s="4"/>
      <c r="J96" s="4"/>
      <c r="K96" s="4"/>
      <c r="L96" s="4"/>
      <c r="M96" s="4"/>
      <c r="N96" s="4"/>
      <c r="O96" s="4"/>
      <c r="P96" s="4"/>
      <c r="Q96" s="4"/>
      <c r="R96" s="4"/>
      <c r="S96" s="4"/>
      <c r="T96" s="4"/>
      <c r="U96" s="4"/>
      <c r="V96" s="4"/>
      <c r="W96" s="4"/>
      <c r="X96" s="4"/>
    </row>
    <row r="97" spans="1:24" ht="12.75" customHeight="1" thickBot="1">
      <c r="A97" s="21"/>
      <c r="B97" s="21"/>
      <c r="C97" s="26"/>
      <c r="D97" s="23"/>
      <c r="E97" s="4"/>
      <c r="F97" s="4"/>
      <c r="G97" s="4"/>
      <c r="H97" s="4"/>
      <c r="I97" s="4"/>
      <c r="J97" s="4"/>
      <c r="K97" s="4"/>
      <c r="L97" s="4"/>
      <c r="M97" s="4"/>
      <c r="N97" s="4"/>
      <c r="O97" s="4"/>
      <c r="P97" s="4"/>
      <c r="Q97" s="4"/>
      <c r="R97" s="4"/>
      <c r="S97" s="4"/>
      <c r="T97" s="4"/>
      <c r="U97" s="4"/>
      <c r="V97" s="4"/>
      <c r="W97" s="4"/>
      <c r="X97" s="4"/>
    </row>
    <row r="98" spans="1:24" ht="12.75" customHeight="1" thickBot="1">
      <c r="A98" s="1297" t="s">
        <v>9</v>
      </c>
      <c r="B98" s="1281"/>
      <c r="C98" s="62">
        <f>(C99+C101+C103+C105+C107)</f>
        <v>254700</v>
      </c>
      <c r="D98" s="23"/>
      <c r="E98" s="4"/>
      <c r="F98" s="4"/>
      <c r="G98" s="4"/>
      <c r="H98" s="4"/>
      <c r="I98" s="4"/>
      <c r="J98" s="4"/>
      <c r="K98" s="4"/>
      <c r="L98" s="4"/>
      <c r="M98" s="4"/>
      <c r="N98" s="4"/>
      <c r="O98" s="4"/>
      <c r="P98" s="4"/>
      <c r="Q98" s="4"/>
      <c r="R98" s="4"/>
      <c r="S98" s="4"/>
      <c r="T98" s="4"/>
      <c r="U98" s="4"/>
      <c r="V98" s="4"/>
      <c r="W98" s="4"/>
      <c r="X98" s="4"/>
    </row>
    <row r="99" spans="1:24" ht="12.75" customHeight="1">
      <c r="A99" s="48">
        <v>211201</v>
      </c>
      <c r="B99" s="48" t="s">
        <v>459</v>
      </c>
      <c r="C99" s="49">
        <f>SUM(C100)</f>
        <v>45000</v>
      </c>
      <c r="E99" s="4"/>
      <c r="F99" s="4"/>
      <c r="G99" s="4"/>
      <c r="H99" s="4"/>
      <c r="I99" s="4"/>
      <c r="J99" s="4"/>
      <c r="K99" s="4"/>
      <c r="L99" s="4"/>
      <c r="M99" s="4"/>
      <c r="N99" s="4"/>
      <c r="O99" s="4"/>
      <c r="P99" s="4"/>
      <c r="Q99" s="4"/>
      <c r="R99" s="4"/>
      <c r="S99" s="4"/>
      <c r="T99" s="4"/>
      <c r="U99" s="4"/>
      <c r="V99" s="4"/>
      <c r="W99" s="4"/>
      <c r="X99" s="4"/>
    </row>
    <row r="100" spans="1:24" ht="12.75" customHeight="1">
      <c r="A100" s="33">
        <v>21120101</v>
      </c>
      <c r="B100" s="23" t="s">
        <v>460</v>
      </c>
      <c r="C100" s="24">
        <v>45000</v>
      </c>
      <c r="D100" s="186"/>
      <c r="E100" s="4"/>
      <c r="F100" s="4"/>
      <c r="G100" s="4"/>
      <c r="H100" s="4"/>
      <c r="I100" s="4"/>
      <c r="J100" s="4"/>
      <c r="K100" s="4"/>
      <c r="L100" s="4"/>
      <c r="M100" s="4"/>
      <c r="N100" s="4"/>
      <c r="O100" s="4"/>
      <c r="P100" s="4"/>
      <c r="Q100" s="4"/>
      <c r="R100" s="4"/>
      <c r="S100" s="4"/>
      <c r="T100" s="4"/>
      <c r="U100" s="4"/>
      <c r="V100" s="4"/>
      <c r="W100" s="4"/>
      <c r="X100" s="4"/>
    </row>
    <row r="101" spans="1:24" ht="12.75" customHeight="1">
      <c r="A101" s="48">
        <v>211203</v>
      </c>
      <c r="B101" s="21" t="s">
        <v>461</v>
      </c>
      <c r="C101" s="26">
        <f>SUM(C102)</f>
        <v>36000</v>
      </c>
      <c r="D101" s="4"/>
      <c r="E101" s="4"/>
      <c r="F101" s="4"/>
      <c r="G101" s="4"/>
      <c r="H101" s="4"/>
      <c r="I101" s="4"/>
      <c r="J101" s="4"/>
      <c r="K101" s="4"/>
      <c r="L101" s="4"/>
      <c r="M101" s="4"/>
      <c r="N101" s="4"/>
      <c r="O101" s="4"/>
      <c r="P101" s="4"/>
      <c r="Q101" s="4"/>
      <c r="R101" s="4"/>
      <c r="S101" s="4"/>
      <c r="T101" s="4"/>
      <c r="U101" s="4"/>
      <c r="V101" s="4"/>
      <c r="W101" s="4"/>
      <c r="X101" s="4"/>
    </row>
    <row r="102" spans="1:24" ht="12.75" customHeight="1">
      <c r="A102" s="33">
        <v>21120302</v>
      </c>
      <c r="B102" s="23" t="s">
        <v>462</v>
      </c>
      <c r="C102" s="24">
        <v>36000</v>
      </c>
      <c r="D102" s="4"/>
      <c r="E102" s="4"/>
      <c r="F102" s="4"/>
      <c r="G102" s="4"/>
      <c r="H102" s="4"/>
      <c r="I102" s="4"/>
      <c r="J102" s="4"/>
      <c r="K102" s="4"/>
      <c r="L102" s="4"/>
      <c r="M102" s="4"/>
      <c r="N102" s="4"/>
      <c r="O102" s="4"/>
      <c r="P102" s="4"/>
      <c r="Q102" s="4"/>
      <c r="R102" s="4"/>
      <c r="S102" s="4"/>
      <c r="T102" s="4"/>
      <c r="U102" s="4"/>
      <c r="V102" s="4"/>
      <c r="W102" s="4"/>
      <c r="X102" s="4"/>
    </row>
    <row r="103" spans="1:24" ht="12.75" customHeight="1">
      <c r="A103" s="48">
        <v>211204</v>
      </c>
      <c r="B103" s="21" t="s">
        <v>463</v>
      </c>
      <c r="C103" s="26">
        <f>SUM(C104)</f>
        <v>75000</v>
      </c>
      <c r="D103" s="4"/>
      <c r="E103" s="4"/>
      <c r="F103" s="4"/>
      <c r="G103" s="4"/>
      <c r="H103" s="4"/>
      <c r="I103" s="4"/>
      <c r="J103" s="4"/>
      <c r="K103" s="4"/>
      <c r="L103" s="4"/>
      <c r="M103" s="4"/>
      <c r="N103" s="4"/>
      <c r="O103" s="4"/>
      <c r="P103" s="4"/>
      <c r="Q103" s="4"/>
      <c r="R103" s="4"/>
      <c r="S103" s="4"/>
      <c r="T103" s="4"/>
      <c r="U103" s="4"/>
      <c r="V103" s="4"/>
      <c r="W103" s="4"/>
      <c r="X103" s="4"/>
    </row>
    <row r="104" spans="1:24" ht="12.75" customHeight="1">
      <c r="A104" s="33">
        <v>21120401</v>
      </c>
      <c r="B104" s="24" t="s">
        <v>464</v>
      </c>
      <c r="C104" s="24">
        <v>75000</v>
      </c>
      <c r="D104" s="4"/>
      <c r="E104" s="4"/>
      <c r="F104" s="4"/>
      <c r="G104" s="4"/>
      <c r="H104" s="4"/>
      <c r="I104" s="4"/>
      <c r="J104" s="4"/>
      <c r="K104" s="4"/>
      <c r="L104" s="4"/>
      <c r="M104" s="4"/>
      <c r="N104" s="4"/>
      <c r="O104" s="4"/>
      <c r="P104" s="4"/>
      <c r="Q104" s="4"/>
      <c r="R104" s="4"/>
      <c r="S104" s="4"/>
      <c r="T104" s="4"/>
      <c r="U104" s="4"/>
      <c r="V104" s="4"/>
      <c r="W104" s="4"/>
      <c r="X104" s="4"/>
    </row>
    <row r="105" spans="1:24" ht="12.75" customHeight="1">
      <c r="A105" s="48">
        <v>211207</v>
      </c>
      <c r="B105" s="26" t="s">
        <v>467</v>
      </c>
      <c r="C105" s="26">
        <f>SUM(C106)</f>
        <v>50000</v>
      </c>
      <c r="D105" s="4"/>
      <c r="E105" s="4"/>
      <c r="F105" s="4"/>
      <c r="G105" s="4"/>
      <c r="H105" s="4"/>
      <c r="I105" s="4"/>
      <c r="J105" s="4"/>
      <c r="K105" s="4"/>
      <c r="L105" s="4"/>
      <c r="M105" s="4"/>
      <c r="N105" s="4"/>
      <c r="O105" s="4"/>
      <c r="P105" s="4"/>
      <c r="Q105" s="4"/>
      <c r="R105" s="4"/>
      <c r="S105" s="4"/>
      <c r="T105" s="4"/>
      <c r="U105" s="4"/>
      <c r="V105" s="4"/>
      <c r="W105" s="4"/>
      <c r="X105" s="4"/>
    </row>
    <row r="106" spans="1:24" ht="12.75" customHeight="1">
      <c r="A106" s="33">
        <v>21120702</v>
      </c>
      <c r="B106" s="24" t="s">
        <v>468</v>
      </c>
      <c r="C106" s="24">
        <v>50000</v>
      </c>
      <c r="D106" s="4"/>
      <c r="E106" s="4"/>
      <c r="F106" s="4"/>
      <c r="G106" s="4"/>
      <c r="H106" s="4"/>
      <c r="I106" s="4"/>
      <c r="J106" s="4"/>
      <c r="K106" s="4"/>
      <c r="L106" s="4"/>
      <c r="M106" s="4"/>
      <c r="N106" s="4"/>
      <c r="O106" s="4"/>
      <c r="P106" s="4"/>
      <c r="Q106" s="4"/>
      <c r="R106" s="4"/>
      <c r="S106" s="4"/>
      <c r="T106" s="4"/>
      <c r="U106" s="4"/>
      <c r="V106" s="4"/>
      <c r="W106" s="4"/>
      <c r="X106" s="4"/>
    </row>
    <row r="107" spans="1:24" ht="12.75" customHeight="1">
      <c r="A107" s="48">
        <v>211209</v>
      </c>
      <c r="B107" s="26" t="s">
        <v>477</v>
      </c>
      <c r="C107" s="26">
        <f>SUM(C108:C109)</f>
        <v>48700</v>
      </c>
      <c r="D107" s="4"/>
      <c r="E107" s="4"/>
      <c r="F107" s="4"/>
      <c r="G107" s="4"/>
      <c r="H107" s="4"/>
      <c r="I107" s="4"/>
      <c r="J107" s="4"/>
      <c r="K107" s="4"/>
      <c r="L107" s="4"/>
      <c r="M107" s="4"/>
      <c r="N107" s="4"/>
      <c r="O107" s="4"/>
      <c r="P107" s="4"/>
      <c r="Q107" s="4"/>
      <c r="R107" s="4"/>
      <c r="S107" s="4"/>
      <c r="T107" s="4"/>
      <c r="U107" s="4"/>
      <c r="V107" s="4"/>
      <c r="W107" s="4"/>
      <c r="X107" s="4"/>
    </row>
    <row r="108" spans="1:24" ht="12.75" customHeight="1">
      <c r="A108" s="33">
        <v>21120901</v>
      </c>
      <c r="B108" s="24" t="s">
        <v>478</v>
      </c>
      <c r="C108" s="24">
        <v>10000</v>
      </c>
      <c r="D108" s="4"/>
      <c r="E108" s="4"/>
      <c r="F108" s="4"/>
      <c r="G108" s="4"/>
      <c r="H108" s="4"/>
      <c r="I108" s="4"/>
      <c r="J108" s="4"/>
      <c r="K108" s="4"/>
      <c r="L108" s="4"/>
      <c r="M108" s="4"/>
      <c r="N108" s="4"/>
      <c r="O108" s="4"/>
      <c r="P108" s="4"/>
      <c r="Q108" s="4"/>
      <c r="R108" s="4"/>
      <c r="S108" s="4"/>
      <c r="T108" s="4"/>
      <c r="U108" s="4"/>
      <c r="V108" s="4"/>
      <c r="W108" s="4"/>
      <c r="X108" s="4"/>
    </row>
    <row r="109" spans="1:24" ht="12.75" customHeight="1">
      <c r="A109" s="33">
        <v>21120906</v>
      </c>
      <c r="B109" s="24" t="s">
        <v>479</v>
      </c>
      <c r="C109" s="24">
        <v>38700</v>
      </c>
      <c r="D109" s="4"/>
      <c r="E109" s="4"/>
      <c r="F109" s="4"/>
      <c r="G109" s="4"/>
      <c r="H109" s="4"/>
      <c r="I109" s="4"/>
      <c r="J109" s="4"/>
      <c r="K109" s="4"/>
      <c r="L109" s="4"/>
      <c r="M109" s="4"/>
      <c r="N109" s="4"/>
      <c r="O109" s="4"/>
      <c r="P109" s="4"/>
      <c r="Q109" s="4"/>
      <c r="R109" s="4"/>
      <c r="S109" s="4"/>
      <c r="T109" s="4"/>
      <c r="U109" s="4"/>
      <c r="V109" s="4"/>
      <c r="W109" s="4"/>
      <c r="X109" s="4"/>
    </row>
    <row r="110" spans="1:24" ht="12.75" customHeight="1" thickBot="1">
      <c r="A110" s="33"/>
      <c r="B110" s="24"/>
      <c r="C110" s="24"/>
      <c r="D110" s="4"/>
      <c r="E110" s="4"/>
      <c r="F110" s="4"/>
      <c r="G110" s="4"/>
      <c r="H110" s="4"/>
      <c r="I110" s="4"/>
      <c r="J110" s="4"/>
      <c r="K110" s="4"/>
      <c r="L110" s="4"/>
      <c r="M110" s="4"/>
      <c r="N110" s="4"/>
      <c r="O110" s="4"/>
      <c r="P110" s="4"/>
      <c r="Q110" s="4"/>
      <c r="R110" s="4"/>
      <c r="S110" s="4"/>
      <c r="T110" s="4"/>
      <c r="U110" s="4"/>
      <c r="V110" s="4"/>
      <c r="W110" s="4"/>
      <c r="X110" s="4"/>
    </row>
    <row r="111" spans="1:24" ht="12.75" customHeight="1" thickBot="1">
      <c r="A111" s="1298" t="s">
        <v>4</v>
      </c>
      <c r="B111" s="1281"/>
      <c r="C111" s="64">
        <f>(C112+C114+C116+C119)</f>
        <v>955700</v>
      </c>
      <c r="D111" s="4"/>
      <c r="E111" s="4"/>
      <c r="F111" s="4"/>
      <c r="G111" s="4"/>
      <c r="H111" s="4"/>
      <c r="I111" s="4"/>
      <c r="J111" s="4"/>
      <c r="K111" s="4"/>
      <c r="L111" s="4"/>
      <c r="M111" s="4"/>
      <c r="N111" s="4"/>
      <c r="O111" s="4"/>
      <c r="P111" s="4"/>
      <c r="Q111" s="4"/>
      <c r="R111" s="4"/>
      <c r="S111" s="4"/>
      <c r="T111" s="4"/>
      <c r="U111" s="4"/>
      <c r="V111" s="4"/>
      <c r="W111" s="4"/>
      <c r="X111" s="4"/>
    </row>
    <row r="112" spans="1:24" ht="12.75" customHeight="1">
      <c r="A112" s="48">
        <v>211302</v>
      </c>
      <c r="B112" s="21" t="s">
        <v>481</v>
      </c>
      <c r="C112" s="49">
        <f>SUM(C113)</f>
        <v>25000</v>
      </c>
      <c r="D112" s="4"/>
      <c r="E112" s="4"/>
      <c r="F112" s="4"/>
      <c r="G112" s="4"/>
      <c r="H112" s="4"/>
      <c r="I112" s="4"/>
      <c r="J112" s="4"/>
      <c r="K112" s="4"/>
      <c r="L112" s="4"/>
      <c r="M112" s="4"/>
      <c r="N112" s="4"/>
      <c r="O112" s="4"/>
      <c r="P112" s="4"/>
      <c r="Q112" s="4"/>
      <c r="R112" s="4"/>
      <c r="S112" s="4"/>
      <c r="T112" s="4"/>
      <c r="U112" s="4"/>
      <c r="V112" s="4"/>
      <c r="W112" s="4"/>
      <c r="X112" s="4"/>
    </row>
    <row r="113" spans="1:24" ht="12.75" customHeight="1">
      <c r="A113" s="33">
        <v>21130204</v>
      </c>
      <c r="B113" s="23" t="s">
        <v>483</v>
      </c>
      <c r="C113" s="24">
        <v>25000</v>
      </c>
      <c r="D113" s="4"/>
      <c r="E113" s="4"/>
      <c r="F113" s="4"/>
      <c r="G113" s="4"/>
      <c r="H113" s="4"/>
      <c r="I113" s="4"/>
      <c r="J113" s="4"/>
      <c r="K113" s="4"/>
      <c r="L113" s="4"/>
      <c r="M113" s="4"/>
      <c r="N113" s="4"/>
      <c r="O113" s="4"/>
      <c r="P113" s="4"/>
      <c r="Q113" s="4"/>
      <c r="R113" s="4"/>
      <c r="S113" s="4"/>
      <c r="T113" s="4"/>
      <c r="U113" s="4"/>
      <c r="V113" s="4"/>
      <c r="W113" s="4"/>
      <c r="X113" s="4"/>
    </row>
    <row r="114" spans="1:24" ht="12.75" customHeight="1">
      <c r="A114" s="48">
        <v>211303</v>
      </c>
      <c r="B114" s="26" t="s">
        <v>484</v>
      </c>
      <c r="C114" s="26">
        <f>SUM(C115)</f>
        <v>35200</v>
      </c>
      <c r="D114" s="4"/>
      <c r="E114" s="4"/>
      <c r="F114" s="4"/>
      <c r="G114" s="4"/>
      <c r="H114" s="4"/>
      <c r="I114" s="4"/>
      <c r="J114" s="4"/>
      <c r="K114" s="4"/>
      <c r="L114" s="4"/>
      <c r="M114" s="4"/>
      <c r="N114" s="4"/>
      <c r="O114" s="4"/>
      <c r="P114" s="4"/>
      <c r="Q114" s="4"/>
      <c r="R114" s="4"/>
      <c r="S114" s="4"/>
      <c r="T114" s="4"/>
      <c r="U114" s="4"/>
      <c r="V114" s="4"/>
      <c r="W114" s="4"/>
      <c r="X114" s="4"/>
    </row>
    <row r="115" spans="1:24" ht="12.75" customHeight="1">
      <c r="A115" s="33">
        <v>21130307</v>
      </c>
      <c r="B115" s="23" t="s">
        <v>488</v>
      </c>
      <c r="C115" s="24">
        <v>35200</v>
      </c>
      <c r="D115" s="4"/>
      <c r="E115" s="4"/>
      <c r="F115" s="4"/>
      <c r="G115" s="4"/>
      <c r="H115" s="4"/>
      <c r="I115" s="4"/>
      <c r="J115" s="4"/>
      <c r="K115" s="4"/>
      <c r="L115" s="4"/>
      <c r="M115" s="4"/>
      <c r="N115" s="4"/>
      <c r="O115" s="4"/>
      <c r="P115" s="4"/>
      <c r="Q115" s="4"/>
      <c r="R115" s="4"/>
      <c r="S115" s="4"/>
      <c r="T115" s="4"/>
      <c r="U115" s="4"/>
      <c r="V115" s="4"/>
      <c r="W115" s="4"/>
      <c r="X115" s="4"/>
    </row>
    <row r="116" spans="1:24" ht="12.75" customHeight="1">
      <c r="A116" s="48">
        <v>211305</v>
      </c>
      <c r="B116" s="21" t="s">
        <v>489</v>
      </c>
      <c r="C116" s="26">
        <f>SUM(C117:C118)</f>
        <v>520500</v>
      </c>
      <c r="D116" s="4"/>
      <c r="E116" s="4"/>
      <c r="F116" s="4"/>
      <c r="G116" s="4"/>
      <c r="H116" s="4"/>
      <c r="I116" s="4"/>
      <c r="J116" s="4"/>
      <c r="K116" s="4"/>
      <c r="L116" s="4"/>
      <c r="M116" s="4"/>
      <c r="N116" s="4"/>
      <c r="O116" s="4"/>
      <c r="P116" s="4"/>
      <c r="Q116" s="4"/>
      <c r="R116" s="4"/>
      <c r="S116" s="4"/>
      <c r="T116" s="4"/>
      <c r="U116" s="4"/>
      <c r="V116" s="4"/>
      <c r="W116" s="4"/>
      <c r="X116" s="4"/>
    </row>
    <row r="117" spans="1:24" ht="12.75" customHeight="1">
      <c r="A117" s="33">
        <v>21130501</v>
      </c>
      <c r="B117" s="13" t="s">
        <v>490</v>
      </c>
      <c r="C117" s="24">
        <v>20500</v>
      </c>
      <c r="D117" s="4"/>
      <c r="E117" s="4"/>
      <c r="F117" s="4"/>
      <c r="G117" s="4"/>
      <c r="H117" s="4"/>
      <c r="I117" s="4"/>
      <c r="J117" s="4"/>
      <c r="K117" s="4"/>
      <c r="L117" s="4"/>
      <c r="M117" s="4"/>
      <c r="N117" s="4"/>
      <c r="O117" s="4"/>
      <c r="P117" s="4"/>
      <c r="Q117" s="4"/>
      <c r="R117" s="4"/>
      <c r="S117" s="4"/>
      <c r="T117" s="4"/>
      <c r="U117" s="4"/>
      <c r="V117" s="4"/>
      <c r="W117" s="4"/>
      <c r="X117" s="4"/>
    </row>
    <row r="118" spans="1:24" ht="12.75" customHeight="1">
      <c r="A118" s="33">
        <v>21130502</v>
      </c>
      <c r="B118" s="24" t="s">
        <v>491</v>
      </c>
      <c r="C118" s="24">
        <v>500000</v>
      </c>
      <c r="D118" s="4"/>
      <c r="E118" s="4"/>
      <c r="F118" s="4"/>
      <c r="G118" s="4"/>
      <c r="H118" s="4"/>
      <c r="I118" s="4"/>
      <c r="J118" s="4"/>
      <c r="K118" s="4"/>
      <c r="L118" s="4"/>
      <c r="M118" s="4"/>
      <c r="N118" s="4"/>
      <c r="O118" s="4"/>
      <c r="P118" s="4"/>
      <c r="Q118" s="4"/>
      <c r="R118" s="4"/>
      <c r="S118" s="4"/>
      <c r="T118" s="4"/>
      <c r="U118" s="4"/>
      <c r="V118" s="4"/>
      <c r="W118" s="4"/>
      <c r="X118" s="4"/>
    </row>
    <row r="119" spans="1:24" ht="12.75" customHeight="1">
      <c r="A119" s="48">
        <v>211309</v>
      </c>
      <c r="B119" s="26" t="s">
        <v>496</v>
      </c>
      <c r="C119" s="26">
        <f>SUM(C120:C122)</f>
        <v>375000</v>
      </c>
      <c r="D119" s="4"/>
      <c r="E119" s="4"/>
      <c r="F119" s="4"/>
      <c r="G119" s="4"/>
      <c r="H119" s="4"/>
      <c r="I119" s="4"/>
      <c r="J119" s="4"/>
      <c r="K119" s="4"/>
      <c r="L119" s="4"/>
      <c r="M119" s="4"/>
      <c r="N119" s="4"/>
      <c r="O119" s="4"/>
      <c r="P119" s="4"/>
      <c r="Q119" s="4"/>
      <c r="R119" s="4"/>
      <c r="S119" s="4"/>
      <c r="T119" s="4"/>
      <c r="U119" s="4"/>
      <c r="V119" s="4"/>
      <c r="W119" s="4"/>
      <c r="X119" s="4"/>
    </row>
    <row r="120" spans="1:24" ht="12.75" customHeight="1">
      <c r="A120" s="33">
        <v>21130901</v>
      </c>
      <c r="B120" s="24" t="s">
        <v>497</v>
      </c>
      <c r="C120" s="24">
        <v>250000</v>
      </c>
      <c r="D120" s="4"/>
      <c r="E120" s="4"/>
      <c r="F120" s="4"/>
      <c r="G120" s="4"/>
      <c r="H120" s="4"/>
      <c r="I120" s="4"/>
      <c r="J120" s="4"/>
      <c r="K120" s="4"/>
      <c r="L120" s="4"/>
      <c r="M120" s="4"/>
      <c r="N120" s="4"/>
      <c r="O120" s="4"/>
      <c r="P120" s="4"/>
      <c r="Q120" s="4"/>
      <c r="R120" s="4"/>
      <c r="S120" s="4"/>
      <c r="T120" s="4"/>
      <c r="U120" s="4"/>
      <c r="V120" s="4"/>
      <c r="W120" s="4"/>
      <c r="X120" s="4"/>
    </row>
    <row r="121" spans="1:24" ht="12.75" customHeight="1">
      <c r="A121" s="33">
        <v>21130903</v>
      </c>
      <c r="B121" s="24" t="s">
        <v>498</v>
      </c>
      <c r="C121" s="24">
        <v>30000</v>
      </c>
      <c r="D121" s="4"/>
      <c r="E121" s="4"/>
      <c r="F121" s="4"/>
      <c r="G121" s="4"/>
      <c r="H121" s="4"/>
      <c r="I121" s="4"/>
      <c r="J121" s="4"/>
      <c r="K121" s="4"/>
      <c r="L121" s="4"/>
      <c r="M121" s="4"/>
      <c r="N121" s="4"/>
      <c r="O121" s="4"/>
      <c r="P121" s="4"/>
      <c r="Q121" s="4"/>
      <c r="R121" s="4"/>
      <c r="S121" s="4"/>
      <c r="T121" s="4"/>
      <c r="U121" s="4"/>
      <c r="V121" s="4"/>
      <c r="W121" s="4"/>
      <c r="X121" s="4"/>
    </row>
    <row r="122" spans="1:24" ht="12.75" customHeight="1">
      <c r="A122" s="33">
        <v>21130908</v>
      </c>
      <c r="B122" s="24" t="s">
        <v>500</v>
      </c>
      <c r="C122" s="24">
        <v>95000</v>
      </c>
      <c r="D122" s="4"/>
      <c r="E122" s="4"/>
      <c r="F122" s="4"/>
      <c r="G122" s="4"/>
      <c r="H122" s="4"/>
      <c r="I122" s="4"/>
      <c r="J122" s="4"/>
      <c r="K122" s="4"/>
      <c r="L122" s="4"/>
      <c r="M122" s="4"/>
      <c r="N122" s="4"/>
      <c r="O122" s="4"/>
      <c r="P122" s="4"/>
      <c r="Q122" s="4"/>
      <c r="R122" s="4"/>
      <c r="S122" s="4"/>
      <c r="T122" s="4"/>
      <c r="U122" s="4"/>
      <c r="V122" s="4"/>
      <c r="W122" s="4"/>
      <c r="X122" s="4"/>
    </row>
    <row r="123" spans="1:24" ht="12.75" customHeight="1" thickBot="1">
      <c r="A123" s="33"/>
      <c r="B123" s="24"/>
      <c r="C123" s="24"/>
      <c r="D123" s="4"/>
      <c r="E123" s="4"/>
      <c r="F123" s="4"/>
      <c r="G123" s="4"/>
      <c r="H123" s="4"/>
      <c r="I123" s="4"/>
      <c r="J123" s="4"/>
      <c r="K123" s="4"/>
      <c r="L123" s="4"/>
      <c r="M123" s="4"/>
      <c r="N123" s="4"/>
      <c r="O123" s="4"/>
      <c r="P123" s="4"/>
      <c r="Q123" s="4"/>
      <c r="R123" s="4"/>
      <c r="S123" s="4"/>
      <c r="T123" s="4"/>
      <c r="U123" s="4"/>
      <c r="V123" s="4"/>
      <c r="W123" s="4"/>
      <c r="X123" s="4"/>
    </row>
    <row r="124" spans="1:24" ht="12.75" customHeight="1" thickBot="1">
      <c r="A124" s="1299" t="s">
        <v>48</v>
      </c>
      <c r="B124" s="1281"/>
      <c r="C124" s="65">
        <f>C125+C127</f>
        <v>3535000</v>
      </c>
      <c r="D124" s="4"/>
      <c r="E124" s="4"/>
      <c r="F124" s="4"/>
      <c r="G124" s="4"/>
      <c r="H124" s="4"/>
      <c r="I124" s="4"/>
      <c r="J124" s="4"/>
      <c r="K124" s="4"/>
      <c r="L124" s="4"/>
      <c r="M124" s="4"/>
      <c r="N124" s="4"/>
      <c r="O124" s="4"/>
      <c r="P124" s="4"/>
      <c r="Q124" s="4"/>
      <c r="R124" s="4"/>
      <c r="S124" s="4"/>
      <c r="T124" s="4"/>
      <c r="U124" s="4"/>
      <c r="V124" s="4"/>
      <c r="W124" s="4"/>
      <c r="X124" s="4"/>
    </row>
    <row r="125" spans="1:24" ht="12.75" customHeight="1">
      <c r="A125" s="48">
        <v>221104</v>
      </c>
      <c r="B125" s="21" t="s">
        <v>510</v>
      </c>
      <c r="C125" s="26">
        <f>SUM(C126)</f>
        <v>120000</v>
      </c>
      <c r="D125" s="4"/>
      <c r="E125" s="4"/>
      <c r="F125" s="4"/>
      <c r="G125" s="4"/>
      <c r="H125" s="4"/>
      <c r="I125" s="4"/>
      <c r="J125" s="4"/>
      <c r="K125" s="4"/>
      <c r="L125" s="4"/>
      <c r="M125" s="4"/>
      <c r="N125" s="4"/>
      <c r="O125" s="4"/>
      <c r="P125" s="4"/>
      <c r="Q125" s="4"/>
      <c r="R125" s="4"/>
      <c r="S125" s="4"/>
      <c r="T125" s="4"/>
      <c r="U125" s="4"/>
      <c r="V125" s="4"/>
      <c r="W125" s="4"/>
      <c r="X125" s="4"/>
    </row>
    <row r="126" spans="1:24" ht="12.75" customHeight="1">
      <c r="A126" s="33">
        <v>22110401</v>
      </c>
      <c r="B126" s="23" t="s">
        <v>511</v>
      </c>
      <c r="C126" s="24">
        <v>120000</v>
      </c>
      <c r="D126" s="4"/>
      <c r="E126" s="4"/>
      <c r="F126" s="4"/>
      <c r="G126" s="4"/>
      <c r="H126" s="4"/>
      <c r="I126" s="4"/>
      <c r="J126" s="4"/>
      <c r="K126" s="4"/>
      <c r="L126" s="4"/>
      <c r="M126" s="4"/>
      <c r="N126" s="4"/>
      <c r="O126" s="4"/>
      <c r="P126" s="4"/>
      <c r="Q126" s="4"/>
      <c r="R126" s="4"/>
      <c r="S126" s="4"/>
      <c r="T126" s="4"/>
      <c r="U126" s="4"/>
      <c r="V126" s="4"/>
      <c r="W126" s="4"/>
      <c r="X126" s="4"/>
    </row>
    <row r="127" spans="1:24" ht="12.75" customHeight="1">
      <c r="A127" s="48">
        <v>221107</v>
      </c>
      <c r="B127" s="26" t="s">
        <v>514</v>
      </c>
      <c r="C127" s="26">
        <f>SUM(C128)</f>
        <v>3415000</v>
      </c>
      <c r="D127" s="4"/>
      <c r="E127" s="4"/>
      <c r="F127" s="4"/>
      <c r="G127" s="4"/>
      <c r="H127" s="4"/>
      <c r="I127" s="4"/>
      <c r="J127" s="4"/>
      <c r="K127" s="4"/>
      <c r="L127" s="4"/>
      <c r="M127" s="4"/>
      <c r="N127" s="4"/>
      <c r="O127" s="4"/>
      <c r="P127" s="4"/>
      <c r="Q127" s="4"/>
      <c r="R127" s="4"/>
      <c r="S127" s="4"/>
      <c r="T127" s="4"/>
      <c r="U127" s="4"/>
      <c r="V127" s="4"/>
      <c r="W127" s="4"/>
      <c r="X127" s="4"/>
    </row>
    <row r="128" spans="1:24" ht="12.75" customHeight="1">
      <c r="A128" s="33">
        <v>22110702</v>
      </c>
      <c r="B128" s="24" t="s">
        <v>515</v>
      </c>
      <c r="C128" s="24">
        <f>40000+3375000</f>
        <v>3415000</v>
      </c>
      <c r="D128" s="4"/>
      <c r="E128" s="4"/>
      <c r="F128" s="4"/>
      <c r="G128" s="4"/>
      <c r="H128" s="4"/>
      <c r="I128" s="4"/>
      <c r="J128" s="4"/>
      <c r="K128" s="4"/>
      <c r="L128" s="4"/>
      <c r="M128" s="4"/>
      <c r="N128" s="4"/>
      <c r="O128" s="4"/>
      <c r="P128" s="4"/>
      <c r="Q128" s="4"/>
      <c r="R128" s="4"/>
      <c r="S128" s="4"/>
      <c r="T128" s="4"/>
      <c r="U128" s="4"/>
      <c r="V128" s="4"/>
      <c r="W128" s="4"/>
      <c r="X128" s="4"/>
    </row>
    <row r="129" spans="1:24" ht="12.75" customHeight="1">
      <c r="A129" s="23"/>
      <c r="B129" s="24"/>
      <c r="C129" s="24"/>
      <c r="D129" s="4"/>
      <c r="E129" s="4"/>
      <c r="F129" s="4"/>
      <c r="G129" s="4"/>
      <c r="H129" s="4"/>
      <c r="I129" s="4"/>
      <c r="J129" s="4"/>
      <c r="K129" s="4"/>
      <c r="L129" s="4"/>
      <c r="M129" s="4"/>
      <c r="N129" s="4"/>
      <c r="O129" s="4"/>
      <c r="P129" s="4"/>
      <c r="Q129" s="4"/>
      <c r="R129" s="4"/>
      <c r="S129" s="4"/>
      <c r="T129" s="4"/>
      <c r="U129" s="4"/>
      <c r="V129" s="4"/>
      <c r="W129" s="4"/>
      <c r="X129" s="4"/>
    </row>
    <row r="130" spans="1:24" ht="13.5" customHeight="1" thickBot="1">
      <c r="A130" s="4"/>
      <c r="B130" s="4"/>
      <c r="C130" s="3"/>
      <c r="D130" s="4"/>
      <c r="E130" s="34"/>
      <c r="F130" s="4"/>
      <c r="G130" s="4"/>
      <c r="H130" s="4"/>
      <c r="I130" s="4"/>
      <c r="J130" s="4"/>
      <c r="K130" s="4"/>
      <c r="L130" s="4"/>
      <c r="M130" s="4"/>
      <c r="N130" s="4"/>
      <c r="O130" s="4"/>
      <c r="P130" s="4"/>
      <c r="Q130" s="4"/>
      <c r="R130" s="4"/>
      <c r="S130" s="4"/>
      <c r="T130" s="4"/>
      <c r="U130" s="4"/>
      <c r="V130" s="4"/>
      <c r="W130" s="4"/>
      <c r="X130" s="4"/>
    </row>
    <row r="131" spans="1:24" ht="12.75" customHeight="1">
      <c r="A131" s="1334" t="s">
        <v>957</v>
      </c>
      <c r="B131" s="1336"/>
      <c r="C131" s="1161" t="s">
        <v>776</v>
      </c>
      <c r="E131" s="4"/>
      <c r="F131" s="4"/>
      <c r="G131" s="4"/>
      <c r="H131" s="4"/>
      <c r="I131" s="4"/>
      <c r="J131" s="4"/>
      <c r="K131" s="4"/>
      <c r="L131" s="4"/>
      <c r="M131" s="4"/>
      <c r="N131" s="4"/>
      <c r="O131" s="4"/>
      <c r="P131" s="4"/>
      <c r="Q131" s="4"/>
      <c r="R131" s="4"/>
      <c r="S131" s="4"/>
      <c r="T131" s="4"/>
      <c r="U131" s="4"/>
      <c r="V131" s="4"/>
      <c r="W131" s="4"/>
      <c r="X131" s="4"/>
    </row>
    <row r="132" spans="1:24" ht="12.75" customHeight="1" thickBot="1">
      <c r="A132" s="1363"/>
      <c r="B132" s="1304"/>
      <c r="C132" s="1490"/>
      <c r="D132" s="4"/>
      <c r="E132" s="4"/>
      <c r="F132" s="4"/>
      <c r="G132" s="4"/>
      <c r="H132" s="4"/>
      <c r="I132" s="4"/>
      <c r="J132" s="4"/>
      <c r="K132" s="4"/>
      <c r="L132" s="4"/>
      <c r="M132" s="4"/>
      <c r="N132" s="4"/>
      <c r="O132" s="4"/>
      <c r="P132" s="4"/>
      <c r="Q132" s="4"/>
      <c r="R132" s="4"/>
      <c r="S132" s="4"/>
      <c r="T132" s="4"/>
      <c r="U132" s="4"/>
      <c r="V132" s="4"/>
      <c r="W132" s="4"/>
      <c r="X132" s="4"/>
    </row>
    <row r="133" spans="1:24" ht="12.75" customHeight="1">
      <c r="A133" s="1122" t="s">
        <v>675</v>
      </c>
      <c r="B133" s="1137"/>
      <c r="C133" s="1124"/>
      <c r="D133" s="4"/>
      <c r="E133" s="4"/>
      <c r="F133" s="4"/>
      <c r="G133" s="4"/>
      <c r="H133" s="4"/>
      <c r="I133" s="4"/>
      <c r="J133" s="4"/>
      <c r="K133" s="4"/>
      <c r="L133" s="4"/>
      <c r="M133" s="4"/>
      <c r="N133" s="4"/>
      <c r="O133" s="4"/>
      <c r="P133" s="4"/>
      <c r="Q133" s="4"/>
      <c r="R133" s="4"/>
      <c r="S133" s="4"/>
      <c r="T133" s="4"/>
      <c r="U133" s="4"/>
      <c r="V133" s="4"/>
      <c r="W133" s="4"/>
      <c r="X133" s="4"/>
    </row>
    <row r="134" spans="1:24" ht="12.75" customHeight="1">
      <c r="A134" s="1028" t="s">
        <v>710</v>
      </c>
      <c r="B134" s="808"/>
      <c r="C134" s="1029"/>
      <c r="D134" s="4"/>
      <c r="E134" s="4"/>
      <c r="F134" s="4"/>
      <c r="G134" s="4"/>
      <c r="H134" s="4"/>
      <c r="I134" s="4"/>
      <c r="J134" s="4"/>
      <c r="K134" s="4"/>
      <c r="L134" s="4"/>
      <c r="M134" s="4"/>
      <c r="N134" s="4"/>
      <c r="O134" s="4"/>
      <c r="P134" s="4"/>
      <c r="Q134" s="4"/>
      <c r="R134" s="4"/>
      <c r="S134" s="4"/>
      <c r="T134" s="4"/>
      <c r="U134" s="4"/>
      <c r="V134" s="4"/>
      <c r="W134" s="4"/>
      <c r="X134" s="4"/>
    </row>
    <row r="135" spans="1:24" ht="12.75" customHeight="1">
      <c r="A135" s="1028" t="s">
        <v>718</v>
      </c>
      <c r="B135" s="808"/>
      <c r="C135" s="1029"/>
      <c r="D135" s="23"/>
      <c r="E135" s="4"/>
      <c r="F135" s="4"/>
      <c r="G135" s="4"/>
      <c r="H135" s="4"/>
      <c r="I135" s="4"/>
      <c r="J135" s="4"/>
      <c r="K135" s="4"/>
      <c r="L135" s="4"/>
      <c r="M135" s="4"/>
      <c r="N135" s="4"/>
      <c r="O135" s="4"/>
      <c r="P135" s="4"/>
      <c r="Q135" s="4"/>
      <c r="R135" s="4"/>
      <c r="S135" s="4"/>
      <c r="T135" s="4"/>
      <c r="U135" s="4"/>
      <c r="V135" s="4"/>
      <c r="W135" s="4"/>
      <c r="X135" s="4"/>
    </row>
    <row r="136" spans="1:24" ht="12.75" customHeight="1" thickBot="1">
      <c r="A136" s="1125" t="s">
        <v>0</v>
      </c>
      <c r="B136" s="982"/>
      <c r="C136" s="1029"/>
      <c r="D136" s="23"/>
      <c r="E136" s="4"/>
      <c r="F136" s="4"/>
      <c r="G136" s="4"/>
      <c r="H136" s="4"/>
      <c r="I136" s="4"/>
      <c r="J136" s="4"/>
      <c r="K136" s="4"/>
      <c r="L136" s="4"/>
      <c r="M136" s="4"/>
      <c r="N136" s="4"/>
      <c r="O136" s="4"/>
      <c r="P136" s="4"/>
      <c r="Q136" s="4"/>
      <c r="R136" s="4"/>
      <c r="S136" s="4"/>
      <c r="T136" s="4"/>
      <c r="U136" s="4"/>
      <c r="V136" s="4"/>
      <c r="W136" s="4"/>
      <c r="X136" s="4"/>
    </row>
    <row r="137" spans="1:24" ht="12.75" customHeight="1" thickBot="1">
      <c r="A137" s="1171" t="s">
        <v>1</v>
      </c>
      <c r="B137" s="1186"/>
      <c r="C137" s="1033">
        <f>+C139+C149</f>
        <v>21227500</v>
      </c>
      <c r="D137" s="23"/>
      <c r="E137" s="4"/>
      <c r="F137" s="4"/>
      <c r="G137" s="4"/>
      <c r="H137" s="4"/>
      <c r="I137" s="4"/>
      <c r="J137" s="4"/>
      <c r="K137" s="4"/>
      <c r="L137" s="4"/>
      <c r="M137" s="4"/>
      <c r="N137" s="4"/>
      <c r="O137" s="4"/>
      <c r="P137" s="4"/>
      <c r="Q137" s="4"/>
      <c r="R137" s="4"/>
      <c r="S137" s="4"/>
      <c r="T137" s="4"/>
      <c r="U137" s="4"/>
      <c r="V137" s="4"/>
      <c r="W137" s="4"/>
      <c r="X137" s="4"/>
    </row>
    <row r="138" spans="1:24" ht="12.75" customHeight="1" thickBot="1">
      <c r="A138" s="21"/>
      <c r="B138" s="21"/>
      <c r="C138" s="26"/>
      <c r="D138" s="23"/>
      <c r="E138" s="4"/>
      <c r="F138" s="4"/>
      <c r="G138" s="4"/>
      <c r="H138" s="4"/>
      <c r="I138" s="4"/>
      <c r="J138" s="4"/>
      <c r="K138" s="4"/>
      <c r="L138" s="4"/>
      <c r="M138" s="4"/>
      <c r="N138" s="4"/>
      <c r="O138" s="4"/>
      <c r="P138" s="4"/>
      <c r="Q138" s="4"/>
      <c r="R138" s="4"/>
      <c r="S138" s="4"/>
      <c r="T138" s="4"/>
      <c r="U138" s="4"/>
      <c r="V138" s="4"/>
      <c r="W138" s="4"/>
      <c r="X138" s="4"/>
    </row>
    <row r="139" spans="1:24" ht="12.75" customHeight="1" thickBot="1">
      <c r="A139" s="1297" t="s">
        <v>9</v>
      </c>
      <c r="B139" s="1316"/>
      <c r="C139" s="62">
        <f>+C140+C142+C144+C146</f>
        <v>187500</v>
      </c>
      <c r="D139" s="23"/>
      <c r="E139" s="4"/>
      <c r="F139" s="4"/>
      <c r="G139" s="4"/>
      <c r="H139" s="4"/>
      <c r="I139" s="4"/>
      <c r="J139" s="4"/>
      <c r="K139" s="4"/>
      <c r="L139" s="4"/>
      <c r="M139" s="4"/>
      <c r="N139" s="4"/>
      <c r="O139" s="4"/>
      <c r="P139" s="4"/>
      <c r="Q139" s="4"/>
      <c r="R139" s="4"/>
      <c r="S139" s="4"/>
      <c r="T139" s="4"/>
      <c r="U139" s="4"/>
      <c r="V139" s="4"/>
      <c r="W139" s="4"/>
      <c r="X139" s="4"/>
    </row>
    <row r="140" spans="1:24" ht="12.75" customHeight="1">
      <c r="A140" s="48">
        <v>211203</v>
      </c>
      <c r="B140" s="21" t="s">
        <v>461</v>
      </c>
      <c r="C140" s="26">
        <f>SUM(C141:C141)</f>
        <v>80000</v>
      </c>
      <c r="D140" s="23"/>
      <c r="E140" s="4"/>
      <c r="F140" s="4"/>
      <c r="G140" s="4"/>
      <c r="H140" s="4"/>
      <c r="I140" s="4"/>
      <c r="J140" s="4"/>
      <c r="K140" s="4"/>
      <c r="L140" s="4"/>
      <c r="M140" s="4"/>
      <c r="N140" s="4"/>
      <c r="O140" s="4"/>
      <c r="P140" s="4"/>
      <c r="Q140" s="4"/>
      <c r="R140" s="4"/>
      <c r="S140" s="4"/>
      <c r="T140" s="4"/>
      <c r="U140" s="4"/>
      <c r="V140" s="4"/>
      <c r="W140" s="4"/>
      <c r="X140" s="4"/>
    </row>
    <row r="141" spans="1:24" ht="12.75" customHeight="1">
      <c r="A141" s="33">
        <v>21120302</v>
      </c>
      <c r="B141" s="23" t="s">
        <v>462</v>
      </c>
      <c r="C141" s="24">
        <v>80000</v>
      </c>
      <c r="D141" s="4"/>
      <c r="E141" s="4"/>
      <c r="F141" s="4"/>
      <c r="G141" s="4"/>
      <c r="H141" s="4"/>
      <c r="I141" s="4"/>
      <c r="J141" s="4"/>
      <c r="K141" s="4"/>
      <c r="L141" s="4"/>
      <c r="M141" s="4"/>
      <c r="N141" s="4"/>
      <c r="O141" s="4"/>
      <c r="P141" s="4"/>
      <c r="Q141" s="4"/>
      <c r="R141" s="4"/>
      <c r="S141" s="4"/>
      <c r="T141" s="4"/>
      <c r="U141" s="4"/>
      <c r="V141" s="4"/>
      <c r="W141" s="4"/>
      <c r="X141" s="4"/>
    </row>
    <row r="142" spans="1:24" ht="12.75" customHeight="1">
      <c r="A142" s="48">
        <v>211204</v>
      </c>
      <c r="B142" s="21" t="s">
        <v>463</v>
      </c>
      <c r="C142" s="26">
        <f>SUM(C143)</f>
        <v>80000</v>
      </c>
      <c r="D142" s="737"/>
      <c r="E142" s="4"/>
      <c r="F142" s="4"/>
      <c r="G142" s="4"/>
      <c r="H142" s="4"/>
      <c r="I142" s="4"/>
      <c r="J142" s="4"/>
      <c r="K142" s="4"/>
      <c r="L142" s="4"/>
      <c r="M142" s="4"/>
      <c r="N142" s="4"/>
      <c r="O142" s="4"/>
      <c r="P142" s="4"/>
      <c r="Q142" s="4"/>
      <c r="R142" s="4"/>
      <c r="S142" s="4"/>
      <c r="T142" s="4"/>
      <c r="U142" s="4"/>
      <c r="V142" s="4"/>
      <c r="W142" s="4"/>
      <c r="X142" s="4"/>
    </row>
    <row r="143" spans="1:24" ht="12.75" customHeight="1">
      <c r="A143" s="33">
        <v>21120401</v>
      </c>
      <c r="B143" s="24" t="s">
        <v>464</v>
      </c>
      <c r="C143" s="24">
        <v>80000</v>
      </c>
      <c r="D143" s="737"/>
      <c r="E143" s="4"/>
      <c r="F143" s="4"/>
      <c r="G143" s="4"/>
      <c r="H143" s="4"/>
      <c r="I143" s="4"/>
      <c r="J143" s="4"/>
      <c r="K143" s="4"/>
      <c r="L143" s="4"/>
      <c r="M143" s="4"/>
      <c r="N143" s="4"/>
      <c r="O143" s="4"/>
      <c r="P143" s="4"/>
      <c r="Q143" s="4"/>
      <c r="R143" s="4"/>
      <c r="S143" s="4"/>
      <c r="T143" s="4"/>
      <c r="U143" s="4"/>
      <c r="V143" s="4"/>
      <c r="W143" s="4"/>
      <c r="X143" s="4"/>
    </row>
    <row r="144" spans="1:24" ht="12.75" customHeight="1">
      <c r="A144" s="48">
        <v>211208</v>
      </c>
      <c r="B144" s="26" t="s">
        <v>474</v>
      </c>
      <c r="C144" s="26">
        <f>SUM(C145)</f>
        <v>15000</v>
      </c>
      <c r="D144" s="737"/>
      <c r="E144" s="4"/>
      <c r="F144" s="4"/>
      <c r="G144" s="4"/>
      <c r="H144" s="4"/>
      <c r="I144" s="4"/>
      <c r="J144" s="4"/>
      <c r="K144" s="4"/>
      <c r="L144" s="4"/>
      <c r="M144" s="4"/>
      <c r="N144" s="4"/>
      <c r="O144" s="4"/>
      <c r="P144" s="4"/>
      <c r="Q144" s="4"/>
      <c r="R144" s="4"/>
      <c r="S144" s="4"/>
      <c r="T144" s="4"/>
      <c r="U144" s="4"/>
      <c r="V144" s="4"/>
      <c r="W144" s="4"/>
      <c r="X144" s="4"/>
    </row>
    <row r="145" spans="1:24" ht="12.75" customHeight="1">
      <c r="A145" s="33">
        <v>21120805</v>
      </c>
      <c r="B145" s="24" t="s">
        <v>476</v>
      </c>
      <c r="C145" s="24">
        <v>15000</v>
      </c>
      <c r="D145" s="737"/>
      <c r="E145" s="4"/>
      <c r="F145" s="4"/>
      <c r="G145" s="4"/>
      <c r="H145" s="4"/>
      <c r="I145" s="4"/>
      <c r="J145" s="4"/>
      <c r="K145" s="4"/>
      <c r="L145" s="4"/>
      <c r="M145" s="4"/>
      <c r="N145" s="4"/>
      <c r="O145" s="4"/>
      <c r="P145" s="4"/>
      <c r="Q145" s="4"/>
      <c r="R145" s="4"/>
      <c r="S145" s="4"/>
      <c r="T145" s="4"/>
      <c r="U145" s="4"/>
      <c r="V145" s="4"/>
      <c r="W145" s="4"/>
      <c r="X145" s="4"/>
    </row>
    <row r="146" spans="1:24" ht="12.75" customHeight="1">
      <c r="A146" s="48">
        <v>211209</v>
      </c>
      <c r="B146" s="26" t="s">
        <v>477</v>
      </c>
      <c r="C146" s="26">
        <f>SUM(C147)</f>
        <v>12500</v>
      </c>
      <c r="D146" s="737"/>
      <c r="E146" s="4"/>
      <c r="F146" s="4"/>
      <c r="G146" s="4"/>
      <c r="H146" s="4"/>
      <c r="I146" s="4"/>
      <c r="J146" s="4"/>
      <c r="K146" s="4"/>
      <c r="L146" s="4"/>
      <c r="M146" s="4"/>
      <c r="N146" s="4"/>
      <c r="O146" s="4"/>
      <c r="P146" s="4"/>
      <c r="Q146" s="4"/>
      <c r="R146" s="4"/>
      <c r="S146" s="4"/>
      <c r="T146" s="4"/>
      <c r="U146" s="4"/>
      <c r="V146" s="4"/>
      <c r="W146" s="4"/>
      <c r="X146" s="4"/>
    </row>
    <row r="147" spans="1:24" ht="12.75" customHeight="1">
      <c r="A147" s="33">
        <v>21120906</v>
      </c>
      <c r="B147" s="24" t="s">
        <v>479</v>
      </c>
      <c r="C147" s="24">
        <v>12500</v>
      </c>
      <c r="D147" s="737"/>
      <c r="E147" s="4"/>
      <c r="F147" s="4"/>
      <c r="G147" s="4"/>
      <c r="H147" s="4"/>
      <c r="I147" s="4"/>
      <c r="J147" s="4"/>
      <c r="K147" s="4"/>
      <c r="L147" s="4"/>
      <c r="M147" s="4"/>
      <c r="N147" s="4"/>
      <c r="O147" s="4"/>
      <c r="P147" s="4"/>
      <c r="Q147" s="4"/>
      <c r="R147" s="4"/>
      <c r="S147" s="4"/>
      <c r="T147" s="4"/>
      <c r="U147" s="4"/>
      <c r="V147" s="4"/>
      <c r="W147" s="4"/>
      <c r="X147" s="4"/>
    </row>
    <row r="148" spans="1:24" ht="12.75" customHeight="1" thickBot="1">
      <c r="A148" s="33"/>
      <c r="B148" s="24"/>
      <c r="C148" s="24"/>
      <c r="D148" s="737"/>
      <c r="E148" s="4"/>
      <c r="F148" s="4"/>
      <c r="G148" s="4"/>
      <c r="H148" s="4"/>
      <c r="I148" s="4"/>
      <c r="J148" s="4"/>
      <c r="K148" s="4"/>
      <c r="L148" s="4"/>
      <c r="M148" s="4"/>
      <c r="N148" s="4"/>
      <c r="O148" s="4"/>
      <c r="P148" s="4"/>
      <c r="Q148" s="4"/>
      <c r="R148" s="4"/>
      <c r="S148" s="4"/>
      <c r="T148" s="4"/>
      <c r="U148" s="4"/>
      <c r="V148" s="4"/>
      <c r="W148" s="4"/>
      <c r="X148" s="4"/>
    </row>
    <row r="149" spans="1:24" ht="12.75" customHeight="1" thickBot="1">
      <c r="A149" s="1298" t="s">
        <v>4</v>
      </c>
      <c r="B149" s="1317"/>
      <c r="C149" s="64">
        <f>+C150+C153+C155</f>
        <v>21040000</v>
      </c>
      <c r="D149" s="737"/>
      <c r="E149" s="4"/>
      <c r="F149" s="4"/>
      <c r="G149" s="4"/>
      <c r="H149" s="4"/>
      <c r="I149" s="4"/>
      <c r="J149" s="4"/>
      <c r="K149" s="4"/>
      <c r="L149" s="4"/>
      <c r="M149" s="4"/>
      <c r="N149" s="4"/>
      <c r="O149" s="4"/>
      <c r="P149" s="4"/>
      <c r="Q149" s="4"/>
      <c r="R149" s="4"/>
      <c r="S149" s="4"/>
      <c r="T149" s="4"/>
      <c r="U149" s="4"/>
      <c r="V149" s="4"/>
      <c r="W149" s="4"/>
      <c r="X149" s="4"/>
    </row>
    <row r="150" spans="1:24" ht="12.75" customHeight="1">
      <c r="A150" s="48">
        <v>211305</v>
      </c>
      <c r="B150" s="21" t="s">
        <v>489</v>
      </c>
      <c r="C150" s="26">
        <f>SUM(C151:C152)</f>
        <v>20100000</v>
      </c>
      <c r="D150" s="737"/>
      <c r="E150" s="4"/>
      <c r="F150" s="4"/>
      <c r="G150" s="4"/>
      <c r="H150" s="4"/>
      <c r="I150" s="4"/>
      <c r="J150" s="4"/>
      <c r="K150" s="4"/>
      <c r="L150" s="4"/>
      <c r="M150" s="4"/>
      <c r="N150" s="4"/>
      <c r="O150" s="4"/>
      <c r="P150" s="4"/>
      <c r="Q150" s="4"/>
      <c r="R150" s="4"/>
      <c r="S150" s="4"/>
      <c r="T150" s="4"/>
      <c r="U150" s="4"/>
      <c r="V150" s="4"/>
      <c r="W150" s="4"/>
      <c r="X150" s="4"/>
    </row>
    <row r="151" spans="1:24" ht="12.75" customHeight="1">
      <c r="A151" s="33">
        <v>21130502</v>
      </c>
      <c r="B151" s="24" t="s">
        <v>491</v>
      </c>
      <c r="C151" s="51">
        <v>100000</v>
      </c>
      <c r="D151" s="737"/>
      <c r="E151" s="4"/>
      <c r="F151" s="4"/>
      <c r="G151" s="4"/>
      <c r="H151" s="4"/>
      <c r="I151" s="4"/>
      <c r="J151" s="4"/>
      <c r="K151" s="4"/>
      <c r="L151" s="4"/>
      <c r="M151" s="4"/>
      <c r="N151" s="4"/>
      <c r="O151" s="4"/>
      <c r="P151" s="4"/>
      <c r="Q151" s="4"/>
      <c r="R151" s="4"/>
      <c r="S151" s="4"/>
      <c r="T151" s="4"/>
      <c r="U151" s="4"/>
      <c r="V151" s="4"/>
      <c r="W151" s="4"/>
      <c r="X151" s="4"/>
    </row>
    <row r="152" spans="1:24" ht="12.75" customHeight="1">
      <c r="A152" s="33">
        <v>21130504</v>
      </c>
      <c r="B152" s="13" t="s">
        <v>522</v>
      </c>
      <c r="C152" s="43">
        <v>20000000</v>
      </c>
      <c r="D152" s="737"/>
      <c r="E152" s="4"/>
      <c r="F152" s="4"/>
      <c r="G152" s="4"/>
      <c r="H152" s="4"/>
      <c r="I152" s="4"/>
      <c r="J152" s="4"/>
      <c r="K152" s="4"/>
      <c r="L152" s="4"/>
      <c r="M152" s="4"/>
      <c r="N152" s="4"/>
      <c r="O152" s="4"/>
      <c r="P152" s="4"/>
      <c r="Q152" s="4"/>
      <c r="R152" s="4"/>
      <c r="S152" s="4"/>
      <c r="T152" s="4"/>
      <c r="U152" s="4"/>
      <c r="V152" s="4"/>
      <c r="W152" s="4"/>
      <c r="X152" s="4"/>
    </row>
    <row r="153" spans="1:24" ht="12.75" customHeight="1">
      <c r="A153" s="48">
        <v>211307</v>
      </c>
      <c r="B153" s="26" t="s">
        <v>494</v>
      </c>
      <c r="C153" s="26">
        <f>SUM(C154)</f>
        <v>40000</v>
      </c>
      <c r="D153" s="737"/>
      <c r="E153" s="4"/>
      <c r="F153" s="4"/>
      <c r="G153" s="4"/>
      <c r="H153" s="4"/>
      <c r="I153" s="4"/>
      <c r="J153" s="4"/>
      <c r="K153" s="4"/>
      <c r="L153" s="4"/>
      <c r="M153" s="4"/>
      <c r="N153" s="4"/>
      <c r="O153" s="4"/>
      <c r="P153" s="4"/>
      <c r="Q153" s="4"/>
      <c r="R153" s="4"/>
      <c r="S153" s="4"/>
      <c r="T153" s="4"/>
      <c r="U153" s="4"/>
      <c r="V153" s="4"/>
      <c r="W153" s="4"/>
      <c r="X153" s="4"/>
    </row>
    <row r="154" spans="1:24" ht="12.75" customHeight="1">
      <c r="A154" s="33">
        <v>21130701</v>
      </c>
      <c r="B154" s="23" t="s">
        <v>495</v>
      </c>
      <c r="C154" s="24">
        <v>40000</v>
      </c>
      <c r="D154" s="737"/>
      <c r="E154" s="4"/>
      <c r="F154" s="4"/>
      <c r="G154" s="4"/>
      <c r="H154" s="4"/>
      <c r="I154" s="4"/>
      <c r="J154" s="4"/>
      <c r="K154" s="4"/>
      <c r="L154" s="4"/>
      <c r="M154" s="4"/>
      <c r="N154" s="4"/>
      <c r="O154" s="4"/>
      <c r="P154" s="4"/>
      <c r="Q154" s="4"/>
      <c r="R154" s="4"/>
      <c r="S154" s="4"/>
      <c r="T154" s="4"/>
      <c r="U154" s="4"/>
      <c r="V154" s="4"/>
      <c r="W154" s="4"/>
      <c r="X154" s="4"/>
    </row>
    <row r="155" spans="1:24" ht="12.75" customHeight="1">
      <c r="A155" s="48">
        <v>211309</v>
      </c>
      <c r="B155" s="26" t="s">
        <v>496</v>
      </c>
      <c r="C155" s="26">
        <f>SUM(C156)</f>
        <v>900000</v>
      </c>
      <c r="D155" s="737"/>
      <c r="E155" s="4"/>
      <c r="F155" s="4"/>
      <c r="G155" s="4"/>
      <c r="H155" s="4"/>
      <c r="I155" s="4"/>
      <c r="J155" s="4"/>
      <c r="K155" s="4"/>
      <c r="L155" s="4"/>
      <c r="M155" s="4"/>
      <c r="N155" s="4"/>
      <c r="O155" s="4"/>
      <c r="P155" s="4"/>
      <c r="Q155" s="4"/>
      <c r="R155" s="4"/>
      <c r="S155" s="4"/>
      <c r="T155" s="4"/>
      <c r="U155" s="4"/>
      <c r="V155" s="4"/>
      <c r="W155" s="4"/>
      <c r="X155" s="4"/>
    </row>
    <row r="156" spans="1:24" ht="12.75" customHeight="1">
      <c r="A156" s="33">
        <v>21130901</v>
      </c>
      <c r="B156" s="24" t="s">
        <v>497</v>
      </c>
      <c r="C156" s="51">
        <v>900000</v>
      </c>
      <c r="D156" s="737"/>
      <c r="E156" s="4"/>
      <c r="F156" s="4"/>
      <c r="G156" s="4"/>
      <c r="H156" s="4"/>
      <c r="I156" s="4"/>
      <c r="J156" s="4"/>
      <c r="K156" s="4"/>
      <c r="L156" s="4"/>
      <c r="M156" s="4"/>
      <c r="N156" s="4"/>
      <c r="O156" s="4"/>
      <c r="P156" s="4"/>
      <c r="Q156" s="4"/>
      <c r="R156" s="4"/>
      <c r="S156" s="4"/>
      <c r="T156" s="4"/>
      <c r="U156" s="4"/>
      <c r="V156" s="4"/>
      <c r="W156" s="4"/>
      <c r="X156" s="4"/>
    </row>
    <row r="157" spans="1:24" ht="12.75" customHeight="1">
      <c r="A157" s="23"/>
      <c r="B157" s="24"/>
      <c r="C157" s="24"/>
      <c r="D157" s="737"/>
      <c r="E157" s="4"/>
      <c r="F157" s="4"/>
      <c r="G157" s="4"/>
      <c r="H157" s="4"/>
      <c r="I157" s="4"/>
      <c r="J157" s="4"/>
      <c r="K157" s="4"/>
      <c r="L157" s="4"/>
      <c r="M157" s="4"/>
      <c r="N157" s="4"/>
      <c r="O157" s="4"/>
      <c r="P157" s="4"/>
      <c r="Q157" s="4"/>
      <c r="R157" s="4"/>
      <c r="S157" s="4"/>
      <c r="T157" s="4"/>
      <c r="U157" s="4"/>
      <c r="V157" s="4"/>
      <c r="W157" s="4"/>
      <c r="X157" s="4"/>
    </row>
    <row r="158" spans="1:24" ht="12.75" customHeight="1" thickBot="1">
      <c r="A158" s="21"/>
      <c r="B158" s="21"/>
      <c r="C158" s="26"/>
      <c r="D158" s="23"/>
      <c r="E158" s="32"/>
      <c r="F158" s="23"/>
      <c r="G158" s="23"/>
      <c r="H158" s="23"/>
      <c r="I158" s="23"/>
      <c r="J158" s="23"/>
      <c r="K158" s="23"/>
      <c r="L158" s="23"/>
      <c r="M158" s="23"/>
      <c r="N158" s="23"/>
      <c r="O158" s="23"/>
      <c r="P158" s="23"/>
      <c r="Q158" s="23"/>
      <c r="R158" s="23"/>
      <c r="S158" s="23"/>
      <c r="T158" s="23"/>
      <c r="U158" s="23"/>
      <c r="V158" s="23"/>
      <c r="W158" s="23"/>
      <c r="X158" s="23"/>
    </row>
    <row r="159" spans="1:24" ht="29.25" customHeight="1" thickBot="1">
      <c r="A159" s="1334" t="s">
        <v>958</v>
      </c>
      <c r="B159" s="1336"/>
      <c r="C159" s="1161" t="s">
        <v>777</v>
      </c>
      <c r="D159" s="4"/>
      <c r="E159" s="34"/>
      <c r="F159" s="4"/>
      <c r="G159" s="4"/>
      <c r="H159" s="4"/>
      <c r="I159" s="4"/>
      <c r="J159" s="4"/>
      <c r="K159" s="4"/>
      <c r="L159" s="4"/>
      <c r="M159" s="4"/>
      <c r="N159" s="4"/>
      <c r="O159" s="4"/>
      <c r="P159" s="4"/>
      <c r="Q159" s="4"/>
      <c r="R159" s="4"/>
      <c r="S159" s="4"/>
      <c r="T159" s="4"/>
      <c r="U159" s="4"/>
      <c r="V159" s="4"/>
      <c r="W159" s="4"/>
      <c r="X159" s="4"/>
    </row>
    <row r="160" spans="1:24" ht="12.75" customHeight="1">
      <c r="A160" s="1122" t="s">
        <v>675</v>
      </c>
      <c r="B160" s="1137"/>
      <c r="C160" s="1124"/>
      <c r="D160" s="4"/>
      <c r="E160" s="34"/>
      <c r="F160" s="4"/>
      <c r="G160" s="4"/>
      <c r="H160" s="4"/>
      <c r="I160" s="4"/>
      <c r="J160" s="4"/>
      <c r="K160" s="4"/>
      <c r="L160" s="4"/>
      <c r="M160" s="4"/>
      <c r="N160" s="4"/>
      <c r="O160" s="4"/>
      <c r="P160" s="4"/>
      <c r="Q160" s="4"/>
      <c r="R160" s="4"/>
      <c r="S160" s="4"/>
      <c r="T160" s="4"/>
      <c r="U160" s="4"/>
      <c r="V160" s="4"/>
      <c r="W160" s="4"/>
      <c r="X160" s="4"/>
    </row>
    <row r="161" spans="1:24" ht="12.75" customHeight="1">
      <c r="A161" s="1028" t="s">
        <v>711</v>
      </c>
      <c r="B161" s="808"/>
      <c r="C161" s="1029"/>
      <c r="D161" s="4"/>
      <c r="E161" s="34"/>
      <c r="F161" s="4"/>
      <c r="G161" s="4"/>
      <c r="H161" s="4"/>
      <c r="I161" s="4"/>
      <c r="J161" s="4"/>
      <c r="K161" s="4"/>
      <c r="L161" s="4"/>
      <c r="M161" s="4"/>
      <c r="N161" s="4"/>
      <c r="O161" s="4"/>
      <c r="P161" s="4"/>
      <c r="Q161" s="4"/>
      <c r="R161" s="4"/>
      <c r="S161" s="4"/>
      <c r="T161" s="4"/>
      <c r="U161" s="4"/>
      <c r="V161" s="4"/>
      <c r="W161" s="4"/>
      <c r="X161" s="4"/>
    </row>
    <row r="162" spans="1:24" ht="12.75" customHeight="1">
      <c r="A162" s="1028" t="s">
        <v>712</v>
      </c>
      <c r="B162" s="808"/>
      <c r="C162" s="1029"/>
      <c r="D162" s="4"/>
      <c r="E162" s="34"/>
      <c r="F162" s="4"/>
      <c r="G162" s="4"/>
      <c r="H162" s="4"/>
      <c r="I162" s="4"/>
      <c r="J162" s="4"/>
      <c r="K162" s="4"/>
      <c r="L162" s="4"/>
      <c r="M162" s="4"/>
      <c r="N162" s="4"/>
      <c r="O162" s="4"/>
      <c r="P162" s="4"/>
      <c r="Q162" s="4"/>
      <c r="R162" s="4"/>
      <c r="S162" s="4"/>
      <c r="T162" s="4"/>
      <c r="U162" s="4"/>
      <c r="V162" s="4"/>
      <c r="W162" s="4"/>
      <c r="X162" s="4"/>
    </row>
    <row r="163" spans="1:24" ht="12.75" customHeight="1" thickBot="1">
      <c r="A163" s="1125" t="s">
        <v>0</v>
      </c>
      <c r="B163" s="982"/>
      <c r="C163" s="1029"/>
      <c r="D163" s="4"/>
      <c r="E163" s="34"/>
      <c r="F163" s="4"/>
      <c r="G163" s="4"/>
      <c r="H163" s="4"/>
      <c r="I163" s="4"/>
      <c r="J163" s="4"/>
      <c r="K163" s="4"/>
      <c r="L163" s="4"/>
      <c r="M163" s="4"/>
      <c r="N163" s="4"/>
      <c r="O163" s="4"/>
      <c r="P163" s="4"/>
      <c r="Q163" s="4"/>
      <c r="R163" s="4"/>
      <c r="S163" s="4"/>
      <c r="T163" s="4"/>
      <c r="U163" s="4"/>
      <c r="V163" s="4"/>
      <c r="W163" s="4"/>
      <c r="X163" s="4"/>
    </row>
    <row r="164" spans="1:24" ht="12.75" customHeight="1" thickBot="1">
      <c r="A164" s="1171" t="s">
        <v>1</v>
      </c>
      <c r="B164" s="1186"/>
      <c r="C164" s="1033">
        <f>+C166+C188+C211</f>
        <v>66221734.379999995</v>
      </c>
      <c r="D164" s="4"/>
      <c r="E164" s="60"/>
      <c r="F164" s="4"/>
      <c r="G164" s="4"/>
      <c r="H164" s="4"/>
      <c r="I164" s="4"/>
      <c r="J164" s="4"/>
      <c r="K164" s="4"/>
      <c r="L164" s="4"/>
      <c r="M164" s="4"/>
      <c r="N164" s="4"/>
      <c r="O164" s="4"/>
      <c r="P164" s="4"/>
      <c r="Q164" s="4"/>
      <c r="R164" s="4"/>
      <c r="S164" s="4"/>
      <c r="T164" s="4"/>
      <c r="U164" s="4"/>
      <c r="V164" s="4"/>
      <c r="W164" s="4"/>
      <c r="X164" s="4"/>
    </row>
    <row r="165" spans="1:24" ht="12.75" customHeight="1" thickBot="1">
      <c r="A165" s="21"/>
      <c r="B165" s="21"/>
      <c r="C165" s="26"/>
      <c r="D165" s="61"/>
      <c r="E165" s="34"/>
      <c r="F165" s="4"/>
      <c r="G165" s="4"/>
      <c r="H165" s="4"/>
      <c r="I165" s="4"/>
      <c r="J165" s="4"/>
      <c r="K165" s="4"/>
      <c r="L165" s="4"/>
      <c r="M165" s="4"/>
      <c r="N165" s="4"/>
      <c r="O165" s="4"/>
      <c r="P165" s="4"/>
      <c r="Q165" s="4"/>
      <c r="R165" s="4"/>
      <c r="S165" s="4"/>
      <c r="T165" s="4"/>
      <c r="U165" s="4"/>
      <c r="V165" s="4"/>
      <c r="W165" s="4"/>
      <c r="X165" s="4"/>
    </row>
    <row r="166" spans="1:24" ht="12.75" customHeight="1" thickBot="1">
      <c r="A166" s="178" t="s">
        <v>105</v>
      </c>
      <c r="B166" s="179"/>
      <c r="C166" s="62">
        <f>+C169+C175+C171+C173+C181+C184+C167</f>
        <v>10019532.41</v>
      </c>
      <c r="D166" s="61"/>
      <c r="E166" s="34"/>
      <c r="F166" s="4"/>
      <c r="G166" s="4"/>
      <c r="H166" s="4"/>
      <c r="I166" s="4"/>
      <c r="J166" s="4"/>
      <c r="K166" s="4"/>
      <c r="L166" s="4"/>
      <c r="M166" s="4"/>
      <c r="N166" s="4"/>
      <c r="O166" s="4"/>
      <c r="P166" s="4"/>
      <c r="Q166" s="4"/>
      <c r="R166" s="4"/>
      <c r="S166" s="4"/>
      <c r="T166" s="4"/>
      <c r="U166" s="4"/>
      <c r="V166" s="4"/>
      <c r="W166" s="4"/>
      <c r="X166" s="4"/>
    </row>
    <row r="167" spans="1:24" ht="13.5" customHeight="1">
      <c r="A167" s="48">
        <v>211201</v>
      </c>
      <c r="B167" s="48" t="s">
        <v>459</v>
      </c>
      <c r="C167" s="49">
        <f>SUM(C168)</f>
        <v>1297000</v>
      </c>
      <c r="D167" s="61"/>
      <c r="E167" s="32"/>
      <c r="F167" s="33"/>
      <c r="G167" s="33"/>
      <c r="H167" s="33"/>
      <c r="I167" s="33"/>
      <c r="J167" s="33"/>
      <c r="K167" s="33"/>
      <c r="L167" s="33"/>
      <c r="M167" s="33"/>
      <c r="N167" s="33"/>
      <c r="O167" s="33"/>
      <c r="P167" s="33"/>
      <c r="Q167" s="33"/>
      <c r="R167" s="33"/>
      <c r="S167" s="33"/>
      <c r="T167" s="33"/>
      <c r="U167" s="33"/>
      <c r="V167" s="33"/>
      <c r="W167" s="33"/>
      <c r="X167" s="33"/>
    </row>
    <row r="168" spans="1:24" ht="13.5" customHeight="1">
      <c r="A168" s="33">
        <v>21120101</v>
      </c>
      <c r="B168" s="23" t="s">
        <v>460</v>
      </c>
      <c r="C168" s="24">
        <v>1297000</v>
      </c>
      <c r="D168" s="32"/>
      <c r="E168" s="32"/>
      <c r="F168" s="23"/>
      <c r="G168" s="23"/>
      <c r="H168" s="23"/>
      <c r="I168" s="23"/>
      <c r="J168" s="23"/>
      <c r="K168" s="23"/>
      <c r="L168" s="23"/>
      <c r="M168" s="23"/>
      <c r="N168" s="23"/>
      <c r="O168" s="23"/>
      <c r="P168" s="23"/>
      <c r="Q168" s="23"/>
      <c r="R168" s="23"/>
      <c r="S168" s="23"/>
      <c r="T168" s="23"/>
      <c r="U168" s="23"/>
      <c r="V168" s="23"/>
      <c r="W168" s="23"/>
      <c r="X168" s="23"/>
    </row>
    <row r="169" spans="1:24" ht="12.75" customHeight="1">
      <c r="A169" s="48">
        <v>211203</v>
      </c>
      <c r="B169" s="21" t="s">
        <v>461</v>
      </c>
      <c r="C169" s="49">
        <f>+C170</f>
        <v>4000000</v>
      </c>
      <c r="D169" s="4"/>
      <c r="E169" s="34"/>
      <c r="F169" s="4"/>
      <c r="G169" s="4"/>
      <c r="H169" s="4"/>
      <c r="I169" s="4"/>
      <c r="J169" s="4"/>
      <c r="K169" s="4"/>
      <c r="L169" s="4"/>
      <c r="M169" s="4"/>
      <c r="N169" s="4"/>
      <c r="O169" s="4"/>
      <c r="P169" s="4"/>
      <c r="Q169" s="4"/>
      <c r="R169" s="4"/>
      <c r="S169" s="4"/>
      <c r="T169" s="4"/>
      <c r="U169" s="4"/>
      <c r="V169" s="4"/>
      <c r="W169" s="4"/>
      <c r="X169" s="4"/>
    </row>
    <row r="170" spans="1:24" ht="12.75" customHeight="1">
      <c r="A170" s="33">
        <v>21120302</v>
      </c>
      <c r="B170" s="23" t="s">
        <v>462</v>
      </c>
      <c r="C170" s="24">
        <v>4000000</v>
      </c>
      <c r="D170" s="4"/>
      <c r="E170" s="32"/>
      <c r="F170" s="4"/>
      <c r="G170" s="4"/>
      <c r="H170" s="4"/>
      <c r="I170" s="4"/>
      <c r="J170" s="4"/>
      <c r="K170" s="4"/>
      <c r="L170" s="4"/>
      <c r="M170" s="4"/>
      <c r="N170" s="4"/>
      <c r="O170" s="4"/>
      <c r="P170" s="4"/>
      <c r="Q170" s="4"/>
      <c r="R170" s="4"/>
      <c r="S170" s="4"/>
      <c r="T170" s="4"/>
      <c r="U170" s="4"/>
      <c r="V170" s="4"/>
      <c r="W170" s="4"/>
      <c r="X170" s="4"/>
    </row>
    <row r="171" spans="1:24" ht="12.75" customHeight="1">
      <c r="A171" s="48">
        <v>211204</v>
      </c>
      <c r="B171" s="21" t="s">
        <v>463</v>
      </c>
      <c r="C171" s="26">
        <f>C172</f>
        <v>3534532.41</v>
      </c>
      <c r="D171" s="4"/>
      <c r="E171" s="34"/>
      <c r="F171" s="4"/>
      <c r="G171" s="4"/>
      <c r="H171" s="4"/>
      <c r="I171" s="4"/>
      <c r="J171" s="4"/>
      <c r="K171" s="4"/>
      <c r="L171" s="4"/>
      <c r="M171" s="4"/>
      <c r="N171" s="4"/>
      <c r="O171" s="4"/>
      <c r="P171" s="4"/>
      <c r="Q171" s="4"/>
      <c r="R171" s="4"/>
      <c r="S171" s="4"/>
      <c r="T171" s="4"/>
      <c r="U171" s="4"/>
      <c r="V171" s="4"/>
      <c r="W171" s="4"/>
      <c r="X171" s="4"/>
    </row>
    <row r="172" spans="1:24" ht="12.75" customHeight="1">
      <c r="A172" s="33">
        <v>21120401</v>
      </c>
      <c r="B172" s="24" t="s">
        <v>464</v>
      </c>
      <c r="C172" s="24">
        <f>2031000+1803532.41-300000</f>
        <v>3534532.41</v>
      </c>
      <c r="D172" s="4"/>
      <c r="E172" s="32"/>
      <c r="F172" s="4"/>
      <c r="G172" s="4"/>
      <c r="H172" s="4"/>
      <c r="I172" s="4"/>
      <c r="J172" s="4"/>
      <c r="K172" s="4"/>
      <c r="L172" s="4"/>
      <c r="M172" s="4"/>
      <c r="N172" s="4"/>
      <c r="O172" s="4"/>
      <c r="P172" s="4"/>
      <c r="Q172" s="4"/>
      <c r="R172" s="4"/>
      <c r="S172" s="4"/>
      <c r="T172" s="4"/>
      <c r="U172" s="4"/>
      <c r="V172" s="4"/>
      <c r="W172" s="4"/>
      <c r="X172" s="4"/>
    </row>
    <row r="173" spans="1:24" ht="12.75" customHeight="1">
      <c r="A173" s="48">
        <v>211205</v>
      </c>
      <c r="B173" s="26" t="s">
        <v>465</v>
      </c>
      <c r="C173" s="26">
        <f>C174</f>
        <v>240000</v>
      </c>
      <c r="D173" s="4"/>
      <c r="E173" s="34"/>
      <c r="F173" s="4"/>
      <c r="G173" s="4"/>
      <c r="H173" s="4"/>
      <c r="I173" s="4"/>
      <c r="J173" s="4"/>
      <c r="K173" s="4"/>
      <c r="L173" s="4"/>
      <c r="M173" s="4"/>
      <c r="N173" s="4"/>
      <c r="O173" s="4"/>
      <c r="P173" s="4"/>
      <c r="Q173" s="4"/>
      <c r="R173" s="4"/>
      <c r="S173" s="4"/>
      <c r="T173" s="4"/>
      <c r="U173" s="4"/>
      <c r="V173" s="4"/>
      <c r="W173" s="4"/>
      <c r="X173" s="4"/>
    </row>
    <row r="174" spans="1:24" ht="12.75" customHeight="1">
      <c r="A174" s="33">
        <v>21120501</v>
      </c>
      <c r="B174" s="23" t="s">
        <v>466</v>
      </c>
      <c r="C174" s="24">
        <v>240000</v>
      </c>
      <c r="D174" s="4"/>
      <c r="E174" s="32"/>
      <c r="F174" s="4"/>
      <c r="G174" s="4"/>
      <c r="H174" s="4"/>
      <c r="I174" s="4"/>
      <c r="J174" s="4"/>
      <c r="K174" s="4"/>
      <c r="L174" s="4"/>
      <c r="M174" s="4"/>
      <c r="N174" s="4"/>
      <c r="O174" s="4"/>
      <c r="P174" s="4"/>
      <c r="Q174" s="4"/>
      <c r="R174" s="4"/>
      <c r="S174" s="4"/>
      <c r="T174" s="4"/>
      <c r="U174" s="4"/>
      <c r="V174" s="4"/>
      <c r="W174" s="4"/>
      <c r="X174" s="4"/>
    </row>
    <row r="175" spans="1:24" ht="13.5" customHeight="1">
      <c r="A175" s="48">
        <v>211207</v>
      </c>
      <c r="B175" s="15" t="s">
        <v>467</v>
      </c>
      <c r="C175" s="26">
        <f>SUM(C176:C180)</f>
        <v>475000</v>
      </c>
      <c r="D175" s="33"/>
      <c r="E175" s="24"/>
      <c r="F175" s="23"/>
      <c r="G175" s="63"/>
      <c r="H175" s="23"/>
      <c r="I175" s="23"/>
      <c r="J175" s="23"/>
      <c r="K175" s="23"/>
      <c r="L175" s="23"/>
      <c r="M175" s="23"/>
      <c r="N175" s="23"/>
      <c r="O175" s="23"/>
      <c r="P175" s="23"/>
      <c r="Q175" s="23"/>
      <c r="R175" s="23"/>
      <c r="S175" s="23"/>
      <c r="T175" s="23"/>
      <c r="U175" s="23"/>
      <c r="V175" s="23"/>
      <c r="W175" s="23"/>
      <c r="X175" s="23"/>
    </row>
    <row r="176" spans="1:24" ht="13.5" customHeight="1">
      <c r="A176" s="33">
        <v>21120702</v>
      </c>
      <c r="B176" s="13" t="s">
        <v>468</v>
      </c>
      <c r="C176" s="24">
        <v>120000</v>
      </c>
      <c r="D176" s="33"/>
      <c r="E176" s="24"/>
      <c r="F176" s="23"/>
      <c r="G176" s="63"/>
      <c r="H176" s="23"/>
      <c r="I176" s="23"/>
      <c r="J176" s="23"/>
      <c r="K176" s="23"/>
      <c r="L176" s="23"/>
      <c r="M176" s="23"/>
      <c r="N176" s="23"/>
      <c r="O176" s="23"/>
      <c r="P176" s="23"/>
      <c r="Q176" s="23"/>
      <c r="R176" s="23"/>
      <c r="S176" s="23"/>
      <c r="T176" s="23"/>
      <c r="U176" s="23"/>
      <c r="V176" s="23"/>
      <c r="W176" s="23"/>
      <c r="X176" s="23"/>
    </row>
    <row r="177" spans="1:24" ht="13.5" customHeight="1">
      <c r="A177" s="33">
        <v>21120708</v>
      </c>
      <c r="B177" s="13" t="s">
        <v>470</v>
      </c>
      <c r="C177" s="24">
        <v>120000</v>
      </c>
      <c r="D177" s="4"/>
      <c r="E177" s="34"/>
      <c r="F177" s="35"/>
      <c r="G177" s="23"/>
      <c r="H177" s="23"/>
      <c r="I177" s="23"/>
      <c r="J177" s="23"/>
      <c r="K177" s="23"/>
      <c r="L177" s="23"/>
      <c r="M177" s="23"/>
      <c r="N177" s="23"/>
      <c r="O177" s="23"/>
      <c r="P177" s="23"/>
      <c r="Q177" s="23"/>
      <c r="R177" s="23"/>
      <c r="S177" s="23"/>
      <c r="T177" s="23"/>
      <c r="U177" s="23"/>
      <c r="V177" s="23"/>
      <c r="W177" s="23"/>
      <c r="X177" s="23"/>
    </row>
    <row r="178" spans="1:24" ht="12.75" customHeight="1">
      <c r="A178" s="33">
        <v>21120709</v>
      </c>
      <c r="B178" s="24" t="s">
        <v>471</v>
      </c>
      <c r="C178" s="24">
        <v>125000</v>
      </c>
      <c r="D178" s="8"/>
      <c r="E178" s="8"/>
      <c r="F178" s="8"/>
      <c r="G178" s="8"/>
      <c r="H178" s="8"/>
      <c r="I178" s="8"/>
      <c r="J178" s="8"/>
      <c r="K178" s="8"/>
      <c r="L178" s="8"/>
      <c r="M178" s="8"/>
      <c r="N178" s="8"/>
      <c r="O178" s="8"/>
      <c r="P178" s="8"/>
      <c r="Q178" s="8"/>
      <c r="R178" s="8"/>
      <c r="S178" s="8"/>
      <c r="T178" s="8"/>
      <c r="U178" s="8"/>
      <c r="V178" s="8"/>
      <c r="W178" s="8"/>
      <c r="X178" s="8"/>
    </row>
    <row r="179" spans="1:24" ht="12.75" customHeight="1">
      <c r="A179" s="33">
        <v>21120710</v>
      </c>
      <c r="B179" s="24" t="s">
        <v>472</v>
      </c>
      <c r="C179" s="24">
        <v>70000</v>
      </c>
      <c r="D179" s="8"/>
      <c r="E179" s="8"/>
      <c r="F179" s="8"/>
      <c r="G179" s="8"/>
      <c r="H179" s="8"/>
      <c r="I179" s="8"/>
      <c r="J179" s="8"/>
      <c r="K179" s="8"/>
      <c r="L179" s="8"/>
      <c r="M179" s="8"/>
      <c r="N179" s="8"/>
      <c r="O179" s="8"/>
      <c r="P179" s="8"/>
      <c r="Q179" s="8"/>
      <c r="R179" s="8"/>
      <c r="S179" s="8"/>
      <c r="T179" s="8"/>
      <c r="U179" s="8"/>
      <c r="V179" s="8"/>
      <c r="W179" s="8"/>
      <c r="X179" s="8"/>
    </row>
    <row r="180" spans="1:24" ht="12.75" customHeight="1">
      <c r="A180" s="33">
        <v>21120711</v>
      </c>
      <c r="B180" s="24" t="s">
        <v>473</v>
      </c>
      <c r="C180" s="24">
        <v>40000</v>
      </c>
      <c r="D180" s="8"/>
      <c r="E180" s="8"/>
      <c r="F180" s="8"/>
      <c r="G180" s="8"/>
      <c r="H180" s="8"/>
      <c r="I180" s="8"/>
      <c r="J180" s="8"/>
      <c r="K180" s="8"/>
      <c r="L180" s="8"/>
      <c r="M180" s="8"/>
      <c r="N180" s="8"/>
      <c r="O180" s="8"/>
      <c r="P180" s="8"/>
      <c r="Q180" s="8"/>
      <c r="R180" s="8"/>
      <c r="S180" s="8"/>
      <c r="T180" s="8"/>
      <c r="U180" s="8"/>
      <c r="V180" s="8"/>
      <c r="W180" s="8"/>
      <c r="X180" s="8"/>
    </row>
    <row r="181" spans="1:24" ht="14.25" customHeight="1">
      <c r="A181" s="48">
        <v>211208</v>
      </c>
      <c r="B181" s="26" t="s">
        <v>474</v>
      </c>
      <c r="C181" s="26">
        <f>SUM(C182:C183)</f>
        <v>100000</v>
      </c>
      <c r="D181" s="4"/>
      <c r="E181" s="34"/>
      <c r="F181" s="4"/>
      <c r="G181" s="4"/>
      <c r="H181" s="4"/>
      <c r="I181" s="4"/>
      <c r="J181" s="4"/>
      <c r="K181" s="4"/>
      <c r="L181" s="4"/>
      <c r="M181" s="4"/>
      <c r="N181" s="4"/>
      <c r="O181" s="4"/>
      <c r="P181" s="4"/>
      <c r="Q181" s="4"/>
      <c r="R181" s="4"/>
      <c r="S181" s="4"/>
      <c r="T181" s="4"/>
      <c r="U181" s="4"/>
      <c r="V181" s="4"/>
      <c r="W181" s="4"/>
      <c r="X181" s="4"/>
    </row>
    <row r="182" spans="1:24" ht="12.75" customHeight="1">
      <c r="A182" s="33">
        <v>21120801</v>
      </c>
      <c r="B182" s="13" t="s">
        <v>475</v>
      </c>
      <c r="C182" s="24">
        <v>50000</v>
      </c>
      <c r="D182" s="8"/>
      <c r="E182" s="8"/>
      <c r="F182" s="8"/>
      <c r="G182" s="8"/>
      <c r="H182" s="8"/>
      <c r="I182" s="8"/>
      <c r="J182" s="8"/>
      <c r="K182" s="8"/>
      <c r="L182" s="8"/>
      <c r="M182" s="8"/>
      <c r="N182" s="8"/>
      <c r="O182" s="8"/>
      <c r="P182" s="8"/>
      <c r="Q182" s="8"/>
      <c r="R182" s="8"/>
      <c r="S182" s="8"/>
      <c r="T182" s="8"/>
      <c r="U182" s="8"/>
      <c r="V182" s="8"/>
      <c r="W182" s="8"/>
      <c r="X182" s="8"/>
    </row>
    <row r="183" spans="1:24" ht="12.75" customHeight="1">
      <c r="A183" s="33">
        <v>21120805</v>
      </c>
      <c r="B183" s="24" t="s">
        <v>476</v>
      </c>
      <c r="C183" s="24">
        <v>50000</v>
      </c>
      <c r="D183" s="4"/>
      <c r="E183" s="34"/>
      <c r="F183" s="23"/>
      <c r="G183" s="23"/>
      <c r="H183" s="23"/>
      <c r="I183" s="23"/>
      <c r="J183" s="23"/>
      <c r="K183" s="23"/>
      <c r="L183" s="23"/>
      <c r="M183" s="23"/>
      <c r="N183" s="23"/>
      <c r="O183" s="23"/>
      <c r="P183" s="23"/>
      <c r="Q183" s="23"/>
      <c r="R183" s="23"/>
      <c r="S183" s="23"/>
      <c r="T183" s="23"/>
      <c r="U183" s="23"/>
      <c r="V183" s="23"/>
      <c r="W183" s="23"/>
      <c r="X183" s="23"/>
    </row>
    <row r="184" spans="1:24" ht="12.75" customHeight="1">
      <c r="A184" s="48">
        <v>211209</v>
      </c>
      <c r="B184" s="26" t="s">
        <v>477</v>
      </c>
      <c r="C184" s="26">
        <f>+SUM(C185:C186)</f>
        <v>373000</v>
      </c>
      <c r="D184" s="4"/>
      <c r="E184" s="34"/>
      <c r="F184" s="23"/>
      <c r="G184" s="23"/>
      <c r="H184" s="23"/>
      <c r="I184" s="23"/>
      <c r="J184" s="23"/>
      <c r="K184" s="23"/>
      <c r="L184" s="23"/>
      <c r="M184" s="23"/>
      <c r="N184" s="23"/>
      <c r="O184" s="23"/>
      <c r="P184" s="23"/>
      <c r="Q184" s="23"/>
      <c r="R184" s="23"/>
      <c r="S184" s="23"/>
      <c r="T184" s="23"/>
      <c r="U184" s="23"/>
      <c r="V184" s="23"/>
      <c r="W184" s="23"/>
      <c r="X184" s="23"/>
    </row>
    <row r="185" spans="1:24" ht="12.75" customHeight="1">
      <c r="A185" s="33">
        <v>21120901</v>
      </c>
      <c r="B185" s="24" t="s">
        <v>478</v>
      </c>
      <c r="C185" s="24">
        <v>303000</v>
      </c>
      <c r="D185" s="4"/>
      <c r="E185" s="34"/>
      <c r="F185" s="23"/>
      <c r="G185" s="23"/>
      <c r="H185" s="23"/>
      <c r="I185" s="23"/>
      <c r="J185" s="23"/>
      <c r="K185" s="23"/>
      <c r="L185" s="23"/>
      <c r="M185" s="23"/>
      <c r="N185" s="23"/>
      <c r="O185" s="23"/>
      <c r="P185" s="23"/>
      <c r="Q185" s="23"/>
      <c r="R185" s="23"/>
      <c r="S185" s="23"/>
      <c r="T185" s="23"/>
      <c r="U185" s="23"/>
      <c r="V185" s="23"/>
      <c r="W185" s="23"/>
      <c r="X185" s="23"/>
    </row>
    <row r="186" spans="1:24" ht="12.75" customHeight="1">
      <c r="A186" s="33">
        <v>21120906</v>
      </c>
      <c r="B186" s="24" t="s">
        <v>479</v>
      </c>
      <c r="C186" s="24">
        <v>70000</v>
      </c>
      <c r="D186" s="4"/>
      <c r="E186" s="34"/>
      <c r="F186" s="23"/>
      <c r="G186" s="23"/>
      <c r="H186" s="23"/>
      <c r="I186" s="23"/>
      <c r="J186" s="23"/>
      <c r="K186" s="23"/>
      <c r="L186" s="23"/>
      <c r="M186" s="23"/>
      <c r="N186" s="23"/>
      <c r="O186" s="23"/>
      <c r="P186" s="23"/>
      <c r="Q186" s="23"/>
      <c r="R186" s="23"/>
      <c r="S186" s="23"/>
      <c r="T186" s="23"/>
      <c r="U186" s="23"/>
      <c r="V186" s="23"/>
      <c r="W186" s="23"/>
      <c r="X186" s="23"/>
    </row>
    <row r="187" spans="1:24" ht="12.75" customHeight="1" thickBot="1">
      <c r="A187" s="23"/>
      <c r="B187" s="24"/>
      <c r="C187" s="24"/>
      <c r="D187" s="4"/>
      <c r="E187" s="34"/>
      <c r="F187" s="23"/>
      <c r="G187" s="23"/>
      <c r="H187" s="23"/>
      <c r="I187" s="23"/>
      <c r="J187" s="23"/>
      <c r="K187" s="23"/>
      <c r="L187" s="23"/>
      <c r="M187" s="23"/>
      <c r="N187" s="23"/>
      <c r="O187" s="23"/>
      <c r="P187" s="23"/>
      <c r="Q187" s="23"/>
      <c r="R187" s="23"/>
      <c r="S187" s="23"/>
      <c r="T187" s="23"/>
      <c r="U187" s="23"/>
      <c r="V187" s="23"/>
      <c r="W187" s="23"/>
      <c r="X187" s="23"/>
    </row>
    <row r="188" spans="1:24" ht="12.75" customHeight="1" thickBot="1">
      <c r="A188" s="1298" t="s">
        <v>4</v>
      </c>
      <c r="B188" s="1281"/>
      <c r="C188" s="64">
        <f>C189+C191+C194+C197+C201+C203+C205</f>
        <v>52517201.969999999</v>
      </c>
      <c r="D188" s="4"/>
      <c r="E188" s="34"/>
      <c r="F188" s="45"/>
      <c r="G188" s="45"/>
      <c r="H188" s="45"/>
      <c r="I188" s="45"/>
      <c r="J188" s="45"/>
      <c r="K188" s="45"/>
      <c r="L188" s="45"/>
      <c r="M188" s="45"/>
      <c r="N188" s="45"/>
      <c r="O188" s="45"/>
      <c r="P188" s="45"/>
      <c r="Q188" s="45"/>
      <c r="R188" s="45"/>
      <c r="S188" s="45"/>
      <c r="T188" s="45"/>
      <c r="U188" s="45"/>
      <c r="V188" s="45"/>
      <c r="W188" s="45"/>
      <c r="X188" s="45"/>
    </row>
    <row r="189" spans="1:24" ht="12.75" customHeight="1">
      <c r="A189" s="48">
        <v>211302</v>
      </c>
      <c r="B189" s="21" t="s">
        <v>481</v>
      </c>
      <c r="C189" s="49">
        <f>SUM(C190)</f>
        <v>12556000</v>
      </c>
      <c r="D189" s="34"/>
      <c r="E189" s="34"/>
      <c r="F189" s="91"/>
      <c r="G189" s="91"/>
      <c r="H189" s="91"/>
      <c r="I189" s="91"/>
      <c r="J189" s="91"/>
      <c r="K189" s="91"/>
      <c r="L189" s="91"/>
      <c r="M189" s="91"/>
      <c r="N189" s="91"/>
      <c r="O189" s="91"/>
      <c r="P189" s="91"/>
      <c r="Q189" s="91"/>
      <c r="R189" s="91"/>
      <c r="S189" s="91"/>
      <c r="T189" s="91"/>
      <c r="U189" s="91"/>
      <c r="V189" s="91"/>
      <c r="W189" s="91"/>
      <c r="X189" s="91"/>
    </row>
    <row r="190" spans="1:24" ht="12.75" customHeight="1">
      <c r="A190" s="33">
        <v>21130204</v>
      </c>
      <c r="B190" s="23" t="s">
        <v>483</v>
      </c>
      <c r="C190" s="24">
        <v>12556000</v>
      </c>
      <c r="D190" s="90"/>
      <c r="E190" s="90"/>
      <c r="F190" s="45"/>
      <c r="G190" s="45"/>
      <c r="H190" s="45"/>
      <c r="I190" s="45"/>
      <c r="J190" s="45"/>
      <c r="K190" s="45"/>
      <c r="L190" s="45"/>
      <c r="M190" s="45"/>
      <c r="N190" s="45"/>
      <c r="O190" s="45"/>
      <c r="P190" s="45"/>
      <c r="Q190" s="45"/>
      <c r="R190" s="45"/>
      <c r="S190" s="45"/>
      <c r="T190" s="45"/>
      <c r="U190" s="45"/>
      <c r="V190" s="45"/>
      <c r="W190" s="45"/>
      <c r="X190" s="45"/>
    </row>
    <row r="191" spans="1:24" ht="12.75" customHeight="1">
      <c r="A191" s="48">
        <v>211303</v>
      </c>
      <c r="B191" s="15" t="s">
        <v>484</v>
      </c>
      <c r="C191" s="26">
        <f>+SUM(C192:C193)</f>
        <v>252500</v>
      </c>
      <c r="D191" s="33"/>
      <c r="E191" s="90"/>
      <c r="F191" s="45"/>
      <c r="G191" s="45"/>
      <c r="H191" s="45"/>
      <c r="I191" s="45"/>
      <c r="J191" s="45"/>
      <c r="K191" s="45"/>
      <c r="L191" s="45"/>
      <c r="M191" s="45"/>
      <c r="N191" s="45"/>
      <c r="O191" s="45"/>
      <c r="P191" s="45"/>
      <c r="Q191" s="45"/>
      <c r="R191" s="45"/>
      <c r="S191" s="45"/>
      <c r="T191" s="45"/>
      <c r="U191" s="45"/>
      <c r="V191" s="45"/>
      <c r="W191" s="45"/>
      <c r="X191" s="45"/>
    </row>
    <row r="192" spans="1:24" ht="13.5" customHeight="1">
      <c r="A192" s="40">
        <v>21130306</v>
      </c>
      <c r="B192" s="13" t="s">
        <v>487</v>
      </c>
      <c r="C192" s="14">
        <v>80000</v>
      </c>
      <c r="D192" s="8"/>
      <c r="E192" s="14"/>
      <c r="F192" s="30"/>
      <c r="G192" s="30"/>
      <c r="H192" s="8"/>
      <c r="I192" s="8"/>
      <c r="J192" s="8"/>
      <c r="K192" s="8"/>
      <c r="L192" s="8"/>
      <c r="M192" s="8"/>
      <c r="N192" s="8"/>
      <c r="O192" s="8"/>
      <c r="P192" s="8"/>
      <c r="Q192" s="8"/>
      <c r="R192" s="8"/>
      <c r="S192" s="8"/>
      <c r="T192" s="8"/>
      <c r="U192" s="8"/>
      <c r="V192" s="8"/>
      <c r="W192" s="8"/>
      <c r="X192" s="8"/>
    </row>
    <row r="193" spans="1:24" ht="12.75" customHeight="1">
      <c r="A193" s="33">
        <v>21130307</v>
      </c>
      <c r="B193" s="13" t="s">
        <v>488</v>
      </c>
      <c r="C193" s="24">
        <v>172500</v>
      </c>
      <c r="D193" s="33"/>
      <c r="E193" s="90"/>
      <c r="F193" s="45"/>
      <c r="G193" s="45"/>
      <c r="H193" s="45"/>
      <c r="I193" s="45"/>
      <c r="J193" s="45"/>
      <c r="K193" s="45"/>
      <c r="L193" s="45"/>
      <c r="M193" s="45"/>
      <c r="N193" s="45"/>
      <c r="O193" s="45"/>
      <c r="P193" s="45"/>
      <c r="Q193" s="45"/>
      <c r="R193" s="45"/>
      <c r="S193" s="45"/>
      <c r="T193" s="45"/>
      <c r="U193" s="45"/>
      <c r="V193" s="45"/>
      <c r="W193" s="45"/>
      <c r="X193" s="45"/>
    </row>
    <row r="194" spans="1:24" ht="12.75" customHeight="1">
      <c r="A194" s="48">
        <v>211305</v>
      </c>
      <c r="B194" s="21" t="s">
        <v>489</v>
      </c>
      <c r="C194" s="26">
        <f>+SUM(C195:C196)</f>
        <v>14823701.970000001</v>
      </c>
      <c r="D194" s="33"/>
      <c r="E194" s="90"/>
      <c r="F194" s="45"/>
      <c r="G194" s="45"/>
      <c r="H194" s="45"/>
      <c r="I194" s="45"/>
      <c r="J194" s="45"/>
      <c r="K194" s="45"/>
      <c r="L194" s="45"/>
      <c r="M194" s="45"/>
      <c r="N194" s="45"/>
      <c r="O194" s="45"/>
      <c r="P194" s="45"/>
      <c r="Q194" s="45"/>
      <c r="R194" s="45"/>
      <c r="S194" s="45"/>
      <c r="T194" s="45"/>
      <c r="U194" s="45"/>
      <c r="V194" s="45"/>
      <c r="W194" s="45"/>
      <c r="X194" s="45"/>
    </row>
    <row r="195" spans="1:24" ht="12.75" customHeight="1">
      <c r="A195" s="33">
        <v>21130501</v>
      </c>
      <c r="B195" s="13" t="s">
        <v>490</v>
      </c>
      <c r="C195" s="24">
        <v>130000</v>
      </c>
      <c r="D195" s="3"/>
      <c r="E195" s="181"/>
      <c r="F195" s="45"/>
      <c r="G195" s="45"/>
      <c r="H195" s="45"/>
      <c r="I195" s="45"/>
      <c r="J195" s="45"/>
      <c r="K195" s="45"/>
      <c r="L195" s="45"/>
      <c r="M195" s="45"/>
      <c r="N195" s="45"/>
      <c r="O195" s="45"/>
      <c r="P195" s="45"/>
      <c r="Q195" s="45"/>
      <c r="R195" s="45"/>
      <c r="S195" s="45"/>
      <c r="T195" s="45"/>
      <c r="U195" s="45"/>
      <c r="V195" s="45"/>
      <c r="W195" s="45"/>
      <c r="X195" s="45"/>
    </row>
    <row r="196" spans="1:24" ht="12.75" customHeight="1">
      <c r="A196" s="33">
        <v>21130502</v>
      </c>
      <c r="B196" s="24" t="s">
        <v>491</v>
      </c>
      <c r="C196" s="51">
        <f>1830500+12963201.97-100000</f>
        <v>14693701.970000001</v>
      </c>
      <c r="D196" s="3"/>
      <c r="E196" s="182"/>
      <c r="F196" s="45"/>
      <c r="G196" s="45"/>
      <c r="H196" s="45"/>
      <c r="I196" s="45"/>
      <c r="J196" s="45"/>
      <c r="K196" s="45"/>
      <c r="L196" s="45"/>
      <c r="M196" s="45"/>
      <c r="N196" s="45"/>
      <c r="O196" s="45"/>
      <c r="P196" s="45"/>
      <c r="Q196" s="45"/>
      <c r="R196" s="45"/>
      <c r="S196" s="45"/>
      <c r="T196" s="45"/>
      <c r="U196" s="45"/>
      <c r="V196" s="45"/>
      <c r="W196" s="45"/>
      <c r="X196" s="45"/>
    </row>
    <row r="197" spans="1:24" ht="12.75" customHeight="1">
      <c r="A197" s="48">
        <v>211306</v>
      </c>
      <c r="B197" s="26" t="s">
        <v>492</v>
      </c>
      <c r="C197" s="26">
        <f>+SUM(C198:C200)</f>
        <v>2285500</v>
      </c>
      <c r="D197" s="3"/>
      <c r="E197" s="89"/>
      <c r="F197" s="45"/>
      <c r="G197" s="45"/>
      <c r="H197" s="45"/>
      <c r="I197" s="45"/>
      <c r="J197" s="45"/>
      <c r="K197" s="45"/>
      <c r="L197" s="45"/>
      <c r="M197" s="45"/>
      <c r="N197" s="45"/>
      <c r="O197" s="45"/>
      <c r="P197" s="45"/>
      <c r="Q197" s="45"/>
      <c r="R197" s="45"/>
      <c r="S197" s="45"/>
      <c r="T197" s="45"/>
      <c r="U197" s="45"/>
      <c r="V197" s="45"/>
      <c r="W197" s="45"/>
      <c r="X197" s="45"/>
    </row>
    <row r="198" spans="1:24" ht="12.75" customHeight="1">
      <c r="A198" s="33">
        <v>21130605</v>
      </c>
      <c r="B198" s="23" t="s">
        <v>611</v>
      </c>
      <c r="C198" s="24">
        <f>100000+231500</f>
        <v>331500</v>
      </c>
      <c r="D198" s="23"/>
      <c r="E198" s="168"/>
      <c r="F198" s="23"/>
      <c r="G198" s="23"/>
      <c r="H198" s="23"/>
      <c r="I198" s="23"/>
      <c r="J198" s="23"/>
      <c r="K198" s="23"/>
      <c r="L198" s="23"/>
      <c r="M198" s="23"/>
      <c r="N198" s="23"/>
      <c r="O198" s="23"/>
      <c r="P198" s="23"/>
      <c r="Q198" s="23"/>
      <c r="R198" s="23"/>
      <c r="S198" s="23"/>
      <c r="T198" s="23"/>
      <c r="U198" s="23"/>
      <c r="V198" s="23"/>
      <c r="W198" s="23"/>
      <c r="X198" s="23"/>
    </row>
    <row r="199" spans="1:24" ht="12.75" customHeight="1">
      <c r="A199" s="33">
        <v>21130607</v>
      </c>
      <c r="B199" s="24" t="s">
        <v>493</v>
      </c>
      <c r="C199" s="24">
        <v>140000</v>
      </c>
      <c r="D199" s="23"/>
      <c r="E199" s="168"/>
      <c r="F199" s="23"/>
      <c r="G199" s="23"/>
      <c r="H199" s="23"/>
      <c r="I199" s="23"/>
      <c r="J199" s="23"/>
      <c r="K199" s="23"/>
      <c r="L199" s="23"/>
      <c r="M199" s="23"/>
      <c r="N199" s="23"/>
      <c r="O199" s="23"/>
      <c r="P199" s="23"/>
      <c r="Q199" s="23"/>
      <c r="R199" s="23"/>
      <c r="S199" s="23"/>
      <c r="T199" s="23"/>
      <c r="U199" s="23"/>
      <c r="V199" s="23"/>
      <c r="W199" s="23"/>
      <c r="X199" s="23"/>
    </row>
    <row r="200" spans="1:24" ht="12.75" customHeight="1">
      <c r="A200" s="33">
        <v>21130608</v>
      </c>
      <c r="B200" s="24" t="s">
        <v>557</v>
      </c>
      <c r="C200" s="24">
        <v>1814000</v>
      </c>
      <c r="D200" s="23"/>
      <c r="E200" s="168"/>
      <c r="F200" s="23"/>
      <c r="G200" s="23"/>
      <c r="H200" s="23"/>
      <c r="I200" s="23"/>
      <c r="J200" s="23"/>
      <c r="K200" s="23"/>
      <c r="L200" s="23"/>
      <c r="M200" s="23"/>
      <c r="N200" s="23"/>
      <c r="O200" s="23"/>
      <c r="P200" s="23"/>
      <c r="Q200" s="23"/>
      <c r="R200" s="23"/>
      <c r="S200" s="23"/>
      <c r="T200" s="23"/>
      <c r="U200" s="23"/>
      <c r="V200" s="23"/>
      <c r="W200" s="23"/>
      <c r="X200" s="23"/>
    </row>
    <row r="201" spans="1:24" ht="12.75" customHeight="1">
      <c r="A201" s="48">
        <v>211307</v>
      </c>
      <c r="B201" s="26" t="s">
        <v>494</v>
      </c>
      <c r="C201" s="26">
        <f>C202</f>
        <v>3821000</v>
      </c>
      <c r="D201" s="23"/>
      <c r="E201" s="168"/>
      <c r="F201" s="23"/>
      <c r="G201" s="23"/>
      <c r="H201" s="23"/>
      <c r="I201" s="23"/>
      <c r="J201" s="23"/>
      <c r="K201" s="23"/>
      <c r="L201" s="23"/>
      <c r="M201" s="23"/>
      <c r="N201" s="23"/>
      <c r="O201" s="23"/>
      <c r="P201" s="23"/>
      <c r="Q201" s="23"/>
      <c r="R201" s="23"/>
      <c r="S201" s="23"/>
      <c r="T201" s="23"/>
      <c r="U201" s="23"/>
      <c r="V201" s="23"/>
      <c r="W201" s="23"/>
      <c r="X201" s="23"/>
    </row>
    <row r="202" spans="1:24" ht="12.75" customHeight="1">
      <c r="A202" s="33">
        <v>21130701</v>
      </c>
      <c r="B202" s="23" t="s">
        <v>495</v>
      </c>
      <c r="C202" s="24">
        <v>3821000</v>
      </c>
      <c r="D202" s="4"/>
      <c r="E202" s="168"/>
      <c r="F202" s="45"/>
      <c r="G202" s="45"/>
      <c r="H202" s="45"/>
      <c r="I202" s="45"/>
      <c r="J202" s="45"/>
      <c r="K202" s="45"/>
      <c r="L202" s="45"/>
      <c r="M202" s="45"/>
      <c r="N202" s="45"/>
      <c r="O202" s="45"/>
      <c r="P202" s="45"/>
      <c r="Q202" s="45"/>
      <c r="R202" s="45"/>
      <c r="S202" s="45"/>
      <c r="T202" s="45"/>
      <c r="U202" s="45"/>
      <c r="V202" s="45"/>
      <c r="W202" s="45"/>
      <c r="X202" s="45"/>
    </row>
    <row r="203" spans="1:24" ht="14.25" customHeight="1">
      <c r="A203" s="48">
        <v>211308</v>
      </c>
      <c r="B203" s="26" t="s">
        <v>559</v>
      </c>
      <c r="C203" s="26">
        <f>C204</f>
        <v>125000</v>
      </c>
      <c r="D203" s="3"/>
      <c r="E203" s="24"/>
      <c r="F203" s="4"/>
      <c r="G203" s="4"/>
      <c r="H203" s="4"/>
      <c r="I203" s="4"/>
      <c r="J203" s="4"/>
      <c r="K203" s="4"/>
      <c r="L203" s="4"/>
      <c r="M203" s="4"/>
      <c r="N203" s="4"/>
      <c r="O203" s="4"/>
      <c r="P203" s="4"/>
      <c r="Q203" s="4"/>
      <c r="R203" s="4"/>
      <c r="S203" s="4"/>
      <c r="T203" s="4"/>
      <c r="U203" s="4"/>
      <c r="V203" s="4"/>
      <c r="W203" s="4"/>
      <c r="X203" s="4"/>
    </row>
    <row r="204" spans="1:24" ht="13.5" customHeight="1">
      <c r="A204" s="33">
        <v>21130801</v>
      </c>
      <c r="B204" s="23" t="s">
        <v>612</v>
      </c>
      <c r="C204" s="24">
        <v>125000</v>
      </c>
      <c r="D204" s="3"/>
      <c r="E204" s="24"/>
      <c r="F204" s="4"/>
      <c r="G204" s="4"/>
      <c r="H204" s="4"/>
      <c r="I204" s="4"/>
      <c r="J204" s="4"/>
      <c r="K204" s="4"/>
      <c r="L204" s="4"/>
      <c r="M204" s="4"/>
      <c r="N204" s="4"/>
      <c r="O204" s="4"/>
      <c r="P204" s="4"/>
      <c r="Q204" s="4"/>
      <c r="R204" s="4"/>
      <c r="S204" s="4"/>
      <c r="T204" s="4"/>
      <c r="U204" s="4"/>
      <c r="V204" s="4"/>
      <c r="W204" s="4"/>
      <c r="X204" s="4"/>
    </row>
    <row r="205" spans="1:24" ht="12.75" customHeight="1">
      <c r="A205" s="48">
        <v>211309</v>
      </c>
      <c r="B205" s="26" t="s">
        <v>496</v>
      </c>
      <c r="C205" s="26">
        <f>+SUM(C206:C209)</f>
        <v>18653500</v>
      </c>
      <c r="D205" s="183"/>
      <c r="E205" s="180"/>
      <c r="F205" s="45"/>
      <c r="G205" s="45"/>
      <c r="H205" s="45"/>
      <c r="I205" s="45"/>
      <c r="J205" s="45"/>
      <c r="K205" s="45"/>
      <c r="L205" s="45"/>
      <c r="M205" s="45"/>
      <c r="N205" s="45"/>
      <c r="O205" s="45"/>
      <c r="P205" s="45"/>
      <c r="Q205" s="45"/>
      <c r="R205" s="45"/>
      <c r="S205" s="45"/>
      <c r="T205" s="45"/>
      <c r="U205" s="45"/>
      <c r="V205" s="45"/>
      <c r="W205" s="45"/>
      <c r="X205" s="45"/>
    </row>
    <row r="206" spans="1:24" ht="12.75" customHeight="1">
      <c r="A206" s="33">
        <v>21130901</v>
      </c>
      <c r="B206" s="24" t="s">
        <v>497</v>
      </c>
      <c r="C206" s="51">
        <v>2335500</v>
      </c>
      <c r="D206" s="4"/>
      <c r="E206" s="182"/>
      <c r="F206" s="23"/>
      <c r="G206" s="23"/>
      <c r="H206" s="23"/>
      <c r="I206" s="23"/>
      <c r="J206" s="23"/>
      <c r="K206" s="23"/>
      <c r="L206" s="23"/>
      <c r="M206" s="23"/>
      <c r="N206" s="23"/>
      <c r="O206" s="23"/>
      <c r="P206" s="23"/>
      <c r="Q206" s="23"/>
      <c r="R206" s="23"/>
      <c r="S206" s="23"/>
      <c r="T206" s="23"/>
      <c r="U206" s="23"/>
      <c r="V206" s="23"/>
      <c r="W206" s="23"/>
      <c r="X206" s="23"/>
    </row>
    <row r="207" spans="1:24" ht="12.75" customHeight="1">
      <c r="A207" s="33">
        <v>21130903</v>
      </c>
      <c r="B207" s="24" t="s">
        <v>498</v>
      </c>
      <c r="C207" s="24">
        <v>218000</v>
      </c>
      <c r="D207" s="184"/>
      <c r="E207" s="89"/>
      <c r="F207" s="23"/>
      <c r="G207" s="23"/>
      <c r="H207" s="23"/>
      <c r="I207" s="23"/>
      <c r="J207" s="23"/>
      <c r="K207" s="23"/>
      <c r="L207" s="23"/>
      <c r="M207" s="23"/>
      <c r="N207" s="23"/>
      <c r="O207" s="23"/>
      <c r="P207" s="23"/>
      <c r="Q207" s="23"/>
      <c r="R207" s="23"/>
      <c r="S207" s="23"/>
      <c r="T207" s="23"/>
      <c r="U207" s="23"/>
      <c r="V207" s="23"/>
      <c r="W207" s="23"/>
      <c r="X207" s="23"/>
    </row>
    <row r="208" spans="1:24" ht="12.75" customHeight="1">
      <c r="A208" s="33">
        <v>21130906</v>
      </c>
      <c r="B208" s="23" t="s">
        <v>499</v>
      </c>
      <c r="C208" s="51">
        <v>1600000</v>
      </c>
      <c r="D208" s="3"/>
      <c r="E208" s="24"/>
      <c r="F208" s="4"/>
      <c r="G208" s="4"/>
      <c r="H208" s="4"/>
      <c r="I208" s="4"/>
      <c r="J208" s="4"/>
      <c r="K208" s="4"/>
      <c r="L208" s="4"/>
      <c r="M208" s="4"/>
      <c r="N208" s="4"/>
      <c r="O208" s="4"/>
      <c r="P208" s="4"/>
      <c r="Q208" s="4"/>
      <c r="R208" s="4"/>
      <c r="S208" s="4"/>
      <c r="T208" s="4"/>
      <c r="U208" s="4"/>
      <c r="V208" s="4"/>
      <c r="W208" s="4"/>
      <c r="X208" s="4"/>
    </row>
    <row r="209" spans="1:24" ht="12.75" customHeight="1">
      <c r="A209" s="33">
        <v>21130908</v>
      </c>
      <c r="B209" s="24" t="s">
        <v>500</v>
      </c>
      <c r="C209" s="25">
        <v>14500000</v>
      </c>
      <c r="D209" s="184"/>
      <c r="E209" s="185"/>
      <c r="F209" s="45"/>
      <c r="G209" s="45"/>
      <c r="H209" s="45"/>
      <c r="I209" s="45"/>
      <c r="J209" s="45"/>
      <c r="K209" s="45"/>
      <c r="L209" s="45"/>
      <c r="M209" s="45"/>
      <c r="N209" s="45"/>
      <c r="O209" s="45"/>
      <c r="P209" s="45"/>
      <c r="Q209" s="45"/>
      <c r="R209" s="45"/>
      <c r="S209" s="45"/>
      <c r="T209" s="45"/>
      <c r="U209" s="45"/>
      <c r="V209" s="45"/>
      <c r="W209" s="45"/>
      <c r="X209" s="45"/>
    </row>
    <row r="210" spans="1:24" ht="12.75" customHeight="1" thickBot="1">
      <c r="A210" s="33"/>
      <c r="B210" s="23"/>
      <c r="C210" s="32"/>
      <c r="D210" s="184"/>
      <c r="E210" s="34"/>
      <c r="F210" s="45"/>
      <c r="G210" s="45"/>
      <c r="H210" s="45"/>
      <c r="I210" s="45"/>
      <c r="J210" s="45"/>
      <c r="K210" s="45"/>
      <c r="L210" s="45"/>
      <c r="M210" s="45"/>
      <c r="N210" s="45"/>
      <c r="O210" s="45"/>
      <c r="P210" s="45"/>
      <c r="Q210" s="45"/>
      <c r="R210" s="45"/>
      <c r="S210" s="45"/>
      <c r="T210" s="45"/>
      <c r="U210" s="45"/>
      <c r="V210" s="45"/>
      <c r="W210" s="45"/>
      <c r="X210" s="45"/>
    </row>
    <row r="211" spans="1:24" ht="12.75" customHeight="1" thickBot="1">
      <c r="A211" s="1299" t="s">
        <v>48</v>
      </c>
      <c r="B211" s="1281"/>
      <c r="C211" s="65">
        <f>+C212+C216</f>
        <v>3685000</v>
      </c>
      <c r="D211" s="184"/>
      <c r="E211" s="34"/>
      <c r="F211" s="45"/>
      <c r="G211" s="45"/>
      <c r="H211" s="45"/>
      <c r="I211" s="45"/>
      <c r="J211" s="45"/>
      <c r="K211" s="45"/>
      <c r="L211" s="45"/>
      <c r="M211" s="45"/>
      <c r="N211" s="45"/>
      <c r="O211" s="45"/>
      <c r="P211" s="45"/>
      <c r="Q211" s="45"/>
      <c r="R211" s="45"/>
      <c r="S211" s="45"/>
      <c r="T211" s="45"/>
      <c r="U211" s="45"/>
      <c r="V211" s="45"/>
      <c r="W211" s="45"/>
      <c r="X211" s="45"/>
    </row>
    <row r="212" spans="1:24" ht="12.75" customHeight="1">
      <c r="A212" s="48">
        <v>221104</v>
      </c>
      <c r="B212" s="21" t="s">
        <v>510</v>
      </c>
      <c r="C212" s="26">
        <f>SUM(C213:C215)</f>
        <v>3655000</v>
      </c>
      <c r="D212" s="23"/>
      <c r="E212" s="33"/>
      <c r="F212" s="23"/>
      <c r="G212" s="23"/>
      <c r="H212" s="23"/>
      <c r="I212" s="23"/>
      <c r="J212" s="23"/>
      <c r="K212" s="23"/>
      <c r="L212" s="23"/>
      <c r="M212" s="23"/>
      <c r="N212" s="23"/>
      <c r="O212" s="23"/>
      <c r="P212" s="23"/>
      <c r="Q212" s="23"/>
      <c r="R212" s="23"/>
      <c r="S212" s="23"/>
      <c r="T212" s="23"/>
      <c r="U212" s="23"/>
      <c r="V212" s="23"/>
      <c r="W212" s="23"/>
      <c r="X212" s="23"/>
    </row>
    <row r="213" spans="1:24" ht="12.75" customHeight="1">
      <c r="A213" s="33">
        <v>22110401</v>
      </c>
      <c r="B213" s="23" t="s">
        <v>511</v>
      </c>
      <c r="C213" s="24">
        <f>200000+3375000</f>
        <v>3575000</v>
      </c>
      <c r="D213" s="23"/>
      <c r="E213" s="24"/>
      <c r="F213" s="45"/>
      <c r="G213" s="45"/>
      <c r="H213" s="45"/>
      <c r="I213" s="45"/>
      <c r="J213" s="45"/>
      <c r="K213" s="45"/>
      <c r="L213" s="45"/>
      <c r="M213" s="45"/>
      <c r="N213" s="45"/>
      <c r="O213" s="45"/>
      <c r="P213" s="45"/>
      <c r="Q213" s="45"/>
      <c r="R213" s="45"/>
      <c r="S213" s="45"/>
      <c r="T213" s="45"/>
      <c r="U213" s="45"/>
      <c r="V213" s="45"/>
      <c r="W213" s="45"/>
      <c r="X213" s="45"/>
    </row>
    <row r="214" spans="1:24" ht="12.75" customHeight="1">
      <c r="A214" s="33">
        <v>22110404</v>
      </c>
      <c r="B214" s="23" t="s">
        <v>512</v>
      </c>
      <c r="C214" s="24">
        <v>40000</v>
      </c>
      <c r="D214" s="4"/>
      <c r="E214" s="34"/>
      <c r="F214" s="4"/>
      <c r="G214" s="4"/>
      <c r="H214" s="4"/>
      <c r="I214" s="4"/>
      <c r="J214" s="4"/>
      <c r="K214" s="4"/>
      <c r="L214" s="4"/>
      <c r="M214" s="4"/>
      <c r="N214" s="4"/>
      <c r="O214" s="4"/>
      <c r="P214" s="4"/>
      <c r="Q214" s="4"/>
      <c r="R214" s="4"/>
      <c r="S214" s="4"/>
      <c r="T214" s="4"/>
      <c r="U214" s="4"/>
      <c r="V214" s="4"/>
      <c r="W214" s="4"/>
      <c r="X214" s="4"/>
    </row>
    <row r="215" spans="1:24" ht="13.5" customHeight="1">
      <c r="A215" s="33">
        <v>22110409</v>
      </c>
      <c r="B215" s="24" t="s">
        <v>513</v>
      </c>
      <c r="C215" s="24">
        <v>40000</v>
      </c>
      <c r="D215" s="40"/>
      <c r="E215" s="14"/>
      <c r="F215" s="13"/>
      <c r="G215" s="13"/>
      <c r="H215" s="13"/>
      <c r="I215" s="13"/>
      <c r="J215" s="13"/>
      <c r="K215" s="13"/>
      <c r="L215" s="13"/>
      <c r="M215" s="13"/>
      <c r="N215" s="13"/>
      <c r="O215" s="13"/>
      <c r="P215" s="13"/>
      <c r="Q215" s="13"/>
      <c r="R215" s="13"/>
      <c r="S215" s="13"/>
      <c r="T215" s="13"/>
      <c r="U215" s="13"/>
      <c r="V215" s="13"/>
      <c r="W215" s="13"/>
      <c r="X215" s="13"/>
    </row>
    <row r="216" spans="1:24" ht="12.75" customHeight="1">
      <c r="A216" s="48">
        <v>221107</v>
      </c>
      <c r="B216" s="26" t="s">
        <v>514</v>
      </c>
      <c r="C216" s="26">
        <f>SUM(C217)</f>
        <v>30000</v>
      </c>
      <c r="D216" s="23"/>
      <c r="E216" s="33"/>
      <c r="F216" s="45"/>
      <c r="G216" s="45"/>
      <c r="H216" s="45"/>
      <c r="I216" s="45"/>
      <c r="J216" s="45"/>
      <c r="K216" s="45"/>
      <c r="L216" s="45"/>
      <c r="M216" s="45"/>
      <c r="N216" s="45"/>
      <c r="O216" s="45"/>
      <c r="P216" s="45"/>
      <c r="Q216" s="45"/>
      <c r="R216" s="45"/>
      <c r="S216" s="45"/>
      <c r="T216" s="45"/>
      <c r="U216" s="45"/>
      <c r="V216" s="45"/>
      <c r="W216" s="45"/>
      <c r="X216" s="45"/>
    </row>
    <row r="217" spans="1:24" ht="12.75" customHeight="1">
      <c r="A217" s="33">
        <v>22110702</v>
      </c>
      <c r="B217" s="24" t="s">
        <v>515</v>
      </c>
      <c r="C217" s="24">
        <v>30000</v>
      </c>
      <c r="D217" s="4"/>
      <c r="E217" s="34"/>
      <c r="F217" s="4"/>
      <c r="G217" s="4"/>
      <c r="H217" s="4"/>
      <c r="I217" s="4"/>
      <c r="J217" s="4"/>
      <c r="K217" s="4"/>
      <c r="L217" s="4"/>
      <c r="M217" s="4"/>
      <c r="N217" s="4"/>
      <c r="O217" s="4"/>
      <c r="P217" s="4"/>
      <c r="Q217" s="4"/>
      <c r="R217" s="4"/>
      <c r="S217" s="4"/>
      <c r="T217" s="4"/>
      <c r="U217" s="4"/>
      <c r="V217" s="4"/>
      <c r="W217" s="4"/>
      <c r="X217" s="4"/>
    </row>
    <row r="218" spans="1:24" ht="12.75" customHeight="1">
      <c r="A218" s="23"/>
      <c r="B218" s="24"/>
      <c r="C218" s="24"/>
      <c r="D218" s="4"/>
      <c r="E218" s="34"/>
      <c r="F218" s="4"/>
      <c r="G218" s="4"/>
      <c r="H218" s="4"/>
      <c r="I218" s="4"/>
      <c r="J218" s="4"/>
      <c r="K218" s="4"/>
      <c r="L218" s="4"/>
      <c r="M218" s="4"/>
      <c r="N218" s="4"/>
      <c r="O218" s="4"/>
      <c r="P218" s="4"/>
      <c r="Q218" s="4"/>
      <c r="R218" s="4"/>
      <c r="S218" s="4"/>
      <c r="T218" s="4"/>
      <c r="U218" s="4"/>
      <c r="V218" s="4"/>
      <c r="W218" s="4"/>
      <c r="X218" s="4"/>
    </row>
    <row r="219" spans="1:24" ht="12.75" customHeight="1" thickBot="1">
      <c r="A219" s="23"/>
      <c r="B219" s="24"/>
      <c r="C219" s="24"/>
      <c r="D219" s="4"/>
      <c r="E219" s="34"/>
      <c r="F219" s="4"/>
      <c r="G219" s="4"/>
      <c r="H219" s="4"/>
      <c r="I219" s="4"/>
      <c r="J219" s="4"/>
      <c r="K219" s="4"/>
      <c r="L219" s="4"/>
      <c r="M219" s="4"/>
      <c r="N219" s="4"/>
      <c r="O219" s="4"/>
      <c r="P219" s="4"/>
      <c r="Q219" s="4"/>
      <c r="R219" s="4"/>
      <c r="S219" s="4"/>
      <c r="T219" s="4"/>
      <c r="U219" s="4"/>
      <c r="V219" s="4"/>
      <c r="W219" s="4"/>
      <c r="X219" s="4"/>
    </row>
    <row r="220" spans="1:24" ht="12.75" customHeight="1">
      <c r="A220" s="1379" t="s">
        <v>959</v>
      </c>
      <c r="B220" s="1502"/>
      <c r="C220" s="1161" t="s">
        <v>778</v>
      </c>
      <c r="D220" s="4"/>
      <c r="E220" s="34"/>
      <c r="F220" s="4"/>
      <c r="G220" s="4"/>
      <c r="H220" s="4"/>
      <c r="I220" s="4"/>
      <c r="J220" s="4"/>
      <c r="K220" s="4"/>
      <c r="L220" s="4"/>
      <c r="M220" s="4"/>
      <c r="N220" s="4"/>
      <c r="O220" s="4"/>
      <c r="P220" s="4"/>
      <c r="Q220" s="4"/>
      <c r="R220" s="4"/>
      <c r="S220" s="4"/>
      <c r="T220" s="4"/>
      <c r="U220" s="4"/>
      <c r="V220" s="4"/>
      <c r="W220" s="4"/>
      <c r="X220" s="4"/>
    </row>
    <row r="221" spans="1:24" ht="12.75" customHeight="1" thickBot="1">
      <c r="A221" s="1381"/>
      <c r="B221" s="1503"/>
      <c r="C221" s="1491"/>
      <c r="D221" s="4"/>
      <c r="E221" s="34"/>
      <c r="F221" s="4"/>
      <c r="G221" s="4"/>
      <c r="H221" s="4"/>
      <c r="I221" s="4"/>
      <c r="J221" s="4"/>
      <c r="K221" s="4"/>
      <c r="L221" s="4"/>
      <c r="M221" s="4"/>
      <c r="N221" s="4"/>
      <c r="O221" s="4"/>
      <c r="P221" s="4"/>
      <c r="Q221" s="4"/>
      <c r="R221" s="4"/>
      <c r="S221" s="4"/>
      <c r="T221" s="4"/>
      <c r="U221" s="4"/>
      <c r="V221" s="4"/>
      <c r="W221" s="4"/>
      <c r="X221" s="4"/>
    </row>
    <row r="222" spans="1:24" ht="12.75" customHeight="1">
      <c r="A222" s="1028" t="s">
        <v>675</v>
      </c>
      <c r="B222" s="808"/>
      <c r="C222" s="1029"/>
      <c r="D222" s="4"/>
      <c r="E222" s="4"/>
      <c r="F222" s="4"/>
      <c r="G222" s="4"/>
      <c r="H222" s="4"/>
      <c r="I222" s="4"/>
      <c r="J222" s="4"/>
      <c r="K222" s="4"/>
      <c r="L222" s="4"/>
      <c r="M222" s="4"/>
      <c r="N222" s="4"/>
      <c r="O222" s="4"/>
      <c r="P222" s="4"/>
      <c r="Q222" s="4"/>
      <c r="R222" s="4"/>
      <c r="S222" s="4"/>
      <c r="T222" s="4"/>
      <c r="U222" s="4"/>
      <c r="V222" s="4"/>
      <c r="W222" s="4"/>
      <c r="X222" s="4"/>
    </row>
    <row r="223" spans="1:24" ht="12.75" customHeight="1">
      <c r="A223" s="1028" t="s">
        <v>742</v>
      </c>
      <c r="B223" s="808"/>
      <c r="C223" s="1029"/>
      <c r="D223" s="4"/>
      <c r="E223" s="4"/>
      <c r="F223" s="4"/>
      <c r="G223" s="4"/>
      <c r="H223" s="4"/>
      <c r="I223" s="4"/>
      <c r="J223" s="4"/>
      <c r="K223" s="4"/>
      <c r="L223" s="4"/>
      <c r="M223" s="4"/>
      <c r="N223" s="4"/>
      <c r="O223" s="4"/>
      <c r="P223" s="4"/>
      <c r="Q223" s="4"/>
      <c r="R223" s="4"/>
      <c r="S223" s="4"/>
      <c r="T223" s="4"/>
      <c r="U223" s="4"/>
      <c r="V223" s="4"/>
      <c r="W223" s="4"/>
      <c r="X223" s="4"/>
    </row>
    <row r="224" spans="1:24" ht="13.5" customHeight="1">
      <c r="A224" s="1028" t="s">
        <v>713</v>
      </c>
      <c r="B224" s="808"/>
      <c r="C224" s="1029"/>
      <c r="D224" s="4"/>
      <c r="E224" s="4"/>
      <c r="F224" s="4"/>
      <c r="G224" s="4"/>
      <c r="H224" s="4"/>
      <c r="I224" s="4"/>
      <c r="J224" s="4"/>
      <c r="K224" s="4"/>
      <c r="L224" s="4"/>
      <c r="M224" s="4"/>
      <c r="N224" s="4"/>
      <c r="O224" s="23"/>
      <c r="P224" s="23"/>
      <c r="Q224" s="23"/>
      <c r="R224" s="23"/>
      <c r="S224" s="23"/>
      <c r="T224" s="23"/>
      <c r="U224" s="23"/>
      <c r="V224" s="23"/>
      <c r="W224" s="23"/>
      <c r="X224" s="23"/>
    </row>
    <row r="225" spans="1:24" ht="12.75" customHeight="1" thickBot="1">
      <c r="A225" s="1125" t="s">
        <v>0</v>
      </c>
      <c r="B225" s="808"/>
      <c r="C225" s="1029"/>
      <c r="D225" s="4"/>
      <c r="E225" s="4"/>
      <c r="F225" s="4"/>
      <c r="G225" s="4"/>
      <c r="H225" s="4"/>
      <c r="I225" s="4"/>
      <c r="J225" s="4"/>
      <c r="K225" s="4"/>
      <c r="L225" s="4"/>
      <c r="M225" s="4"/>
      <c r="N225" s="4"/>
      <c r="O225" s="4"/>
      <c r="P225" s="4"/>
      <c r="Q225" s="4"/>
      <c r="R225" s="4"/>
      <c r="S225" s="4"/>
      <c r="T225" s="4"/>
      <c r="U225" s="4"/>
      <c r="V225" s="4"/>
      <c r="W225" s="4"/>
      <c r="X225" s="4"/>
    </row>
    <row r="226" spans="1:24" ht="12.75" customHeight="1" thickBot="1">
      <c r="A226" s="1171" t="s">
        <v>1</v>
      </c>
      <c r="B226" s="1186"/>
      <c r="C226" s="1156">
        <f>(C228+C248+C264)</f>
        <v>26697734.379999999</v>
      </c>
      <c r="D226" s="4"/>
      <c r="E226" s="4"/>
      <c r="F226" s="4"/>
      <c r="G226" s="4"/>
      <c r="H226" s="4"/>
      <c r="I226" s="4"/>
      <c r="J226" s="4"/>
      <c r="K226" s="4"/>
      <c r="L226" s="4"/>
      <c r="M226" s="4"/>
      <c r="N226" s="4"/>
      <c r="O226" s="4"/>
      <c r="P226" s="4"/>
      <c r="Q226" s="4"/>
      <c r="R226" s="4"/>
      <c r="S226" s="4"/>
      <c r="T226" s="4"/>
      <c r="U226" s="4"/>
      <c r="V226" s="4"/>
      <c r="W226" s="4"/>
      <c r="X226" s="4"/>
    </row>
    <row r="227" spans="1:24" ht="12.75" customHeight="1" thickBot="1">
      <c r="A227" s="21"/>
      <c r="B227" s="21"/>
      <c r="C227" s="26"/>
      <c r="D227" s="61"/>
      <c r="E227" s="34"/>
      <c r="F227" s="4"/>
      <c r="G227" s="4"/>
      <c r="H227" s="4"/>
      <c r="I227" s="4"/>
      <c r="J227" s="4"/>
      <c r="K227" s="4"/>
      <c r="L227" s="4"/>
      <c r="M227" s="4"/>
      <c r="N227" s="4"/>
      <c r="O227" s="4"/>
      <c r="P227" s="4"/>
      <c r="Q227" s="4"/>
      <c r="R227" s="4"/>
      <c r="S227" s="4"/>
      <c r="T227" s="4"/>
      <c r="U227" s="4"/>
      <c r="V227" s="4"/>
      <c r="W227" s="4"/>
      <c r="X227" s="4"/>
    </row>
    <row r="228" spans="1:24" ht="12.75" customHeight="1" thickBot="1">
      <c r="A228" s="1297" t="s">
        <v>9</v>
      </c>
      <c r="B228" s="1281"/>
      <c r="C228" s="62">
        <f>+C231+C233+C235+C241+C244+C229</f>
        <v>5139532.41</v>
      </c>
      <c r="D228" s="61"/>
      <c r="E228" s="34"/>
      <c r="F228" s="4"/>
      <c r="G228" s="4"/>
      <c r="H228" s="4"/>
      <c r="I228" s="4"/>
      <c r="J228" s="4"/>
      <c r="K228" s="4"/>
      <c r="L228" s="4"/>
      <c r="M228" s="4"/>
      <c r="N228" s="4"/>
      <c r="O228" s="4"/>
      <c r="P228" s="4"/>
      <c r="Q228" s="4"/>
      <c r="R228" s="4"/>
      <c r="S228" s="4"/>
      <c r="T228" s="4"/>
      <c r="U228" s="4"/>
      <c r="V228" s="4"/>
      <c r="W228" s="4"/>
      <c r="X228" s="4"/>
    </row>
    <row r="229" spans="1:24" ht="13.5" customHeight="1">
      <c r="A229" s="48">
        <v>211201</v>
      </c>
      <c r="B229" s="48" t="s">
        <v>459</v>
      </c>
      <c r="C229" s="49">
        <f>SUM(C230)</f>
        <v>586000</v>
      </c>
      <c r="D229" s="61"/>
      <c r="E229" s="34"/>
      <c r="F229" s="33"/>
      <c r="G229" s="33"/>
      <c r="H229" s="33"/>
      <c r="I229" s="33"/>
      <c r="J229" s="33"/>
      <c r="K229" s="33"/>
      <c r="L229" s="33"/>
      <c r="M229" s="33"/>
      <c r="N229" s="33"/>
      <c r="O229" s="33"/>
      <c r="P229" s="33"/>
      <c r="Q229" s="33"/>
      <c r="R229" s="33"/>
      <c r="S229" s="33"/>
      <c r="T229" s="33"/>
      <c r="U229" s="33"/>
      <c r="V229" s="33"/>
      <c r="W229" s="33"/>
      <c r="X229" s="33"/>
    </row>
    <row r="230" spans="1:24" ht="13.5" customHeight="1">
      <c r="A230" s="33">
        <v>21120101</v>
      </c>
      <c r="B230" s="23" t="s">
        <v>460</v>
      </c>
      <c r="C230" s="24">
        <v>586000</v>
      </c>
      <c r="D230" s="32"/>
      <c r="E230" s="32"/>
      <c r="F230" s="23"/>
      <c r="G230" s="23"/>
      <c r="H230" s="23"/>
      <c r="I230" s="23"/>
      <c r="J230" s="23"/>
      <c r="K230" s="23"/>
      <c r="L230" s="23"/>
      <c r="M230" s="23"/>
      <c r="N230" s="23"/>
      <c r="O230" s="23"/>
      <c r="P230" s="23"/>
      <c r="Q230" s="23"/>
      <c r="R230" s="23"/>
      <c r="S230" s="23"/>
      <c r="T230" s="23"/>
      <c r="U230" s="23"/>
      <c r="V230" s="23"/>
      <c r="W230" s="23"/>
      <c r="X230" s="23"/>
    </row>
    <row r="231" spans="1:24" ht="12.75" customHeight="1">
      <c r="A231" s="48">
        <v>211203</v>
      </c>
      <c r="B231" s="21" t="s">
        <v>461</v>
      </c>
      <c r="C231" s="26">
        <f>C232</f>
        <v>144500</v>
      </c>
      <c r="D231" s="61"/>
      <c r="E231" s="3"/>
      <c r="F231" s="4"/>
      <c r="G231" s="4"/>
      <c r="H231" s="4"/>
      <c r="I231" s="4"/>
      <c r="J231" s="4"/>
      <c r="K231" s="4"/>
      <c r="L231" s="4"/>
      <c r="M231" s="4"/>
      <c r="N231" s="4"/>
      <c r="O231" s="4"/>
      <c r="P231" s="4"/>
      <c r="Q231" s="4"/>
      <c r="R231" s="4"/>
      <c r="S231" s="4"/>
      <c r="T231" s="4"/>
      <c r="U231" s="4"/>
      <c r="V231" s="4"/>
      <c r="W231" s="4"/>
      <c r="X231" s="4"/>
    </row>
    <row r="232" spans="1:24" ht="12.75" customHeight="1">
      <c r="A232" s="33">
        <v>21120302</v>
      </c>
      <c r="B232" s="23" t="s">
        <v>462</v>
      </c>
      <c r="C232" s="24">
        <v>144500</v>
      </c>
      <c r="D232" s="4"/>
      <c r="E232" s="3"/>
      <c r="F232" s="4"/>
      <c r="G232" s="4"/>
      <c r="H232" s="4"/>
      <c r="I232" s="4"/>
      <c r="J232" s="4"/>
      <c r="K232" s="4"/>
      <c r="L232" s="4"/>
      <c r="M232" s="4"/>
      <c r="N232" s="4"/>
      <c r="O232" s="4"/>
      <c r="P232" s="4"/>
      <c r="Q232" s="4"/>
      <c r="R232" s="4"/>
      <c r="S232" s="4"/>
      <c r="T232" s="4"/>
      <c r="U232" s="4"/>
      <c r="V232" s="4"/>
      <c r="W232" s="4"/>
      <c r="X232" s="4"/>
    </row>
    <row r="233" spans="1:24" ht="12.75" customHeight="1">
      <c r="A233" s="48">
        <v>211204</v>
      </c>
      <c r="B233" s="21" t="s">
        <v>463</v>
      </c>
      <c r="C233" s="26">
        <f>C234</f>
        <v>3633532.41</v>
      </c>
      <c r="D233" s="4"/>
      <c r="E233" s="3"/>
      <c r="F233" s="4"/>
      <c r="G233" s="4"/>
      <c r="H233" s="4"/>
      <c r="I233" s="4"/>
      <c r="J233" s="4"/>
      <c r="K233" s="4"/>
      <c r="L233" s="4"/>
      <c r="M233" s="4"/>
      <c r="N233" s="4"/>
      <c r="O233" s="4"/>
      <c r="P233" s="4"/>
      <c r="Q233" s="4"/>
      <c r="R233" s="4"/>
      <c r="S233" s="4"/>
      <c r="T233" s="4"/>
      <c r="U233" s="4"/>
      <c r="V233" s="4"/>
      <c r="W233" s="4"/>
      <c r="X233" s="4"/>
    </row>
    <row r="234" spans="1:24" ht="12.75" customHeight="1">
      <c r="A234" s="33">
        <v>21120401</v>
      </c>
      <c r="B234" s="24" t="s">
        <v>464</v>
      </c>
      <c r="C234" s="24">
        <f>2830000+1803532.41-1000000</f>
        <v>3633532.41</v>
      </c>
      <c r="D234" s="4"/>
      <c r="E234" s="3"/>
      <c r="F234" s="4"/>
      <c r="G234" s="4"/>
      <c r="H234" s="4"/>
      <c r="I234" s="4"/>
      <c r="J234" s="4"/>
      <c r="K234" s="4"/>
      <c r="L234" s="4"/>
      <c r="M234" s="4"/>
      <c r="N234" s="4"/>
      <c r="O234" s="4"/>
      <c r="P234" s="4"/>
      <c r="Q234" s="4"/>
      <c r="R234" s="4"/>
      <c r="S234" s="4"/>
      <c r="T234" s="4"/>
      <c r="U234" s="4"/>
      <c r="V234" s="4"/>
      <c r="W234" s="4"/>
      <c r="X234" s="4"/>
    </row>
    <row r="235" spans="1:24" ht="12.75" customHeight="1">
      <c r="A235" s="48">
        <v>211207</v>
      </c>
      <c r="B235" s="26" t="s">
        <v>467</v>
      </c>
      <c r="C235" s="26">
        <f>+SUM(C236:C240)</f>
        <v>336000</v>
      </c>
      <c r="D235" s="4"/>
      <c r="E235" s="3"/>
      <c r="F235" s="4"/>
      <c r="G235" s="4"/>
      <c r="H235" s="4"/>
      <c r="I235" s="4"/>
      <c r="J235" s="4"/>
      <c r="K235" s="4"/>
      <c r="L235" s="4"/>
      <c r="M235" s="4"/>
      <c r="N235" s="4"/>
      <c r="O235" s="4"/>
      <c r="P235" s="4"/>
      <c r="Q235" s="4"/>
      <c r="R235" s="4"/>
      <c r="S235" s="4"/>
      <c r="T235" s="4"/>
      <c r="U235" s="4"/>
      <c r="V235" s="4"/>
      <c r="W235" s="4"/>
      <c r="X235" s="4"/>
    </row>
    <row r="236" spans="1:24" ht="12.75" customHeight="1">
      <c r="A236" s="33">
        <v>21120702</v>
      </c>
      <c r="B236" s="32" t="s">
        <v>468</v>
      </c>
      <c r="C236" s="24">
        <f>130000</f>
        <v>130000</v>
      </c>
      <c r="D236" s="4"/>
      <c r="E236" s="34"/>
      <c r="F236" s="4"/>
      <c r="G236" s="4"/>
      <c r="H236" s="4"/>
      <c r="I236" s="4"/>
      <c r="J236" s="4"/>
      <c r="K236" s="4"/>
      <c r="L236" s="4"/>
      <c r="M236" s="4"/>
      <c r="N236" s="4"/>
      <c r="O236" s="4"/>
      <c r="P236" s="4"/>
      <c r="Q236" s="4"/>
      <c r="R236" s="4"/>
      <c r="S236" s="4"/>
      <c r="T236" s="4"/>
      <c r="U236" s="4"/>
      <c r="V236" s="4"/>
      <c r="W236" s="4"/>
      <c r="X236" s="4"/>
    </row>
    <row r="237" spans="1:24" ht="12.75" customHeight="1">
      <c r="A237" s="33">
        <v>21120708</v>
      </c>
      <c r="B237" s="13" t="s">
        <v>470</v>
      </c>
      <c r="C237" s="24">
        <v>36000</v>
      </c>
      <c r="D237" s="4"/>
      <c r="E237" s="34"/>
      <c r="F237" s="4"/>
      <c r="G237" s="4"/>
      <c r="H237" s="4"/>
      <c r="I237" s="4"/>
      <c r="J237" s="4"/>
      <c r="K237" s="4"/>
      <c r="L237" s="4"/>
      <c r="M237" s="4"/>
      <c r="N237" s="4"/>
      <c r="O237" s="4"/>
      <c r="P237" s="4"/>
      <c r="Q237" s="4"/>
      <c r="R237" s="4"/>
      <c r="S237" s="4"/>
      <c r="T237" s="4"/>
      <c r="U237" s="4"/>
      <c r="V237" s="4"/>
      <c r="W237" s="4"/>
      <c r="X237" s="4"/>
    </row>
    <row r="238" spans="1:24" ht="12.75" customHeight="1">
      <c r="A238" s="33">
        <v>21120709</v>
      </c>
      <c r="B238" s="24" t="s">
        <v>471</v>
      </c>
      <c r="C238" s="24">
        <v>50000</v>
      </c>
      <c r="D238" s="8"/>
      <c r="E238" s="8"/>
      <c r="F238" s="8"/>
      <c r="G238" s="8"/>
      <c r="H238" s="8"/>
      <c r="I238" s="8"/>
      <c r="J238" s="8"/>
      <c r="K238" s="8"/>
      <c r="L238" s="8"/>
      <c r="M238" s="8"/>
      <c r="N238" s="8"/>
      <c r="O238" s="8"/>
      <c r="P238" s="8"/>
      <c r="Q238" s="8"/>
      <c r="R238" s="8"/>
      <c r="S238" s="8"/>
      <c r="T238" s="8"/>
      <c r="U238" s="8"/>
      <c r="V238" s="8"/>
      <c r="W238" s="8"/>
      <c r="X238" s="8"/>
    </row>
    <row r="239" spans="1:24" ht="12.75" customHeight="1">
      <c r="A239" s="33">
        <v>21120710</v>
      </c>
      <c r="B239" s="24" t="s">
        <v>472</v>
      </c>
      <c r="C239" s="24">
        <v>50000</v>
      </c>
      <c r="D239" s="8"/>
      <c r="E239" s="8"/>
      <c r="F239" s="8"/>
      <c r="G239" s="8"/>
      <c r="H239" s="8"/>
      <c r="I239" s="8"/>
      <c r="J239" s="8"/>
      <c r="K239" s="8"/>
      <c r="L239" s="8"/>
      <c r="M239" s="8"/>
      <c r="N239" s="8"/>
      <c r="O239" s="8"/>
      <c r="P239" s="8"/>
      <c r="Q239" s="8"/>
      <c r="R239" s="8"/>
      <c r="S239" s="8"/>
      <c r="T239" s="8"/>
      <c r="U239" s="8"/>
      <c r="V239" s="8"/>
      <c r="W239" s="8"/>
      <c r="X239" s="8"/>
    </row>
    <row r="240" spans="1:24" ht="12.75" customHeight="1">
      <c r="A240" s="33">
        <v>21120711</v>
      </c>
      <c r="B240" s="24" t="s">
        <v>473</v>
      </c>
      <c r="C240" s="24">
        <v>70000</v>
      </c>
      <c r="D240" s="8"/>
      <c r="E240" s="8"/>
      <c r="F240" s="8"/>
      <c r="G240" s="8"/>
      <c r="H240" s="8"/>
      <c r="I240" s="8"/>
      <c r="J240" s="8"/>
      <c r="K240" s="8"/>
      <c r="L240" s="8"/>
      <c r="M240" s="8"/>
      <c r="N240" s="8"/>
      <c r="O240" s="8"/>
      <c r="P240" s="8"/>
      <c r="Q240" s="8"/>
      <c r="R240" s="8"/>
      <c r="S240" s="8"/>
      <c r="T240" s="8"/>
      <c r="U240" s="8"/>
      <c r="V240" s="8"/>
      <c r="W240" s="8"/>
      <c r="X240" s="8"/>
    </row>
    <row r="241" spans="1:24" ht="12.75" customHeight="1">
      <c r="A241" s="48">
        <v>211208</v>
      </c>
      <c r="B241" s="26" t="s">
        <v>474</v>
      </c>
      <c r="C241" s="26">
        <f>+SUM(C242:C243)</f>
        <v>153500</v>
      </c>
      <c r="D241" s="4"/>
      <c r="E241" s="34"/>
      <c r="F241" s="4"/>
      <c r="G241" s="4"/>
      <c r="H241" s="4"/>
      <c r="I241" s="4"/>
      <c r="J241" s="4"/>
      <c r="K241" s="4"/>
      <c r="L241" s="4"/>
      <c r="M241" s="4"/>
      <c r="N241" s="4"/>
      <c r="O241" s="4"/>
      <c r="P241" s="4"/>
      <c r="Q241" s="4"/>
      <c r="R241" s="4"/>
      <c r="S241" s="4"/>
      <c r="T241" s="4"/>
      <c r="U241" s="4"/>
      <c r="V241" s="4"/>
      <c r="W241" s="4"/>
      <c r="X241" s="4"/>
    </row>
    <row r="242" spans="1:24" ht="12.75" customHeight="1">
      <c r="A242" s="33">
        <v>21120801</v>
      </c>
      <c r="B242" s="13" t="s">
        <v>475</v>
      </c>
      <c r="C242" s="24">
        <v>90000</v>
      </c>
      <c r="D242" s="8"/>
      <c r="E242" s="8"/>
      <c r="F242" s="8"/>
      <c r="G242" s="8"/>
      <c r="H242" s="8"/>
      <c r="I242" s="8"/>
      <c r="J242" s="8"/>
      <c r="K242" s="8"/>
      <c r="L242" s="8"/>
      <c r="M242" s="8"/>
      <c r="N242" s="8"/>
      <c r="O242" s="8"/>
      <c r="P242" s="8"/>
      <c r="Q242" s="8"/>
      <c r="R242" s="8"/>
      <c r="S242" s="8"/>
      <c r="T242" s="8"/>
      <c r="U242" s="8"/>
      <c r="V242" s="8"/>
      <c r="W242" s="8"/>
      <c r="X242" s="8"/>
    </row>
    <row r="243" spans="1:24" ht="12.75" customHeight="1">
      <c r="A243" s="33">
        <v>21120805</v>
      </c>
      <c r="B243" s="24" t="s">
        <v>476</v>
      </c>
      <c r="C243" s="24">
        <v>63500</v>
      </c>
      <c r="D243" s="4"/>
      <c r="E243" s="34"/>
      <c r="F243" s="4"/>
      <c r="G243" s="4"/>
      <c r="H243" s="4"/>
      <c r="I243" s="4"/>
      <c r="J243" s="4"/>
      <c r="K243" s="4"/>
      <c r="L243" s="4"/>
      <c r="M243" s="4"/>
      <c r="N243" s="4"/>
      <c r="O243" s="4"/>
      <c r="P243" s="4"/>
      <c r="Q243" s="4"/>
      <c r="R243" s="4"/>
      <c r="S243" s="4"/>
      <c r="T243" s="4"/>
      <c r="U243" s="4"/>
      <c r="V243" s="4"/>
      <c r="W243" s="4"/>
      <c r="X243" s="4"/>
    </row>
    <row r="244" spans="1:24" ht="12.75" customHeight="1">
      <c r="A244" s="48">
        <v>211209</v>
      </c>
      <c r="B244" s="26" t="s">
        <v>477</v>
      </c>
      <c r="C244" s="26">
        <f>+SUM(C245:C246)</f>
        <v>286000</v>
      </c>
      <c r="D244" s="4"/>
      <c r="E244" s="34"/>
      <c r="F244" s="4"/>
      <c r="G244" s="4"/>
      <c r="H244" s="4"/>
      <c r="I244" s="4"/>
      <c r="J244" s="4"/>
      <c r="K244" s="4"/>
      <c r="L244" s="4"/>
      <c r="M244" s="4"/>
      <c r="N244" s="4"/>
      <c r="O244" s="4"/>
      <c r="P244" s="4"/>
      <c r="Q244" s="4"/>
      <c r="R244" s="4"/>
      <c r="S244" s="4"/>
      <c r="T244" s="4"/>
      <c r="U244" s="4"/>
      <c r="V244" s="4"/>
      <c r="W244" s="4"/>
      <c r="X244" s="4"/>
    </row>
    <row r="245" spans="1:24" ht="12.75" customHeight="1">
      <c r="A245" s="33">
        <v>21120901</v>
      </c>
      <c r="B245" s="24" t="s">
        <v>478</v>
      </c>
      <c r="C245" s="24">
        <v>161000</v>
      </c>
      <c r="D245" s="33"/>
      <c r="E245" s="32"/>
      <c r="F245" s="4"/>
      <c r="G245" s="4"/>
      <c r="H245" s="4"/>
      <c r="I245" s="4"/>
      <c r="J245" s="4"/>
      <c r="K245" s="4"/>
      <c r="L245" s="4"/>
      <c r="M245" s="4"/>
      <c r="N245" s="4"/>
      <c r="O245" s="4"/>
      <c r="P245" s="4"/>
      <c r="Q245" s="4"/>
      <c r="R245" s="4"/>
      <c r="S245" s="4"/>
      <c r="T245" s="4"/>
      <c r="U245" s="4"/>
      <c r="V245" s="4"/>
      <c r="W245" s="4"/>
      <c r="X245" s="4"/>
    </row>
    <row r="246" spans="1:24" ht="12.75" customHeight="1">
      <c r="A246" s="33">
        <v>21120906</v>
      </c>
      <c r="B246" s="24" t="s">
        <v>479</v>
      </c>
      <c r="C246" s="24">
        <v>125000</v>
      </c>
      <c r="D246" s="4"/>
      <c r="E246" s="34"/>
      <c r="F246" s="4"/>
      <c r="G246" s="4"/>
      <c r="H246" s="4"/>
      <c r="I246" s="4"/>
      <c r="J246" s="4"/>
      <c r="K246" s="4"/>
      <c r="L246" s="4"/>
      <c r="M246" s="4"/>
      <c r="N246" s="4"/>
      <c r="O246" s="4"/>
      <c r="P246" s="4"/>
      <c r="Q246" s="4"/>
      <c r="R246" s="4"/>
      <c r="S246" s="4"/>
      <c r="T246" s="4"/>
      <c r="U246" s="4"/>
      <c r="V246" s="4"/>
      <c r="W246" s="4"/>
      <c r="X246" s="4"/>
    </row>
    <row r="247" spans="1:24" ht="12.75" customHeight="1" thickBot="1">
      <c r="A247" s="23"/>
      <c r="B247" s="24"/>
      <c r="C247" s="24"/>
      <c r="D247" s="4"/>
      <c r="E247" s="34"/>
      <c r="F247" s="4"/>
      <c r="G247" s="4"/>
      <c r="H247" s="4"/>
      <c r="I247" s="4"/>
      <c r="J247" s="4"/>
      <c r="K247" s="4"/>
      <c r="L247" s="4"/>
      <c r="M247" s="4"/>
      <c r="N247" s="4"/>
      <c r="O247" s="4"/>
      <c r="P247" s="4"/>
      <c r="Q247" s="4"/>
      <c r="R247" s="4"/>
      <c r="S247" s="4"/>
      <c r="T247" s="4"/>
      <c r="U247" s="4"/>
      <c r="V247" s="4"/>
      <c r="W247" s="4"/>
      <c r="X247" s="4"/>
    </row>
    <row r="248" spans="1:24" ht="12.75" customHeight="1" thickBot="1">
      <c r="A248" s="1298" t="s">
        <v>4</v>
      </c>
      <c r="B248" s="1281"/>
      <c r="C248" s="64">
        <f>(C249+C251+C254+C257+C259)</f>
        <v>17383201.969999999</v>
      </c>
      <c r="D248" s="4"/>
      <c r="E248" s="34"/>
      <c r="F248" s="4"/>
      <c r="G248" s="4"/>
      <c r="H248" s="4"/>
      <c r="I248" s="4"/>
      <c r="J248" s="4"/>
      <c r="K248" s="4"/>
      <c r="L248" s="4"/>
      <c r="M248" s="4"/>
      <c r="N248" s="4"/>
      <c r="O248" s="4"/>
      <c r="P248" s="4"/>
      <c r="Q248" s="4"/>
      <c r="R248" s="4"/>
      <c r="S248" s="4"/>
      <c r="T248" s="4"/>
      <c r="U248" s="4"/>
      <c r="V248" s="4"/>
      <c r="W248" s="4"/>
      <c r="X248" s="4"/>
    </row>
    <row r="249" spans="1:24" ht="12.75" customHeight="1">
      <c r="A249" s="48">
        <v>211302</v>
      </c>
      <c r="B249" s="21" t="s">
        <v>481</v>
      </c>
      <c r="C249" s="49">
        <f>SUM(C250)</f>
        <v>150000</v>
      </c>
      <c r="D249" s="34"/>
      <c r="E249" s="34"/>
      <c r="F249" s="34"/>
      <c r="G249" s="34"/>
      <c r="H249" s="34"/>
      <c r="I249" s="34"/>
      <c r="J249" s="34"/>
      <c r="K249" s="34"/>
      <c r="L249" s="34"/>
      <c r="M249" s="34"/>
      <c r="N249" s="34"/>
      <c r="O249" s="34"/>
      <c r="P249" s="34"/>
      <c r="Q249" s="34"/>
      <c r="R249" s="34"/>
      <c r="S249" s="34"/>
      <c r="T249" s="34"/>
      <c r="U249" s="34"/>
      <c r="V249" s="34"/>
      <c r="W249" s="34"/>
      <c r="X249" s="34"/>
    </row>
    <row r="250" spans="1:24" ht="12.75" customHeight="1">
      <c r="A250" s="33">
        <v>21130204</v>
      </c>
      <c r="B250" s="23" t="s">
        <v>483</v>
      </c>
      <c r="C250" s="24">
        <v>150000</v>
      </c>
      <c r="D250" s="33"/>
      <c r="E250" s="32"/>
      <c r="F250" s="4"/>
      <c r="G250" s="4"/>
      <c r="H250" s="4"/>
      <c r="I250" s="4"/>
      <c r="J250" s="4"/>
      <c r="K250" s="4"/>
      <c r="L250" s="4"/>
      <c r="M250" s="4"/>
      <c r="N250" s="4"/>
      <c r="O250" s="4"/>
      <c r="P250" s="4"/>
      <c r="Q250" s="4"/>
      <c r="R250" s="4"/>
      <c r="S250" s="4"/>
      <c r="T250" s="4"/>
      <c r="U250" s="4"/>
      <c r="V250" s="4"/>
      <c r="W250" s="4"/>
      <c r="X250" s="4"/>
    </row>
    <row r="251" spans="1:24" ht="12.75" customHeight="1">
      <c r="A251" s="48">
        <v>211303</v>
      </c>
      <c r="B251" s="26" t="s">
        <v>484</v>
      </c>
      <c r="C251" s="26">
        <f>+SUM(C252:C253)</f>
        <v>270500</v>
      </c>
      <c r="D251" s="33"/>
      <c r="E251" s="32"/>
      <c r="F251" s="4"/>
      <c r="G251" s="4"/>
      <c r="H251" s="4"/>
      <c r="I251" s="4"/>
      <c r="J251" s="4"/>
      <c r="K251" s="4"/>
      <c r="L251" s="4"/>
      <c r="M251" s="4"/>
      <c r="N251" s="4"/>
      <c r="O251" s="4"/>
      <c r="P251" s="4"/>
      <c r="Q251" s="4"/>
      <c r="R251" s="4"/>
      <c r="S251" s="4"/>
      <c r="T251" s="4"/>
      <c r="U251" s="4"/>
      <c r="V251" s="4"/>
      <c r="W251" s="4"/>
      <c r="X251" s="4"/>
    </row>
    <row r="252" spans="1:24" ht="13.5" customHeight="1">
      <c r="A252" s="40">
        <v>21130306</v>
      </c>
      <c r="B252" s="13" t="s">
        <v>487</v>
      </c>
      <c r="C252" s="14">
        <v>70000</v>
      </c>
      <c r="D252" s="8"/>
      <c r="E252" s="14"/>
      <c r="F252" s="30"/>
      <c r="G252" s="30"/>
      <c r="H252" s="8"/>
      <c r="I252" s="8"/>
      <c r="J252" s="8"/>
      <c r="K252" s="8"/>
      <c r="L252" s="8"/>
      <c r="M252" s="8"/>
      <c r="N252" s="8"/>
      <c r="O252" s="8"/>
      <c r="P252" s="8"/>
      <c r="Q252" s="8"/>
      <c r="R252" s="8"/>
      <c r="S252" s="8"/>
      <c r="T252" s="8"/>
      <c r="U252" s="8"/>
      <c r="V252" s="8"/>
      <c r="W252" s="8"/>
      <c r="X252" s="8"/>
    </row>
    <row r="253" spans="1:24" ht="12.75" customHeight="1">
      <c r="A253" s="33">
        <v>21130307</v>
      </c>
      <c r="B253" s="23" t="s">
        <v>488</v>
      </c>
      <c r="C253" s="24">
        <v>200500</v>
      </c>
      <c r="D253" s="4"/>
      <c r="E253" s="34"/>
      <c r="F253" s="4"/>
      <c r="G253" s="4"/>
      <c r="H253" s="4"/>
      <c r="I253" s="4"/>
      <c r="J253" s="4"/>
      <c r="K253" s="4"/>
      <c r="L253" s="4"/>
      <c r="M253" s="4"/>
      <c r="N253" s="4"/>
      <c r="O253" s="4"/>
      <c r="P253" s="4"/>
      <c r="Q253" s="4"/>
      <c r="R253" s="4"/>
      <c r="S253" s="4"/>
      <c r="T253" s="4"/>
      <c r="U253" s="4"/>
      <c r="V253" s="4"/>
      <c r="W253" s="4"/>
      <c r="X253" s="4"/>
    </row>
    <row r="254" spans="1:24" ht="12.75" customHeight="1">
      <c r="A254" s="48">
        <v>211305</v>
      </c>
      <c r="B254" s="21" t="s">
        <v>489</v>
      </c>
      <c r="C254" s="26">
        <f>C255+C256</f>
        <v>13293201.970000001</v>
      </c>
      <c r="D254" s="4"/>
      <c r="E254" s="34"/>
      <c r="F254" s="4"/>
      <c r="G254" s="4"/>
      <c r="H254" s="4"/>
      <c r="I254" s="4"/>
      <c r="J254" s="4"/>
      <c r="K254" s="4"/>
      <c r="L254" s="4"/>
      <c r="M254" s="4"/>
      <c r="N254" s="4"/>
      <c r="O254" s="4"/>
      <c r="P254" s="4"/>
      <c r="Q254" s="4"/>
      <c r="R254" s="4"/>
      <c r="S254" s="4"/>
      <c r="T254" s="4"/>
      <c r="U254" s="4"/>
      <c r="V254" s="4"/>
      <c r="W254" s="4"/>
      <c r="X254" s="4"/>
    </row>
    <row r="255" spans="1:24" ht="12.75" customHeight="1">
      <c r="A255" s="33">
        <v>21130501</v>
      </c>
      <c r="B255" s="13" t="s">
        <v>490</v>
      </c>
      <c r="C255" s="24">
        <v>130000</v>
      </c>
      <c r="D255" s="3"/>
      <c r="E255" s="34"/>
      <c r="F255" s="4"/>
      <c r="G255" s="4"/>
      <c r="H255" s="4"/>
      <c r="I255" s="4"/>
      <c r="J255" s="4"/>
      <c r="K255" s="4"/>
      <c r="L255" s="4"/>
      <c r="M255" s="4"/>
      <c r="N255" s="4"/>
      <c r="O255" s="4"/>
      <c r="P255" s="4"/>
      <c r="Q255" s="4"/>
      <c r="R255" s="4"/>
      <c r="S255" s="4"/>
      <c r="T255" s="4"/>
      <c r="U255" s="4"/>
      <c r="V255" s="4"/>
      <c r="W255" s="4"/>
      <c r="X255" s="4"/>
    </row>
    <row r="256" spans="1:24" ht="13.5" customHeight="1">
      <c r="A256" s="33">
        <v>21130502</v>
      </c>
      <c r="B256" s="24" t="s">
        <v>491</v>
      </c>
      <c r="C256" s="51">
        <f>300000+12963201.97-100000</f>
        <v>13163201.970000001</v>
      </c>
      <c r="D256" s="4"/>
      <c r="E256" s="24"/>
      <c r="F256" s="4"/>
      <c r="G256" s="4"/>
      <c r="H256" s="4"/>
      <c r="I256" s="4"/>
      <c r="J256" s="4"/>
      <c r="K256" s="4"/>
      <c r="L256" s="4"/>
      <c r="M256" s="4"/>
      <c r="N256" s="4"/>
      <c r="O256" s="4"/>
      <c r="P256" s="4"/>
      <c r="Q256" s="4"/>
      <c r="R256" s="4"/>
      <c r="S256" s="4"/>
      <c r="T256" s="4"/>
      <c r="U256" s="4"/>
      <c r="V256" s="4"/>
      <c r="W256" s="4"/>
      <c r="X256" s="4"/>
    </row>
    <row r="257" spans="1:24" ht="13.5" customHeight="1">
      <c r="A257" s="48">
        <v>211306</v>
      </c>
      <c r="B257" s="26" t="s">
        <v>492</v>
      </c>
      <c r="C257" s="26">
        <f>C258</f>
        <v>287500</v>
      </c>
      <c r="D257" s="3"/>
      <c r="E257" s="24"/>
      <c r="F257" s="4"/>
      <c r="G257" s="4"/>
      <c r="H257" s="4"/>
      <c r="I257" s="4"/>
      <c r="J257" s="4"/>
      <c r="K257" s="4"/>
      <c r="L257" s="4"/>
      <c r="M257" s="4"/>
      <c r="N257" s="4"/>
      <c r="O257" s="4"/>
      <c r="P257" s="4"/>
      <c r="Q257" s="4"/>
      <c r="R257" s="4"/>
      <c r="S257" s="4"/>
      <c r="T257" s="4"/>
      <c r="U257" s="4"/>
      <c r="V257" s="4"/>
      <c r="W257" s="4"/>
      <c r="X257" s="4"/>
    </row>
    <row r="258" spans="1:24" ht="12.75" customHeight="1">
      <c r="A258" s="33">
        <v>21130608</v>
      </c>
      <c r="B258" s="24" t="s">
        <v>557</v>
      </c>
      <c r="C258" s="24">
        <v>287500</v>
      </c>
      <c r="D258" s="161"/>
      <c r="E258" s="188"/>
      <c r="F258" s="161"/>
      <c r="G258" s="23"/>
      <c r="H258" s="23"/>
      <c r="I258" s="23"/>
      <c r="J258" s="23"/>
      <c r="K258" s="23"/>
      <c r="L258" s="23"/>
      <c r="M258" s="23"/>
      <c r="N258" s="23"/>
      <c r="O258" s="23"/>
      <c r="P258" s="23"/>
      <c r="Q258" s="23"/>
      <c r="R258" s="23"/>
      <c r="S258" s="23"/>
      <c r="T258" s="23"/>
      <c r="U258" s="23"/>
      <c r="V258" s="23"/>
      <c r="W258" s="23"/>
      <c r="X258" s="23"/>
    </row>
    <row r="259" spans="1:24" ht="12.75" customHeight="1">
      <c r="A259" s="48">
        <v>211309</v>
      </c>
      <c r="B259" s="26" t="s">
        <v>496</v>
      </c>
      <c r="C259" s="26">
        <f>+SUM(C260:C262)</f>
        <v>3382000</v>
      </c>
      <c r="D259" s="3"/>
      <c r="E259" s="34"/>
      <c r="F259" s="4"/>
      <c r="G259" s="4"/>
      <c r="H259" s="4"/>
      <c r="I259" s="4"/>
      <c r="J259" s="4"/>
      <c r="K259" s="4"/>
      <c r="L259" s="4"/>
      <c r="M259" s="4"/>
      <c r="N259" s="4"/>
      <c r="O259" s="4"/>
      <c r="P259" s="4"/>
      <c r="Q259" s="4"/>
      <c r="R259" s="4"/>
      <c r="S259" s="4"/>
      <c r="T259" s="4"/>
      <c r="U259" s="4"/>
      <c r="V259" s="4"/>
      <c r="W259" s="4"/>
      <c r="X259" s="4"/>
    </row>
    <row r="260" spans="1:24" ht="12.75" customHeight="1">
      <c r="A260" s="33">
        <v>21130901</v>
      </c>
      <c r="B260" s="24" t="s">
        <v>497</v>
      </c>
      <c r="C260" s="51">
        <v>3082000</v>
      </c>
      <c r="D260" s="4"/>
      <c r="E260" s="34"/>
      <c r="F260" s="4"/>
      <c r="G260" s="4"/>
      <c r="H260" s="4"/>
      <c r="I260" s="4"/>
      <c r="J260" s="4"/>
      <c r="K260" s="4"/>
      <c r="L260" s="4"/>
      <c r="M260" s="4"/>
      <c r="N260" s="4"/>
      <c r="O260" s="4"/>
      <c r="P260" s="4"/>
      <c r="Q260" s="4"/>
      <c r="R260" s="4"/>
      <c r="S260" s="4"/>
      <c r="T260" s="4"/>
      <c r="U260" s="4"/>
      <c r="V260" s="4"/>
      <c r="W260" s="4"/>
      <c r="X260" s="4"/>
    </row>
    <row r="261" spans="1:24" ht="12.75" customHeight="1">
      <c r="A261" s="33">
        <v>21130903</v>
      </c>
      <c r="B261" s="24" t="s">
        <v>498</v>
      </c>
      <c r="C261" s="24">
        <v>122000</v>
      </c>
      <c r="D261" s="3"/>
      <c r="E261" s="34"/>
      <c r="F261" s="4"/>
      <c r="G261" s="4"/>
      <c r="H261" s="4"/>
      <c r="I261" s="4"/>
      <c r="J261" s="4"/>
      <c r="K261" s="4"/>
      <c r="L261" s="4"/>
      <c r="M261" s="4"/>
      <c r="N261" s="4"/>
      <c r="O261" s="4"/>
      <c r="P261" s="4"/>
      <c r="Q261" s="4"/>
      <c r="R261" s="4"/>
      <c r="S261" s="4"/>
      <c r="T261" s="4"/>
      <c r="U261" s="4"/>
      <c r="V261" s="4"/>
      <c r="W261" s="4"/>
      <c r="X261" s="4"/>
    </row>
    <row r="262" spans="1:24" ht="12.75" customHeight="1">
      <c r="A262" s="33">
        <v>21130908</v>
      </c>
      <c r="B262" s="24" t="s">
        <v>500</v>
      </c>
      <c r="C262" s="24">
        <v>178000</v>
      </c>
      <c r="D262" s="3"/>
      <c r="E262" s="34"/>
      <c r="F262" s="4"/>
      <c r="G262" s="4"/>
      <c r="H262" s="4"/>
      <c r="I262" s="4"/>
      <c r="J262" s="4"/>
      <c r="K262" s="4"/>
      <c r="L262" s="4"/>
      <c r="M262" s="4"/>
      <c r="N262" s="4"/>
      <c r="O262" s="4"/>
      <c r="P262" s="4"/>
      <c r="Q262" s="4"/>
      <c r="R262" s="4"/>
      <c r="S262" s="4"/>
      <c r="T262" s="4"/>
      <c r="U262" s="4"/>
      <c r="V262" s="4"/>
      <c r="W262" s="4"/>
      <c r="X262" s="4"/>
    </row>
    <row r="263" spans="1:24" ht="12.75" customHeight="1" thickBot="1">
      <c r="A263" s="23"/>
      <c r="B263" s="24"/>
      <c r="C263" s="24"/>
      <c r="D263" s="3"/>
      <c r="E263" s="34"/>
      <c r="F263" s="4"/>
      <c r="G263" s="4"/>
      <c r="H263" s="4"/>
      <c r="I263" s="4"/>
      <c r="J263" s="4"/>
      <c r="K263" s="4"/>
      <c r="L263" s="4"/>
      <c r="M263" s="4"/>
      <c r="N263" s="4"/>
      <c r="O263" s="4"/>
      <c r="P263" s="4"/>
      <c r="Q263" s="4"/>
      <c r="R263" s="4"/>
      <c r="S263" s="4"/>
      <c r="T263" s="4"/>
      <c r="U263" s="4"/>
      <c r="V263" s="4"/>
      <c r="W263" s="4"/>
      <c r="X263" s="4"/>
    </row>
    <row r="264" spans="1:24" ht="12.75" customHeight="1" thickBot="1">
      <c r="A264" s="1299" t="s">
        <v>48</v>
      </c>
      <c r="B264" s="1281"/>
      <c r="C264" s="65">
        <f>C265+C269</f>
        <v>4175000</v>
      </c>
      <c r="D264" s="4"/>
      <c r="E264" s="34"/>
      <c r="F264" s="4"/>
      <c r="G264" s="4"/>
      <c r="H264" s="4"/>
      <c r="I264" s="4"/>
      <c r="J264" s="4"/>
      <c r="K264" s="4"/>
      <c r="L264" s="4"/>
      <c r="M264" s="4"/>
      <c r="N264" s="4"/>
      <c r="O264" s="4"/>
      <c r="P264" s="4"/>
      <c r="Q264" s="4"/>
      <c r="R264" s="4"/>
      <c r="S264" s="4"/>
      <c r="T264" s="4"/>
      <c r="U264" s="4"/>
      <c r="V264" s="4"/>
      <c r="W264" s="4"/>
      <c r="X264" s="4"/>
    </row>
    <row r="265" spans="1:24" ht="12.75" customHeight="1">
      <c r="A265" s="48">
        <v>221104</v>
      </c>
      <c r="B265" s="21" t="s">
        <v>510</v>
      </c>
      <c r="C265" s="26">
        <f>SUM(C266:C268)</f>
        <v>1600000</v>
      </c>
      <c r="D265" s="34"/>
      <c r="E265" s="34"/>
      <c r="F265" s="34"/>
      <c r="G265" s="34"/>
      <c r="H265" s="34"/>
      <c r="I265" s="34"/>
      <c r="J265" s="34"/>
      <c r="K265" s="34"/>
      <c r="L265" s="34"/>
      <c r="M265" s="34"/>
      <c r="N265" s="34"/>
      <c r="O265" s="34"/>
      <c r="P265" s="34"/>
      <c r="Q265" s="34"/>
      <c r="R265" s="34"/>
      <c r="S265" s="34"/>
      <c r="T265" s="34"/>
      <c r="U265" s="34"/>
      <c r="V265" s="34"/>
      <c r="W265" s="34"/>
      <c r="X265" s="34"/>
    </row>
    <row r="266" spans="1:24" ht="13.5" customHeight="1">
      <c r="A266" s="33">
        <v>22110401</v>
      </c>
      <c r="B266" s="23" t="s">
        <v>511</v>
      </c>
      <c r="C266" s="24">
        <v>1100000</v>
      </c>
      <c r="D266" s="4"/>
      <c r="E266" s="34"/>
      <c r="F266" s="4"/>
      <c r="G266" s="4"/>
      <c r="H266" s="4"/>
      <c r="I266" s="4"/>
      <c r="J266" s="4"/>
      <c r="K266" s="4"/>
      <c r="L266" s="4"/>
      <c r="M266" s="4"/>
      <c r="N266" s="4"/>
      <c r="O266" s="4"/>
      <c r="P266" s="4"/>
      <c r="Q266" s="4"/>
      <c r="R266" s="4"/>
      <c r="S266" s="4"/>
      <c r="T266" s="4"/>
      <c r="U266" s="4"/>
      <c r="V266" s="4"/>
      <c r="W266" s="4"/>
      <c r="X266" s="4"/>
    </row>
    <row r="267" spans="1:24" ht="12.75" customHeight="1">
      <c r="A267" s="33">
        <v>22110404</v>
      </c>
      <c r="B267" s="23" t="s">
        <v>512</v>
      </c>
      <c r="C267" s="24">
        <v>240000</v>
      </c>
      <c r="D267" s="4"/>
      <c r="E267" s="34"/>
      <c r="F267" s="4"/>
      <c r="G267" s="4"/>
      <c r="H267" s="4"/>
      <c r="I267" s="4"/>
      <c r="J267" s="4"/>
      <c r="K267" s="4"/>
      <c r="L267" s="4"/>
      <c r="M267" s="4"/>
      <c r="N267" s="4"/>
      <c r="O267" s="4"/>
      <c r="P267" s="4"/>
      <c r="Q267" s="4"/>
      <c r="R267" s="4"/>
      <c r="S267" s="4"/>
      <c r="T267" s="4"/>
      <c r="U267" s="4"/>
      <c r="V267" s="4"/>
      <c r="W267" s="4"/>
      <c r="X267" s="4"/>
    </row>
    <row r="268" spans="1:24" ht="13.5" customHeight="1">
      <c r="A268" s="33">
        <v>22110409</v>
      </c>
      <c r="B268" s="24" t="s">
        <v>513</v>
      </c>
      <c r="C268" s="24">
        <v>260000</v>
      </c>
      <c r="D268" s="40"/>
      <c r="E268" s="14"/>
      <c r="F268" s="13"/>
      <c r="G268" s="13"/>
      <c r="H268" s="13"/>
      <c r="I268" s="13"/>
      <c r="J268" s="13"/>
      <c r="K268" s="13"/>
      <c r="L268" s="13"/>
      <c r="M268" s="13"/>
      <c r="N268" s="13"/>
      <c r="O268" s="13"/>
      <c r="P268" s="13"/>
      <c r="Q268" s="13"/>
      <c r="R268" s="13"/>
      <c r="S268" s="13"/>
      <c r="T268" s="13"/>
      <c r="U268" s="13"/>
      <c r="V268" s="13"/>
      <c r="W268" s="13"/>
      <c r="X268" s="13"/>
    </row>
    <row r="269" spans="1:24" ht="13.5" customHeight="1">
      <c r="A269" s="48">
        <v>221107</v>
      </c>
      <c r="B269" s="26" t="s">
        <v>514</v>
      </c>
      <c r="C269" s="26">
        <f>SUM(C270)</f>
        <v>2575000</v>
      </c>
      <c r="D269" s="4"/>
      <c r="E269" s="34"/>
      <c r="F269" s="4"/>
      <c r="G269" s="4"/>
      <c r="H269" s="4"/>
      <c r="I269" s="4"/>
      <c r="J269" s="4"/>
      <c r="K269" s="4"/>
      <c r="L269" s="4"/>
      <c r="M269" s="4"/>
      <c r="N269" s="4"/>
      <c r="O269" s="4"/>
      <c r="P269" s="4"/>
      <c r="Q269" s="4"/>
      <c r="R269" s="4"/>
      <c r="S269" s="4"/>
      <c r="T269" s="4"/>
      <c r="U269" s="4"/>
      <c r="V269" s="4"/>
      <c r="W269" s="4"/>
      <c r="X269" s="4"/>
    </row>
    <row r="270" spans="1:24" ht="13.5" customHeight="1">
      <c r="A270" s="33">
        <v>22110702</v>
      </c>
      <c r="B270" s="24" t="s">
        <v>515</v>
      </c>
      <c r="C270" s="24">
        <f>200000+2375000</f>
        <v>2575000</v>
      </c>
      <c r="D270" s="4"/>
      <c r="E270" s="34"/>
      <c r="F270" s="4"/>
      <c r="G270" s="4"/>
      <c r="H270" s="4"/>
      <c r="I270" s="4"/>
      <c r="J270" s="4"/>
      <c r="K270" s="4"/>
      <c r="L270" s="4"/>
      <c r="M270" s="4"/>
      <c r="N270" s="4"/>
      <c r="O270" s="4"/>
      <c r="P270" s="4"/>
      <c r="Q270" s="4"/>
      <c r="R270" s="4"/>
      <c r="S270" s="4"/>
      <c r="T270" s="4"/>
      <c r="U270" s="4"/>
      <c r="V270" s="4"/>
      <c r="W270" s="4"/>
      <c r="X270" s="4"/>
    </row>
    <row r="271" spans="1:24" ht="12.75" customHeight="1">
      <c r="A271" s="4"/>
      <c r="B271" s="4"/>
      <c r="C271" s="3"/>
      <c r="D271" s="4"/>
      <c r="E271" s="34"/>
      <c r="F271" s="4"/>
      <c r="G271" s="4"/>
      <c r="H271" s="4"/>
      <c r="I271" s="4"/>
      <c r="J271" s="4"/>
      <c r="K271" s="4"/>
      <c r="L271" s="4"/>
      <c r="M271" s="4"/>
      <c r="N271" s="4"/>
      <c r="O271" s="4"/>
      <c r="P271" s="4"/>
      <c r="Q271" s="4"/>
      <c r="R271" s="4"/>
      <c r="S271" s="4"/>
      <c r="T271" s="4"/>
      <c r="U271" s="4"/>
      <c r="V271" s="4"/>
      <c r="W271" s="4"/>
      <c r="X271" s="4"/>
    </row>
    <row r="272" spans="1:24" ht="12.75" customHeight="1" thickBot="1">
      <c r="A272" s="4"/>
      <c r="B272" s="4"/>
      <c r="C272" s="3"/>
      <c r="D272" s="4"/>
      <c r="E272" s="34"/>
      <c r="F272" s="4"/>
      <c r="G272" s="4"/>
      <c r="H272" s="4"/>
      <c r="I272" s="4"/>
      <c r="J272" s="4"/>
      <c r="K272" s="4"/>
      <c r="L272" s="4"/>
      <c r="M272" s="4"/>
      <c r="N272" s="4"/>
      <c r="O272" s="4"/>
      <c r="P272" s="4"/>
      <c r="Q272" s="4"/>
      <c r="R272" s="4"/>
      <c r="S272" s="4"/>
      <c r="T272" s="4"/>
      <c r="U272" s="4"/>
      <c r="V272" s="4"/>
      <c r="W272" s="4"/>
      <c r="X272" s="4"/>
    </row>
    <row r="273" spans="1:24" ht="12.75" customHeight="1">
      <c r="A273" s="1505" t="s">
        <v>960</v>
      </c>
      <c r="B273" s="1506"/>
      <c r="C273" s="1179" t="s">
        <v>740</v>
      </c>
      <c r="D273" s="4"/>
      <c r="E273" s="34"/>
      <c r="F273" s="4"/>
      <c r="G273" s="4"/>
      <c r="H273" s="4"/>
      <c r="I273" s="4"/>
      <c r="J273" s="4"/>
      <c r="K273" s="4"/>
      <c r="L273" s="4"/>
      <c r="M273" s="4"/>
      <c r="N273" s="4"/>
      <c r="O273" s="4"/>
      <c r="P273" s="4"/>
      <c r="Q273" s="4"/>
      <c r="R273" s="4"/>
      <c r="S273" s="4"/>
      <c r="T273" s="4"/>
      <c r="U273" s="4"/>
      <c r="V273" s="4"/>
      <c r="W273" s="4"/>
      <c r="X273" s="4"/>
    </row>
    <row r="274" spans="1:24" ht="12.75" customHeight="1" thickBot="1">
      <c r="A274" s="1507"/>
      <c r="B274" s="1504"/>
      <c r="C274" s="1497"/>
      <c r="D274" s="4"/>
      <c r="E274" s="34"/>
      <c r="F274" s="4"/>
      <c r="G274" s="4"/>
      <c r="H274" s="4"/>
      <c r="I274" s="4"/>
      <c r="J274" s="4"/>
      <c r="K274" s="4"/>
      <c r="L274" s="4"/>
      <c r="M274" s="4"/>
      <c r="N274" s="4"/>
      <c r="O274" s="4"/>
      <c r="P274" s="4"/>
      <c r="Q274" s="4"/>
      <c r="R274" s="4"/>
      <c r="S274" s="4"/>
      <c r="T274" s="4"/>
      <c r="U274" s="4"/>
      <c r="V274" s="4"/>
      <c r="W274" s="4"/>
      <c r="X274" s="4"/>
    </row>
    <row r="275" spans="1:24" ht="12.75" customHeight="1">
      <c r="A275" s="1122" t="s">
        <v>675</v>
      </c>
      <c r="B275" s="808"/>
      <c r="C275" s="1029"/>
      <c r="D275" s="4"/>
      <c r="E275" s="34"/>
      <c r="F275" s="4"/>
      <c r="G275" s="4"/>
      <c r="H275" s="4"/>
      <c r="I275" s="4"/>
      <c r="J275" s="4"/>
      <c r="K275" s="4"/>
      <c r="L275" s="4"/>
      <c r="M275" s="4"/>
      <c r="N275" s="4"/>
      <c r="O275" s="4"/>
      <c r="P275" s="4"/>
      <c r="Q275" s="4"/>
      <c r="R275" s="4"/>
      <c r="S275" s="4"/>
      <c r="T275" s="4"/>
      <c r="U275" s="4"/>
      <c r="V275" s="4"/>
      <c r="W275" s="4"/>
      <c r="X275" s="4"/>
    </row>
    <row r="276" spans="1:24" ht="12.75" customHeight="1">
      <c r="A276" s="1028" t="s">
        <v>744</v>
      </c>
      <c r="B276" s="808"/>
      <c r="C276" s="1029"/>
      <c r="D276" s="4"/>
      <c r="E276" s="34"/>
      <c r="F276" s="4"/>
      <c r="G276" s="4"/>
      <c r="H276" s="4"/>
      <c r="I276" s="4"/>
      <c r="J276" s="4"/>
      <c r="K276" s="4"/>
      <c r="L276" s="4"/>
      <c r="M276" s="4"/>
      <c r="N276" s="4"/>
      <c r="O276" s="4"/>
      <c r="P276" s="4"/>
      <c r="Q276" s="4"/>
      <c r="R276" s="4"/>
      <c r="S276" s="4"/>
      <c r="T276" s="4"/>
      <c r="U276" s="4"/>
      <c r="V276" s="4"/>
      <c r="W276" s="4"/>
      <c r="X276" s="4"/>
    </row>
    <row r="277" spans="1:24" ht="13.5" customHeight="1">
      <c r="A277" s="1028" t="s">
        <v>743</v>
      </c>
      <c r="B277" s="808"/>
      <c r="C277" s="1029"/>
      <c r="D277" s="4"/>
      <c r="E277" s="34"/>
      <c r="F277" s="23"/>
      <c r="G277" s="23"/>
      <c r="H277" s="23"/>
      <c r="I277" s="23"/>
      <c r="J277" s="23"/>
      <c r="K277" s="23"/>
      <c r="L277" s="23"/>
      <c r="M277" s="23"/>
      <c r="N277" s="23"/>
      <c r="O277" s="23"/>
      <c r="P277" s="23"/>
      <c r="Q277" s="23"/>
      <c r="R277" s="23"/>
      <c r="S277" s="23"/>
      <c r="T277" s="23"/>
      <c r="U277" s="23"/>
      <c r="V277" s="23"/>
      <c r="W277" s="23"/>
      <c r="X277" s="23"/>
    </row>
    <row r="278" spans="1:24" ht="12.75" customHeight="1" thickBot="1">
      <c r="A278" s="1125" t="s">
        <v>0</v>
      </c>
      <c r="B278" s="808"/>
      <c r="C278" s="1029"/>
      <c r="D278" s="4"/>
      <c r="E278" s="34"/>
      <c r="F278" s="4"/>
      <c r="G278" s="4"/>
      <c r="H278" s="4"/>
      <c r="I278" s="4"/>
      <c r="J278" s="4"/>
      <c r="K278" s="4"/>
      <c r="L278" s="4"/>
      <c r="M278" s="4"/>
      <c r="N278" s="4"/>
      <c r="O278" s="4"/>
      <c r="P278" s="4"/>
      <c r="Q278" s="4"/>
      <c r="R278" s="4"/>
      <c r="S278" s="4"/>
      <c r="T278" s="4"/>
      <c r="U278" s="4"/>
      <c r="V278" s="4"/>
      <c r="W278" s="4"/>
      <c r="X278" s="4"/>
    </row>
    <row r="279" spans="1:24" ht="12.75" customHeight="1" thickBot="1">
      <c r="A279" s="1171" t="s">
        <v>1</v>
      </c>
      <c r="B279" s="1186"/>
      <c r="C279" s="1033">
        <f>+C281+C300+C321</f>
        <v>24215734.379999999</v>
      </c>
      <c r="D279" s="4"/>
      <c r="E279" s="60"/>
      <c r="F279" s="3"/>
      <c r="G279" s="4"/>
      <c r="H279" s="4"/>
      <c r="I279" s="4"/>
      <c r="J279" s="4"/>
      <c r="K279" s="4"/>
      <c r="L279" s="4"/>
      <c r="M279" s="4"/>
      <c r="N279" s="4"/>
      <c r="O279" s="4"/>
      <c r="P279" s="4"/>
      <c r="Q279" s="4"/>
      <c r="R279" s="4"/>
      <c r="S279" s="4"/>
      <c r="T279" s="4"/>
      <c r="U279" s="4"/>
      <c r="V279" s="4"/>
      <c r="W279" s="4"/>
      <c r="X279" s="4"/>
    </row>
    <row r="280" spans="1:24" ht="12.75" customHeight="1" thickBot="1">
      <c r="A280" s="21"/>
      <c r="B280" s="21"/>
      <c r="C280" s="26"/>
      <c r="D280" s="61"/>
      <c r="E280" s="34"/>
      <c r="F280" s="4"/>
      <c r="G280" s="4"/>
      <c r="H280" s="4"/>
      <c r="I280" s="4"/>
      <c r="J280" s="4"/>
      <c r="K280" s="4"/>
      <c r="L280" s="4"/>
      <c r="M280" s="4"/>
      <c r="N280" s="4"/>
      <c r="O280" s="4"/>
      <c r="P280" s="4"/>
      <c r="Q280" s="4"/>
      <c r="R280" s="4"/>
      <c r="S280" s="4"/>
      <c r="T280" s="4"/>
      <c r="U280" s="4"/>
      <c r="V280" s="4"/>
      <c r="W280" s="4"/>
      <c r="X280" s="4"/>
    </row>
    <row r="281" spans="1:24" ht="12.75" customHeight="1" thickBot="1">
      <c r="A281" s="1297" t="s">
        <v>9</v>
      </c>
      <c r="B281" s="1281"/>
      <c r="C281" s="62">
        <f>+C284+C286+C288+C294+C296+C282</f>
        <v>3479532.41</v>
      </c>
      <c r="D281" s="61"/>
      <c r="E281" s="34"/>
      <c r="F281" s="4"/>
      <c r="G281" s="4"/>
      <c r="H281" s="4"/>
      <c r="I281" s="4"/>
      <c r="J281" s="4"/>
      <c r="K281" s="4"/>
      <c r="L281" s="4"/>
      <c r="M281" s="4"/>
      <c r="N281" s="4"/>
      <c r="O281" s="4"/>
      <c r="P281" s="4"/>
      <c r="Q281" s="4"/>
      <c r="R281" s="4"/>
      <c r="S281" s="4"/>
      <c r="T281" s="4"/>
      <c r="U281" s="4"/>
      <c r="V281" s="4"/>
      <c r="W281" s="4"/>
      <c r="X281" s="4"/>
    </row>
    <row r="282" spans="1:24" ht="13.5" customHeight="1">
      <c r="A282" s="48">
        <v>211201</v>
      </c>
      <c r="B282" s="48" t="s">
        <v>459</v>
      </c>
      <c r="C282" s="49">
        <f>C283</f>
        <v>186500</v>
      </c>
      <c r="D282" s="61"/>
      <c r="E282" s="34"/>
      <c r="F282" s="33"/>
      <c r="G282" s="33"/>
      <c r="H282" s="33"/>
      <c r="I282" s="33"/>
      <c r="J282" s="33"/>
      <c r="K282" s="33"/>
      <c r="L282" s="33"/>
      <c r="M282" s="33"/>
      <c r="N282" s="33"/>
      <c r="O282" s="33"/>
      <c r="P282" s="33"/>
      <c r="Q282" s="33"/>
      <c r="R282" s="33"/>
      <c r="S282" s="33"/>
      <c r="T282" s="33"/>
      <c r="U282" s="33"/>
      <c r="V282" s="33"/>
      <c r="W282" s="33"/>
      <c r="X282" s="33"/>
    </row>
    <row r="283" spans="1:24" ht="13.5" customHeight="1">
      <c r="A283" s="33">
        <v>21120101</v>
      </c>
      <c r="B283" s="23" t="s">
        <v>460</v>
      </c>
      <c r="C283" s="24">
        <v>186500</v>
      </c>
      <c r="D283" s="32"/>
      <c r="E283" s="32"/>
      <c r="F283" s="23"/>
      <c r="G283" s="23"/>
      <c r="H283" s="23"/>
      <c r="I283" s="23"/>
      <c r="J283" s="23"/>
      <c r="K283" s="23"/>
      <c r="L283" s="23"/>
      <c r="M283" s="23"/>
      <c r="N283" s="23"/>
      <c r="O283" s="23"/>
      <c r="P283" s="23"/>
      <c r="Q283" s="23"/>
      <c r="R283" s="23"/>
      <c r="S283" s="23"/>
      <c r="T283" s="23"/>
      <c r="U283" s="23"/>
      <c r="V283" s="23"/>
      <c r="W283" s="23"/>
      <c r="X283" s="23"/>
    </row>
    <row r="284" spans="1:24" ht="12.75" customHeight="1">
      <c r="A284" s="48">
        <v>211203</v>
      </c>
      <c r="B284" s="21" t="s">
        <v>461</v>
      </c>
      <c r="C284" s="26">
        <f>C285</f>
        <v>70000</v>
      </c>
      <c r="D284" s="61"/>
      <c r="E284" s="3"/>
      <c r="F284" s="4"/>
      <c r="G284" s="4"/>
      <c r="H284" s="4"/>
      <c r="I284" s="4"/>
      <c r="J284" s="4"/>
      <c r="K284" s="4"/>
      <c r="L284" s="4"/>
      <c r="M284" s="4"/>
      <c r="N284" s="4"/>
      <c r="O284" s="4"/>
      <c r="P284" s="4"/>
      <c r="Q284" s="4"/>
      <c r="R284" s="4"/>
      <c r="S284" s="4"/>
      <c r="T284" s="4"/>
      <c r="U284" s="4"/>
      <c r="V284" s="4"/>
      <c r="W284" s="4"/>
      <c r="X284" s="4"/>
    </row>
    <row r="285" spans="1:24" ht="12.75" customHeight="1">
      <c r="A285" s="33">
        <v>21120302</v>
      </c>
      <c r="B285" s="23" t="s">
        <v>462</v>
      </c>
      <c r="C285" s="24">
        <v>70000</v>
      </c>
      <c r="D285" s="4"/>
      <c r="E285" s="3"/>
      <c r="F285" s="4"/>
      <c r="G285" s="4"/>
      <c r="H285" s="4"/>
      <c r="I285" s="4"/>
      <c r="J285" s="4"/>
      <c r="K285" s="4"/>
      <c r="L285" s="4"/>
      <c r="M285" s="4"/>
      <c r="N285" s="4"/>
      <c r="O285" s="4"/>
      <c r="P285" s="4"/>
      <c r="Q285" s="4"/>
      <c r="R285" s="4"/>
      <c r="S285" s="4"/>
      <c r="T285" s="4"/>
      <c r="U285" s="4"/>
      <c r="V285" s="4"/>
      <c r="W285" s="4"/>
      <c r="X285" s="4"/>
    </row>
    <row r="286" spans="1:24" ht="12.75" customHeight="1">
      <c r="A286" s="48">
        <v>211204</v>
      </c>
      <c r="B286" s="21" t="s">
        <v>463</v>
      </c>
      <c r="C286" s="26">
        <f>C287</f>
        <v>2700032.41</v>
      </c>
      <c r="D286" s="4"/>
      <c r="E286" s="3"/>
      <c r="F286" s="4"/>
      <c r="G286" s="4"/>
      <c r="H286" s="4"/>
      <c r="I286" s="4"/>
      <c r="J286" s="4"/>
      <c r="K286" s="4"/>
      <c r="L286" s="4"/>
      <c r="M286" s="4"/>
      <c r="N286" s="4"/>
      <c r="O286" s="4"/>
      <c r="P286" s="4"/>
      <c r="Q286" s="4"/>
      <c r="R286" s="4"/>
      <c r="S286" s="4"/>
      <c r="T286" s="4"/>
      <c r="U286" s="4"/>
      <c r="V286" s="4"/>
      <c r="W286" s="4"/>
      <c r="X286" s="4"/>
    </row>
    <row r="287" spans="1:24" ht="12.75" customHeight="1">
      <c r="A287" s="33">
        <v>21120401</v>
      </c>
      <c r="B287" s="24" t="s">
        <v>464</v>
      </c>
      <c r="C287" s="24">
        <f>896500+1803532.41</f>
        <v>2700032.41</v>
      </c>
      <c r="D287" s="4"/>
      <c r="E287" s="3"/>
      <c r="F287" s="4"/>
      <c r="G287" s="4"/>
      <c r="H287" s="4"/>
      <c r="I287" s="4"/>
      <c r="J287" s="4"/>
      <c r="K287" s="4"/>
      <c r="L287" s="4"/>
      <c r="M287" s="4"/>
      <c r="N287" s="4"/>
      <c r="O287" s="4"/>
      <c r="P287" s="4"/>
      <c r="Q287" s="4"/>
      <c r="R287" s="4"/>
      <c r="S287" s="4"/>
      <c r="T287" s="4"/>
      <c r="U287" s="4"/>
      <c r="V287" s="4"/>
      <c r="W287" s="4"/>
      <c r="X287" s="4"/>
    </row>
    <row r="288" spans="1:24" ht="12.75" customHeight="1">
      <c r="A288" s="48">
        <v>211207</v>
      </c>
      <c r="B288" s="26" t="s">
        <v>467</v>
      </c>
      <c r="C288" s="26">
        <f>SUM(C289:C293)</f>
        <v>224000</v>
      </c>
      <c r="D288" s="4"/>
      <c r="E288" s="3"/>
      <c r="F288" s="4"/>
      <c r="G288" s="4"/>
      <c r="H288" s="4"/>
      <c r="I288" s="4"/>
      <c r="J288" s="4"/>
      <c r="K288" s="4"/>
      <c r="L288" s="4"/>
      <c r="M288" s="4"/>
      <c r="N288" s="4"/>
      <c r="O288" s="4"/>
      <c r="P288" s="4"/>
      <c r="Q288" s="4"/>
      <c r="R288" s="4"/>
      <c r="S288" s="4"/>
      <c r="T288" s="4"/>
      <c r="U288" s="4"/>
      <c r="V288" s="4"/>
      <c r="W288" s="4"/>
      <c r="X288" s="4"/>
    </row>
    <row r="289" spans="1:24" ht="12.75" customHeight="1">
      <c r="A289" s="33">
        <v>21120702</v>
      </c>
      <c r="B289" s="24" t="s">
        <v>468</v>
      </c>
      <c r="C289" s="24">
        <v>80000</v>
      </c>
      <c r="D289" s="4"/>
      <c r="E289" s="34"/>
      <c r="F289" s="4"/>
      <c r="G289" s="4"/>
      <c r="H289" s="4"/>
      <c r="I289" s="4"/>
      <c r="J289" s="4"/>
      <c r="K289" s="4"/>
      <c r="L289" s="4"/>
      <c r="M289" s="4"/>
      <c r="N289" s="4"/>
      <c r="O289" s="4"/>
      <c r="P289" s="4"/>
      <c r="Q289" s="4"/>
      <c r="R289" s="4"/>
      <c r="S289" s="4"/>
      <c r="T289" s="4"/>
      <c r="U289" s="4"/>
      <c r="V289" s="4"/>
      <c r="W289" s="4"/>
      <c r="X289" s="4"/>
    </row>
    <row r="290" spans="1:24" ht="12.75" customHeight="1">
      <c r="A290" s="33">
        <v>21120708</v>
      </c>
      <c r="B290" s="13" t="s">
        <v>470</v>
      </c>
      <c r="C290" s="24">
        <v>30000</v>
      </c>
      <c r="D290" s="4"/>
      <c r="E290" s="34"/>
      <c r="F290" s="4"/>
      <c r="G290" s="4"/>
      <c r="H290" s="4"/>
      <c r="I290" s="4"/>
      <c r="J290" s="4"/>
      <c r="K290" s="4"/>
      <c r="L290" s="4"/>
      <c r="M290" s="4"/>
      <c r="N290" s="4"/>
      <c r="O290" s="4"/>
      <c r="P290" s="4"/>
      <c r="Q290" s="4"/>
      <c r="R290" s="4"/>
      <c r="S290" s="4"/>
      <c r="T290" s="4"/>
      <c r="U290" s="4"/>
      <c r="V290" s="4"/>
      <c r="W290" s="4"/>
      <c r="X290" s="4"/>
    </row>
    <row r="291" spans="1:24" ht="12.75" customHeight="1">
      <c r="A291" s="33">
        <v>21120709</v>
      </c>
      <c r="B291" s="24" t="s">
        <v>471</v>
      </c>
      <c r="C291" s="24">
        <v>35000</v>
      </c>
      <c r="D291" s="8"/>
      <c r="E291" s="8"/>
      <c r="F291" s="8"/>
      <c r="G291" s="8"/>
      <c r="H291" s="8"/>
      <c r="I291" s="8"/>
      <c r="J291" s="8"/>
      <c r="K291" s="8"/>
      <c r="L291" s="8"/>
      <c r="M291" s="8"/>
      <c r="N291" s="8"/>
      <c r="O291" s="8"/>
      <c r="P291" s="8"/>
      <c r="Q291" s="8"/>
      <c r="R291" s="8"/>
      <c r="S291" s="8"/>
      <c r="T291" s="8"/>
      <c r="U291" s="8"/>
      <c r="V291" s="8"/>
      <c r="W291" s="8"/>
      <c r="X291" s="8"/>
    </row>
    <row r="292" spans="1:24" ht="12.75" customHeight="1">
      <c r="A292" s="33">
        <v>21120710</v>
      </c>
      <c r="B292" s="24" t="s">
        <v>472</v>
      </c>
      <c r="C292" s="24">
        <v>60000</v>
      </c>
      <c r="D292" s="8"/>
      <c r="E292" s="8"/>
      <c r="F292" s="8"/>
      <c r="G292" s="8"/>
      <c r="H292" s="8"/>
      <c r="I292" s="8"/>
      <c r="J292" s="8"/>
      <c r="K292" s="8"/>
      <c r="L292" s="8"/>
      <c r="M292" s="8"/>
      <c r="N292" s="8"/>
      <c r="O292" s="8"/>
      <c r="P292" s="8"/>
      <c r="Q292" s="8"/>
      <c r="R292" s="8"/>
      <c r="S292" s="8"/>
      <c r="T292" s="8"/>
      <c r="U292" s="8"/>
      <c r="V292" s="8"/>
      <c r="W292" s="8"/>
      <c r="X292" s="8"/>
    </row>
    <row r="293" spans="1:24" ht="12.75" customHeight="1">
      <c r="A293" s="33">
        <v>21120711</v>
      </c>
      <c r="B293" s="24" t="s">
        <v>473</v>
      </c>
      <c r="C293" s="24">
        <v>19000</v>
      </c>
      <c r="D293" s="8"/>
      <c r="E293" s="8"/>
      <c r="F293" s="8"/>
      <c r="G293" s="8"/>
      <c r="H293" s="8"/>
      <c r="I293" s="8"/>
      <c r="J293" s="8"/>
      <c r="K293" s="8"/>
      <c r="L293" s="8"/>
      <c r="M293" s="8"/>
      <c r="N293" s="8"/>
      <c r="O293" s="8"/>
      <c r="P293" s="8"/>
      <c r="Q293" s="8"/>
      <c r="R293" s="8"/>
      <c r="S293" s="8"/>
      <c r="T293" s="8"/>
      <c r="U293" s="8"/>
      <c r="V293" s="8"/>
      <c r="W293" s="8"/>
      <c r="X293" s="8"/>
    </row>
    <row r="294" spans="1:24" ht="12.75" customHeight="1">
      <c r="A294" s="48">
        <v>211208</v>
      </c>
      <c r="B294" s="26" t="s">
        <v>474</v>
      </c>
      <c r="C294" s="26">
        <f>C295</f>
        <v>100000</v>
      </c>
      <c r="D294" s="4"/>
      <c r="E294" s="34"/>
      <c r="F294" s="4"/>
      <c r="G294" s="4"/>
      <c r="H294" s="4"/>
      <c r="I294" s="4"/>
      <c r="J294" s="4"/>
      <c r="K294" s="4"/>
      <c r="L294" s="4"/>
      <c r="M294" s="4"/>
      <c r="N294" s="4"/>
      <c r="O294" s="4"/>
      <c r="P294" s="4"/>
      <c r="Q294" s="4"/>
      <c r="R294" s="4"/>
      <c r="S294" s="4"/>
      <c r="T294" s="4"/>
      <c r="U294" s="4"/>
      <c r="V294" s="4"/>
      <c r="W294" s="4"/>
      <c r="X294" s="4"/>
    </row>
    <row r="295" spans="1:24" ht="12.75" customHeight="1">
      <c r="A295" s="33">
        <v>21120805</v>
      </c>
      <c r="B295" s="24" t="s">
        <v>476</v>
      </c>
      <c r="C295" s="24">
        <v>100000</v>
      </c>
      <c r="D295" s="4"/>
      <c r="E295" s="34"/>
      <c r="F295" s="4"/>
      <c r="G295" s="4"/>
      <c r="H295" s="4"/>
      <c r="I295" s="4"/>
      <c r="J295" s="4"/>
      <c r="K295" s="4"/>
      <c r="L295" s="4"/>
      <c r="M295" s="4"/>
      <c r="N295" s="4"/>
      <c r="O295" s="4"/>
      <c r="P295" s="4"/>
      <c r="Q295" s="4"/>
      <c r="R295" s="4"/>
      <c r="S295" s="4"/>
      <c r="T295" s="4"/>
      <c r="U295" s="4"/>
      <c r="V295" s="4"/>
      <c r="W295" s="4"/>
      <c r="X295" s="4"/>
    </row>
    <row r="296" spans="1:24" ht="12.75" customHeight="1">
      <c r="A296" s="48">
        <v>211209</v>
      </c>
      <c r="B296" s="26" t="s">
        <v>477</v>
      </c>
      <c r="C296" s="26">
        <f>+SUM(C297:C298)</f>
        <v>199000</v>
      </c>
      <c r="D296" s="4"/>
      <c r="E296" s="34"/>
      <c r="F296" s="4"/>
      <c r="G296" s="4"/>
      <c r="H296" s="4"/>
      <c r="I296" s="4"/>
      <c r="J296" s="4"/>
      <c r="K296" s="4"/>
      <c r="L296" s="4"/>
      <c r="M296" s="4"/>
      <c r="N296" s="4"/>
      <c r="O296" s="4"/>
      <c r="P296" s="4"/>
      <c r="Q296" s="4"/>
      <c r="R296" s="4"/>
      <c r="S296" s="4"/>
      <c r="T296" s="4"/>
      <c r="U296" s="4"/>
      <c r="V296" s="4"/>
      <c r="W296" s="4"/>
      <c r="X296" s="4"/>
    </row>
    <row r="297" spans="1:24" ht="12.75" customHeight="1">
      <c r="A297" s="33">
        <v>21120901</v>
      </c>
      <c r="B297" s="24" t="s">
        <v>478</v>
      </c>
      <c r="C297" s="24">
        <v>159000</v>
      </c>
      <c r="D297" s="33"/>
      <c r="E297" s="32"/>
      <c r="F297" s="4"/>
      <c r="G297" s="4"/>
      <c r="H297" s="4"/>
      <c r="I297" s="4"/>
      <c r="J297" s="4"/>
      <c r="K297" s="4"/>
      <c r="L297" s="4"/>
      <c r="M297" s="4"/>
      <c r="N297" s="4"/>
      <c r="O297" s="4"/>
      <c r="P297" s="4"/>
      <c r="Q297" s="4"/>
      <c r="R297" s="4"/>
      <c r="S297" s="4"/>
      <c r="T297" s="4"/>
      <c r="U297" s="4"/>
      <c r="V297" s="4"/>
      <c r="W297" s="4"/>
      <c r="X297" s="4"/>
    </row>
    <row r="298" spans="1:24" ht="12.75" customHeight="1">
      <c r="A298" s="33">
        <v>21120906</v>
      </c>
      <c r="B298" s="24" t="s">
        <v>479</v>
      </c>
      <c r="C298" s="24">
        <v>40000</v>
      </c>
      <c r="D298" s="4"/>
      <c r="E298" s="34"/>
      <c r="F298" s="4"/>
      <c r="G298" s="4"/>
      <c r="H298" s="4"/>
      <c r="I298" s="4"/>
      <c r="J298" s="4"/>
      <c r="K298" s="4"/>
      <c r="L298" s="4"/>
      <c r="M298" s="4"/>
      <c r="N298" s="4"/>
      <c r="O298" s="4"/>
      <c r="P298" s="4"/>
      <c r="Q298" s="4"/>
      <c r="R298" s="4"/>
      <c r="S298" s="4"/>
      <c r="T298" s="4"/>
      <c r="U298" s="4"/>
      <c r="V298" s="4"/>
      <c r="W298" s="4"/>
      <c r="X298" s="4"/>
    </row>
    <row r="299" spans="1:24" ht="12.75" customHeight="1" thickBot="1">
      <c r="A299" s="33"/>
      <c r="B299" s="24"/>
      <c r="C299" s="24"/>
      <c r="D299" s="4"/>
      <c r="E299" s="34"/>
      <c r="F299" s="4"/>
      <c r="G299" s="4"/>
      <c r="H299" s="4"/>
      <c r="I299" s="4"/>
      <c r="J299" s="4"/>
      <c r="K299" s="4"/>
      <c r="L299" s="4"/>
      <c r="M299" s="4"/>
      <c r="N299" s="4"/>
      <c r="O299" s="4"/>
      <c r="P299" s="4"/>
      <c r="Q299" s="4"/>
      <c r="R299" s="4"/>
      <c r="S299" s="4"/>
      <c r="T299" s="4"/>
      <c r="U299" s="4"/>
      <c r="V299" s="4"/>
      <c r="W299" s="4"/>
      <c r="X299" s="4"/>
    </row>
    <row r="300" spans="1:24" ht="12.75" customHeight="1" thickBot="1">
      <c r="A300" s="1298" t="s">
        <v>4</v>
      </c>
      <c r="B300" s="1281"/>
      <c r="C300" s="64">
        <f>C301+C303+C306+C309+C313+C316</f>
        <v>17075201.969999999</v>
      </c>
      <c r="D300" s="4"/>
      <c r="E300" s="34"/>
      <c r="F300" s="4"/>
      <c r="G300" s="4"/>
      <c r="H300" s="4"/>
      <c r="I300" s="4"/>
      <c r="J300" s="4"/>
      <c r="K300" s="4"/>
      <c r="L300" s="4"/>
      <c r="M300" s="4"/>
      <c r="N300" s="4"/>
      <c r="O300" s="4"/>
      <c r="P300" s="4"/>
      <c r="Q300" s="4"/>
      <c r="R300" s="4"/>
      <c r="S300" s="4"/>
      <c r="T300" s="4"/>
      <c r="U300" s="4"/>
      <c r="V300" s="4"/>
      <c r="W300" s="4"/>
      <c r="X300" s="4"/>
    </row>
    <row r="301" spans="1:24" ht="12.75" customHeight="1">
      <c r="A301" s="48">
        <v>211302</v>
      </c>
      <c r="B301" s="21" t="s">
        <v>481</v>
      </c>
      <c r="C301" s="49">
        <f>SUM(C302)</f>
        <v>346000</v>
      </c>
      <c r="D301" s="34"/>
      <c r="E301" s="34"/>
      <c r="F301" s="34"/>
      <c r="G301" s="34"/>
      <c r="H301" s="34"/>
      <c r="I301" s="34"/>
      <c r="J301" s="34"/>
      <c r="K301" s="34"/>
      <c r="L301" s="34"/>
      <c r="M301" s="34"/>
      <c r="N301" s="34"/>
      <c r="O301" s="34"/>
      <c r="P301" s="34"/>
      <c r="Q301" s="34"/>
      <c r="R301" s="34"/>
      <c r="S301" s="34"/>
      <c r="T301" s="34"/>
      <c r="U301" s="34"/>
      <c r="V301" s="34"/>
      <c r="W301" s="34"/>
      <c r="X301" s="34"/>
    </row>
    <row r="302" spans="1:24" ht="12.75" customHeight="1">
      <c r="A302" s="33">
        <v>21130204</v>
      </c>
      <c r="B302" s="23" t="s">
        <v>483</v>
      </c>
      <c r="C302" s="24">
        <v>346000</v>
      </c>
      <c r="D302" s="33"/>
      <c r="E302" s="32"/>
      <c r="F302" s="4"/>
      <c r="G302" s="4"/>
      <c r="H302" s="4"/>
      <c r="I302" s="4"/>
      <c r="J302" s="4"/>
      <c r="K302" s="4"/>
      <c r="L302" s="4"/>
      <c r="M302" s="4"/>
      <c r="N302" s="4"/>
      <c r="O302" s="4"/>
      <c r="P302" s="4"/>
      <c r="Q302" s="4"/>
      <c r="R302" s="4"/>
      <c r="S302" s="4"/>
      <c r="T302" s="4"/>
      <c r="U302" s="4"/>
      <c r="V302" s="4"/>
      <c r="W302" s="4"/>
      <c r="X302" s="4"/>
    </row>
    <row r="303" spans="1:24" ht="12.75" customHeight="1">
      <c r="A303" s="48">
        <v>211303</v>
      </c>
      <c r="B303" s="26" t="s">
        <v>484</v>
      </c>
      <c r="C303" s="26">
        <f>SUM(C304:C305)</f>
        <v>150000</v>
      </c>
      <c r="D303" s="33"/>
      <c r="E303" s="32"/>
      <c r="F303" s="4"/>
      <c r="G303" s="4"/>
      <c r="H303" s="4"/>
      <c r="I303" s="4"/>
      <c r="J303" s="4"/>
      <c r="K303" s="4"/>
      <c r="L303" s="4"/>
      <c r="M303" s="4"/>
      <c r="N303" s="4"/>
      <c r="O303" s="4"/>
      <c r="P303" s="4"/>
      <c r="Q303" s="4"/>
      <c r="R303" s="4"/>
      <c r="S303" s="4"/>
      <c r="T303" s="4"/>
      <c r="U303" s="4"/>
      <c r="V303" s="4"/>
      <c r="W303" s="4"/>
      <c r="X303" s="4"/>
    </row>
    <row r="304" spans="1:24" ht="13.5" customHeight="1">
      <c r="A304" s="40">
        <v>21130306</v>
      </c>
      <c r="B304" s="13" t="s">
        <v>487</v>
      </c>
      <c r="C304" s="14">
        <v>120000</v>
      </c>
      <c r="D304" s="8"/>
      <c r="E304" s="14"/>
      <c r="F304" s="30"/>
      <c r="G304" s="30"/>
      <c r="H304" s="8"/>
      <c r="I304" s="8"/>
      <c r="J304" s="8"/>
      <c r="K304" s="8"/>
      <c r="L304" s="8"/>
      <c r="M304" s="8"/>
      <c r="N304" s="8"/>
      <c r="O304" s="8"/>
      <c r="P304" s="8"/>
      <c r="Q304" s="8"/>
      <c r="R304" s="8"/>
      <c r="S304" s="8"/>
      <c r="T304" s="8"/>
      <c r="U304" s="8"/>
      <c r="V304" s="8"/>
      <c r="W304" s="8"/>
      <c r="X304" s="8"/>
    </row>
    <row r="305" spans="1:24" ht="12.75" customHeight="1">
      <c r="A305" s="33">
        <v>21130307</v>
      </c>
      <c r="B305" s="23" t="s">
        <v>488</v>
      </c>
      <c r="C305" s="24">
        <v>30000</v>
      </c>
      <c r="D305" s="4"/>
      <c r="E305" s="34"/>
      <c r="F305" s="4"/>
      <c r="G305" s="4"/>
      <c r="H305" s="4"/>
      <c r="I305" s="4"/>
      <c r="J305" s="4"/>
      <c r="K305" s="4"/>
      <c r="L305" s="4"/>
      <c r="M305" s="4"/>
      <c r="N305" s="4"/>
      <c r="O305" s="4"/>
      <c r="P305" s="4"/>
      <c r="Q305" s="4"/>
      <c r="R305" s="4"/>
      <c r="S305" s="4"/>
      <c r="T305" s="4"/>
      <c r="U305" s="4"/>
      <c r="V305" s="4"/>
      <c r="W305" s="4"/>
      <c r="X305" s="4"/>
    </row>
    <row r="306" spans="1:24" ht="12.75" customHeight="1">
      <c r="A306" s="48">
        <v>211305</v>
      </c>
      <c r="B306" s="21" t="s">
        <v>489</v>
      </c>
      <c r="C306" s="26">
        <f>SUM(C307:C308)</f>
        <v>612500</v>
      </c>
      <c r="D306" s="4"/>
      <c r="E306" s="34"/>
      <c r="F306" s="4"/>
      <c r="G306" s="4"/>
      <c r="H306" s="4"/>
      <c r="I306" s="4"/>
      <c r="J306" s="4"/>
      <c r="K306" s="4"/>
      <c r="L306" s="4"/>
      <c r="M306" s="4"/>
      <c r="N306" s="4"/>
      <c r="O306" s="4"/>
      <c r="P306" s="4"/>
      <c r="Q306" s="4"/>
      <c r="R306" s="4"/>
      <c r="S306" s="4"/>
      <c r="T306" s="4"/>
      <c r="U306" s="4"/>
      <c r="V306" s="4"/>
      <c r="W306" s="4"/>
      <c r="X306" s="4"/>
    </row>
    <row r="307" spans="1:24" ht="12.75" customHeight="1">
      <c r="A307" s="33">
        <v>21130501</v>
      </c>
      <c r="B307" s="13" t="s">
        <v>490</v>
      </c>
      <c r="C307" s="24">
        <v>112500</v>
      </c>
      <c r="D307" s="3"/>
      <c r="E307" s="34"/>
      <c r="F307" s="4"/>
      <c r="G307" s="4"/>
      <c r="H307" s="4"/>
      <c r="I307" s="4"/>
      <c r="J307" s="4"/>
      <c r="K307" s="4"/>
      <c r="L307" s="4"/>
      <c r="M307" s="4"/>
      <c r="N307" s="4"/>
      <c r="O307" s="4"/>
      <c r="P307" s="4"/>
      <c r="Q307" s="4"/>
      <c r="R307" s="4"/>
      <c r="S307" s="4"/>
      <c r="T307" s="4"/>
      <c r="U307" s="4"/>
      <c r="V307" s="4"/>
      <c r="W307" s="4"/>
      <c r="X307" s="4"/>
    </row>
    <row r="308" spans="1:24" ht="13.5" customHeight="1">
      <c r="A308" s="33">
        <v>21130502</v>
      </c>
      <c r="B308" s="24" t="s">
        <v>491</v>
      </c>
      <c r="C308" s="24">
        <v>500000</v>
      </c>
      <c r="D308" s="3"/>
      <c r="E308" s="24"/>
      <c r="F308" s="4"/>
      <c r="G308" s="4"/>
      <c r="H308" s="4"/>
      <c r="I308" s="4"/>
      <c r="J308" s="4"/>
      <c r="K308" s="4"/>
      <c r="L308" s="4"/>
      <c r="M308" s="4"/>
      <c r="N308" s="4"/>
      <c r="O308" s="4"/>
      <c r="P308" s="4"/>
      <c r="Q308" s="4"/>
      <c r="R308" s="4"/>
      <c r="S308" s="4"/>
      <c r="T308" s="4"/>
      <c r="U308" s="4"/>
      <c r="V308" s="4"/>
      <c r="W308" s="4"/>
      <c r="X308" s="4"/>
    </row>
    <row r="309" spans="1:24" ht="13.5" customHeight="1">
      <c r="A309" s="48">
        <v>211306</v>
      </c>
      <c r="B309" s="26" t="s">
        <v>492</v>
      </c>
      <c r="C309" s="26">
        <f>+SUM(C310:C312)</f>
        <v>320500</v>
      </c>
      <c r="D309" s="3"/>
      <c r="E309" s="24"/>
      <c r="F309" s="4"/>
      <c r="G309" s="4"/>
      <c r="H309" s="4"/>
      <c r="I309" s="4"/>
      <c r="J309" s="4"/>
      <c r="K309" s="4"/>
      <c r="L309" s="4"/>
      <c r="M309" s="4"/>
      <c r="N309" s="4"/>
      <c r="O309" s="4"/>
      <c r="P309" s="4"/>
      <c r="Q309" s="4"/>
      <c r="R309" s="4"/>
      <c r="S309" s="4"/>
      <c r="T309" s="4"/>
      <c r="U309" s="4"/>
      <c r="V309" s="4"/>
      <c r="W309" s="4"/>
      <c r="X309" s="4"/>
    </row>
    <row r="310" spans="1:24" ht="12.75" customHeight="1">
      <c r="A310" s="33">
        <v>21130604</v>
      </c>
      <c r="B310" s="23" t="s">
        <v>539</v>
      </c>
      <c r="C310" s="24">
        <v>62500</v>
      </c>
      <c r="D310" s="24"/>
      <c r="E310" s="24"/>
      <c r="F310" s="4"/>
      <c r="G310" s="4"/>
      <c r="H310" s="4"/>
      <c r="I310" s="4"/>
      <c r="J310" s="4"/>
      <c r="K310" s="4"/>
      <c r="L310" s="4"/>
      <c r="M310" s="4"/>
      <c r="N310" s="4"/>
      <c r="O310" s="4"/>
      <c r="P310" s="4"/>
      <c r="Q310" s="4"/>
      <c r="R310" s="4"/>
      <c r="S310" s="4"/>
      <c r="T310" s="4"/>
      <c r="U310" s="4"/>
      <c r="V310" s="4"/>
      <c r="W310" s="4"/>
      <c r="X310" s="4"/>
    </row>
    <row r="311" spans="1:24" ht="14.25" customHeight="1">
      <c r="A311" s="33">
        <v>21130607</v>
      </c>
      <c r="B311" s="24" t="s">
        <v>493</v>
      </c>
      <c r="C311" s="24">
        <v>36000</v>
      </c>
      <c r="D311" s="3"/>
      <c r="E311" s="24"/>
      <c r="F311" s="4"/>
      <c r="G311" s="4"/>
      <c r="H311" s="4"/>
      <c r="I311" s="4"/>
      <c r="J311" s="4"/>
      <c r="K311" s="4"/>
      <c r="L311" s="4"/>
      <c r="M311" s="4"/>
      <c r="N311" s="4"/>
      <c r="O311" s="4"/>
      <c r="P311" s="4"/>
      <c r="Q311" s="4"/>
      <c r="R311" s="4"/>
      <c r="S311" s="4"/>
      <c r="T311" s="4"/>
      <c r="U311" s="4"/>
      <c r="V311" s="4"/>
      <c r="W311" s="4"/>
      <c r="X311" s="4"/>
    </row>
    <row r="312" spans="1:24" ht="12.75" customHeight="1">
      <c r="A312" s="33">
        <v>21130608</v>
      </c>
      <c r="B312" s="24" t="s">
        <v>557</v>
      </c>
      <c r="C312" s="24">
        <v>222000</v>
      </c>
      <c r="D312" s="23"/>
      <c r="E312" s="168"/>
      <c r="F312" s="23"/>
      <c r="G312" s="23"/>
      <c r="H312" s="23"/>
      <c r="I312" s="23"/>
      <c r="J312" s="23"/>
      <c r="K312" s="23"/>
      <c r="L312" s="23"/>
      <c r="M312" s="23"/>
      <c r="N312" s="23"/>
      <c r="O312" s="23"/>
      <c r="P312" s="23"/>
      <c r="Q312" s="23"/>
      <c r="R312" s="23"/>
      <c r="S312" s="23"/>
      <c r="T312" s="23"/>
      <c r="U312" s="23"/>
      <c r="V312" s="23"/>
      <c r="W312" s="23"/>
      <c r="X312" s="23"/>
    </row>
    <row r="313" spans="1:24" ht="14.25" customHeight="1">
      <c r="A313" s="48">
        <v>211308</v>
      </c>
      <c r="B313" s="26" t="s">
        <v>559</v>
      </c>
      <c r="C313" s="26">
        <f>SUM(C314:C315)</f>
        <v>658000</v>
      </c>
      <c r="D313" s="3"/>
      <c r="E313" s="24"/>
      <c r="F313" s="4"/>
      <c r="G313" s="4"/>
      <c r="H313" s="4"/>
      <c r="I313" s="4"/>
      <c r="J313" s="4"/>
      <c r="K313" s="4"/>
      <c r="L313" s="4"/>
      <c r="M313" s="4"/>
      <c r="N313" s="4"/>
      <c r="O313" s="4"/>
      <c r="P313" s="4"/>
      <c r="Q313" s="4"/>
      <c r="R313" s="4"/>
      <c r="S313" s="4"/>
      <c r="T313" s="4"/>
      <c r="U313" s="4"/>
      <c r="V313" s="4"/>
      <c r="W313" s="4"/>
      <c r="X313" s="4"/>
    </row>
    <row r="314" spans="1:24" ht="13.5" customHeight="1">
      <c r="A314" s="33">
        <v>21130801</v>
      </c>
      <c r="B314" s="23" t="s">
        <v>612</v>
      </c>
      <c r="C314" s="24">
        <v>28000</v>
      </c>
      <c r="D314" s="3"/>
      <c r="E314" s="3"/>
      <c r="F314" s="4"/>
      <c r="G314" s="4"/>
      <c r="H314" s="4"/>
      <c r="I314" s="4"/>
      <c r="J314" s="4"/>
      <c r="K314" s="4"/>
      <c r="L314" s="4"/>
      <c r="M314" s="4"/>
      <c r="N314" s="4"/>
      <c r="O314" s="4"/>
      <c r="P314" s="4"/>
      <c r="Q314" s="4"/>
      <c r="R314" s="4"/>
      <c r="S314" s="4"/>
      <c r="T314" s="4"/>
      <c r="U314" s="4"/>
      <c r="V314" s="4"/>
      <c r="W314" s="4"/>
      <c r="X314" s="4"/>
    </row>
    <row r="315" spans="1:24" ht="12.75" customHeight="1">
      <c r="A315" s="33">
        <v>21130802</v>
      </c>
      <c r="B315" s="23" t="s">
        <v>613</v>
      </c>
      <c r="C315" s="24">
        <v>630000</v>
      </c>
      <c r="D315" s="24"/>
      <c r="E315" s="24"/>
      <c r="F315" s="4"/>
      <c r="G315" s="4"/>
      <c r="H315" s="4"/>
      <c r="I315" s="4"/>
      <c r="J315" s="4"/>
      <c r="K315" s="4"/>
      <c r="L315" s="4"/>
      <c r="M315" s="4"/>
      <c r="N315" s="4"/>
      <c r="O315" s="4"/>
      <c r="P315" s="4"/>
      <c r="Q315" s="4"/>
      <c r="R315" s="4"/>
      <c r="S315" s="4"/>
      <c r="T315" s="4"/>
      <c r="U315" s="4"/>
      <c r="V315" s="4"/>
      <c r="W315" s="4"/>
      <c r="X315" s="4"/>
    </row>
    <row r="316" spans="1:24" ht="12.75" customHeight="1">
      <c r="A316" s="48">
        <v>211309</v>
      </c>
      <c r="B316" s="26" t="s">
        <v>496</v>
      </c>
      <c r="C316" s="26">
        <f>+SUM(C317:C319)</f>
        <v>14988201.970000001</v>
      </c>
      <c r="D316" s="3"/>
      <c r="E316" s="34"/>
      <c r="F316" s="4"/>
      <c r="G316" s="4"/>
      <c r="H316" s="4"/>
      <c r="I316" s="4"/>
      <c r="J316" s="4"/>
      <c r="K316" s="4"/>
      <c r="L316" s="4"/>
      <c r="M316" s="4"/>
      <c r="N316" s="4"/>
      <c r="O316" s="4"/>
      <c r="P316" s="4"/>
      <c r="Q316" s="4"/>
      <c r="R316" s="4"/>
      <c r="S316" s="4"/>
      <c r="T316" s="4"/>
      <c r="U316" s="4"/>
      <c r="V316" s="4"/>
      <c r="W316" s="4"/>
      <c r="X316" s="4"/>
    </row>
    <row r="317" spans="1:24" ht="12.75" customHeight="1">
      <c r="A317" s="33">
        <v>21130901</v>
      </c>
      <c r="B317" s="24" t="s">
        <v>497</v>
      </c>
      <c r="C317" s="24">
        <f>2050000+12963201.97-200000</f>
        <v>14813201.970000001</v>
      </c>
      <c r="D317" s="3"/>
      <c r="E317" s="34"/>
      <c r="F317" s="4"/>
      <c r="G317" s="4"/>
      <c r="H317" s="4"/>
      <c r="I317" s="4"/>
      <c r="J317" s="4"/>
      <c r="K317" s="4"/>
      <c r="L317" s="4"/>
      <c r="M317" s="4"/>
      <c r="N317" s="4"/>
      <c r="O317" s="4"/>
      <c r="P317" s="4"/>
      <c r="Q317" s="4"/>
      <c r="R317" s="4"/>
      <c r="S317" s="4"/>
      <c r="T317" s="4"/>
      <c r="U317" s="4"/>
      <c r="V317" s="4"/>
      <c r="W317" s="4"/>
      <c r="X317" s="4"/>
    </row>
    <row r="318" spans="1:24" ht="12.75" customHeight="1">
      <c r="A318" s="33">
        <v>21130903</v>
      </c>
      <c r="B318" s="24" t="s">
        <v>498</v>
      </c>
      <c r="C318" s="24">
        <v>25000</v>
      </c>
      <c r="D318" s="3"/>
      <c r="E318" s="34"/>
      <c r="F318" s="4"/>
      <c r="G318" s="4"/>
      <c r="H318" s="4"/>
      <c r="I318" s="4"/>
      <c r="J318" s="4"/>
      <c r="K318" s="4"/>
      <c r="L318" s="4"/>
      <c r="M318" s="4"/>
      <c r="N318" s="4"/>
      <c r="O318" s="4"/>
      <c r="P318" s="4"/>
      <c r="Q318" s="4"/>
      <c r="R318" s="4"/>
      <c r="S318" s="4"/>
      <c r="T318" s="4"/>
      <c r="U318" s="4"/>
      <c r="V318" s="4"/>
      <c r="W318" s="4"/>
      <c r="X318" s="4"/>
    </row>
    <row r="319" spans="1:24" ht="12.75" customHeight="1">
      <c r="A319" s="33">
        <v>21130908</v>
      </c>
      <c r="B319" s="24" t="s">
        <v>500</v>
      </c>
      <c r="C319" s="24">
        <v>150000</v>
      </c>
      <c r="D319" s="3"/>
      <c r="E319" s="34"/>
      <c r="F319" s="4"/>
      <c r="G319" s="4"/>
      <c r="H319" s="4"/>
      <c r="I319" s="4"/>
      <c r="J319" s="4"/>
      <c r="K319" s="4"/>
      <c r="L319" s="4"/>
      <c r="M319" s="4"/>
      <c r="N319" s="4"/>
      <c r="O319" s="4"/>
      <c r="P319" s="4"/>
      <c r="Q319" s="4"/>
      <c r="R319" s="4"/>
      <c r="S319" s="4"/>
      <c r="T319" s="4"/>
      <c r="U319" s="4"/>
      <c r="V319" s="4"/>
      <c r="W319" s="4"/>
      <c r="X319" s="4"/>
    </row>
    <row r="320" spans="1:24" ht="12.75" customHeight="1" thickBot="1">
      <c r="A320" s="23"/>
      <c r="B320" s="24"/>
      <c r="C320" s="24"/>
      <c r="D320" s="3"/>
      <c r="E320" s="34"/>
      <c r="F320" s="4"/>
      <c r="G320" s="4"/>
      <c r="H320" s="4"/>
      <c r="I320" s="4"/>
      <c r="J320" s="4"/>
      <c r="K320" s="4"/>
      <c r="L320" s="4"/>
      <c r="M320" s="4"/>
      <c r="N320" s="4"/>
      <c r="O320" s="4"/>
      <c r="P320" s="4"/>
      <c r="Q320" s="4"/>
      <c r="R320" s="4"/>
      <c r="S320" s="4"/>
      <c r="T320" s="4"/>
      <c r="U320" s="4"/>
      <c r="V320" s="4"/>
      <c r="W320" s="4"/>
      <c r="X320" s="4"/>
    </row>
    <row r="321" spans="1:24" ht="12.75" customHeight="1" thickBot="1">
      <c r="A321" s="1299" t="s">
        <v>48</v>
      </c>
      <c r="B321" s="1281"/>
      <c r="C321" s="65">
        <f>C322+C326</f>
        <v>3661000</v>
      </c>
      <c r="D321" s="4"/>
      <c r="E321" s="34"/>
      <c r="F321" s="4"/>
      <c r="G321" s="4"/>
      <c r="H321" s="4"/>
      <c r="I321" s="4"/>
      <c r="J321" s="4"/>
      <c r="K321" s="4"/>
      <c r="L321" s="4"/>
      <c r="M321" s="4"/>
      <c r="N321" s="4"/>
      <c r="O321" s="4"/>
      <c r="P321" s="4"/>
      <c r="Q321" s="4"/>
      <c r="R321" s="4"/>
      <c r="S321" s="4"/>
      <c r="T321" s="4"/>
      <c r="U321" s="4"/>
      <c r="V321" s="4"/>
      <c r="W321" s="4"/>
      <c r="X321" s="4"/>
    </row>
    <row r="322" spans="1:24" ht="12.75" customHeight="1">
      <c r="A322" s="48">
        <v>221104</v>
      </c>
      <c r="B322" s="21" t="s">
        <v>510</v>
      </c>
      <c r="C322" s="26">
        <f>SUM(C323:C325)</f>
        <v>1086000</v>
      </c>
      <c r="D322" s="34"/>
      <c r="E322" s="34"/>
      <c r="F322" s="34"/>
      <c r="G322" s="34"/>
      <c r="H322" s="34"/>
      <c r="I322" s="34"/>
      <c r="J322" s="34"/>
      <c r="K322" s="34"/>
      <c r="L322" s="34"/>
      <c r="M322" s="34"/>
      <c r="N322" s="34"/>
      <c r="O322" s="34"/>
      <c r="P322" s="34"/>
      <c r="Q322" s="34"/>
      <c r="R322" s="34"/>
      <c r="S322" s="34"/>
      <c r="T322" s="34"/>
      <c r="U322" s="34"/>
      <c r="V322" s="34"/>
      <c r="W322" s="34"/>
      <c r="X322" s="34"/>
    </row>
    <row r="323" spans="1:24" ht="13.5" customHeight="1">
      <c r="A323" s="33">
        <v>22110401</v>
      </c>
      <c r="B323" s="23" t="s">
        <v>511</v>
      </c>
      <c r="C323" s="24">
        <v>620000</v>
      </c>
      <c r="D323" s="4"/>
      <c r="E323" s="34"/>
      <c r="F323" s="4"/>
      <c r="G323" s="4"/>
      <c r="H323" s="4"/>
      <c r="I323" s="4"/>
      <c r="J323" s="4"/>
      <c r="K323" s="4"/>
      <c r="L323" s="4"/>
      <c r="M323" s="4"/>
      <c r="N323" s="4"/>
      <c r="O323" s="4"/>
      <c r="P323" s="4"/>
      <c r="Q323" s="4"/>
      <c r="R323" s="4"/>
      <c r="S323" s="4"/>
      <c r="T323" s="4"/>
      <c r="U323" s="4"/>
      <c r="V323" s="4"/>
      <c r="W323" s="4"/>
      <c r="X323" s="4"/>
    </row>
    <row r="324" spans="1:24" ht="12.75" customHeight="1">
      <c r="A324" s="33">
        <v>22110404</v>
      </c>
      <c r="B324" s="23" t="s">
        <v>512</v>
      </c>
      <c r="C324" s="24">
        <v>242000</v>
      </c>
      <c r="D324" s="4"/>
      <c r="E324" s="34"/>
      <c r="F324" s="4"/>
      <c r="G324" s="4"/>
      <c r="H324" s="4"/>
      <c r="I324" s="4"/>
      <c r="J324" s="4"/>
      <c r="K324" s="4"/>
      <c r="L324" s="4"/>
      <c r="M324" s="4"/>
      <c r="N324" s="4"/>
      <c r="O324" s="4"/>
      <c r="P324" s="4"/>
      <c r="Q324" s="4"/>
      <c r="R324" s="4"/>
      <c r="S324" s="4"/>
      <c r="T324" s="4"/>
      <c r="U324" s="4"/>
      <c r="V324" s="4"/>
      <c r="W324" s="4"/>
      <c r="X324" s="4"/>
    </row>
    <row r="325" spans="1:24" ht="13.5" customHeight="1">
      <c r="A325" s="33">
        <v>22110409</v>
      </c>
      <c r="B325" s="24" t="s">
        <v>513</v>
      </c>
      <c r="C325" s="24">
        <v>224000</v>
      </c>
      <c r="D325" s="40"/>
      <c r="E325" s="14"/>
      <c r="F325" s="13"/>
      <c r="G325" s="13"/>
      <c r="H325" s="13"/>
      <c r="I325" s="13"/>
      <c r="J325" s="13"/>
      <c r="K325" s="13"/>
      <c r="L325" s="13"/>
      <c r="M325" s="13"/>
      <c r="N325" s="13"/>
      <c r="O325" s="13"/>
      <c r="P325" s="13"/>
      <c r="Q325" s="13"/>
      <c r="R325" s="13"/>
      <c r="S325" s="13"/>
      <c r="T325" s="13"/>
      <c r="U325" s="13"/>
      <c r="V325" s="13"/>
      <c r="W325" s="13"/>
      <c r="X325" s="13"/>
    </row>
    <row r="326" spans="1:24" ht="13.5" customHeight="1">
      <c r="A326" s="48">
        <v>221107</v>
      </c>
      <c r="B326" s="26" t="s">
        <v>514</v>
      </c>
      <c r="C326" s="26">
        <f>SUM(C327)</f>
        <v>2575000</v>
      </c>
      <c r="D326" s="4"/>
      <c r="E326" s="34"/>
      <c r="F326" s="4"/>
      <c r="G326" s="4"/>
      <c r="H326" s="4"/>
      <c r="I326" s="4"/>
      <c r="J326" s="4"/>
      <c r="K326" s="4"/>
      <c r="L326" s="4"/>
      <c r="M326" s="4"/>
      <c r="N326" s="4"/>
      <c r="O326" s="4"/>
      <c r="P326" s="4"/>
      <c r="Q326" s="4"/>
      <c r="R326" s="4"/>
      <c r="S326" s="4"/>
      <c r="T326" s="4"/>
      <c r="U326" s="4"/>
      <c r="V326" s="4"/>
      <c r="W326" s="4"/>
      <c r="X326" s="4"/>
    </row>
    <row r="327" spans="1:24" ht="13.5" customHeight="1">
      <c r="A327" s="33">
        <v>22110702</v>
      </c>
      <c r="B327" s="24" t="s">
        <v>515</v>
      </c>
      <c r="C327" s="24">
        <f>100000+3375000-900000</f>
        <v>2575000</v>
      </c>
      <c r="D327" s="4"/>
      <c r="E327" s="34"/>
      <c r="F327" s="4"/>
      <c r="G327" s="4"/>
      <c r="H327" s="4"/>
      <c r="I327" s="4"/>
      <c r="J327" s="4"/>
      <c r="K327" s="4"/>
      <c r="L327" s="4"/>
      <c r="M327" s="4"/>
      <c r="N327" s="4"/>
      <c r="O327" s="4"/>
      <c r="P327" s="4"/>
      <c r="Q327" s="4"/>
      <c r="R327" s="4"/>
      <c r="S327" s="4"/>
      <c r="T327" s="4"/>
      <c r="U327" s="4"/>
      <c r="V327" s="4"/>
      <c r="W327" s="4"/>
      <c r="X327" s="4"/>
    </row>
    <row r="328" spans="1:24" ht="12.75" customHeight="1">
      <c r="A328" s="34"/>
      <c r="B328" s="4"/>
      <c r="C328" s="3"/>
      <c r="D328" s="4"/>
      <c r="E328" s="34"/>
      <c r="F328" s="4"/>
      <c r="G328" s="4"/>
      <c r="H328" s="4"/>
      <c r="I328" s="4"/>
      <c r="J328" s="4"/>
      <c r="K328" s="4"/>
      <c r="L328" s="4"/>
      <c r="M328" s="4"/>
      <c r="N328" s="4"/>
      <c r="O328" s="4"/>
      <c r="P328" s="4"/>
      <c r="Q328" s="4"/>
      <c r="R328" s="4"/>
      <c r="S328" s="4"/>
      <c r="T328" s="4"/>
      <c r="U328" s="4"/>
      <c r="V328" s="4"/>
      <c r="W328" s="4"/>
      <c r="X328" s="4"/>
    </row>
    <row r="329" spans="1:24" ht="12.75" customHeight="1" thickBot="1">
      <c r="A329" s="4"/>
      <c r="B329" s="4"/>
      <c r="C329" s="3"/>
      <c r="D329" s="4"/>
      <c r="E329" s="34"/>
      <c r="F329" s="45"/>
      <c r="G329" s="45"/>
      <c r="H329" s="45"/>
      <c r="I329" s="45"/>
      <c r="J329" s="45"/>
      <c r="K329" s="45"/>
      <c r="L329" s="45"/>
      <c r="M329" s="45"/>
      <c r="N329" s="45"/>
      <c r="O329" s="45"/>
      <c r="P329" s="45"/>
      <c r="Q329" s="45"/>
      <c r="R329" s="45"/>
      <c r="S329" s="45"/>
      <c r="T329" s="45"/>
      <c r="U329" s="45"/>
      <c r="V329" s="45"/>
      <c r="W329" s="45"/>
      <c r="X329" s="45"/>
    </row>
    <row r="330" spans="1:24" ht="12.75" customHeight="1">
      <c r="A330" s="1334" t="s">
        <v>892</v>
      </c>
      <c r="B330" s="1336"/>
      <c r="C330" s="1161" t="s">
        <v>741</v>
      </c>
      <c r="D330" s="4"/>
      <c r="E330" s="34"/>
      <c r="F330" s="45"/>
      <c r="G330" s="45"/>
      <c r="H330" s="45"/>
      <c r="I330" s="45"/>
      <c r="J330" s="45"/>
      <c r="K330" s="45"/>
      <c r="L330" s="45"/>
      <c r="M330" s="45"/>
      <c r="N330" s="45"/>
      <c r="O330" s="45"/>
      <c r="P330" s="45"/>
      <c r="Q330" s="45"/>
      <c r="R330" s="45"/>
      <c r="S330" s="45"/>
      <c r="T330" s="45"/>
      <c r="U330" s="45"/>
      <c r="V330" s="45"/>
      <c r="W330" s="45"/>
      <c r="X330" s="45"/>
    </row>
    <row r="331" spans="1:24" ht="12.75" customHeight="1" thickBot="1">
      <c r="A331" s="1337"/>
      <c r="B331" s="1338"/>
      <c r="C331" s="1491"/>
      <c r="D331" s="4"/>
      <c r="E331" s="34"/>
      <c r="F331" s="45"/>
      <c r="G331" s="45"/>
      <c r="H331" s="45"/>
      <c r="I331" s="45"/>
      <c r="J331" s="45"/>
      <c r="K331" s="45"/>
      <c r="L331" s="45"/>
      <c r="M331" s="45"/>
      <c r="N331" s="45"/>
      <c r="O331" s="45"/>
      <c r="P331" s="45"/>
      <c r="Q331" s="45"/>
      <c r="R331" s="45"/>
      <c r="S331" s="45"/>
      <c r="T331" s="45"/>
      <c r="U331" s="45"/>
      <c r="V331" s="45"/>
      <c r="W331" s="45"/>
      <c r="X331" s="45"/>
    </row>
    <row r="332" spans="1:24" ht="12.75" customHeight="1">
      <c r="A332" s="1028" t="s">
        <v>675</v>
      </c>
      <c r="B332" s="808"/>
      <c r="C332" s="1029"/>
      <c r="D332" s="4"/>
      <c r="E332" s="34"/>
      <c r="F332" s="4"/>
      <c r="G332" s="4"/>
      <c r="H332" s="4"/>
      <c r="I332" s="4"/>
      <c r="J332" s="4"/>
      <c r="K332" s="4"/>
      <c r="L332" s="4"/>
      <c r="M332" s="4"/>
      <c r="N332" s="4"/>
      <c r="O332" s="4"/>
      <c r="P332" s="4"/>
      <c r="Q332" s="4"/>
      <c r="R332" s="4"/>
      <c r="S332" s="4"/>
      <c r="T332" s="4"/>
      <c r="U332" s="4"/>
      <c r="V332" s="4"/>
      <c r="W332" s="4"/>
      <c r="X332" s="4"/>
    </row>
    <row r="333" spans="1:24" ht="12.75" customHeight="1">
      <c r="A333" s="1028" t="s">
        <v>714</v>
      </c>
      <c r="B333" s="808"/>
      <c r="C333" s="1029"/>
      <c r="D333" s="4"/>
      <c r="E333" s="34"/>
      <c r="F333" s="4"/>
      <c r="G333" s="4"/>
      <c r="H333" s="4"/>
      <c r="I333" s="4"/>
      <c r="J333" s="4"/>
      <c r="K333" s="4"/>
      <c r="L333" s="4"/>
      <c r="M333" s="4"/>
      <c r="N333" s="4"/>
      <c r="O333" s="4"/>
      <c r="P333" s="4"/>
      <c r="Q333" s="4"/>
      <c r="R333" s="4"/>
      <c r="S333" s="4"/>
      <c r="T333" s="4"/>
      <c r="U333" s="4"/>
      <c r="V333" s="4"/>
      <c r="W333" s="4"/>
      <c r="X333" s="4"/>
    </row>
    <row r="334" spans="1:24" ht="12.75" customHeight="1">
      <c r="A334" s="1028" t="s">
        <v>715</v>
      </c>
      <c r="B334" s="808"/>
      <c r="C334" s="1029"/>
      <c r="D334" s="4"/>
      <c r="E334" s="34"/>
      <c r="F334" s="4"/>
      <c r="G334" s="4"/>
      <c r="H334" s="4"/>
      <c r="I334" s="4"/>
      <c r="J334" s="4"/>
      <c r="K334" s="4"/>
      <c r="L334" s="4"/>
      <c r="M334" s="4"/>
      <c r="N334" s="4"/>
      <c r="O334" s="4"/>
      <c r="P334" s="4"/>
      <c r="Q334" s="4"/>
      <c r="R334" s="4"/>
      <c r="S334" s="4"/>
      <c r="T334" s="4"/>
      <c r="U334" s="4"/>
      <c r="V334" s="4"/>
      <c r="W334" s="4"/>
      <c r="X334" s="4"/>
    </row>
    <row r="335" spans="1:24" ht="12.75" customHeight="1" thickBot="1">
      <c r="A335" s="1125" t="s">
        <v>0</v>
      </c>
      <c r="B335" s="982"/>
      <c r="C335" s="1029"/>
      <c r="D335" s="4"/>
      <c r="E335" s="34"/>
      <c r="F335" s="4"/>
      <c r="G335" s="4"/>
      <c r="H335" s="4"/>
      <c r="I335" s="4"/>
      <c r="J335" s="4"/>
      <c r="K335" s="4"/>
      <c r="L335" s="4"/>
      <c r="M335" s="4"/>
      <c r="N335" s="4"/>
      <c r="O335" s="4"/>
      <c r="P335" s="4"/>
      <c r="Q335" s="4"/>
      <c r="R335" s="4"/>
      <c r="S335" s="4"/>
      <c r="T335" s="4"/>
      <c r="U335" s="4"/>
      <c r="V335" s="4"/>
      <c r="W335" s="4"/>
      <c r="X335" s="4"/>
    </row>
    <row r="336" spans="1:24" ht="12.75" customHeight="1" thickBot="1">
      <c r="A336" s="1171" t="s">
        <v>1</v>
      </c>
      <c r="B336" s="1186"/>
      <c r="C336" s="1033">
        <f>C338+C358+C376</f>
        <v>189548734.38</v>
      </c>
      <c r="D336" s="4"/>
      <c r="E336" s="60"/>
      <c r="F336" s="4"/>
      <c r="G336" s="4"/>
      <c r="H336" s="4"/>
      <c r="I336" s="4"/>
      <c r="J336" s="4"/>
      <c r="K336" s="4"/>
      <c r="L336" s="4"/>
      <c r="M336" s="4"/>
      <c r="N336" s="4"/>
      <c r="O336" s="4"/>
      <c r="P336" s="4"/>
      <c r="Q336" s="4"/>
      <c r="R336" s="4"/>
      <c r="S336" s="4"/>
      <c r="T336" s="4"/>
      <c r="U336" s="4"/>
      <c r="V336" s="4"/>
      <c r="W336" s="4"/>
      <c r="X336" s="4"/>
    </row>
    <row r="337" spans="1:24" ht="12.75" customHeight="1" thickBot="1">
      <c r="A337" s="21"/>
      <c r="B337" s="21"/>
      <c r="C337" s="26"/>
      <c r="D337" s="61"/>
      <c r="E337" s="34"/>
      <c r="F337" s="4"/>
      <c r="G337" s="4"/>
      <c r="H337" s="4"/>
      <c r="I337" s="4"/>
      <c r="J337" s="4"/>
      <c r="K337" s="4"/>
      <c r="L337" s="4"/>
      <c r="M337" s="4"/>
      <c r="N337" s="4"/>
      <c r="O337" s="4"/>
      <c r="P337" s="4"/>
      <c r="Q337" s="4"/>
      <c r="R337" s="4"/>
      <c r="S337" s="4"/>
      <c r="T337" s="4"/>
      <c r="U337" s="4"/>
      <c r="V337" s="4"/>
      <c r="W337" s="4"/>
      <c r="X337" s="4"/>
    </row>
    <row r="338" spans="1:24" ht="12.75" customHeight="1" thickBot="1">
      <c r="A338" s="1297" t="s">
        <v>9</v>
      </c>
      <c r="B338" s="1281"/>
      <c r="C338" s="62">
        <f>+C341+C343+C345+C351+C354+C339</f>
        <v>5791032.4100000001</v>
      </c>
      <c r="D338" s="61"/>
      <c r="E338" s="34"/>
      <c r="F338" s="4"/>
      <c r="G338" s="4"/>
      <c r="H338" s="4"/>
      <c r="I338" s="4"/>
      <c r="J338" s="4"/>
      <c r="K338" s="4"/>
      <c r="L338" s="4"/>
      <c r="M338" s="4"/>
      <c r="N338" s="4"/>
      <c r="O338" s="4"/>
      <c r="P338" s="4"/>
      <c r="Q338" s="4"/>
      <c r="R338" s="4"/>
      <c r="S338" s="4"/>
      <c r="T338" s="4"/>
      <c r="U338" s="4"/>
      <c r="V338" s="4"/>
      <c r="W338" s="4"/>
      <c r="X338" s="4"/>
    </row>
    <row r="339" spans="1:24" ht="13.5" customHeight="1">
      <c r="A339" s="48">
        <v>211201</v>
      </c>
      <c r="B339" s="48" t="s">
        <v>459</v>
      </c>
      <c r="C339" s="49">
        <f>C340</f>
        <v>196500</v>
      </c>
      <c r="D339" s="33"/>
      <c r="E339" s="34"/>
      <c r="F339" s="33"/>
      <c r="G339" s="33"/>
      <c r="H339" s="33"/>
      <c r="I339" s="33"/>
      <c r="J339" s="33"/>
      <c r="K339" s="33"/>
      <c r="L339" s="33"/>
      <c r="M339" s="33"/>
      <c r="N339" s="33"/>
      <c r="O339" s="33"/>
      <c r="P339" s="33"/>
      <c r="Q339" s="33"/>
      <c r="R339" s="33"/>
      <c r="S339" s="33"/>
      <c r="T339" s="33"/>
      <c r="U339" s="33"/>
      <c r="V339" s="33"/>
      <c r="W339" s="33"/>
      <c r="X339" s="33"/>
    </row>
    <row r="340" spans="1:24" ht="13.5" customHeight="1">
      <c r="A340" s="33">
        <v>21120101</v>
      </c>
      <c r="B340" s="23" t="s">
        <v>460</v>
      </c>
      <c r="C340" s="24">
        <v>196500</v>
      </c>
      <c r="D340" s="32"/>
      <c r="E340" s="32"/>
      <c r="F340" s="23"/>
      <c r="G340" s="23"/>
      <c r="H340" s="23"/>
      <c r="I340" s="23"/>
      <c r="J340" s="23"/>
      <c r="K340" s="23"/>
      <c r="L340" s="23"/>
      <c r="M340" s="23"/>
      <c r="N340" s="23"/>
      <c r="O340" s="23"/>
      <c r="P340" s="23"/>
      <c r="Q340" s="23"/>
      <c r="R340" s="23"/>
      <c r="S340" s="23"/>
      <c r="T340" s="23"/>
      <c r="U340" s="23"/>
      <c r="V340" s="23"/>
      <c r="W340" s="23"/>
      <c r="X340" s="23"/>
    </row>
    <row r="341" spans="1:24" ht="12.75" customHeight="1">
      <c r="A341" s="48">
        <v>211203</v>
      </c>
      <c r="B341" s="21" t="s">
        <v>461</v>
      </c>
      <c r="C341" s="26">
        <f>C342</f>
        <v>24000</v>
      </c>
      <c r="D341" s="61"/>
      <c r="E341" s="34"/>
      <c r="F341" s="4"/>
      <c r="G341" s="4"/>
      <c r="H341" s="4"/>
      <c r="I341" s="4"/>
      <c r="J341" s="4"/>
      <c r="K341" s="4"/>
      <c r="L341" s="4"/>
      <c r="M341" s="4"/>
      <c r="N341" s="4"/>
      <c r="O341" s="4"/>
      <c r="P341" s="4"/>
      <c r="Q341" s="4"/>
      <c r="R341" s="4"/>
      <c r="S341" s="4"/>
      <c r="T341" s="4"/>
      <c r="U341" s="4"/>
      <c r="V341" s="4"/>
      <c r="W341" s="4"/>
      <c r="X341" s="4"/>
    </row>
    <row r="342" spans="1:24" ht="12.75" customHeight="1">
      <c r="A342" s="33">
        <v>21120302</v>
      </c>
      <c r="B342" s="23" t="s">
        <v>462</v>
      </c>
      <c r="C342" s="24">
        <v>24000</v>
      </c>
      <c r="D342" s="4"/>
      <c r="E342" s="34"/>
      <c r="F342" s="4"/>
      <c r="G342" s="4"/>
      <c r="H342" s="4"/>
      <c r="I342" s="4"/>
      <c r="J342" s="4"/>
      <c r="K342" s="4"/>
      <c r="L342" s="4"/>
      <c r="M342" s="4"/>
      <c r="N342" s="4"/>
      <c r="O342" s="4"/>
      <c r="P342" s="4"/>
      <c r="Q342" s="4"/>
      <c r="R342" s="4"/>
      <c r="S342" s="4"/>
      <c r="T342" s="4"/>
      <c r="U342" s="4"/>
      <c r="V342" s="4"/>
      <c r="W342" s="4"/>
      <c r="X342" s="4"/>
    </row>
    <row r="343" spans="1:24" ht="12.75" customHeight="1">
      <c r="A343" s="48">
        <v>211204</v>
      </c>
      <c r="B343" s="21" t="s">
        <v>463</v>
      </c>
      <c r="C343" s="26">
        <f>C344</f>
        <v>4895532.41</v>
      </c>
      <c r="D343" s="4"/>
      <c r="E343" s="34"/>
      <c r="F343" s="4"/>
      <c r="G343" s="4"/>
      <c r="H343" s="4"/>
      <c r="I343" s="4"/>
      <c r="J343" s="4"/>
      <c r="K343" s="4"/>
      <c r="L343" s="4"/>
      <c r="M343" s="4"/>
      <c r="N343" s="4"/>
      <c r="O343" s="4"/>
      <c r="P343" s="4"/>
      <c r="Q343" s="4"/>
      <c r="R343" s="4"/>
      <c r="S343" s="4"/>
      <c r="T343" s="4"/>
      <c r="U343" s="4"/>
      <c r="V343" s="4"/>
      <c r="W343" s="4"/>
      <c r="X343" s="4"/>
    </row>
    <row r="344" spans="1:24" ht="12.75" customHeight="1">
      <c r="A344" s="33">
        <v>21120401</v>
      </c>
      <c r="B344" s="24" t="s">
        <v>464</v>
      </c>
      <c r="C344" s="51">
        <f>3092000+1803532.41</f>
        <v>4895532.41</v>
      </c>
      <c r="D344" s="4"/>
      <c r="E344" s="34"/>
      <c r="F344" s="4"/>
      <c r="G344" s="4"/>
      <c r="H344" s="4"/>
      <c r="I344" s="4"/>
      <c r="J344" s="4"/>
      <c r="K344" s="4"/>
      <c r="L344" s="4"/>
      <c r="M344" s="4"/>
      <c r="N344" s="4"/>
      <c r="O344" s="4"/>
      <c r="P344" s="4"/>
      <c r="Q344" s="4"/>
      <c r="R344" s="4"/>
      <c r="S344" s="4"/>
      <c r="T344" s="4"/>
      <c r="U344" s="4"/>
      <c r="V344" s="4"/>
      <c r="W344" s="4"/>
      <c r="X344" s="4"/>
    </row>
    <row r="345" spans="1:24" ht="12.75" customHeight="1">
      <c r="A345" s="48">
        <v>211207</v>
      </c>
      <c r="B345" s="26" t="s">
        <v>467</v>
      </c>
      <c r="C345" s="26">
        <f>SUM(C346:C350)</f>
        <v>255000</v>
      </c>
      <c r="D345" s="4"/>
      <c r="E345" s="34"/>
      <c r="F345" s="4"/>
      <c r="G345" s="4"/>
      <c r="H345" s="4"/>
      <c r="I345" s="4"/>
      <c r="J345" s="4"/>
      <c r="K345" s="4"/>
      <c r="L345" s="4"/>
      <c r="M345" s="4"/>
      <c r="N345" s="4"/>
      <c r="O345" s="4"/>
      <c r="P345" s="4"/>
      <c r="Q345" s="4"/>
      <c r="R345" s="4"/>
      <c r="S345" s="4"/>
      <c r="T345" s="4"/>
      <c r="U345" s="4"/>
      <c r="V345" s="4"/>
      <c r="W345" s="4"/>
      <c r="X345" s="4"/>
    </row>
    <row r="346" spans="1:24" ht="12.75" customHeight="1">
      <c r="A346" s="33">
        <v>21120702</v>
      </c>
      <c r="B346" s="24" t="s">
        <v>468</v>
      </c>
      <c r="C346" s="24">
        <v>90000</v>
      </c>
      <c r="D346" s="4"/>
      <c r="E346" s="34"/>
      <c r="F346" s="4"/>
      <c r="G346" s="4"/>
      <c r="H346" s="4"/>
      <c r="I346" s="4"/>
      <c r="J346" s="4"/>
      <c r="K346" s="4"/>
      <c r="L346" s="4"/>
      <c r="M346" s="4"/>
      <c r="N346" s="4"/>
      <c r="O346" s="4"/>
      <c r="P346" s="4"/>
      <c r="Q346" s="4"/>
      <c r="R346" s="4"/>
      <c r="S346" s="4"/>
      <c r="T346" s="4"/>
      <c r="U346" s="4"/>
      <c r="V346" s="4"/>
      <c r="W346" s="4"/>
      <c r="X346" s="4"/>
    </row>
    <row r="347" spans="1:24" ht="12.75" customHeight="1">
      <c r="A347" s="33">
        <v>21120708</v>
      </c>
      <c r="B347" s="13" t="s">
        <v>470</v>
      </c>
      <c r="C347" s="24">
        <v>25000</v>
      </c>
      <c r="D347" s="4"/>
      <c r="E347" s="34"/>
      <c r="F347" s="4"/>
      <c r="G347" s="4"/>
      <c r="H347" s="4"/>
      <c r="I347" s="4"/>
      <c r="J347" s="4"/>
      <c r="K347" s="4"/>
      <c r="L347" s="4"/>
      <c r="M347" s="4"/>
      <c r="N347" s="4"/>
      <c r="O347" s="4"/>
      <c r="P347" s="4"/>
      <c r="Q347" s="4"/>
      <c r="R347" s="4"/>
      <c r="S347" s="4"/>
      <c r="T347" s="4"/>
      <c r="U347" s="4"/>
      <c r="V347" s="4"/>
      <c r="W347" s="4"/>
      <c r="X347" s="4"/>
    </row>
    <row r="348" spans="1:24" ht="12.75" customHeight="1">
      <c r="A348" s="33">
        <v>21120709</v>
      </c>
      <c r="B348" s="24" t="s">
        <v>471</v>
      </c>
      <c r="C348" s="24">
        <v>60000</v>
      </c>
      <c r="D348" s="8"/>
      <c r="E348" s="8"/>
      <c r="F348" s="8"/>
      <c r="G348" s="8"/>
      <c r="H348" s="8"/>
      <c r="I348" s="8"/>
      <c r="J348" s="8"/>
      <c r="K348" s="8"/>
      <c r="L348" s="8"/>
      <c r="M348" s="8"/>
      <c r="N348" s="8"/>
      <c r="O348" s="8"/>
      <c r="P348" s="8"/>
      <c r="Q348" s="8"/>
      <c r="R348" s="8"/>
      <c r="S348" s="8"/>
      <c r="T348" s="8"/>
      <c r="U348" s="8"/>
      <c r="V348" s="8"/>
      <c r="W348" s="8"/>
      <c r="X348" s="8"/>
    </row>
    <row r="349" spans="1:24" ht="12.75" customHeight="1">
      <c r="A349" s="33">
        <v>21120710</v>
      </c>
      <c r="B349" s="24" t="s">
        <v>472</v>
      </c>
      <c r="C349" s="24">
        <v>40000</v>
      </c>
      <c r="D349" s="8"/>
      <c r="E349" s="8"/>
      <c r="F349" s="8"/>
      <c r="G349" s="8"/>
      <c r="H349" s="8"/>
      <c r="I349" s="8"/>
      <c r="J349" s="8"/>
      <c r="K349" s="8"/>
      <c r="L349" s="8"/>
      <c r="M349" s="8"/>
      <c r="N349" s="8"/>
      <c r="O349" s="8"/>
      <c r="P349" s="8"/>
      <c r="Q349" s="8"/>
      <c r="R349" s="8"/>
      <c r="S349" s="8"/>
      <c r="T349" s="8"/>
      <c r="U349" s="8"/>
      <c r="V349" s="8"/>
      <c r="W349" s="8"/>
      <c r="X349" s="8"/>
    </row>
    <row r="350" spans="1:24" ht="12.75" customHeight="1">
      <c r="A350" s="33">
        <v>21120711</v>
      </c>
      <c r="B350" s="24" t="s">
        <v>473</v>
      </c>
      <c r="C350" s="24">
        <v>40000</v>
      </c>
      <c r="D350" s="8"/>
      <c r="E350" s="8"/>
      <c r="F350" s="8"/>
      <c r="G350" s="8"/>
      <c r="H350" s="8"/>
      <c r="I350" s="8"/>
      <c r="J350" s="8"/>
      <c r="K350" s="8"/>
      <c r="L350" s="8"/>
      <c r="M350" s="8"/>
      <c r="N350" s="8"/>
      <c r="O350" s="8"/>
      <c r="P350" s="8"/>
      <c r="Q350" s="8"/>
      <c r="R350" s="8"/>
      <c r="S350" s="8"/>
      <c r="T350" s="8"/>
      <c r="U350" s="8"/>
      <c r="V350" s="8"/>
      <c r="W350" s="8"/>
      <c r="X350" s="8"/>
    </row>
    <row r="351" spans="1:24" ht="12.75" customHeight="1">
      <c r="A351" s="48">
        <v>211208</v>
      </c>
      <c r="B351" s="26" t="s">
        <v>474</v>
      </c>
      <c r="C351" s="26">
        <f>SUM(C352:C353)</f>
        <v>185000</v>
      </c>
      <c r="D351" s="4"/>
      <c r="E351" s="34"/>
      <c r="F351" s="4"/>
      <c r="G351" s="4"/>
      <c r="H351" s="4"/>
      <c r="I351" s="4"/>
      <c r="J351" s="4"/>
      <c r="K351" s="4"/>
      <c r="L351" s="4"/>
      <c r="M351" s="4"/>
      <c r="N351" s="4"/>
      <c r="O351" s="4"/>
      <c r="P351" s="4"/>
      <c r="Q351" s="4"/>
      <c r="R351" s="4"/>
      <c r="S351" s="4"/>
      <c r="T351" s="4"/>
      <c r="U351" s="4"/>
      <c r="V351" s="4"/>
      <c r="W351" s="4"/>
      <c r="X351" s="4"/>
    </row>
    <row r="352" spans="1:24" ht="12.75" customHeight="1">
      <c r="A352" s="33">
        <v>21120801</v>
      </c>
      <c r="B352" s="13" t="s">
        <v>475</v>
      </c>
      <c r="C352" s="24">
        <v>90000</v>
      </c>
      <c r="D352" s="8"/>
      <c r="E352" s="8"/>
      <c r="F352" s="8"/>
      <c r="G352" s="8"/>
      <c r="H352" s="8"/>
      <c r="I352" s="8"/>
      <c r="J352" s="8"/>
      <c r="K352" s="8"/>
      <c r="L352" s="8"/>
      <c r="M352" s="8"/>
      <c r="N352" s="8"/>
      <c r="O352" s="8"/>
      <c r="P352" s="8"/>
      <c r="Q352" s="8"/>
      <c r="R352" s="8"/>
      <c r="S352" s="8"/>
      <c r="T352" s="8"/>
      <c r="U352" s="8"/>
      <c r="V352" s="8"/>
      <c r="W352" s="8"/>
      <c r="X352" s="8"/>
    </row>
    <row r="353" spans="1:24" ht="12.75" customHeight="1">
      <c r="A353" s="33">
        <v>21120805</v>
      </c>
      <c r="B353" s="24" t="s">
        <v>476</v>
      </c>
      <c r="C353" s="24">
        <v>95000</v>
      </c>
      <c r="D353" s="4"/>
      <c r="E353" s="34"/>
      <c r="F353" s="23"/>
      <c r="G353" s="23"/>
      <c r="H353" s="23"/>
      <c r="I353" s="23"/>
      <c r="J353" s="23"/>
      <c r="K353" s="4"/>
      <c r="L353" s="4"/>
      <c r="M353" s="4"/>
      <c r="N353" s="4"/>
      <c r="O353" s="4"/>
      <c r="P353" s="4"/>
      <c r="Q353" s="4"/>
      <c r="R353" s="4"/>
      <c r="S353" s="4"/>
      <c r="T353" s="4"/>
      <c r="U353" s="4"/>
      <c r="V353" s="4"/>
      <c r="W353" s="4"/>
      <c r="X353" s="4"/>
    </row>
    <row r="354" spans="1:24" ht="12.75" customHeight="1">
      <c r="A354" s="48">
        <v>211209</v>
      </c>
      <c r="B354" s="26" t="s">
        <v>477</v>
      </c>
      <c r="C354" s="26">
        <f>+SUM(C355:C356)</f>
        <v>235000</v>
      </c>
      <c r="D354" s="4"/>
      <c r="E354" s="34"/>
      <c r="F354" s="23"/>
      <c r="G354" s="23"/>
      <c r="H354" s="23"/>
      <c r="I354" s="23"/>
      <c r="J354" s="23"/>
      <c r="K354" s="4"/>
      <c r="L354" s="4"/>
      <c r="M354" s="4"/>
      <c r="N354" s="4"/>
      <c r="O354" s="4"/>
      <c r="P354" s="4"/>
      <c r="Q354" s="4"/>
      <c r="R354" s="4"/>
      <c r="S354" s="4"/>
      <c r="T354" s="4"/>
      <c r="U354" s="4"/>
      <c r="V354" s="4"/>
      <c r="W354" s="4"/>
      <c r="X354" s="4"/>
    </row>
    <row r="355" spans="1:24" ht="12.75" customHeight="1">
      <c r="A355" s="33">
        <v>21120901</v>
      </c>
      <c r="B355" s="24" t="s">
        <v>478</v>
      </c>
      <c r="C355" s="24">
        <v>195000</v>
      </c>
      <c r="D355" s="33"/>
      <c r="E355" s="32"/>
      <c r="F355" s="4"/>
      <c r="G355" s="4"/>
      <c r="H355" s="4"/>
      <c r="I355" s="4"/>
      <c r="J355" s="4"/>
      <c r="K355" s="4"/>
      <c r="L355" s="4"/>
      <c r="M355" s="4"/>
      <c r="N355" s="4"/>
      <c r="O355" s="4"/>
      <c r="P355" s="4"/>
      <c r="Q355" s="4"/>
      <c r="R355" s="4"/>
      <c r="S355" s="4"/>
      <c r="T355" s="4"/>
      <c r="U355" s="4"/>
      <c r="V355" s="4"/>
      <c r="W355" s="4"/>
      <c r="X355" s="4"/>
    </row>
    <row r="356" spans="1:24" ht="12.75" customHeight="1">
      <c r="A356" s="33">
        <v>21120906</v>
      </c>
      <c r="B356" s="24" t="s">
        <v>479</v>
      </c>
      <c r="C356" s="24">
        <v>40000</v>
      </c>
      <c r="D356" s="4"/>
      <c r="E356" s="34"/>
      <c r="F356" s="4"/>
      <c r="G356" s="4"/>
      <c r="H356" s="4"/>
      <c r="I356" s="4"/>
      <c r="J356" s="4"/>
      <c r="K356" s="4"/>
      <c r="L356" s="4"/>
      <c r="M356" s="4"/>
      <c r="N356" s="4"/>
      <c r="O356" s="4"/>
      <c r="P356" s="4"/>
      <c r="Q356" s="4"/>
      <c r="R356" s="4"/>
      <c r="S356" s="4"/>
      <c r="T356" s="4"/>
      <c r="U356" s="4"/>
      <c r="V356" s="4"/>
      <c r="W356" s="4"/>
      <c r="X356" s="4"/>
    </row>
    <row r="357" spans="1:24" ht="12.75" customHeight="1" thickBot="1">
      <c r="A357" s="23"/>
      <c r="B357" s="24"/>
      <c r="C357" s="24"/>
      <c r="D357" s="4"/>
      <c r="E357" s="34"/>
      <c r="F357" s="4"/>
      <c r="G357" s="4"/>
      <c r="H357" s="4"/>
      <c r="I357" s="4"/>
      <c r="J357" s="4"/>
      <c r="K357" s="4"/>
      <c r="L357" s="4"/>
      <c r="M357" s="4"/>
      <c r="N357" s="4"/>
      <c r="O357" s="4"/>
      <c r="P357" s="4"/>
      <c r="Q357" s="4"/>
      <c r="R357" s="4"/>
      <c r="S357" s="4"/>
      <c r="T357" s="4"/>
      <c r="U357" s="4"/>
      <c r="V357" s="4"/>
      <c r="W357" s="4"/>
      <c r="X357" s="4"/>
    </row>
    <row r="358" spans="1:24" ht="12.75" customHeight="1" thickBot="1">
      <c r="A358" s="1298" t="s">
        <v>4</v>
      </c>
      <c r="B358" s="1281"/>
      <c r="C358" s="64">
        <f>C359+C361+C364+C367+C371</f>
        <v>180125701.97</v>
      </c>
      <c r="D358" s="4"/>
      <c r="E358" s="34"/>
      <c r="F358" s="4"/>
      <c r="G358" s="4"/>
      <c r="H358" s="4"/>
      <c r="I358" s="4"/>
      <c r="J358" s="4"/>
      <c r="K358" s="4"/>
      <c r="L358" s="4"/>
      <c r="M358" s="4"/>
      <c r="N358" s="4"/>
      <c r="O358" s="4"/>
      <c r="P358" s="4"/>
      <c r="Q358" s="4"/>
      <c r="R358" s="4"/>
      <c r="S358" s="4"/>
      <c r="T358" s="4"/>
      <c r="U358" s="4"/>
      <c r="V358" s="4"/>
      <c r="W358" s="4"/>
      <c r="X358" s="4"/>
    </row>
    <row r="359" spans="1:24" ht="12.75" customHeight="1">
      <c r="A359" s="48">
        <v>211302</v>
      </c>
      <c r="B359" s="21" t="s">
        <v>481</v>
      </c>
      <c r="C359" s="49">
        <f>C360</f>
        <v>446000</v>
      </c>
      <c r="D359" s="34"/>
      <c r="E359" s="34"/>
      <c r="F359" s="34"/>
      <c r="G359" s="34"/>
      <c r="H359" s="34"/>
      <c r="I359" s="34"/>
      <c r="J359" s="34"/>
      <c r="K359" s="34"/>
      <c r="L359" s="34"/>
      <c r="M359" s="34"/>
      <c r="N359" s="34"/>
      <c r="O359" s="34"/>
      <c r="P359" s="34"/>
      <c r="Q359" s="34"/>
      <c r="R359" s="34"/>
      <c r="S359" s="34"/>
      <c r="T359" s="34"/>
      <c r="U359" s="34"/>
      <c r="V359" s="34"/>
      <c r="W359" s="34"/>
      <c r="X359" s="34"/>
    </row>
    <row r="360" spans="1:24" ht="12.75" customHeight="1">
      <c r="A360" s="33">
        <v>21130204</v>
      </c>
      <c r="B360" s="23" t="s">
        <v>483</v>
      </c>
      <c r="C360" s="24">
        <v>446000</v>
      </c>
      <c r="D360" s="33"/>
      <c r="E360" s="32"/>
      <c r="F360" s="4"/>
      <c r="G360" s="4"/>
      <c r="H360" s="4"/>
      <c r="I360" s="4"/>
      <c r="J360" s="4"/>
      <c r="K360" s="4"/>
      <c r="L360" s="4"/>
      <c r="M360" s="4"/>
      <c r="N360" s="4"/>
      <c r="O360" s="4"/>
      <c r="P360" s="4"/>
      <c r="Q360" s="4"/>
      <c r="R360" s="4"/>
      <c r="S360" s="4"/>
      <c r="T360" s="4"/>
      <c r="U360" s="4"/>
      <c r="V360" s="4"/>
      <c r="W360" s="4"/>
      <c r="X360" s="4"/>
    </row>
    <row r="361" spans="1:24" ht="12.75" customHeight="1">
      <c r="A361" s="48">
        <v>211303</v>
      </c>
      <c r="B361" s="26" t="s">
        <v>484</v>
      </c>
      <c r="C361" s="26">
        <f>SUM(C362:C363)</f>
        <v>229000</v>
      </c>
      <c r="D361" s="33"/>
      <c r="E361" s="32"/>
      <c r="F361" s="4"/>
      <c r="G361" s="4"/>
      <c r="H361" s="4"/>
      <c r="I361" s="4"/>
      <c r="J361" s="4"/>
      <c r="K361" s="4"/>
      <c r="L361" s="4"/>
      <c r="M361" s="4"/>
      <c r="N361" s="4"/>
      <c r="O361" s="4"/>
      <c r="P361" s="4"/>
      <c r="Q361" s="4"/>
      <c r="R361" s="4"/>
      <c r="S361" s="4"/>
      <c r="T361" s="4"/>
      <c r="U361" s="4"/>
      <c r="V361" s="4"/>
      <c r="W361" s="4"/>
      <c r="X361" s="4"/>
    </row>
    <row r="362" spans="1:24" ht="13.5" customHeight="1">
      <c r="A362" s="40">
        <v>21130306</v>
      </c>
      <c r="B362" s="13" t="s">
        <v>487</v>
      </c>
      <c r="C362" s="14">
        <v>90000</v>
      </c>
      <c r="D362" s="8"/>
      <c r="E362" s="14"/>
      <c r="F362" s="30"/>
      <c r="G362" s="30"/>
      <c r="H362" s="8"/>
      <c r="I362" s="8"/>
      <c r="J362" s="8"/>
      <c r="K362" s="8"/>
      <c r="L362" s="8"/>
      <c r="M362" s="8"/>
      <c r="N362" s="8"/>
      <c r="O362" s="8"/>
      <c r="P362" s="8"/>
      <c r="Q362" s="8"/>
      <c r="R362" s="8"/>
      <c r="S362" s="8"/>
      <c r="T362" s="8"/>
      <c r="U362" s="8"/>
      <c r="V362" s="8"/>
      <c r="W362" s="8"/>
      <c r="X362" s="8"/>
    </row>
    <row r="363" spans="1:24" ht="12.75" customHeight="1">
      <c r="A363" s="33">
        <v>21130307</v>
      </c>
      <c r="B363" s="23" t="s">
        <v>488</v>
      </c>
      <c r="C363" s="24">
        <v>139000</v>
      </c>
      <c r="D363" s="4"/>
      <c r="E363" s="3"/>
      <c r="F363" s="4"/>
      <c r="G363" s="4"/>
      <c r="H363" s="4"/>
      <c r="I363" s="4"/>
      <c r="J363" s="4"/>
      <c r="K363" s="4"/>
      <c r="L363" s="4"/>
      <c r="M363" s="4"/>
      <c r="N363" s="4"/>
      <c r="O363" s="4"/>
      <c r="P363" s="4"/>
      <c r="Q363" s="4"/>
      <c r="R363" s="4"/>
      <c r="S363" s="4"/>
      <c r="T363" s="4"/>
      <c r="U363" s="4"/>
      <c r="V363" s="4"/>
      <c r="W363" s="4"/>
      <c r="X363" s="4"/>
    </row>
    <row r="364" spans="1:24" ht="12.75" customHeight="1">
      <c r="A364" s="48">
        <v>211305</v>
      </c>
      <c r="B364" s="21" t="s">
        <v>489</v>
      </c>
      <c r="C364" s="26">
        <f>SUM(C365:C366)</f>
        <v>14571201.970000001</v>
      </c>
      <c r="D364" s="4"/>
      <c r="E364" s="3"/>
      <c r="F364" s="4"/>
      <c r="G364" s="4"/>
      <c r="H364" s="4"/>
      <c r="I364" s="4"/>
      <c r="J364" s="4"/>
      <c r="K364" s="4"/>
      <c r="L364" s="4"/>
      <c r="M364" s="4"/>
      <c r="N364" s="4"/>
      <c r="O364" s="4"/>
      <c r="P364" s="4"/>
      <c r="Q364" s="4"/>
      <c r="R364" s="4"/>
      <c r="S364" s="4"/>
      <c r="T364" s="4"/>
      <c r="U364" s="4"/>
      <c r="V364" s="4"/>
      <c r="W364" s="4"/>
      <c r="X364" s="4"/>
    </row>
    <row r="365" spans="1:24" ht="12.75" customHeight="1">
      <c r="A365" s="33">
        <v>21130501</v>
      </c>
      <c r="B365" s="13" t="s">
        <v>490</v>
      </c>
      <c r="C365" s="24">
        <v>108000</v>
      </c>
      <c r="D365" s="3"/>
      <c r="E365" s="26"/>
      <c r="F365" s="4"/>
      <c r="G365" s="4"/>
      <c r="H365" s="4"/>
      <c r="I365" s="4"/>
      <c r="J365" s="4"/>
      <c r="K365" s="4"/>
      <c r="L365" s="4"/>
      <c r="M365" s="4"/>
      <c r="N365" s="4"/>
      <c r="O365" s="4"/>
      <c r="P365" s="4"/>
      <c r="Q365" s="4"/>
      <c r="R365" s="4"/>
      <c r="S365" s="4"/>
      <c r="T365" s="4"/>
      <c r="U365" s="4"/>
      <c r="V365" s="4"/>
      <c r="W365" s="4"/>
      <c r="X365" s="4"/>
    </row>
    <row r="366" spans="1:24" ht="12.75" customHeight="1">
      <c r="A366" s="33">
        <v>21130502</v>
      </c>
      <c r="B366" s="24" t="s">
        <v>491</v>
      </c>
      <c r="C366" s="24">
        <f>1500000+12963201.97</f>
        <v>14463201.970000001</v>
      </c>
      <c r="D366" s="3"/>
      <c r="E366" s="24"/>
      <c r="F366" s="4"/>
      <c r="G366" s="4"/>
      <c r="H366" s="4"/>
      <c r="I366" s="4"/>
      <c r="J366" s="4"/>
      <c r="K366" s="4"/>
      <c r="L366" s="4"/>
      <c r="M366" s="4"/>
      <c r="N366" s="4"/>
      <c r="O366" s="4"/>
      <c r="P366" s="4"/>
      <c r="Q366" s="4"/>
      <c r="R366" s="4"/>
      <c r="S366" s="4"/>
      <c r="T366" s="4"/>
      <c r="U366" s="4"/>
      <c r="V366" s="4"/>
      <c r="W366" s="4"/>
      <c r="X366" s="4"/>
    </row>
    <row r="367" spans="1:24" ht="12.75" customHeight="1">
      <c r="A367" s="48">
        <v>211306</v>
      </c>
      <c r="B367" s="26" t="s">
        <v>492</v>
      </c>
      <c r="C367" s="26">
        <f>+SUM(C368:C370)</f>
        <v>92628000</v>
      </c>
      <c r="D367" s="3"/>
      <c r="E367" s="24"/>
      <c r="F367" s="4"/>
      <c r="G367" s="4"/>
      <c r="H367" s="4"/>
      <c r="I367" s="4"/>
      <c r="J367" s="4"/>
      <c r="K367" s="4"/>
      <c r="L367" s="4"/>
      <c r="M367" s="4"/>
      <c r="N367" s="4"/>
      <c r="O367" s="4"/>
      <c r="P367" s="4"/>
      <c r="Q367" s="4"/>
      <c r="R367" s="4"/>
      <c r="S367" s="4"/>
      <c r="T367" s="4"/>
      <c r="U367" s="4"/>
      <c r="V367" s="4"/>
      <c r="W367" s="4"/>
      <c r="X367" s="4"/>
    </row>
    <row r="368" spans="1:24" ht="12.75" customHeight="1">
      <c r="A368" s="33">
        <v>21130601</v>
      </c>
      <c r="B368" s="23" t="s">
        <v>614</v>
      </c>
      <c r="C368" s="24">
        <f>10776000+3000000</f>
        <v>13776000</v>
      </c>
      <c r="D368" s="4"/>
      <c r="E368" s="3"/>
      <c r="F368" s="4"/>
      <c r="G368" s="4"/>
      <c r="H368" s="4"/>
      <c r="I368" s="4"/>
      <c r="J368" s="4"/>
      <c r="K368" s="4"/>
      <c r="L368" s="4"/>
      <c r="M368" s="4"/>
      <c r="N368" s="4"/>
      <c r="O368" s="4"/>
      <c r="P368" s="4"/>
      <c r="Q368" s="4"/>
      <c r="R368" s="4"/>
      <c r="S368" s="4"/>
      <c r="T368" s="4"/>
      <c r="U368" s="4"/>
      <c r="V368" s="4"/>
      <c r="W368" s="4"/>
      <c r="X368" s="4"/>
    </row>
    <row r="369" spans="1:24" ht="12.75" customHeight="1">
      <c r="A369" s="33">
        <v>21130602</v>
      </c>
      <c r="B369" s="23" t="s">
        <v>615</v>
      </c>
      <c r="C369" s="189">
        <v>78135000</v>
      </c>
      <c r="D369" s="4"/>
      <c r="E369" s="3"/>
      <c r="F369" s="4"/>
      <c r="G369" s="4"/>
      <c r="H369" s="4"/>
      <c r="I369" s="4"/>
      <c r="J369" s="4"/>
      <c r="K369" s="4"/>
      <c r="L369" s="4"/>
      <c r="M369" s="4"/>
      <c r="N369" s="4"/>
      <c r="O369" s="4"/>
      <c r="P369" s="4"/>
      <c r="Q369" s="4"/>
      <c r="R369" s="4"/>
      <c r="S369" s="4"/>
      <c r="T369" s="4"/>
      <c r="U369" s="4"/>
      <c r="V369" s="4"/>
      <c r="W369" s="4"/>
      <c r="X369" s="4"/>
    </row>
    <row r="370" spans="1:24" ht="12.75" customHeight="1">
      <c r="A370" s="33">
        <v>21130608</v>
      </c>
      <c r="B370" s="24" t="s">
        <v>557</v>
      </c>
      <c r="C370" s="24">
        <v>717000</v>
      </c>
      <c r="D370" s="23"/>
      <c r="E370" s="168"/>
      <c r="F370" s="23"/>
      <c r="G370" s="23"/>
      <c r="H370" s="23"/>
      <c r="I370" s="23"/>
      <c r="J370" s="23"/>
      <c r="K370" s="23"/>
      <c r="L370" s="23"/>
      <c r="M370" s="23"/>
      <c r="N370" s="23"/>
      <c r="O370" s="23"/>
      <c r="P370" s="23"/>
      <c r="Q370" s="23"/>
      <c r="R370" s="23"/>
      <c r="S370" s="23"/>
      <c r="T370" s="23"/>
      <c r="U370" s="23"/>
      <c r="V370" s="23"/>
      <c r="W370" s="23"/>
      <c r="X370" s="23"/>
    </row>
    <row r="371" spans="1:24" ht="12.75" customHeight="1">
      <c r="A371" s="48">
        <v>211309</v>
      </c>
      <c r="B371" s="26" t="s">
        <v>496</v>
      </c>
      <c r="C371" s="26">
        <f>+SUM(C372:C374)</f>
        <v>72251500</v>
      </c>
      <c r="D371" s="3"/>
      <c r="E371" s="24"/>
      <c r="F371" s="4"/>
      <c r="G371" s="4"/>
      <c r="H371" s="4"/>
      <c r="I371" s="4"/>
      <c r="J371" s="4"/>
      <c r="K371" s="4"/>
      <c r="L371" s="4"/>
      <c r="M371" s="4"/>
      <c r="N371" s="4"/>
      <c r="O371" s="4"/>
      <c r="P371" s="4"/>
      <c r="Q371" s="4"/>
      <c r="R371" s="4"/>
      <c r="S371" s="4"/>
      <c r="T371" s="4"/>
      <c r="U371" s="4"/>
      <c r="V371" s="4"/>
      <c r="W371" s="4"/>
      <c r="X371" s="4"/>
    </row>
    <row r="372" spans="1:24" ht="12.75" customHeight="1">
      <c r="A372" s="33">
        <v>21130901</v>
      </c>
      <c r="B372" s="24" t="s">
        <v>497</v>
      </c>
      <c r="C372" s="24">
        <v>2631000</v>
      </c>
      <c r="D372" s="24"/>
      <c r="E372" s="24"/>
      <c r="F372" s="4"/>
      <c r="G372" s="4"/>
      <c r="H372" s="4"/>
      <c r="I372" s="4"/>
      <c r="J372" s="4"/>
      <c r="K372" s="4"/>
      <c r="L372" s="4"/>
      <c r="M372" s="4"/>
      <c r="N372" s="4"/>
      <c r="O372" s="4"/>
      <c r="P372" s="4"/>
      <c r="Q372" s="4"/>
      <c r="R372" s="4"/>
      <c r="S372" s="4"/>
      <c r="T372" s="4"/>
      <c r="U372" s="4"/>
      <c r="V372" s="4"/>
      <c r="W372" s="4"/>
      <c r="X372" s="4"/>
    </row>
    <row r="373" spans="1:24" ht="12.75" customHeight="1">
      <c r="A373" s="33">
        <v>21130903</v>
      </c>
      <c r="B373" s="24" t="s">
        <v>498</v>
      </c>
      <c r="C373" s="24">
        <v>9500</v>
      </c>
      <c r="D373" s="3"/>
      <c r="E373" s="34"/>
      <c r="F373" s="4"/>
      <c r="G373" s="4"/>
      <c r="H373" s="4"/>
      <c r="I373" s="4"/>
      <c r="J373" s="4"/>
      <c r="K373" s="4"/>
      <c r="L373" s="4"/>
      <c r="M373" s="4"/>
      <c r="N373" s="4"/>
      <c r="O373" s="4"/>
      <c r="P373" s="4"/>
      <c r="Q373" s="4"/>
      <c r="R373" s="4"/>
      <c r="S373" s="4"/>
      <c r="T373" s="4"/>
      <c r="U373" s="4"/>
      <c r="V373" s="4"/>
      <c r="W373" s="4"/>
      <c r="X373" s="4"/>
    </row>
    <row r="374" spans="1:24" ht="12.75" customHeight="1">
      <c r="A374" s="33">
        <v>21130908</v>
      </c>
      <c r="B374" s="24" t="s">
        <v>500</v>
      </c>
      <c r="C374" s="51">
        <v>69611000</v>
      </c>
      <c r="D374" s="3"/>
      <c r="E374" s="34"/>
      <c r="F374" s="4"/>
      <c r="G374" s="4"/>
      <c r="H374" s="4"/>
      <c r="I374" s="4"/>
      <c r="J374" s="4"/>
      <c r="K374" s="4"/>
      <c r="L374" s="4"/>
      <c r="M374" s="4"/>
      <c r="N374" s="4"/>
      <c r="O374" s="4"/>
      <c r="P374" s="4"/>
      <c r="Q374" s="4"/>
      <c r="R374" s="4"/>
      <c r="S374" s="4"/>
      <c r="T374" s="4"/>
      <c r="U374" s="4"/>
      <c r="V374" s="4"/>
      <c r="W374" s="4"/>
      <c r="X374" s="4"/>
    </row>
    <row r="375" spans="1:24" ht="12.75" customHeight="1" thickBot="1">
      <c r="A375" s="33"/>
      <c r="B375" s="23"/>
      <c r="C375" s="24"/>
      <c r="D375" s="4"/>
      <c r="E375" s="34"/>
      <c r="F375" s="4"/>
      <c r="G375" s="4"/>
      <c r="H375" s="4"/>
      <c r="I375" s="4"/>
      <c r="J375" s="4"/>
      <c r="K375" s="4"/>
      <c r="L375" s="4"/>
      <c r="M375" s="4"/>
      <c r="N375" s="4"/>
      <c r="O375" s="4"/>
      <c r="P375" s="4"/>
      <c r="Q375" s="4"/>
      <c r="R375" s="4"/>
      <c r="S375" s="4"/>
      <c r="T375" s="4"/>
      <c r="U375" s="4"/>
      <c r="V375" s="4"/>
      <c r="W375" s="4"/>
      <c r="X375" s="4"/>
    </row>
    <row r="376" spans="1:24" ht="12.75" customHeight="1" thickBot="1">
      <c r="A376" s="1299" t="s">
        <v>48</v>
      </c>
      <c r="B376" s="1281"/>
      <c r="C376" s="65">
        <f>C377+C379+C383</f>
        <v>3632000</v>
      </c>
      <c r="D376" s="4"/>
      <c r="E376" s="34"/>
      <c r="F376" s="4"/>
      <c r="G376" s="4"/>
      <c r="H376" s="4"/>
      <c r="I376" s="4"/>
      <c r="J376" s="4"/>
      <c r="K376" s="4"/>
      <c r="L376" s="4"/>
      <c r="M376" s="4"/>
      <c r="N376" s="4"/>
      <c r="O376" s="4"/>
      <c r="P376" s="4"/>
      <c r="Q376" s="4"/>
      <c r="R376" s="4"/>
      <c r="S376" s="4"/>
      <c r="T376" s="4"/>
      <c r="U376" s="4"/>
      <c r="V376" s="4"/>
      <c r="W376" s="4"/>
      <c r="X376" s="4"/>
    </row>
    <row r="377" spans="1:24" ht="12.75" customHeight="1">
      <c r="A377" s="48">
        <v>221102</v>
      </c>
      <c r="B377" s="48" t="s">
        <v>543</v>
      </c>
      <c r="C377" s="49">
        <f>SUM(C378)</f>
        <v>280000</v>
      </c>
      <c r="D377" s="34"/>
      <c r="E377" s="34"/>
      <c r="F377" s="34"/>
      <c r="G377" s="34"/>
      <c r="H377" s="34"/>
      <c r="I377" s="34"/>
      <c r="J377" s="34"/>
      <c r="K377" s="34"/>
      <c r="L377" s="34"/>
      <c r="M377" s="34"/>
      <c r="N377" s="34"/>
      <c r="O377" s="34"/>
      <c r="P377" s="34"/>
      <c r="Q377" s="34"/>
      <c r="R377" s="34"/>
      <c r="S377" s="34"/>
      <c r="T377" s="34"/>
      <c r="U377" s="34"/>
      <c r="V377" s="34"/>
      <c r="W377" s="34"/>
      <c r="X377" s="34"/>
    </row>
    <row r="378" spans="1:24" ht="12.75" customHeight="1">
      <c r="A378" s="33">
        <v>22110202</v>
      </c>
      <c r="B378" s="23" t="s">
        <v>544</v>
      </c>
      <c r="C378" s="24">
        <f>250000+30000</f>
        <v>280000</v>
      </c>
      <c r="D378" s="4"/>
      <c r="E378" s="34"/>
      <c r="F378" s="4"/>
      <c r="G378" s="4"/>
      <c r="H378" s="4"/>
      <c r="I378" s="4"/>
      <c r="J378" s="4"/>
      <c r="K378" s="4"/>
      <c r="L378" s="4"/>
      <c r="M378" s="4"/>
      <c r="N378" s="4"/>
      <c r="O378" s="4"/>
      <c r="P378" s="4"/>
      <c r="Q378" s="4"/>
      <c r="R378" s="4"/>
      <c r="S378" s="4"/>
      <c r="T378" s="4"/>
      <c r="U378" s="4"/>
      <c r="V378" s="4"/>
      <c r="W378" s="4"/>
      <c r="X378" s="4"/>
    </row>
    <row r="379" spans="1:24" ht="12.75" customHeight="1">
      <c r="A379" s="48">
        <v>221104</v>
      </c>
      <c r="B379" s="21" t="s">
        <v>510</v>
      </c>
      <c r="C379" s="26">
        <f>SUM(C380:C382)</f>
        <v>1027000</v>
      </c>
      <c r="D379" s="4"/>
      <c r="E379" s="34"/>
      <c r="F379" s="4"/>
      <c r="G379" s="4"/>
      <c r="H379" s="4"/>
      <c r="I379" s="4"/>
      <c r="J379" s="4"/>
      <c r="K379" s="4"/>
      <c r="L379" s="4"/>
      <c r="M379" s="4"/>
      <c r="N379" s="4"/>
      <c r="O379" s="4"/>
      <c r="P379" s="4"/>
      <c r="Q379" s="4"/>
      <c r="R379" s="4"/>
      <c r="S379" s="4"/>
      <c r="T379" s="4"/>
      <c r="U379" s="4"/>
      <c r="V379" s="4"/>
      <c r="W379" s="4"/>
      <c r="X379" s="4"/>
    </row>
    <row r="380" spans="1:24" ht="12.75" customHeight="1">
      <c r="A380" s="33">
        <v>22110401</v>
      </c>
      <c r="B380" s="23" t="s">
        <v>511</v>
      </c>
      <c r="C380" s="24">
        <v>620000</v>
      </c>
      <c r="D380" s="4"/>
      <c r="E380" s="34"/>
      <c r="F380" s="4"/>
      <c r="G380" s="4"/>
      <c r="H380" s="4"/>
      <c r="I380" s="4"/>
      <c r="J380" s="4"/>
      <c r="K380" s="4"/>
      <c r="L380" s="4"/>
      <c r="M380" s="4"/>
      <c r="N380" s="4"/>
      <c r="O380" s="4"/>
      <c r="P380" s="4"/>
      <c r="Q380" s="4"/>
      <c r="R380" s="4"/>
      <c r="S380" s="4"/>
      <c r="T380" s="4"/>
      <c r="U380" s="4"/>
      <c r="V380" s="4"/>
      <c r="W380" s="4"/>
      <c r="X380" s="4"/>
    </row>
    <row r="381" spans="1:24" ht="12.75" customHeight="1">
      <c r="A381" s="33">
        <v>22110404</v>
      </c>
      <c r="B381" s="23" t="s">
        <v>512</v>
      </c>
      <c r="C381" s="24">
        <v>230000</v>
      </c>
      <c r="D381" s="4"/>
      <c r="E381" s="34"/>
      <c r="F381" s="4"/>
      <c r="G381" s="4"/>
      <c r="H381" s="4"/>
      <c r="I381" s="4"/>
      <c r="J381" s="4"/>
      <c r="K381" s="4"/>
      <c r="L381" s="4"/>
      <c r="M381" s="4"/>
      <c r="N381" s="4"/>
      <c r="O381" s="4"/>
      <c r="P381" s="4"/>
      <c r="Q381" s="4"/>
      <c r="R381" s="4"/>
      <c r="S381" s="4"/>
      <c r="T381" s="4"/>
      <c r="U381" s="4"/>
      <c r="V381" s="4"/>
      <c r="W381" s="4"/>
      <c r="X381" s="4"/>
    </row>
    <row r="382" spans="1:24" ht="13.5" customHeight="1">
      <c r="A382" s="33">
        <v>22110409</v>
      </c>
      <c r="B382" s="24" t="s">
        <v>513</v>
      </c>
      <c r="C382" s="24">
        <f>150000+27000</f>
        <v>177000</v>
      </c>
      <c r="D382" s="40"/>
      <c r="E382" s="14"/>
      <c r="F382" s="13"/>
      <c r="G382" s="13"/>
      <c r="H382" s="13"/>
      <c r="I382" s="13"/>
      <c r="J382" s="13"/>
      <c r="K382" s="13"/>
      <c r="L382" s="13"/>
      <c r="M382" s="13"/>
      <c r="N382" s="13"/>
      <c r="O382" s="13"/>
      <c r="P382" s="13"/>
      <c r="Q382" s="13"/>
      <c r="R382" s="13"/>
      <c r="S382" s="13"/>
      <c r="T382" s="13"/>
      <c r="U382" s="13"/>
      <c r="V382" s="13"/>
      <c r="W382" s="13"/>
      <c r="X382" s="13"/>
    </row>
    <row r="383" spans="1:24" ht="12.75" customHeight="1">
      <c r="A383" s="48">
        <v>221107</v>
      </c>
      <c r="B383" s="26" t="s">
        <v>514</v>
      </c>
      <c r="C383" s="26">
        <f>SUM(C384)</f>
        <v>2325000</v>
      </c>
      <c r="D383" s="4"/>
      <c r="E383" s="34"/>
      <c r="F383" s="4"/>
      <c r="G383" s="4"/>
      <c r="H383" s="4"/>
      <c r="I383" s="4"/>
      <c r="J383" s="4"/>
      <c r="K383" s="4"/>
      <c r="L383" s="4"/>
      <c r="M383" s="4"/>
      <c r="N383" s="4"/>
      <c r="O383" s="4"/>
      <c r="P383" s="4"/>
      <c r="Q383" s="4"/>
      <c r="R383" s="4"/>
      <c r="S383" s="4"/>
      <c r="T383" s="4"/>
      <c r="U383" s="4"/>
      <c r="V383" s="4"/>
      <c r="W383" s="4"/>
      <c r="X383" s="4"/>
    </row>
    <row r="384" spans="1:24" ht="13.5" customHeight="1">
      <c r="A384" s="33">
        <v>22110702</v>
      </c>
      <c r="B384" s="24" t="s">
        <v>515</v>
      </c>
      <c r="C384" s="24">
        <f>50000+3375000-1100000</f>
        <v>2325000</v>
      </c>
      <c r="D384" s="4"/>
      <c r="E384" s="34"/>
      <c r="F384" s="4"/>
      <c r="G384" s="4"/>
      <c r="H384" s="4"/>
      <c r="I384" s="4"/>
      <c r="J384" s="4"/>
      <c r="K384" s="4"/>
      <c r="L384" s="4"/>
      <c r="M384" s="4"/>
      <c r="N384" s="4"/>
      <c r="O384" s="4"/>
      <c r="P384" s="4"/>
      <c r="Q384" s="4"/>
      <c r="R384" s="4"/>
      <c r="S384" s="4"/>
      <c r="T384" s="4"/>
      <c r="U384" s="4"/>
      <c r="V384" s="4"/>
      <c r="W384" s="4"/>
      <c r="X384" s="4"/>
    </row>
    <row r="385" spans="1:24" ht="13.5" customHeight="1">
      <c r="A385" s="33"/>
      <c r="B385" s="24"/>
      <c r="C385" s="24"/>
      <c r="D385" s="4"/>
      <c r="E385" s="34"/>
      <c r="F385" s="4"/>
      <c r="G385" s="4"/>
      <c r="H385" s="4"/>
      <c r="I385" s="4"/>
      <c r="J385" s="4"/>
      <c r="K385" s="4"/>
      <c r="L385" s="4"/>
      <c r="M385" s="4"/>
      <c r="N385" s="4"/>
      <c r="O385" s="4"/>
      <c r="P385" s="4"/>
      <c r="Q385" s="4"/>
      <c r="R385" s="4"/>
      <c r="S385" s="4"/>
      <c r="T385" s="4"/>
      <c r="U385" s="4"/>
      <c r="V385" s="4"/>
      <c r="W385" s="4"/>
      <c r="X385" s="4"/>
    </row>
    <row r="386" spans="1:24" ht="12.75" customHeight="1" thickBot="1">
      <c r="A386" s="23"/>
      <c r="B386" s="24"/>
      <c r="C386" s="24"/>
      <c r="D386" s="4"/>
      <c r="E386" s="34"/>
      <c r="F386" s="4"/>
      <c r="G386" s="4"/>
      <c r="H386" s="4"/>
      <c r="I386" s="4"/>
      <c r="J386" s="4"/>
      <c r="K386" s="4"/>
      <c r="L386" s="4"/>
      <c r="M386" s="4"/>
      <c r="N386" s="4"/>
      <c r="O386" s="4"/>
      <c r="P386" s="4"/>
      <c r="Q386" s="4"/>
      <c r="R386" s="4"/>
      <c r="S386" s="4"/>
      <c r="T386" s="4"/>
      <c r="U386" s="4"/>
      <c r="V386" s="4"/>
      <c r="W386" s="4"/>
      <c r="X386" s="4"/>
    </row>
    <row r="387" spans="1:24" ht="13.5" customHeight="1">
      <c r="A387" s="1334" t="s">
        <v>106</v>
      </c>
      <c r="B387" s="1336"/>
      <c r="C387" s="1161" t="s">
        <v>779</v>
      </c>
      <c r="D387" s="4"/>
      <c r="E387" s="34"/>
      <c r="F387" s="4"/>
      <c r="G387" s="4"/>
      <c r="H387" s="4"/>
      <c r="I387" s="4"/>
      <c r="J387" s="4"/>
      <c r="K387" s="4"/>
      <c r="L387" s="4"/>
      <c r="M387" s="4"/>
      <c r="N387" s="4"/>
      <c r="O387" s="4"/>
      <c r="P387" s="4"/>
      <c r="Q387" s="4"/>
      <c r="R387" s="4"/>
      <c r="S387" s="4"/>
      <c r="T387" s="4"/>
      <c r="U387" s="4"/>
      <c r="V387" s="4"/>
      <c r="W387" s="4"/>
      <c r="X387" s="4"/>
    </row>
    <row r="388" spans="1:24" ht="13.5" customHeight="1" thickBot="1">
      <c r="A388" s="1363"/>
      <c r="B388" s="1304"/>
      <c r="C388" s="1490"/>
      <c r="D388" s="4"/>
      <c r="E388" s="34"/>
      <c r="F388" s="4"/>
      <c r="G388" s="4"/>
      <c r="H388" s="4"/>
      <c r="I388" s="4"/>
      <c r="J388" s="4"/>
      <c r="K388" s="4"/>
      <c r="L388" s="4"/>
      <c r="M388" s="4"/>
      <c r="N388" s="4"/>
      <c r="O388" s="4"/>
      <c r="P388" s="4"/>
      <c r="Q388" s="4"/>
      <c r="R388" s="4"/>
      <c r="S388" s="4"/>
      <c r="T388" s="4"/>
      <c r="U388" s="4"/>
      <c r="V388" s="4"/>
      <c r="W388" s="4"/>
      <c r="X388" s="4"/>
    </row>
    <row r="389" spans="1:24" ht="12.75" customHeight="1">
      <c r="A389" s="1028" t="s">
        <v>675</v>
      </c>
      <c r="B389" s="808"/>
      <c r="C389" s="1029"/>
      <c r="D389" s="23"/>
      <c r="E389" s="33"/>
      <c r="F389" s="23"/>
      <c r="G389" s="23"/>
      <c r="H389" s="23"/>
      <c r="I389" s="23"/>
      <c r="J389" s="23"/>
      <c r="K389" s="23"/>
      <c r="L389" s="23"/>
      <c r="M389" s="23"/>
      <c r="N389" s="23"/>
      <c r="O389" s="23"/>
      <c r="P389" s="23"/>
      <c r="Q389" s="23"/>
      <c r="R389" s="23"/>
      <c r="S389" s="23"/>
      <c r="T389" s="23"/>
      <c r="U389" s="23"/>
      <c r="V389" s="23"/>
      <c r="W389" s="23"/>
      <c r="X389" s="23"/>
    </row>
    <row r="390" spans="1:24" ht="12.75" customHeight="1">
      <c r="A390" s="1028" t="s">
        <v>710</v>
      </c>
      <c r="B390" s="808"/>
      <c r="C390" s="1029"/>
      <c r="D390" s="23"/>
      <c r="E390" s="33"/>
      <c r="F390" s="23"/>
      <c r="G390" s="23"/>
      <c r="H390" s="23"/>
      <c r="I390" s="23"/>
      <c r="J390" s="23"/>
      <c r="K390" s="23"/>
      <c r="L390" s="23"/>
      <c r="M390" s="23"/>
      <c r="N390" s="23"/>
      <c r="O390" s="23"/>
      <c r="P390" s="23"/>
      <c r="Q390" s="23"/>
      <c r="R390" s="23"/>
      <c r="S390" s="23"/>
      <c r="T390" s="23"/>
      <c r="U390" s="23"/>
      <c r="V390" s="23"/>
      <c r="W390" s="23"/>
      <c r="X390" s="23"/>
    </row>
    <row r="391" spans="1:24" ht="12.75" customHeight="1">
      <c r="A391" s="1028" t="s">
        <v>718</v>
      </c>
      <c r="B391" s="808"/>
      <c r="C391" s="1029"/>
      <c r="D391" s="23"/>
      <c r="E391" s="33"/>
      <c r="F391" s="23"/>
      <c r="G391" s="23"/>
      <c r="H391" s="23"/>
      <c r="I391" s="23"/>
      <c r="J391" s="23"/>
      <c r="K391" s="23"/>
      <c r="L391" s="23"/>
      <c r="M391" s="23"/>
      <c r="N391" s="23"/>
      <c r="O391" s="23"/>
      <c r="P391" s="23"/>
      <c r="Q391" s="23"/>
      <c r="R391" s="23"/>
      <c r="S391" s="23"/>
      <c r="T391" s="23"/>
      <c r="U391" s="23"/>
      <c r="V391" s="23"/>
      <c r="W391" s="23"/>
      <c r="X391" s="23"/>
    </row>
    <row r="392" spans="1:24" ht="12.75" customHeight="1" thickBot="1">
      <c r="A392" s="1125" t="s">
        <v>0</v>
      </c>
      <c r="B392" s="808"/>
      <c r="C392" s="1029"/>
      <c r="D392" s="23"/>
      <c r="E392" s="33"/>
      <c r="F392" s="23"/>
      <c r="G392" s="23"/>
      <c r="H392" s="23"/>
      <c r="I392" s="23"/>
      <c r="J392" s="23"/>
      <c r="K392" s="23"/>
      <c r="L392" s="23"/>
      <c r="M392" s="23"/>
      <c r="N392" s="23"/>
      <c r="O392" s="23"/>
      <c r="P392" s="23"/>
      <c r="Q392" s="23"/>
      <c r="R392" s="23"/>
      <c r="S392" s="23"/>
      <c r="T392" s="23"/>
      <c r="U392" s="23"/>
      <c r="V392" s="23"/>
      <c r="W392" s="23"/>
      <c r="X392" s="23"/>
    </row>
    <row r="393" spans="1:24" ht="13.5" customHeight="1" thickBot="1">
      <c r="A393" s="1171" t="s">
        <v>1</v>
      </c>
      <c r="B393" s="1186"/>
      <c r="C393" s="1173">
        <f>C395+C409+C429</f>
        <v>906583906.56000006</v>
      </c>
      <c r="D393" s="23"/>
      <c r="E393" s="32"/>
      <c r="F393" s="4"/>
      <c r="G393" s="4"/>
      <c r="H393" s="4"/>
      <c r="I393" s="4"/>
      <c r="J393" s="4"/>
      <c r="K393" s="4"/>
      <c r="L393" s="4"/>
      <c r="M393" s="4"/>
      <c r="N393" s="4"/>
      <c r="O393" s="4"/>
      <c r="P393" s="4"/>
      <c r="Q393" s="4"/>
      <c r="R393" s="4"/>
      <c r="S393" s="4"/>
      <c r="T393" s="4"/>
      <c r="U393" s="4"/>
      <c r="V393" s="4"/>
      <c r="W393" s="4"/>
      <c r="X393" s="4"/>
    </row>
    <row r="394" spans="1:24" ht="13.5" customHeight="1" thickBot="1">
      <c r="A394" s="21"/>
      <c r="B394" s="21"/>
      <c r="C394" s="26"/>
      <c r="D394" s="23"/>
      <c r="E394" s="33"/>
      <c r="F394" s="4"/>
      <c r="G394" s="4"/>
      <c r="H394" s="4"/>
      <c r="I394" s="4"/>
      <c r="J394" s="4"/>
      <c r="K394" s="4"/>
      <c r="L394" s="4"/>
      <c r="M394" s="4"/>
      <c r="N394" s="4"/>
      <c r="O394" s="4"/>
      <c r="P394" s="4"/>
      <c r="Q394" s="4"/>
      <c r="R394" s="4"/>
      <c r="S394" s="4"/>
      <c r="T394" s="4"/>
      <c r="U394" s="4"/>
      <c r="V394" s="4"/>
      <c r="W394" s="4"/>
      <c r="X394" s="4"/>
    </row>
    <row r="395" spans="1:24" ht="13.5" customHeight="1" thickBot="1">
      <c r="A395" s="1332" t="s">
        <v>107</v>
      </c>
      <c r="B395" s="1281"/>
      <c r="C395" s="192">
        <f>C396+C401+C403+C406</f>
        <v>75698430.560000002</v>
      </c>
      <c r="D395" s="4"/>
      <c r="E395" s="34"/>
      <c r="F395" s="4"/>
      <c r="G395" s="4"/>
      <c r="H395" s="4"/>
      <c r="I395" s="4"/>
      <c r="J395" s="4"/>
      <c r="K395" s="4"/>
      <c r="L395" s="4"/>
      <c r="M395" s="4"/>
      <c r="N395" s="4"/>
      <c r="O395" s="4"/>
      <c r="P395" s="4"/>
      <c r="Q395" s="4"/>
      <c r="R395" s="4"/>
      <c r="S395" s="4"/>
      <c r="T395" s="4"/>
      <c r="U395" s="4"/>
      <c r="V395" s="4"/>
      <c r="W395" s="4"/>
      <c r="X395" s="4"/>
    </row>
    <row r="396" spans="1:24" ht="13.5" customHeight="1">
      <c r="A396" s="48">
        <v>222101</v>
      </c>
      <c r="B396" s="48" t="s">
        <v>617</v>
      </c>
      <c r="C396" s="49">
        <f>SUM(C397:C400)</f>
        <v>1000002</v>
      </c>
      <c r="D396" s="34"/>
      <c r="E396" s="34"/>
      <c r="F396" s="34"/>
      <c r="G396" s="34"/>
      <c r="H396" s="34"/>
      <c r="I396" s="34"/>
      <c r="J396" s="34"/>
      <c r="K396" s="34"/>
      <c r="L396" s="34"/>
      <c r="M396" s="34"/>
      <c r="N396" s="34"/>
      <c r="O396" s="34"/>
      <c r="P396" s="34"/>
      <c r="Q396" s="34"/>
      <c r="R396" s="34"/>
      <c r="S396" s="34"/>
      <c r="T396" s="34"/>
      <c r="U396" s="34"/>
      <c r="V396" s="34"/>
      <c r="W396" s="34"/>
      <c r="X396" s="34"/>
    </row>
    <row r="397" spans="1:24" ht="14.25" customHeight="1">
      <c r="A397" s="33">
        <v>22210101</v>
      </c>
      <c r="B397" s="23" t="s">
        <v>618</v>
      </c>
      <c r="C397" s="24">
        <v>500000</v>
      </c>
      <c r="D397" s="4"/>
      <c r="E397" s="34"/>
      <c r="F397" s="4"/>
      <c r="G397" s="4"/>
      <c r="H397" s="4"/>
      <c r="I397" s="4"/>
      <c r="J397" s="4"/>
      <c r="K397" s="4"/>
      <c r="L397" s="4"/>
      <c r="M397" s="4"/>
      <c r="N397" s="4"/>
      <c r="O397" s="4"/>
      <c r="P397" s="4"/>
      <c r="Q397" s="4"/>
      <c r="R397" s="4"/>
      <c r="S397" s="4"/>
      <c r="T397" s="4"/>
      <c r="U397" s="4"/>
      <c r="V397" s="4"/>
      <c r="W397" s="4"/>
      <c r="X397" s="4"/>
    </row>
    <row r="398" spans="1:24" ht="14.25" customHeight="1">
      <c r="A398" s="33">
        <v>22210102</v>
      </c>
      <c r="B398" s="23" t="s">
        <v>619</v>
      </c>
      <c r="C398" s="24">
        <v>500000</v>
      </c>
      <c r="D398" s="4"/>
      <c r="E398" s="34"/>
      <c r="F398" s="4"/>
      <c r="G398" s="4"/>
      <c r="H398" s="4"/>
      <c r="I398" s="4"/>
      <c r="J398" s="4"/>
      <c r="K398" s="4"/>
      <c r="L398" s="4"/>
      <c r="M398" s="4"/>
      <c r="N398" s="4"/>
      <c r="O398" s="4"/>
      <c r="P398" s="4"/>
      <c r="Q398" s="4"/>
      <c r="R398" s="4"/>
      <c r="S398" s="4"/>
      <c r="T398" s="4"/>
      <c r="U398" s="4"/>
      <c r="V398" s="4"/>
      <c r="W398" s="4"/>
      <c r="X398" s="4"/>
    </row>
    <row r="399" spans="1:24" ht="14.25" customHeight="1">
      <c r="A399" s="33">
        <v>22210103</v>
      </c>
      <c r="B399" s="23" t="s">
        <v>620</v>
      </c>
      <c r="C399" s="24">
        <v>1</v>
      </c>
      <c r="D399" s="4"/>
      <c r="E399" s="34"/>
      <c r="F399" s="4"/>
      <c r="G399" s="4"/>
      <c r="H399" s="4"/>
      <c r="I399" s="4"/>
      <c r="J399" s="4"/>
      <c r="K399" s="4"/>
      <c r="L399" s="4"/>
      <c r="M399" s="4"/>
      <c r="N399" s="4"/>
      <c r="O399" s="4"/>
      <c r="P399" s="4"/>
      <c r="Q399" s="4"/>
      <c r="R399" s="4"/>
      <c r="S399" s="4"/>
      <c r="T399" s="4"/>
      <c r="U399" s="4"/>
      <c r="V399" s="4"/>
      <c r="W399" s="4"/>
      <c r="X399" s="4"/>
    </row>
    <row r="400" spans="1:24" ht="14.25" customHeight="1">
      <c r="A400" s="33">
        <v>22210104</v>
      </c>
      <c r="B400" s="23" t="s">
        <v>621</v>
      </c>
      <c r="C400" s="24">
        <v>1</v>
      </c>
      <c r="D400" s="4"/>
      <c r="E400" s="34"/>
      <c r="F400" s="4"/>
      <c r="G400" s="4"/>
      <c r="H400" s="4"/>
      <c r="I400" s="4"/>
      <c r="J400" s="4"/>
      <c r="K400" s="4"/>
      <c r="L400" s="4"/>
      <c r="M400" s="4"/>
      <c r="N400" s="4"/>
      <c r="O400" s="4"/>
      <c r="P400" s="4"/>
      <c r="Q400" s="4"/>
      <c r="R400" s="4"/>
      <c r="S400" s="4"/>
      <c r="T400" s="4"/>
      <c r="U400" s="4"/>
      <c r="V400" s="4"/>
      <c r="W400" s="4"/>
      <c r="X400" s="4"/>
    </row>
    <row r="401" spans="1:24" ht="14.25" customHeight="1">
      <c r="A401" s="48">
        <v>222102</v>
      </c>
      <c r="B401" s="21" t="s">
        <v>622</v>
      </c>
      <c r="C401" s="26">
        <f>SUM(C402)</f>
        <v>1</v>
      </c>
      <c r="D401" s="4"/>
      <c r="E401" s="34"/>
      <c r="F401" s="4"/>
      <c r="G401" s="4"/>
      <c r="H401" s="4"/>
      <c r="I401" s="4"/>
      <c r="J401" s="4"/>
      <c r="K401" s="4"/>
      <c r="L401" s="4"/>
      <c r="M401" s="4"/>
      <c r="N401" s="4"/>
      <c r="O401" s="4"/>
      <c r="P401" s="4"/>
      <c r="Q401" s="4"/>
      <c r="R401" s="4"/>
      <c r="S401" s="4"/>
      <c r="T401" s="4"/>
      <c r="U401" s="4"/>
      <c r="V401" s="4"/>
      <c r="W401" s="4"/>
      <c r="X401" s="4"/>
    </row>
    <row r="402" spans="1:24" ht="14.25" customHeight="1">
      <c r="A402" s="33">
        <v>22210201</v>
      </c>
      <c r="B402" s="23" t="s">
        <v>623</v>
      </c>
      <c r="C402" s="24">
        <v>1</v>
      </c>
      <c r="D402" s="4"/>
      <c r="E402" s="34"/>
      <c r="F402" s="4"/>
      <c r="G402" s="4"/>
      <c r="H402" s="4"/>
      <c r="I402" s="4"/>
      <c r="J402" s="4"/>
      <c r="K402" s="4"/>
      <c r="L402" s="4"/>
      <c r="M402" s="4"/>
      <c r="N402" s="4"/>
      <c r="O402" s="4"/>
      <c r="P402" s="4"/>
      <c r="Q402" s="4"/>
      <c r="R402" s="4"/>
      <c r="S402" s="4"/>
      <c r="T402" s="4"/>
      <c r="U402" s="4"/>
      <c r="V402" s="4"/>
      <c r="W402" s="4"/>
      <c r="X402" s="4"/>
    </row>
    <row r="403" spans="1:24" ht="14.25" customHeight="1">
      <c r="A403" s="48">
        <v>222103</v>
      </c>
      <c r="B403" s="21" t="s">
        <v>624</v>
      </c>
      <c r="C403" s="26">
        <f>SUM(C404:C405)</f>
        <v>2</v>
      </c>
      <c r="D403" s="4"/>
      <c r="E403" s="34"/>
      <c r="F403" s="4"/>
      <c r="G403" s="4"/>
      <c r="H403" s="4"/>
      <c r="I403" s="4"/>
      <c r="J403" s="4"/>
      <c r="K403" s="4"/>
      <c r="L403" s="4"/>
      <c r="M403" s="4"/>
      <c r="N403" s="4"/>
      <c r="O403" s="4"/>
      <c r="P403" s="4"/>
      <c r="Q403" s="4"/>
      <c r="R403" s="4"/>
      <c r="S403" s="4"/>
      <c r="T403" s="4"/>
      <c r="U403" s="4"/>
      <c r="V403" s="4"/>
      <c r="W403" s="4"/>
      <c r="X403" s="4"/>
    </row>
    <row r="404" spans="1:24" ht="13.5" customHeight="1">
      <c r="A404" s="33">
        <v>22210301</v>
      </c>
      <c r="B404" s="23" t="s">
        <v>625</v>
      </c>
      <c r="C404" s="24">
        <v>1</v>
      </c>
      <c r="D404" s="4"/>
      <c r="E404" s="34"/>
      <c r="F404" s="4"/>
      <c r="G404" s="4"/>
      <c r="H404" s="4"/>
      <c r="I404" s="4"/>
      <c r="J404" s="4"/>
      <c r="K404" s="4"/>
      <c r="L404" s="4"/>
      <c r="M404" s="4"/>
      <c r="N404" s="4"/>
      <c r="O404" s="4"/>
      <c r="P404" s="4"/>
      <c r="Q404" s="4"/>
      <c r="R404" s="4"/>
      <c r="S404" s="4"/>
      <c r="T404" s="4"/>
      <c r="U404" s="4"/>
      <c r="V404" s="4"/>
      <c r="W404" s="4"/>
      <c r="X404" s="4"/>
    </row>
    <row r="405" spans="1:24" ht="13.5" customHeight="1">
      <c r="A405" s="33">
        <v>22210302</v>
      </c>
      <c r="B405" s="23" t="s">
        <v>626</v>
      </c>
      <c r="C405" s="24">
        <v>1</v>
      </c>
      <c r="D405" s="4"/>
      <c r="E405" s="34"/>
      <c r="F405" s="4"/>
      <c r="G405" s="4"/>
      <c r="H405" s="4"/>
      <c r="I405" s="4"/>
      <c r="J405" s="4"/>
      <c r="K405" s="4"/>
      <c r="L405" s="4"/>
      <c r="M405" s="4"/>
      <c r="N405" s="4"/>
      <c r="O405" s="4"/>
      <c r="P405" s="4"/>
      <c r="Q405" s="4"/>
      <c r="R405" s="4"/>
      <c r="S405" s="4"/>
      <c r="T405" s="4"/>
      <c r="U405" s="4"/>
      <c r="V405" s="4"/>
      <c r="W405" s="4"/>
      <c r="X405" s="4"/>
    </row>
    <row r="406" spans="1:24" ht="13.5" customHeight="1">
      <c r="A406" s="48">
        <v>222104</v>
      </c>
      <c r="B406" s="21" t="s">
        <v>627</v>
      </c>
      <c r="C406" s="970">
        <f>SUM(C407)</f>
        <v>74698425.560000002</v>
      </c>
      <c r="D406" s="4"/>
      <c r="E406" s="34"/>
      <c r="F406" s="4"/>
      <c r="G406" s="4"/>
      <c r="H406" s="4"/>
      <c r="I406" s="4"/>
      <c r="J406" s="4"/>
      <c r="K406" s="4"/>
      <c r="L406" s="4"/>
      <c r="M406" s="4"/>
      <c r="N406" s="4"/>
      <c r="O406" s="4"/>
      <c r="P406" s="4"/>
      <c r="Q406" s="4"/>
      <c r="R406" s="4"/>
      <c r="S406" s="4"/>
      <c r="T406" s="4"/>
      <c r="U406" s="4"/>
      <c r="V406" s="4"/>
      <c r="W406" s="4"/>
      <c r="X406" s="4"/>
    </row>
    <row r="407" spans="1:24" ht="13.5" customHeight="1">
      <c r="A407" s="1062">
        <v>22210401</v>
      </c>
      <c r="B407" s="698" t="s">
        <v>628</v>
      </c>
      <c r="C407" s="24">
        <v>74698425.560000002</v>
      </c>
      <c r="D407" s="699"/>
      <c r="E407" s="700"/>
      <c r="F407" s="699"/>
      <c r="G407" s="699"/>
      <c r="H407" s="699"/>
      <c r="I407" s="699"/>
      <c r="J407" s="699"/>
      <c r="K407" s="699"/>
      <c r="L407" s="699"/>
      <c r="M407" s="699"/>
      <c r="N407" s="699"/>
      <c r="O407" s="699"/>
      <c r="P407" s="699"/>
      <c r="Q407" s="699"/>
      <c r="R407" s="699"/>
      <c r="S407" s="699"/>
      <c r="T407" s="699"/>
      <c r="U407" s="699"/>
      <c r="V407" s="699"/>
      <c r="W407" s="699"/>
      <c r="X407" s="699"/>
    </row>
    <row r="408" spans="1:24" ht="13.5" customHeight="1" thickBot="1">
      <c r="A408" s="21"/>
      <c r="B408" s="21"/>
      <c r="C408" s="26"/>
      <c r="D408" s="4"/>
      <c r="E408" s="34"/>
      <c r="F408" s="4"/>
      <c r="G408" s="4"/>
      <c r="H408" s="4"/>
      <c r="I408" s="4"/>
      <c r="J408" s="4"/>
      <c r="K408" s="4"/>
      <c r="L408" s="4"/>
      <c r="M408" s="4"/>
      <c r="N408" s="4"/>
      <c r="O408" s="4"/>
      <c r="P408" s="4"/>
      <c r="Q408" s="4"/>
      <c r="R408" s="4"/>
      <c r="S408" s="4"/>
      <c r="T408" s="4"/>
      <c r="U408" s="4"/>
      <c r="V408" s="4"/>
      <c r="W408" s="4"/>
      <c r="X408" s="4"/>
    </row>
    <row r="409" spans="1:24" ht="13.5" customHeight="1" thickBot="1">
      <c r="A409" s="1339" t="s">
        <v>108</v>
      </c>
      <c r="B409" s="1281"/>
      <c r="C409" s="193">
        <f>C410+C420+C423+C426</f>
        <v>73385495.090000004</v>
      </c>
      <c r="D409" s="4"/>
      <c r="E409" s="34"/>
      <c r="F409" s="4"/>
      <c r="G409" s="4"/>
      <c r="H409" s="4"/>
      <c r="I409" s="4"/>
      <c r="J409" s="4"/>
      <c r="K409" s="4"/>
      <c r="L409" s="4"/>
      <c r="M409" s="4"/>
      <c r="N409" s="4"/>
      <c r="O409" s="4"/>
      <c r="P409" s="4"/>
      <c r="Q409" s="4"/>
      <c r="R409" s="4"/>
      <c r="S409" s="4"/>
      <c r="T409" s="4"/>
      <c r="U409" s="4"/>
      <c r="V409" s="4"/>
      <c r="W409" s="4"/>
      <c r="X409" s="4"/>
    </row>
    <row r="410" spans="1:24" ht="14.25" customHeight="1">
      <c r="A410" s="48">
        <v>231102</v>
      </c>
      <c r="B410" s="21" t="s">
        <v>646</v>
      </c>
      <c r="C410" s="26">
        <f>SUM(C411:C419)</f>
        <v>67185491.090000004</v>
      </c>
      <c r="D410" s="194"/>
      <c r="E410" s="34"/>
      <c r="F410" s="4"/>
      <c r="G410" s="4"/>
      <c r="H410" s="4"/>
      <c r="I410" s="4"/>
      <c r="J410" s="4"/>
      <c r="K410" s="4"/>
      <c r="L410" s="4"/>
      <c r="M410" s="4"/>
      <c r="N410" s="4"/>
      <c r="O410" s="4"/>
      <c r="P410" s="4"/>
      <c r="Q410" s="4"/>
      <c r="R410" s="4"/>
      <c r="S410" s="4"/>
      <c r="T410" s="4"/>
      <c r="U410" s="4"/>
      <c r="V410" s="4"/>
      <c r="W410" s="4"/>
      <c r="X410" s="4"/>
    </row>
    <row r="411" spans="1:24" ht="14.25" customHeight="1">
      <c r="A411" s="33">
        <v>23110201</v>
      </c>
      <c r="B411" s="23" t="s">
        <v>629</v>
      </c>
      <c r="C411" s="24">
        <v>1</v>
      </c>
      <c r="D411" s="194"/>
      <c r="E411" s="194"/>
      <c r="F411" s="4"/>
      <c r="G411" s="4"/>
      <c r="H411" s="4"/>
      <c r="I411" s="4"/>
      <c r="J411" s="4"/>
      <c r="K411" s="4"/>
      <c r="L411" s="4"/>
      <c r="M411" s="4"/>
      <c r="N411" s="4"/>
      <c r="O411" s="4"/>
      <c r="P411" s="4"/>
      <c r="Q411" s="4"/>
      <c r="R411" s="4"/>
      <c r="S411" s="4"/>
      <c r="T411" s="4"/>
      <c r="U411" s="4"/>
      <c r="V411" s="4"/>
      <c r="W411" s="4"/>
      <c r="X411" s="4"/>
    </row>
    <row r="412" spans="1:24" ht="14.25" customHeight="1">
      <c r="A412" s="33">
        <v>23110202</v>
      </c>
      <c r="B412" s="23" t="s">
        <v>630</v>
      </c>
      <c r="C412" s="24">
        <f>4016667+12292208.09</f>
        <v>16308875.09</v>
      </c>
      <c r="D412" s="194"/>
      <c r="E412" s="34"/>
      <c r="F412" s="4"/>
      <c r="G412" s="4"/>
      <c r="H412" s="1"/>
      <c r="I412" s="4"/>
      <c r="J412" s="4"/>
      <c r="K412" s="4"/>
      <c r="L412" s="4"/>
      <c r="M412" s="4"/>
      <c r="N412" s="4"/>
      <c r="O412" s="4"/>
      <c r="P412" s="4"/>
      <c r="Q412" s="4"/>
      <c r="R412" s="4"/>
      <c r="S412" s="4"/>
      <c r="T412" s="4"/>
      <c r="U412" s="4"/>
      <c r="V412" s="4"/>
      <c r="W412" s="4"/>
      <c r="X412" s="4"/>
    </row>
    <row r="413" spans="1:24" ht="13.5" customHeight="1">
      <c r="A413" s="33">
        <v>23110203</v>
      </c>
      <c r="B413" s="23" t="s">
        <v>631</v>
      </c>
      <c r="C413" s="24">
        <v>676610</v>
      </c>
      <c r="D413" s="194"/>
      <c r="E413" s="168"/>
      <c r="F413" s="168"/>
      <c r="G413" s="4"/>
      <c r="H413" s="4"/>
      <c r="I413" s="4"/>
      <c r="J413" s="4"/>
      <c r="K413" s="4"/>
      <c r="L413" s="4"/>
      <c r="M413" s="4"/>
      <c r="N413" s="4"/>
      <c r="O413" s="4"/>
      <c r="P413" s="4"/>
      <c r="Q413" s="4"/>
      <c r="R413" s="4"/>
      <c r="S413" s="4"/>
      <c r="T413" s="4"/>
      <c r="U413" s="4"/>
      <c r="V413" s="4"/>
      <c r="W413" s="4"/>
      <c r="X413" s="4"/>
    </row>
    <row r="414" spans="1:24" ht="13.5" customHeight="1">
      <c r="A414" s="33">
        <v>23110204</v>
      </c>
      <c r="B414" s="23" t="s">
        <v>632</v>
      </c>
      <c r="C414" s="24">
        <v>1</v>
      </c>
      <c r="D414" s="1"/>
      <c r="E414" s="34"/>
      <c r="F414" s="4"/>
      <c r="G414" s="4"/>
      <c r="H414" s="4"/>
      <c r="I414" s="4"/>
      <c r="J414" s="4"/>
      <c r="K414" s="4"/>
      <c r="L414" s="4"/>
      <c r="M414" s="4"/>
      <c r="N414" s="4"/>
      <c r="O414" s="4"/>
      <c r="P414" s="4"/>
      <c r="Q414" s="4"/>
      <c r="R414" s="4"/>
      <c r="S414" s="4"/>
      <c r="T414" s="4"/>
      <c r="U414" s="4"/>
      <c r="V414" s="4"/>
      <c r="W414" s="4"/>
      <c r="X414" s="4"/>
    </row>
    <row r="415" spans="1:24" ht="13.5" customHeight="1">
      <c r="A415" s="33">
        <v>23110205</v>
      </c>
      <c r="B415" s="23" t="s">
        <v>633</v>
      </c>
      <c r="C415" s="24">
        <v>1</v>
      </c>
      <c r="D415" s="194"/>
      <c r="E415" s="34"/>
      <c r="F415" s="4"/>
      <c r="G415" s="4"/>
      <c r="H415" s="4"/>
      <c r="I415" s="4"/>
      <c r="J415" s="4"/>
      <c r="K415" s="4"/>
      <c r="L415" s="4"/>
      <c r="M415" s="4"/>
      <c r="N415" s="4"/>
      <c r="O415" s="4"/>
      <c r="P415" s="4"/>
      <c r="Q415" s="4"/>
      <c r="R415" s="4"/>
      <c r="S415" s="4"/>
      <c r="T415" s="4"/>
      <c r="U415" s="4"/>
      <c r="V415" s="4"/>
      <c r="W415" s="4"/>
      <c r="X415" s="4"/>
    </row>
    <row r="416" spans="1:24" ht="14.25" customHeight="1">
      <c r="A416" s="33">
        <v>23110206</v>
      </c>
      <c r="B416" s="23" t="s">
        <v>634</v>
      </c>
      <c r="C416" s="24">
        <f>SUM(C417)</f>
        <v>1</v>
      </c>
      <c r="D416" s="194"/>
      <c r="E416" s="34"/>
      <c r="F416" s="4"/>
      <c r="G416" s="4"/>
      <c r="H416" s="4"/>
      <c r="I416" s="4"/>
      <c r="J416" s="4"/>
      <c r="K416" s="4"/>
      <c r="L416" s="4"/>
      <c r="M416" s="4"/>
      <c r="N416" s="4"/>
      <c r="O416" s="4"/>
      <c r="P416" s="4"/>
      <c r="Q416" s="4"/>
      <c r="R416" s="4"/>
      <c r="S416" s="4"/>
      <c r="T416" s="4"/>
      <c r="U416" s="4"/>
      <c r="V416" s="4"/>
      <c r="W416" s="4"/>
      <c r="X416" s="4"/>
    </row>
    <row r="417" spans="1:24" ht="14.25" customHeight="1">
      <c r="A417" s="33">
        <v>23110207</v>
      </c>
      <c r="B417" s="23" t="s">
        <v>635</v>
      </c>
      <c r="C417" s="24">
        <v>1</v>
      </c>
      <c r="D417" s="4"/>
      <c r="E417" s="34"/>
      <c r="F417" s="4"/>
      <c r="G417" s="4"/>
      <c r="H417" s="4"/>
      <c r="I417" s="4"/>
      <c r="J417" s="4"/>
      <c r="K417" s="4"/>
      <c r="L417" s="4"/>
      <c r="M417" s="4"/>
      <c r="N417" s="4"/>
      <c r="O417" s="4"/>
      <c r="P417" s="4"/>
      <c r="Q417" s="4"/>
      <c r="R417" s="4"/>
      <c r="S417" s="4"/>
      <c r="T417" s="4"/>
      <c r="U417" s="4"/>
      <c r="V417" s="4"/>
      <c r="W417" s="4"/>
      <c r="X417" s="4"/>
    </row>
    <row r="418" spans="1:24" ht="14.25" customHeight="1">
      <c r="A418" s="33">
        <v>23110209</v>
      </c>
      <c r="B418" s="23" t="s">
        <v>636</v>
      </c>
      <c r="C418" s="24">
        <v>1</v>
      </c>
      <c r="D418" s="4"/>
      <c r="E418" s="34"/>
      <c r="F418" s="4"/>
      <c r="G418" s="4"/>
      <c r="H418" s="4"/>
      <c r="I418" s="4"/>
      <c r="J418" s="4"/>
      <c r="K418" s="4"/>
      <c r="L418" s="4"/>
      <c r="M418" s="4"/>
      <c r="N418" s="4"/>
      <c r="O418" s="4"/>
      <c r="P418" s="4"/>
      <c r="Q418" s="4"/>
      <c r="R418" s="4"/>
      <c r="S418" s="4"/>
      <c r="T418" s="4"/>
      <c r="U418" s="4"/>
      <c r="V418" s="4"/>
      <c r="W418" s="4"/>
      <c r="X418" s="4"/>
    </row>
    <row r="419" spans="1:24" ht="14.25" customHeight="1">
      <c r="A419" s="33">
        <v>23110210</v>
      </c>
      <c r="B419" s="23" t="s">
        <v>637</v>
      </c>
      <c r="C419" s="24">
        <f>2100000*12+25000000</f>
        <v>50200000</v>
      </c>
      <c r="D419" s="4"/>
      <c r="E419" s="34"/>
      <c r="F419" s="4"/>
      <c r="G419" s="4"/>
      <c r="H419" s="4"/>
      <c r="I419" s="4"/>
      <c r="J419" s="4"/>
      <c r="K419" s="4"/>
      <c r="L419" s="4"/>
      <c r="M419" s="4"/>
      <c r="N419" s="4"/>
      <c r="O419" s="4"/>
      <c r="P419" s="4"/>
      <c r="Q419" s="4"/>
      <c r="R419" s="4"/>
      <c r="S419" s="4"/>
      <c r="T419" s="4"/>
      <c r="U419" s="4"/>
      <c r="V419" s="4"/>
      <c r="W419" s="4"/>
      <c r="X419" s="4"/>
    </row>
    <row r="420" spans="1:24" ht="14.25" customHeight="1">
      <c r="A420" s="48">
        <v>23030000</v>
      </c>
      <c r="B420" s="21" t="s">
        <v>638</v>
      </c>
      <c r="C420" s="26">
        <f>SUM(C421:C422)</f>
        <v>2</v>
      </c>
      <c r="D420" s="4"/>
      <c r="E420" s="34"/>
      <c r="F420" s="4"/>
      <c r="G420" s="4"/>
      <c r="H420" s="4"/>
      <c r="I420" s="4"/>
      <c r="J420" s="4"/>
      <c r="K420" s="4"/>
      <c r="L420" s="4"/>
      <c r="M420" s="4"/>
      <c r="N420" s="4"/>
      <c r="O420" s="4"/>
      <c r="P420" s="4"/>
      <c r="Q420" s="4"/>
      <c r="R420" s="4"/>
      <c r="S420" s="4"/>
      <c r="T420" s="4"/>
      <c r="U420" s="4"/>
      <c r="V420" s="4"/>
      <c r="W420" s="4"/>
      <c r="X420" s="4"/>
    </row>
    <row r="421" spans="1:24" ht="13.5" customHeight="1">
      <c r="A421" s="33">
        <v>23110301</v>
      </c>
      <c r="B421" s="23" t="s">
        <v>639</v>
      </c>
      <c r="C421" s="24">
        <v>1</v>
      </c>
      <c r="D421" s="4"/>
      <c r="E421" s="34"/>
      <c r="F421" s="4"/>
      <c r="G421" s="4"/>
      <c r="H421" s="4"/>
      <c r="I421" s="4"/>
      <c r="J421" s="4"/>
      <c r="K421" s="4"/>
      <c r="L421" s="4"/>
      <c r="M421" s="4"/>
      <c r="N421" s="4"/>
      <c r="O421" s="4"/>
      <c r="P421" s="4"/>
      <c r="Q421" s="4"/>
      <c r="R421" s="4"/>
      <c r="S421" s="4"/>
      <c r="T421" s="4"/>
      <c r="U421" s="4"/>
      <c r="V421" s="4"/>
      <c r="W421" s="4"/>
      <c r="X421" s="4"/>
    </row>
    <row r="422" spans="1:24" ht="13.5" customHeight="1">
      <c r="A422" s="33">
        <v>23110302</v>
      </c>
      <c r="B422" s="23" t="s">
        <v>640</v>
      </c>
      <c r="C422" s="24">
        <v>1</v>
      </c>
      <c r="D422" s="1"/>
      <c r="E422" s="4"/>
      <c r="F422" s="4"/>
      <c r="G422" s="4"/>
      <c r="H422" s="4"/>
      <c r="I422" s="4"/>
      <c r="J422" s="4"/>
      <c r="K422" s="4"/>
      <c r="L422" s="4"/>
      <c r="M422" s="4"/>
      <c r="N422" s="4"/>
      <c r="O422" s="4"/>
      <c r="P422" s="4"/>
      <c r="Q422" s="4"/>
      <c r="R422" s="4"/>
      <c r="S422" s="4"/>
      <c r="T422" s="4"/>
      <c r="U422" s="4"/>
      <c r="V422" s="4"/>
      <c r="W422" s="4"/>
      <c r="X422" s="4"/>
    </row>
    <row r="423" spans="1:24" ht="12.75" customHeight="1">
      <c r="A423" s="48">
        <v>231104</v>
      </c>
      <c r="B423" s="21" t="s">
        <v>641</v>
      </c>
      <c r="C423" s="26">
        <f>SUM(C424:C425)</f>
        <v>6200001</v>
      </c>
      <c r="D423" s="23"/>
      <c r="E423" s="33"/>
      <c r="F423" s="23"/>
      <c r="G423" s="23"/>
      <c r="H423" s="23"/>
      <c r="I423" s="23"/>
      <c r="J423" s="23"/>
      <c r="K423" s="23"/>
      <c r="L423" s="23"/>
      <c r="M423" s="23"/>
      <c r="N423" s="23"/>
      <c r="O423" s="23"/>
      <c r="P423" s="23"/>
      <c r="Q423" s="23"/>
      <c r="R423" s="23"/>
      <c r="S423" s="23"/>
      <c r="T423" s="23"/>
      <c r="U423" s="23"/>
      <c r="V423" s="23"/>
      <c r="W423" s="23"/>
      <c r="X423" s="23"/>
    </row>
    <row r="424" spans="1:24" ht="12.75" customHeight="1">
      <c r="A424" s="33">
        <v>23110401</v>
      </c>
      <c r="B424" s="23" t="s">
        <v>642</v>
      </c>
      <c r="C424" s="24">
        <f>1200000+5000000</f>
        <v>6200000</v>
      </c>
      <c r="D424" s="1"/>
      <c r="E424" s="2"/>
      <c r="F424" s="23"/>
      <c r="G424" s="23"/>
      <c r="H424" s="23"/>
      <c r="I424" s="23"/>
      <c r="J424" s="23"/>
      <c r="K424" s="23"/>
      <c r="L424" s="23"/>
      <c r="M424" s="23"/>
      <c r="N424" s="23"/>
      <c r="O424" s="23"/>
      <c r="P424" s="23"/>
      <c r="Q424" s="23"/>
      <c r="R424" s="23"/>
      <c r="S424" s="23"/>
      <c r="T424" s="23"/>
      <c r="U424" s="23"/>
      <c r="V424" s="23"/>
      <c r="W424" s="23"/>
      <c r="X424" s="23"/>
    </row>
    <row r="425" spans="1:24" ht="12.75" customHeight="1">
      <c r="A425" s="33">
        <v>23110402</v>
      </c>
      <c r="B425" s="23" t="s">
        <v>643</v>
      </c>
      <c r="C425" s="24">
        <v>1</v>
      </c>
      <c r="D425" s="23"/>
      <c r="E425" s="33"/>
      <c r="F425" s="23"/>
      <c r="G425" s="23"/>
      <c r="H425" s="23"/>
      <c r="I425" s="23"/>
      <c r="J425" s="23"/>
      <c r="K425" s="23"/>
      <c r="L425" s="23"/>
      <c r="M425" s="23"/>
      <c r="N425" s="23"/>
      <c r="O425" s="23"/>
      <c r="P425" s="23"/>
      <c r="Q425" s="23"/>
      <c r="R425" s="23"/>
      <c r="S425" s="23"/>
      <c r="T425" s="23"/>
      <c r="U425" s="23"/>
      <c r="V425" s="23"/>
      <c r="W425" s="23"/>
      <c r="X425" s="23"/>
    </row>
    <row r="426" spans="1:24" ht="13.5" customHeight="1">
      <c r="A426" s="48">
        <v>231105</v>
      </c>
      <c r="B426" s="21" t="s">
        <v>644</v>
      </c>
      <c r="C426" s="26">
        <f>SUM(C427)</f>
        <v>1</v>
      </c>
      <c r="D426" s="4"/>
      <c r="E426" s="34"/>
      <c r="F426" s="4"/>
      <c r="G426" s="4"/>
      <c r="H426" s="4"/>
      <c r="I426" s="4"/>
      <c r="J426" s="4"/>
      <c r="K426" s="4"/>
      <c r="L426" s="4"/>
      <c r="M426" s="4"/>
      <c r="N426" s="4"/>
      <c r="O426" s="4"/>
      <c r="P426" s="4"/>
      <c r="Q426" s="4"/>
      <c r="R426" s="4"/>
      <c r="S426" s="4"/>
      <c r="T426" s="4"/>
      <c r="U426" s="4"/>
      <c r="V426" s="4"/>
      <c r="W426" s="4"/>
      <c r="X426" s="4"/>
    </row>
    <row r="427" spans="1:24" ht="13.5" customHeight="1">
      <c r="A427" s="33">
        <v>23110501</v>
      </c>
      <c r="B427" s="4" t="s">
        <v>645</v>
      </c>
      <c r="C427" s="24">
        <v>1</v>
      </c>
      <c r="D427" s="4"/>
      <c r="E427" s="34"/>
      <c r="F427" s="4"/>
      <c r="G427" s="4"/>
      <c r="H427" s="4"/>
      <c r="I427" s="4"/>
      <c r="J427" s="4"/>
      <c r="K427" s="4"/>
      <c r="L427" s="4"/>
      <c r="M427" s="4"/>
      <c r="N427" s="4"/>
      <c r="O427" s="4"/>
      <c r="P427" s="4"/>
      <c r="Q427" s="4"/>
      <c r="R427" s="4"/>
      <c r="S427" s="4"/>
      <c r="T427" s="4"/>
      <c r="U427" s="4"/>
      <c r="V427" s="4"/>
      <c r="W427" s="4"/>
      <c r="X427" s="4"/>
    </row>
    <row r="428" spans="1:24" ht="12.75" customHeight="1" thickBot="1">
      <c r="A428" s="23"/>
      <c r="B428" s="23"/>
      <c r="C428" s="24"/>
      <c r="D428" s="23"/>
      <c r="E428" s="33"/>
      <c r="F428" s="23"/>
      <c r="G428" s="23"/>
      <c r="H428" s="23"/>
      <c r="I428" s="23"/>
      <c r="J428" s="23"/>
      <c r="K428" s="23"/>
      <c r="L428" s="23"/>
      <c r="M428" s="23"/>
      <c r="N428" s="23"/>
      <c r="O428" s="23"/>
      <c r="P428" s="23"/>
      <c r="Q428" s="23"/>
      <c r="R428" s="23"/>
      <c r="S428" s="23"/>
      <c r="T428" s="23"/>
      <c r="U428" s="23"/>
      <c r="V428" s="23"/>
      <c r="W428" s="23"/>
      <c r="X428" s="23"/>
    </row>
    <row r="429" spans="1:24" ht="14.25" customHeight="1" thickBot="1">
      <c r="A429" s="1333" t="s">
        <v>109</v>
      </c>
      <c r="B429" s="1281"/>
      <c r="C429" s="195">
        <f>SUM(C430:C431)</f>
        <v>757499980.91000009</v>
      </c>
      <c r="D429" s="4"/>
      <c r="E429" s="34"/>
      <c r="F429" s="4"/>
      <c r="G429" s="4"/>
      <c r="H429" s="4"/>
      <c r="I429" s="4"/>
      <c r="J429" s="4"/>
      <c r="K429" s="4"/>
      <c r="L429" s="4"/>
      <c r="M429" s="4"/>
      <c r="N429" s="4"/>
      <c r="O429" s="4"/>
      <c r="P429" s="4"/>
      <c r="Q429" s="4"/>
      <c r="R429" s="4"/>
      <c r="S429" s="4"/>
      <c r="T429" s="4"/>
      <c r="U429" s="4"/>
      <c r="V429" s="4"/>
      <c r="W429" s="4"/>
      <c r="X429" s="4"/>
    </row>
    <row r="430" spans="1:24" ht="13.5" customHeight="1">
      <c r="A430" s="48">
        <v>241</v>
      </c>
      <c r="B430" s="21" t="s">
        <v>647</v>
      </c>
      <c r="C430" s="26">
        <f>95000000+2000000+15000000+65000000+120000000+36000000-1623497.5+421922080.91</f>
        <v>753298583.41000009</v>
      </c>
      <c r="D430" s="4"/>
      <c r="E430" s="34"/>
      <c r="F430" s="4"/>
      <c r="G430" s="4"/>
      <c r="H430" s="4"/>
      <c r="I430" s="4"/>
      <c r="J430" s="4"/>
      <c r="K430" s="4"/>
      <c r="L430" s="4"/>
      <c r="M430" s="4"/>
      <c r="N430" s="4"/>
      <c r="O430" s="4"/>
      <c r="P430" s="4"/>
      <c r="Q430" s="4"/>
      <c r="R430" s="4"/>
      <c r="S430" s="4"/>
      <c r="T430" s="4"/>
      <c r="U430" s="4"/>
      <c r="V430" s="4"/>
      <c r="W430" s="4"/>
      <c r="X430" s="4"/>
    </row>
    <row r="431" spans="1:24" ht="14.25" customHeight="1">
      <c r="A431" s="48">
        <v>242</v>
      </c>
      <c r="B431" s="21" t="s">
        <v>648</v>
      </c>
      <c r="C431" s="26">
        <f>3201397.5+1000000</f>
        <v>4201397.5</v>
      </c>
      <c r="D431" s="4"/>
      <c r="E431" s="34"/>
      <c r="F431" s="4"/>
      <c r="G431" s="4"/>
      <c r="H431" s="4"/>
      <c r="I431" s="4"/>
      <c r="J431" s="4"/>
      <c r="K431" s="4"/>
      <c r="L431" s="4"/>
      <c r="M431" s="4"/>
      <c r="N431" s="4"/>
      <c r="O431" s="4"/>
      <c r="P431" s="4"/>
      <c r="Q431" s="4"/>
      <c r="R431" s="4"/>
      <c r="S431" s="4"/>
      <c r="T431" s="4"/>
      <c r="U431" s="4"/>
      <c r="V431" s="4"/>
      <c r="W431" s="4"/>
      <c r="X431" s="4"/>
    </row>
    <row r="432" spans="1:24" ht="13.5" customHeight="1">
      <c r="A432" s="4"/>
      <c r="B432" s="4"/>
      <c r="C432" s="3"/>
      <c r="D432" s="4"/>
      <c r="E432" s="34"/>
      <c r="F432" s="4"/>
      <c r="G432" s="4"/>
      <c r="H432" s="4"/>
      <c r="I432" s="4"/>
      <c r="J432" s="4"/>
      <c r="K432" s="4"/>
      <c r="L432" s="4"/>
      <c r="M432" s="4"/>
      <c r="N432" s="4"/>
      <c r="O432" s="4"/>
      <c r="P432" s="4"/>
      <c r="Q432" s="4"/>
      <c r="R432" s="4"/>
      <c r="S432" s="4"/>
      <c r="T432" s="4"/>
      <c r="U432" s="4"/>
      <c r="V432" s="4"/>
      <c r="W432" s="4"/>
      <c r="X432" s="4"/>
    </row>
    <row r="433" spans="1:24" ht="12.75" customHeight="1" thickBot="1">
      <c r="A433" s="4"/>
      <c r="B433" s="4"/>
      <c r="C433" s="3"/>
      <c r="D433" s="4"/>
      <c r="E433" s="34"/>
      <c r="F433" s="4"/>
      <c r="G433" s="4"/>
      <c r="H433" s="4"/>
      <c r="I433" s="4"/>
      <c r="J433" s="4"/>
      <c r="K433" s="4"/>
      <c r="L433" s="4"/>
      <c r="M433" s="4"/>
      <c r="N433" s="4"/>
      <c r="O433" s="4"/>
      <c r="P433" s="4"/>
      <c r="Q433" s="4"/>
      <c r="R433" s="4"/>
      <c r="S433" s="4"/>
      <c r="T433" s="4"/>
      <c r="U433" s="4"/>
      <c r="V433" s="4"/>
      <c r="W433" s="4"/>
      <c r="X433" s="4"/>
    </row>
    <row r="434" spans="1:24" ht="12.75" customHeight="1">
      <c r="A434" s="1509" t="s">
        <v>961</v>
      </c>
      <c r="B434" s="1510"/>
      <c r="C434" s="1161" t="s">
        <v>780</v>
      </c>
      <c r="D434" s="4"/>
      <c r="E434" s="34"/>
      <c r="F434" s="4"/>
      <c r="G434" s="4"/>
      <c r="H434" s="4"/>
      <c r="I434" s="4"/>
      <c r="J434" s="4"/>
      <c r="K434" s="4"/>
      <c r="L434" s="4"/>
      <c r="M434" s="4"/>
      <c r="N434" s="4"/>
      <c r="O434" s="4"/>
      <c r="P434" s="4"/>
      <c r="Q434" s="4"/>
      <c r="R434" s="4"/>
      <c r="S434" s="4"/>
      <c r="T434" s="4"/>
      <c r="U434" s="4"/>
      <c r="V434" s="4"/>
      <c r="W434" s="4"/>
      <c r="X434" s="4"/>
    </row>
    <row r="435" spans="1:24" ht="12.75" customHeight="1" thickBot="1">
      <c r="A435" s="1511"/>
      <c r="B435" s="1508"/>
      <c r="C435" s="1490"/>
      <c r="D435" s="4"/>
      <c r="E435" s="34"/>
      <c r="F435" s="4"/>
      <c r="G435" s="4"/>
      <c r="H435" s="4"/>
      <c r="I435" s="4"/>
      <c r="J435" s="4"/>
      <c r="K435" s="4"/>
      <c r="L435" s="4"/>
      <c r="M435" s="4"/>
      <c r="N435" s="4"/>
      <c r="O435" s="4"/>
      <c r="P435" s="4"/>
      <c r="Q435" s="4"/>
      <c r="R435" s="4"/>
      <c r="S435" s="4"/>
      <c r="T435" s="4"/>
      <c r="U435" s="4"/>
      <c r="V435" s="4"/>
      <c r="W435" s="4"/>
      <c r="X435" s="4"/>
    </row>
    <row r="436" spans="1:24" ht="12.75" customHeight="1">
      <c r="A436" s="1028" t="s">
        <v>675</v>
      </c>
      <c r="B436" s="808"/>
      <c r="C436" s="1029"/>
      <c r="D436" s="4"/>
      <c r="E436" s="34"/>
      <c r="F436" s="4"/>
      <c r="G436" s="4"/>
      <c r="H436" s="4"/>
      <c r="I436" s="4"/>
      <c r="J436" s="4"/>
      <c r="K436" s="4"/>
      <c r="L436" s="4"/>
      <c r="M436" s="4"/>
      <c r="N436" s="4"/>
      <c r="O436" s="4"/>
      <c r="P436" s="4"/>
      <c r="Q436" s="4"/>
      <c r="R436" s="4"/>
      <c r="S436" s="4"/>
      <c r="T436" s="4"/>
      <c r="U436" s="4"/>
      <c r="V436" s="4"/>
      <c r="W436" s="4"/>
      <c r="X436" s="4"/>
    </row>
    <row r="437" spans="1:24" ht="12.75" customHeight="1">
      <c r="A437" s="1028" t="s">
        <v>716</v>
      </c>
      <c r="B437" s="808"/>
      <c r="C437" s="1029"/>
      <c r="D437" s="4"/>
      <c r="E437" s="34"/>
      <c r="F437" s="4"/>
      <c r="G437" s="4"/>
      <c r="H437" s="4"/>
      <c r="I437" s="4"/>
      <c r="J437" s="4"/>
      <c r="K437" s="4"/>
      <c r="L437" s="4"/>
      <c r="M437" s="4"/>
      <c r="N437" s="4"/>
      <c r="O437" s="4"/>
      <c r="P437" s="4"/>
      <c r="Q437" s="4"/>
      <c r="R437" s="4"/>
      <c r="S437" s="4"/>
      <c r="T437" s="4"/>
      <c r="U437" s="4"/>
      <c r="V437" s="4"/>
      <c r="W437" s="4"/>
      <c r="X437" s="4"/>
    </row>
    <row r="438" spans="1:24" ht="13.5" customHeight="1">
      <c r="A438" s="1028" t="s">
        <v>717</v>
      </c>
      <c r="B438" s="808"/>
      <c r="C438" s="1029"/>
      <c r="D438" s="4"/>
      <c r="E438" s="34"/>
      <c r="F438" s="4"/>
      <c r="G438" s="4"/>
      <c r="H438" s="4"/>
      <c r="I438" s="4"/>
      <c r="J438" s="4"/>
      <c r="K438" s="4"/>
      <c r="L438" s="4"/>
      <c r="M438" s="4"/>
      <c r="N438" s="4"/>
      <c r="O438" s="4"/>
      <c r="P438" s="4"/>
      <c r="Q438" s="4"/>
      <c r="R438" s="4"/>
      <c r="S438" s="4"/>
      <c r="T438" s="4"/>
      <c r="U438" s="4"/>
      <c r="V438" s="4"/>
      <c r="W438" s="4"/>
      <c r="X438" s="4"/>
    </row>
    <row r="439" spans="1:24" ht="13.5" customHeight="1" thickBot="1">
      <c r="A439" s="1125" t="s">
        <v>0</v>
      </c>
      <c r="B439" s="982"/>
      <c r="C439" s="1101"/>
      <c r="D439" s="4"/>
      <c r="E439" s="34"/>
      <c r="F439" s="4"/>
      <c r="G439" s="4"/>
      <c r="H439" s="4"/>
      <c r="I439" s="4"/>
      <c r="J439" s="4"/>
      <c r="K439" s="4"/>
      <c r="L439" s="4"/>
      <c r="M439" s="4"/>
      <c r="N439" s="4"/>
      <c r="O439" s="4"/>
      <c r="P439" s="4"/>
      <c r="Q439" s="4"/>
      <c r="R439" s="4"/>
      <c r="S439" s="4"/>
      <c r="T439" s="4"/>
      <c r="U439" s="4"/>
      <c r="V439" s="4"/>
      <c r="W439" s="4"/>
      <c r="X439" s="4"/>
    </row>
    <row r="440" spans="1:24" ht="13.5" customHeight="1" thickBot="1">
      <c r="A440" s="1171" t="s">
        <v>1</v>
      </c>
      <c r="B440" s="1186"/>
      <c r="C440" s="1173">
        <f>+C442+C459+C471</f>
        <v>182486734.69</v>
      </c>
      <c r="D440" s="4"/>
      <c r="E440" s="60"/>
      <c r="F440" s="4"/>
      <c r="G440" s="4"/>
      <c r="H440" s="4"/>
      <c r="I440" s="4"/>
      <c r="J440" s="4"/>
      <c r="K440" s="4"/>
      <c r="L440" s="4"/>
      <c r="M440" s="4"/>
      <c r="N440" s="4"/>
      <c r="O440" s="4"/>
      <c r="P440" s="4"/>
      <c r="Q440" s="4"/>
      <c r="R440" s="4"/>
      <c r="S440" s="4"/>
      <c r="T440" s="4"/>
      <c r="U440" s="4"/>
      <c r="V440" s="4"/>
      <c r="W440" s="4"/>
      <c r="X440" s="4"/>
    </row>
    <row r="441" spans="1:24" ht="13.5" customHeight="1" thickBot="1">
      <c r="A441" s="21"/>
      <c r="B441" s="21"/>
      <c r="C441" s="26"/>
      <c r="D441" s="61"/>
      <c r="E441" s="34"/>
      <c r="F441" s="4"/>
      <c r="G441" s="4"/>
      <c r="H441" s="4"/>
      <c r="I441" s="4"/>
      <c r="J441" s="4"/>
      <c r="K441" s="4"/>
      <c r="L441" s="4"/>
      <c r="M441" s="4"/>
      <c r="N441" s="4"/>
      <c r="O441" s="4"/>
      <c r="P441" s="4"/>
      <c r="Q441" s="4"/>
      <c r="R441" s="4"/>
      <c r="S441" s="4"/>
      <c r="T441" s="4"/>
      <c r="U441" s="4"/>
      <c r="V441" s="4"/>
      <c r="W441" s="4"/>
      <c r="X441" s="4"/>
    </row>
    <row r="442" spans="1:24" ht="14.25" customHeight="1" thickBot="1">
      <c r="A442" s="1297" t="s">
        <v>9</v>
      </c>
      <c r="B442" s="1281"/>
      <c r="C442" s="62">
        <f>(C445+C447+C452+C455+C443)</f>
        <v>10861532.41</v>
      </c>
      <c r="D442" s="61"/>
      <c r="E442" s="34"/>
      <c r="F442" s="4"/>
      <c r="G442" s="4"/>
      <c r="H442" s="4"/>
      <c r="I442" s="4"/>
      <c r="J442" s="4"/>
      <c r="K442" s="4"/>
      <c r="L442" s="4"/>
      <c r="M442" s="4"/>
      <c r="N442" s="4"/>
      <c r="O442" s="4"/>
      <c r="P442" s="4"/>
      <c r="Q442" s="4"/>
      <c r="R442" s="4"/>
      <c r="S442" s="4"/>
      <c r="T442" s="4"/>
      <c r="U442" s="4"/>
      <c r="V442" s="4"/>
      <c r="W442" s="4"/>
      <c r="X442" s="4"/>
    </row>
    <row r="443" spans="1:24" ht="13.5" customHeight="1">
      <c r="A443" s="48">
        <v>211201</v>
      </c>
      <c r="B443" s="48" t="s">
        <v>459</v>
      </c>
      <c r="C443" s="49">
        <f>C444</f>
        <v>341500</v>
      </c>
      <c r="D443" s="33"/>
      <c r="E443" s="34"/>
      <c r="F443" s="33"/>
      <c r="G443" s="33"/>
      <c r="H443" s="33"/>
      <c r="I443" s="33"/>
      <c r="J443" s="33"/>
      <c r="K443" s="33"/>
      <c r="L443" s="33"/>
      <c r="M443" s="33"/>
      <c r="N443" s="33"/>
      <c r="O443" s="33"/>
      <c r="P443" s="33"/>
      <c r="Q443" s="33"/>
      <c r="R443" s="33"/>
      <c r="S443" s="33"/>
      <c r="T443" s="33"/>
      <c r="U443" s="33"/>
      <c r="V443" s="33"/>
      <c r="W443" s="33"/>
      <c r="X443" s="33"/>
    </row>
    <row r="444" spans="1:24" ht="13.5" customHeight="1">
      <c r="A444" s="33">
        <v>21120101</v>
      </c>
      <c r="B444" s="23" t="s">
        <v>460</v>
      </c>
      <c r="C444" s="24">
        <v>341500</v>
      </c>
      <c r="D444" s="32"/>
      <c r="E444" s="32"/>
      <c r="F444" s="23"/>
      <c r="G444" s="23"/>
      <c r="H444" s="23"/>
      <c r="I444" s="23"/>
      <c r="J444" s="23"/>
      <c r="K444" s="23"/>
      <c r="L444" s="23"/>
      <c r="M444" s="23"/>
      <c r="N444" s="23"/>
      <c r="O444" s="23"/>
      <c r="P444" s="23"/>
      <c r="Q444" s="23"/>
      <c r="R444" s="23"/>
      <c r="S444" s="23"/>
      <c r="T444" s="23"/>
      <c r="U444" s="23"/>
      <c r="V444" s="23"/>
      <c r="W444" s="23"/>
      <c r="X444" s="23"/>
    </row>
    <row r="445" spans="1:24" ht="14.25" customHeight="1">
      <c r="A445" s="48">
        <v>211204</v>
      </c>
      <c r="B445" s="21" t="s">
        <v>463</v>
      </c>
      <c r="C445" s="49">
        <f>C446</f>
        <v>369500</v>
      </c>
      <c r="D445" s="61"/>
      <c r="E445" s="34"/>
      <c r="F445" s="34"/>
      <c r="G445" s="34"/>
      <c r="H445" s="34"/>
      <c r="I445" s="34"/>
      <c r="J445" s="34"/>
      <c r="K445" s="34"/>
      <c r="L445" s="34"/>
      <c r="M445" s="34"/>
      <c r="N445" s="34"/>
      <c r="O445" s="34"/>
      <c r="P445" s="34"/>
      <c r="Q445" s="34"/>
      <c r="R445" s="34"/>
      <c r="S445" s="34"/>
      <c r="T445" s="34"/>
      <c r="U445" s="34"/>
      <c r="V445" s="34"/>
      <c r="W445" s="34"/>
      <c r="X445" s="34"/>
    </row>
    <row r="446" spans="1:24" ht="14.25" customHeight="1">
      <c r="A446" s="33">
        <v>21120401</v>
      </c>
      <c r="B446" s="24" t="s">
        <v>464</v>
      </c>
      <c r="C446" s="24">
        <f>20000+349500</f>
        <v>369500</v>
      </c>
      <c r="D446" s="4"/>
      <c r="E446" s="34"/>
      <c r="F446" s="4"/>
      <c r="G446" s="4"/>
      <c r="H446" s="4"/>
      <c r="I446" s="4"/>
      <c r="J446" s="4"/>
      <c r="K446" s="4"/>
      <c r="L446" s="4"/>
      <c r="M446" s="4"/>
      <c r="N446" s="4"/>
      <c r="O446" s="4"/>
      <c r="P446" s="4"/>
      <c r="Q446" s="4"/>
      <c r="R446" s="4"/>
      <c r="S446" s="4"/>
      <c r="T446" s="4"/>
      <c r="U446" s="4"/>
      <c r="V446" s="4"/>
      <c r="W446" s="4"/>
      <c r="X446" s="4"/>
    </row>
    <row r="447" spans="1:24" ht="13.5" customHeight="1">
      <c r="A447" s="48">
        <v>211207</v>
      </c>
      <c r="B447" s="26" t="s">
        <v>467</v>
      </c>
      <c r="C447" s="26">
        <f>+SUM(C448:C451)</f>
        <v>9046532.4100000001</v>
      </c>
      <c r="D447" s="190"/>
      <c r="E447" s="191"/>
      <c r="F447" s="4"/>
      <c r="G447" s="4"/>
      <c r="H447" s="4"/>
      <c r="I447" s="4"/>
      <c r="J447" s="4"/>
      <c r="K447" s="4"/>
      <c r="L447" s="4"/>
      <c r="M447" s="4"/>
      <c r="N447" s="4"/>
      <c r="O447" s="4"/>
      <c r="P447" s="4"/>
      <c r="Q447" s="4"/>
      <c r="R447" s="4"/>
      <c r="S447" s="4"/>
      <c r="T447" s="4"/>
      <c r="U447" s="4"/>
      <c r="V447" s="4"/>
      <c r="W447" s="4"/>
      <c r="X447" s="4"/>
    </row>
    <row r="448" spans="1:24" ht="14.25" customHeight="1">
      <c r="A448" s="33">
        <v>21120702</v>
      </c>
      <c r="B448" s="24" t="s">
        <v>468</v>
      </c>
      <c r="C448" s="24">
        <f>6736000+1803532.41</f>
        <v>8539532.4100000001</v>
      </c>
      <c r="D448" s="4"/>
      <c r="E448" s="34"/>
      <c r="F448" s="4"/>
      <c r="G448" s="4"/>
      <c r="H448" s="4"/>
      <c r="I448" s="4"/>
      <c r="J448" s="4"/>
      <c r="K448" s="4"/>
      <c r="L448" s="4"/>
      <c r="M448" s="4"/>
      <c r="N448" s="4"/>
      <c r="O448" s="4"/>
      <c r="P448" s="4"/>
      <c r="Q448" s="4"/>
      <c r="R448" s="4"/>
      <c r="S448" s="4"/>
      <c r="T448" s="4"/>
      <c r="U448" s="4"/>
      <c r="V448" s="4"/>
      <c r="W448" s="4"/>
      <c r="X448" s="4"/>
    </row>
    <row r="449" spans="1:24" ht="13.5" customHeight="1">
      <c r="A449" s="33">
        <v>21120706</v>
      </c>
      <c r="B449" s="24" t="s">
        <v>542</v>
      </c>
      <c r="C449" s="24">
        <f>103500+16000</f>
        <v>119500</v>
      </c>
      <c r="D449" s="4"/>
      <c r="E449" s="34"/>
      <c r="F449" s="4"/>
      <c r="G449" s="4"/>
      <c r="H449" s="4"/>
      <c r="I449" s="4"/>
      <c r="J449" s="4"/>
      <c r="K449" s="4"/>
      <c r="L449" s="4"/>
      <c r="M449" s="4"/>
      <c r="N449" s="4"/>
      <c r="O449" s="4"/>
      <c r="P449" s="4"/>
      <c r="Q449" s="4"/>
      <c r="R449" s="4"/>
      <c r="S449" s="4"/>
      <c r="T449" s="4"/>
      <c r="U449" s="4"/>
      <c r="V449" s="4"/>
      <c r="W449" s="4"/>
      <c r="X449" s="4"/>
    </row>
    <row r="450" spans="1:24" ht="12.75" customHeight="1">
      <c r="A450" s="33">
        <v>21120708</v>
      </c>
      <c r="B450" s="13" t="s">
        <v>470</v>
      </c>
      <c r="C450" s="24">
        <v>352500</v>
      </c>
      <c r="D450" s="4"/>
      <c r="E450" s="34"/>
      <c r="F450" s="4"/>
      <c r="G450" s="4"/>
      <c r="H450" s="4"/>
      <c r="I450" s="4"/>
      <c r="J450" s="4"/>
      <c r="K450" s="4"/>
      <c r="L450" s="4"/>
      <c r="M450" s="4"/>
      <c r="N450" s="4"/>
      <c r="O450" s="4"/>
      <c r="P450" s="4"/>
      <c r="Q450" s="4"/>
      <c r="R450" s="4"/>
      <c r="S450" s="4"/>
      <c r="T450" s="4"/>
      <c r="U450" s="4"/>
      <c r="V450" s="4"/>
      <c r="W450" s="4"/>
      <c r="X450" s="4"/>
    </row>
    <row r="451" spans="1:24" ht="12.75" customHeight="1">
      <c r="A451" s="33">
        <v>21120709</v>
      </c>
      <c r="B451" s="24" t="s">
        <v>471</v>
      </c>
      <c r="C451" s="24">
        <v>35000</v>
      </c>
      <c r="D451" s="8"/>
      <c r="E451" s="8"/>
      <c r="F451" s="8"/>
      <c r="G451" s="8"/>
      <c r="H451" s="8"/>
      <c r="I451" s="8"/>
      <c r="J451" s="8"/>
      <c r="K451" s="8"/>
      <c r="L451" s="8"/>
      <c r="M451" s="8"/>
      <c r="N451" s="8"/>
      <c r="O451" s="8"/>
      <c r="P451" s="8"/>
      <c r="Q451" s="8"/>
      <c r="R451" s="8"/>
      <c r="S451" s="8"/>
      <c r="T451" s="8"/>
      <c r="U451" s="8"/>
      <c r="V451" s="8"/>
      <c r="W451" s="8"/>
      <c r="X451" s="8"/>
    </row>
    <row r="452" spans="1:24" ht="13.5" customHeight="1">
      <c r="A452" s="48">
        <v>211208</v>
      </c>
      <c r="B452" s="26" t="s">
        <v>474</v>
      </c>
      <c r="C452" s="26">
        <f>SUM(C453:C454)</f>
        <v>933500</v>
      </c>
      <c r="D452" s="4"/>
      <c r="E452" s="34"/>
      <c r="F452" s="4"/>
      <c r="G452" s="4"/>
      <c r="H452" s="4"/>
      <c r="I452" s="4"/>
      <c r="J452" s="4"/>
      <c r="K452" s="4"/>
      <c r="L452" s="4"/>
      <c r="M452" s="4"/>
      <c r="N452" s="4"/>
      <c r="O452" s="4"/>
      <c r="P452" s="4"/>
      <c r="Q452" s="4"/>
      <c r="R452" s="4"/>
      <c r="S452" s="4"/>
      <c r="T452" s="4"/>
      <c r="U452" s="4"/>
      <c r="V452" s="4"/>
      <c r="W452" s="4"/>
      <c r="X452" s="4"/>
    </row>
    <row r="453" spans="1:24" ht="13.5" customHeight="1">
      <c r="A453" s="33">
        <v>21120803</v>
      </c>
      <c r="B453" s="24" t="s">
        <v>517</v>
      </c>
      <c r="C453" s="24">
        <v>686500</v>
      </c>
      <c r="D453" s="4"/>
      <c r="E453" s="34"/>
      <c r="F453" s="4"/>
      <c r="G453" s="4"/>
      <c r="H453" s="4"/>
      <c r="I453" s="4"/>
      <c r="J453" s="4"/>
      <c r="K453" s="4"/>
      <c r="L453" s="4"/>
      <c r="M453" s="4"/>
      <c r="N453" s="4"/>
      <c r="O453" s="4"/>
      <c r="P453" s="4"/>
      <c r="Q453" s="4"/>
      <c r="R453" s="4"/>
      <c r="S453" s="4"/>
      <c r="T453" s="4"/>
      <c r="U453" s="4"/>
      <c r="V453" s="4"/>
      <c r="W453" s="4"/>
      <c r="X453" s="4"/>
    </row>
    <row r="454" spans="1:24" ht="13.5" customHeight="1">
      <c r="A454" s="33">
        <v>21120805</v>
      </c>
      <c r="B454" s="24" t="s">
        <v>476</v>
      </c>
      <c r="C454" s="24">
        <v>247000</v>
      </c>
      <c r="D454" s="4"/>
      <c r="E454" s="34"/>
      <c r="F454" s="4"/>
      <c r="G454" s="4"/>
      <c r="H454" s="4"/>
      <c r="I454" s="4"/>
      <c r="J454" s="4"/>
      <c r="K454" s="4"/>
      <c r="L454" s="4"/>
      <c r="M454" s="4"/>
      <c r="N454" s="4"/>
      <c r="O454" s="4"/>
      <c r="P454" s="4"/>
      <c r="Q454" s="4"/>
      <c r="R454" s="4"/>
      <c r="S454" s="4"/>
      <c r="T454" s="4"/>
      <c r="U454" s="4"/>
      <c r="V454" s="4"/>
      <c r="W454" s="4"/>
      <c r="X454" s="4"/>
    </row>
    <row r="455" spans="1:24" ht="13.5" customHeight="1">
      <c r="A455" s="48">
        <v>211209</v>
      </c>
      <c r="B455" s="26" t="s">
        <v>477</v>
      </c>
      <c r="C455" s="26">
        <f>+SUM(C456:C457)</f>
        <v>170500</v>
      </c>
      <c r="D455" s="4"/>
      <c r="E455" s="34"/>
      <c r="F455" s="4"/>
      <c r="G455" s="4"/>
      <c r="H455" s="4"/>
      <c r="I455" s="4"/>
      <c r="J455" s="4"/>
      <c r="K455" s="4"/>
      <c r="L455" s="4"/>
      <c r="M455" s="4"/>
      <c r="N455" s="4"/>
      <c r="O455" s="4"/>
      <c r="P455" s="4"/>
      <c r="Q455" s="4"/>
      <c r="R455" s="4"/>
      <c r="S455" s="4"/>
      <c r="T455" s="4"/>
      <c r="U455" s="4"/>
      <c r="V455" s="4"/>
      <c r="W455" s="4"/>
      <c r="X455" s="4"/>
    </row>
    <row r="456" spans="1:24" ht="13.5" customHeight="1">
      <c r="A456" s="33">
        <v>21120903</v>
      </c>
      <c r="B456" s="24" t="s">
        <v>569</v>
      </c>
      <c r="C456" s="24">
        <v>20500</v>
      </c>
      <c r="D456" s="4"/>
      <c r="E456" s="34"/>
      <c r="F456" s="4"/>
      <c r="G456" s="4"/>
      <c r="H456" s="4"/>
      <c r="I456" s="4"/>
      <c r="J456" s="4"/>
      <c r="K456" s="4"/>
      <c r="L456" s="4"/>
      <c r="M456" s="4"/>
      <c r="N456" s="4"/>
      <c r="O456" s="4"/>
      <c r="P456" s="4"/>
      <c r="Q456" s="4"/>
      <c r="R456" s="4"/>
      <c r="S456" s="4"/>
      <c r="T456" s="4"/>
      <c r="U456" s="4"/>
      <c r="V456" s="4"/>
      <c r="W456" s="4"/>
      <c r="X456" s="4"/>
    </row>
    <row r="457" spans="1:24" ht="13.5" customHeight="1">
      <c r="A457" s="33">
        <v>21120906</v>
      </c>
      <c r="B457" s="24" t="s">
        <v>479</v>
      </c>
      <c r="C457" s="24">
        <v>150000</v>
      </c>
      <c r="D457" s="4"/>
      <c r="E457" s="34"/>
      <c r="F457" s="4"/>
      <c r="G457" s="4"/>
      <c r="H457" s="4"/>
      <c r="I457" s="4"/>
      <c r="J457" s="4"/>
      <c r="K457" s="4"/>
      <c r="L457" s="4"/>
      <c r="M457" s="4"/>
      <c r="N457" s="4"/>
      <c r="O457" s="4"/>
      <c r="P457" s="4"/>
      <c r="Q457" s="4"/>
      <c r="R457" s="4"/>
      <c r="S457" s="4"/>
      <c r="T457" s="4"/>
      <c r="U457" s="4"/>
      <c r="V457" s="4"/>
      <c r="W457" s="4"/>
      <c r="X457" s="4"/>
    </row>
    <row r="458" spans="1:24" ht="13.5" customHeight="1" thickBot="1">
      <c r="A458" s="33"/>
      <c r="B458" s="24"/>
      <c r="C458" s="24"/>
      <c r="D458" s="4"/>
      <c r="E458" s="34"/>
      <c r="F458" s="4"/>
      <c r="G458" s="4"/>
      <c r="H458" s="4"/>
      <c r="I458" s="4"/>
      <c r="J458" s="4"/>
      <c r="K458" s="4"/>
      <c r="L458" s="4"/>
      <c r="M458" s="4"/>
      <c r="N458" s="4"/>
      <c r="O458" s="4"/>
      <c r="P458" s="4"/>
      <c r="Q458" s="4"/>
      <c r="R458" s="4"/>
      <c r="S458" s="4"/>
      <c r="T458" s="4"/>
      <c r="U458" s="4"/>
      <c r="V458" s="4"/>
      <c r="W458" s="4"/>
      <c r="X458" s="4"/>
    </row>
    <row r="459" spans="1:24" ht="13.5" customHeight="1" thickBot="1">
      <c r="A459" s="1298" t="s">
        <v>4</v>
      </c>
      <c r="B459" s="1281"/>
      <c r="C459" s="64">
        <f>+C460+C464+C466</f>
        <v>137155201.97</v>
      </c>
      <c r="D459" s="4"/>
      <c r="E459" s="34"/>
      <c r="F459" s="4"/>
      <c r="G459" s="4"/>
      <c r="H459" s="4"/>
      <c r="I459" s="4"/>
      <c r="J459" s="4"/>
      <c r="K459" s="4"/>
      <c r="L459" s="4"/>
      <c r="M459" s="4"/>
      <c r="N459" s="4"/>
      <c r="O459" s="4"/>
      <c r="P459" s="4"/>
      <c r="Q459" s="4"/>
      <c r="R459" s="4"/>
      <c r="S459" s="4"/>
      <c r="T459" s="4"/>
      <c r="U459" s="4"/>
      <c r="V459" s="4"/>
      <c r="W459" s="4"/>
      <c r="X459" s="4"/>
    </row>
    <row r="460" spans="1:24" ht="13.5" customHeight="1">
      <c r="A460" s="48">
        <v>211303</v>
      </c>
      <c r="B460" s="26" t="s">
        <v>484</v>
      </c>
      <c r="C460" s="26">
        <f>SUM(C461:C463)</f>
        <v>82277000</v>
      </c>
      <c r="D460" s="23"/>
      <c r="E460" s="33"/>
      <c r="F460" s="23"/>
      <c r="G460" s="23"/>
      <c r="H460" s="23"/>
      <c r="I460" s="23"/>
      <c r="J460" s="23"/>
      <c r="K460" s="23"/>
      <c r="L460" s="23"/>
      <c r="M460" s="23"/>
      <c r="N460" s="23"/>
      <c r="O460" s="23"/>
      <c r="P460" s="23"/>
      <c r="Q460" s="23"/>
      <c r="R460" s="23"/>
      <c r="S460" s="23"/>
      <c r="T460" s="23"/>
      <c r="U460" s="23"/>
      <c r="V460" s="23"/>
      <c r="W460" s="23"/>
      <c r="X460" s="23"/>
    </row>
    <row r="461" spans="1:24" ht="13.5" customHeight="1">
      <c r="A461" s="33">
        <v>21130302</v>
      </c>
      <c r="B461" s="23" t="s">
        <v>520</v>
      </c>
      <c r="C461" s="24">
        <v>54717000</v>
      </c>
      <c r="D461" s="23"/>
      <c r="E461" s="23"/>
      <c r="F461" s="23"/>
      <c r="G461" s="23"/>
      <c r="H461" s="23"/>
      <c r="I461" s="23"/>
      <c r="J461" s="23"/>
      <c r="K461" s="23"/>
      <c r="L461" s="23"/>
      <c r="M461" s="23"/>
      <c r="N461" s="23"/>
      <c r="O461" s="23"/>
      <c r="P461" s="23"/>
      <c r="Q461" s="23"/>
      <c r="R461" s="23"/>
      <c r="S461" s="23"/>
      <c r="T461" s="23"/>
      <c r="U461" s="23"/>
      <c r="V461" s="23"/>
      <c r="W461" s="23"/>
      <c r="X461" s="23"/>
    </row>
    <row r="462" spans="1:24" ht="13.5" customHeight="1">
      <c r="A462" s="33">
        <v>21130307</v>
      </c>
      <c r="B462" s="23" t="s">
        <v>488</v>
      </c>
      <c r="C462" s="24">
        <v>675500</v>
      </c>
      <c r="D462" s="23"/>
      <c r="E462" s="23"/>
      <c r="F462" s="23"/>
      <c r="G462" s="33"/>
      <c r="H462" s="23"/>
      <c r="I462" s="23"/>
      <c r="J462" s="23"/>
      <c r="K462" s="23"/>
      <c r="L462" s="23"/>
      <c r="M462" s="23"/>
      <c r="N462" s="23"/>
      <c r="O462" s="23"/>
      <c r="P462" s="23"/>
      <c r="Q462" s="23"/>
      <c r="R462" s="23"/>
      <c r="S462" s="23"/>
      <c r="T462" s="23"/>
      <c r="U462" s="23"/>
      <c r="V462" s="23"/>
      <c r="W462" s="23"/>
      <c r="X462" s="23"/>
    </row>
    <row r="463" spans="1:24" ht="13.5" customHeight="1">
      <c r="A463" s="33">
        <v>21130308</v>
      </c>
      <c r="B463" s="23" t="s">
        <v>616</v>
      </c>
      <c r="C463" s="24">
        <v>26884500</v>
      </c>
      <c r="D463" s="23"/>
      <c r="E463" s="23"/>
      <c r="F463" s="23"/>
      <c r="G463" s="23"/>
      <c r="H463" s="23"/>
      <c r="I463" s="23"/>
      <c r="J463" s="23"/>
      <c r="K463" s="23"/>
      <c r="L463" s="23"/>
      <c r="M463" s="23"/>
      <c r="N463" s="23"/>
      <c r="O463" s="23"/>
      <c r="P463" s="23"/>
      <c r="Q463" s="23"/>
      <c r="R463" s="23"/>
      <c r="S463" s="23"/>
      <c r="T463" s="23"/>
      <c r="U463" s="23"/>
      <c r="V463" s="23"/>
      <c r="W463" s="23"/>
      <c r="X463" s="23"/>
    </row>
    <row r="464" spans="1:24" ht="13.5" customHeight="1">
      <c r="A464" s="48">
        <v>211305</v>
      </c>
      <c r="B464" s="21" t="s">
        <v>489</v>
      </c>
      <c r="C464" s="26">
        <f>C465</f>
        <v>18007701.969999999</v>
      </c>
      <c r="D464" s="23"/>
      <c r="E464" s="23"/>
      <c r="F464" s="23"/>
      <c r="G464" s="23"/>
      <c r="H464" s="23"/>
      <c r="I464" s="23"/>
      <c r="J464" s="23"/>
      <c r="K464" s="23"/>
      <c r="L464" s="23"/>
      <c r="M464" s="23"/>
      <c r="N464" s="23"/>
      <c r="O464" s="23"/>
      <c r="P464" s="23"/>
      <c r="Q464" s="23"/>
      <c r="R464" s="23"/>
      <c r="S464" s="23"/>
      <c r="T464" s="23"/>
      <c r="U464" s="23"/>
      <c r="V464" s="23"/>
      <c r="W464" s="23"/>
      <c r="X464" s="23"/>
    </row>
    <row r="465" spans="1:24" ht="13.5" customHeight="1">
      <c r="A465" s="33">
        <v>21130502</v>
      </c>
      <c r="B465" s="23" t="s">
        <v>491</v>
      </c>
      <c r="C465" s="24">
        <f>5044500+12963201.97</f>
        <v>18007701.969999999</v>
      </c>
      <c r="D465" s="21"/>
      <c r="E465" s="26"/>
      <c r="F465" s="24"/>
      <c r="G465" s="23"/>
      <c r="H465" s="23"/>
      <c r="I465" s="23"/>
      <c r="J465" s="23"/>
      <c r="K465" s="23"/>
      <c r="L465" s="23"/>
      <c r="M465" s="23"/>
      <c r="N465" s="23"/>
      <c r="O465" s="23"/>
      <c r="P465" s="23"/>
      <c r="Q465" s="23"/>
      <c r="R465" s="23"/>
      <c r="S465" s="23"/>
      <c r="T465" s="23"/>
      <c r="U465" s="23"/>
      <c r="V465" s="23"/>
      <c r="W465" s="23"/>
      <c r="X465" s="23"/>
    </row>
    <row r="466" spans="1:24" ht="13.5" customHeight="1">
      <c r="A466" s="48">
        <v>211309</v>
      </c>
      <c r="B466" s="21" t="s">
        <v>496</v>
      </c>
      <c r="C466" s="26">
        <f>SUM(C467:C469)</f>
        <v>36870500</v>
      </c>
      <c r="D466" s="23"/>
      <c r="E466" s="24"/>
      <c r="F466" s="24"/>
      <c r="G466" s="23"/>
      <c r="H466" s="23"/>
      <c r="I466" s="23"/>
      <c r="J466" s="23"/>
      <c r="K466" s="23"/>
      <c r="L466" s="23"/>
      <c r="M466" s="23"/>
      <c r="N466" s="23"/>
      <c r="O466" s="23"/>
      <c r="P466" s="23"/>
      <c r="Q466" s="23"/>
      <c r="R466" s="23"/>
      <c r="S466" s="23"/>
      <c r="T466" s="23"/>
      <c r="U466" s="23"/>
      <c r="V466" s="23"/>
      <c r="W466" s="23"/>
      <c r="X466" s="23"/>
    </row>
    <row r="467" spans="1:24" ht="13.5" customHeight="1">
      <c r="A467" s="33">
        <v>21130901</v>
      </c>
      <c r="B467" s="23" t="s">
        <v>497</v>
      </c>
      <c r="C467" s="24">
        <v>30160500</v>
      </c>
      <c r="D467" s="23"/>
      <c r="E467" s="24"/>
      <c r="F467" s="24"/>
      <c r="G467" s="23"/>
      <c r="H467" s="23"/>
      <c r="I467" s="23"/>
      <c r="J467" s="23"/>
      <c r="K467" s="23"/>
      <c r="L467" s="23"/>
      <c r="M467" s="23"/>
      <c r="N467" s="23"/>
      <c r="O467" s="23"/>
      <c r="P467" s="23"/>
      <c r="Q467" s="23"/>
      <c r="R467" s="23"/>
      <c r="S467" s="23"/>
      <c r="T467" s="23"/>
      <c r="U467" s="23"/>
      <c r="V467" s="23"/>
      <c r="W467" s="23"/>
      <c r="X467" s="23"/>
    </row>
    <row r="468" spans="1:24" ht="13.5" customHeight="1">
      <c r="A468" s="33">
        <v>21130903</v>
      </c>
      <c r="B468" s="23" t="s">
        <v>498</v>
      </c>
      <c r="C468" s="24">
        <f>1127500-500000</f>
        <v>627500</v>
      </c>
      <c r="D468" s="23"/>
      <c r="E468" s="24"/>
      <c r="F468" s="24"/>
      <c r="G468" s="23"/>
      <c r="H468" s="23"/>
      <c r="I468" s="23"/>
      <c r="J468" s="23"/>
      <c r="K468" s="23"/>
      <c r="L468" s="23"/>
      <c r="M468" s="23"/>
      <c r="N468" s="23"/>
      <c r="O468" s="23"/>
      <c r="P468" s="23"/>
      <c r="Q468" s="23"/>
      <c r="R468" s="23"/>
      <c r="S468" s="23"/>
      <c r="T468" s="23"/>
      <c r="U468" s="23"/>
      <c r="V468" s="23"/>
      <c r="W468" s="23"/>
      <c r="X468" s="23"/>
    </row>
    <row r="469" spans="1:24" ht="13.5" customHeight="1">
      <c r="A469" s="33">
        <v>21130908</v>
      </c>
      <c r="B469" s="23" t="s">
        <v>500</v>
      </c>
      <c r="C469" s="24">
        <f>82500+6000000</f>
        <v>6082500</v>
      </c>
      <c r="D469" s="23"/>
      <c r="E469" s="33"/>
      <c r="F469" s="23"/>
      <c r="G469" s="23"/>
      <c r="H469" s="23"/>
      <c r="I469" s="23"/>
      <c r="J469" s="23"/>
      <c r="K469" s="23"/>
      <c r="L469" s="23"/>
      <c r="M469" s="23"/>
      <c r="N469" s="23"/>
      <c r="O469" s="23"/>
      <c r="P469" s="23"/>
      <c r="Q469" s="23"/>
      <c r="R469" s="23"/>
      <c r="S469" s="23"/>
      <c r="T469" s="23"/>
      <c r="U469" s="23"/>
      <c r="V469" s="23"/>
      <c r="W469" s="23"/>
      <c r="X469" s="23"/>
    </row>
    <row r="470" spans="1:24" ht="13.5" customHeight="1" thickBot="1">
      <c r="A470" s="23"/>
      <c r="B470" s="23"/>
      <c r="C470" s="24"/>
      <c r="D470" s="4"/>
      <c r="E470" s="34"/>
      <c r="F470" s="4"/>
      <c r="G470" s="4"/>
      <c r="H470" s="4"/>
      <c r="I470" s="4"/>
      <c r="J470" s="4"/>
      <c r="K470" s="4"/>
      <c r="L470" s="4"/>
      <c r="M470" s="4"/>
      <c r="N470" s="4"/>
      <c r="O470" s="4"/>
      <c r="P470" s="4"/>
      <c r="Q470" s="4"/>
      <c r="R470" s="4"/>
      <c r="S470" s="4"/>
      <c r="T470" s="4"/>
      <c r="U470" s="4"/>
      <c r="V470" s="4"/>
      <c r="W470" s="4"/>
      <c r="X470" s="4"/>
    </row>
    <row r="471" spans="1:24" ht="14.25" customHeight="1" thickBot="1">
      <c r="A471" s="1299" t="s">
        <v>48</v>
      </c>
      <c r="B471" s="1281"/>
      <c r="C471" s="65">
        <f>C472+C474+C477</f>
        <v>34470000.310000002</v>
      </c>
      <c r="D471" s="4"/>
      <c r="E471" s="34"/>
      <c r="F471" s="4"/>
      <c r="G471" s="4"/>
      <c r="H471" s="4"/>
      <c r="I471" s="4"/>
      <c r="J471" s="4"/>
      <c r="K471" s="4"/>
      <c r="L471" s="4"/>
      <c r="M471" s="4"/>
      <c r="N471" s="4"/>
      <c r="O471" s="4"/>
      <c r="P471" s="4"/>
      <c r="Q471" s="4"/>
      <c r="R471" s="4"/>
      <c r="S471" s="4"/>
      <c r="T471" s="4"/>
      <c r="U471" s="4"/>
      <c r="V471" s="4"/>
      <c r="W471" s="4"/>
      <c r="X471" s="4"/>
    </row>
    <row r="472" spans="1:24" ht="12.75" customHeight="1">
      <c r="A472" s="21">
        <v>221102</v>
      </c>
      <c r="B472" s="48" t="s">
        <v>543</v>
      </c>
      <c r="C472" s="49">
        <f>C473</f>
        <v>360000</v>
      </c>
      <c r="D472" s="34"/>
      <c r="E472" s="34"/>
      <c r="F472" s="34"/>
      <c r="G472" s="34"/>
      <c r="H472" s="34"/>
      <c r="I472" s="34"/>
      <c r="J472" s="34"/>
      <c r="K472" s="34"/>
      <c r="L472" s="34"/>
      <c r="M472" s="34"/>
      <c r="N472" s="34"/>
      <c r="O472" s="34"/>
      <c r="P472" s="34"/>
      <c r="Q472" s="34"/>
      <c r="R472" s="34"/>
      <c r="S472" s="34"/>
      <c r="T472" s="34"/>
      <c r="U472" s="34"/>
      <c r="V472" s="34"/>
      <c r="W472" s="34"/>
      <c r="X472" s="34"/>
    </row>
    <row r="473" spans="1:24" ht="12.75" customHeight="1">
      <c r="A473" s="23">
        <v>22110202</v>
      </c>
      <c r="B473" s="23" t="s">
        <v>544</v>
      </c>
      <c r="C473" s="24">
        <f>150000+210000</f>
        <v>360000</v>
      </c>
      <c r="D473" s="3"/>
      <c r="E473" s="34"/>
      <c r="F473" s="4"/>
      <c r="G473" s="4"/>
      <c r="H473" s="4"/>
      <c r="I473" s="4"/>
      <c r="J473" s="4"/>
      <c r="K473" s="4"/>
      <c r="L473" s="4"/>
      <c r="M473" s="4"/>
      <c r="N473" s="4"/>
      <c r="O473" s="4"/>
      <c r="P473" s="4"/>
      <c r="Q473" s="4"/>
      <c r="R473" s="4"/>
      <c r="S473" s="4"/>
      <c r="T473" s="4"/>
      <c r="U473" s="4"/>
      <c r="V473" s="4"/>
      <c r="W473" s="4"/>
      <c r="X473" s="4"/>
    </row>
    <row r="474" spans="1:24" ht="14.25" customHeight="1">
      <c r="A474" s="21">
        <v>221104</v>
      </c>
      <c r="B474" s="21" t="s">
        <v>510</v>
      </c>
      <c r="C474" s="49">
        <f>SUM(C475:C476)</f>
        <v>305000</v>
      </c>
      <c r="D474" s="34"/>
      <c r="E474" s="34"/>
      <c r="F474" s="34"/>
      <c r="G474" s="34"/>
      <c r="H474" s="34"/>
      <c r="I474" s="34"/>
      <c r="J474" s="34"/>
      <c r="K474" s="34"/>
      <c r="L474" s="34"/>
      <c r="M474" s="34"/>
      <c r="N474" s="34"/>
      <c r="O474" s="34"/>
      <c r="P474" s="34"/>
      <c r="Q474" s="34"/>
      <c r="R474" s="34"/>
      <c r="S474" s="34"/>
      <c r="T474" s="34"/>
      <c r="U474" s="34"/>
      <c r="V474" s="34"/>
      <c r="W474" s="34"/>
      <c r="X474" s="34"/>
    </row>
    <row r="475" spans="1:24" ht="14.25" customHeight="1">
      <c r="A475" s="23">
        <v>22110401</v>
      </c>
      <c r="B475" s="23" t="s">
        <v>511</v>
      </c>
      <c r="C475" s="24">
        <f>150000+35000</f>
        <v>185000</v>
      </c>
      <c r="D475" s="3"/>
      <c r="E475" s="34"/>
      <c r="F475" s="4"/>
      <c r="G475" s="4"/>
      <c r="H475" s="4"/>
      <c r="I475" s="4"/>
      <c r="J475" s="4"/>
      <c r="K475" s="4"/>
      <c r="L475" s="4"/>
      <c r="M475" s="4"/>
      <c r="N475" s="4"/>
      <c r="O475" s="4"/>
      <c r="P475" s="4"/>
      <c r="Q475" s="4"/>
      <c r="R475" s="4"/>
      <c r="S475" s="4"/>
      <c r="T475" s="4"/>
      <c r="U475" s="4"/>
      <c r="V475" s="4"/>
      <c r="W475" s="4"/>
      <c r="X475" s="4"/>
    </row>
    <row r="476" spans="1:24" ht="14.25" customHeight="1">
      <c r="A476" s="23">
        <v>22110404</v>
      </c>
      <c r="B476" s="23" t="s">
        <v>512</v>
      </c>
      <c r="C476" s="24">
        <f>50000+70000</f>
        <v>120000</v>
      </c>
      <c r="D476" s="4"/>
      <c r="E476" s="34"/>
      <c r="F476" s="4"/>
      <c r="G476" s="4"/>
      <c r="H476" s="4"/>
      <c r="I476" s="4"/>
      <c r="J476" s="4"/>
      <c r="K476" s="4"/>
      <c r="L476" s="4"/>
      <c r="M476" s="4"/>
      <c r="N476" s="4"/>
      <c r="O476" s="4"/>
      <c r="P476" s="4"/>
      <c r="Q476" s="4"/>
      <c r="R476" s="4"/>
      <c r="S476" s="4"/>
      <c r="T476" s="4"/>
      <c r="U476" s="4"/>
      <c r="V476" s="4"/>
      <c r="W476" s="4"/>
      <c r="X476" s="4"/>
    </row>
    <row r="477" spans="1:24" ht="14.25" customHeight="1">
      <c r="A477" s="21">
        <v>221105</v>
      </c>
      <c r="B477" s="21" t="s">
        <v>523</v>
      </c>
      <c r="C477" s="26">
        <f>C478</f>
        <v>33805000.310000002</v>
      </c>
      <c r="D477" s="4"/>
      <c r="E477" s="34"/>
      <c r="F477" s="4"/>
      <c r="G477" s="4"/>
      <c r="H477" s="4"/>
      <c r="I477" s="4"/>
      <c r="J477" s="4"/>
      <c r="K477" s="4"/>
      <c r="L477" s="4"/>
      <c r="M477" s="4"/>
      <c r="N477" s="4"/>
      <c r="O477" s="4"/>
      <c r="P477" s="4"/>
      <c r="Q477" s="4"/>
      <c r="R477" s="4"/>
      <c r="S477" s="4"/>
      <c r="T477" s="4"/>
      <c r="U477" s="4"/>
      <c r="V477" s="4"/>
      <c r="W477" s="4"/>
      <c r="X477" s="4"/>
    </row>
    <row r="478" spans="1:24" ht="13.5" customHeight="1">
      <c r="A478" s="23">
        <v>22110501</v>
      </c>
      <c r="B478" s="23" t="s">
        <v>524</v>
      </c>
      <c r="C478" s="24">
        <f>13195000+20610000.31</f>
        <v>33805000.310000002</v>
      </c>
      <c r="D478" s="3"/>
      <c r="E478" s="34"/>
      <c r="F478" s="4"/>
      <c r="G478" s="4"/>
      <c r="H478" s="4"/>
      <c r="I478" s="4"/>
      <c r="J478" s="4"/>
      <c r="K478" s="4"/>
      <c r="L478" s="4"/>
      <c r="M478" s="4"/>
      <c r="N478" s="4"/>
      <c r="O478" s="4"/>
      <c r="P478" s="4"/>
      <c r="Q478" s="4"/>
      <c r="R478" s="4"/>
      <c r="S478" s="4"/>
      <c r="T478" s="4"/>
      <c r="U478" s="4"/>
      <c r="V478" s="4"/>
      <c r="W478" s="4"/>
      <c r="X478" s="4"/>
    </row>
    <row r="479" spans="1:24" ht="13.5" customHeight="1">
      <c r="A479" s="4"/>
      <c r="B479" s="4"/>
      <c r="C479" s="3"/>
      <c r="D479" s="4"/>
      <c r="E479" s="34"/>
      <c r="F479" s="4"/>
      <c r="G479" s="4"/>
      <c r="H479" s="4"/>
      <c r="I479" s="4"/>
      <c r="J479" s="4"/>
      <c r="K479" s="4"/>
      <c r="L479" s="4"/>
      <c r="M479" s="4"/>
      <c r="N479" s="4"/>
      <c r="O479" s="4"/>
      <c r="P479" s="4"/>
      <c r="Q479" s="4"/>
      <c r="R479" s="4"/>
      <c r="S479" s="4"/>
      <c r="T479" s="4"/>
      <c r="U479" s="4"/>
      <c r="V479" s="4"/>
      <c r="W479" s="4"/>
      <c r="X479" s="4"/>
    </row>
    <row r="480" spans="1:24" ht="12.75" customHeight="1" thickBot="1">
      <c r="D480" s="4"/>
      <c r="E480" s="4"/>
      <c r="F480" s="4"/>
      <c r="G480" s="4"/>
      <c r="H480" s="4"/>
      <c r="I480" s="4"/>
      <c r="J480" s="4"/>
      <c r="K480" s="4"/>
      <c r="L480" s="4"/>
      <c r="M480" s="4"/>
      <c r="N480" s="4"/>
      <c r="O480" s="4"/>
      <c r="P480" s="4"/>
      <c r="Q480" s="4"/>
      <c r="R480" s="4"/>
      <c r="S480" s="4"/>
      <c r="T480" s="4"/>
      <c r="U480" s="4"/>
      <c r="V480" s="4"/>
      <c r="W480" s="4"/>
      <c r="X480" s="4"/>
    </row>
    <row r="481" spans="1:24" ht="12.75" customHeight="1">
      <c r="A481" s="1334" t="s">
        <v>962</v>
      </c>
      <c r="B481" s="1336"/>
      <c r="C481" s="1161" t="s">
        <v>781</v>
      </c>
      <c r="D481" s="4"/>
      <c r="E481" s="4"/>
      <c r="F481" s="4"/>
      <c r="G481" s="4"/>
      <c r="H481" s="4"/>
      <c r="I481" s="4"/>
      <c r="J481" s="4"/>
      <c r="K481" s="4"/>
      <c r="L481" s="4"/>
      <c r="M481" s="4"/>
      <c r="N481" s="4"/>
      <c r="O481" s="4"/>
      <c r="P481" s="4"/>
      <c r="Q481" s="4"/>
      <c r="R481" s="4"/>
      <c r="S481" s="4"/>
      <c r="T481" s="4"/>
      <c r="U481" s="4"/>
      <c r="V481" s="4"/>
      <c r="W481" s="4"/>
      <c r="X481" s="4"/>
    </row>
    <row r="482" spans="1:24" ht="12.75" customHeight="1" thickBot="1">
      <c r="A482" s="1363"/>
      <c r="B482" s="1304"/>
      <c r="C482" s="1490"/>
      <c r="D482" s="4"/>
      <c r="E482" s="4"/>
      <c r="F482" s="4"/>
      <c r="G482" s="4"/>
      <c r="H482" s="4"/>
      <c r="I482" s="4"/>
      <c r="J482" s="4"/>
      <c r="K482" s="4"/>
      <c r="L482" s="4"/>
      <c r="M482" s="4"/>
      <c r="N482" s="4"/>
      <c r="O482" s="4"/>
      <c r="P482" s="4"/>
      <c r="Q482" s="4"/>
      <c r="R482" s="4"/>
      <c r="S482" s="4"/>
      <c r="T482" s="4"/>
      <c r="U482" s="4"/>
      <c r="V482" s="4"/>
      <c r="W482" s="4"/>
      <c r="X482" s="4"/>
    </row>
    <row r="483" spans="1:24" ht="12.75" customHeight="1">
      <c r="A483" s="1122" t="s">
        <v>675</v>
      </c>
      <c r="B483" s="1137"/>
      <c r="C483" s="1124"/>
      <c r="D483" s="4"/>
      <c r="E483" s="4"/>
      <c r="F483" s="4"/>
      <c r="G483" s="4"/>
      <c r="H483" s="4"/>
      <c r="I483" s="4"/>
      <c r="J483" s="4"/>
      <c r="K483" s="4"/>
      <c r="L483" s="4"/>
      <c r="M483" s="4"/>
      <c r="N483" s="4"/>
      <c r="O483" s="4"/>
      <c r="P483" s="4"/>
      <c r="Q483" s="4"/>
      <c r="R483" s="4"/>
      <c r="S483" s="4"/>
      <c r="T483" s="4"/>
      <c r="U483" s="4"/>
      <c r="V483" s="4"/>
      <c r="W483" s="4"/>
      <c r="X483" s="4"/>
    </row>
    <row r="484" spans="1:24" ht="12.75" customHeight="1">
      <c r="A484" s="1028" t="s">
        <v>716</v>
      </c>
      <c r="B484" s="808"/>
      <c r="C484" s="1029"/>
      <c r="D484" s="4"/>
      <c r="E484" s="4"/>
      <c r="F484" s="4"/>
      <c r="G484" s="4"/>
      <c r="H484" s="4"/>
      <c r="I484" s="4"/>
      <c r="J484" s="4"/>
      <c r="K484" s="4"/>
      <c r="L484" s="4"/>
      <c r="M484" s="4"/>
      <c r="N484" s="4"/>
      <c r="O484" s="4"/>
      <c r="P484" s="4"/>
      <c r="Q484" s="4"/>
      <c r="R484" s="4"/>
      <c r="S484" s="4"/>
      <c r="T484" s="4"/>
      <c r="U484" s="4"/>
      <c r="V484" s="4"/>
      <c r="W484" s="4"/>
      <c r="X484" s="4"/>
    </row>
    <row r="485" spans="1:24" ht="12.75" customHeight="1">
      <c r="A485" s="1028" t="s">
        <v>717</v>
      </c>
      <c r="B485" s="808"/>
      <c r="C485" s="1029"/>
      <c r="D485" s="4"/>
      <c r="E485" s="4"/>
      <c r="F485" s="4"/>
      <c r="G485" s="4"/>
      <c r="H485" s="4"/>
      <c r="I485" s="4"/>
      <c r="J485" s="4"/>
      <c r="K485" s="4"/>
      <c r="L485" s="4"/>
      <c r="M485" s="4"/>
      <c r="N485" s="4"/>
      <c r="O485" s="4"/>
      <c r="P485" s="4"/>
      <c r="Q485" s="4"/>
      <c r="R485" s="4"/>
      <c r="S485" s="4"/>
      <c r="T485" s="4"/>
      <c r="U485" s="4"/>
      <c r="V485" s="4"/>
      <c r="W485" s="4"/>
      <c r="X485" s="4"/>
    </row>
    <row r="486" spans="1:24" ht="12.75" customHeight="1" thickBot="1">
      <c r="A486" s="1125" t="s">
        <v>0</v>
      </c>
      <c r="B486" s="982"/>
      <c r="C486" s="1029"/>
      <c r="D486" s="4"/>
      <c r="E486" s="4"/>
      <c r="F486" s="4"/>
      <c r="G486" s="4"/>
      <c r="H486" s="4"/>
      <c r="I486" s="4"/>
      <c r="J486" s="4"/>
      <c r="K486" s="4"/>
      <c r="L486" s="4"/>
      <c r="M486" s="4"/>
      <c r="N486" s="4"/>
      <c r="O486" s="4"/>
      <c r="P486" s="4"/>
      <c r="Q486" s="4"/>
      <c r="R486" s="4"/>
      <c r="S486" s="4"/>
      <c r="T486" s="4"/>
      <c r="U486" s="4"/>
      <c r="V486" s="4"/>
      <c r="W486" s="4"/>
      <c r="X486" s="4"/>
    </row>
    <row r="487" spans="1:24" ht="12.75" customHeight="1" thickBot="1">
      <c r="A487" s="1171" t="s">
        <v>1</v>
      </c>
      <c r="B487" s="1186"/>
      <c r="C487" s="1033">
        <f>+C489+C498+C510</f>
        <v>18061000</v>
      </c>
      <c r="D487" s="4"/>
      <c r="E487" s="4"/>
      <c r="F487" s="4"/>
      <c r="G487" s="4"/>
      <c r="H487" s="4"/>
      <c r="I487" s="4"/>
      <c r="J487" s="4"/>
      <c r="K487" s="4"/>
      <c r="L487" s="4"/>
      <c r="M487" s="4"/>
      <c r="N487" s="4"/>
      <c r="O487" s="4"/>
      <c r="P487" s="4"/>
      <c r="Q487" s="4"/>
      <c r="R487" s="4"/>
      <c r="S487" s="4"/>
      <c r="T487" s="4"/>
      <c r="U487" s="4"/>
      <c r="V487" s="4"/>
      <c r="W487" s="4"/>
      <c r="X487" s="4"/>
    </row>
    <row r="488" spans="1:24" ht="12.75" customHeight="1" thickBot="1">
      <c r="A488" s="21"/>
      <c r="B488" s="21"/>
      <c r="C488" s="26"/>
      <c r="D488" s="4"/>
      <c r="E488" s="4"/>
      <c r="F488" s="4"/>
      <c r="G488" s="4"/>
      <c r="H488" s="4"/>
      <c r="I488" s="4"/>
      <c r="J488" s="4"/>
      <c r="K488" s="4"/>
      <c r="L488" s="4"/>
      <c r="M488" s="4"/>
      <c r="N488" s="4"/>
      <c r="O488" s="4"/>
      <c r="P488" s="4"/>
      <c r="Q488" s="4"/>
      <c r="R488" s="4"/>
      <c r="S488" s="4"/>
      <c r="T488" s="4"/>
      <c r="U488" s="4"/>
      <c r="V488" s="4"/>
      <c r="W488" s="4"/>
      <c r="X488" s="4"/>
    </row>
    <row r="489" spans="1:24" ht="12.75" customHeight="1" thickBot="1">
      <c r="A489" s="1297" t="s">
        <v>9</v>
      </c>
      <c r="B489" s="1281"/>
      <c r="C489" s="62">
        <f>(C490+C492+C495)</f>
        <v>5631000</v>
      </c>
      <c r="D489" s="4"/>
      <c r="E489" s="4"/>
      <c r="F489" s="4"/>
      <c r="G489" s="4"/>
      <c r="H489" s="4"/>
      <c r="I489" s="4"/>
      <c r="J489" s="4"/>
      <c r="K489" s="4"/>
      <c r="L489" s="4"/>
      <c r="M489" s="4"/>
      <c r="N489" s="4"/>
      <c r="O489" s="4"/>
      <c r="P489" s="4"/>
      <c r="Q489" s="4"/>
      <c r="R489" s="4"/>
      <c r="S489" s="4"/>
      <c r="T489" s="4"/>
      <c r="U489" s="4"/>
      <c r="V489" s="4"/>
      <c r="W489" s="4"/>
      <c r="X489" s="4"/>
    </row>
    <row r="490" spans="1:24" ht="12.75" customHeight="1">
      <c r="A490" s="48">
        <v>211204</v>
      </c>
      <c r="B490" s="21" t="s">
        <v>463</v>
      </c>
      <c r="C490" s="49">
        <f>C491</f>
        <v>1530000</v>
      </c>
      <c r="D490" s="4"/>
      <c r="E490" s="4"/>
      <c r="F490" s="4"/>
      <c r="G490" s="4"/>
      <c r="H490" s="4"/>
      <c r="I490" s="4"/>
      <c r="J490" s="4"/>
      <c r="K490" s="4"/>
      <c r="L490" s="4"/>
      <c r="M490" s="4"/>
      <c r="N490" s="4"/>
      <c r="O490" s="4"/>
      <c r="P490" s="4"/>
      <c r="Q490" s="4"/>
      <c r="R490" s="4"/>
      <c r="S490" s="4"/>
      <c r="T490" s="4"/>
      <c r="U490" s="4"/>
      <c r="V490" s="4"/>
      <c r="W490" s="4"/>
      <c r="X490" s="4"/>
    </row>
    <row r="491" spans="1:24" ht="12.75" customHeight="1">
      <c r="A491" s="33">
        <v>21120401</v>
      </c>
      <c r="B491" s="24" t="s">
        <v>464</v>
      </c>
      <c r="C491" s="24">
        <f>1500000+30000</f>
        <v>1530000</v>
      </c>
      <c r="D491" s="4"/>
      <c r="E491" s="4"/>
      <c r="F491" s="4"/>
      <c r="G491" s="4"/>
      <c r="H491" s="4"/>
      <c r="I491" s="4"/>
      <c r="J491" s="4"/>
      <c r="K491" s="4"/>
      <c r="L491" s="4"/>
      <c r="M491" s="4"/>
      <c r="N491" s="4"/>
      <c r="O491" s="4"/>
      <c r="P491" s="4"/>
      <c r="Q491" s="4"/>
      <c r="R491" s="4"/>
      <c r="S491" s="4"/>
      <c r="T491" s="4"/>
      <c r="U491" s="4"/>
      <c r="V491" s="4"/>
      <c r="W491" s="4"/>
      <c r="X491" s="4"/>
    </row>
    <row r="492" spans="1:24" ht="12.75" customHeight="1">
      <c r="A492" s="48">
        <v>211207</v>
      </c>
      <c r="B492" s="26" t="s">
        <v>467</v>
      </c>
      <c r="C492" s="26">
        <f>SUM(C493:C494)</f>
        <v>2576000</v>
      </c>
      <c r="D492" s="4"/>
      <c r="E492" s="4"/>
      <c r="F492" s="4"/>
      <c r="G492" s="4"/>
      <c r="H492" s="4"/>
      <c r="I492" s="4"/>
      <c r="J492" s="4"/>
      <c r="K492" s="4"/>
      <c r="L492" s="4"/>
      <c r="M492" s="4"/>
      <c r="N492" s="4"/>
      <c r="O492" s="4"/>
      <c r="P492" s="4"/>
      <c r="Q492" s="4"/>
      <c r="R492" s="4"/>
      <c r="S492" s="4"/>
      <c r="T492" s="4"/>
      <c r="U492" s="4"/>
      <c r="V492" s="4"/>
      <c r="W492" s="4"/>
      <c r="X492" s="4"/>
    </row>
    <row r="493" spans="1:24" ht="12.75" customHeight="1">
      <c r="A493" s="33">
        <v>21120702</v>
      </c>
      <c r="B493" s="24" t="s">
        <v>468</v>
      </c>
      <c r="C493" s="24">
        <f>1000000+20000</f>
        <v>1020000</v>
      </c>
      <c r="D493" s="4"/>
      <c r="E493" s="4"/>
      <c r="F493" s="4"/>
      <c r="G493" s="4"/>
      <c r="H493" s="4"/>
      <c r="I493" s="4"/>
      <c r="J493" s="4"/>
      <c r="K493" s="4"/>
      <c r="L493" s="4"/>
      <c r="M493" s="4"/>
      <c r="N493" s="4"/>
      <c r="O493" s="4"/>
      <c r="P493" s="4"/>
      <c r="Q493" s="4"/>
      <c r="R493" s="4"/>
      <c r="S493" s="4"/>
      <c r="T493" s="4"/>
      <c r="U493" s="4"/>
      <c r="V493" s="4"/>
      <c r="W493" s="4"/>
      <c r="X493" s="4"/>
    </row>
    <row r="494" spans="1:24" ht="12.75" customHeight="1">
      <c r="A494" s="33">
        <v>21120707</v>
      </c>
      <c r="B494" s="13" t="s">
        <v>516</v>
      </c>
      <c r="C494" s="24">
        <f>1500000+56000</f>
        <v>1556000</v>
      </c>
      <c r="D494" s="4"/>
      <c r="E494" s="4"/>
      <c r="F494" s="4"/>
      <c r="G494" s="4"/>
      <c r="H494" s="4"/>
      <c r="I494" s="4"/>
      <c r="J494" s="4"/>
      <c r="K494" s="4"/>
      <c r="L494" s="4"/>
      <c r="M494" s="4"/>
      <c r="N494" s="4"/>
      <c r="O494" s="4"/>
      <c r="P494" s="4"/>
      <c r="Q494" s="4"/>
      <c r="R494" s="4"/>
      <c r="S494" s="4"/>
      <c r="T494" s="4"/>
      <c r="U494" s="4"/>
      <c r="V494" s="4"/>
      <c r="W494" s="4"/>
      <c r="X494" s="4"/>
    </row>
    <row r="495" spans="1:24" ht="12.75" customHeight="1">
      <c r="A495" s="48">
        <v>211209</v>
      </c>
      <c r="B495" s="26" t="s">
        <v>477</v>
      </c>
      <c r="C495" s="26">
        <f>C496</f>
        <v>1525000</v>
      </c>
      <c r="D495" s="4"/>
      <c r="E495" s="4"/>
      <c r="F495" s="4"/>
      <c r="G495" s="4"/>
      <c r="H495" s="4"/>
      <c r="I495" s="4"/>
      <c r="J495" s="4"/>
      <c r="K495" s="4"/>
      <c r="L495" s="4"/>
      <c r="M495" s="4"/>
      <c r="N495" s="4"/>
      <c r="O495" s="4"/>
      <c r="P495" s="4"/>
      <c r="Q495" s="4"/>
      <c r="R495" s="4"/>
      <c r="S495" s="4"/>
      <c r="T495" s="4"/>
      <c r="U495" s="4"/>
      <c r="V495" s="4"/>
      <c r="W495" s="4"/>
      <c r="X495" s="4"/>
    </row>
    <row r="496" spans="1:24" ht="12.75" customHeight="1">
      <c r="A496" s="33">
        <v>21120906</v>
      </c>
      <c r="B496" s="24" t="s">
        <v>479</v>
      </c>
      <c r="C496" s="24">
        <f>1500000+25000</f>
        <v>1525000</v>
      </c>
      <c r="D496" s="4"/>
      <c r="E496" s="4"/>
      <c r="F496" s="4"/>
      <c r="G496" s="4"/>
      <c r="H496" s="4"/>
      <c r="I496" s="4"/>
      <c r="J496" s="4"/>
      <c r="K496" s="4"/>
      <c r="L496" s="4"/>
      <c r="M496" s="4"/>
      <c r="N496" s="4"/>
      <c r="O496" s="4"/>
      <c r="P496" s="4"/>
      <c r="Q496" s="4"/>
      <c r="R496" s="4"/>
      <c r="S496" s="4"/>
      <c r="T496" s="4"/>
      <c r="U496" s="4"/>
      <c r="V496" s="4"/>
      <c r="W496" s="4"/>
      <c r="X496" s="4"/>
    </row>
    <row r="497" spans="1:24" ht="12.75" customHeight="1" thickBot="1">
      <c r="A497" s="33"/>
      <c r="B497" s="24"/>
      <c r="C497" s="24"/>
      <c r="D497" s="4"/>
      <c r="E497" s="4"/>
      <c r="F497" s="4"/>
      <c r="G497" s="4"/>
      <c r="H497" s="4"/>
      <c r="I497" s="4"/>
      <c r="J497" s="4"/>
      <c r="K497" s="4"/>
      <c r="L497" s="4"/>
      <c r="M497" s="4"/>
      <c r="N497" s="4"/>
      <c r="O497" s="4"/>
      <c r="P497" s="4"/>
      <c r="Q497" s="4"/>
      <c r="R497" s="4"/>
      <c r="S497" s="4"/>
      <c r="T497" s="4"/>
      <c r="U497" s="4"/>
      <c r="V497" s="4"/>
      <c r="W497" s="4"/>
      <c r="X497" s="4"/>
    </row>
    <row r="498" spans="1:24" ht="12.75" customHeight="1" thickBot="1">
      <c r="A498" s="1298" t="s">
        <v>4</v>
      </c>
      <c r="B498" s="1281"/>
      <c r="C498" s="64">
        <f>(C499+C501+C505)</f>
        <v>10300000</v>
      </c>
      <c r="D498" s="4"/>
      <c r="E498" s="4"/>
      <c r="F498" s="4"/>
      <c r="G498" s="4"/>
      <c r="H498" s="4"/>
      <c r="I498" s="4"/>
      <c r="J498" s="4"/>
      <c r="K498" s="4"/>
      <c r="L498" s="4"/>
      <c r="M498" s="4"/>
      <c r="N498" s="4"/>
      <c r="O498" s="4"/>
      <c r="P498" s="4"/>
      <c r="Q498" s="4"/>
      <c r="R498" s="4"/>
      <c r="S498" s="4"/>
      <c r="T498" s="4"/>
      <c r="U498" s="4"/>
      <c r="V498" s="4"/>
      <c r="W498" s="4"/>
      <c r="X498" s="4"/>
    </row>
    <row r="499" spans="1:24" ht="12.75" customHeight="1">
      <c r="A499" s="21">
        <v>21130300000</v>
      </c>
      <c r="B499" s="26" t="s">
        <v>484</v>
      </c>
      <c r="C499" s="26">
        <f>C500</f>
        <v>3060000</v>
      </c>
      <c r="D499" s="4"/>
      <c r="E499" s="4"/>
      <c r="F499" s="4"/>
      <c r="G499" s="4"/>
      <c r="H499" s="4"/>
      <c r="I499" s="4"/>
      <c r="J499" s="4"/>
      <c r="K499" s="4"/>
      <c r="L499" s="4"/>
      <c r="M499" s="4"/>
      <c r="N499" s="4"/>
      <c r="O499" s="4"/>
      <c r="P499" s="4"/>
      <c r="Q499" s="4"/>
      <c r="R499" s="4"/>
      <c r="S499" s="4"/>
      <c r="T499" s="4"/>
      <c r="U499" s="4"/>
      <c r="V499" s="4"/>
      <c r="W499" s="4"/>
      <c r="X499" s="4"/>
    </row>
    <row r="500" spans="1:24" ht="12.75" customHeight="1">
      <c r="A500" s="23">
        <v>21130307000</v>
      </c>
      <c r="B500" s="23" t="s">
        <v>488</v>
      </c>
      <c r="C500" s="24">
        <f>3000000+60000</f>
        <v>3060000</v>
      </c>
      <c r="D500" s="4"/>
      <c r="E500" s="4"/>
      <c r="F500" s="4"/>
      <c r="G500" s="4"/>
      <c r="H500" s="4"/>
      <c r="I500" s="4"/>
      <c r="J500" s="4"/>
      <c r="K500" s="4"/>
      <c r="L500" s="4"/>
      <c r="M500" s="4"/>
      <c r="N500" s="4"/>
      <c r="O500" s="4"/>
      <c r="P500" s="4"/>
      <c r="Q500" s="4"/>
      <c r="R500" s="4"/>
      <c r="S500" s="4"/>
      <c r="T500" s="4"/>
      <c r="U500" s="4"/>
      <c r="V500" s="4"/>
      <c r="W500" s="4"/>
      <c r="X500" s="4"/>
    </row>
    <row r="501" spans="1:24" ht="12.75" customHeight="1">
      <c r="A501" s="21">
        <v>21130500000</v>
      </c>
      <c r="B501" s="21" t="s">
        <v>489</v>
      </c>
      <c r="C501" s="26">
        <f>SUM(C502:C504)</f>
        <v>4350000</v>
      </c>
      <c r="D501" s="4"/>
      <c r="E501" s="4"/>
      <c r="F501" s="4"/>
      <c r="G501" s="4"/>
      <c r="H501" s="4"/>
      <c r="I501" s="4"/>
      <c r="J501" s="4"/>
      <c r="K501" s="4"/>
      <c r="L501" s="4"/>
      <c r="M501" s="4"/>
      <c r="N501" s="4"/>
      <c r="O501" s="4"/>
      <c r="P501" s="4"/>
      <c r="Q501" s="4"/>
      <c r="R501" s="4"/>
      <c r="S501" s="4"/>
      <c r="T501" s="4"/>
      <c r="U501" s="4"/>
      <c r="V501" s="4"/>
      <c r="W501" s="4"/>
      <c r="X501" s="4"/>
    </row>
    <row r="502" spans="1:24" ht="12.75" customHeight="1">
      <c r="A502" s="23">
        <v>21130501000</v>
      </c>
      <c r="B502" s="23" t="s">
        <v>490</v>
      </c>
      <c r="C502" s="24">
        <f>500000+40000</f>
        <v>540000</v>
      </c>
      <c r="D502" s="4"/>
      <c r="E502" s="4"/>
      <c r="F502" s="4"/>
      <c r="G502" s="4"/>
      <c r="H502" s="4"/>
      <c r="I502" s="4"/>
      <c r="J502" s="4"/>
      <c r="K502" s="4"/>
      <c r="L502" s="4"/>
      <c r="M502" s="4"/>
      <c r="N502" s="4"/>
      <c r="O502" s="4"/>
      <c r="P502" s="4"/>
      <c r="Q502" s="4"/>
      <c r="R502" s="4"/>
      <c r="S502" s="4"/>
      <c r="T502" s="4"/>
      <c r="U502" s="4"/>
      <c r="V502" s="4"/>
      <c r="W502" s="4"/>
      <c r="X502" s="4"/>
    </row>
    <row r="503" spans="1:24" ht="12.75" customHeight="1">
      <c r="A503" s="23">
        <v>21130502000</v>
      </c>
      <c r="B503" s="23" t="s">
        <v>491</v>
      </c>
      <c r="C503" s="51">
        <f>1500000+40000</f>
        <v>1540000</v>
      </c>
      <c r="D503" s="4"/>
      <c r="E503" s="4"/>
      <c r="F503" s="4"/>
      <c r="G503" s="4"/>
      <c r="H503" s="4"/>
      <c r="I503" s="4"/>
      <c r="J503" s="4"/>
      <c r="K503" s="4"/>
      <c r="L503" s="4"/>
      <c r="M503" s="4"/>
      <c r="N503" s="4"/>
      <c r="O503" s="4"/>
      <c r="P503" s="4"/>
      <c r="Q503" s="4"/>
      <c r="R503" s="4"/>
      <c r="S503" s="4"/>
      <c r="T503" s="4"/>
      <c r="U503" s="4"/>
      <c r="V503" s="4"/>
      <c r="W503" s="4"/>
      <c r="X503" s="4"/>
    </row>
    <row r="504" spans="1:24" ht="12.75" customHeight="1">
      <c r="A504" s="23">
        <v>21130504000</v>
      </c>
      <c r="B504" s="13" t="s">
        <v>522</v>
      </c>
      <c r="C504" s="51">
        <f>2000000+270000</f>
        <v>2270000</v>
      </c>
      <c r="D504" s="4"/>
      <c r="E504" s="4"/>
      <c r="F504" s="4"/>
      <c r="G504" s="4"/>
      <c r="H504" s="4"/>
      <c r="I504" s="4"/>
      <c r="J504" s="4"/>
      <c r="K504" s="4"/>
      <c r="L504" s="4"/>
      <c r="M504" s="4"/>
      <c r="N504" s="4"/>
      <c r="O504" s="4"/>
      <c r="P504" s="4"/>
      <c r="Q504" s="4"/>
      <c r="R504" s="4"/>
      <c r="S504" s="4"/>
      <c r="T504" s="4"/>
      <c r="U504" s="4"/>
      <c r="V504" s="4"/>
      <c r="W504" s="4"/>
      <c r="X504" s="4"/>
    </row>
    <row r="505" spans="1:24" ht="12.75" customHeight="1">
      <c r="A505" s="21">
        <v>21130900000</v>
      </c>
      <c r="B505" s="21" t="s">
        <v>496</v>
      </c>
      <c r="C505" s="26">
        <f>SUM(C506:C508)</f>
        <v>2890000</v>
      </c>
      <c r="D505" s="4"/>
      <c r="E505" s="4"/>
      <c r="F505" s="4"/>
      <c r="G505" s="4"/>
      <c r="H505" s="4"/>
      <c r="I505" s="4"/>
      <c r="J505" s="4"/>
      <c r="K505" s="4"/>
      <c r="L505" s="4"/>
      <c r="M505" s="4"/>
      <c r="N505" s="4"/>
      <c r="O505" s="4"/>
      <c r="P505" s="4"/>
      <c r="Q505" s="4"/>
      <c r="R505" s="4"/>
      <c r="S505" s="4"/>
      <c r="T505" s="4"/>
      <c r="U505" s="4"/>
      <c r="V505" s="4"/>
      <c r="W505" s="4"/>
      <c r="X505" s="4"/>
    </row>
    <row r="506" spans="1:24" ht="12.75" customHeight="1">
      <c r="A506" s="23">
        <v>21130901000</v>
      </c>
      <c r="B506" s="23" t="s">
        <v>497</v>
      </c>
      <c r="C506" s="24">
        <f>2000000+160000</f>
        <v>2160000</v>
      </c>
      <c r="D506" s="4"/>
      <c r="E506" s="4"/>
      <c r="F506" s="4"/>
      <c r="G506" s="4"/>
      <c r="H506" s="4"/>
      <c r="I506" s="4"/>
      <c r="J506" s="4"/>
      <c r="K506" s="4"/>
      <c r="L506" s="4"/>
      <c r="M506" s="4"/>
      <c r="N506" s="4"/>
      <c r="O506" s="4"/>
      <c r="P506" s="4"/>
      <c r="Q506" s="4"/>
      <c r="R506" s="4"/>
      <c r="S506" s="4"/>
      <c r="T506" s="4"/>
      <c r="U506" s="4"/>
      <c r="V506" s="4"/>
      <c r="W506" s="4"/>
      <c r="X506" s="4"/>
    </row>
    <row r="507" spans="1:24" ht="12.75" customHeight="1">
      <c r="A507" s="23">
        <v>21130903000</v>
      </c>
      <c r="B507" s="23" t="s">
        <v>498</v>
      </c>
      <c r="C507" s="24">
        <f>200000+30000</f>
        <v>230000</v>
      </c>
      <c r="D507" s="4"/>
      <c r="E507" s="4"/>
      <c r="F507" s="4"/>
      <c r="G507" s="4"/>
      <c r="H507" s="4"/>
      <c r="I507" s="4"/>
      <c r="J507" s="4"/>
      <c r="K507" s="4"/>
      <c r="L507" s="4"/>
      <c r="M507" s="4"/>
      <c r="N507" s="4"/>
      <c r="O507" s="4"/>
      <c r="P507" s="4"/>
      <c r="Q507" s="4"/>
      <c r="R507" s="4"/>
      <c r="S507" s="4"/>
      <c r="T507" s="4"/>
      <c r="U507" s="4"/>
      <c r="V507" s="4"/>
      <c r="W507" s="4"/>
      <c r="X507" s="4"/>
    </row>
    <row r="508" spans="1:24" ht="12.75" customHeight="1">
      <c r="A508" s="23">
        <v>21130908000</v>
      </c>
      <c r="B508" s="23" t="s">
        <v>500</v>
      </c>
      <c r="C508" s="51">
        <f>200000+300000</f>
        <v>500000</v>
      </c>
      <c r="D508" s="4"/>
      <c r="E508" s="4"/>
      <c r="F508" s="4"/>
      <c r="G508" s="4"/>
      <c r="H508" s="4"/>
      <c r="I508" s="4"/>
      <c r="J508" s="4"/>
      <c r="K508" s="4"/>
      <c r="L508" s="4"/>
      <c r="M508" s="4"/>
      <c r="N508" s="4"/>
      <c r="O508" s="4"/>
      <c r="P508" s="4"/>
      <c r="Q508" s="4"/>
      <c r="R508" s="4"/>
      <c r="S508" s="4"/>
      <c r="T508" s="4"/>
      <c r="U508" s="4"/>
      <c r="V508" s="4"/>
      <c r="W508" s="4"/>
      <c r="X508" s="4"/>
    </row>
    <row r="509" spans="1:24" ht="12.75" customHeight="1" thickBot="1">
      <c r="A509" s="23"/>
      <c r="B509" s="23"/>
      <c r="C509" s="24"/>
      <c r="D509" s="4"/>
      <c r="E509" s="4"/>
      <c r="F509" s="4"/>
      <c r="G509" s="4"/>
      <c r="H509" s="4"/>
      <c r="I509" s="4"/>
      <c r="J509" s="4"/>
      <c r="K509" s="4"/>
      <c r="L509" s="4"/>
      <c r="M509" s="4"/>
      <c r="N509" s="4"/>
      <c r="O509" s="4"/>
      <c r="P509" s="4"/>
      <c r="Q509" s="4"/>
      <c r="R509" s="4"/>
      <c r="S509" s="4"/>
      <c r="T509" s="4"/>
      <c r="U509" s="4"/>
      <c r="V509" s="4"/>
      <c r="W509" s="4"/>
      <c r="X509" s="4"/>
    </row>
    <row r="510" spans="1:24" ht="12.75" customHeight="1" thickBot="1">
      <c r="A510" s="1299" t="s">
        <v>48</v>
      </c>
      <c r="B510" s="1281"/>
      <c r="C510" s="65">
        <f>(C511+C514)</f>
        <v>2130000</v>
      </c>
      <c r="D510" s="4"/>
      <c r="E510" s="4"/>
      <c r="F510" s="4"/>
      <c r="G510" s="4"/>
      <c r="H510" s="4"/>
      <c r="I510" s="4"/>
      <c r="J510" s="4"/>
      <c r="K510" s="4"/>
      <c r="L510" s="4"/>
      <c r="M510" s="4"/>
      <c r="N510" s="4"/>
      <c r="O510" s="4"/>
      <c r="P510" s="4"/>
      <c r="Q510" s="4"/>
      <c r="R510" s="4"/>
      <c r="S510" s="4"/>
      <c r="T510" s="4"/>
      <c r="U510" s="4"/>
      <c r="V510" s="4"/>
      <c r="W510" s="4"/>
      <c r="X510" s="4"/>
    </row>
    <row r="511" spans="1:24" ht="12.75" customHeight="1">
      <c r="A511" s="21">
        <v>2211040000</v>
      </c>
      <c r="B511" s="21" t="s">
        <v>510</v>
      </c>
      <c r="C511" s="49">
        <f>SUM(C512:C513)</f>
        <v>1280000</v>
      </c>
      <c r="D511" s="4"/>
      <c r="E511" s="4"/>
      <c r="F511" s="4"/>
      <c r="G511" s="4"/>
      <c r="H511" s="4"/>
      <c r="I511" s="4"/>
      <c r="J511" s="4"/>
      <c r="K511" s="4"/>
      <c r="L511" s="4"/>
      <c r="M511" s="4"/>
      <c r="N511" s="4"/>
      <c r="O511" s="4"/>
      <c r="P511" s="4"/>
      <c r="Q511" s="4"/>
      <c r="R511" s="4"/>
      <c r="S511" s="4"/>
      <c r="T511" s="4"/>
      <c r="U511" s="4"/>
      <c r="V511" s="4"/>
      <c r="W511" s="4"/>
      <c r="X511" s="4"/>
    </row>
    <row r="512" spans="1:24" ht="12.75" customHeight="1">
      <c r="A512" s="23">
        <v>2211040100</v>
      </c>
      <c r="B512" s="23" t="s">
        <v>511</v>
      </c>
      <c r="C512" s="24">
        <f>600000+40000</f>
        <v>640000</v>
      </c>
      <c r="D512" s="4"/>
      <c r="E512" s="4"/>
      <c r="F512" s="4"/>
      <c r="G512" s="4"/>
      <c r="H512" s="4"/>
      <c r="I512" s="4"/>
      <c r="J512" s="4"/>
      <c r="K512" s="4"/>
      <c r="L512" s="4"/>
      <c r="M512" s="4"/>
      <c r="N512" s="4"/>
      <c r="O512" s="4"/>
      <c r="P512" s="4"/>
      <c r="Q512" s="4"/>
      <c r="R512" s="4"/>
      <c r="S512" s="4"/>
      <c r="T512" s="4"/>
      <c r="U512" s="4"/>
      <c r="V512" s="4"/>
      <c r="W512" s="4"/>
      <c r="X512" s="4"/>
    </row>
    <row r="513" spans="1:24" ht="12.75" customHeight="1">
      <c r="A513" s="23">
        <v>2211040400</v>
      </c>
      <c r="B513" s="23" t="s">
        <v>512</v>
      </c>
      <c r="C513" s="24">
        <f>600000+40000</f>
        <v>640000</v>
      </c>
      <c r="D513" s="4"/>
      <c r="E513" s="4"/>
      <c r="F513" s="4"/>
      <c r="G513" s="4"/>
      <c r="H513" s="4"/>
      <c r="I513" s="4"/>
      <c r="J513" s="4"/>
      <c r="K513" s="4"/>
      <c r="L513" s="4"/>
      <c r="M513" s="4"/>
      <c r="N513" s="4"/>
      <c r="O513" s="4"/>
      <c r="P513" s="4"/>
      <c r="Q513" s="4"/>
      <c r="R513" s="4"/>
      <c r="S513" s="4"/>
      <c r="T513" s="4"/>
      <c r="U513" s="4"/>
      <c r="V513" s="4"/>
      <c r="W513" s="4"/>
      <c r="X513" s="4"/>
    </row>
    <row r="514" spans="1:24" ht="12.75" customHeight="1">
      <c r="A514" s="21">
        <v>2211050000</v>
      </c>
      <c r="B514" s="21" t="s">
        <v>523</v>
      </c>
      <c r="C514" s="26">
        <f>C515</f>
        <v>850000</v>
      </c>
      <c r="D514" s="4"/>
      <c r="E514" s="4"/>
      <c r="F514" s="4"/>
      <c r="G514" s="4"/>
      <c r="H514" s="4"/>
      <c r="I514" s="4"/>
      <c r="J514" s="4"/>
      <c r="K514" s="4"/>
      <c r="L514" s="4"/>
      <c r="M514" s="4"/>
      <c r="N514" s="4"/>
      <c r="O514" s="4"/>
      <c r="P514" s="4"/>
      <c r="Q514" s="4"/>
      <c r="R514" s="4"/>
      <c r="S514" s="4"/>
      <c r="T514" s="4"/>
      <c r="U514" s="4"/>
      <c r="V514" s="4"/>
      <c r="W514" s="4"/>
      <c r="X514" s="4"/>
    </row>
    <row r="515" spans="1:24" ht="12.75" customHeight="1">
      <c r="A515" s="23">
        <v>2211050100</v>
      </c>
      <c r="B515" s="23" t="s">
        <v>524</v>
      </c>
      <c r="C515" s="24">
        <f>50000+800000</f>
        <v>850000</v>
      </c>
      <c r="D515" s="4"/>
      <c r="E515" s="4"/>
      <c r="F515" s="4"/>
      <c r="G515" s="4"/>
      <c r="H515" s="4"/>
      <c r="I515" s="4"/>
      <c r="J515" s="4"/>
      <c r="K515" s="4"/>
      <c r="L515" s="4"/>
      <c r="M515" s="4"/>
      <c r="N515" s="4"/>
      <c r="O515" s="4"/>
      <c r="P515" s="4"/>
      <c r="Q515" s="4"/>
      <c r="R515" s="4"/>
      <c r="S515" s="4"/>
      <c r="T515" s="4"/>
      <c r="U515" s="4"/>
      <c r="V515" s="4"/>
      <c r="W515" s="4"/>
      <c r="X515" s="4"/>
    </row>
    <row r="517" spans="1:24" ht="12.75" customHeight="1" thickBot="1">
      <c r="A517" s="23"/>
      <c r="B517" s="13"/>
      <c r="C517" s="24"/>
      <c r="D517" s="4"/>
      <c r="E517" s="4"/>
      <c r="F517" s="4"/>
      <c r="G517" s="4"/>
      <c r="H517" s="4"/>
      <c r="I517" s="4"/>
      <c r="J517" s="4"/>
      <c r="K517" s="4"/>
      <c r="L517" s="4"/>
      <c r="M517" s="4"/>
      <c r="N517" s="4"/>
      <c r="O517" s="4"/>
      <c r="P517" s="4"/>
      <c r="Q517" s="4"/>
      <c r="R517" s="4"/>
      <c r="S517" s="4"/>
      <c r="T517" s="4"/>
      <c r="U517" s="4"/>
      <c r="V517" s="4"/>
      <c r="W517" s="4"/>
      <c r="X517" s="4"/>
    </row>
    <row r="518" spans="1:24" ht="12.75" customHeight="1">
      <c r="A518" s="1063" t="s">
        <v>51</v>
      </c>
      <c r="B518" s="985"/>
      <c r="C518" s="1161" t="s">
        <v>782</v>
      </c>
      <c r="D518" s="4"/>
      <c r="E518" s="4"/>
      <c r="F518" s="4"/>
      <c r="G518" s="4"/>
      <c r="H518" s="4"/>
      <c r="I518" s="4"/>
      <c r="J518" s="4"/>
      <c r="K518" s="4"/>
      <c r="L518" s="4"/>
      <c r="M518" s="4"/>
      <c r="N518" s="4"/>
      <c r="O518" s="4"/>
      <c r="P518" s="4"/>
      <c r="Q518" s="4"/>
      <c r="R518" s="4"/>
      <c r="S518" s="4"/>
      <c r="T518" s="4"/>
      <c r="U518" s="4"/>
      <c r="V518" s="4"/>
      <c r="W518" s="4"/>
      <c r="X518" s="4"/>
    </row>
    <row r="519" spans="1:24" ht="12.75" customHeight="1" thickBot="1">
      <c r="A519" s="1168"/>
      <c r="B519" s="981"/>
      <c r="C519" s="1490"/>
      <c r="D519" s="4"/>
      <c r="E519" s="4"/>
      <c r="F519" s="4"/>
      <c r="G519" s="4"/>
      <c r="H519" s="4"/>
      <c r="I519" s="4"/>
      <c r="J519" s="4"/>
      <c r="K519" s="4"/>
      <c r="L519" s="4"/>
      <c r="M519" s="4"/>
      <c r="N519" s="4"/>
      <c r="O519" s="4"/>
      <c r="P519" s="4"/>
      <c r="Q519" s="4"/>
      <c r="R519" s="4"/>
      <c r="S519" s="4"/>
      <c r="T519" s="4"/>
      <c r="U519" s="4"/>
      <c r="V519" s="4"/>
      <c r="W519" s="4"/>
      <c r="X519" s="4"/>
    </row>
    <row r="520" spans="1:24" ht="12.75" customHeight="1">
      <c r="A520" s="1025" t="s">
        <v>675</v>
      </c>
      <c r="B520" s="1026"/>
      <c r="C520" s="1027"/>
      <c r="D520" s="4"/>
      <c r="E520" s="4"/>
      <c r="F520" s="4"/>
      <c r="G520" s="4"/>
      <c r="H520" s="4"/>
      <c r="I520" s="4"/>
      <c r="J520" s="4"/>
      <c r="K520" s="4"/>
      <c r="L520" s="4"/>
      <c r="M520" s="4"/>
      <c r="N520" s="4"/>
      <c r="O520" s="4"/>
      <c r="P520" s="4"/>
      <c r="Q520" s="4"/>
      <c r="R520" s="4"/>
      <c r="S520" s="4"/>
      <c r="T520" s="4"/>
      <c r="U520" s="4"/>
      <c r="V520" s="4"/>
      <c r="W520" s="4"/>
      <c r="X520" s="4"/>
    </row>
    <row r="521" spans="1:24" ht="12.75" customHeight="1">
      <c r="A521" s="1028" t="s">
        <v>716</v>
      </c>
      <c r="B521" s="807"/>
      <c r="C521" s="1073"/>
      <c r="D521" s="4"/>
      <c r="E521" s="4"/>
      <c r="F521" s="4"/>
      <c r="G521" s="4"/>
      <c r="H521" s="4"/>
      <c r="I521" s="4"/>
      <c r="J521" s="4"/>
      <c r="K521" s="4"/>
      <c r="L521" s="4"/>
      <c r="M521" s="4"/>
      <c r="N521" s="4"/>
      <c r="O521" s="4"/>
      <c r="P521" s="4"/>
      <c r="Q521" s="4"/>
      <c r="R521" s="4"/>
      <c r="S521" s="4"/>
      <c r="T521" s="4"/>
      <c r="U521" s="4"/>
      <c r="V521" s="4"/>
      <c r="W521" s="4"/>
      <c r="X521" s="4"/>
    </row>
    <row r="522" spans="1:24" ht="12.75" customHeight="1">
      <c r="A522" s="1028" t="s">
        <v>717</v>
      </c>
      <c r="B522" s="807"/>
      <c r="C522" s="1073"/>
      <c r="D522" s="4"/>
      <c r="E522" s="4"/>
      <c r="F522" s="4"/>
      <c r="G522" s="4"/>
      <c r="H522" s="4"/>
      <c r="I522" s="4"/>
      <c r="J522" s="4"/>
      <c r="K522" s="4"/>
      <c r="L522" s="4"/>
      <c r="M522" s="4"/>
      <c r="N522" s="4"/>
      <c r="O522" s="4"/>
      <c r="P522" s="4"/>
      <c r="Q522" s="4"/>
      <c r="R522" s="4"/>
      <c r="S522" s="4"/>
      <c r="T522" s="4"/>
      <c r="U522" s="4"/>
      <c r="V522" s="4"/>
      <c r="W522" s="4"/>
      <c r="X522" s="4"/>
    </row>
    <row r="523" spans="1:24" ht="12.75" customHeight="1" thickBot="1">
      <c r="A523" s="1030" t="s">
        <v>0</v>
      </c>
      <c r="B523" s="1031"/>
      <c r="C523" s="1032"/>
      <c r="D523" s="4"/>
      <c r="E523" s="4"/>
      <c r="F523" s="4"/>
      <c r="G523" s="4"/>
      <c r="H523" s="4"/>
      <c r="I523" s="4"/>
      <c r="J523" s="4"/>
      <c r="K523" s="4"/>
      <c r="L523" s="4"/>
      <c r="M523" s="4"/>
      <c r="N523" s="4"/>
      <c r="O523" s="4"/>
      <c r="P523" s="4"/>
      <c r="Q523" s="4"/>
      <c r="R523" s="4"/>
      <c r="S523" s="4"/>
      <c r="T523" s="4"/>
      <c r="U523" s="4"/>
      <c r="V523" s="4"/>
      <c r="W523" s="4"/>
      <c r="X523" s="4"/>
    </row>
    <row r="524" spans="1:24" ht="12.75" customHeight="1" thickBot="1">
      <c r="A524" s="1190" t="s">
        <v>1</v>
      </c>
      <c r="B524" s="1501"/>
      <c r="C524" s="1033">
        <f>+C526+C540+C554</f>
        <v>63182464.32</v>
      </c>
      <c r="D524" s="4"/>
      <c r="E524" s="4"/>
      <c r="F524" s="4"/>
      <c r="G524" s="4"/>
      <c r="H524" s="4"/>
      <c r="I524" s="4"/>
      <c r="J524" s="4"/>
      <c r="K524" s="4"/>
      <c r="L524" s="4"/>
      <c r="M524" s="4"/>
      <c r="N524" s="4"/>
      <c r="O524" s="4"/>
      <c r="P524" s="4"/>
      <c r="Q524" s="4"/>
      <c r="R524" s="4"/>
      <c r="S524" s="4"/>
      <c r="T524" s="4"/>
      <c r="U524" s="4"/>
      <c r="V524" s="4"/>
      <c r="W524" s="4"/>
      <c r="X524" s="4"/>
    </row>
    <row r="525" spans="1:24" ht="12.75" customHeight="1" thickBot="1">
      <c r="A525" s="21"/>
      <c r="B525" s="21"/>
      <c r="C525" s="26"/>
      <c r="D525" s="4"/>
      <c r="E525" s="4"/>
      <c r="F525" s="4"/>
      <c r="G525" s="4"/>
      <c r="H525" s="4"/>
      <c r="I525" s="4"/>
      <c r="J525" s="4"/>
      <c r="K525" s="4"/>
      <c r="L525" s="4"/>
      <c r="M525" s="4"/>
      <c r="N525" s="4"/>
      <c r="O525" s="4"/>
      <c r="P525" s="4"/>
      <c r="Q525" s="4"/>
      <c r="R525" s="4"/>
      <c r="S525" s="4"/>
      <c r="T525" s="4"/>
      <c r="U525" s="4"/>
      <c r="V525" s="4"/>
      <c r="W525" s="4"/>
      <c r="X525" s="4"/>
    </row>
    <row r="526" spans="1:24" ht="12.75" customHeight="1" thickBot="1">
      <c r="A526" s="1297" t="s">
        <v>9</v>
      </c>
      <c r="B526" s="1281"/>
      <c r="C526" s="62">
        <f>C527+C529+C531+C534+C537</f>
        <v>8379000</v>
      </c>
      <c r="D526" s="4"/>
      <c r="E526" s="4"/>
      <c r="F526" s="4"/>
      <c r="G526" s="4"/>
      <c r="H526" s="4"/>
      <c r="I526" s="4"/>
      <c r="J526" s="4"/>
      <c r="K526" s="4"/>
      <c r="L526" s="4"/>
      <c r="M526" s="4"/>
      <c r="N526" s="4"/>
      <c r="O526" s="4"/>
      <c r="P526" s="4"/>
      <c r="Q526" s="4"/>
      <c r="R526" s="4"/>
      <c r="S526" s="4"/>
      <c r="T526" s="4"/>
      <c r="U526" s="4"/>
      <c r="V526" s="4"/>
      <c r="W526" s="4"/>
      <c r="X526" s="4"/>
    </row>
    <row r="527" spans="1:24" ht="12.75" customHeight="1">
      <c r="A527" s="48">
        <v>211204</v>
      </c>
      <c r="B527" s="21" t="s">
        <v>463</v>
      </c>
      <c r="C527" s="49">
        <f>C528</f>
        <v>609000</v>
      </c>
      <c r="D527" s="4"/>
      <c r="E527" s="4"/>
      <c r="F527" s="4"/>
      <c r="G527" s="4"/>
      <c r="H527" s="4"/>
      <c r="I527" s="4"/>
      <c r="J527" s="4"/>
      <c r="K527" s="4"/>
      <c r="L527" s="4"/>
      <c r="M527" s="4"/>
      <c r="N527" s="4"/>
      <c r="O527" s="4"/>
      <c r="P527" s="4"/>
      <c r="Q527" s="4"/>
      <c r="R527" s="4"/>
      <c r="S527" s="4"/>
      <c r="T527" s="4"/>
      <c r="U527" s="4"/>
      <c r="V527" s="4"/>
      <c r="W527" s="4"/>
      <c r="X527" s="4"/>
    </row>
    <row r="528" spans="1:24" ht="12.75" customHeight="1">
      <c r="A528" s="33">
        <v>211204010</v>
      </c>
      <c r="B528" s="24" t="s">
        <v>464</v>
      </c>
      <c r="C528" s="24">
        <f>500000+109000</f>
        <v>609000</v>
      </c>
      <c r="D528" s="4"/>
      <c r="E528" s="4"/>
      <c r="F528" s="4"/>
      <c r="G528" s="4"/>
      <c r="H528" s="4"/>
      <c r="I528" s="4"/>
      <c r="J528" s="4"/>
      <c r="K528" s="4"/>
      <c r="L528" s="4"/>
      <c r="M528" s="4"/>
      <c r="N528" s="4"/>
      <c r="O528" s="4"/>
      <c r="P528" s="4"/>
      <c r="Q528" s="4"/>
      <c r="R528" s="4"/>
      <c r="S528" s="4"/>
      <c r="T528" s="4"/>
      <c r="U528" s="4"/>
      <c r="V528" s="4"/>
      <c r="W528" s="4"/>
      <c r="X528" s="4"/>
    </row>
    <row r="529" spans="1:24" ht="12.75" customHeight="1">
      <c r="A529" s="48">
        <v>211205</v>
      </c>
      <c r="B529" s="26" t="s">
        <v>465</v>
      </c>
      <c r="C529" s="26">
        <f>C530</f>
        <v>280000</v>
      </c>
      <c r="D529" s="4"/>
      <c r="E529" s="4"/>
      <c r="F529" s="4"/>
      <c r="G529" s="4"/>
      <c r="H529" s="4"/>
      <c r="I529" s="4"/>
      <c r="J529" s="4"/>
      <c r="K529" s="4"/>
      <c r="L529" s="4"/>
      <c r="M529" s="4"/>
      <c r="N529" s="4"/>
      <c r="O529" s="4"/>
      <c r="P529" s="4"/>
      <c r="Q529" s="4"/>
      <c r="R529" s="4"/>
      <c r="S529" s="4"/>
      <c r="T529" s="4"/>
      <c r="U529" s="4"/>
      <c r="V529" s="4"/>
      <c r="W529" s="4"/>
      <c r="X529" s="4"/>
    </row>
    <row r="530" spans="1:24" ht="12.75" customHeight="1">
      <c r="A530" s="33">
        <v>21120501</v>
      </c>
      <c r="B530" s="24" t="s">
        <v>466</v>
      </c>
      <c r="C530" s="24">
        <f>250000+30000</f>
        <v>280000</v>
      </c>
      <c r="D530" s="4"/>
      <c r="E530" s="4"/>
      <c r="F530" s="4"/>
      <c r="G530" s="4"/>
      <c r="H530" s="4"/>
      <c r="I530" s="4"/>
      <c r="J530" s="4"/>
      <c r="K530" s="4"/>
      <c r="L530" s="4"/>
      <c r="M530" s="4"/>
      <c r="N530" s="4"/>
      <c r="O530" s="4"/>
      <c r="P530" s="4"/>
      <c r="Q530" s="4"/>
      <c r="R530" s="4"/>
      <c r="S530" s="4"/>
      <c r="T530" s="4"/>
      <c r="U530" s="4"/>
      <c r="V530" s="4"/>
      <c r="W530" s="4"/>
      <c r="X530" s="4"/>
    </row>
    <row r="531" spans="1:24" ht="12.75" customHeight="1">
      <c r="A531" s="48">
        <v>211207</v>
      </c>
      <c r="B531" s="26" t="s">
        <v>467</v>
      </c>
      <c r="C531" s="26">
        <f>SUM(C532:C533)</f>
        <v>4350000</v>
      </c>
      <c r="D531" s="4"/>
      <c r="E531" s="4"/>
      <c r="F531" s="4"/>
      <c r="G531" s="4"/>
      <c r="H531" s="4"/>
      <c r="I531" s="4"/>
      <c r="J531" s="4"/>
      <c r="K531" s="4"/>
      <c r="L531" s="4"/>
      <c r="M531" s="4"/>
      <c r="N531" s="4"/>
      <c r="O531" s="4"/>
      <c r="P531" s="4"/>
      <c r="Q531" s="4"/>
      <c r="R531" s="4"/>
      <c r="S531" s="4"/>
      <c r="T531" s="4"/>
      <c r="U531" s="4"/>
      <c r="V531" s="4"/>
      <c r="W531" s="4"/>
      <c r="X531" s="4"/>
    </row>
    <row r="532" spans="1:24" ht="12.75" customHeight="1">
      <c r="A532" s="33">
        <v>21120702</v>
      </c>
      <c r="B532" s="24" t="s">
        <v>468</v>
      </c>
      <c r="C532" s="24">
        <f>2000000+300000</f>
        <v>2300000</v>
      </c>
      <c r="D532" s="4"/>
      <c r="E532" s="4"/>
      <c r="F532" s="4"/>
      <c r="G532" s="4"/>
      <c r="H532" s="4"/>
      <c r="I532" s="4"/>
      <c r="J532" s="4"/>
      <c r="K532" s="4"/>
      <c r="L532" s="4"/>
      <c r="M532" s="4"/>
      <c r="N532" s="4"/>
      <c r="O532" s="4"/>
      <c r="P532" s="4"/>
      <c r="Q532" s="4"/>
      <c r="R532" s="4"/>
      <c r="S532" s="4"/>
      <c r="T532" s="4"/>
      <c r="U532" s="4"/>
      <c r="V532" s="4"/>
      <c r="W532" s="4"/>
      <c r="X532" s="4"/>
    </row>
    <row r="533" spans="1:24" ht="12.75" customHeight="1">
      <c r="A533" s="33">
        <v>21120707</v>
      </c>
      <c r="B533" s="13" t="s">
        <v>516</v>
      </c>
      <c r="C533" s="24">
        <f>2000000+50000</f>
        <v>2050000</v>
      </c>
      <c r="D533" s="4"/>
      <c r="E533" s="4"/>
      <c r="F533" s="4"/>
      <c r="G533" s="4"/>
      <c r="H533" s="4"/>
      <c r="I533" s="4"/>
      <c r="J533" s="4"/>
      <c r="K533" s="4"/>
      <c r="L533" s="4"/>
      <c r="M533" s="4"/>
      <c r="N533" s="4"/>
      <c r="O533" s="4"/>
      <c r="P533" s="4"/>
      <c r="Q533" s="4"/>
      <c r="R533" s="4"/>
      <c r="S533" s="4"/>
      <c r="T533" s="4"/>
      <c r="U533" s="4"/>
      <c r="V533" s="4"/>
      <c r="W533" s="4"/>
      <c r="X533" s="4"/>
    </row>
    <row r="534" spans="1:24" ht="12.75" customHeight="1">
      <c r="A534" s="48">
        <v>211208</v>
      </c>
      <c r="B534" s="26" t="s">
        <v>474</v>
      </c>
      <c r="C534" s="26">
        <f>C535+C536</f>
        <v>2100000</v>
      </c>
      <c r="D534" s="4"/>
      <c r="E534" s="4"/>
      <c r="F534" s="4"/>
      <c r="G534" s="4"/>
      <c r="H534" s="4"/>
      <c r="I534" s="4"/>
      <c r="J534" s="4"/>
      <c r="K534" s="4"/>
      <c r="L534" s="4"/>
      <c r="M534" s="4"/>
      <c r="N534" s="4"/>
      <c r="O534" s="4"/>
      <c r="P534" s="4"/>
      <c r="Q534" s="4"/>
      <c r="R534" s="4"/>
      <c r="S534" s="4"/>
      <c r="T534" s="4"/>
      <c r="U534" s="4"/>
      <c r="V534" s="4"/>
      <c r="W534" s="4"/>
      <c r="X534" s="4"/>
    </row>
    <row r="535" spans="1:24" ht="12.75" customHeight="1">
      <c r="A535" s="33">
        <v>21120803</v>
      </c>
      <c r="B535" s="24" t="s">
        <v>517</v>
      </c>
      <c r="C535" s="24">
        <f>1000000+50000</f>
        <v>1050000</v>
      </c>
      <c r="D535" s="4"/>
      <c r="E535" s="4"/>
      <c r="F535" s="4"/>
      <c r="G535" s="4"/>
      <c r="H535" s="4"/>
      <c r="I535" s="4"/>
      <c r="J535" s="4"/>
      <c r="K535" s="4"/>
      <c r="L535" s="4"/>
      <c r="M535" s="4"/>
      <c r="N535" s="4"/>
      <c r="O535" s="4"/>
      <c r="P535" s="4"/>
      <c r="Q535" s="4"/>
      <c r="R535" s="4"/>
      <c r="S535" s="4"/>
      <c r="T535" s="4"/>
      <c r="U535" s="4"/>
      <c r="V535" s="4"/>
      <c r="W535" s="4"/>
      <c r="X535" s="4"/>
    </row>
    <row r="536" spans="1:24" ht="12.75" customHeight="1">
      <c r="A536" s="33">
        <v>21120805</v>
      </c>
      <c r="B536" s="24" t="s">
        <v>476</v>
      </c>
      <c r="C536" s="24">
        <f>1000000+50000</f>
        <v>1050000</v>
      </c>
      <c r="D536" s="4"/>
      <c r="E536" s="4"/>
      <c r="F536" s="4"/>
      <c r="G536" s="4"/>
      <c r="H536" s="4"/>
      <c r="I536" s="4"/>
      <c r="J536" s="4"/>
      <c r="K536" s="4"/>
      <c r="L536" s="4"/>
      <c r="M536" s="4"/>
      <c r="N536" s="4"/>
      <c r="O536" s="4"/>
      <c r="P536" s="4"/>
      <c r="Q536" s="4"/>
      <c r="R536" s="4"/>
      <c r="S536" s="4"/>
      <c r="T536" s="4"/>
      <c r="U536" s="4"/>
      <c r="V536" s="4"/>
      <c r="W536" s="4"/>
      <c r="X536" s="4"/>
    </row>
    <row r="537" spans="1:24" ht="12.75" customHeight="1">
      <c r="A537" s="48">
        <v>211209</v>
      </c>
      <c r="B537" s="26" t="s">
        <v>477</v>
      </c>
      <c r="C537" s="26">
        <f>C538</f>
        <v>1040000</v>
      </c>
      <c r="D537" s="4"/>
      <c r="E537" s="4"/>
      <c r="F537" s="4"/>
      <c r="G537" s="4"/>
      <c r="H537" s="4"/>
      <c r="I537" s="4"/>
      <c r="J537" s="4"/>
      <c r="K537" s="4"/>
      <c r="L537" s="4"/>
      <c r="M537" s="4"/>
      <c r="N537" s="4"/>
      <c r="O537" s="4"/>
      <c r="P537" s="4"/>
      <c r="Q537" s="4"/>
      <c r="R537" s="4"/>
      <c r="S537" s="4"/>
      <c r="T537" s="4"/>
      <c r="U537" s="4"/>
      <c r="V537" s="4"/>
      <c r="W537" s="4"/>
      <c r="X537" s="4"/>
    </row>
    <row r="538" spans="1:24" ht="12.75" customHeight="1">
      <c r="A538" s="33">
        <v>21120906</v>
      </c>
      <c r="B538" s="24" t="s">
        <v>479</v>
      </c>
      <c r="C538" s="24">
        <f>1000000+40000</f>
        <v>1040000</v>
      </c>
      <c r="D538" s="4"/>
      <c r="E538" s="4"/>
      <c r="F538" s="4"/>
      <c r="G538" s="4"/>
      <c r="H538" s="4"/>
      <c r="I538" s="4"/>
      <c r="J538" s="4"/>
      <c r="K538" s="4"/>
      <c r="L538" s="4"/>
      <c r="M538" s="4"/>
      <c r="N538" s="4"/>
      <c r="O538" s="4"/>
      <c r="P538" s="4"/>
      <c r="Q538" s="4"/>
      <c r="R538" s="4"/>
      <c r="S538" s="4"/>
      <c r="T538" s="4"/>
      <c r="U538" s="4"/>
      <c r="V538" s="4"/>
      <c r="W538" s="4"/>
      <c r="X538" s="4"/>
    </row>
    <row r="539" spans="1:24" ht="12.75" customHeight="1" thickBot="1">
      <c r="A539" s="23"/>
      <c r="B539" s="24"/>
      <c r="C539" s="24"/>
      <c r="D539" s="4"/>
      <c r="E539" s="4"/>
      <c r="F539" s="4"/>
      <c r="G539" s="4"/>
      <c r="H539" s="4"/>
      <c r="I539" s="4"/>
      <c r="J539" s="4"/>
      <c r="K539" s="4"/>
      <c r="L539" s="4"/>
      <c r="M539" s="4"/>
      <c r="N539" s="4"/>
      <c r="O539" s="4"/>
      <c r="P539" s="4"/>
      <c r="Q539" s="4"/>
      <c r="R539" s="4"/>
      <c r="S539" s="4"/>
      <c r="T539" s="4"/>
      <c r="U539" s="4"/>
      <c r="V539" s="4"/>
      <c r="W539" s="4"/>
      <c r="X539" s="4"/>
    </row>
    <row r="540" spans="1:24" ht="12.75" customHeight="1" thickBot="1">
      <c r="A540" s="1298" t="s">
        <v>4</v>
      </c>
      <c r="B540" s="1281"/>
      <c r="C540" s="64">
        <f>(C543+C546+C549+C541)</f>
        <v>50125883.719999999</v>
      </c>
      <c r="D540" s="4"/>
      <c r="E540" s="4"/>
      <c r="F540" s="4"/>
      <c r="G540" s="4"/>
      <c r="H540" s="4"/>
      <c r="I540" s="4"/>
      <c r="J540" s="4"/>
      <c r="K540" s="4"/>
      <c r="L540" s="4"/>
      <c r="M540" s="4"/>
      <c r="N540" s="4"/>
      <c r="O540" s="4"/>
      <c r="P540" s="4"/>
      <c r="Q540" s="4"/>
      <c r="R540" s="4"/>
      <c r="S540" s="4"/>
      <c r="T540" s="4"/>
      <c r="U540" s="4"/>
      <c r="V540" s="4"/>
      <c r="W540" s="4"/>
      <c r="X540" s="4"/>
    </row>
    <row r="541" spans="1:24" ht="12.75" customHeight="1">
      <c r="A541" s="48">
        <v>211301</v>
      </c>
      <c r="B541" s="22" t="s">
        <v>518</v>
      </c>
      <c r="C541" s="16">
        <f>C542</f>
        <v>24000000</v>
      </c>
      <c r="D541" s="4"/>
      <c r="E541" s="4"/>
      <c r="F541" s="4"/>
      <c r="G541" s="4"/>
      <c r="H541" s="4"/>
      <c r="I541" s="4"/>
      <c r="J541" s="4"/>
      <c r="K541" s="4"/>
      <c r="L541" s="4"/>
      <c r="M541" s="4"/>
      <c r="N541" s="4"/>
      <c r="O541" s="4"/>
      <c r="P541" s="4"/>
      <c r="Q541" s="4"/>
      <c r="R541" s="4"/>
      <c r="S541" s="4"/>
      <c r="T541" s="4"/>
      <c r="U541" s="4"/>
      <c r="V541" s="4"/>
      <c r="W541" s="4"/>
      <c r="X541" s="4"/>
    </row>
    <row r="542" spans="1:24" ht="12.75" customHeight="1">
      <c r="A542" s="33">
        <v>21130104</v>
      </c>
      <c r="B542" s="13" t="s">
        <v>519</v>
      </c>
      <c r="C542" s="51">
        <f>4000000+20000000</f>
        <v>24000000</v>
      </c>
      <c r="D542" s="4"/>
      <c r="E542" s="4"/>
      <c r="F542" s="4"/>
      <c r="G542" s="4"/>
      <c r="H542" s="4"/>
      <c r="I542" s="4"/>
      <c r="J542" s="4"/>
      <c r="K542" s="4"/>
      <c r="L542" s="4"/>
      <c r="M542" s="4"/>
      <c r="N542" s="4"/>
      <c r="O542" s="4"/>
      <c r="P542" s="4"/>
      <c r="Q542" s="4"/>
      <c r="R542" s="4"/>
      <c r="S542" s="4"/>
      <c r="T542" s="4"/>
      <c r="U542" s="4"/>
      <c r="V542" s="4"/>
      <c r="W542" s="4"/>
      <c r="X542" s="4"/>
    </row>
    <row r="543" spans="1:24" ht="12.75" customHeight="1">
      <c r="A543" s="48">
        <v>211303</v>
      </c>
      <c r="B543" s="26" t="s">
        <v>484</v>
      </c>
      <c r="C543" s="26">
        <f>+SUM(C544:C545)</f>
        <v>10509500</v>
      </c>
      <c r="D543" s="4"/>
      <c r="E543" s="4"/>
      <c r="F543" s="4"/>
      <c r="G543" s="4"/>
      <c r="H543" s="4"/>
      <c r="I543" s="4"/>
      <c r="J543" s="4"/>
      <c r="K543" s="4"/>
      <c r="L543" s="4"/>
      <c r="M543" s="4"/>
      <c r="N543" s="4"/>
      <c r="O543" s="4"/>
      <c r="P543" s="4"/>
      <c r="Q543" s="4"/>
      <c r="R543" s="4"/>
      <c r="S543" s="4"/>
      <c r="T543" s="4"/>
      <c r="U543" s="4"/>
      <c r="V543" s="4"/>
      <c r="W543" s="4"/>
      <c r="X543" s="4"/>
    </row>
    <row r="544" spans="1:24" ht="12.75" customHeight="1">
      <c r="A544" s="33">
        <v>21130302</v>
      </c>
      <c r="B544" s="23" t="s">
        <v>520</v>
      </c>
      <c r="C544" s="24">
        <f>5000000+450000</f>
        <v>5450000</v>
      </c>
      <c r="D544" s="4"/>
      <c r="E544" s="4"/>
      <c r="F544" s="4"/>
      <c r="G544" s="4"/>
      <c r="H544" s="4"/>
      <c r="I544" s="4"/>
      <c r="J544" s="4"/>
      <c r="K544" s="4"/>
      <c r="L544" s="4"/>
      <c r="M544" s="4"/>
      <c r="N544" s="4"/>
      <c r="O544" s="4"/>
      <c r="P544" s="4"/>
      <c r="Q544" s="4"/>
      <c r="R544" s="4"/>
      <c r="S544" s="4"/>
      <c r="T544" s="4"/>
      <c r="U544" s="4"/>
      <c r="V544" s="4"/>
      <c r="W544" s="4"/>
      <c r="X544" s="4"/>
    </row>
    <row r="545" spans="1:24" ht="12.75" customHeight="1">
      <c r="A545" s="33">
        <v>21130307</v>
      </c>
      <c r="B545" s="23" t="s">
        <v>488</v>
      </c>
      <c r="C545" s="24">
        <f>5000000+59500</f>
        <v>5059500</v>
      </c>
      <c r="D545" s="4"/>
      <c r="E545" s="4"/>
      <c r="F545" s="4"/>
      <c r="G545" s="4"/>
      <c r="H545" s="4"/>
      <c r="I545" s="4"/>
      <c r="J545" s="4"/>
      <c r="K545" s="4"/>
      <c r="L545" s="4"/>
      <c r="M545" s="4"/>
      <c r="N545" s="4"/>
      <c r="O545" s="4"/>
      <c r="P545" s="4"/>
      <c r="Q545" s="4"/>
      <c r="R545" s="4"/>
      <c r="S545" s="4"/>
      <c r="T545" s="4"/>
      <c r="U545" s="4"/>
      <c r="V545" s="4"/>
      <c r="W545" s="4"/>
      <c r="X545" s="4"/>
    </row>
    <row r="546" spans="1:24" ht="12.75" customHeight="1">
      <c r="A546" s="48">
        <v>211305</v>
      </c>
      <c r="B546" s="21" t="s">
        <v>489</v>
      </c>
      <c r="C546" s="26">
        <f>SUM(C547:C548)</f>
        <v>12168000</v>
      </c>
      <c r="D546" s="4"/>
      <c r="E546" s="4"/>
      <c r="F546" s="4"/>
      <c r="G546" s="4"/>
      <c r="H546" s="4"/>
      <c r="I546" s="4"/>
      <c r="J546" s="4"/>
      <c r="K546" s="4"/>
      <c r="L546" s="4"/>
      <c r="M546" s="4"/>
      <c r="N546" s="4"/>
      <c r="O546" s="4"/>
      <c r="P546" s="4"/>
      <c r="Q546" s="4"/>
      <c r="R546" s="4"/>
      <c r="S546" s="4"/>
      <c r="T546" s="4"/>
      <c r="U546" s="4"/>
      <c r="V546" s="4"/>
      <c r="W546" s="4"/>
      <c r="X546" s="4"/>
    </row>
    <row r="547" spans="1:24" ht="12.75" customHeight="1">
      <c r="A547" s="33">
        <v>21130501</v>
      </c>
      <c r="B547" s="13" t="s">
        <v>490</v>
      </c>
      <c r="C547" s="24">
        <f>500000+8000</f>
        <v>508000</v>
      </c>
      <c r="D547" s="4"/>
      <c r="E547" s="4"/>
      <c r="F547" s="4"/>
      <c r="G547" s="4"/>
      <c r="H547" s="4"/>
      <c r="I547" s="4"/>
      <c r="J547" s="4"/>
      <c r="K547" s="4"/>
      <c r="L547" s="4"/>
      <c r="M547" s="4"/>
      <c r="N547" s="4"/>
      <c r="O547" s="4"/>
      <c r="P547" s="4"/>
      <c r="Q547" s="4"/>
      <c r="R547" s="4"/>
      <c r="S547" s="4"/>
      <c r="T547" s="4"/>
      <c r="U547" s="4"/>
      <c r="V547" s="4"/>
      <c r="W547" s="4"/>
      <c r="X547" s="4"/>
    </row>
    <row r="548" spans="1:24" ht="12.75" customHeight="1">
      <c r="A548" s="33">
        <v>21130502</v>
      </c>
      <c r="B548" s="23" t="s">
        <v>491</v>
      </c>
      <c r="C548" s="51">
        <f>11000000+660000</f>
        <v>11660000</v>
      </c>
      <c r="D548" s="4"/>
      <c r="E548" s="4"/>
      <c r="F548" s="4"/>
      <c r="G548" s="4"/>
      <c r="H548" s="4"/>
      <c r="I548" s="4"/>
      <c r="J548" s="4"/>
      <c r="K548" s="4"/>
      <c r="L548" s="4"/>
      <c r="M548" s="4"/>
      <c r="N548" s="4"/>
      <c r="O548" s="4"/>
      <c r="P548" s="4"/>
      <c r="Q548" s="4"/>
      <c r="R548" s="4"/>
      <c r="S548" s="4"/>
      <c r="T548" s="4"/>
      <c r="U548" s="4"/>
      <c r="V548" s="4"/>
      <c r="W548" s="4"/>
      <c r="X548" s="4"/>
    </row>
    <row r="549" spans="1:24" ht="12.75" customHeight="1">
      <c r="A549" s="48">
        <v>211309</v>
      </c>
      <c r="B549" s="21" t="s">
        <v>496</v>
      </c>
      <c r="C549" s="26">
        <f>SUM(C550:C552)</f>
        <v>3448383.7199999997</v>
      </c>
      <c r="D549" s="4"/>
      <c r="E549" s="4"/>
      <c r="F549" s="4"/>
      <c r="G549" s="4"/>
      <c r="H549" s="4"/>
      <c r="I549" s="4"/>
      <c r="J549" s="4"/>
      <c r="K549" s="4"/>
      <c r="L549" s="4"/>
      <c r="M549" s="4"/>
      <c r="N549" s="4"/>
      <c r="O549" s="4"/>
      <c r="P549" s="4"/>
      <c r="Q549" s="4"/>
      <c r="R549" s="4"/>
      <c r="S549" s="4"/>
      <c r="T549" s="4"/>
      <c r="U549" s="4"/>
      <c r="V549" s="4"/>
      <c r="W549" s="4"/>
      <c r="X549" s="4"/>
    </row>
    <row r="550" spans="1:24" ht="12.75" customHeight="1">
      <c r="A550" s="33">
        <v>21130901</v>
      </c>
      <c r="B550" s="23" t="s">
        <v>497</v>
      </c>
      <c r="C550" s="51">
        <f>3000000+1080000-734116.28</f>
        <v>3345883.7199999997</v>
      </c>
      <c r="D550" s="4"/>
      <c r="E550" s="4"/>
      <c r="F550" s="4"/>
      <c r="G550" s="4"/>
      <c r="H550" s="4"/>
      <c r="I550" s="4"/>
      <c r="J550" s="4"/>
      <c r="K550" s="4"/>
      <c r="L550" s="4"/>
      <c r="M550" s="4"/>
      <c r="N550" s="4"/>
      <c r="O550" s="4"/>
      <c r="P550" s="4"/>
      <c r="Q550" s="4"/>
      <c r="R550" s="4"/>
      <c r="S550" s="4"/>
      <c r="T550" s="4"/>
      <c r="U550" s="4"/>
      <c r="V550" s="4"/>
      <c r="W550" s="4"/>
      <c r="X550" s="4"/>
    </row>
    <row r="551" spans="1:24" ht="12.75" customHeight="1">
      <c r="A551" s="33">
        <v>21130903</v>
      </c>
      <c r="B551" s="23" t="s">
        <v>498</v>
      </c>
      <c r="C551" s="24">
        <v>22500</v>
      </c>
      <c r="D551" s="4"/>
      <c r="E551" s="4"/>
      <c r="F551" s="4"/>
      <c r="G551" s="4"/>
      <c r="H551" s="4"/>
      <c r="I551" s="4"/>
      <c r="J551" s="4"/>
      <c r="K551" s="4"/>
      <c r="L551" s="4"/>
      <c r="M551" s="4"/>
      <c r="N551" s="4"/>
      <c r="O551" s="4"/>
      <c r="P551" s="4"/>
      <c r="Q551" s="4"/>
      <c r="R551" s="4"/>
      <c r="S551" s="4"/>
      <c r="T551" s="4"/>
      <c r="U551" s="4"/>
      <c r="V551" s="4"/>
      <c r="W551" s="4"/>
      <c r="X551" s="4"/>
    </row>
    <row r="552" spans="1:24" ht="12.75" customHeight="1">
      <c r="A552" s="33">
        <v>21130908</v>
      </c>
      <c r="B552" s="23" t="s">
        <v>500</v>
      </c>
      <c r="C552" s="24">
        <v>80000</v>
      </c>
      <c r="D552" s="4"/>
      <c r="E552" s="4"/>
      <c r="F552" s="4"/>
      <c r="G552" s="4"/>
      <c r="H552" s="4"/>
      <c r="I552" s="4"/>
      <c r="J552" s="4"/>
      <c r="K552" s="4"/>
      <c r="L552" s="4"/>
      <c r="M552" s="4"/>
      <c r="N552" s="4"/>
      <c r="O552" s="4"/>
      <c r="P552" s="4"/>
      <c r="Q552" s="4"/>
      <c r="R552" s="4"/>
      <c r="S552" s="4"/>
      <c r="T552" s="4"/>
      <c r="U552" s="4"/>
      <c r="V552" s="4"/>
      <c r="W552" s="4"/>
      <c r="X552" s="4"/>
    </row>
    <row r="553" spans="1:24" ht="12.75" customHeight="1" thickBot="1">
      <c r="A553" s="33"/>
      <c r="B553" s="23"/>
      <c r="C553" s="24"/>
      <c r="D553" s="4"/>
      <c r="E553" s="4"/>
      <c r="F553" s="4"/>
      <c r="G553" s="4"/>
      <c r="H553" s="4"/>
      <c r="I553" s="4"/>
      <c r="J553" s="4"/>
      <c r="K553" s="4"/>
      <c r="L553" s="4"/>
      <c r="M553" s="4"/>
      <c r="N553" s="4"/>
      <c r="O553" s="4"/>
      <c r="P553" s="4"/>
      <c r="Q553" s="4"/>
      <c r="R553" s="4"/>
      <c r="S553" s="4"/>
      <c r="T553" s="4"/>
      <c r="U553" s="4"/>
      <c r="V553" s="4"/>
      <c r="W553" s="4"/>
      <c r="X553" s="4"/>
    </row>
    <row r="554" spans="1:24" ht="12.75" customHeight="1" thickBot="1">
      <c r="A554" s="1299" t="s">
        <v>48</v>
      </c>
      <c r="B554" s="1281"/>
      <c r="C554" s="65">
        <f>(C555+C559)</f>
        <v>4677580.5999999996</v>
      </c>
      <c r="D554" s="4"/>
      <c r="E554" s="4"/>
      <c r="F554" s="4"/>
      <c r="G554" s="4"/>
      <c r="H554" s="4"/>
      <c r="I554" s="4"/>
      <c r="J554" s="4"/>
      <c r="K554" s="4"/>
      <c r="L554" s="4"/>
      <c r="M554" s="4"/>
      <c r="N554" s="4"/>
      <c r="O554" s="4"/>
      <c r="P554" s="4"/>
      <c r="Q554" s="4"/>
      <c r="R554" s="4"/>
      <c r="S554" s="4"/>
      <c r="T554" s="4"/>
      <c r="U554" s="4"/>
      <c r="V554" s="4"/>
      <c r="W554" s="4"/>
      <c r="X554" s="4"/>
    </row>
    <row r="555" spans="1:24" ht="12.75" customHeight="1">
      <c r="A555" s="48">
        <v>221104</v>
      </c>
      <c r="B555" s="21" t="s">
        <v>510</v>
      </c>
      <c r="C555" s="49">
        <f>+SUM(C556:C558)</f>
        <v>2681500</v>
      </c>
      <c r="D555" s="4"/>
      <c r="E555" s="4"/>
      <c r="F555" s="4"/>
      <c r="G555" s="4"/>
      <c r="H555" s="4"/>
      <c r="I555" s="4"/>
      <c r="J555" s="4"/>
      <c r="K555" s="4"/>
      <c r="L555" s="4"/>
      <c r="M555" s="4"/>
      <c r="N555" s="4"/>
      <c r="O555" s="4"/>
      <c r="P555" s="4"/>
      <c r="Q555" s="4"/>
      <c r="R555" s="4"/>
      <c r="S555" s="4"/>
      <c r="T555" s="4"/>
      <c r="U555" s="4"/>
      <c r="V555" s="4"/>
      <c r="W555" s="4"/>
      <c r="X555" s="4"/>
    </row>
    <row r="556" spans="1:24" ht="12.75" customHeight="1">
      <c r="A556" s="33">
        <v>22110401</v>
      </c>
      <c r="B556" s="13" t="s">
        <v>511</v>
      </c>
      <c r="C556" s="24">
        <v>250000</v>
      </c>
      <c r="D556" s="4"/>
      <c r="E556" s="4"/>
      <c r="F556" s="4"/>
      <c r="G556" s="4"/>
      <c r="H556" s="4"/>
      <c r="I556" s="4"/>
      <c r="J556" s="4"/>
      <c r="K556" s="4"/>
      <c r="L556" s="4"/>
      <c r="M556" s="4"/>
      <c r="N556" s="4"/>
      <c r="O556" s="4"/>
      <c r="P556" s="4"/>
      <c r="Q556" s="4"/>
      <c r="R556" s="4"/>
      <c r="S556" s="4"/>
      <c r="T556" s="4"/>
      <c r="U556" s="4"/>
      <c r="V556" s="4"/>
      <c r="W556" s="4"/>
      <c r="X556" s="4"/>
    </row>
    <row r="557" spans="1:24" ht="12.75" customHeight="1">
      <c r="A557" s="33">
        <v>22110403</v>
      </c>
      <c r="B557" s="23" t="s">
        <v>521</v>
      </c>
      <c r="C557" s="51">
        <v>1601500</v>
      </c>
      <c r="D557" s="4"/>
      <c r="E557" s="4"/>
      <c r="F557" s="4"/>
      <c r="G557" s="4"/>
      <c r="H557" s="4"/>
      <c r="I557" s="4"/>
      <c r="J557" s="4"/>
      <c r="K557" s="4"/>
      <c r="L557" s="4"/>
      <c r="M557" s="4"/>
      <c r="N557" s="4"/>
      <c r="O557" s="4"/>
      <c r="P557" s="4"/>
      <c r="Q557" s="4"/>
      <c r="R557" s="4"/>
      <c r="S557" s="4"/>
      <c r="T557" s="4"/>
      <c r="U557" s="4"/>
      <c r="V557" s="4"/>
      <c r="W557" s="4"/>
      <c r="X557" s="4"/>
    </row>
    <row r="558" spans="1:24" ht="12.75" customHeight="1">
      <c r="A558" s="33">
        <v>22110404</v>
      </c>
      <c r="B558" s="23" t="s">
        <v>512</v>
      </c>
      <c r="C558" s="24">
        <v>830000</v>
      </c>
      <c r="D558" s="4"/>
      <c r="E558" s="4"/>
      <c r="F558" s="4"/>
      <c r="G558" s="4"/>
      <c r="H558" s="4"/>
      <c r="I558" s="4"/>
      <c r="J558" s="4"/>
      <c r="K558" s="4"/>
      <c r="L558" s="4"/>
      <c r="M558" s="4"/>
      <c r="N558" s="4"/>
      <c r="O558" s="4"/>
      <c r="P558" s="4"/>
      <c r="Q558" s="4"/>
      <c r="R558" s="4"/>
      <c r="S558" s="4"/>
      <c r="T558" s="4"/>
      <c r="U558" s="4"/>
      <c r="V558" s="4"/>
      <c r="W558" s="4"/>
      <c r="X558" s="4"/>
    </row>
    <row r="559" spans="1:24" ht="12.75" customHeight="1">
      <c r="A559" s="48">
        <v>221107</v>
      </c>
      <c r="B559" s="26" t="s">
        <v>514</v>
      </c>
      <c r="C559" s="26">
        <f>C560</f>
        <v>1996080.6</v>
      </c>
      <c r="D559" s="4"/>
      <c r="E559" s="4"/>
      <c r="F559" s="4"/>
      <c r="G559" s="4"/>
      <c r="H559" s="4"/>
      <c r="I559" s="4"/>
      <c r="J559" s="4"/>
      <c r="K559" s="4"/>
      <c r="L559" s="4"/>
      <c r="M559" s="4"/>
      <c r="N559" s="4"/>
      <c r="O559" s="4"/>
      <c r="P559" s="4"/>
      <c r="Q559" s="4"/>
      <c r="R559" s="4"/>
      <c r="S559" s="4"/>
      <c r="T559" s="4"/>
      <c r="U559" s="4"/>
      <c r="V559" s="4"/>
      <c r="W559" s="4"/>
      <c r="X559" s="4"/>
    </row>
    <row r="560" spans="1:24" ht="12.75" customHeight="1">
      <c r="A560" s="33">
        <v>22110702</v>
      </c>
      <c r="B560" s="24" t="s">
        <v>515</v>
      </c>
      <c r="C560" s="24">
        <f>50000+1946080.6</f>
        <v>1996080.6</v>
      </c>
      <c r="D560" s="4"/>
      <c r="E560" s="4"/>
      <c r="F560" s="4"/>
      <c r="G560" s="4"/>
      <c r="H560" s="4"/>
      <c r="I560" s="4"/>
      <c r="J560" s="4"/>
      <c r="K560" s="4"/>
      <c r="L560" s="4"/>
      <c r="M560" s="4"/>
      <c r="N560" s="4"/>
      <c r="O560" s="4"/>
      <c r="P560" s="4"/>
      <c r="Q560" s="4"/>
      <c r="R560" s="4"/>
      <c r="S560" s="4"/>
      <c r="T560" s="4"/>
      <c r="U560" s="4"/>
      <c r="V560" s="4"/>
      <c r="W560" s="4"/>
      <c r="X560" s="4"/>
    </row>
    <row r="561" spans="1:24" ht="12.75" customHeight="1">
      <c r="A561" s="34"/>
      <c r="B561" s="4"/>
      <c r="C561" s="3"/>
      <c r="D561" s="4"/>
      <c r="E561" s="4"/>
      <c r="F561" s="4"/>
      <c r="G561" s="4"/>
      <c r="H561" s="4"/>
      <c r="I561" s="4"/>
      <c r="J561" s="4"/>
      <c r="K561" s="4"/>
      <c r="L561" s="4"/>
      <c r="M561" s="4"/>
      <c r="N561" s="4"/>
      <c r="O561" s="4"/>
      <c r="P561" s="4"/>
      <c r="Q561" s="4"/>
      <c r="R561" s="4"/>
      <c r="S561" s="4"/>
      <c r="T561" s="4"/>
      <c r="U561" s="4"/>
      <c r="V561" s="4"/>
      <c r="W561" s="4"/>
      <c r="X561" s="4"/>
    </row>
    <row r="562" spans="1:24" ht="15" customHeight="1" thickBot="1"/>
    <row r="563" spans="1:24" ht="12.75" customHeight="1">
      <c r="A563" s="1334" t="s">
        <v>963</v>
      </c>
      <c r="B563" s="1336"/>
      <c r="C563" s="1161" t="s">
        <v>783</v>
      </c>
      <c r="D563" s="4"/>
      <c r="E563" s="4"/>
      <c r="F563" s="4"/>
      <c r="G563" s="4"/>
      <c r="H563" s="4"/>
      <c r="I563" s="4"/>
      <c r="J563" s="4"/>
      <c r="K563" s="4"/>
      <c r="L563" s="4"/>
      <c r="M563" s="4"/>
      <c r="N563" s="4"/>
      <c r="O563" s="4"/>
      <c r="P563" s="4"/>
      <c r="Q563" s="4"/>
      <c r="R563" s="4"/>
      <c r="S563" s="4"/>
      <c r="T563" s="4"/>
      <c r="U563" s="4"/>
      <c r="V563" s="4"/>
      <c r="W563" s="4"/>
      <c r="X563" s="4"/>
    </row>
    <row r="564" spans="1:24" ht="12.75" customHeight="1" thickBot="1">
      <c r="A564" s="1363"/>
      <c r="B564" s="1304"/>
      <c r="C564" s="1490"/>
      <c r="D564" s="4"/>
      <c r="E564" s="4"/>
      <c r="F564" s="4"/>
      <c r="G564" s="4"/>
      <c r="H564" s="4"/>
      <c r="I564" s="4"/>
      <c r="J564" s="4"/>
      <c r="K564" s="4"/>
      <c r="L564" s="4"/>
      <c r="M564" s="4"/>
      <c r="N564" s="4"/>
      <c r="O564" s="4"/>
      <c r="P564" s="4"/>
      <c r="Q564" s="4"/>
      <c r="R564" s="4"/>
      <c r="S564" s="4"/>
      <c r="T564" s="4"/>
      <c r="U564" s="4"/>
      <c r="V564" s="4"/>
      <c r="W564" s="4"/>
      <c r="X564" s="4"/>
    </row>
    <row r="565" spans="1:24" ht="12.75" customHeight="1">
      <c r="A565" s="1028" t="s">
        <v>675</v>
      </c>
      <c r="B565" s="970"/>
      <c r="C565" s="1189"/>
      <c r="D565" s="4"/>
      <c r="E565" s="4"/>
      <c r="F565" s="4"/>
      <c r="G565" s="4"/>
      <c r="H565" s="4"/>
      <c r="I565" s="4"/>
      <c r="J565" s="4"/>
      <c r="K565" s="4"/>
      <c r="L565" s="4"/>
      <c r="M565" s="4"/>
      <c r="N565" s="4"/>
      <c r="O565" s="4"/>
      <c r="P565" s="4"/>
      <c r="Q565" s="4"/>
      <c r="R565" s="4"/>
      <c r="S565" s="4"/>
      <c r="T565" s="4"/>
      <c r="U565" s="4"/>
      <c r="V565" s="4"/>
      <c r="W565" s="4"/>
      <c r="X565" s="4"/>
    </row>
    <row r="566" spans="1:24" ht="12.75" customHeight="1">
      <c r="A566" s="1097" t="s">
        <v>720</v>
      </c>
      <c r="B566" s="970"/>
      <c r="C566" s="1189"/>
      <c r="D566" s="4"/>
      <c r="E566" s="4"/>
      <c r="F566" s="4"/>
      <c r="G566" s="4"/>
      <c r="H566" s="4"/>
      <c r="I566" s="4"/>
      <c r="J566" s="4"/>
      <c r="K566" s="4"/>
      <c r="L566" s="4"/>
      <c r="M566" s="4"/>
      <c r="N566" s="4"/>
      <c r="O566" s="4"/>
      <c r="P566" s="4"/>
      <c r="Q566" s="4"/>
      <c r="R566" s="4"/>
      <c r="S566" s="4"/>
      <c r="T566" s="4"/>
      <c r="U566" s="4"/>
      <c r="V566" s="4"/>
      <c r="W566" s="4"/>
      <c r="X566" s="4"/>
    </row>
    <row r="567" spans="1:24" ht="12.75" customHeight="1">
      <c r="A567" s="1028" t="s">
        <v>676</v>
      </c>
      <c r="B567" s="970"/>
      <c r="C567" s="1189"/>
      <c r="D567" s="4"/>
      <c r="E567" s="4"/>
      <c r="F567" s="4"/>
      <c r="G567" s="4"/>
      <c r="H567" s="4"/>
      <c r="I567" s="4"/>
      <c r="J567" s="4"/>
      <c r="K567" s="4"/>
      <c r="L567" s="4"/>
      <c r="M567" s="4"/>
      <c r="N567" s="4"/>
      <c r="O567" s="4"/>
      <c r="P567" s="4"/>
      <c r="Q567" s="4"/>
      <c r="R567" s="4"/>
      <c r="S567" s="4"/>
      <c r="T567" s="4"/>
      <c r="U567" s="4"/>
      <c r="V567" s="4"/>
      <c r="W567" s="4"/>
      <c r="X567" s="4"/>
    </row>
    <row r="568" spans="1:24" ht="12.75" customHeight="1" thickBot="1">
      <c r="A568" s="1028" t="s">
        <v>59</v>
      </c>
      <c r="B568" s="970"/>
      <c r="C568" s="1189"/>
      <c r="D568" s="4"/>
      <c r="E568" s="4"/>
      <c r="F568" s="4"/>
      <c r="G568" s="4"/>
      <c r="H568" s="4"/>
      <c r="I568" s="4"/>
      <c r="J568" s="4"/>
      <c r="K568" s="4"/>
      <c r="L568" s="4"/>
      <c r="M568" s="4"/>
      <c r="N568" s="4"/>
      <c r="O568" s="4"/>
      <c r="P568" s="4"/>
      <c r="Q568" s="4"/>
      <c r="R568" s="4"/>
      <c r="S568" s="4"/>
      <c r="T568" s="4"/>
      <c r="U568" s="4"/>
      <c r="V568" s="4"/>
      <c r="W568" s="4"/>
      <c r="X568" s="4"/>
    </row>
    <row r="569" spans="1:24" ht="12.75" customHeight="1" thickBot="1">
      <c r="A569" s="1171" t="s">
        <v>60</v>
      </c>
      <c r="B569" s="1513"/>
      <c r="C569" s="1512">
        <f>+C571+C592+C605</f>
        <v>6005200</v>
      </c>
      <c r="D569" s="3"/>
      <c r="E569" s="4"/>
      <c r="F569" s="4"/>
      <c r="G569" s="4"/>
      <c r="H569" s="4"/>
      <c r="I569" s="4"/>
      <c r="J569" s="4"/>
      <c r="K569" s="4"/>
      <c r="L569" s="4"/>
      <c r="M569" s="4"/>
      <c r="N569" s="4"/>
      <c r="O569" s="4"/>
      <c r="P569" s="4"/>
      <c r="Q569" s="4"/>
      <c r="R569" s="4"/>
      <c r="S569" s="4"/>
      <c r="T569" s="4"/>
      <c r="U569" s="4"/>
      <c r="V569" s="4"/>
      <c r="W569" s="4"/>
      <c r="X569" s="4"/>
    </row>
    <row r="570" spans="1:24" ht="12.75" customHeight="1" thickBot="1">
      <c r="A570" s="4"/>
      <c r="B570" s="3"/>
      <c r="C570" s="3"/>
      <c r="D570" s="3"/>
      <c r="E570" s="4"/>
      <c r="F570" s="4"/>
      <c r="G570" s="4"/>
      <c r="H570" s="4"/>
      <c r="I570" s="4"/>
      <c r="J570" s="4"/>
      <c r="K570" s="4"/>
      <c r="L570" s="4"/>
      <c r="M570" s="4"/>
      <c r="N570" s="4"/>
      <c r="O570" s="4"/>
      <c r="P570" s="4"/>
      <c r="Q570" s="4"/>
      <c r="R570" s="4"/>
      <c r="S570" s="4"/>
      <c r="T570" s="4"/>
      <c r="U570" s="4"/>
      <c r="V570" s="4"/>
      <c r="W570" s="4"/>
      <c r="X570" s="4"/>
    </row>
    <row r="571" spans="1:24" ht="12.75" customHeight="1" thickBot="1">
      <c r="A571" s="1297" t="s">
        <v>9</v>
      </c>
      <c r="B571" s="1281"/>
      <c r="C571" s="62">
        <f>C572+C574+C576+C587+C578+C584</f>
        <v>1503000</v>
      </c>
      <c r="D571" s="4"/>
      <c r="E571" s="4"/>
      <c r="F571" s="4"/>
      <c r="G571" s="4"/>
      <c r="H571" s="4"/>
      <c r="I571" s="4"/>
      <c r="J571" s="4"/>
      <c r="K571" s="4"/>
      <c r="L571" s="4"/>
      <c r="M571" s="4"/>
      <c r="N571" s="4"/>
      <c r="O571" s="4"/>
      <c r="P571" s="4"/>
      <c r="Q571" s="4"/>
      <c r="R571" s="4"/>
      <c r="S571" s="4"/>
      <c r="T571" s="4"/>
      <c r="U571" s="4"/>
      <c r="V571" s="4"/>
      <c r="W571" s="4"/>
      <c r="X571" s="4"/>
    </row>
    <row r="572" spans="1:24" ht="12.75" customHeight="1">
      <c r="A572" s="48">
        <v>211201</v>
      </c>
      <c r="B572" s="22" t="s">
        <v>459</v>
      </c>
      <c r="C572" s="26">
        <f>C573</f>
        <v>370000</v>
      </c>
      <c r="D572" s="4"/>
      <c r="E572" s="4"/>
      <c r="F572" s="4"/>
      <c r="G572" s="4"/>
      <c r="H572" s="4"/>
      <c r="I572" s="4"/>
      <c r="J572" s="4"/>
      <c r="K572" s="4"/>
      <c r="L572" s="4"/>
      <c r="M572" s="4"/>
      <c r="N572" s="4"/>
      <c r="O572" s="4"/>
      <c r="P572" s="4"/>
      <c r="Q572" s="4"/>
      <c r="R572" s="4"/>
      <c r="S572" s="4"/>
      <c r="T572" s="4"/>
      <c r="U572" s="4"/>
      <c r="V572" s="4"/>
      <c r="W572" s="4"/>
      <c r="X572" s="4"/>
    </row>
    <row r="573" spans="1:24" ht="12.75" customHeight="1">
      <c r="A573" s="33">
        <v>21120101</v>
      </c>
      <c r="B573" s="13" t="s">
        <v>460</v>
      </c>
      <c r="C573" s="24">
        <f>30000+40000+300000</f>
        <v>370000</v>
      </c>
      <c r="D573" s="4"/>
      <c r="E573" s="4"/>
      <c r="F573" s="4"/>
      <c r="G573" s="4"/>
      <c r="H573" s="4"/>
      <c r="I573" s="4"/>
      <c r="J573" s="4"/>
      <c r="K573" s="4"/>
      <c r="L573" s="4"/>
      <c r="M573" s="4"/>
      <c r="N573" s="4"/>
      <c r="O573" s="4"/>
      <c r="P573" s="4"/>
      <c r="Q573" s="4"/>
      <c r="R573" s="4"/>
      <c r="S573" s="4"/>
      <c r="T573" s="4"/>
      <c r="U573" s="4"/>
      <c r="V573" s="4"/>
      <c r="W573" s="4"/>
      <c r="X573" s="4"/>
    </row>
    <row r="574" spans="1:24" ht="12.75" customHeight="1">
      <c r="A574" s="48">
        <v>211203</v>
      </c>
      <c r="B574" s="15" t="s">
        <v>461</v>
      </c>
      <c r="C574" s="26">
        <f>C575</f>
        <v>180000</v>
      </c>
      <c r="D574" s="4"/>
      <c r="E574" s="4"/>
      <c r="F574" s="4"/>
      <c r="G574" s="4"/>
      <c r="H574" s="4"/>
      <c r="I574" s="4"/>
      <c r="J574" s="4"/>
      <c r="K574" s="4"/>
      <c r="L574" s="4"/>
      <c r="M574" s="4"/>
      <c r="N574" s="4"/>
      <c r="O574" s="4"/>
      <c r="P574" s="4"/>
      <c r="Q574" s="4"/>
      <c r="R574" s="4"/>
      <c r="S574" s="4"/>
      <c r="T574" s="4"/>
      <c r="U574" s="4"/>
      <c r="V574" s="4"/>
      <c r="W574" s="4"/>
      <c r="X574" s="4"/>
    </row>
    <row r="575" spans="1:24" ht="12.75" customHeight="1">
      <c r="A575" s="33">
        <v>21120302</v>
      </c>
      <c r="B575" s="13" t="s">
        <v>462</v>
      </c>
      <c r="C575" s="24">
        <f>30000+150000</f>
        <v>180000</v>
      </c>
      <c r="D575" s="4"/>
      <c r="E575" s="4"/>
      <c r="F575" s="4"/>
      <c r="G575" s="4"/>
      <c r="H575" s="4"/>
      <c r="I575" s="4"/>
      <c r="J575" s="4"/>
      <c r="K575" s="4"/>
      <c r="L575" s="4"/>
      <c r="M575" s="4"/>
      <c r="N575" s="4"/>
      <c r="O575" s="4"/>
      <c r="P575" s="4"/>
      <c r="Q575" s="4"/>
      <c r="R575" s="4"/>
      <c r="S575" s="4"/>
      <c r="T575" s="4"/>
      <c r="U575" s="4"/>
      <c r="V575" s="4"/>
      <c r="W575" s="4"/>
      <c r="X575" s="4"/>
    </row>
    <row r="576" spans="1:24" ht="12.75" customHeight="1">
      <c r="A576" s="48">
        <v>211204</v>
      </c>
      <c r="B576" s="15" t="s">
        <v>463</v>
      </c>
      <c r="C576" s="26">
        <f>C577</f>
        <v>456000</v>
      </c>
      <c r="D576" s="4"/>
      <c r="E576" s="4"/>
      <c r="F576" s="4"/>
      <c r="G576" s="4"/>
      <c r="H576" s="4"/>
      <c r="I576" s="4"/>
      <c r="J576" s="4"/>
      <c r="K576" s="4"/>
      <c r="L576" s="4"/>
      <c r="M576" s="4"/>
      <c r="N576" s="4"/>
      <c r="O576" s="4"/>
      <c r="P576" s="4"/>
      <c r="Q576" s="4"/>
      <c r="R576" s="4"/>
      <c r="S576" s="4"/>
      <c r="T576" s="4"/>
      <c r="U576" s="4"/>
      <c r="V576" s="4"/>
      <c r="W576" s="4"/>
      <c r="X576" s="4"/>
    </row>
    <row r="577" spans="1:24" ht="12.75" customHeight="1">
      <c r="A577" s="33">
        <v>21120401</v>
      </c>
      <c r="B577" s="24" t="s">
        <v>464</v>
      </c>
      <c r="C577" s="24">
        <f>150000+106000+200000</f>
        <v>456000</v>
      </c>
      <c r="D577" s="4"/>
      <c r="E577" s="4"/>
      <c r="F577" s="4"/>
      <c r="G577" s="4"/>
      <c r="H577" s="4"/>
      <c r="I577" s="4"/>
      <c r="J577" s="4"/>
      <c r="K577" s="4"/>
      <c r="L577" s="4"/>
      <c r="M577" s="4"/>
      <c r="N577" s="4"/>
      <c r="O577" s="4"/>
      <c r="P577" s="4"/>
      <c r="Q577" s="4"/>
      <c r="R577" s="4"/>
      <c r="S577" s="4"/>
      <c r="T577" s="4"/>
      <c r="U577" s="4"/>
      <c r="V577" s="4"/>
      <c r="W577" s="4"/>
      <c r="X577" s="4"/>
    </row>
    <row r="578" spans="1:24" ht="12.75" customHeight="1">
      <c r="A578" s="48">
        <v>211207</v>
      </c>
      <c r="B578" s="26" t="s">
        <v>467</v>
      </c>
      <c r="C578" s="26">
        <f>SUM(C579:C583)</f>
        <v>235000</v>
      </c>
      <c r="D578" s="4"/>
      <c r="E578" s="4"/>
      <c r="F578" s="4"/>
      <c r="G578" s="4"/>
      <c r="H578" s="4"/>
      <c r="I578" s="4"/>
      <c r="J578" s="4"/>
      <c r="K578" s="4"/>
      <c r="L578" s="4"/>
      <c r="M578" s="4"/>
      <c r="N578" s="4"/>
      <c r="O578" s="4"/>
      <c r="P578" s="4"/>
      <c r="Q578" s="4"/>
      <c r="R578" s="4"/>
      <c r="S578" s="4"/>
      <c r="T578" s="4"/>
      <c r="U578" s="4"/>
      <c r="V578" s="4"/>
      <c r="W578" s="4"/>
      <c r="X578" s="4"/>
    </row>
    <row r="579" spans="1:24" ht="12.75" customHeight="1">
      <c r="A579" s="33">
        <v>21120702</v>
      </c>
      <c r="B579" s="24" t="s">
        <v>468</v>
      </c>
      <c r="C579" s="24">
        <f>25000+40000</f>
        <v>65000</v>
      </c>
      <c r="D579" s="4"/>
      <c r="E579" s="4"/>
      <c r="F579" s="4"/>
      <c r="G579" s="4"/>
      <c r="H579" s="4"/>
      <c r="I579" s="4"/>
      <c r="J579" s="4"/>
      <c r="K579" s="4"/>
      <c r="L579" s="4"/>
      <c r="M579" s="4"/>
      <c r="N579" s="4"/>
      <c r="O579" s="4"/>
      <c r="P579" s="4"/>
      <c r="Q579" s="4"/>
      <c r="R579" s="4"/>
      <c r="S579" s="4"/>
      <c r="T579" s="4"/>
      <c r="U579" s="4"/>
      <c r="V579" s="4"/>
      <c r="W579" s="4"/>
      <c r="X579" s="4"/>
    </row>
    <row r="580" spans="1:24" ht="12.75" customHeight="1">
      <c r="A580" s="33">
        <v>21120708</v>
      </c>
      <c r="B580" s="13" t="s">
        <v>470</v>
      </c>
      <c r="C580" s="24">
        <v>40000</v>
      </c>
      <c r="D580" s="4"/>
      <c r="E580" s="4"/>
      <c r="F580" s="4"/>
      <c r="G580" s="4"/>
      <c r="H580" s="4"/>
      <c r="I580" s="4"/>
      <c r="J580" s="4"/>
      <c r="K580" s="4"/>
      <c r="L580" s="4"/>
      <c r="M580" s="4"/>
      <c r="N580" s="4"/>
      <c r="O580" s="4"/>
      <c r="P580" s="4"/>
      <c r="Q580" s="4"/>
      <c r="R580" s="4"/>
      <c r="S580" s="4"/>
      <c r="T580" s="4"/>
      <c r="U580" s="4"/>
      <c r="V580" s="4"/>
      <c r="W580" s="4"/>
      <c r="X580" s="4"/>
    </row>
    <row r="581" spans="1:24" ht="12.75" customHeight="1">
      <c r="A581" s="33">
        <v>21120709</v>
      </c>
      <c r="B581" s="24" t="s">
        <v>471</v>
      </c>
      <c r="C581" s="24">
        <v>32000</v>
      </c>
      <c r="D581" s="4"/>
      <c r="E581" s="4"/>
      <c r="F581" s="4"/>
      <c r="G581" s="4"/>
      <c r="H581" s="4"/>
      <c r="I581" s="4"/>
      <c r="J581" s="4"/>
      <c r="K581" s="4"/>
      <c r="L581" s="4"/>
      <c r="M581" s="4"/>
      <c r="N581" s="4"/>
      <c r="O581" s="4"/>
      <c r="P581" s="4"/>
      <c r="Q581" s="4"/>
      <c r="R581" s="4"/>
      <c r="S581" s="4"/>
      <c r="T581" s="4"/>
      <c r="U581" s="4"/>
      <c r="V581" s="4"/>
      <c r="W581" s="4"/>
      <c r="X581" s="4"/>
    </row>
    <row r="582" spans="1:24" ht="12.75" customHeight="1">
      <c r="A582" s="33">
        <v>21120710</v>
      </c>
      <c r="B582" s="24" t="s">
        <v>472</v>
      </c>
      <c r="C582" s="24">
        <v>77000</v>
      </c>
      <c r="D582" s="4"/>
      <c r="E582" s="4"/>
      <c r="F582" s="4"/>
      <c r="G582" s="4"/>
      <c r="H582" s="4"/>
      <c r="I582" s="4"/>
      <c r="J582" s="4"/>
      <c r="K582" s="4"/>
      <c r="L582" s="4"/>
      <c r="M582" s="4"/>
      <c r="N582" s="4"/>
      <c r="O582" s="4"/>
      <c r="P582" s="4"/>
      <c r="Q582" s="4"/>
      <c r="R582" s="4"/>
      <c r="S582" s="4"/>
      <c r="T582" s="4"/>
      <c r="U582" s="4"/>
      <c r="V582" s="4"/>
      <c r="W582" s="4"/>
      <c r="X582" s="4"/>
    </row>
    <row r="583" spans="1:24" ht="12.75" customHeight="1">
      <c r="A583" s="33">
        <v>21120711</v>
      </c>
      <c r="B583" s="24" t="s">
        <v>473</v>
      </c>
      <c r="C583" s="24">
        <v>21000</v>
      </c>
      <c r="E583" s="4"/>
      <c r="F583" s="4"/>
      <c r="G583" s="4"/>
      <c r="H583" s="4"/>
      <c r="I583" s="4"/>
      <c r="J583" s="4"/>
      <c r="K583" s="4"/>
      <c r="L583" s="4"/>
      <c r="M583" s="4"/>
      <c r="N583" s="4"/>
      <c r="O583" s="4"/>
      <c r="P583" s="4"/>
      <c r="Q583" s="4"/>
      <c r="R583" s="4"/>
      <c r="S583" s="4"/>
      <c r="T583" s="4"/>
      <c r="U583" s="4"/>
      <c r="V583" s="4"/>
      <c r="W583" s="4"/>
      <c r="X583" s="4"/>
    </row>
    <row r="584" spans="1:24" ht="12.75" customHeight="1">
      <c r="A584" s="48">
        <v>211208</v>
      </c>
      <c r="B584" s="26" t="s">
        <v>474</v>
      </c>
      <c r="C584" s="26">
        <f>SUM(C585:C586)</f>
        <v>70000</v>
      </c>
      <c r="D584" s="4"/>
      <c r="E584" s="4"/>
      <c r="F584" s="4"/>
      <c r="G584" s="4"/>
      <c r="H584" s="4"/>
      <c r="I584" s="4"/>
      <c r="J584" s="4"/>
      <c r="K584" s="4"/>
      <c r="L584" s="4"/>
      <c r="M584" s="4"/>
      <c r="N584" s="4"/>
      <c r="O584" s="4"/>
      <c r="P584" s="4"/>
      <c r="Q584" s="4"/>
      <c r="R584" s="4"/>
      <c r="S584" s="4"/>
      <c r="T584" s="4"/>
      <c r="U584" s="4"/>
      <c r="V584" s="4"/>
      <c r="W584" s="4"/>
      <c r="X584" s="4"/>
    </row>
    <row r="585" spans="1:24" ht="12.75" customHeight="1">
      <c r="A585" s="33">
        <v>21120801</v>
      </c>
      <c r="B585" s="13" t="s">
        <v>475</v>
      </c>
      <c r="C585" s="24">
        <v>20000</v>
      </c>
      <c r="D585" s="4"/>
      <c r="E585" s="4"/>
      <c r="F585" s="4"/>
      <c r="G585" s="4"/>
      <c r="H585" s="4"/>
      <c r="I585" s="4"/>
      <c r="J585" s="4"/>
      <c r="K585" s="4"/>
      <c r="L585" s="4"/>
      <c r="M585" s="4"/>
      <c r="N585" s="4"/>
      <c r="O585" s="4"/>
      <c r="P585" s="4"/>
      <c r="Q585" s="4"/>
      <c r="R585" s="4"/>
      <c r="S585" s="4"/>
      <c r="T585" s="4"/>
      <c r="U585" s="4"/>
      <c r="V585" s="4"/>
      <c r="W585" s="4"/>
      <c r="X585" s="4"/>
    </row>
    <row r="586" spans="1:24" ht="12.75" customHeight="1">
      <c r="A586" s="33">
        <v>21120805</v>
      </c>
      <c r="B586" s="24" t="s">
        <v>476</v>
      </c>
      <c r="C586" s="14">
        <v>50000</v>
      </c>
      <c r="D586" s="68"/>
      <c r="E586" s="4"/>
      <c r="F586" s="4"/>
      <c r="G586" s="4"/>
      <c r="H586" s="4"/>
      <c r="I586" s="4"/>
      <c r="J586" s="4"/>
      <c r="K586" s="4"/>
      <c r="L586" s="4"/>
      <c r="M586" s="4"/>
      <c r="N586" s="4"/>
      <c r="O586" s="4"/>
      <c r="P586" s="4"/>
      <c r="Q586" s="4"/>
      <c r="R586" s="4"/>
      <c r="S586" s="4"/>
      <c r="T586" s="4"/>
      <c r="U586" s="4"/>
      <c r="V586" s="4"/>
      <c r="W586" s="4"/>
      <c r="X586" s="4"/>
    </row>
    <row r="587" spans="1:24" ht="12.75" customHeight="1">
      <c r="A587" s="48">
        <v>211209</v>
      </c>
      <c r="B587" s="26" t="s">
        <v>477</v>
      </c>
      <c r="C587" s="16">
        <f>SUM(C588:C590)</f>
        <v>192000</v>
      </c>
      <c r="D587" s="45"/>
      <c r="E587" s="4"/>
      <c r="F587" s="4"/>
      <c r="G587" s="4"/>
      <c r="H587" s="4"/>
      <c r="I587" s="4"/>
      <c r="J587" s="4"/>
      <c r="K587" s="4"/>
      <c r="L587" s="4"/>
      <c r="M587" s="4"/>
      <c r="N587" s="4"/>
      <c r="O587" s="4"/>
      <c r="P587" s="4"/>
      <c r="Q587" s="4"/>
      <c r="R587" s="4"/>
      <c r="S587" s="4"/>
      <c r="T587" s="4"/>
      <c r="U587" s="4"/>
      <c r="V587" s="4"/>
      <c r="W587" s="4"/>
      <c r="X587" s="4"/>
    </row>
    <row r="588" spans="1:24" ht="12.75" customHeight="1">
      <c r="A588" s="33">
        <v>21120901</v>
      </c>
      <c r="B588" s="24" t="s">
        <v>478</v>
      </c>
      <c r="C588" s="14">
        <v>23500</v>
      </c>
      <c r="D588" s="45"/>
      <c r="E588" s="4"/>
      <c r="F588" s="4"/>
      <c r="G588" s="4"/>
      <c r="H588" s="4"/>
      <c r="I588" s="4"/>
      <c r="J588" s="4"/>
      <c r="K588" s="4"/>
      <c r="L588" s="4"/>
      <c r="M588" s="4"/>
      <c r="N588" s="4"/>
      <c r="O588" s="4"/>
      <c r="P588" s="4"/>
      <c r="Q588" s="4"/>
      <c r="R588" s="4"/>
      <c r="S588" s="4"/>
      <c r="T588" s="4"/>
      <c r="U588" s="4"/>
      <c r="V588" s="4"/>
      <c r="W588" s="4"/>
      <c r="X588" s="4"/>
    </row>
    <row r="589" spans="1:24" ht="12.75" customHeight="1">
      <c r="A589" s="33">
        <v>21120905</v>
      </c>
      <c r="B589" s="24" t="s">
        <v>525</v>
      </c>
      <c r="C589" s="14">
        <v>70000</v>
      </c>
      <c r="D589" s="45"/>
      <c r="E589" s="4"/>
      <c r="F589" s="4"/>
      <c r="G589" s="4"/>
      <c r="H589" s="4"/>
      <c r="I589" s="4"/>
      <c r="J589" s="4"/>
      <c r="K589" s="4"/>
      <c r="L589" s="4"/>
      <c r="M589" s="4"/>
      <c r="N589" s="4"/>
      <c r="O589" s="4"/>
      <c r="P589" s="4"/>
      <c r="Q589" s="4"/>
      <c r="R589" s="4"/>
      <c r="S589" s="4"/>
      <c r="T589" s="4"/>
      <c r="U589" s="4"/>
      <c r="V589" s="4"/>
      <c r="W589" s="4"/>
      <c r="X589" s="4"/>
    </row>
    <row r="590" spans="1:24" ht="12.75" customHeight="1">
      <c r="A590" s="33">
        <v>21120906</v>
      </c>
      <c r="B590" s="24" t="s">
        <v>479</v>
      </c>
      <c r="C590" s="14">
        <f>60000+38500</f>
        <v>98500</v>
      </c>
      <c r="D590" s="45"/>
      <c r="E590" s="4"/>
      <c r="F590" s="4"/>
      <c r="G590" s="4"/>
      <c r="H590" s="4"/>
      <c r="I590" s="4"/>
      <c r="J590" s="4"/>
      <c r="K590" s="4"/>
      <c r="L590" s="4"/>
      <c r="M590" s="4"/>
      <c r="N590" s="4"/>
      <c r="O590" s="4"/>
      <c r="P590" s="4"/>
      <c r="Q590" s="4"/>
      <c r="R590" s="4"/>
      <c r="S590" s="4"/>
      <c r="T590" s="4"/>
      <c r="U590" s="4"/>
      <c r="V590" s="4"/>
      <c r="W590" s="4"/>
      <c r="X590" s="4"/>
    </row>
    <row r="591" spans="1:24" ht="12.75" customHeight="1" thickBot="1">
      <c r="A591" s="23"/>
      <c r="B591" s="24"/>
      <c r="C591" s="24"/>
      <c r="D591" s="69"/>
      <c r="E591" s="4"/>
      <c r="F591" s="4"/>
      <c r="G591" s="4"/>
      <c r="H591" s="4"/>
      <c r="I591" s="4"/>
      <c r="J591" s="4"/>
      <c r="K591" s="4"/>
      <c r="L591" s="4"/>
      <c r="M591" s="4"/>
      <c r="N591" s="4"/>
      <c r="O591" s="4"/>
      <c r="P591" s="4"/>
      <c r="Q591" s="4"/>
      <c r="R591" s="4"/>
      <c r="S591" s="4"/>
      <c r="T591" s="4"/>
      <c r="U591" s="4"/>
      <c r="V591" s="4"/>
      <c r="W591" s="4"/>
      <c r="X591" s="4"/>
    </row>
    <row r="592" spans="1:24" ht="12.75" customHeight="1" thickBot="1">
      <c r="A592" s="1298" t="s">
        <v>4</v>
      </c>
      <c r="B592" s="1281"/>
      <c r="C592" s="64">
        <f>C593+C595+C598+C600</f>
        <v>1127500</v>
      </c>
      <c r="D592" s="45"/>
      <c r="E592" s="4"/>
      <c r="F592" s="4"/>
      <c r="G592" s="4"/>
      <c r="H592" s="4"/>
      <c r="I592" s="4"/>
      <c r="J592" s="4"/>
      <c r="K592" s="4"/>
      <c r="L592" s="4"/>
      <c r="M592" s="4"/>
      <c r="N592" s="4"/>
      <c r="O592" s="4"/>
      <c r="P592" s="4"/>
      <c r="Q592" s="4"/>
      <c r="R592" s="4"/>
      <c r="S592" s="4"/>
      <c r="T592" s="4"/>
      <c r="U592" s="4"/>
      <c r="V592" s="4"/>
      <c r="W592" s="4"/>
      <c r="X592" s="4"/>
    </row>
    <row r="593" spans="1:24" ht="12.75" customHeight="1">
      <c r="A593" s="48">
        <v>211302</v>
      </c>
      <c r="B593" s="48" t="s">
        <v>481</v>
      </c>
      <c r="C593" s="26">
        <f>C594</f>
        <v>63000</v>
      </c>
      <c r="D593" s="45"/>
      <c r="E593" s="4"/>
      <c r="F593" s="4"/>
      <c r="G593" s="4"/>
      <c r="H593" s="4"/>
      <c r="I593" s="4"/>
      <c r="J593" s="4"/>
      <c r="K593" s="4"/>
      <c r="L593" s="4"/>
      <c r="M593" s="4"/>
      <c r="N593" s="4"/>
      <c r="O593" s="4"/>
      <c r="P593" s="4"/>
      <c r="Q593" s="4"/>
      <c r="R593" s="4"/>
      <c r="S593" s="4"/>
      <c r="T593" s="4"/>
      <c r="U593" s="4"/>
      <c r="V593" s="4"/>
      <c r="W593" s="4"/>
      <c r="X593" s="4"/>
    </row>
    <row r="594" spans="1:24" ht="12.75" customHeight="1">
      <c r="A594" s="33">
        <v>21130204</v>
      </c>
      <c r="B594" s="24" t="s">
        <v>483</v>
      </c>
      <c r="C594" s="24">
        <v>63000</v>
      </c>
      <c r="D594" s="45"/>
      <c r="E594" s="4"/>
      <c r="F594" s="4"/>
      <c r="G594" s="4"/>
      <c r="H594" s="4"/>
      <c r="I594" s="4"/>
      <c r="J594" s="4"/>
      <c r="K594" s="4"/>
      <c r="L594" s="4"/>
      <c r="M594" s="4"/>
      <c r="N594" s="4"/>
      <c r="O594" s="4"/>
      <c r="P594" s="4"/>
      <c r="Q594" s="4"/>
      <c r="R594" s="4"/>
      <c r="S594" s="4"/>
      <c r="T594" s="4"/>
      <c r="U594" s="4"/>
      <c r="V594" s="4"/>
      <c r="W594" s="4"/>
      <c r="X594" s="4"/>
    </row>
    <row r="595" spans="1:24" ht="12.75" customHeight="1">
      <c r="A595" s="22">
        <v>211303</v>
      </c>
      <c r="B595" s="42" t="s">
        <v>484</v>
      </c>
      <c r="C595" s="26">
        <f>SUM(C596:C597)</f>
        <v>54000</v>
      </c>
      <c r="D595" s="45"/>
      <c r="E595" s="4"/>
      <c r="F595" s="4"/>
      <c r="G595" s="4"/>
      <c r="H595" s="4"/>
      <c r="I595" s="4"/>
      <c r="J595" s="4"/>
      <c r="K595" s="4"/>
      <c r="L595" s="4"/>
      <c r="M595" s="4"/>
      <c r="N595" s="4"/>
      <c r="O595" s="4"/>
      <c r="P595" s="4"/>
      <c r="Q595" s="4"/>
      <c r="R595" s="4"/>
      <c r="S595" s="4"/>
      <c r="T595" s="4"/>
      <c r="U595" s="4"/>
      <c r="V595" s="4"/>
      <c r="W595" s="4"/>
      <c r="X595" s="4"/>
    </row>
    <row r="596" spans="1:24" ht="12.75" customHeight="1">
      <c r="A596" s="40">
        <v>21130306</v>
      </c>
      <c r="B596" s="13" t="s">
        <v>487</v>
      </c>
      <c r="C596" s="24">
        <v>20500</v>
      </c>
      <c r="D596" s="45"/>
      <c r="E596" s="4"/>
      <c r="F596" s="4"/>
      <c r="G596" s="4"/>
      <c r="H596" s="4"/>
      <c r="I596" s="4"/>
      <c r="J596" s="4"/>
      <c r="K596" s="4"/>
      <c r="L596" s="4"/>
      <c r="M596" s="4"/>
      <c r="N596" s="4"/>
      <c r="O596" s="4"/>
      <c r="P596" s="4"/>
      <c r="Q596" s="4"/>
      <c r="R596" s="4"/>
      <c r="S596" s="4"/>
      <c r="T596" s="4"/>
      <c r="U596" s="4"/>
      <c r="V596" s="4"/>
      <c r="W596" s="4"/>
      <c r="X596" s="4"/>
    </row>
    <row r="597" spans="1:24" ht="12.75" customHeight="1">
      <c r="A597" s="40">
        <v>21130307</v>
      </c>
      <c r="B597" s="13" t="s">
        <v>488</v>
      </c>
      <c r="C597" s="24">
        <f>21500+12000</f>
        <v>33500</v>
      </c>
      <c r="D597" s="45"/>
      <c r="E597" s="4"/>
      <c r="F597" s="4"/>
      <c r="G597" s="4"/>
      <c r="H597" s="4"/>
      <c r="I597" s="4"/>
      <c r="J597" s="4"/>
      <c r="K597" s="4"/>
      <c r="L597" s="4"/>
      <c r="M597" s="4"/>
      <c r="N597" s="4"/>
      <c r="O597" s="4"/>
      <c r="P597" s="4"/>
      <c r="Q597" s="4"/>
      <c r="R597" s="4"/>
      <c r="S597" s="4"/>
      <c r="T597" s="4"/>
      <c r="U597" s="4"/>
      <c r="V597" s="4"/>
      <c r="W597" s="4"/>
      <c r="X597" s="4"/>
    </row>
    <row r="598" spans="1:24" ht="12.75" customHeight="1">
      <c r="A598" s="22">
        <v>211305</v>
      </c>
      <c r="B598" s="15" t="s">
        <v>489</v>
      </c>
      <c r="C598" s="26">
        <f>C599</f>
        <v>610500</v>
      </c>
      <c r="D598" s="45"/>
      <c r="E598" s="4"/>
      <c r="F598" s="4"/>
      <c r="G598" s="4"/>
      <c r="H598" s="4"/>
      <c r="I598" s="4"/>
      <c r="J598" s="4"/>
      <c r="K598" s="4"/>
      <c r="L598" s="4"/>
      <c r="M598" s="4"/>
      <c r="N598" s="4"/>
      <c r="O598" s="4"/>
      <c r="P598" s="4"/>
      <c r="Q598" s="4"/>
      <c r="R598" s="4"/>
      <c r="S598" s="4"/>
      <c r="T598" s="4"/>
      <c r="U598" s="4"/>
      <c r="V598" s="4"/>
      <c r="W598" s="4"/>
      <c r="X598" s="4"/>
    </row>
    <row r="599" spans="1:24" ht="12.75" customHeight="1">
      <c r="A599" s="33">
        <v>21130502</v>
      </c>
      <c r="B599" s="24" t="s">
        <v>491</v>
      </c>
      <c r="C599" s="24">
        <f>20000+15500+550000+25000</f>
        <v>610500</v>
      </c>
      <c r="D599" s="45"/>
      <c r="E599" s="4"/>
      <c r="F599" s="4"/>
      <c r="G599" s="4"/>
      <c r="H599" s="4"/>
      <c r="I599" s="4"/>
      <c r="J599" s="4"/>
      <c r="K599" s="4"/>
      <c r="L599" s="4"/>
      <c r="M599" s="4"/>
      <c r="N599" s="4"/>
      <c r="O599" s="4"/>
      <c r="P599" s="4"/>
      <c r="Q599" s="4"/>
      <c r="R599" s="4"/>
      <c r="S599" s="4"/>
      <c r="T599" s="4"/>
      <c r="U599" s="4"/>
      <c r="V599" s="4"/>
      <c r="W599" s="4"/>
      <c r="X599" s="4"/>
    </row>
    <row r="600" spans="1:24" ht="12.75" customHeight="1">
      <c r="A600" s="48">
        <v>211309</v>
      </c>
      <c r="B600" s="26" t="s">
        <v>496</v>
      </c>
      <c r="C600" s="26">
        <f>SUM(C601:C603)</f>
        <v>400000</v>
      </c>
      <c r="D600" s="45"/>
      <c r="E600" s="4"/>
      <c r="F600" s="4"/>
      <c r="G600" s="4"/>
      <c r="H600" s="4"/>
      <c r="I600" s="4"/>
      <c r="J600" s="4"/>
      <c r="K600" s="4"/>
      <c r="L600" s="4"/>
      <c r="M600" s="4"/>
      <c r="N600" s="4"/>
      <c r="O600" s="4"/>
      <c r="P600" s="4"/>
      <c r="Q600" s="4"/>
      <c r="R600" s="4"/>
      <c r="S600" s="4"/>
      <c r="T600" s="4"/>
      <c r="U600" s="4"/>
      <c r="V600" s="4"/>
      <c r="W600" s="4"/>
      <c r="X600" s="4"/>
    </row>
    <row r="601" spans="1:24" ht="12.75" customHeight="1">
      <c r="A601" s="33">
        <v>21130901</v>
      </c>
      <c r="B601" s="24" t="s">
        <v>497</v>
      </c>
      <c r="C601" s="24">
        <f>35000+15000</f>
        <v>50000</v>
      </c>
      <c r="D601" s="45"/>
      <c r="E601" s="4"/>
      <c r="F601" s="4"/>
      <c r="G601" s="4"/>
      <c r="H601" s="4"/>
      <c r="I601" s="4"/>
      <c r="J601" s="4"/>
      <c r="K601" s="4"/>
      <c r="L601" s="4"/>
      <c r="M601" s="4"/>
      <c r="N601" s="4"/>
      <c r="O601" s="4"/>
      <c r="P601" s="4"/>
      <c r="Q601" s="4"/>
      <c r="R601" s="4"/>
      <c r="S601" s="4"/>
      <c r="T601" s="4"/>
      <c r="U601" s="4"/>
      <c r="V601" s="4"/>
      <c r="W601" s="4"/>
      <c r="X601" s="4"/>
    </row>
    <row r="602" spans="1:24" ht="12.75" customHeight="1">
      <c r="A602" s="33">
        <v>21130903</v>
      </c>
      <c r="B602" s="24" t="s">
        <v>498</v>
      </c>
      <c r="C602" s="24">
        <f>35000+15000</f>
        <v>50000</v>
      </c>
      <c r="D602" s="45"/>
      <c r="E602" s="4"/>
      <c r="F602" s="4"/>
      <c r="G602" s="4"/>
      <c r="H602" s="4"/>
      <c r="I602" s="4"/>
      <c r="J602" s="4"/>
      <c r="K602" s="4"/>
      <c r="L602" s="4"/>
      <c r="M602" s="4"/>
      <c r="N602" s="4"/>
      <c r="O602" s="4"/>
      <c r="P602" s="4"/>
      <c r="Q602" s="4"/>
      <c r="R602" s="4"/>
      <c r="S602" s="4"/>
      <c r="T602" s="4"/>
      <c r="U602" s="4"/>
      <c r="V602" s="4"/>
      <c r="W602" s="4"/>
      <c r="X602" s="4"/>
    </row>
    <row r="603" spans="1:24" ht="12.75" customHeight="1">
      <c r="A603" s="33">
        <v>21130908</v>
      </c>
      <c r="B603" s="24" t="s">
        <v>500</v>
      </c>
      <c r="C603" s="24">
        <f>150000*2</f>
        <v>300000</v>
      </c>
      <c r="D603" s="45"/>
      <c r="E603" s="4"/>
      <c r="F603" s="4"/>
      <c r="G603" s="4"/>
      <c r="H603" s="4"/>
      <c r="I603" s="4"/>
      <c r="J603" s="4"/>
      <c r="K603" s="4"/>
      <c r="L603" s="4"/>
      <c r="M603" s="4"/>
      <c r="N603" s="4"/>
      <c r="O603" s="4"/>
      <c r="P603" s="4"/>
      <c r="Q603" s="4"/>
      <c r="R603" s="4"/>
      <c r="S603" s="4"/>
      <c r="T603" s="4"/>
      <c r="U603" s="4"/>
      <c r="V603" s="4"/>
      <c r="W603" s="4"/>
      <c r="X603" s="4"/>
    </row>
    <row r="604" spans="1:24" ht="12.75" customHeight="1" thickBot="1">
      <c r="A604" s="23"/>
      <c r="B604" s="24"/>
      <c r="C604" s="24"/>
      <c r="D604" s="45"/>
      <c r="E604" s="4"/>
      <c r="F604" s="4"/>
      <c r="G604" s="4"/>
      <c r="H604" s="4"/>
      <c r="I604" s="4"/>
      <c r="J604" s="4"/>
      <c r="K604" s="4"/>
      <c r="L604" s="4"/>
      <c r="M604" s="4"/>
      <c r="N604" s="4"/>
      <c r="O604" s="4"/>
      <c r="P604" s="4"/>
      <c r="Q604" s="4"/>
      <c r="R604" s="4"/>
      <c r="S604" s="4"/>
      <c r="T604" s="4"/>
      <c r="U604" s="4"/>
      <c r="V604" s="4"/>
      <c r="W604" s="4"/>
      <c r="X604" s="4"/>
    </row>
    <row r="605" spans="1:24" ht="12.75" customHeight="1" thickBot="1">
      <c r="A605" s="1299" t="s">
        <v>48</v>
      </c>
      <c r="B605" s="1281"/>
      <c r="C605" s="65">
        <f>+C606+C610</f>
        <v>3374700</v>
      </c>
      <c r="D605" s="45"/>
      <c r="E605" s="4"/>
      <c r="F605" s="4"/>
      <c r="G605" s="4"/>
      <c r="H605" s="4"/>
      <c r="I605" s="4"/>
      <c r="J605" s="4"/>
      <c r="K605" s="4"/>
      <c r="L605" s="4"/>
      <c r="M605" s="4"/>
      <c r="N605" s="4"/>
      <c r="O605" s="4"/>
      <c r="P605" s="4"/>
      <c r="Q605" s="4"/>
      <c r="R605" s="4"/>
      <c r="S605" s="4"/>
      <c r="T605" s="4"/>
      <c r="U605" s="4"/>
      <c r="V605" s="4"/>
      <c r="W605" s="4"/>
      <c r="X605" s="4"/>
    </row>
    <row r="606" spans="1:24" ht="12.75" customHeight="1">
      <c r="A606" s="48">
        <v>221104</v>
      </c>
      <c r="B606" s="22" t="s">
        <v>510</v>
      </c>
      <c r="C606" s="26">
        <f>SUM(C607:C609)</f>
        <v>759700</v>
      </c>
      <c r="D606" s="45"/>
      <c r="E606" s="4"/>
      <c r="F606" s="4"/>
      <c r="G606" s="4"/>
      <c r="H606" s="4"/>
      <c r="I606" s="4"/>
      <c r="J606" s="4"/>
      <c r="K606" s="4"/>
      <c r="L606" s="4"/>
      <c r="M606" s="4"/>
      <c r="N606" s="4"/>
      <c r="O606" s="4"/>
      <c r="P606" s="4"/>
      <c r="Q606" s="4"/>
      <c r="R606" s="4"/>
      <c r="S606" s="4"/>
      <c r="T606" s="4"/>
      <c r="U606" s="4"/>
      <c r="V606" s="4"/>
      <c r="W606" s="4"/>
      <c r="X606" s="4"/>
    </row>
    <row r="607" spans="1:24" ht="12.75" customHeight="1">
      <c r="A607" s="33">
        <v>22110401</v>
      </c>
      <c r="B607" s="24" t="s">
        <v>511</v>
      </c>
      <c r="C607" s="24">
        <v>500000</v>
      </c>
      <c r="D607" s="45"/>
      <c r="E607" s="4"/>
      <c r="F607" s="4"/>
      <c r="G607" s="4"/>
      <c r="H607" s="4"/>
      <c r="I607" s="4"/>
      <c r="J607" s="4"/>
      <c r="K607" s="4"/>
      <c r="L607" s="4"/>
      <c r="M607" s="4"/>
      <c r="N607" s="4"/>
      <c r="O607" s="4"/>
      <c r="P607" s="4"/>
      <c r="Q607" s="4"/>
      <c r="R607" s="4"/>
      <c r="S607" s="4"/>
      <c r="T607" s="4"/>
      <c r="U607" s="4"/>
      <c r="V607" s="4"/>
      <c r="W607" s="4"/>
      <c r="X607" s="4"/>
    </row>
    <row r="608" spans="1:24" ht="12.75" customHeight="1">
      <c r="A608" s="33">
        <v>22110404</v>
      </c>
      <c r="B608" s="24" t="s">
        <v>512</v>
      </c>
      <c r="C608" s="24">
        <v>135700</v>
      </c>
      <c r="D608" s="45"/>
      <c r="E608" s="4"/>
      <c r="F608" s="4"/>
      <c r="G608" s="4"/>
      <c r="H608" s="4"/>
      <c r="I608" s="4"/>
      <c r="J608" s="4"/>
      <c r="K608" s="4"/>
      <c r="L608" s="4"/>
      <c r="M608" s="4"/>
      <c r="N608" s="4"/>
      <c r="O608" s="4"/>
      <c r="P608" s="4"/>
      <c r="Q608" s="4"/>
      <c r="R608" s="4"/>
      <c r="S608" s="4"/>
      <c r="T608" s="4"/>
      <c r="U608" s="4"/>
      <c r="V608" s="4"/>
      <c r="W608" s="4"/>
      <c r="X608" s="4"/>
    </row>
    <row r="609" spans="1:34" ht="12.75" customHeight="1">
      <c r="A609" s="33">
        <v>22110409</v>
      </c>
      <c r="B609" s="24" t="s">
        <v>513</v>
      </c>
      <c r="C609" s="24">
        <v>124000</v>
      </c>
      <c r="D609" s="45"/>
      <c r="E609" s="4"/>
      <c r="F609" s="4"/>
      <c r="G609" s="4"/>
      <c r="H609" s="4"/>
      <c r="I609" s="4"/>
      <c r="J609" s="4"/>
      <c r="K609" s="4"/>
      <c r="L609" s="4"/>
      <c r="M609" s="4"/>
      <c r="N609" s="4"/>
      <c r="O609" s="4"/>
      <c r="P609" s="4"/>
      <c r="Q609" s="4"/>
      <c r="R609" s="4"/>
      <c r="S609" s="4"/>
      <c r="T609" s="4"/>
      <c r="U609" s="4"/>
      <c r="V609" s="4"/>
      <c r="W609" s="4"/>
      <c r="X609" s="4"/>
    </row>
    <row r="610" spans="1:34" ht="12.75" customHeight="1">
      <c r="A610" s="48">
        <v>221107</v>
      </c>
      <c r="B610" s="26" t="s">
        <v>514</v>
      </c>
      <c r="C610" s="26">
        <f>SUM(C611)</f>
        <v>2615000</v>
      </c>
      <c r="D610" s="45"/>
      <c r="E610" s="4"/>
      <c r="F610" s="4"/>
      <c r="G610" s="4"/>
      <c r="H610" s="4"/>
      <c r="I610" s="4"/>
      <c r="J610" s="4"/>
      <c r="K610" s="4"/>
      <c r="L610" s="4"/>
      <c r="M610" s="4"/>
      <c r="N610" s="4"/>
      <c r="O610" s="4"/>
      <c r="P610" s="4"/>
      <c r="Q610" s="4"/>
      <c r="R610" s="4"/>
      <c r="S610" s="4"/>
      <c r="T610" s="4"/>
      <c r="U610" s="4"/>
      <c r="V610" s="4"/>
      <c r="W610" s="4"/>
      <c r="X610" s="4"/>
    </row>
    <row r="611" spans="1:34" ht="12.75" customHeight="1">
      <c r="A611" s="33">
        <v>22110702</v>
      </c>
      <c r="B611" s="24" t="s">
        <v>515</v>
      </c>
      <c r="C611" s="24">
        <f>3045000+70000-500000</f>
        <v>2615000</v>
      </c>
      <c r="D611" s="45"/>
      <c r="E611" s="4"/>
      <c r="F611" s="4"/>
      <c r="G611" s="4"/>
      <c r="H611" s="4"/>
      <c r="I611" s="4"/>
      <c r="J611" s="4"/>
      <c r="K611" s="4"/>
      <c r="L611" s="4"/>
      <c r="M611" s="4"/>
      <c r="N611" s="4"/>
      <c r="O611" s="4"/>
      <c r="P611" s="4"/>
      <c r="Q611" s="4"/>
      <c r="R611" s="4"/>
      <c r="S611" s="4"/>
      <c r="T611" s="4"/>
      <c r="U611" s="4"/>
      <c r="V611" s="4"/>
      <c r="W611" s="4"/>
      <c r="X611" s="4"/>
    </row>
    <row r="612" spans="1:34" ht="15" customHeight="1">
      <c r="A612" s="1050"/>
    </row>
    <row r="613" spans="1:34" ht="13.5" customHeight="1" thickBot="1">
      <c r="A613" s="23"/>
      <c r="B613" s="24"/>
      <c r="C613" s="24"/>
      <c r="D613" s="620"/>
      <c r="E613" s="620"/>
    </row>
    <row r="614" spans="1:34" ht="13.5" customHeight="1">
      <c r="A614" s="1334" t="s">
        <v>87</v>
      </c>
      <c r="B614" s="1352"/>
      <c r="C614" s="1182">
        <v>1413</v>
      </c>
      <c r="D614" s="620"/>
      <c r="E614" s="620"/>
    </row>
    <row r="615" spans="1:34" ht="13.5" customHeight="1" thickBot="1">
      <c r="A615" s="1337"/>
      <c r="B615" s="1353"/>
      <c r="C615" s="1514"/>
      <c r="D615" s="620"/>
      <c r="E615" s="620"/>
    </row>
    <row r="616" spans="1:34" ht="13.5" customHeight="1">
      <c r="A616" s="1028" t="s">
        <v>675</v>
      </c>
      <c r="B616" s="808"/>
      <c r="C616" s="1184"/>
      <c r="D616" s="620"/>
      <c r="E616" s="620"/>
    </row>
    <row r="617" spans="1:34" ht="13.5" customHeight="1">
      <c r="A617" s="1028" t="s">
        <v>77</v>
      </c>
      <c r="B617" s="808"/>
      <c r="C617" s="1184"/>
      <c r="D617" s="619"/>
      <c r="E617" s="619"/>
      <c r="F617" s="110"/>
      <c r="G617" s="111"/>
      <c r="H617" s="111"/>
      <c r="I617" s="111"/>
      <c r="J617" s="112"/>
      <c r="K617" s="112"/>
      <c r="L617" s="112"/>
      <c r="M617" s="112"/>
      <c r="N617" s="112"/>
      <c r="O617" s="112"/>
      <c r="P617" s="112"/>
      <c r="Q617" s="112"/>
      <c r="R617" s="112"/>
      <c r="S617" s="112"/>
      <c r="T617" s="112"/>
      <c r="U617" s="112"/>
      <c r="V617" s="112"/>
      <c r="W617" s="112"/>
      <c r="X617" s="112"/>
      <c r="Y617" s="112"/>
      <c r="Z617" s="112"/>
      <c r="AA617" s="112"/>
      <c r="AB617" s="112"/>
      <c r="AC617" s="112"/>
      <c r="AD617" s="112"/>
      <c r="AE617" s="112"/>
      <c r="AF617" s="112"/>
      <c r="AG617" s="112"/>
      <c r="AH617" s="112"/>
    </row>
    <row r="618" spans="1:34" ht="13.5" customHeight="1">
      <c r="A618" s="1028" t="s">
        <v>676</v>
      </c>
      <c r="B618" s="808"/>
      <c r="C618" s="1184"/>
      <c r="D618" s="619"/>
      <c r="E618" s="619"/>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row>
    <row r="619" spans="1:34" ht="13.5" customHeight="1" thickBot="1">
      <c r="A619" s="1125" t="s">
        <v>59</v>
      </c>
      <c r="B619" s="982"/>
      <c r="C619" s="1185"/>
      <c r="D619" s="619"/>
      <c r="E619" s="619"/>
    </row>
    <row r="620" spans="1:34" ht="13.5" customHeight="1" thickBot="1">
      <c r="A620" s="1171" t="s">
        <v>60</v>
      </c>
      <c r="B620" s="1186"/>
      <c r="C620" s="1173">
        <f>+C622+C651+C664</f>
        <v>23739000</v>
      </c>
      <c r="D620" s="619"/>
      <c r="E620" s="619"/>
    </row>
    <row r="621" spans="1:34" ht="13.5" customHeight="1" thickBot="1">
      <c r="A621" s="23"/>
      <c r="B621" s="23"/>
      <c r="C621" s="24"/>
      <c r="D621" s="619"/>
      <c r="E621" s="619"/>
    </row>
    <row r="622" spans="1:34" ht="13.5" customHeight="1" thickBot="1">
      <c r="A622" s="1297" t="s">
        <v>9</v>
      </c>
      <c r="B622" s="1281"/>
      <c r="C622" s="62">
        <f>+C625+C627+C629+C631+C639+C644+C646+C635+C623</f>
        <v>8671500</v>
      </c>
      <c r="D622" s="619"/>
      <c r="E622" s="619"/>
    </row>
    <row r="623" spans="1:34" ht="13.5" customHeight="1">
      <c r="A623" s="48">
        <v>211201</v>
      </c>
      <c r="B623" s="48" t="s">
        <v>459</v>
      </c>
      <c r="C623" s="49">
        <f>C624</f>
        <v>599500</v>
      </c>
      <c r="D623" s="619"/>
      <c r="E623" s="619"/>
    </row>
    <row r="624" spans="1:34" ht="13.5" customHeight="1">
      <c r="A624" s="33">
        <v>21120101</v>
      </c>
      <c r="B624" s="13" t="s">
        <v>460</v>
      </c>
      <c r="C624" s="24">
        <f>500000+99500</f>
        <v>599500</v>
      </c>
      <c r="D624" s="619"/>
      <c r="E624" s="619"/>
    </row>
    <row r="625" spans="1:34" ht="13.5" customHeight="1">
      <c r="A625" s="48">
        <v>211202</v>
      </c>
      <c r="B625" s="21" t="s">
        <v>529</v>
      </c>
      <c r="C625" s="26">
        <f>C626</f>
        <v>1782000</v>
      </c>
      <c r="D625" s="619"/>
      <c r="E625" s="619"/>
    </row>
    <row r="626" spans="1:34" ht="13.5" customHeight="1">
      <c r="A626" s="33">
        <v>21120203</v>
      </c>
      <c r="B626" s="23" t="s">
        <v>564</v>
      </c>
      <c r="C626" s="24">
        <f>2282000-500000</f>
        <v>1782000</v>
      </c>
      <c r="D626" s="619"/>
      <c r="E626" s="619"/>
    </row>
    <row r="627" spans="1:34" ht="13.5" customHeight="1">
      <c r="A627" s="48">
        <v>211203</v>
      </c>
      <c r="B627" s="21" t="s">
        <v>461</v>
      </c>
      <c r="C627" s="49">
        <f>C628</f>
        <v>25000</v>
      </c>
      <c r="D627" s="619"/>
      <c r="E627" s="619"/>
    </row>
    <row r="628" spans="1:34" ht="13.5" customHeight="1">
      <c r="A628" s="33">
        <v>21120302</v>
      </c>
      <c r="B628" s="23" t="s">
        <v>462</v>
      </c>
      <c r="C628" s="24">
        <v>25000</v>
      </c>
      <c r="D628" s="619"/>
      <c r="E628" s="619"/>
    </row>
    <row r="629" spans="1:34" ht="13.5" customHeight="1">
      <c r="A629" s="48">
        <v>211204</v>
      </c>
      <c r="B629" s="21" t="s">
        <v>463</v>
      </c>
      <c r="C629" s="49">
        <f>C630</f>
        <v>683000</v>
      </c>
      <c r="D629" s="619"/>
      <c r="E629" s="619"/>
    </row>
    <row r="630" spans="1:34" ht="13.5" customHeight="1">
      <c r="A630" s="33">
        <v>21120401</v>
      </c>
      <c r="B630" s="24" t="s">
        <v>464</v>
      </c>
      <c r="C630" s="24">
        <f>500000+183000</f>
        <v>683000</v>
      </c>
      <c r="D630" s="619"/>
      <c r="E630" s="619"/>
    </row>
    <row r="631" spans="1:34" ht="13.5" customHeight="1">
      <c r="A631" s="48">
        <v>211205</v>
      </c>
      <c r="B631" s="26" t="s">
        <v>465</v>
      </c>
      <c r="C631" s="26">
        <f>+SUM(C632:C634)</f>
        <v>2008000</v>
      </c>
      <c r="D631" s="619"/>
      <c r="E631" s="619"/>
    </row>
    <row r="632" spans="1:34" ht="13.5" customHeight="1">
      <c r="A632" s="33">
        <v>21120501</v>
      </c>
      <c r="B632" s="23" t="s">
        <v>466</v>
      </c>
      <c r="C632" s="24">
        <f>1000000+100000</f>
        <v>1100000</v>
      </c>
      <c r="D632" s="619"/>
      <c r="E632" s="619"/>
    </row>
    <row r="633" spans="1:34" ht="13.5" customHeight="1">
      <c r="A633" s="33">
        <v>21120503</v>
      </c>
      <c r="B633" s="13" t="s">
        <v>572</v>
      </c>
      <c r="C633" s="24">
        <v>560000</v>
      </c>
      <c r="D633" s="619"/>
      <c r="E633" s="619"/>
    </row>
    <row r="634" spans="1:34" ht="13.5" customHeight="1">
      <c r="A634" s="33">
        <v>21120505</v>
      </c>
      <c r="B634" s="23" t="s">
        <v>573</v>
      </c>
      <c r="C634" s="24">
        <v>348000</v>
      </c>
      <c r="D634" s="619"/>
      <c r="E634" s="619"/>
    </row>
    <row r="635" spans="1:34" ht="13.5" customHeight="1">
      <c r="A635" s="48">
        <v>211206</v>
      </c>
      <c r="B635" s="21" t="s">
        <v>565</v>
      </c>
      <c r="C635" s="26">
        <f>+SUM(C636:C638)</f>
        <v>1018500</v>
      </c>
      <c r="D635" s="619"/>
      <c r="E635" s="61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ht="13.5" customHeight="1">
      <c r="A636" s="33">
        <v>21120601</v>
      </c>
      <c r="B636" s="23" t="s">
        <v>574</v>
      </c>
      <c r="C636" s="24">
        <v>700000</v>
      </c>
      <c r="D636" s="619"/>
      <c r="E636" s="619"/>
    </row>
    <row r="637" spans="1:34" ht="13.5" customHeight="1">
      <c r="A637" s="33">
        <v>21120602</v>
      </c>
      <c r="B637" s="23" t="s">
        <v>566</v>
      </c>
      <c r="C637" s="24">
        <v>203500</v>
      </c>
      <c r="D637" s="619"/>
      <c r="E637" s="619"/>
    </row>
    <row r="638" spans="1:34" ht="13.5" customHeight="1">
      <c r="A638" s="33">
        <v>21120604</v>
      </c>
      <c r="B638" s="23" t="s">
        <v>567</v>
      </c>
      <c r="C638" s="24">
        <v>115000</v>
      </c>
      <c r="D638" s="619"/>
      <c r="E638" s="619"/>
    </row>
    <row r="639" spans="1:34" ht="13.5" customHeight="1">
      <c r="A639" s="48">
        <v>211207</v>
      </c>
      <c r="B639" s="603" t="s">
        <v>467</v>
      </c>
      <c r="C639" s="26">
        <f>+SUM(C640:C643)</f>
        <v>1444500</v>
      </c>
      <c r="D639" s="619"/>
      <c r="E639" s="619"/>
    </row>
    <row r="640" spans="1:34" ht="13.5" customHeight="1">
      <c r="A640" s="33">
        <v>21120702</v>
      </c>
      <c r="B640" s="13" t="s">
        <v>468</v>
      </c>
      <c r="C640" s="24">
        <v>50000</v>
      </c>
      <c r="D640" s="619"/>
      <c r="E640" s="619"/>
    </row>
    <row r="641" spans="1:5" ht="13.5" customHeight="1">
      <c r="A641" s="33">
        <v>21120703</v>
      </c>
      <c r="B641" s="23" t="s">
        <v>568</v>
      </c>
      <c r="C641" s="24">
        <v>63500</v>
      </c>
      <c r="D641" s="619"/>
      <c r="E641" s="619"/>
    </row>
    <row r="642" spans="1:5" ht="13.5" customHeight="1">
      <c r="A642" s="33">
        <v>21120704</v>
      </c>
      <c r="B642" s="24" t="s">
        <v>469</v>
      </c>
      <c r="C642" s="24">
        <v>1023000</v>
      </c>
      <c r="D642" s="619"/>
      <c r="E642" s="619"/>
    </row>
    <row r="643" spans="1:5" ht="13.5" customHeight="1">
      <c r="A643" s="33">
        <v>21120708</v>
      </c>
      <c r="B643" s="13" t="s">
        <v>470</v>
      </c>
      <c r="C643" s="24">
        <v>308000</v>
      </c>
      <c r="D643" s="619"/>
      <c r="E643" s="619"/>
    </row>
    <row r="644" spans="1:5" ht="13.5" customHeight="1">
      <c r="A644" s="48">
        <v>211208</v>
      </c>
      <c r="B644" s="21" t="s">
        <v>474</v>
      </c>
      <c r="C644" s="26">
        <f>+SUM(C645:C645)</f>
        <v>580500</v>
      </c>
      <c r="D644" s="619"/>
      <c r="E644" s="619"/>
    </row>
    <row r="645" spans="1:5" ht="13.5" customHeight="1">
      <c r="A645" s="33">
        <v>21120805</v>
      </c>
      <c r="B645" s="24" t="s">
        <v>476</v>
      </c>
      <c r="C645" s="24">
        <v>580500</v>
      </c>
      <c r="D645" s="619"/>
      <c r="E645" s="619"/>
    </row>
    <row r="646" spans="1:5" ht="13.5" customHeight="1">
      <c r="A646" s="48">
        <v>211209</v>
      </c>
      <c r="B646" s="26" t="s">
        <v>477</v>
      </c>
      <c r="C646" s="26">
        <f>+SUM(C647:C649)</f>
        <v>530500</v>
      </c>
      <c r="D646" s="619"/>
      <c r="E646" s="619"/>
    </row>
    <row r="647" spans="1:5" ht="13.5" customHeight="1">
      <c r="A647" s="33">
        <v>21120901</v>
      </c>
      <c r="B647" s="23" t="s">
        <v>478</v>
      </c>
      <c r="C647" s="24">
        <v>246500</v>
      </c>
      <c r="D647" s="619"/>
      <c r="E647" s="619"/>
    </row>
    <row r="648" spans="1:5" ht="13.5" customHeight="1">
      <c r="A648" s="33">
        <v>21120903</v>
      </c>
      <c r="B648" s="8" t="s">
        <v>569</v>
      </c>
      <c r="C648" s="24">
        <v>174000</v>
      </c>
      <c r="D648" s="619"/>
      <c r="E648" s="619"/>
    </row>
    <row r="649" spans="1:5" ht="13.5" customHeight="1">
      <c r="A649" s="33">
        <v>21120906</v>
      </c>
      <c r="B649" s="24" t="s">
        <v>479</v>
      </c>
      <c r="C649" s="24">
        <f>22000+88000</f>
        <v>110000</v>
      </c>
      <c r="D649" s="619"/>
      <c r="E649" s="619"/>
    </row>
    <row r="650" spans="1:5" ht="13.5" customHeight="1" thickBot="1">
      <c r="A650" s="23"/>
      <c r="B650" s="24"/>
      <c r="C650" s="24"/>
      <c r="D650" s="619"/>
      <c r="E650" s="619"/>
    </row>
    <row r="651" spans="1:5" ht="13.5" customHeight="1" thickBot="1">
      <c r="A651" s="1298" t="s">
        <v>4</v>
      </c>
      <c r="B651" s="1281"/>
      <c r="C651" s="64">
        <f>+C652+C656+C659</f>
        <v>14577500</v>
      </c>
      <c r="D651" s="619"/>
      <c r="E651" s="619"/>
    </row>
    <row r="652" spans="1:5" ht="13.5" customHeight="1">
      <c r="A652" s="48">
        <v>211303</v>
      </c>
      <c r="B652" s="21" t="s">
        <v>484</v>
      </c>
      <c r="C652" s="26">
        <f>SUM(C653:C655)</f>
        <v>1089500</v>
      </c>
      <c r="D652" s="619"/>
      <c r="E652" s="619"/>
    </row>
    <row r="653" spans="1:5" ht="13.5" customHeight="1">
      <c r="A653" s="33">
        <v>21130303</v>
      </c>
      <c r="B653" s="23" t="s">
        <v>570</v>
      </c>
      <c r="C653" s="24">
        <f>250000+60000</f>
        <v>310000</v>
      </c>
      <c r="D653" s="619"/>
      <c r="E653" s="619"/>
    </row>
    <row r="654" spans="1:5" ht="13.5" customHeight="1">
      <c r="A654" s="33">
        <v>21130304</v>
      </c>
      <c r="B654" s="23" t="s">
        <v>486</v>
      </c>
      <c r="C654" s="24">
        <v>464000</v>
      </c>
      <c r="D654" s="619"/>
      <c r="E654" s="619"/>
    </row>
    <row r="655" spans="1:5" ht="13.5" customHeight="1">
      <c r="A655" s="33">
        <v>21130307</v>
      </c>
      <c r="B655" s="23" t="s">
        <v>488</v>
      </c>
      <c r="C655" s="24">
        <v>315500</v>
      </c>
      <c r="D655" s="619"/>
      <c r="E655" s="619"/>
    </row>
    <row r="656" spans="1:5" ht="13.5" customHeight="1">
      <c r="A656" s="48">
        <v>211305</v>
      </c>
      <c r="B656" s="21" t="s">
        <v>489</v>
      </c>
      <c r="C656" s="26">
        <f>SUM(C657:C658)</f>
        <v>1325000</v>
      </c>
      <c r="D656" s="619"/>
      <c r="E656" s="619"/>
    </row>
    <row r="657" spans="1:34" ht="13.5" customHeight="1">
      <c r="A657" s="33">
        <v>21130501</v>
      </c>
      <c r="B657" s="13" t="s">
        <v>490</v>
      </c>
      <c r="C657" s="24">
        <v>115000</v>
      </c>
      <c r="D657" s="619"/>
      <c r="E657" s="619"/>
    </row>
    <row r="658" spans="1:34" ht="13.5" customHeight="1">
      <c r="A658" s="33">
        <v>21130502</v>
      </c>
      <c r="B658" s="24" t="s">
        <v>491</v>
      </c>
      <c r="C658" s="24">
        <v>1210000</v>
      </c>
      <c r="D658" s="619"/>
      <c r="E658" s="619"/>
    </row>
    <row r="659" spans="1:34" ht="13.5" customHeight="1">
      <c r="A659" s="48">
        <v>211309</v>
      </c>
      <c r="B659" s="26" t="s">
        <v>496</v>
      </c>
      <c r="C659" s="26">
        <f>+SUM(C660:C662)</f>
        <v>12163000</v>
      </c>
      <c r="D659" s="619"/>
      <c r="E659" s="619"/>
    </row>
    <row r="660" spans="1:34" ht="13.5" customHeight="1">
      <c r="A660" s="33">
        <v>21130901</v>
      </c>
      <c r="B660" s="24" t="s">
        <v>497</v>
      </c>
      <c r="C660" s="24">
        <f>10000000+1624000</f>
        <v>11624000</v>
      </c>
      <c r="D660" s="619"/>
      <c r="E660" s="619"/>
    </row>
    <row r="661" spans="1:34" ht="13.5" customHeight="1">
      <c r="A661" s="33">
        <v>21130903</v>
      </c>
      <c r="B661" s="24" t="s">
        <v>498</v>
      </c>
      <c r="C661" s="24">
        <v>32000</v>
      </c>
      <c r="D661" s="619"/>
      <c r="E661" s="61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ht="13.5" customHeight="1">
      <c r="A662" s="33">
        <v>21130908</v>
      </c>
      <c r="B662" s="24" t="s">
        <v>500</v>
      </c>
      <c r="C662" s="24">
        <f>250000+257000</f>
        <v>507000</v>
      </c>
      <c r="D662" s="619"/>
      <c r="E662" s="619"/>
    </row>
    <row r="663" spans="1:34" ht="13.5" customHeight="1" thickBot="1">
      <c r="A663" s="23"/>
      <c r="B663" s="23"/>
      <c r="C663" s="24"/>
      <c r="D663" s="619"/>
      <c r="E663" s="619"/>
    </row>
    <row r="664" spans="1:34" ht="13.5" customHeight="1" thickBot="1">
      <c r="A664" s="1299" t="s">
        <v>48</v>
      </c>
      <c r="B664" s="1281"/>
      <c r="C664" s="65">
        <f>C665+C667+C669</f>
        <v>490000</v>
      </c>
      <c r="D664" s="619"/>
      <c r="E664" s="619"/>
    </row>
    <row r="665" spans="1:34" ht="13.5" customHeight="1">
      <c r="A665" s="48">
        <v>221102</v>
      </c>
      <c r="B665" s="827" t="s">
        <v>543</v>
      </c>
      <c r="C665" s="49">
        <f>C666</f>
        <v>350000</v>
      </c>
      <c r="D665" s="619"/>
      <c r="E665" s="619"/>
    </row>
    <row r="666" spans="1:34" ht="13.5" customHeight="1">
      <c r="A666" s="33">
        <v>22110201</v>
      </c>
      <c r="B666" s="23" t="s">
        <v>571</v>
      </c>
      <c r="C666" s="24">
        <v>350000</v>
      </c>
      <c r="D666" s="619"/>
      <c r="E666" s="619"/>
    </row>
    <row r="667" spans="1:34" ht="13.5" customHeight="1">
      <c r="A667" s="48">
        <v>221104</v>
      </c>
      <c r="B667" s="48" t="s">
        <v>510</v>
      </c>
      <c r="C667" s="26">
        <f>C668</f>
        <v>60000</v>
      </c>
      <c r="D667" s="619"/>
      <c r="E667" s="61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ht="13.5" customHeight="1">
      <c r="A668" s="33">
        <v>22110401</v>
      </c>
      <c r="B668" s="24" t="s">
        <v>511</v>
      </c>
      <c r="C668" s="24">
        <v>60000</v>
      </c>
      <c r="D668" s="619"/>
      <c r="E668" s="61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ht="13.5" customHeight="1">
      <c r="A669" s="48">
        <v>221107</v>
      </c>
      <c r="B669" s="26" t="s">
        <v>514</v>
      </c>
      <c r="C669" s="26">
        <f>C670</f>
        <v>80000</v>
      </c>
      <c r="D669" s="619"/>
      <c r="E669" s="61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ht="13.5" customHeight="1">
      <c r="A670" s="33">
        <v>22110702</v>
      </c>
      <c r="B670" s="24" t="s">
        <v>515</v>
      </c>
      <c r="C670" s="24">
        <v>80000</v>
      </c>
      <c r="D670" s="619"/>
      <c r="E670" s="61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ht="13.5" customHeight="1">
      <c r="D671" s="619"/>
      <c r="E671" s="61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ht="13.5" customHeight="1" thickBot="1">
      <c r="A672" s="100"/>
      <c r="B672" s="77"/>
      <c r="C672" s="224"/>
      <c r="D672" s="233"/>
      <c r="E672" s="201"/>
      <c r="F672" s="100"/>
      <c r="G672" s="100"/>
      <c r="H672" s="100"/>
      <c r="I672" s="100"/>
      <c r="J672" s="100"/>
      <c r="K672" s="100"/>
      <c r="L672" s="100"/>
      <c r="M672" s="100"/>
      <c r="N672" s="100"/>
      <c r="O672" s="100"/>
      <c r="P672" s="100"/>
      <c r="Q672" s="100"/>
      <c r="R672" s="100"/>
      <c r="S672" s="100"/>
      <c r="T672" s="100"/>
      <c r="U672" s="100"/>
      <c r="V672" s="100"/>
      <c r="W672" s="100"/>
    </row>
    <row r="673" spans="1:24" ht="12.75" customHeight="1">
      <c r="A673" s="1334" t="s">
        <v>893</v>
      </c>
      <c r="B673" s="1336"/>
      <c r="C673" s="1161" t="s">
        <v>784</v>
      </c>
      <c r="D673" s="28"/>
      <c r="E673" s="8"/>
      <c r="F673" s="8"/>
      <c r="G673" s="8"/>
      <c r="H673" s="4"/>
      <c r="I673" s="4"/>
      <c r="J673" s="4"/>
      <c r="K673" s="4"/>
      <c r="L673" s="4"/>
      <c r="M673" s="4"/>
      <c r="N673" s="4"/>
      <c r="O673" s="4"/>
      <c r="P673" s="4"/>
      <c r="Q673" s="4"/>
      <c r="R673" s="4"/>
      <c r="S673" s="4"/>
      <c r="T673" s="4"/>
      <c r="U673" s="4"/>
      <c r="V673" s="4"/>
      <c r="W673" s="4"/>
      <c r="X673" s="4"/>
    </row>
    <row r="674" spans="1:24" ht="12.75" customHeight="1" thickBot="1">
      <c r="A674" s="1363"/>
      <c r="B674" s="1304"/>
      <c r="C674" s="1490"/>
      <c r="D674" s="40"/>
      <c r="E674" s="8"/>
      <c r="F674" s="8"/>
      <c r="G674" s="8"/>
      <c r="H674" s="4"/>
      <c r="I674" s="4"/>
      <c r="J674" s="4"/>
      <c r="K674" s="4"/>
      <c r="L674" s="4"/>
      <c r="M674" s="4"/>
      <c r="N674" s="4"/>
      <c r="O674" s="4"/>
      <c r="P674" s="4"/>
      <c r="Q674" s="4"/>
      <c r="R674" s="4"/>
      <c r="S674" s="4"/>
      <c r="T674" s="4"/>
      <c r="U674" s="4"/>
      <c r="V674" s="4"/>
      <c r="W674" s="4"/>
      <c r="X674" s="4"/>
    </row>
    <row r="675" spans="1:24" ht="12.75" customHeight="1">
      <c r="A675" s="1094" t="s">
        <v>675</v>
      </c>
      <c r="B675" s="1095"/>
      <c r="C675" s="1096"/>
      <c r="D675" s="40"/>
      <c r="E675" s="13"/>
      <c r="F675" s="13"/>
      <c r="G675" s="13"/>
      <c r="H675" s="4"/>
      <c r="I675" s="4"/>
      <c r="J675" s="4"/>
      <c r="K675" s="4"/>
      <c r="L675" s="4"/>
      <c r="M675" s="4"/>
      <c r="N675" s="4"/>
      <c r="O675" s="4"/>
      <c r="P675" s="4"/>
      <c r="Q675" s="4"/>
      <c r="R675" s="4"/>
      <c r="S675" s="4"/>
      <c r="T675" s="4"/>
      <c r="U675" s="4"/>
      <c r="V675" s="4"/>
      <c r="W675" s="4"/>
      <c r="X675" s="4"/>
    </row>
    <row r="676" spans="1:24" ht="12.75" customHeight="1">
      <c r="A676" s="1097" t="s">
        <v>451</v>
      </c>
      <c r="B676" s="986"/>
      <c r="C676" s="1098"/>
      <c r="D676" s="40"/>
      <c r="E676" s="13"/>
      <c r="F676" s="13"/>
      <c r="G676" s="13"/>
      <c r="H676" s="4"/>
      <c r="I676" s="4"/>
      <c r="J676" s="4"/>
      <c r="K676" s="4"/>
      <c r="L676" s="4"/>
      <c r="M676" s="4"/>
      <c r="N676" s="4"/>
      <c r="O676" s="4"/>
      <c r="P676" s="4"/>
      <c r="Q676" s="4"/>
      <c r="R676" s="4"/>
      <c r="S676" s="4"/>
      <c r="T676" s="4"/>
      <c r="U676" s="4"/>
      <c r="V676" s="4"/>
      <c r="W676" s="4"/>
      <c r="X676" s="4"/>
    </row>
    <row r="677" spans="1:24" ht="12.75" customHeight="1">
      <c r="A677" s="1097" t="s">
        <v>676</v>
      </c>
      <c r="B677" s="808"/>
      <c r="C677" s="1184"/>
      <c r="D677" s="45"/>
      <c r="E677" s="67"/>
      <c r="F677" s="67"/>
      <c r="G677" s="67"/>
      <c r="H677" s="67"/>
      <c r="I677" s="67"/>
      <c r="J677" s="35"/>
      <c r="K677" s="35"/>
      <c r="L677" s="35"/>
      <c r="M677" s="35"/>
      <c r="N677" s="35"/>
      <c r="O677" s="35"/>
      <c r="P677" s="35"/>
      <c r="Q677" s="35"/>
      <c r="R677" s="35"/>
      <c r="S677" s="35"/>
      <c r="T677" s="35"/>
      <c r="U677" s="35"/>
      <c r="V677" s="35"/>
      <c r="W677" s="35"/>
      <c r="X677" s="35"/>
    </row>
    <row r="678" spans="1:24" ht="12.75" customHeight="1" thickBot="1">
      <c r="A678" s="1150" t="s">
        <v>0</v>
      </c>
      <c r="B678" s="1151"/>
      <c r="C678" s="1099"/>
      <c r="D678" s="40"/>
      <c r="E678" s="13"/>
      <c r="F678" s="13"/>
      <c r="G678" s="13"/>
      <c r="H678" s="4"/>
      <c r="I678" s="4"/>
      <c r="J678" s="4"/>
      <c r="K678" s="4"/>
      <c r="L678" s="4"/>
      <c r="M678" s="4"/>
      <c r="N678" s="4"/>
      <c r="O678" s="4"/>
      <c r="P678" s="4"/>
      <c r="Q678" s="4"/>
      <c r="R678" s="4"/>
      <c r="S678" s="4"/>
      <c r="T678" s="4"/>
      <c r="U678" s="4"/>
      <c r="V678" s="4"/>
      <c r="W678" s="4"/>
      <c r="X678" s="4"/>
    </row>
    <row r="679" spans="1:24" ht="12.75" customHeight="1" thickBot="1">
      <c r="A679" s="1158" t="s">
        <v>1</v>
      </c>
      <c r="B679" s="1159"/>
      <c r="C679" s="1165">
        <f>+C682+C695+C709</f>
        <v>8927500</v>
      </c>
      <c r="D679" s="50"/>
      <c r="E679" s="50"/>
      <c r="F679" s="13"/>
      <c r="G679" s="13"/>
      <c r="H679" s="4"/>
      <c r="I679" s="4"/>
      <c r="J679" s="4"/>
      <c r="K679" s="4"/>
      <c r="L679" s="4"/>
      <c r="M679" s="4"/>
      <c r="N679" s="4"/>
      <c r="O679" s="4"/>
      <c r="P679" s="4"/>
      <c r="Q679" s="4"/>
      <c r="R679" s="4"/>
      <c r="S679" s="4"/>
      <c r="T679" s="4"/>
      <c r="U679" s="4"/>
      <c r="V679" s="4"/>
      <c r="W679" s="4"/>
      <c r="X679" s="4"/>
    </row>
    <row r="680" spans="1:24" ht="12.75" customHeight="1">
      <c r="A680" s="15"/>
      <c r="B680" s="15"/>
      <c r="C680" s="16"/>
      <c r="D680" s="40"/>
      <c r="E680" s="13"/>
      <c r="F680" s="13"/>
      <c r="G680" s="13"/>
      <c r="H680" s="4"/>
      <c r="I680" s="4"/>
      <c r="J680" s="4"/>
      <c r="K680" s="4"/>
      <c r="L680" s="4"/>
      <c r="M680" s="4"/>
      <c r="N680" s="4"/>
      <c r="O680" s="4"/>
      <c r="P680" s="4"/>
      <c r="Q680" s="4"/>
      <c r="R680" s="4"/>
      <c r="S680" s="4"/>
      <c r="T680" s="4"/>
      <c r="U680" s="4"/>
      <c r="V680" s="4"/>
      <c r="W680" s="4"/>
      <c r="X680" s="4"/>
    </row>
    <row r="681" spans="1:24" ht="12.75" customHeight="1" thickBot="1">
      <c r="A681" s="13"/>
      <c r="B681" s="13"/>
      <c r="C681" s="14"/>
      <c r="D681" s="40"/>
      <c r="E681" s="8"/>
      <c r="F681" s="8"/>
      <c r="G681" s="8"/>
      <c r="H681" s="4"/>
      <c r="I681" s="4"/>
      <c r="J681" s="4"/>
      <c r="K681" s="4"/>
      <c r="L681" s="4"/>
      <c r="M681" s="4"/>
      <c r="N681" s="4"/>
      <c r="O681" s="4"/>
      <c r="P681" s="4"/>
      <c r="Q681" s="4"/>
      <c r="R681" s="4"/>
      <c r="S681" s="4"/>
      <c r="T681" s="4"/>
      <c r="U681" s="4"/>
      <c r="V681" s="4"/>
      <c r="W681" s="4"/>
      <c r="X681" s="4"/>
    </row>
    <row r="682" spans="1:24" ht="12.75" customHeight="1" thickBot="1">
      <c r="A682" s="1280" t="s">
        <v>9</v>
      </c>
      <c r="B682" s="1281"/>
      <c r="C682" s="31">
        <f>(C683+C685+C687+C689+C691)</f>
        <v>1927000</v>
      </c>
      <c r="D682" s="40"/>
      <c r="E682" s="8"/>
      <c r="F682" s="8"/>
      <c r="G682" s="8"/>
      <c r="H682" s="4"/>
      <c r="I682" s="4"/>
      <c r="J682" s="4"/>
      <c r="K682" s="4"/>
      <c r="L682" s="4"/>
      <c r="M682" s="4"/>
      <c r="N682" s="4"/>
      <c r="O682" s="4"/>
      <c r="P682" s="4"/>
      <c r="Q682" s="4"/>
      <c r="R682" s="4"/>
      <c r="S682" s="4"/>
      <c r="T682" s="4"/>
      <c r="U682" s="4"/>
      <c r="V682" s="4"/>
      <c r="W682" s="4"/>
      <c r="X682" s="4"/>
    </row>
    <row r="683" spans="1:24" ht="12.75" customHeight="1">
      <c r="A683" s="48">
        <v>211201</v>
      </c>
      <c r="B683" s="48" t="s">
        <v>459</v>
      </c>
      <c r="C683" s="82">
        <f>SUM(C684)</f>
        <v>480000</v>
      </c>
      <c r="D683" s="40"/>
      <c r="E683" s="84"/>
      <c r="F683" s="84"/>
      <c r="G683" s="84"/>
      <c r="H683" s="4"/>
      <c r="I683" s="4"/>
      <c r="J683" s="4"/>
      <c r="K683" s="4"/>
      <c r="L683" s="4"/>
      <c r="M683" s="4"/>
      <c r="N683" s="4"/>
      <c r="O683" s="4"/>
      <c r="P683" s="4"/>
      <c r="Q683" s="4"/>
      <c r="R683" s="4"/>
      <c r="S683" s="4"/>
      <c r="T683" s="4"/>
      <c r="U683" s="4"/>
      <c r="V683" s="4"/>
      <c r="W683" s="4"/>
      <c r="X683" s="4"/>
    </row>
    <row r="684" spans="1:24" ht="12.75" customHeight="1">
      <c r="A684" s="33">
        <v>21120101</v>
      </c>
      <c r="B684" s="13" t="s">
        <v>460</v>
      </c>
      <c r="C684" s="14">
        <v>480000</v>
      </c>
      <c r="D684" s="40"/>
      <c r="E684" s="8"/>
      <c r="F684" s="8"/>
      <c r="G684" s="8"/>
      <c r="H684" s="4"/>
      <c r="I684" s="4"/>
      <c r="J684" s="4"/>
      <c r="K684" s="4"/>
      <c r="L684" s="4"/>
      <c r="M684" s="4"/>
      <c r="N684" s="4"/>
      <c r="O684" s="4"/>
      <c r="P684" s="4"/>
      <c r="Q684" s="4"/>
      <c r="R684" s="4"/>
      <c r="S684" s="4"/>
      <c r="T684" s="4"/>
      <c r="U684" s="4"/>
      <c r="V684" s="4"/>
      <c r="W684" s="4"/>
      <c r="X684" s="4"/>
    </row>
    <row r="685" spans="1:24" ht="12.75" customHeight="1">
      <c r="A685" s="48">
        <v>211203</v>
      </c>
      <c r="B685" s="15" t="s">
        <v>461</v>
      </c>
      <c r="C685" s="16">
        <f>SUM(C686)</f>
        <v>78000</v>
      </c>
      <c r="D685" s="40"/>
      <c r="E685" s="8"/>
      <c r="F685" s="8"/>
      <c r="G685" s="8"/>
      <c r="H685" s="4"/>
      <c r="I685" s="4"/>
      <c r="J685" s="4"/>
      <c r="K685" s="4"/>
      <c r="L685" s="4"/>
      <c r="M685" s="4"/>
      <c r="N685" s="4"/>
      <c r="O685" s="4"/>
      <c r="P685" s="4"/>
      <c r="Q685" s="4"/>
      <c r="R685" s="4"/>
      <c r="S685" s="4"/>
      <c r="T685" s="4"/>
      <c r="U685" s="4"/>
      <c r="V685" s="4"/>
      <c r="W685" s="4"/>
      <c r="X685" s="4"/>
    </row>
    <row r="686" spans="1:24" ht="12.75" customHeight="1">
      <c r="A686" s="33">
        <v>21120302</v>
      </c>
      <c r="B686" s="13" t="s">
        <v>462</v>
      </c>
      <c r="C686" s="24">
        <v>78000</v>
      </c>
      <c r="D686" s="32"/>
      <c r="E686" s="26"/>
      <c r="F686" s="13"/>
      <c r="G686" s="13"/>
      <c r="H686" s="4"/>
      <c r="I686" s="4"/>
      <c r="J686" s="4"/>
      <c r="K686" s="4"/>
      <c r="L686" s="4"/>
      <c r="M686" s="4"/>
      <c r="N686" s="4"/>
      <c r="O686" s="4"/>
      <c r="P686" s="4"/>
      <c r="Q686" s="4"/>
      <c r="R686" s="4"/>
      <c r="S686" s="4"/>
      <c r="T686" s="4"/>
      <c r="U686" s="4"/>
      <c r="V686" s="4"/>
      <c r="W686" s="4"/>
      <c r="X686" s="4"/>
    </row>
    <row r="687" spans="1:24" ht="12.75" customHeight="1">
      <c r="A687" s="48">
        <v>211204</v>
      </c>
      <c r="B687" s="15" t="s">
        <v>463</v>
      </c>
      <c r="C687" s="26">
        <f>SUM(C688)</f>
        <v>590000</v>
      </c>
      <c r="D687" s="32"/>
      <c r="E687" s="26"/>
      <c r="F687" s="13"/>
      <c r="G687" s="13"/>
      <c r="H687" s="4"/>
      <c r="I687" s="4"/>
      <c r="J687" s="4"/>
      <c r="K687" s="4"/>
      <c r="L687" s="4"/>
      <c r="M687" s="4"/>
      <c r="N687" s="4"/>
      <c r="O687" s="4"/>
      <c r="P687" s="4"/>
      <c r="Q687" s="4"/>
      <c r="R687" s="4"/>
      <c r="S687" s="4"/>
      <c r="T687" s="4"/>
      <c r="U687" s="4"/>
      <c r="V687" s="4"/>
      <c r="W687" s="4"/>
      <c r="X687" s="4"/>
    </row>
    <row r="688" spans="1:24" ht="13.5">
      <c r="A688" s="33">
        <v>21120401</v>
      </c>
      <c r="B688" s="13" t="s">
        <v>464</v>
      </c>
      <c r="C688" s="14">
        <v>590000</v>
      </c>
      <c r="D688" s="14"/>
      <c r="E688" s="30"/>
      <c r="F688" s="8"/>
      <c r="G688" s="8"/>
      <c r="H688" s="4"/>
      <c r="I688" s="4"/>
      <c r="J688" s="4"/>
      <c r="K688" s="4"/>
      <c r="L688" s="4"/>
      <c r="M688" s="4"/>
      <c r="N688" s="4"/>
      <c r="O688" s="4"/>
      <c r="P688" s="4"/>
      <c r="Q688" s="4"/>
      <c r="R688" s="4"/>
      <c r="S688" s="4"/>
      <c r="T688" s="4"/>
      <c r="U688" s="4"/>
      <c r="V688" s="4"/>
      <c r="W688" s="4"/>
      <c r="X688" s="4"/>
    </row>
    <row r="689" spans="1:24" ht="12.75" customHeight="1">
      <c r="A689" s="48">
        <v>211208</v>
      </c>
      <c r="B689" s="15" t="s">
        <v>474</v>
      </c>
      <c r="C689" s="16">
        <f>SUM(C690)</f>
        <v>150000</v>
      </c>
      <c r="D689" s="13"/>
      <c r="E689" s="30"/>
      <c r="F689" s="8"/>
      <c r="G689" s="8"/>
      <c r="H689" s="4"/>
      <c r="I689" s="4"/>
      <c r="J689" s="4"/>
      <c r="K689" s="4"/>
      <c r="L689" s="4"/>
      <c r="M689" s="4"/>
      <c r="N689" s="4"/>
      <c r="O689" s="4"/>
      <c r="P689" s="4"/>
      <c r="Q689" s="4"/>
      <c r="R689" s="4"/>
      <c r="S689" s="4"/>
      <c r="T689" s="4"/>
      <c r="U689" s="4"/>
      <c r="V689" s="4"/>
      <c r="W689" s="4"/>
      <c r="X689" s="4"/>
    </row>
    <row r="690" spans="1:24" ht="12.75" customHeight="1">
      <c r="A690" s="33">
        <v>21120805</v>
      </c>
      <c r="B690" s="13" t="s">
        <v>476</v>
      </c>
      <c r="C690" s="14">
        <v>150000</v>
      </c>
      <c r="D690" s="40"/>
      <c r="E690" s="8"/>
      <c r="F690" s="8"/>
      <c r="G690" s="8"/>
      <c r="H690" s="4"/>
      <c r="I690" s="4"/>
      <c r="J690" s="4"/>
      <c r="K690" s="4"/>
      <c r="L690" s="4"/>
      <c r="M690" s="4"/>
      <c r="N690" s="4"/>
      <c r="O690" s="4"/>
      <c r="P690" s="4"/>
      <c r="Q690" s="4"/>
      <c r="R690" s="4"/>
      <c r="S690" s="4"/>
      <c r="T690" s="4"/>
      <c r="U690" s="4"/>
      <c r="V690" s="4"/>
      <c r="W690" s="4"/>
      <c r="X690" s="4"/>
    </row>
    <row r="691" spans="1:24" ht="12.75" customHeight="1">
      <c r="A691" s="48">
        <v>211209</v>
      </c>
      <c r="B691" s="26" t="s">
        <v>477</v>
      </c>
      <c r="C691" s="16">
        <f>SUM(C692:C693)</f>
        <v>629000</v>
      </c>
      <c r="D691" s="40"/>
      <c r="E691" s="8"/>
      <c r="F691" s="8"/>
      <c r="G691" s="8"/>
      <c r="H691" s="4"/>
      <c r="I691" s="4"/>
      <c r="J691" s="4"/>
      <c r="K691" s="4"/>
      <c r="L691" s="4"/>
      <c r="M691" s="4"/>
      <c r="N691" s="4"/>
      <c r="O691" s="4"/>
      <c r="P691" s="4"/>
      <c r="Q691" s="4"/>
      <c r="R691" s="4"/>
      <c r="S691" s="4"/>
      <c r="T691" s="4"/>
      <c r="U691" s="4"/>
      <c r="V691" s="4"/>
      <c r="W691" s="4"/>
      <c r="X691" s="4"/>
    </row>
    <row r="692" spans="1:24" ht="13.5" customHeight="1">
      <c r="A692" s="33">
        <v>21120901</v>
      </c>
      <c r="B692" s="13" t="s">
        <v>478</v>
      </c>
      <c r="C692" s="24">
        <v>239000</v>
      </c>
      <c r="D692" s="33"/>
      <c r="E692" s="27"/>
      <c r="F692" s="13"/>
      <c r="G692" s="13"/>
      <c r="H692" s="13"/>
      <c r="I692" s="13"/>
      <c r="J692" s="13"/>
      <c r="K692" s="13"/>
      <c r="L692" s="13"/>
      <c r="M692" s="13"/>
      <c r="N692" s="13"/>
      <c r="O692" s="13"/>
      <c r="P692" s="13"/>
      <c r="Q692" s="13"/>
      <c r="R692" s="13"/>
      <c r="S692" s="13"/>
      <c r="T692" s="13"/>
      <c r="U692" s="13"/>
      <c r="V692" s="13"/>
      <c r="W692" s="13"/>
      <c r="X692" s="13"/>
    </row>
    <row r="693" spans="1:24" ht="12.75" customHeight="1">
      <c r="A693" s="33">
        <v>21120906</v>
      </c>
      <c r="B693" s="13" t="s">
        <v>479</v>
      </c>
      <c r="C693" s="14">
        <v>390000</v>
      </c>
      <c r="D693" s="40"/>
      <c r="E693" s="8"/>
      <c r="F693" s="8"/>
      <c r="G693" s="8"/>
      <c r="H693" s="4"/>
      <c r="I693" s="4"/>
      <c r="J693" s="4"/>
      <c r="K693" s="4"/>
      <c r="L693" s="4"/>
      <c r="M693" s="4"/>
      <c r="N693" s="4"/>
      <c r="O693" s="4"/>
      <c r="P693" s="4"/>
      <c r="Q693" s="4"/>
      <c r="R693" s="4"/>
      <c r="S693" s="4"/>
      <c r="T693" s="4"/>
      <c r="U693" s="4"/>
      <c r="V693" s="4"/>
      <c r="W693" s="4"/>
      <c r="X693" s="4"/>
    </row>
    <row r="694" spans="1:24" ht="12.75" customHeight="1" thickBot="1">
      <c r="A694" s="23"/>
      <c r="B694" s="13"/>
      <c r="C694" s="14"/>
      <c r="D694" s="40"/>
      <c r="E694" s="8"/>
      <c r="F694" s="8"/>
      <c r="G694" s="8"/>
      <c r="H694" s="4"/>
      <c r="I694" s="4"/>
      <c r="J694" s="4"/>
      <c r="K694" s="4"/>
      <c r="L694" s="4"/>
      <c r="M694" s="4"/>
      <c r="N694" s="4"/>
      <c r="O694" s="4"/>
      <c r="P694" s="4"/>
      <c r="Q694" s="4"/>
      <c r="R694" s="4"/>
      <c r="S694" s="4"/>
      <c r="T694" s="4"/>
      <c r="U694" s="4"/>
      <c r="V694" s="4"/>
      <c r="W694" s="4"/>
      <c r="X694" s="4"/>
    </row>
    <row r="695" spans="1:24" ht="12.75" customHeight="1" thickBot="1">
      <c r="A695" s="1282" t="s">
        <v>4</v>
      </c>
      <c r="B695" s="1281"/>
      <c r="C695" s="41">
        <f>C696+C698+C700+C702+C704</f>
        <v>6716500</v>
      </c>
      <c r="D695" s="40"/>
      <c r="E695" s="8"/>
      <c r="F695" s="8"/>
      <c r="G695" s="8"/>
      <c r="H695" s="4"/>
      <c r="I695" s="4"/>
      <c r="J695" s="4"/>
      <c r="K695" s="4"/>
      <c r="L695" s="4"/>
      <c r="M695" s="4"/>
      <c r="N695" s="4"/>
      <c r="O695" s="4"/>
      <c r="P695" s="4"/>
      <c r="Q695" s="4"/>
      <c r="R695" s="4"/>
      <c r="S695" s="4"/>
      <c r="T695" s="4"/>
      <c r="U695" s="4"/>
      <c r="V695" s="4"/>
      <c r="W695" s="4"/>
      <c r="X695" s="4"/>
    </row>
    <row r="696" spans="1:24" ht="12.75" customHeight="1">
      <c r="A696" s="22">
        <v>211302</v>
      </c>
      <c r="B696" s="48" t="s">
        <v>481</v>
      </c>
      <c r="C696" s="82">
        <f>SUM(C697)</f>
        <v>44000</v>
      </c>
      <c r="D696" s="40"/>
      <c r="E696" s="84"/>
      <c r="F696" s="84"/>
      <c r="G696" s="84"/>
      <c r="H696" s="4"/>
      <c r="I696" s="4"/>
      <c r="J696" s="4"/>
      <c r="K696" s="4"/>
      <c r="L696" s="4"/>
      <c r="M696" s="4"/>
      <c r="N696" s="4"/>
      <c r="O696" s="4"/>
      <c r="P696" s="4"/>
      <c r="Q696" s="4"/>
      <c r="R696" s="4"/>
      <c r="S696" s="4"/>
      <c r="T696" s="4"/>
      <c r="U696" s="4"/>
      <c r="V696" s="4"/>
      <c r="W696" s="4"/>
      <c r="X696" s="4"/>
    </row>
    <row r="697" spans="1:24" ht="12.75" customHeight="1">
      <c r="A697" s="40">
        <v>21130204</v>
      </c>
      <c r="B697" s="13" t="s">
        <v>483</v>
      </c>
      <c r="C697" s="14">
        <v>44000</v>
      </c>
      <c r="D697" s="40"/>
      <c r="E697" s="8"/>
      <c r="F697" s="8"/>
      <c r="G697" s="8"/>
      <c r="H697" s="4"/>
      <c r="I697" s="4"/>
      <c r="J697" s="4"/>
      <c r="K697" s="4"/>
      <c r="L697" s="4"/>
      <c r="M697" s="4"/>
      <c r="N697" s="4"/>
      <c r="O697" s="4"/>
      <c r="P697" s="4"/>
      <c r="Q697" s="4"/>
      <c r="R697" s="4"/>
      <c r="S697" s="4"/>
      <c r="T697" s="4"/>
      <c r="U697" s="4"/>
      <c r="V697" s="4"/>
      <c r="W697" s="4"/>
      <c r="X697" s="4"/>
    </row>
    <row r="698" spans="1:24" ht="12.75" customHeight="1">
      <c r="A698" s="22">
        <v>211303</v>
      </c>
      <c r="B698" s="15" t="s">
        <v>484</v>
      </c>
      <c r="C698" s="26">
        <f>C699</f>
        <v>42000</v>
      </c>
      <c r="D698" s="40"/>
      <c r="E698" s="14"/>
      <c r="F698" s="13"/>
      <c r="G698" s="13"/>
      <c r="H698" s="4"/>
      <c r="I698" s="4"/>
      <c r="J698" s="4"/>
      <c r="K698" s="4"/>
      <c r="L698" s="4"/>
      <c r="M698" s="4"/>
      <c r="N698" s="4"/>
      <c r="O698" s="4"/>
      <c r="P698" s="4"/>
      <c r="Q698" s="4"/>
      <c r="R698" s="4"/>
      <c r="S698" s="4"/>
      <c r="T698" s="4"/>
      <c r="U698" s="4"/>
      <c r="V698" s="4"/>
      <c r="W698" s="4"/>
      <c r="X698" s="4"/>
    </row>
    <row r="699" spans="1:24" ht="12.75" customHeight="1">
      <c r="A699" s="40">
        <v>21130307</v>
      </c>
      <c r="B699" s="13" t="s">
        <v>488</v>
      </c>
      <c r="C699" s="24">
        <v>42000</v>
      </c>
      <c r="D699" s="40"/>
      <c r="E699" s="14"/>
      <c r="F699" s="14"/>
      <c r="G699" s="13"/>
      <c r="H699" s="4"/>
      <c r="I699" s="4"/>
      <c r="J699" s="4"/>
      <c r="K699" s="4"/>
      <c r="L699" s="4"/>
      <c r="M699" s="4"/>
      <c r="N699" s="4"/>
      <c r="O699" s="4"/>
      <c r="P699" s="4"/>
      <c r="Q699" s="4"/>
      <c r="R699" s="4"/>
      <c r="S699" s="4"/>
      <c r="T699" s="4"/>
      <c r="U699" s="4"/>
      <c r="V699" s="4"/>
      <c r="W699" s="4"/>
      <c r="X699" s="4"/>
    </row>
    <row r="700" spans="1:24" ht="12.75" customHeight="1">
      <c r="A700" s="48">
        <v>211305</v>
      </c>
      <c r="B700" s="15" t="s">
        <v>489</v>
      </c>
      <c r="C700" s="16">
        <f>C701</f>
        <v>1528000</v>
      </c>
      <c r="D700" s="40"/>
      <c r="E700" s="8"/>
      <c r="F700" s="8"/>
      <c r="G700" s="8"/>
      <c r="H700" s="4"/>
      <c r="I700" s="4"/>
      <c r="J700" s="4"/>
      <c r="K700" s="4"/>
      <c r="L700" s="4"/>
      <c r="M700" s="4"/>
      <c r="N700" s="4"/>
      <c r="O700" s="4"/>
      <c r="P700" s="4"/>
      <c r="Q700" s="4"/>
      <c r="R700" s="4"/>
      <c r="S700" s="4"/>
      <c r="T700" s="4"/>
      <c r="U700" s="4"/>
      <c r="V700" s="4"/>
      <c r="W700" s="4"/>
      <c r="X700" s="4"/>
    </row>
    <row r="701" spans="1:24" ht="12.75" customHeight="1">
      <c r="A701" s="40">
        <v>21130502</v>
      </c>
      <c r="B701" s="13" t="s">
        <v>491</v>
      </c>
      <c r="C701" s="14">
        <v>1528000</v>
      </c>
      <c r="D701" s="30"/>
      <c r="E701" s="8"/>
      <c r="F701" s="8"/>
      <c r="G701" s="8"/>
      <c r="H701" s="4"/>
      <c r="I701" s="4"/>
      <c r="J701" s="4"/>
      <c r="K701" s="4"/>
      <c r="L701" s="4"/>
      <c r="M701" s="4"/>
      <c r="N701" s="4"/>
      <c r="O701" s="4"/>
      <c r="P701" s="4"/>
      <c r="Q701" s="4"/>
      <c r="R701" s="4"/>
      <c r="S701" s="4"/>
      <c r="T701" s="4"/>
      <c r="U701" s="4"/>
      <c r="V701" s="4"/>
      <c r="W701" s="4"/>
      <c r="X701" s="4"/>
    </row>
    <row r="702" spans="1:24" ht="12.75" customHeight="1">
      <c r="A702" s="48">
        <v>211307</v>
      </c>
      <c r="B702" s="26" t="s">
        <v>494</v>
      </c>
      <c r="C702" s="16">
        <f>C703</f>
        <v>228000</v>
      </c>
      <c r="D702" s="30"/>
      <c r="E702" s="8"/>
      <c r="F702" s="8"/>
      <c r="G702" s="8"/>
      <c r="H702" s="4"/>
      <c r="I702" s="4"/>
      <c r="J702" s="4"/>
      <c r="K702" s="4"/>
      <c r="L702" s="4"/>
      <c r="M702" s="4"/>
      <c r="N702" s="4"/>
      <c r="O702" s="4"/>
      <c r="P702" s="4"/>
      <c r="Q702" s="4"/>
      <c r="R702" s="4"/>
      <c r="S702" s="4"/>
      <c r="T702" s="4"/>
      <c r="U702" s="4"/>
      <c r="V702" s="4"/>
      <c r="W702" s="4"/>
      <c r="X702" s="4"/>
    </row>
    <row r="703" spans="1:24" ht="12.75" customHeight="1">
      <c r="A703" s="33">
        <v>21130701</v>
      </c>
      <c r="B703" s="13" t="s">
        <v>495</v>
      </c>
      <c r="C703" s="14">
        <v>228000</v>
      </c>
      <c r="D703" s="85"/>
      <c r="E703" s="86"/>
      <c r="F703" s="14"/>
      <c r="G703" s="8"/>
      <c r="H703" s="4"/>
      <c r="I703" s="4"/>
      <c r="J703" s="4"/>
      <c r="K703" s="4"/>
      <c r="L703" s="4"/>
      <c r="M703" s="4"/>
      <c r="N703" s="4"/>
      <c r="O703" s="4"/>
      <c r="P703" s="4"/>
      <c r="Q703" s="4"/>
      <c r="R703" s="4"/>
      <c r="S703" s="4"/>
      <c r="T703" s="4"/>
      <c r="U703" s="4"/>
      <c r="V703" s="4"/>
      <c r="W703" s="4"/>
      <c r="X703" s="4"/>
    </row>
    <row r="704" spans="1:24" ht="12.75" customHeight="1">
      <c r="A704" s="48">
        <v>211309</v>
      </c>
      <c r="B704" s="15" t="s">
        <v>496</v>
      </c>
      <c r="C704" s="16">
        <f>+SUM(C705:C707)</f>
        <v>4874500</v>
      </c>
      <c r="D704" s="30"/>
      <c r="E704" s="8"/>
      <c r="F704" s="40"/>
      <c r="G704" s="8"/>
      <c r="H704" s="4"/>
      <c r="I704" s="4"/>
      <c r="J704" s="4"/>
      <c r="K704" s="4"/>
      <c r="L704" s="4"/>
      <c r="M704" s="4"/>
      <c r="N704" s="4"/>
      <c r="O704" s="4"/>
      <c r="P704" s="4"/>
      <c r="Q704" s="4"/>
      <c r="R704" s="4"/>
      <c r="S704" s="4"/>
      <c r="T704" s="4"/>
      <c r="U704" s="4"/>
      <c r="V704" s="4"/>
      <c r="W704" s="4"/>
      <c r="X704" s="4"/>
    </row>
    <row r="705" spans="1:24" ht="12.75" customHeight="1">
      <c r="A705" s="33">
        <v>21130901</v>
      </c>
      <c r="B705" s="13" t="s">
        <v>497</v>
      </c>
      <c r="C705" s="14">
        <v>4034500</v>
      </c>
      <c r="D705" s="8"/>
      <c r="E705" s="8"/>
      <c r="F705" s="8"/>
      <c r="G705" s="8"/>
      <c r="H705" s="4"/>
      <c r="I705" s="4"/>
      <c r="J705" s="4"/>
      <c r="K705" s="4"/>
      <c r="L705" s="4"/>
      <c r="M705" s="4"/>
      <c r="N705" s="4"/>
      <c r="O705" s="4"/>
      <c r="P705" s="4"/>
      <c r="Q705" s="4"/>
      <c r="R705" s="4"/>
      <c r="S705" s="4"/>
      <c r="T705" s="4"/>
      <c r="U705" s="4"/>
      <c r="V705" s="4"/>
      <c r="W705" s="4"/>
      <c r="X705" s="4"/>
    </row>
    <row r="706" spans="1:24" ht="12.75" customHeight="1">
      <c r="A706" s="33">
        <v>21130903</v>
      </c>
      <c r="B706" s="13" t="s">
        <v>498</v>
      </c>
      <c r="C706" s="14">
        <v>35000</v>
      </c>
      <c r="D706" s="40"/>
      <c r="E706" s="30"/>
      <c r="F706" s="8"/>
      <c r="G706" s="8"/>
      <c r="H706" s="4"/>
      <c r="I706" s="4"/>
      <c r="J706" s="4"/>
      <c r="K706" s="4"/>
      <c r="L706" s="4"/>
      <c r="M706" s="4"/>
      <c r="N706" s="4"/>
      <c r="O706" s="4"/>
      <c r="P706" s="4"/>
      <c r="Q706" s="4"/>
      <c r="R706" s="4"/>
      <c r="S706" s="4"/>
      <c r="T706" s="4"/>
      <c r="U706" s="4"/>
      <c r="V706" s="4"/>
      <c r="W706" s="4"/>
      <c r="X706" s="4"/>
    </row>
    <row r="707" spans="1:24" ht="12.75" customHeight="1">
      <c r="A707" s="33">
        <v>21130908</v>
      </c>
      <c r="B707" s="24" t="s">
        <v>500</v>
      </c>
      <c r="C707" s="24">
        <v>805000</v>
      </c>
    </row>
    <row r="708" spans="1:24" ht="12.75" customHeight="1" thickBot="1">
      <c r="A708" s="13"/>
      <c r="B708" s="33"/>
      <c r="C708" s="14"/>
      <c r="D708" s="40"/>
      <c r="E708" s="8"/>
      <c r="F708" s="8"/>
      <c r="G708" s="8"/>
      <c r="H708" s="4"/>
      <c r="I708" s="4"/>
      <c r="J708" s="4"/>
      <c r="K708" s="4"/>
      <c r="L708" s="4"/>
      <c r="M708" s="4"/>
      <c r="N708" s="4"/>
      <c r="O708" s="4"/>
      <c r="P708" s="4"/>
      <c r="Q708" s="4"/>
      <c r="R708" s="4"/>
      <c r="S708" s="4"/>
      <c r="T708" s="4"/>
      <c r="U708" s="4"/>
      <c r="V708" s="4"/>
      <c r="W708" s="4"/>
      <c r="X708" s="4"/>
    </row>
    <row r="709" spans="1:24" ht="12.75" customHeight="1" thickBot="1">
      <c r="A709" s="1283" t="s">
        <v>48</v>
      </c>
      <c r="B709" s="1281"/>
      <c r="C709" s="52">
        <f>(C710+C713)</f>
        <v>284000</v>
      </c>
      <c r="D709" s="40"/>
      <c r="E709" s="8"/>
      <c r="F709" s="8"/>
      <c r="G709" s="8"/>
      <c r="H709" s="4"/>
      <c r="I709" s="4"/>
      <c r="J709" s="4"/>
      <c r="K709" s="4"/>
      <c r="L709" s="4"/>
      <c r="M709" s="4"/>
      <c r="N709" s="4"/>
      <c r="O709" s="4"/>
      <c r="P709" s="4"/>
      <c r="Q709" s="4"/>
      <c r="R709" s="4"/>
      <c r="S709" s="4"/>
      <c r="T709" s="4"/>
      <c r="U709" s="4"/>
      <c r="V709" s="4"/>
      <c r="W709" s="4"/>
      <c r="X709" s="4"/>
    </row>
    <row r="710" spans="1:24" ht="12.75" customHeight="1">
      <c r="A710" s="48">
        <v>221104</v>
      </c>
      <c r="B710" s="827" t="s">
        <v>510</v>
      </c>
      <c r="C710" s="16">
        <f>SUM(C711:C712)</f>
        <v>194000</v>
      </c>
      <c r="D710" s="40"/>
      <c r="E710" s="8"/>
      <c r="F710" s="8"/>
      <c r="G710" s="8"/>
      <c r="H710" s="4"/>
      <c r="I710" s="4"/>
      <c r="J710" s="4"/>
      <c r="K710" s="4"/>
      <c r="L710" s="4"/>
      <c r="M710" s="4"/>
      <c r="N710" s="4"/>
      <c r="O710" s="4"/>
      <c r="P710" s="4"/>
      <c r="Q710" s="4"/>
      <c r="R710" s="4"/>
      <c r="S710" s="4"/>
      <c r="T710" s="4"/>
      <c r="U710" s="4"/>
      <c r="V710" s="4"/>
      <c r="W710" s="4"/>
      <c r="X710" s="4"/>
    </row>
    <row r="711" spans="1:24" ht="12.75" customHeight="1">
      <c r="A711" s="33">
        <v>22110401</v>
      </c>
      <c r="B711" s="13" t="s">
        <v>511</v>
      </c>
      <c r="C711" s="14">
        <v>110000</v>
      </c>
      <c r="D711" s="40"/>
      <c r="E711" s="8"/>
      <c r="F711" s="8"/>
      <c r="G711" s="8"/>
      <c r="H711" s="4"/>
      <c r="I711" s="4"/>
      <c r="J711" s="4"/>
      <c r="K711" s="4"/>
      <c r="L711" s="4"/>
      <c r="M711" s="4"/>
      <c r="N711" s="4"/>
      <c r="O711" s="4"/>
      <c r="P711" s="4"/>
      <c r="Q711" s="4"/>
      <c r="R711" s="4"/>
      <c r="S711" s="4"/>
      <c r="T711" s="4"/>
      <c r="U711" s="4"/>
      <c r="V711" s="4"/>
      <c r="W711" s="4"/>
      <c r="X711" s="4"/>
    </row>
    <row r="712" spans="1:24" ht="13.5" customHeight="1">
      <c r="A712" s="33">
        <v>22110409</v>
      </c>
      <c r="B712" s="24" t="s">
        <v>513</v>
      </c>
      <c r="C712" s="24">
        <v>84000</v>
      </c>
      <c r="D712" s="40"/>
      <c r="E712" s="14"/>
      <c r="F712" s="13"/>
      <c r="G712" s="13"/>
      <c r="H712" s="13"/>
      <c r="I712" s="13"/>
      <c r="J712" s="13"/>
      <c r="K712" s="13"/>
      <c r="L712" s="13"/>
      <c r="M712" s="13"/>
      <c r="N712" s="13"/>
      <c r="O712" s="13"/>
      <c r="P712" s="13"/>
      <c r="Q712" s="13"/>
      <c r="R712" s="13"/>
      <c r="S712" s="13"/>
      <c r="T712" s="13"/>
      <c r="U712" s="13"/>
      <c r="V712" s="13"/>
      <c r="W712" s="13"/>
      <c r="X712" s="13"/>
    </row>
    <row r="713" spans="1:24" ht="12.75" customHeight="1">
      <c r="A713" s="48">
        <v>221107</v>
      </c>
      <c r="B713" s="26" t="s">
        <v>514</v>
      </c>
      <c r="C713" s="16">
        <f>SUM(C714)</f>
        <v>90000</v>
      </c>
      <c r="D713" s="40"/>
      <c r="E713" s="8"/>
      <c r="F713" s="8"/>
      <c r="G713" s="8"/>
      <c r="H713" s="4"/>
      <c r="I713" s="4"/>
      <c r="J713" s="4"/>
      <c r="K713" s="4"/>
      <c r="L713" s="4"/>
      <c r="M713" s="4"/>
      <c r="N713" s="4"/>
      <c r="O713" s="4"/>
      <c r="P713" s="4"/>
      <c r="Q713" s="4"/>
      <c r="R713" s="4"/>
      <c r="S713" s="4"/>
      <c r="T713" s="4"/>
      <c r="U713" s="4"/>
      <c r="V713" s="4"/>
      <c r="W713" s="4"/>
      <c r="X713" s="4"/>
    </row>
    <row r="714" spans="1:24" ht="12.75" customHeight="1">
      <c r="A714" s="33">
        <v>22110702</v>
      </c>
      <c r="B714" s="13" t="s">
        <v>515</v>
      </c>
      <c r="C714" s="14">
        <v>90000</v>
      </c>
      <c r="D714" s="40"/>
      <c r="E714" s="8"/>
      <c r="F714" s="8"/>
      <c r="G714" s="8"/>
      <c r="H714" s="4"/>
      <c r="I714" s="4"/>
      <c r="J714" s="4"/>
      <c r="K714" s="4"/>
      <c r="L714" s="4"/>
      <c r="M714" s="4"/>
      <c r="N714" s="4"/>
      <c r="O714" s="4"/>
      <c r="P714" s="4"/>
      <c r="Q714" s="4"/>
      <c r="R714" s="4"/>
      <c r="S714" s="4"/>
      <c r="T714" s="4"/>
      <c r="U714" s="4"/>
      <c r="V714" s="4"/>
      <c r="W714" s="4"/>
      <c r="X714" s="4"/>
    </row>
  </sheetData>
  <mergeCells count="53">
    <mergeCell ref="A673:B674"/>
    <mergeCell ref="A330:B331"/>
    <mergeCell ref="A387:B388"/>
    <mergeCell ref="A434:B435"/>
    <mergeCell ref="A481:B482"/>
    <mergeCell ref="A563:B564"/>
    <mergeCell ref="A3:B4"/>
    <mergeCell ref="A131:B132"/>
    <mergeCell ref="A159:B159"/>
    <mergeCell ref="A220:B221"/>
    <mergeCell ref="A273:B274"/>
    <mergeCell ref="A664:B664"/>
    <mergeCell ref="A622:B622"/>
    <mergeCell ref="A409:B409"/>
    <mergeCell ref="A605:B605"/>
    <mergeCell ref="A651:B651"/>
    <mergeCell ref="A614:B615"/>
    <mergeCell ref="A321:B321"/>
    <mergeCell ref="A81:B81"/>
    <mergeCell ref="A188:B188"/>
    <mergeCell ref="A211:B211"/>
    <mergeCell ref="A228:B228"/>
    <mergeCell ref="A11:B11"/>
    <mergeCell ref="A34:B34"/>
    <mergeCell ref="A56:B56"/>
    <mergeCell ref="A281:B281"/>
    <mergeCell ref="A300:B300"/>
    <mergeCell ref="A98:B98"/>
    <mergeCell ref="A111:B111"/>
    <mergeCell ref="A124:B124"/>
    <mergeCell ref="A695:B695"/>
    <mergeCell ref="A709:B709"/>
    <mergeCell ref="A682:B682"/>
    <mergeCell ref="A338:B338"/>
    <mergeCell ref="A358:B358"/>
    <mergeCell ref="A376:B376"/>
    <mergeCell ref="A149:B149"/>
    <mergeCell ref="A139:B139"/>
    <mergeCell ref="A442:B442"/>
    <mergeCell ref="A459:B459"/>
    <mergeCell ref="A471:B471"/>
    <mergeCell ref="A248:B248"/>
    <mergeCell ref="A264:B264"/>
    <mergeCell ref="A395:B395"/>
    <mergeCell ref="A429:B429"/>
    <mergeCell ref="A526:B526"/>
    <mergeCell ref="A540:B540"/>
    <mergeCell ref="A554:B554"/>
    <mergeCell ref="A592:B592"/>
    <mergeCell ref="A571:B571"/>
    <mergeCell ref="A489:B489"/>
    <mergeCell ref="A498:B498"/>
    <mergeCell ref="A510:B510"/>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
&amp;R&amp;"Arial Narrow,Negrita"PRESUPUESTO 2024</oddHeader>
    <oddFooter>&amp;R&amp;"Arial Narrow,Normal"&amp;P</oddFooter>
  </headerFooter>
  <rowBreaks count="9" manualBreakCount="9">
    <brk id="55" max="2" man="1"/>
    <brk id="110" max="2" man="1"/>
    <brk id="165" max="2" man="1"/>
    <brk id="219" max="2" man="1"/>
    <brk id="272" max="2" man="1"/>
    <brk id="329" max="2" man="1"/>
    <brk id="386" max="2" man="1"/>
    <brk id="553" max="2" man="1"/>
    <brk id="663" max="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33"/>
  </sheetPr>
  <dimension ref="A1:X1455"/>
  <sheetViews>
    <sheetView topLeftCell="A485" zoomScaleNormal="100" workbookViewId="0">
      <selection activeCell="D494" sqref="D494"/>
    </sheetView>
  </sheetViews>
  <sheetFormatPr baseColWidth="10" defaultColWidth="14.42578125" defaultRowHeight="15" customHeight="1"/>
  <cols>
    <col min="1" max="1" width="10.7109375" customWidth="1"/>
    <col min="2" max="2" width="50.7109375" customWidth="1"/>
    <col min="3" max="3" width="15.7109375" customWidth="1"/>
    <col min="4" max="4" width="22.7109375" customWidth="1"/>
    <col min="5" max="5" width="15.140625" customWidth="1"/>
    <col min="6" max="6" width="16.28515625" bestFit="1" customWidth="1"/>
    <col min="7" max="7" width="14.7109375" bestFit="1" customWidth="1"/>
    <col min="8" max="8" width="17.85546875" customWidth="1"/>
    <col min="9" max="9" width="14.5703125" customWidth="1"/>
    <col min="10" max="10" width="12.140625" customWidth="1"/>
    <col min="11" max="23" width="11.42578125" customWidth="1"/>
    <col min="24" max="24" width="10.7109375" customWidth="1"/>
  </cols>
  <sheetData>
    <row r="1" spans="1:23" ht="15" customHeight="1" thickBot="1">
      <c r="A1" s="1555" t="s">
        <v>977</v>
      </c>
      <c r="B1" s="1556"/>
      <c r="C1" s="1557"/>
    </row>
    <row r="2" spans="1:23" ht="13.5" customHeight="1" thickBot="1">
      <c r="A2" s="100"/>
      <c r="B2" s="100"/>
      <c r="C2" s="72"/>
      <c r="D2" s="200"/>
      <c r="E2" s="201"/>
      <c r="F2" s="100"/>
      <c r="G2" s="100"/>
      <c r="H2" s="100"/>
      <c r="I2" s="100"/>
      <c r="J2" s="100"/>
      <c r="K2" s="100"/>
      <c r="L2" s="100"/>
      <c r="M2" s="100"/>
      <c r="N2" s="100"/>
      <c r="O2" s="100"/>
      <c r="P2" s="100"/>
      <c r="Q2" s="100"/>
      <c r="R2" s="100"/>
      <c r="S2" s="100"/>
      <c r="T2" s="100"/>
      <c r="U2" s="100"/>
      <c r="V2" s="100"/>
      <c r="W2" s="100"/>
    </row>
    <row r="3" spans="1:23" ht="13.5" customHeight="1">
      <c r="A3" s="1340" t="s">
        <v>721</v>
      </c>
      <c r="B3" s="1341"/>
      <c r="C3" s="1232">
        <v>1501</v>
      </c>
      <c r="D3" s="202"/>
      <c r="E3" s="203"/>
      <c r="F3" s="135"/>
      <c r="G3" s="135"/>
      <c r="H3" s="135"/>
      <c r="I3" s="135"/>
      <c r="J3" s="135"/>
      <c r="K3" s="135"/>
      <c r="L3" s="135"/>
      <c r="M3" s="135"/>
      <c r="N3" s="135"/>
      <c r="O3" s="135"/>
      <c r="P3" s="135"/>
      <c r="Q3" s="135"/>
      <c r="R3" s="135"/>
      <c r="S3" s="135"/>
      <c r="T3" s="135"/>
      <c r="U3" s="135"/>
      <c r="V3" s="135"/>
      <c r="W3" s="135"/>
    </row>
    <row r="4" spans="1:23" ht="13.5" customHeight="1" thickBot="1">
      <c r="A4" s="1342"/>
      <c r="B4" s="1343"/>
      <c r="C4" s="1234"/>
      <c r="D4" s="202"/>
      <c r="E4" s="204"/>
      <c r="F4" s="135"/>
      <c r="G4" s="135"/>
      <c r="H4" s="135"/>
      <c r="I4" s="135"/>
      <c r="J4" s="135"/>
      <c r="K4" s="135"/>
      <c r="L4" s="135"/>
      <c r="M4" s="135"/>
      <c r="N4" s="135"/>
      <c r="O4" s="135"/>
      <c r="P4" s="135"/>
      <c r="Q4" s="135"/>
      <c r="R4" s="135"/>
      <c r="S4" s="135"/>
      <c r="T4" s="135"/>
      <c r="U4" s="135"/>
      <c r="V4" s="135"/>
      <c r="W4" s="135"/>
    </row>
    <row r="5" spans="1:23" ht="12.75" customHeight="1">
      <c r="A5" s="608" t="s">
        <v>671</v>
      </c>
      <c r="B5" s="623"/>
      <c r="C5" s="1235"/>
      <c r="D5" s="206"/>
      <c r="E5" s="1005"/>
      <c r="F5" s="606"/>
      <c r="G5" s="612"/>
      <c r="H5" s="612"/>
      <c r="I5" s="612"/>
      <c r="J5" s="612"/>
      <c r="K5" s="612"/>
      <c r="L5" s="612"/>
      <c r="M5" s="612"/>
      <c r="N5" s="612"/>
      <c r="O5" s="612"/>
      <c r="P5" s="100"/>
      <c r="Q5" s="100"/>
      <c r="R5" s="100"/>
      <c r="S5" s="100"/>
      <c r="T5" s="100"/>
      <c r="U5" s="100"/>
      <c r="V5" s="100"/>
      <c r="W5" s="100"/>
    </row>
    <row r="6" spans="1:23" ht="12.75" customHeight="1">
      <c r="A6" s="609" t="s">
        <v>722</v>
      </c>
      <c r="B6" s="612"/>
      <c r="C6" s="626"/>
      <c r="D6" s="206"/>
      <c r="E6" s="1005"/>
      <c r="F6" s="612"/>
      <c r="G6" s="612"/>
      <c r="H6" s="612"/>
      <c r="I6" s="612"/>
      <c r="J6" s="612"/>
      <c r="K6" s="612"/>
      <c r="L6" s="612"/>
      <c r="M6" s="612"/>
      <c r="N6" s="612"/>
      <c r="O6" s="612"/>
      <c r="P6" s="100"/>
      <c r="Q6" s="100"/>
      <c r="R6" s="100"/>
      <c r="S6" s="100"/>
      <c r="T6" s="100"/>
      <c r="U6" s="100"/>
      <c r="V6" s="100"/>
      <c r="W6" s="100"/>
    </row>
    <row r="7" spans="1:23" ht="12.75" customHeight="1">
      <c r="A7" s="609" t="s">
        <v>723</v>
      </c>
      <c r="B7" s="612"/>
      <c r="C7" s="626"/>
      <c r="D7" s="206"/>
      <c r="E7" s="1005"/>
      <c r="F7" s="636"/>
      <c r="G7" s="612"/>
      <c r="H7" s="612"/>
      <c r="I7" s="612"/>
      <c r="J7" s="612"/>
      <c r="K7" s="612"/>
      <c r="L7" s="612"/>
      <c r="M7" s="612"/>
      <c r="N7" s="612"/>
      <c r="O7" s="612"/>
      <c r="P7" s="100"/>
      <c r="Q7" s="100"/>
      <c r="R7" s="100"/>
      <c r="S7" s="100"/>
      <c r="T7" s="100"/>
      <c r="U7" s="100"/>
      <c r="V7" s="100"/>
      <c r="W7" s="100"/>
    </row>
    <row r="8" spans="1:23" ht="12.75" customHeight="1" thickBot="1">
      <c r="A8" s="609" t="s">
        <v>0</v>
      </c>
      <c r="B8" s="612"/>
      <c r="C8" s="626"/>
      <c r="D8" s="206"/>
      <c r="E8" s="1005"/>
      <c r="F8" s="612"/>
      <c r="G8" s="1006"/>
      <c r="H8" s="612"/>
      <c r="I8" s="612"/>
      <c r="J8" s="612"/>
      <c r="K8" s="612"/>
      <c r="L8" s="612"/>
      <c r="M8" s="612"/>
      <c r="N8" s="612"/>
      <c r="O8" s="612"/>
      <c r="P8" s="100"/>
      <c r="Q8" s="100"/>
      <c r="R8" s="100"/>
      <c r="S8" s="100"/>
      <c r="T8" s="100"/>
      <c r="U8" s="100"/>
      <c r="V8" s="100"/>
      <c r="W8" s="100"/>
    </row>
    <row r="9" spans="1:23" ht="13.5" customHeight="1" thickBot="1">
      <c r="A9" s="1572" t="s">
        <v>110</v>
      </c>
      <c r="B9" s="1573"/>
      <c r="C9" s="639">
        <f>C11+C33+C54+C72+C77</f>
        <v>1634785252.9849999</v>
      </c>
      <c r="D9" s="207"/>
      <c r="E9" s="1005"/>
      <c r="F9" s="1007"/>
      <c r="G9" s="1007"/>
      <c r="H9" s="1008"/>
      <c r="I9" s="1008"/>
      <c r="J9" s="1008"/>
      <c r="K9" s="1008"/>
      <c r="L9" s="1008"/>
      <c r="M9" s="1008"/>
      <c r="N9" s="1008"/>
      <c r="O9" s="1008"/>
      <c r="P9" s="75"/>
      <c r="Q9" s="75"/>
      <c r="R9" s="75"/>
      <c r="S9" s="75"/>
      <c r="T9" s="75"/>
      <c r="U9" s="75"/>
      <c r="V9" s="75"/>
      <c r="W9" s="75"/>
    </row>
    <row r="10" spans="1:23" ht="12.75" customHeight="1" thickBot="1">
      <c r="A10" s="208"/>
      <c r="B10" s="100"/>
      <c r="C10" s="72"/>
      <c r="D10" s="206"/>
      <c r="E10" s="995"/>
      <c r="F10" s="995"/>
      <c r="G10" s="995"/>
      <c r="H10" s="995"/>
      <c r="I10" s="995"/>
      <c r="J10" s="995"/>
      <c r="K10" s="995"/>
      <c r="L10" s="995"/>
      <c r="M10" s="995"/>
      <c r="N10" s="995"/>
      <c r="O10" s="612"/>
      <c r="P10" s="100"/>
      <c r="Q10" s="100"/>
      <c r="R10" s="100"/>
      <c r="S10" s="100"/>
      <c r="T10" s="100"/>
      <c r="U10" s="100"/>
      <c r="V10" s="100"/>
      <c r="W10" s="100"/>
    </row>
    <row r="11" spans="1:23" ht="12.75" customHeight="1" thickBot="1">
      <c r="A11" s="1360" t="s">
        <v>2</v>
      </c>
      <c r="B11" s="1281"/>
      <c r="C11" s="209">
        <f>SUM(C12+C19+C26)</f>
        <v>1564532574.0449998</v>
      </c>
      <c r="E11" s="984"/>
      <c r="F11" s="984"/>
      <c r="G11" s="984"/>
      <c r="H11" s="984"/>
      <c r="I11" s="606"/>
      <c r="J11" s="606"/>
      <c r="K11" s="612"/>
      <c r="L11" s="612"/>
      <c r="M11" s="612"/>
      <c r="N11" s="612"/>
      <c r="O11" s="612"/>
      <c r="P11" s="100"/>
      <c r="Q11" s="100"/>
      <c r="R11" s="100"/>
      <c r="S11" s="100"/>
      <c r="T11" s="100"/>
      <c r="U11" s="100"/>
      <c r="V11" s="100"/>
      <c r="W11" s="100"/>
    </row>
    <row r="12" spans="1:23" ht="12.75" customHeight="1">
      <c r="A12" s="48">
        <v>211101</v>
      </c>
      <c r="B12" s="22" t="s">
        <v>667</v>
      </c>
      <c r="C12" s="36">
        <f>SUM(C13:C18)</f>
        <v>627790760.47249997</v>
      </c>
      <c r="D12" s="1618"/>
      <c r="E12" s="1618"/>
      <c r="F12" s="1618"/>
      <c r="G12" s="1618"/>
      <c r="H12" s="1618"/>
      <c r="I12" s="1636"/>
      <c r="J12" s="1004"/>
      <c r="K12" s="1004"/>
      <c r="L12" s="1004"/>
      <c r="M12" s="1004"/>
      <c r="N12" s="1004"/>
      <c r="O12" s="1004"/>
      <c r="P12" s="211"/>
      <c r="Q12" s="211"/>
      <c r="R12" s="211"/>
      <c r="S12" s="211"/>
      <c r="T12" s="211"/>
      <c r="U12" s="211"/>
      <c r="V12" s="211"/>
      <c r="W12" s="211"/>
    </row>
    <row r="13" spans="1:23" ht="12.75" customHeight="1">
      <c r="A13" s="33">
        <v>21110101</v>
      </c>
      <c r="B13" s="24" t="s">
        <v>810</v>
      </c>
      <c r="C13" s="72">
        <f>21184461.19+167599261.1475+0.02+320492514.52</f>
        <v>509276236.8775</v>
      </c>
      <c r="D13" s="1613"/>
      <c r="E13" s="1613"/>
      <c r="F13" s="1613"/>
      <c r="G13" s="1613"/>
      <c r="H13" s="1613"/>
      <c r="I13" s="1637"/>
      <c r="J13" s="211"/>
      <c r="K13" s="211"/>
      <c r="L13" s="211"/>
      <c r="M13" s="211"/>
      <c r="N13" s="211"/>
      <c r="O13" s="211"/>
      <c r="P13" s="211"/>
      <c r="Q13" s="211"/>
      <c r="R13" s="211"/>
      <c r="S13" s="211"/>
      <c r="T13" s="211"/>
      <c r="U13" s="211"/>
      <c r="V13" s="211"/>
      <c r="W13" s="211"/>
    </row>
    <row r="14" spans="1:23" ht="12.75" customHeight="1">
      <c r="A14" s="33">
        <v>21110102</v>
      </c>
      <c r="B14" s="24" t="s">
        <v>811</v>
      </c>
      <c r="C14" s="72">
        <f>6150327.44+27680218.1175+52310242.82</f>
        <v>86140788.377499998</v>
      </c>
      <c r="D14" s="1615"/>
      <c r="E14" s="1615"/>
      <c r="F14" s="1615"/>
      <c r="G14" s="1615"/>
      <c r="H14" s="1615"/>
      <c r="I14" s="1637"/>
      <c r="J14" s="211"/>
      <c r="K14" s="211"/>
      <c r="L14" s="211"/>
      <c r="M14" s="211"/>
      <c r="N14" s="211"/>
      <c r="O14" s="211"/>
      <c r="P14" s="211"/>
      <c r="Q14" s="211"/>
      <c r="R14" s="211"/>
      <c r="S14" s="211"/>
      <c r="T14" s="211"/>
      <c r="U14" s="211"/>
      <c r="V14" s="211"/>
      <c r="W14" s="211"/>
    </row>
    <row r="15" spans="1:23" ht="12.75" customHeight="1">
      <c r="A15" s="33">
        <v>21110103</v>
      </c>
      <c r="B15" s="24" t="s">
        <v>812</v>
      </c>
      <c r="C15" s="72">
        <f>5237027.3475+10031714.87</f>
        <v>15268742.217499999</v>
      </c>
      <c r="D15" s="1615"/>
      <c r="E15" s="1615"/>
      <c r="F15" s="1615"/>
      <c r="G15" s="1615"/>
      <c r="H15" s="1615"/>
      <c r="I15" s="1637"/>
      <c r="J15" s="211"/>
      <c r="K15" s="211"/>
      <c r="L15" s="211"/>
      <c r="M15" s="211"/>
      <c r="N15" s="211"/>
      <c r="O15" s="211"/>
      <c r="P15" s="211"/>
      <c r="Q15" s="211"/>
      <c r="R15" s="211"/>
      <c r="S15" s="211"/>
      <c r="T15" s="211"/>
      <c r="U15" s="211"/>
      <c r="V15" s="211"/>
      <c r="W15" s="211"/>
    </row>
    <row r="16" spans="1:23" ht="12.75" customHeight="1">
      <c r="A16" s="33">
        <v>21110104</v>
      </c>
      <c r="B16" s="24" t="s">
        <v>813</v>
      </c>
      <c r="C16" s="72">
        <v>1</v>
      </c>
      <c r="D16" s="1615"/>
      <c r="E16" s="1615"/>
      <c r="F16" s="1617"/>
      <c r="G16" s="1615"/>
      <c r="H16" s="1615"/>
      <c r="I16" s="1637"/>
      <c r="J16" s="211"/>
      <c r="K16" s="211"/>
      <c r="L16" s="211"/>
      <c r="M16" s="211"/>
      <c r="N16" s="211"/>
      <c r="O16" s="211"/>
      <c r="P16" s="211"/>
      <c r="Q16" s="211"/>
      <c r="R16" s="211"/>
      <c r="S16" s="211"/>
      <c r="T16" s="211"/>
      <c r="U16" s="211"/>
      <c r="V16" s="211"/>
      <c r="W16" s="211"/>
    </row>
    <row r="17" spans="1:23" ht="12.75" customHeight="1">
      <c r="A17" s="33">
        <v>21110105</v>
      </c>
      <c r="B17" s="24" t="s">
        <v>814</v>
      </c>
      <c r="C17" s="72">
        <f>1483362+4491630</f>
        <v>5974992</v>
      </c>
      <c r="D17" s="1619"/>
      <c r="E17" s="1619"/>
      <c r="F17" s="1638"/>
      <c r="G17" s="1621"/>
      <c r="H17" s="1621"/>
      <c r="I17" s="1637"/>
      <c r="J17" s="211"/>
      <c r="K17" s="211"/>
      <c r="L17" s="211"/>
      <c r="M17" s="211"/>
      <c r="N17" s="211"/>
      <c r="O17" s="211"/>
      <c r="P17" s="211"/>
      <c r="Q17" s="211"/>
      <c r="R17" s="211"/>
      <c r="S17" s="211"/>
      <c r="T17" s="211"/>
      <c r="U17" s="211"/>
      <c r="V17" s="211"/>
      <c r="W17" s="211"/>
    </row>
    <row r="18" spans="1:23" ht="12.75" customHeight="1">
      <c r="A18" s="33">
        <v>21110106</v>
      </c>
      <c r="B18" s="24" t="s">
        <v>815</v>
      </c>
      <c r="C18" s="72">
        <f>2300000+8830000</f>
        <v>11130000</v>
      </c>
      <c r="D18" s="1639"/>
      <c r="E18" s="1640"/>
      <c r="F18" s="1637"/>
      <c r="G18" s="1637"/>
      <c r="H18" s="1637"/>
      <c r="I18" s="1637"/>
      <c r="J18" s="211"/>
      <c r="K18" s="211"/>
      <c r="L18" s="211"/>
      <c r="M18" s="211"/>
      <c r="N18" s="211"/>
      <c r="O18" s="211"/>
      <c r="P18" s="211"/>
      <c r="Q18" s="211"/>
      <c r="R18" s="211"/>
      <c r="S18" s="211"/>
      <c r="T18" s="211"/>
      <c r="U18" s="211"/>
      <c r="V18" s="211"/>
      <c r="W18" s="211"/>
    </row>
    <row r="19" spans="1:23" ht="12.75" customHeight="1">
      <c r="A19" s="48">
        <v>211102</v>
      </c>
      <c r="B19" s="26" t="s">
        <v>668</v>
      </c>
      <c r="C19" s="36">
        <f>SUM(C20:C25)</f>
        <v>574819485.36749995</v>
      </c>
      <c r="D19" s="1639"/>
      <c r="E19" s="1640"/>
      <c r="F19" s="1637"/>
      <c r="G19" s="1637"/>
      <c r="H19" s="1637"/>
      <c r="I19" s="1637"/>
      <c r="J19" s="211"/>
      <c r="K19" s="211"/>
      <c r="L19" s="211"/>
      <c r="M19" s="211"/>
      <c r="N19" s="211"/>
      <c r="O19" s="211"/>
      <c r="P19" s="211"/>
      <c r="Q19" s="211"/>
      <c r="R19" s="211"/>
      <c r="S19" s="211"/>
      <c r="T19" s="211"/>
      <c r="U19" s="211"/>
      <c r="V19" s="211"/>
      <c r="W19" s="211"/>
    </row>
    <row r="20" spans="1:23" ht="12.75" customHeight="1">
      <c r="A20" s="33">
        <v>21110201</v>
      </c>
      <c r="B20" s="24" t="s">
        <v>816</v>
      </c>
      <c r="C20" s="72">
        <f>21184461.19+223788765.72+334898353.96-100000000</f>
        <v>479871580.87</v>
      </c>
      <c r="D20" s="205"/>
      <c r="E20" s="201"/>
      <c r="F20" s="100"/>
      <c r="G20" s="100"/>
      <c r="H20" s="100"/>
      <c r="I20" s="100"/>
      <c r="J20" s="100"/>
      <c r="K20" s="100"/>
      <c r="L20" s="100"/>
      <c r="M20" s="100"/>
      <c r="N20" s="100"/>
      <c r="O20" s="100"/>
      <c r="P20" s="100"/>
      <c r="Q20" s="100"/>
      <c r="R20" s="100"/>
      <c r="S20" s="100"/>
      <c r="T20" s="100"/>
      <c r="U20" s="100"/>
      <c r="V20" s="100"/>
      <c r="W20" s="100"/>
    </row>
    <row r="21" spans="1:23" ht="12.75" customHeight="1">
      <c r="A21" s="33">
        <v>21110202</v>
      </c>
      <c r="B21" s="24" t="s">
        <v>817</v>
      </c>
      <c r="C21" s="72">
        <f>6150327.44+37523736.705+56391017.27-25000000</f>
        <v>75065081.414999992</v>
      </c>
      <c r="D21" s="205"/>
      <c r="E21" s="201"/>
      <c r="F21" s="100"/>
      <c r="G21" s="100"/>
      <c r="H21" s="100"/>
      <c r="I21" s="100"/>
      <c r="J21" s="100"/>
      <c r="K21" s="100"/>
      <c r="L21" s="100"/>
      <c r="M21" s="100"/>
      <c r="N21" s="100"/>
      <c r="O21" s="100"/>
      <c r="P21" s="100"/>
      <c r="Q21" s="100"/>
      <c r="R21" s="100"/>
      <c r="S21" s="100"/>
      <c r="T21" s="100"/>
      <c r="U21" s="100"/>
      <c r="V21" s="100"/>
      <c r="W21" s="100"/>
    </row>
    <row r="22" spans="1:23" ht="12.75" customHeight="1">
      <c r="A22" s="33">
        <v>21110203</v>
      </c>
      <c r="B22" s="24" t="s">
        <v>818</v>
      </c>
      <c r="C22" s="72">
        <f>6961429.3125+10445156.77</f>
        <v>17406586.0825</v>
      </c>
      <c r="D22" s="205"/>
      <c r="E22" s="201"/>
      <c r="F22" s="211"/>
      <c r="G22" s="211"/>
      <c r="H22" s="211"/>
      <c r="I22" s="211"/>
      <c r="J22" s="211"/>
      <c r="K22" s="211"/>
      <c r="L22" s="211"/>
      <c r="M22" s="211"/>
      <c r="N22" s="211"/>
      <c r="O22" s="211"/>
      <c r="P22" s="211"/>
      <c r="Q22" s="211"/>
      <c r="R22" s="211"/>
      <c r="S22" s="211"/>
      <c r="T22" s="211"/>
      <c r="U22" s="211"/>
      <c r="V22" s="211"/>
      <c r="W22" s="211"/>
    </row>
    <row r="23" spans="1:23" ht="12.75" customHeight="1">
      <c r="A23" s="33">
        <v>21110204</v>
      </c>
      <c r="B23" s="24" t="s">
        <v>819</v>
      </c>
      <c r="C23" s="72">
        <v>1</v>
      </c>
      <c r="D23" s="205"/>
      <c r="E23" s="201"/>
      <c r="F23" s="211"/>
      <c r="G23" s="211"/>
      <c r="H23" s="211"/>
      <c r="I23" s="211"/>
      <c r="J23" s="211"/>
      <c r="K23" s="211"/>
      <c r="L23" s="211"/>
      <c r="M23" s="211"/>
      <c r="N23" s="211"/>
      <c r="O23" s="211"/>
      <c r="P23" s="211"/>
      <c r="Q23" s="211"/>
      <c r="R23" s="211"/>
      <c r="S23" s="211"/>
      <c r="T23" s="211"/>
      <c r="U23" s="211"/>
      <c r="V23" s="211"/>
      <c r="W23" s="211"/>
    </row>
    <row r="24" spans="1:23" ht="12.75" customHeight="1">
      <c r="A24" s="33">
        <v>21110205</v>
      </c>
      <c r="B24" s="24" t="s">
        <v>820</v>
      </c>
      <c r="C24" s="72">
        <f>283059+2193176</f>
        <v>2476235</v>
      </c>
      <c r="D24" s="205"/>
      <c r="E24" s="201"/>
      <c r="F24" s="211"/>
      <c r="G24" s="211"/>
      <c r="H24" s="211"/>
      <c r="I24" s="211"/>
      <c r="J24" s="211"/>
      <c r="K24" s="211"/>
      <c r="L24" s="211"/>
      <c r="M24" s="211"/>
      <c r="N24" s="211"/>
      <c r="O24" s="211"/>
      <c r="P24" s="211"/>
      <c r="Q24" s="211"/>
      <c r="R24" s="211"/>
      <c r="S24" s="211"/>
      <c r="T24" s="211"/>
      <c r="U24" s="211"/>
      <c r="V24" s="211"/>
      <c r="W24" s="211"/>
    </row>
    <row r="25" spans="1:23" ht="12.75" customHeight="1">
      <c r="A25" s="33">
        <v>21110206</v>
      </c>
      <c r="B25" s="24" t="s">
        <v>821</v>
      </c>
      <c r="C25" s="72">
        <v>1</v>
      </c>
      <c r="D25" s="205"/>
      <c r="E25" s="201"/>
      <c r="F25" s="100"/>
      <c r="G25" s="100"/>
      <c r="H25" s="100"/>
      <c r="I25" s="100"/>
      <c r="J25" s="100"/>
      <c r="K25" s="100"/>
      <c r="L25" s="100"/>
      <c r="M25" s="100"/>
      <c r="N25" s="100"/>
      <c r="O25" s="100"/>
      <c r="P25" s="100"/>
      <c r="Q25" s="100"/>
      <c r="R25" s="100"/>
      <c r="S25" s="100"/>
      <c r="T25" s="100"/>
      <c r="U25" s="100"/>
      <c r="V25" s="100"/>
      <c r="W25" s="100"/>
    </row>
    <row r="26" spans="1:23" ht="12.75" customHeight="1">
      <c r="A26" s="48">
        <v>211103</v>
      </c>
      <c r="B26" s="26" t="s">
        <v>669</v>
      </c>
      <c r="C26" s="36">
        <f>SUM(C27:C32)</f>
        <v>361922328.20499998</v>
      </c>
      <c r="D26" s="205"/>
      <c r="E26" s="201"/>
      <c r="F26" s="100"/>
      <c r="G26" s="100"/>
      <c r="H26" s="100"/>
      <c r="I26" s="100"/>
      <c r="J26" s="100"/>
      <c r="K26" s="100"/>
      <c r="L26" s="100"/>
      <c r="M26" s="100"/>
      <c r="N26" s="100"/>
      <c r="O26" s="100"/>
      <c r="P26" s="100"/>
      <c r="Q26" s="100"/>
      <c r="R26" s="100"/>
      <c r="S26" s="100"/>
      <c r="T26" s="100"/>
      <c r="U26" s="100"/>
      <c r="V26" s="100"/>
      <c r="W26" s="100"/>
    </row>
    <row r="27" spans="1:23" ht="12.75" customHeight="1">
      <c r="A27" s="33">
        <v>21110301</v>
      </c>
      <c r="B27" s="24" t="s">
        <v>822</v>
      </c>
      <c r="C27" s="72">
        <f>21184461.19+90787304.01+81115000.79+100000000</f>
        <v>293086765.99000001</v>
      </c>
      <c r="D27" s="100"/>
      <c r="E27" s="205"/>
      <c r="F27" s="211"/>
      <c r="G27" s="211"/>
      <c r="H27" s="211"/>
      <c r="I27" s="211"/>
      <c r="J27" s="211"/>
      <c r="K27" s="211"/>
      <c r="L27" s="211"/>
      <c r="M27" s="211"/>
      <c r="N27" s="211"/>
      <c r="O27" s="211"/>
      <c r="P27" s="211"/>
      <c r="Q27" s="211"/>
      <c r="R27" s="211"/>
      <c r="S27" s="211"/>
      <c r="T27" s="211"/>
      <c r="U27" s="211"/>
      <c r="V27" s="211"/>
      <c r="W27" s="211"/>
    </row>
    <row r="28" spans="1:23" ht="12.75" customHeight="1">
      <c r="A28" s="33">
        <v>21110302</v>
      </c>
      <c r="B28" s="24" t="s">
        <v>823</v>
      </c>
      <c r="C28" s="72">
        <f>6150327.44+15030042.0075+13160954.63+25000000</f>
        <v>59341324.077500001</v>
      </c>
      <c r="D28" s="100"/>
      <c r="E28" s="205"/>
      <c r="F28" s="211"/>
      <c r="G28" s="211"/>
      <c r="H28" s="211"/>
      <c r="I28" s="211"/>
      <c r="J28" s="211"/>
      <c r="K28" s="211"/>
      <c r="L28" s="211"/>
      <c r="M28" s="211"/>
      <c r="N28" s="211"/>
      <c r="O28" s="211"/>
      <c r="P28" s="211"/>
      <c r="Q28" s="211"/>
      <c r="R28" s="211"/>
      <c r="S28" s="211"/>
      <c r="T28" s="211"/>
      <c r="U28" s="211"/>
      <c r="V28" s="211"/>
      <c r="W28" s="211"/>
    </row>
    <row r="29" spans="1:23" ht="12.75" customHeight="1">
      <c r="A29" s="33">
        <v>21110303</v>
      </c>
      <c r="B29" s="24" t="s">
        <v>824</v>
      </c>
      <c r="C29" s="72">
        <f>2879486.7075+2560598.43</f>
        <v>5440085.1375000002</v>
      </c>
      <c r="D29" s="211"/>
      <c r="E29" s="205"/>
      <c r="F29" s="211"/>
      <c r="G29" s="211"/>
      <c r="H29" s="211"/>
      <c r="I29" s="211"/>
      <c r="J29" s="211"/>
      <c r="K29" s="211"/>
      <c r="L29" s="211"/>
      <c r="M29" s="211"/>
      <c r="N29" s="211"/>
      <c r="O29" s="211"/>
      <c r="P29" s="211"/>
      <c r="Q29" s="211"/>
      <c r="R29" s="211"/>
      <c r="S29" s="211"/>
      <c r="T29" s="211"/>
      <c r="U29" s="211"/>
      <c r="V29" s="211"/>
      <c r="W29" s="211"/>
    </row>
    <row r="30" spans="1:23" ht="12.75" customHeight="1">
      <c r="A30" s="33">
        <v>21110304</v>
      </c>
      <c r="B30" s="24" t="s">
        <v>825</v>
      </c>
      <c r="C30" s="72">
        <v>1</v>
      </c>
      <c r="D30" s="211"/>
      <c r="E30" s="205"/>
      <c r="F30" s="211"/>
      <c r="G30" s="211"/>
      <c r="H30" s="211"/>
      <c r="I30" s="211"/>
      <c r="J30" s="211"/>
      <c r="K30" s="211"/>
      <c r="L30" s="211"/>
      <c r="M30" s="211"/>
      <c r="N30" s="211"/>
      <c r="O30" s="211"/>
      <c r="P30" s="211"/>
      <c r="Q30" s="211"/>
      <c r="R30" s="211"/>
      <c r="S30" s="211"/>
      <c r="T30" s="211"/>
      <c r="U30" s="211"/>
      <c r="V30" s="211"/>
      <c r="W30" s="211"/>
    </row>
    <row r="31" spans="1:23" ht="12.75" customHeight="1">
      <c r="A31" s="33">
        <v>21110305</v>
      </c>
      <c r="B31" s="24" t="s">
        <v>826</v>
      </c>
      <c r="C31" s="72">
        <f>1947726+2106425</f>
        <v>4054151</v>
      </c>
      <c r="D31" s="211"/>
      <c r="E31" s="205"/>
      <c r="F31" s="211"/>
      <c r="G31" s="211"/>
      <c r="H31" s="211"/>
      <c r="I31" s="211"/>
      <c r="J31" s="211"/>
      <c r="K31" s="211"/>
      <c r="L31" s="211"/>
      <c r="M31" s="211"/>
      <c r="N31" s="211"/>
      <c r="O31" s="211"/>
      <c r="P31" s="211"/>
      <c r="Q31" s="211"/>
      <c r="R31" s="211"/>
      <c r="S31" s="211"/>
      <c r="T31" s="211"/>
      <c r="U31" s="211"/>
      <c r="V31" s="211"/>
      <c r="W31" s="211"/>
    </row>
    <row r="32" spans="1:23" ht="13.5" customHeight="1" thickBot="1">
      <c r="A32" s="33">
        <v>21110306</v>
      </c>
      <c r="B32" s="24" t="s">
        <v>670</v>
      </c>
      <c r="C32" s="72">
        <v>1</v>
      </c>
      <c r="D32" s="211"/>
      <c r="E32" s="205"/>
      <c r="F32" s="210"/>
      <c r="G32" s="75"/>
      <c r="H32" s="75"/>
      <c r="I32" s="75"/>
      <c r="J32" s="75"/>
      <c r="K32" s="75"/>
      <c r="L32" s="75"/>
      <c r="M32" s="75"/>
      <c r="N32" s="75"/>
      <c r="O32" s="75"/>
      <c r="P32" s="75"/>
      <c r="Q32" s="75"/>
      <c r="R32" s="75"/>
      <c r="S32" s="75"/>
      <c r="T32" s="75"/>
      <c r="U32" s="75"/>
      <c r="V32" s="75"/>
      <c r="W32" s="75"/>
    </row>
    <row r="33" spans="1:23" ht="13.5" customHeight="1" thickBot="1">
      <c r="A33" s="1356" t="s">
        <v>9</v>
      </c>
      <c r="B33" s="1281"/>
      <c r="C33" s="212">
        <f>C34+C36+C39+C46+C48+C41</f>
        <v>6147378.9399999995</v>
      </c>
      <c r="D33" s="75"/>
      <c r="E33" s="210"/>
      <c r="F33" s="100"/>
      <c r="G33" s="100"/>
      <c r="H33" s="100"/>
      <c r="I33" s="100"/>
      <c r="J33" s="100"/>
      <c r="K33" s="100"/>
      <c r="L33" s="100"/>
      <c r="M33" s="100"/>
      <c r="N33" s="100"/>
      <c r="O33" s="100"/>
      <c r="P33" s="100"/>
      <c r="Q33" s="100"/>
      <c r="R33" s="100"/>
      <c r="S33" s="100"/>
      <c r="T33" s="100"/>
      <c r="U33" s="100"/>
      <c r="V33" s="100"/>
      <c r="W33" s="100"/>
    </row>
    <row r="34" spans="1:23" ht="13.5" customHeight="1">
      <c r="A34" s="76">
        <v>211201</v>
      </c>
      <c r="B34" s="76" t="s">
        <v>459</v>
      </c>
      <c r="C34" s="155">
        <f>SUM(C35)</f>
        <v>1257000</v>
      </c>
      <c r="D34" s="214"/>
      <c r="E34" s="215"/>
      <c r="F34" s="100"/>
      <c r="G34" s="100"/>
      <c r="H34" s="100"/>
      <c r="I34" s="100"/>
      <c r="J34" s="100"/>
      <c r="K34" s="100"/>
      <c r="L34" s="100"/>
      <c r="M34" s="100"/>
      <c r="N34" s="100"/>
      <c r="O34" s="100"/>
      <c r="P34" s="100"/>
      <c r="Q34" s="100"/>
      <c r="R34" s="100"/>
      <c r="S34" s="100"/>
      <c r="T34" s="100"/>
      <c r="U34" s="100"/>
      <c r="V34" s="100"/>
      <c r="W34" s="100"/>
    </row>
    <row r="35" spans="1:23" ht="13.5" customHeight="1">
      <c r="A35" s="154">
        <v>21120101</v>
      </c>
      <c r="B35" s="100" t="s">
        <v>460</v>
      </c>
      <c r="C35" s="72">
        <v>1257000</v>
      </c>
      <c r="D35" s="216"/>
      <c r="E35" s="204"/>
      <c r="F35" s="100"/>
      <c r="G35" s="100"/>
      <c r="H35" s="100"/>
      <c r="I35" s="100"/>
      <c r="J35" s="100"/>
      <c r="K35" s="100"/>
      <c r="L35" s="100"/>
      <c r="M35" s="100"/>
      <c r="N35" s="100"/>
      <c r="O35" s="100"/>
      <c r="P35" s="100"/>
      <c r="Q35" s="100"/>
      <c r="R35" s="100"/>
      <c r="S35" s="100"/>
      <c r="T35" s="100"/>
      <c r="U35" s="100"/>
      <c r="V35" s="100"/>
      <c r="W35" s="100"/>
    </row>
    <row r="36" spans="1:23" ht="13.5" customHeight="1">
      <c r="A36" s="76">
        <v>211203</v>
      </c>
      <c r="B36" s="75" t="s">
        <v>461</v>
      </c>
      <c r="C36" s="36">
        <f>SUM(C37:C38)</f>
        <v>200000</v>
      </c>
      <c r="D36" s="216"/>
      <c r="E36" s="204"/>
      <c r="F36" s="135"/>
      <c r="G36" s="135"/>
      <c r="H36" s="135"/>
      <c r="I36" s="135"/>
      <c r="J36" s="135"/>
      <c r="K36" s="135"/>
      <c r="L36" s="135"/>
      <c r="M36" s="135"/>
      <c r="N36" s="135"/>
      <c r="O36" s="135"/>
      <c r="P36" s="135"/>
      <c r="Q36" s="135"/>
      <c r="R36" s="135"/>
      <c r="S36" s="135"/>
      <c r="T36" s="135"/>
      <c r="U36" s="135"/>
      <c r="V36" s="135"/>
      <c r="W36" s="135"/>
    </row>
    <row r="37" spans="1:23" ht="13.5" customHeight="1">
      <c r="A37" s="33">
        <v>21120301</v>
      </c>
      <c r="B37" s="13" t="s">
        <v>527</v>
      </c>
      <c r="C37" s="51">
        <v>100000</v>
      </c>
      <c r="D37" s="32"/>
      <c r="E37" s="14"/>
      <c r="F37" s="13"/>
      <c r="G37" s="13"/>
      <c r="H37" s="13"/>
      <c r="I37" s="13"/>
      <c r="J37" s="13"/>
      <c r="K37" s="13"/>
      <c r="L37" s="13"/>
      <c r="M37" s="13"/>
      <c r="N37" s="13"/>
      <c r="O37" s="13"/>
      <c r="P37" s="13"/>
      <c r="Q37" s="13"/>
      <c r="R37" s="13"/>
      <c r="S37" s="13"/>
      <c r="T37" s="13"/>
      <c r="U37" s="13"/>
      <c r="V37" s="13"/>
      <c r="W37" s="13"/>
    </row>
    <row r="38" spans="1:23" ht="13.5" customHeight="1">
      <c r="A38" s="154">
        <v>21120302</v>
      </c>
      <c r="B38" s="100" t="s">
        <v>462</v>
      </c>
      <c r="C38" s="72">
        <v>100000</v>
      </c>
      <c r="D38" s="216"/>
      <c r="E38" s="135"/>
      <c r="F38" s="135"/>
      <c r="G38" s="135"/>
      <c r="H38" s="135"/>
      <c r="I38" s="135"/>
      <c r="J38" s="135"/>
      <c r="K38" s="135"/>
      <c r="L38" s="135"/>
      <c r="M38" s="135"/>
      <c r="N38" s="135"/>
      <c r="O38" s="135"/>
      <c r="P38" s="135"/>
      <c r="Q38" s="135"/>
      <c r="R38" s="135"/>
      <c r="S38" s="135"/>
      <c r="T38" s="135"/>
      <c r="U38" s="135"/>
      <c r="V38" s="135"/>
      <c r="W38" s="135"/>
    </row>
    <row r="39" spans="1:23" ht="13.5" customHeight="1">
      <c r="A39" s="76">
        <v>211204</v>
      </c>
      <c r="B39" s="75" t="s">
        <v>463</v>
      </c>
      <c r="C39" s="36">
        <f>C40</f>
        <v>2363500</v>
      </c>
      <c r="D39" s="216"/>
      <c r="E39" s="135"/>
      <c r="F39" s="135"/>
      <c r="G39" s="135"/>
      <c r="H39" s="135"/>
      <c r="I39" s="135"/>
      <c r="J39" s="135"/>
      <c r="K39" s="135"/>
      <c r="L39" s="135"/>
      <c r="M39" s="135"/>
      <c r="N39" s="135"/>
      <c r="O39" s="135"/>
      <c r="P39" s="135"/>
      <c r="Q39" s="135"/>
      <c r="R39" s="135"/>
      <c r="S39" s="135"/>
      <c r="T39" s="135"/>
      <c r="U39" s="135"/>
      <c r="V39" s="135"/>
      <c r="W39" s="135"/>
    </row>
    <row r="40" spans="1:23" ht="13.5" customHeight="1">
      <c r="A40" s="154">
        <v>21120401</v>
      </c>
      <c r="B40" s="72" t="s">
        <v>464</v>
      </c>
      <c r="C40" s="72">
        <f>1000000+1363500</f>
        <v>2363500</v>
      </c>
      <c r="D40" s="216"/>
      <c r="E40" s="204"/>
      <c r="F40" s="135"/>
      <c r="G40" s="135"/>
      <c r="H40" s="135"/>
      <c r="I40" s="135"/>
      <c r="J40" s="135"/>
      <c r="K40" s="135"/>
      <c r="L40" s="135"/>
      <c r="M40" s="135"/>
      <c r="N40" s="135"/>
      <c r="O40" s="135"/>
      <c r="P40" s="135"/>
      <c r="Q40" s="135"/>
      <c r="R40" s="135"/>
      <c r="S40" s="135"/>
      <c r="T40" s="135"/>
      <c r="U40" s="135"/>
      <c r="V40" s="135"/>
      <c r="W40" s="135"/>
    </row>
    <row r="41" spans="1:23" ht="13.5" customHeight="1">
      <c r="A41" s="76">
        <v>211207</v>
      </c>
      <c r="B41" s="848" t="s">
        <v>467</v>
      </c>
      <c r="C41" s="36">
        <f>SUM(C42:C45)</f>
        <v>301000</v>
      </c>
      <c r="D41" s="216"/>
      <c r="E41" s="204"/>
      <c r="F41" s="135"/>
      <c r="G41" s="135"/>
      <c r="H41" s="135"/>
      <c r="I41" s="135"/>
      <c r="J41" s="135"/>
      <c r="K41" s="135"/>
      <c r="L41" s="135"/>
      <c r="M41" s="135"/>
      <c r="N41" s="135"/>
      <c r="O41" s="135"/>
      <c r="P41" s="135"/>
      <c r="Q41" s="135"/>
      <c r="R41" s="135"/>
      <c r="S41" s="135"/>
      <c r="T41" s="135"/>
      <c r="U41" s="135"/>
      <c r="V41" s="135"/>
      <c r="W41" s="135"/>
    </row>
    <row r="42" spans="1:23" ht="13.5" customHeight="1">
      <c r="A42" s="154">
        <v>21120702</v>
      </c>
      <c r="B42" s="77" t="s">
        <v>468</v>
      </c>
      <c r="C42" s="72">
        <f>50000+25000</f>
        <v>75000</v>
      </c>
      <c r="D42" s="216"/>
      <c r="E42" s="204"/>
      <c r="F42" s="135"/>
      <c r="G42" s="135"/>
      <c r="H42" s="135"/>
      <c r="I42" s="135"/>
      <c r="J42" s="135"/>
      <c r="K42" s="135"/>
      <c r="L42" s="135"/>
      <c r="M42" s="135"/>
      <c r="N42" s="135"/>
      <c r="O42" s="135"/>
      <c r="P42" s="135"/>
      <c r="Q42" s="135"/>
      <c r="R42" s="135"/>
      <c r="S42" s="135"/>
      <c r="T42" s="135"/>
      <c r="U42" s="135"/>
      <c r="V42" s="135"/>
      <c r="W42" s="135"/>
    </row>
    <row r="43" spans="1:23" ht="13.5" customHeight="1">
      <c r="A43" s="154">
        <v>21120708</v>
      </c>
      <c r="B43" s="77" t="s">
        <v>470</v>
      </c>
      <c r="C43" s="72">
        <v>20000</v>
      </c>
      <c r="D43" s="216"/>
      <c r="E43" s="204"/>
      <c r="F43" s="135"/>
      <c r="G43" s="135"/>
      <c r="H43" s="135"/>
      <c r="I43" s="135"/>
      <c r="J43" s="135"/>
      <c r="K43" s="135"/>
      <c r="L43" s="135"/>
      <c r="M43" s="135"/>
      <c r="N43" s="135"/>
      <c r="O43" s="135"/>
      <c r="P43" s="135"/>
      <c r="Q43" s="135"/>
      <c r="R43" s="135"/>
      <c r="S43" s="135"/>
      <c r="T43" s="135"/>
      <c r="U43" s="135"/>
      <c r="V43" s="135"/>
      <c r="W43" s="135"/>
    </row>
    <row r="44" spans="1:23" ht="13.5" customHeight="1">
      <c r="A44" s="154">
        <v>21120709</v>
      </c>
      <c r="B44" s="72" t="s">
        <v>471</v>
      </c>
      <c r="C44" s="72">
        <f>55000+50000</f>
        <v>105000</v>
      </c>
      <c r="D44" s="218"/>
      <c r="E44" s="218"/>
      <c r="F44" s="218"/>
      <c r="G44" s="218"/>
      <c r="H44" s="218"/>
      <c r="I44" s="218"/>
      <c r="J44" s="218"/>
      <c r="K44" s="218"/>
      <c r="L44" s="218"/>
      <c r="M44" s="218"/>
      <c r="N44" s="218"/>
      <c r="O44" s="218"/>
      <c r="P44" s="218"/>
      <c r="Q44" s="218"/>
      <c r="R44" s="218"/>
      <c r="S44" s="218"/>
      <c r="T44" s="218"/>
      <c r="U44" s="218"/>
      <c r="V44" s="218"/>
      <c r="W44" s="218"/>
    </row>
    <row r="45" spans="1:23" ht="13.5" customHeight="1">
      <c r="A45" s="154">
        <v>21120711</v>
      </c>
      <c r="B45" s="72" t="s">
        <v>473</v>
      </c>
      <c r="C45" s="72">
        <f>10000+91000</f>
        <v>101000</v>
      </c>
      <c r="D45" s="218"/>
      <c r="E45" s="218"/>
      <c r="F45" s="218"/>
      <c r="G45" s="218"/>
      <c r="H45" s="218"/>
      <c r="I45" s="218"/>
      <c r="J45" s="218"/>
      <c r="K45" s="218"/>
      <c r="L45" s="218"/>
      <c r="M45" s="218"/>
      <c r="N45" s="218"/>
      <c r="O45" s="218"/>
      <c r="P45" s="218"/>
      <c r="Q45" s="218"/>
      <c r="R45" s="218"/>
      <c r="S45" s="218"/>
      <c r="T45" s="218"/>
      <c r="U45" s="218"/>
      <c r="V45" s="218"/>
      <c r="W45" s="218"/>
    </row>
    <row r="46" spans="1:23" ht="13.5" customHeight="1">
      <c r="A46" s="76">
        <v>211208</v>
      </c>
      <c r="B46" s="36" t="s">
        <v>474</v>
      </c>
      <c r="C46" s="36">
        <f>SUM(C47:C47)</f>
        <v>82500</v>
      </c>
      <c r="D46" s="216"/>
      <c r="E46" s="204"/>
      <c r="F46" s="135"/>
      <c r="G46" s="135"/>
      <c r="H46" s="135"/>
      <c r="I46" s="135"/>
      <c r="J46" s="135"/>
      <c r="K46" s="135"/>
      <c r="L46" s="135"/>
      <c r="M46" s="135"/>
      <c r="N46" s="135"/>
      <c r="O46" s="135"/>
      <c r="P46" s="135"/>
      <c r="Q46" s="135"/>
      <c r="R46" s="135"/>
      <c r="S46" s="135"/>
      <c r="T46" s="135"/>
      <c r="U46" s="135"/>
      <c r="V46" s="135"/>
      <c r="W46" s="135"/>
    </row>
    <row r="47" spans="1:23" ht="13.5" customHeight="1">
      <c r="A47" s="154">
        <v>21120805</v>
      </c>
      <c r="B47" s="72" t="s">
        <v>476</v>
      </c>
      <c r="C47" s="72">
        <f>13500+69000</f>
        <v>82500</v>
      </c>
      <c r="D47" s="216"/>
      <c r="E47" s="204"/>
      <c r="F47" s="135"/>
      <c r="G47" s="135"/>
      <c r="H47" s="135"/>
      <c r="I47" s="135"/>
      <c r="J47" s="135"/>
      <c r="K47" s="135"/>
      <c r="L47" s="135"/>
      <c r="M47" s="135"/>
      <c r="N47" s="135"/>
      <c r="O47" s="135"/>
      <c r="P47" s="135"/>
      <c r="Q47" s="135"/>
      <c r="R47" s="135"/>
      <c r="S47" s="135"/>
      <c r="T47" s="135"/>
      <c r="U47" s="135"/>
      <c r="V47" s="135"/>
      <c r="W47" s="135"/>
    </row>
    <row r="48" spans="1:23" ht="13.5" customHeight="1">
      <c r="A48" s="76">
        <v>211209</v>
      </c>
      <c r="B48" s="36" t="s">
        <v>477</v>
      </c>
      <c r="C48" s="36">
        <f>SUM(C49:C52)</f>
        <v>1943378.94</v>
      </c>
      <c r="D48" s="216"/>
      <c r="E48" s="204"/>
      <c r="F48" s="135"/>
      <c r="G48" s="135"/>
      <c r="H48" s="135"/>
      <c r="I48" s="135"/>
      <c r="J48" s="135"/>
      <c r="K48" s="135"/>
      <c r="L48" s="135"/>
      <c r="M48" s="135"/>
      <c r="N48" s="135"/>
      <c r="O48" s="135"/>
      <c r="P48" s="135"/>
      <c r="Q48" s="135"/>
      <c r="R48" s="135"/>
      <c r="S48" s="135"/>
      <c r="T48" s="135"/>
      <c r="U48" s="135"/>
      <c r="V48" s="135"/>
      <c r="W48" s="135"/>
    </row>
    <row r="49" spans="1:23" ht="13.5" customHeight="1">
      <c r="A49" s="154">
        <v>21120901</v>
      </c>
      <c r="B49" s="72" t="s">
        <v>478</v>
      </c>
      <c r="C49" s="72">
        <f>1064878.94+110000-200000</f>
        <v>974878.94</v>
      </c>
      <c r="D49" s="216"/>
      <c r="E49" s="204"/>
      <c r="F49" s="135"/>
      <c r="G49" s="135"/>
      <c r="H49" s="135"/>
      <c r="I49" s="135"/>
      <c r="J49" s="135"/>
      <c r="K49" s="135"/>
      <c r="L49" s="135"/>
      <c r="M49" s="135"/>
      <c r="N49" s="135"/>
      <c r="O49" s="135"/>
      <c r="P49" s="135"/>
      <c r="Q49" s="135"/>
      <c r="R49" s="135"/>
      <c r="S49" s="135"/>
      <c r="T49" s="135"/>
      <c r="U49" s="135"/>
      <c r="V49" s="135"/>
      <c r="W49" s="135"/>
    </row>
    <row r="50" spans="1:23" ht="13.5" customHeight="1">
      <c r="A50" s="154">
        <v>21120905</v>
      </c>
      <c r="B50" s="72" t="s">
        <v>525</v>
      </c>
      <c r="C50" s="72">
        <f>74500+100000</f>
        <v>174500</v>
      </c>
      <c r="D50" s="216"/>
      <c r="E50" s="204"/>
      <c r="F50" s="135"/>
      <c r="G50" s="135"/>
      <c r="H50" s="135"/>
      <c r="I50" s="135"/>
      <c r="J50" s="135"/>
      <c r="K50" s="135"/>
      <c r="L50" s="135"/>
      <c r="M50" s="135"/>
      <c r="N50" s="135"/>
      <c r="O50" s="135"/>
      <c r="P50" s="135"/>
      <c r="Q50" s="135"/>
      <c r="R50" s="135"/>
      <c r="S50" s="135"/>
      <c r="T50" s="135"/>
      <c r="U50" s="135"/>
      <c r="V50" s="135"/>
      <c r="W50" s="135"/>
    </row>
    <row r="51" spans="1:23" ht="13.5" customHeight="1">
      <c r="A51" s="154">
        <v>21120906</v>
      </c>
      <c r="B51" s="72" t="s">
        <v>479</v>
      </c>
      <c r="C51" s="72">
        <v>41000</v>
      </c>
      <c r="D51" s="216"/>
      <c r="E51" s="204"/>
      <c r="F51" s="75"/>
      <c r="G51" s="75"/>
      <c r="H51" s="75"/>
      <c r="I51" s="75"/>
      <c r="J51" s="75"/>
      <c r="K51" s="75"/>
      <c r="L51" s="75"/>
      <c r="M51" s="75"/>
      <c r="N51" s="75"/>
      <c r="O51" s="75"/>
      <c r="P51" s="75"/>
      <c r="Q51" s="75"/>
      <c r="R51" s="75"/>
      <c r="S51" s="75"/>
      <c r="T51" s="75"/>
      <c r="U51" s="75"/>
      <c r="V51" s="75"/>
      <c r="W51" s="75"/>
    </row>
    <row r="52" spans="1:23" ht="13.5" customHeight="1">
      <c r="A52" s="154">
        <v>21120907</v>
      </c>
      <c r="B52" s="77" t="s">
        <v>480</v>
      </c>
      <c r="C52" s="72">
        <v>753000</v>
      </c>
      <c r="D52" s="216"/>
      <c r="E52" s="204"/>
      <c r="F52" s="75"/>
      <c r="G52" s="75"/>
      <c r="H52" s="75"/>
      <c r="I52" s="75"/>
      <c r="J52" s="75"/>
      <c r="K52" s="75"/>
      <c r="L52" s="75"/>
      <c r="M52" s="75"/>
      <c r="N52" s="75"/>
      <c r="O52" s="75"/>
      <c r="P52" s="75"/>
      <c r="Q52" s="75"/>
      <c r="R52" s="75"/>
      <c r="S52" s="75"/>
      <c r="T52" s="75"/>
      <c r="U52" s="75"/>
      <c r="V52" s="75"/>
      <c r="W52" s="75"/>
    </row>
    <row r="53" spans="1:23" ht="13.5" customHeight="1" thickBot="1">
      <c r="A53" s="100"/>
      <c r="B53" s="72"/>
      <c r="C53" s="72"/>
      <c r="D53" s="216"/>
      <c r="E53" s="204"/>
      <c r="F53" s="219"/>
      <c r="G53" s="219"/>
      <c r="H53" s="219"/>
      <c r="I53" s="219"/>
      <c r="J53" s="219"/>
      <c r="K53" s="219"/>
      <c r="L53" s="219"/>
      <c r="M53" s="219"/>
      <c r="N53" s="219"/>
      <c r="O53" s="219"/>
      <c r="P53" s="219"/>
      <c r="Q53" s="219"/>
      <c r="R53" s="219"/>
      <c r="S53" s="219"/>
      <c r="T53" s="219"/>
      <c r="U53" s="219"/>
      <c r="V53" s="219"/>
      <c r="W53" s="219"/>
    </row>
    <row r="54" spans="1:23" ht="13.5" customHeight="1" thickBot="1">
      <c r="A54" s="1354" t="s">
        <v>4</v>
      </c>
      <c r="B54" s="1281"/>
      <c r="C54" s="220">
        <f>+C58+C61+C66+C55+C64</f>
        <v>51725500</v>
      </c>
      <c r="D54" s="213"/>
      <c r="E54" s="221"/>
      <c r="F54" s="135"/>
      <c r="G54" s="135"/>
      <c r="H54" s="135"/>
      <c r="I54" s="135"/>
      <c r="J54" s="135"/>
      <c r="K54" s="135"/>
      <c r="L54" s="135"/>
      <c r="M54" s="135"/>
      <c r="N54" s="135"/>
      <c r="O54" s="135"/>
      <c r="P54" s="135"/>
      <c r="Q54" s="135"/>
      <c r="R54" s="135"/>
      <c r="S54" s="135"/>
      <c r="T54" s="135"/>
      <c r="U54" s="135"/>
      <c r="V54" s="135"/>
      <c r="W54" s="135"/>
    </row>
    <row r="55" spans="1:23" ht="13.5" customHeight="1">
      <c r="A55" s="76">
        <v>211302</v>
      </c>
      <c r="B55" s="76" t="s">
        <v>481</v>
      </c>
      <c r="C55" s="155">
        <f>+SUM(C56:C57)</f>
        <v>3223500</v>
      </c>
      <c r="D55" s="223"/>
      <c r="E55" s="219"/>
      <c r="F55" s="72"/>
      <c r="G55" s="100"/>
      <c r="H55" s="100"/>
      <c r="I55" s="100"/>
      <c r="J55" s="100"/>
      <c r="K55" s="100"/>
      <c r="L55" s="100"/>
      <c r="M55" s="100"/>
      <c r="N55" s="100"/>
      <c r="O55" s="100"/>
      <c r="P55" s="100"/>
      <c r="Q55" s="100"/>
      <c r="R55" s="100"/>
      <c r="S55" s="100"/>
      <c r="T55" s="100"/>
      <c r="U55" s="100"/>
      <c r="V55" s="100"/>
      <c r="W55" s="100"/>
    </row>
    <row r="56" spans="1:23" ht="13.5" customHeight="1">
      <c r="A56" s="154">
        <v>21130201</v>
      </c>
      <c r="B56" s="77" t="s">
        <v>482</v>
      </c>
      <c r="C56" s="114">
        <f>2000000+553000</f>
        <v>2553000</v>
      </c>
      <c r="D56" s="223"/>
      <c r="E56" s="219"/>
      <c r="F56" s="72"/>
      <c r="G56" s="100"/>
      <c r="H56" s="100"/>
      <c r="I56" s="100"/>
      <c r="J56" s="100"/>
      <c r="K56" s="100"/>
      <c r="L56" s="100"/>
      <c r="M56" s="100"/>
      <c r="N56" s="100"/>
      <c r="O56" s="100"/>
      <c r="P56" s="100"/>
      <c r="Q56" s="100"/>
      <c r="R56" s="100"/>
      <c r="S56" s="100"/>
      <c r="T56" s="100"/>
      <c r="U56" s="100"/>
      <c r="V56" s="100"/>
      <c r="W56" s="100"/>
    </row>
    <row r="57" spans="1:23" ht="13.5" customHeight="1">
      <c r="A57" s="154">
        <v>21130204</v>
      </c>
      <c r="B57" s="72" t="s">
        <v>483</v>
      </c>
      <c r="C57" s="72">
        <v>670500</v>
      </c>
      <c r="D57" s="216"/>
      <c r="E57" s="204"/>
      <c r="F57" s="72"/>
      <c r="G57" s="100"/>
      <c r="H57" s="100"/>
      <c r="I57" s="100"/>
      <c r="J57" s="100"/>
      <c r="K57" s="100"/>
      <c r="L57" s="100"/>
      <c r="M57" s="100"/>
      <c r="N57" s="100"/>
      <c r="O57" s="100"/>
      <c r="P57" s="100"/>
      <c r="Q57" s="100"/>
      <c r="R57" s="100"/>
      <c r="S57" s="100"/>
      <c r="T57" s="100"/>
      <c r="U57" s="100"/>
      <c r="V57" s="100"/>
      <c r="W57" s="100"/>
    </row>
    <row r="58" spans="1:23" ht="13.5" customHeight="1">
      <c r="A58" s="76">
        <v>211303</v>
      </c>
      <c r="B58" s="36" t="s">
        <v>484</v>
      </c>
      <c r="C58" s="36">
        <f>+SUM(C59:C60)</f>
        <v>1170000</v>
      </c>
      <c r="D58" s="216"/>
      <c r="E58" s="201"/>
      <c r="F58" s="72"/>
      <c r="G58" s="100"/>
      <c r="H58" s="100"/>
      <c r="I58" s="100"/>
      <c r="J58" s="100"/>
      <c r="K58" s="100"/>
      <c r="L58" s="100"/>
      <c r="M58" s="100"/>
      <c r="N58" s="100"/>
      <c r="O58" s="100"/>
      <c r="P58" s="100"/>
      <c r="Q58" s="100"/>
      <c r="R58" s="100"/>
      <c r="S58" s="100"/>
      <c r="T58" s="100"/>
      <c r="U58" s="100"/>
      <c r="V58" s="100"/>
      <c r="W58" s="100"/>
    </row>
    <row r="59" spans="1:23" ht="13.5" customHeight="1">
      <c r="A59" s="233">
        <v>21130306</v>
      </c>
      <c r="B59" s="77" t="s">
        <v>487</v>
      </c>
      <c r="C59" s="224">
        <f>1000000+56000</f>
        <v>1056000</v>
      </c>
      <c r="D59" s="218"/>
      <c r="E59" s="224"/>
      <c r="F59" s="225"/>
      <c r="G59" s="225"/>
      <c r="H59" s="218"/>
      <c r="I59" s="218"/>
      <c r="J59" s="218"/>
      <c r="K59" s="218"/>
      <c r="L59" s="218"/>
      <c r="M59" s="218"/>
      <c r="N59" s="218"/>
      <c r="O59" s="218"/>
      <c r="P59" s="218"/>
      <c r="Q59" s="218"/>
      <c r="R59" s="218"/>
      <c r="S59" s="218"/>
      <c r="T59" s="218"/>
      <c r="U59" s="218"/>
      <c r="V59" s="218"/>
      <c r="W59" s="218"/>
    </row>
    <row r="60" spans="1:23" ht="13.5" customHeight="1">
      <c r="A60" s="154">
        <v>21130307</v>
      </c>
      <c r="B60" s="100" t="s">
        <v>488</v>
      </c>
      <c r="C60" s="72">
        <v>114000</v>
      </c>
      <c r="D60" s="216"/>
      <c r="E60" s="201"/>
      <c r="F60" s="72"/>
      <c r="G60" s="100"/>
      <c r="H60" s="100"/>
      <c r="I60" s="100"/>
      <c r="J60" s="100"/>
      <c r="K60" s="100"/>
      <c r="L60" s="100"/>
      <c r="M60" s="100"/>
      <c r="N60" s="100"/>
      <c r="O60" s="100"/>
      <c r="P60" s="100"/>
      <c r="Q60" s="100"/>
      <c r="R60" s="100"/>
      <c r="S60" s="100"/>
      <c r="T60" s="100"/>
      <c r="U60" s="100"/>
      <c r="V60" s="100"/>
      <c r="W60" s="100"/>
    </row>
    <row r="61" spans="1:23" ht="13.5" customHeight="1">
      <c r="A61" s="76">
        <v>211305</v>
      </c>
      <c r="B61" s="36" t="s">
        <v>489</v>
      </c>
      <c r="C61" s="36">
        <f>+SUM(C62:C63)</f>
        <v>17352500</v>
      </c>
      <c r="D61" s="216"/>
      <c r="E61" s="201"/>
      <c r="F61" s="215"/>
      <c r="G61" s="100"/>
      <c r="H61" s="100"/>
      <c r="I61" s="100"/>
      <c r="J61" s="100"/>
      <c r="K61" s="100"/>
      <c r="L61" s="100"/>
      <c r="M61" s="100"/>
      <c r="N61" s="100"/>
      <c r="O61" s="100"/>
      <c r="P61" s="100"/>
      <c r="Q61" s="100"/>
      <c r="R61" s="100"/>
      <c r="S61" s="100"/>
      <c r="T61" s="100"/>
      <c r="U61" s="100"/>
      <c r="V61" s="100"/>
      <c r="W61" s="100"/>
    </row>
    <row r="62" spans="1:23" ht="13.5" customHeight="1">
      <c r="A62" s="154">
        <v>21130501</v>
      </c>
      <c r="B62" s="77" t="s">
        <v>490</v>
      </c>
      <c r="C62" s="72">
        <f>500000+15500</f>
        <v>515500</v>
      </c>
      <c r="D62" s="216"/>
      <c r="E62" s="201"/>
      <c r="F62" s="216"/>
      <c r="G62" s="100"/>
      <c r="H62" s="100"/>
      <c r="I62" s="100"/>
      <c r="J62" s="100"/>
      <c r="K62" s="100"/>
      <c r="L62" s="100"/>
      <c r="M62" s="100"/>
      <c r="N62" s="100"/>
      <c r="O62" s="100"/>
      <c r="P62" s="100"/>
      <c r="Q62" s="100"/>
      <c r="R62" s="100"/>
      <c r="S62" s="100"/>
      <c r="T62" s="100"/>
      <c r="U62" s="100"/>
      <c r="V62" s="100"/>
      <c r="W62" s="100"/>
    </row>
    <row r="63" spans="1:23" ht="13.5" customHeight="1">
      <c r="A63" s="154">
        <v>21130502</v>
      </c>
      <c r="B63" s="72" t="s">
        <v>491</v>
      </c>
      <c r="C63" s="72">
        <v>16837000</v>
      </c>
      <c r="D63" s="203"/>
      <c r="E63" s="226"/>
      <c r="F63" s="201"/>
      <c r="G63" s="100"/>
      <c r="H63" s="100"/>
      <c r="I63" s="100"/>
      <c r="J63" s="100"/>
      <c r="K63" s="100"/>
      <c r="L63" s="100"/>
      <c r="M63" s="100"/>
      <c r="N63" s="100"/>
      <c r="O63" s="100"/>
      <c r="P63" s="100"/>
      <c r="Q63" s="100"/>
      <c r="R63" s="100"/>
      <c r="S63" s="100"/>
      <c r="T63" s="100"/>
      <c r="U63" s="100"/>
      <c r="V63" s="100"/>
      <c r="W63" s="100"/>
    </row>
    <row r="64" spans="1:23" ht="13.5" customHeight="1">
      <c r="A64" s="76">
        <v>211306</v>
      </c>
      <c r="B64" s="36" t="s">
        <v>492</v>
      </c>
      <c r="C64" s="36">
        <f>C65</f>
        <v>115500</v>
      </c>
      <c r="D64" s="100"/>
      <c r="E64" s="201"/>
      <c r="F64" s="100"/>
      <c r="G64" s="100"/>
      <c r="H64" s="100"/>
      <c r="I64" s="100"/>
      <c r="J64" s="100"/>
      <c r="K64" s="100"/>
      <c r="L64" s="100"/>
      <c r="M64" s="100"/>
      <c r="N64" s="100"/>
      <c r="O64" s="100"/>
      <c r="P64" s="100"/>
      <c r="Q64" s="100"/>
      <c r="R64" s="100"/>
      <c r="S64" s="100"/>
      <c r="T64" s="100"/>
      <c r="U64" s="100"/>
      <c r="V64" s="100"/>
      <c r="W64" s="100"/>
    </row>
    <row r="65" spans="1:23" ht="13.5" customHeight="1">
      <c r="A65" s="154">
        <v>21130604</v>
      </c>
      <c r="B65" s="100" t="s">
        <v>539</v>
      </c>
      <c r="C65" s="72">
        <v>115500</v>
      </c>
      <c r="D65" s="100"/>
      <c r="E65" s="135"/>
      <c r="F65" s="205"/>
      <c r="G65" s="100"/>
      <c r="H65" s="201"/>
      <c r="I65" s="201"/>
      <c r="J65" s="100"/>
      <c r="K65" s="100"/>
      <c r="L65" s="100"/>
      <c r="M65" s="100"/>
      <c r="N65" s="100"/>
      <c r="O65" s="100"/>
      <c r="P65" s="100"/>
      <c r="Q65" s="100"/>
      <c r="R65" s="100"/>
      <c r="S65" s="100"/>
      <c r="T65" s="100"/>
      <c r="U65" s="100"/>
      <c r="V65" s="100"/>
      <c r="W65" s="100"/>
    </row>
    <row r="66" spans="1:23" ht="13.5" customHeight="1">
      <c r="A66" s="76">
        <v>211309</v>
      </c>
      <c r="B66" s="36" t="s">
        <v>496</v>
      </c>
      <c r="C66" s="36">
        <f>+SUM(C67:C70)</f>
        <v>29864000</v>
      </c>
      <c r="D66" s="216"/>
      <c r="E66" s="201"/>
      <c r="F66" s="100"/>
      <c r="G66" s="100"/>
      <c r="H66" s="100"/>
      <c r="I66" s="100"/>
      <c r="J66" s="100"/>
      <c r="K66" s="100"/>
      <c r="L66" s="100"/>
      <c r="M66" s="100"/>
      <c r="N66" s="100"/>
      <c r="O66" s="100"/>
      <c r="P66" s="100"/>
      <c r="Q66" s="100"/>
      <c r="R66" s="100"/>
      <c r="S66" s="100"/>
      <c r="T66" s="100"/>
      <c r="U66" s="100"/>
      <c r="V66" s="100"/>
      <c r="W66" s="100"/>
    </row>
    <row r="67" spans="1:23" ht="13.5" customHeight="1">
      <c r="A67" s="154">
        <v>21130901</v>
      </c>
      <c r="B67" s="72" t="s">
        <v>497</v>
      </c>
      <c r="C67" s="72">
        <v>25642500</v>
      </c>
      <c r="D67" s="216"/>
      <c r="E67" s="201"/>
      <c r="F67" s="75"/>
      <c r="G67" s="75"/>
      <c r="H67" s="75"/>
      <c r="I67" s="75"/>
      <c r="J67" s="75"/>
      <c r="K67" s="75"/>
      <c r="L67" s="75"/>
      <c r="M67" s="75"/>
      <c r="N67" s="75"/>
      <c r="O67" s="75"/>
      <c r="P67" s="75"/>
      <c r="Q67" s="75"/>
      <c r="R67" s="75"/>
      <c r="S67" s="75"/>
      <c r="T67" s="75"/>
      <c r="U67" s="75"/>
      <c r="V67" s="75"/>
      <c r="W67" s="75"/>
    </row>
    <row r="68" spans="1:23" ht="13.5" customHeight="1">
      <c r="A68" s="154">
        <v>21130903</v>
      </c>
      <c r="B68" s="72" t="s">
        <v>498</v>
      </c>
      <c r="C68" s="72">
        <v>1305000</v>
      </c>
      <c r="D68" s="216"/>
      <c r="E68" s="201"/>
      <c r="F68" s="100"/>
      <c r="G68" s="100"/>
      <c r="H68" s="72"/>
      <c r="I68" s="100"/>
      <c r="J68" s="100"/>
      <c r="K68" s="100"/>
      <c r="L68" s="100"/>
      <c r="M68" s="100"/>
      <c r="N68" s="100"/>
      <c r="O68" s="100"/>
      <c r="P68" s="100"/>
      <c r="Q68" s="100"/>
      <c r="R68" s="100"/>
      <c r="S68" s="100"/>
      <c r="T68" s="100"/>
      <c r="U68" s="100"/>
      <c r="V68" s="100"/>
      <c r="W68" s="100"/>
    </row>
    <row r="69" spans="1:23" ht="13.5" customHeight="1">
      <c r="A69" s="154">
        <v>21130906</v>
      </c>
      <c r="B69" s="100" t="s">
        <v>499</v>
      </c>
      <c r="C69" s="72">
        <v>1900500</v>
      </c>
      <c r="D69" s="216"/>
      <c r="E69" s="201"/>
      <c r="F69" s="100"/>
      <c r="G69" s="100"/>
      <c r="H69" s="100"/>
      <c r="I69" s="100"/>
      <c r="J69" s="100"/>
      <c r="K69" s="100"/>
      <c r="L69" s="100"/>
      <c r="M69" s="100"/>
      <c r="N69" s="100"/>
      <c r="O69" s="100"/>
      <c r="P69" s="100"/>
      <c r="Q69" s="100"/>
      <c r="R69" s="100"/>
      <c r="S69" s="100"/>
      <c r="T69" s="100"/>
      <c r="U69" s="100"/>
      <c r="V69" s="100"/>
      <c r="W69" s="100"/>
    </row>
    <row r="70" spans="1:23" ht="13.5" customHeight="1">
      <c r="A70" s="154">
        <v>21130908</v>
      </c>
      <c r="B70" s="72" t="s">
        <v>500</v>
      </c>
      <c r="C70" s="72">
        <v>1016000</v>
      </c>
      <c r="D70" s="216"/>
      <c r="E70" s="201"/>
      <c r="F70" s="75"/>
      <c r="G70" s="75"/>
      <c r="H70" s="75"/>
      <c r="I70" s="75"/>
      <c r="J70" s="75"/>
      <c r="K70" s="75"/>
      <c r="L70" s="75"/>
      <c r="M70" s="75"/>
      <c r="N70" s="75"/>
      <c r="O70" s="75"/>
      <c r="P70" s="75"/>
      <c r="Q70" s="75"/>
      <c r="R70" s="75"/>
      <c r="S70" s="75"/>
      <c r="T70" s="75"/>
      <c r="U70" s="75"/>
      <c r="V70" s="75"/>
      <c r="W70" s="75"/>
    </row>
    <row r="71" spans="1:23" ht="13.5" customHeight="1" thickBot="1">
      <c r="A71" s="154"/>
      <c r="B71" s="72"/>
      <c r="C71" s="72"/>
      <c r="D71" s="216"/>
      <c r="E71" s="201"/>
      <c r="F71" s="227"/>
      <c r="G71" s="223"/>
      <c r="H71" s="223"/>
      <c r="I71" s="154"/>
      <c r="J71" s="154"/>
      <c r="K71" s="154"/>
      <c r="L71" s="154"/>
      <c r="M71" s="154"/>
      <c r="N71" s="154"/>
      <c r="O71" s="154"/>
      <c r="P71" s="154"/>
      <c r="Q71" s="154"/>
      <c r="R71" s="154"/>
      <c r="S71" s="154"/>
      <c r="T71" s="154"/>
      <c r="U71" s="154"/>
      <c r="V71" s="154"/>
      <c r="W71" s="154"/>
    </row>
    <row r="72" spans="1:23" ht="13.5" customHeight="1" thickBot="1">
      <c r="A72" s="1357" t="s">
        <v>45</v>
      </c>
      <c r="B72" s="1281"/>
      <c r="C72" s="228">
        <f>C73</f>
        <v>10120000</v>
      </c>
      <c r="D72" s="213"/>
      <c r="E72" s="221"/>
      <c r="F72" s="229"/>
      <c r="G72" s="72"/>
      <c r="H72" s="230"/>
      <c r="I72" s="135"/>
      <c r="J72" s="211"/>
      <c r="K72" s="211"/>
      <c r="L72" s="211"/>
      <c r="M72" s="211"/>
      <c r="N72" s="211"/>
      <c r="O72" s="211"/>
      <c r="P72" s="211"/>
      <c r="Q72" s="211"/>
      <c r="R72" s="211"/>
      <c r="S72" s="211"/>
      <c r="T72" s="211"/>
      <c r="U72" s="211"/>
      <c r="V72" s="211"/>
      <c r="W72" s="211"/>
    </row>
    <row r="73" spans="1:23" ht="13.5" customHeight="1">
      <c r="A73" s="76">
        <v>211402</v>
      </c>
      <c r="B73" s="76" t="s">
        <v>503</v>
      </c>
      <c r="C73" s="155">
        <f>SUM(C74:C75)</f>
        <v>10120000</v>
      </c>
      <c r="D73" s="154"/>
      <c r="E73" s="215"/>
      <c r="F73" s="231"/>
      <c r="G73" s="216"/>
      <c r="H73" s="216"/>
      <c r="I73" s="100"/>
      <c r="J73" s="100"/>
      <c r="K73" s="100"/>
      <c r="L73" s="100"/>
      <c r="M73" s="100"/>
      <c r="N73" s="100"/>
      <c r="O73" s="100"/>
      <c r="P73" s="100"/>
      <c r="Q73" s="100"/>
      <c r="R73" s="100"/>
      <c r="S73" s="100"/>
      <c r="T73" s="100"/>
      <c r="U73" s="100"/>
      <c r="V73" s="100"/>
      <c r="W73" s="100"/>
    </row>
    <row r="74" spans="1:23" ht="13.5" customHeight="1">
      <c r="A74" s="154">
        <v>21140204</v>
      </c>
      <c r="B74" s="100" t="s">
        <v>556</v>
      </c>
      <c r="C74" s="72">
        <f>5000000+60000</f>
        <v>5060000</v>
      </c>
      <c r="D74" s="211"/>
      <c r="E74" s="201"/>
      <c r="F74" s="211"/>
      <c r="G74" s="211"/>
      <c r="H74" s="211"/>
      <c r="I74" s="135"/>
      <c r="J74" s="211"/>
      <c r="K74" s="211"/>
      <c r="L74" s="211"/>
      <c r="M74" s="211"/>
      <c r="N74" s="211"/>
      <c r="O74" s="211"/>
      <c r="P74" s="211"/>
      <c r="Q74" s="211"/>
      <c r="R74" s="211"/>
      <c r="S74" s="211"/>
      <c r="T74" s="211"/>
      <c r="U74" s="211"/>
      <c r="V74" s="211"/>
      <c r="W74" s="211"/>
    </row>
    <row r="75" spans="1:23" ht="13.5" customHeight="1">
      <c r="A75" s="154">
        <v>21140213</v>
      </c>
      <c r="B75" s="72" t="s">
        <v>504</v>
      </c>
      <c r="C75" s="72">
        <f>5000000+60000</f>
        <v>5060000</v>
      </c>
      <c r="D75" s="100"/>
      <c r="E75" s="201"/>
      <c r="F75" s="75"/>
      <c r="G75" s="75"/>
      <c r="H75" s="75"/>
      <c r="I75" s="75"/>
      <c r="J75" s="75"/>
      <c r="K75" s="75"/>
      <c r="L75" s="75"/>
      <c r="M75" s="75"/>
      <c r="N75" s="75"/>
      <c r="O75" s="75"/>
      <c r="P75" s="75"/>
      <c r="Q75" s="75"/>
      <c r="R75" s="75"/>
      <c r="S75" s="75"/>
      <c r="T75" s="75"/>
      <c r="U75" s="75"/>
      <c r="V75" s="75"/>
      <c r="W75" s="75"/>
    </row>
    <row r="76" spans="1:23" ht="13.5" customHeight="1" thickBot="1">
      <c r="A76" s="100"/>
      <c r="B76" s="100"/>
      <c r="C76" s="72"/>
      <c r="D76" s="230"/>
      <c r="E76" s="201"/>
      <c r="F76" s="154"/>
      <c r="G76" s="154"/>
      <c r="H76" s="154"/>
      <c r="I76" s="154"/>
      <c r="J76" s="154"/>
      <c r="K76" s="154"/>
      <c r="L76" s="154"/>
      <c r="M76" s="154"/>
      <c r="N76" s="154"/>
      <c r="O76" s="154"/>
      <c r="P76" s="154"/>
      <c r="Q76" s="154"/>
      <c r="R76" s="154"/>
      <c r="S76" s="154"/>
      <c r="T76" s="154"/>
      <c r="U76" s="154"/>
      <c r="V76" s="154"/>
      <c r="W76" s="154"/>
    </row>
    <row r="77" spans="1:23" ht="13.5" customHeight="1" thickBot="1">
      <c r="A77" s="1355" t="s">
        <v>48</v>
      </c>
      <c r="B77" s="1281"/>
      <c r="C77" s="232">
        <f>C78+C82</f>
        <v>2259800</v>
      </c>
      <c r="D77" s="213"/>
      <c r="E77" s="221"/>
      <c r="F77" s="135"/>
      <c r="G77" s="135"/>
      <c r="H77" s="135"/>
      <c r="I77" s="135"/>
      <c r="J77" s="135"/>
      <c r="K77" s="135"/>
      <c r="L77" s="135"/>
      <c r="M77" s="135"/>
      <c r="N77" s="135"/>
      <c r="O77" s="135"/>
      <c r="P77" s="135"/>
      <c r="Q77" s="135"/>
      <c r="R77" s="135"/>
      <c r="S77" s="135"/>
      <c r="T77" s="135"/>
      <c r="U77" s="135"/>
      <c r="V77" s="135"/>
      <c r="W77" s="135"/>
    </row>
    <row r="78" spans="1:23" ht="13.5" customHeight="1">
      <c r="A78" s="76">
        <v>221104</v>
      </c>
      <c r="B78" s="826" t="s">
        <v>510</v>
      </c>
      <c r="C78" s="155">
        <f>SUM(C79:C81)</f>
        <v>2179800</v>
      </c>
      <c r="D78" s="223"/>
      <c r="E78" s="215"/>
      <c r="F78" s="135"/>
      <c r="G78" s="135"/>
      <c r="H78" s="135"/>
      <c r="I78" s="135"/>
      <c r="J78" s="135"/>
      <c r="K78" s="135"/>
      <c r="L78" s="135"/>
      <c r="M78" s="135"/>
      <c r="N78" s="135"/>
      <c r="O78" s="135"/>
      <c r="P78" s="135"/>
      <c r="Q78" s="135"/>
      <c r="R78" s="135"/>
      <c r="S78" s="135"/>
      <c r="T78" s="135"/>
      <c r="U78" s="135"/>
      <c r="V78" s="135"/>
      <c r="W78" s="135"/>
    </row>
    <row r="79" spans="1:23" ht="13.5" customHeight="1">
      <c r="A79" s="154">
        <v>22110401</v>
      </c>
      <c r="B79" s="100" t="s">
        <v>511</v>
      </c>
      <c r="C79" s="72">
        <f>1000000+120000</f>
        <v>1120000</v>
      </c>
      <c r="D79" s="216"/>
      <c r="E79" s="204"/>
      <c r="F79" s="135"/>
      <c r="G79" s="135"/>
      <c r="H79" s="135"/>
      <c r="I79" s="135"/>
      <c r="J79" s="135"/>
      <c r="K79" s="135"/>
      <c r="L79" s="135"/>
      <c r="M79" s="135"/>
      <c r="N79" s="135"/>
      <c r="O79" s="135"/>
      <c r="P79" s="135"/>
      <c r="Q79" s="135"/>
      <c r="R79" s="135"/>
      <c r="S79" s="135"/>
      <c r="T79" s="135"/>
      <c r="U79" s="135"/>
      <c r="V79" s="135"/>
      <c r="W79" s="135"/>
    </row>
    <row r="80" spans="1:23" ht="13.5" customHeight="1">
      <c r="A80" s="154">
        <v>22110404</v>
      </c>
      <c r="B80" s="100" t="s">
        <v>512</v>
      </c>
      <c r="C80" s="72">
        <f>1000000+29800</f>
        <v>1029800</v>
      </c>
      <c r="D80" s="216"/>
      <c r="E80" s="204"/>
      <c r="F80" s="135"/>
      <c r="G80" s="135"/>
      <c r="H80" s="135"/>
      <c r="I80" s="135"/>
      <c r="J80" s="135"/>
      <c r="K80" s="135"/>
      <c r="L80" s="135"/>
      <c r="M80" s="135"/>
      <c r="N80" s="135"/>
      <c r="O80" s="135"/>
      <c r="P80" s="135"/>
      <c r="Q80" s="135"/>
      <c r="R80" s="135"/>
      <c r="S80" s="135"/>
      <c r="T80" s="135"/>
      <c r="U80" s="135"/>
      <c r="V80" s="135"/>
      <c r="W80" s="135"/>
    </row>
    <row r="81" spans="1:23" ht="13.5" customHeight="1">
      <c r="A81" s="154">
        <v>22110409</v>
      </c>
      <c r="B81" s="72" t="s">
        <v>513</v>
      </c>
      <c r="C81" s="72">
        <v>30000</v>
      </c>
      <c r="D81" s="233"/>
      <c r="E81" s="224"/>
      <c r="F81" s="77"/>
      <c r="G81" s="77"/>
      <c r="H81" s="77"/>
      <c r="I81" s="77"/>
      <c r="J81" s="77"/>
      <c r="K81" s="77"/>
      <c r="L81" s="77"/>
      <c r="M81" s="77"/>
      <c r="N81" s="77"/>
      <c r="O81" s="77"/>
      <c r="P81" s="77"/>
      <c r="Q81" s="77"/>
      <c r="R81" s="77"/>
      <c r="S81" s="77"/>
      <c r="T81" s="77"/>
      <c r="U81" s="77"/>
      <c r="V81" s="77"/>
      <c r="W81" s="77"/>
    </row>
    <row r="82" spans="1:23" ht="13.5" customHeight="1">
      <c r="A82" s="76">
        <v>221107</v>
      </c>
      <c r="B82" s="36" t="s">
        <v>514</v>
      </c>
      <c r="C82" s="36">
        <f>SUM(C83)</f>
        <v>80000</v>
      </c>
      <c r="D82" s="216"/>
      <c r="E82" s="204"/>
      <c r="F82" s="135"/>
      <c r="G82" s="135"/>
      <c r="H82" s="135"/>
      <c r="I82" s="135"/>
      <c r="J82" s="135"/>
      <c r="K82" s="135"/>
      <c r="L82" s="135"/>
      <c r="M82" s="135"/>
      <c r="N82" s="135"/>
      <c r="O82" s="135"/>
      <c r="P82" s="135"/>
      <c r="Q82" s="135"/>
      <c r="R82" s="135"/>
      <c r="S82" s="135"/>
      <c r="T82" s="135"/>
      <c r="U82" s="135"/>
      <c r="V82" s="135"/>
      <c r="W82" s="135"/>
    </row>
    <row r="83" spans="1:23" ht="13.5" customHeight="1">
      <c r="A83" s="154">
        <v>22110702</v>
      </c>
      <c r="B83" s="72" t="s">
        <v>515</v>
      </c>
      <c r="C83" s="72">
        <v>80000</v>
      </c>
      <c r="D83" s="216"/>
      <c r="E83" s="204"/>
      <c r="F83" s="135"/>
      <c r="G83" s="135"/>
      <c r="H83" s="135"/>
      <c r="I83" s="135"/>
      <c r="J83" s="135"/>
      <c r="K83" s="135"/>
      <c r="L83" s="135"/>
      <c r="M83" s="135"/>
      <c r="N83" s="135"/>
      <c r="O83" s="135"/>
      <c r="P83" s="135"/>
      <c r="Q83" s="135"/>
      <c r="R83" s="135"/>
      <c r="S83" s="135"/>
      <c r="T83" s="135"/>
      <c r="U83" s="135"/>
      <c r="V83" s="135"/>
      <c r="W83" s="135"/>
    </row>
    <row r="84" spans="1:23" ht="13.5" customHeight="1">
      <c r="A84" s="154"/>
      <c r="B84" s="72"/>
      <c r="C84" s="72"/>
      <c r="D84" s="216"/>
      <c r="E84" s="204"/>
      <c r="F84" s="135"/>
      <c r="G84" s="135"/>
      <c r="H84" s="135"/>
      <c r="I84" s="135"/>
      <c r="J84" s="135"/>
      <c r="K84" s="135"/>
      <c r="L84" s="135"/>
      <c r="M84" s="135"/>
      <c r="N84" s="135"/>
      <c r="O84" s="135"/>
      <c r="P84" s="135"/>
      <c r="Q84" s="135"/>
      <c r="R84" s="135"/>
      <c r="S84" s="135"/>
      <c r="T84" s="135"/>
      <c r="U84" s="135"/>
      <c r="V84" s="135"/>
      <c r="W84" s="135"/>
    </row>
    <row r="85" spans="1:23" ht="13.5" customHeight="1" thickBot="1">
      <c r="A85" s="100"/>
      <c r="B85" s="72"/>
      <c r="C85" s="72"/>
      <c r="D85" s="216"/>
      <c r="E85" s="204"/>
      <c r="F85" s="135"/>
      <c r="G85" s="135"/>
      <c r="H85" s="135"/>
      <c r="I85" s="135"/>
      <c r="J85" s="135"/>
      <c r="K85" s="135"/>
      <c r="L85" s="135"/>
      <c r="M85" s="135"/>
      <c r="N85" s="135"/>
      <c r="O85" s="135"/>
      <c r="P85" s="135"/>
      <c r="Q85" s="135"/>
      <c r="R85" s="135"/>
      <c r="S85" s="135"/>
      <c r="T85" s="135"/>
      <c r="U85" s="135"/>
      <c r="V85" s="135"/>
      <c r="W85" s="135"/>
    </row>
    <row r="86" spans="1:23" ht="13.5" customHeight="1">
      <c r="A86" s="1308" t="s">
        <v>284</v>
      </c>
      <c r="B86" s="1309"/>
      <c r="C86" s="1236">
        <v>1502</v>
      </c>
      <c r="D86" s="218"/>
      <c r="E86" s="218"/>
      <c r="F86" s="218"/>
      <c r="G86" s="218"/>
      <c r="H86" s="218"/>
      <c r="I86" s="218"/>
      <c r="J86" s="218"/>
      <c r="K86" s="218"/>
      <c r="L86" s="218"/>
      <c r="M86" s="218"/>
      <c r="N86" s="218"/>
      <c r="O86" s="218"/>
      <c r="P86" s="218"/>
      <c r="Q86" s="218"/>
      <c r="R86" s="218"/>
      <c r="S86" s="218"/>
      <c r="T86" s="218"/>
      <c r="U86" s="218"/>
      <c r="V86" s="218"/>
      <c r="W86" s="218"/>
    </row>
    <row r="87" spans="1:23" ht="13.5" customHeight="1" thickBot="1">
      <c r="A87" s="1344"/>
      <c r="B87" s="1345"/>
      <c r="C87" s="1237"/>
      <c r="D87" s="216"/>
      <c r="E87" s="204"/>
      <c r="F87" s="100"/>
      <c r="G87" s="100"/>
      <c r="H87" s="100"/>
      <c r="I87" s="100"/>
      <c r="J87" s="100"/>
      <c r="K87" s="100"/>
      <c r="L87" s="100"/>
      <c r="M87" s="100"/>
      <c r="N87" s="100"/>
      <c r="O87" s="100"/>
      <c r="P87" s="100"/>
      <c r="Q87" s="100"/>
      <c r="R87" s="100"/>
      <c r="S87" s="100"/>
      <c r="T87" s="100"/>
      <c r="U87" s="100"/>
      <c r="V87" s="100"/>
      <c r="W87" s="100"/>
    </row>
    <row r="88" spans="1:23" ht="13.5" customHeight="1">
      <c r="A88" s="609" t="s">
        <v>671</v>
      </c>
      <c r="B88" s="612"/>
      <c r="C88" s="626"/>
      <c r="D88" s="200"/>
      <c r="E88" s="201"/>
      <c r="F88" s="75"/>
      <c r="G88" s="75"/>
      <c r="H88" s="75"/>
      <c r="I88" s="75"/>
      <c r="J88" s="75"/>
      <c r="K88" s="75"/>
      <c r="L88" s="75"/>
      <c r="M88" s="75"/>
      <c r="N88" s="75"/>
      <c r="O88" s="75"/>
      <c r="P88" s="75"/>
      <c r="Q88" s="75"/>
      <c r="R88" s="75"/>
      <c r="S88" s="75"/>
      <c r="T88" s="75"/>
      <c r="U88" s="75"/>
      <c r="V88" s="75"/>
      <c r="W88" s="75"/>
    </row>
    <row r="89" spans="1:23" ht="13.5" customHeight="1">
      <c r="A89" s="609" t="s">
        <v>722</v>
      </c>
      <c r="B89" s="611"/>
      <c r="C89" s="626"/>
      <c r="D89" s="200"/>
      <c r="E89" s="201"/>
      <c r="F89" s="100"/>
      <c r="G89" s="100"/>
      <c r="H89" s="100"/>
      <c r="I89" s="100"/>
      <c r="J89" s="100"/>
      <c r="K89" s="100"/>
      <c r="L89" s="100"/>
      <c r="M89" s="100"/>
      <c r="N89" s="100"/>
      <c r="O89" s="100"/>
      <c r="P89" s="100"/>
      <c r="Q89" s="100"/>
      <c r="R89" s="100"/>
      <c r="S89" s="100"/>
      <c r="T89" s="100"/>
      <c r="U89" s="100"/>
      <c r="V89" s="100"/>
      <c r="W89" s="100"/>
    </row>
    <row r="90" spans="1:23" ht="13.5" customHeight="1">
      <c r="A90" s="609" t="s">
        <v>723</v>
      </c>
      <c r="B90" s="611"/>
      <c r="C90" s="626"/>
      <c r="D90" s="200"/>
      <c r="E90" s="201"/>
      <c r="F90" s="154"/>
      <c r="G90" s="154"/>
      <c r="H90" s="154"/>
      <c r="I90" s="154"/>
      <c r="J90" s="154"/>
      <c r="K90" s="154"/>
      <c r="L90" s="154"/>
      <c r="M90" s="154"/>
      <c r="N90" s="154"/>
      <c r="O90" s="154"/>
      <c r="P90" s="154"/>
      <c r="Q90" s="154"/>
      <c r="R90" s="154"/>
      <c r="S90" s="154"/>
      <c r="T90" s="154"/>
      <c r="U90" s="154"/>
      <c r="V90" s="154"/>
      <c r="W90" s="154"/>
    </row>
    <row r="91" spans="1:23" ht="13.5" customHeight="1" thickBot="1">
      <c r="A91" s="609" t="s">
        <v>0</v>
      </c>
      <c r="B91" s="611"/>
      <c r="C91" s="626"/>
      <c r="D91" s="114"/>
      <c r="E91" s="221"/>
      <c r="F91" s="100"/>
      <c r="G91" s="100"/>
      <c r="H91" s="100"/>
      <c r="I91" s="100"/>
      <c r="J91" s="100"/>
      <c r="K91" s="100"/>
      <c r="L91" s="100"/>
      <c r="M91" s="100"/>
      <c r="N91" s="100"/>
      <c r="O91" s="100"/>
      <c r="P91" s="100"/>
      <c r="Q91" s="100"/>
      <c r="R91" s="100"/>
      <c r="S91" s="100"/>
      <c r="T91" s="100"/>
      <c r="U91" s="100"/>
      <c r="V91" s="100"/>
      <c r="W91" s="100"/>
    </row>
    <row r="92" spans="1:23" ht="13.5" customHeight="1" thickBot="1">
      <c r="A92" s="627" t="s">
        <v>1</v>
      </c>
      <c r="B92" s="628"/>
      <c r="C92" s="638">
        <f>C94+C112+C128+C121</f>
        <v>74167300</v>
      </c>
      <c r="D92" s="206"/>
      <c r="E92" s="201"/>
      <c r="F92" s="100"/>
      <c r="G92" s="100"/>
      <c r="H92" s="100"/>
      <c r="I92" s="100"/>
      <c r="J92" s="100"/>
      <c r="K92" s="100"/>
      <c r="L92" s="100"/>
      <c r="M92" s="100"/>
      <c r="N92" s="100"/>
      <c r="O92" s="100"/>
      <c r="P92" s="100"/>
      <c r="Q92" s="100"/>
      <c r="R92" s="100"/>
      <c r="S92" s="100"/>
      <c r="T92" s="100"/>
      <c r="U92" s="100"/>
      <c r="V92" s="100"/>
      <c r="W92" s="100"/>
    </row>
    <row r="93" spans="1:23" ht="13.5" customHeight="1" thickBot="1">
      <c r="A93" s="75"/>
      <c r="B93" s="75"/>
      <c r="C93" s="36"/>
      <c r="D93" s="206"/>
      <c r="E93" s="221"/>
      <c r="F93" s="100"/>
      <c r="G93" s="100"/>
      <c r="H93" s="100"/>
      <c r="I93" s="100"/>
      <c r="J93" s="100"/>
      <c r="K93" s="100"/>
      <c r="L93" s="100"/>
      <c r="M93" s="100"/>
      <c r="N93" s="100"/>
      <c r="O93" s="100"/>
      <c r="P93" s="100"/>
      <c r="Q93" s="100"/>
      <c r="R93" s="100"/>
      <c r="S93" s="100"/>
      <c r="T93" s="100"/>
      <c r="U93" s="100"/>
      <c r="V93" s="100"/>
      <c r="W93" s="100"/>
    </row>
    <row r="94" spans="1:23" ht="13.5" customHeight="1" thickBot="1">
      <c r="A94" s="1356" t="s">
        <v>9</v>
      </c>
      <c r="B94" s="1281"/>
      <c r="C94" s="212">
        <f>C95+C100+C102+C108+C104+C97</f>
        <v>2449500</v>
      </c>
      <c r="D94" s="206"/>
      <c r="E94" s="215"/>
      <c r="F94" s="100"/>
      <c r="G94" s="100"/>
      <c r="H94" s="100"/>
      <c r="I94" s="100"/>
      <c r="J94" s="100"/>
      <c r="K94" s="100"/>
      <c r="L94" s="100"/>
      <c r="M94" s="100"/>
      <c r="N94" s="100"/>
      <c r="O94" s="100"/>
      <c r="P94" s="100"/>
      <c r="Q94" s="100"/>
      <c r="R94" s="100"/>
      <c r="S94" s="100"/>
      <c r="T94" s="100"/>
      <c r="U94" s="100"/>
      <c r="V94" s="100"/>
      <c r="W94" s="100"/>
    </row>
    <row r="95" spans="1:23" ht="13.5" customHeight="1">
      <c r="A95" s="76">
        <v>211201</v>
      </c>
      <c r="B95" s="76" t="s">
        <v>459</v>
      </c>
      <c r="C95" s="155">
        <f>C96</f>
        <v>550000</v>
      </c>
      <c r="D95" s="201"/>
      <c r="E95" s="251"/>
      <c r="F95" s="135"/>
      <c r="G95" s="135"/>
      <c r="H95" s="135"/>
      <c r="I95" s="135"/>
      <c r="J95" s="135"/>
      <c r="K95" s="135"/>
      <c r="L95" s="135"/>
      <c r="M95" s="135"/>
      <c r="N95" s="135"/>
      <c r="O95" s="135"/>
      <c r="P95" s="135"/>
      <c r="Q95" s="135"/>
      <c r="R95" s="135"/>
      <c r="S95" s="135"/>
      <c r="T95" s="135"/>
      <c r="U95" s="135"/>
      <c r="V95" s="135"/>
      <c r="W95" s="135"/>
    </row>
    <row r="96" spans="1:23" ht="13.5" customHeight="1">
      <c r="A96" s="154">
        <v>21120101</v>
      </c>
      <c r="B96" s="100" t="s">
        <v>460</v>
      </c>
      <c r="C96" s="72">
        <f>500000+50000</f>
        <v>550000</v>
      </c>
      <c r="D96" s="214"/>
      <c r="E96" s="251"/>
      <c r="F96" s="251"/>
      <c r="G96" s="135"/>
      <c r="H96" s="135"/>
      <c r="I96" s="135"/>
      <c r="J96" s="135"/>
      <c r="K96" s="135"/>
      <c r="L96" s="135"/>
      <c r="M96" s="135"/>
      <c r="N96" s="135"/>
      <c r="O96" s="135"/>
      <c r="P96" s="135"/>
      <c r="Q96" s="135"/>
      <c r="R96" s="135"/>
      <c r="S96" s="135"/>
      <c r="T96" s="135"/>
      <c r="U96" s="135"/>
      <c r="V96" s="135"/>
      <c r="W96" s="135"/>
    </row>
    <row r="97" spans="1:23" ht="13.5" customHeight="1">
      <c r="A97" s="76">
        <v>211202</v>
      </c>
      <c r="B97" s="75" t="s">
        <v>529</v>
      </c>
      <c r="C97" s="36">
        <f>+SUM(C98:C99)</f>
        <v>697000</v>
      </c>
      <c r="D97" s="214"/>
      <c r="E97" s="251"/>
      <c r="F97" s="251"/>
      <c r="G97" s="135"/>
      <c r="H97" s="135"/>
      <c r="I97" s="135"/>
      <c r="J97" s="135"/>
      <c r="K97" s="135"/>
      <c r="L97" s="135"/>
      <c r="M97" s="135"/>
      <c r="N97" s="135"/>
      <c r="O97" s="135"/>
      <c r="P97" s="135"/>
      <c r="Q97" s="135"/>
      <c r="R97" s="135"/>
      <c r="S97" s="135"/>
      <c r="T97" s="135"/>
      <c r="U97" s="135"/>
      <c r="V97" s="135"/>
      <c r="W97" s="135"/>
    </row>
    <row r="98" spans="1:23" ht="13.5" customHeight="1">
      <c r="A98" s="154">
        <v>21120201</v>
      </c>
      <c r="B98" s="100" t="s">
        <v>540</v>
      </c>
      <c r="C98" s="72">
        <f>200000+60000</f>
        <v>260000</v>
      </c>
      <c r="D98" s="214"/>
      <c r="E98" s="251"/>
      <c r="F98" s="251"/>
      <c r="G98" s="135"/>
      <c r="H98" s="135"/>
      <c r="I98" s="135"/>
      <c r="J98" s="135"/>
      <c r="K98" s="135"/>
      <c r="L98" s="135"/>
      <c r="M98" s="135"/>
      <c r="N98" s="135"/>
      <c r="O98" s="135"/>
      <c r="P98" s="135"/>
      <c r="Q98" s="135"/>
      <c r="R98" s="135"/>
      <c r="S98" s="135"/>
      <c r="T98" s="135"/>
      <c r="U98" s="135"/>
      <c r="V98" s="135"/>
      <c r="W98" s="135"/>
    </row>
    <row r="99" spans="1:23" ht="13.5" customHeight="1">
      <c r="A99" s="154">
        <v>21120202</v>
      </c>
      <c r="B99" s="77" t="s">
        <v>530</v>
      </c>
      <c r="C99" s="72">
        <f>637000-200000</f>
        <v>437000</v>
      </c>
      <c r="D99" s="201"/>
      <c r="E99" s="251"/>
      <c r="F99" s="251"/>
      <c r="G99" s="135"/>
      <c r="H99" s="135"/>
      <c r="I99" s="135"/>
      <c r="J99" s="135"/>
      <c r="K99" s="135"/>
      <c r="L99" s="135"/>
      <c r="M99" s="135"/>
      <c r="N99" s="135"/>
      <c r="O99" s="135"/>
      <c r="P99" s="135"/>
      <c r="Q99" s="135"/>
      <c r="R99" s="135"/>
      <c r="S99" s="135"/>
      <c r="T99" s="135"/>
      <c r="U99" s="135"/>
      <c r="V99" s="135"/>
      <c r="W99" s="135"/>
    </row>
    <row r="100" spans="1:23" ht="13.5" customHeight="1">
      <c r="A100" s="76">
        <v>211203</v>
      </c>
      <c r="B100" s="75" t="s">
        <v>461</v>
      </c>
      <c r="C100" s="36">
        <f>SUM(C101)</f>
        <v>130000</v>
      </c>
      <c r="D100" s="251"/>
      <c r="E100" s="214"/>
      <c r="F100" s="135"/>
      <c r="G100" s="135"/>
      <c r="H100" s="135"/>
      <c r="I100" s="135"/>
      <c r="J100" s="135"/>
      <c r="K100" s="135"/>
      <c r="L100" s="135"/>
      <c r="M100" s="135"/>
      <c r="N100" s="135"/>
      <c r="O100" s="135"/>
      <c r="P100" s="135"/>
      <c r="Q100" s="135"/>
      <c r="R100" s="135"/>
      <c r="S100" s="135"/>
      <c r="T100" s="135"/>
      <c r="U100" s="135"/>
      <c r="V100" s="135"/>
      <c r="W100" s="135"/>
    </row>
    <row r="101" spans="1:23" ht="13.5" customHeight="1">
      <c r="A101" s="154">
        <v>21120302</v>
      </c>
      <c r="B101" s="100" t="s">
        <v>462</v>
      </c>
      <c r="C101" s="72">
        <v>130000</v>
      </c>
      <c r="D101" s="251"/>
      <c r="E101" s="216"/>
      <c r="F101" s="201"/>
      <c r="G101" s="135"/>
      <c r="H101" s="135"/>
      <c r="I101" s="135"/>
      <c r="J101" s="135"/>
      <c r="K101" s="135"/>
      <c r="L101" s="135"/>
      <c r="M101" s="135"/>
      <c r="N101" s="135"/>
      <c r="O101" s="135"/>
      <c r="P101" s="135"/>
      <c r="Q101" s="135"/>
      <c r="R101" s="135"/>
      <c r="S101" s="135"/>
      <c r="T101" s="135"/>
      <c r="U101" s="135"/>
      <c r="V101" s="135"/>
      <c r="W101" s="135"/>
    </row>
    <row r="102" spans="1:23" ht="13.5" customHeight="1">
      <c r="A102" s="76">
        <v>211204</v>
      </c>
      <c r="B102" s="75" t="s">
        <v>463</v>
      </c>
      <c r="C102" s="36">
        <f>SUM(C103)</f>
        <v>460500</v>
      </c>
      <c r="D102" s="216"/>
      <c r="E102" s="204"/>
      <c r="F102" s="251"/>
      <c r="G102" s="135"/>
      <c r="H102" s="135"/>
      <c r="I102" s="135"/>
      <c r="J102" s="135"/>
      <c r="K102" s="135"/>
      <c r="L102" s="135"/>
      <c r="M102" s="135"/>
      <c r="N102" s="135"/>
      <c r="O102" s="135"/>
      <c r="P102" s="135"/>
      <c r="Q102" s="135"/>
      <c r="R102" s="135"/>
      <c r="S102" s="135"/>
      <c r="T102" s="135"/>
      <c r="U102" s="135"/>
      <c r="V102" s="135"/>
      <c r="W102" s="135"/>
    </row>
    <row r="103" spans="1:23" ht="13.5" customHeight="1">
      <c r="A103" s="154">
        <v>21120401</v>
      </c>
      <c r="B103" s="72" t="s">
        <v>464</v>
      </c>
      <c r="C103" s="72">
        <f>260500+200000</f>
        <v>460500</v>
      </c>
      <c r="D103" s="204"/>
      <c r="E103" s="204"/>
      <c r="F103" s="135"/>
      <c r="G103" s="135"/>
      <c r="H103" s="135"/>
      <c r="I103" s="135"/>
      <c r="J103" s="135"/>
      <c r="K103" s="135"/>
      <c r="L103" s="135"/>
      <c r="M103" s="135"/>
      <c r="N103" s="135"/>
      <c r="O103" s="135"/>
      <c r="P103" s="135"/>
      <c r="Q103" s="135"/>
      <c r="R103" s="135"/>
      <c r="S103" s="135"/>
      <c r="T103" s="135"/>
      <c r="U103" s="135"/>
      <c r="V103" s="135"/>
      <c r="W103" s="135"/>
    </row>
    <row r="104" spans="1:23" ht="13.5" customHeight="1">
      <c r="A104" s="76">
        <v>211207</v>
      </c>
      <c r="B104" s="848" t="s">
        <v>467</v>
      </c>
      <c r="C104" s="36">
        <f>SUM(C105:C107)</f>
        <v>238000</v>
      </c>
      <c r="D104" s="201"/>
      <c r="E104" s="204"/>
      <c r="F104" s="135"/>
      <c r="G104" s="135"/>
      <c r="H104" s="135"/>
      <c r="I104" s="135"/>
      <c r="J104" s="135"/>
      <c r="K104" s="135"/>
      <c r="L104" s="135"/>
      <c r="M104" s="135"/>
      <c r="N104" s="135"/>
      <c r="O104" s="135"/>
      <c r="P104" s="135"/>
      <c r="Q104" s="135"/>
      <c r="R104" s="135"/>
      <c r="S104" s="135"/>
      <c r="T104" s="135"/>
      <c r="U104" s="135"/>
      <c r="V104" s="135"/>
      <c r="W104" s="135"/>
    </row>
    <row r="105" spans="1:23" ht="13.5" customHeight="1">
      <c r="A105" s="154">
        <v>21120702</v>
      </c>
      <c r="B105" s="77" t="s">
        <v>468</v>
      </c>
      <c r="C105" s="72">
        <f>100000+7000</f>
        <v>107000</v>
      </c>
      <c r="D105" s="218"/>
      <c r="E105" s="218"/>
      <c r="F105" s="218"/>
      <c r="G105" s="218"/>
      <c r="H105" s="218"/>
      <c r="I105" s="218"/>
      <c r="J105" s="218"/>
      <c r="K105" s="218"/>
      <c r="L105" s="218"/>
      <c r="M105" s="218"/>
      <c r="N105" s="218"/>
      <c r="O105" s="218"/>
      <c r="P105" s="218"/>
      <c r="Q105" s="218"/>
      <c r="R105" s="218"/>
      <c r="S105" s="218"/>
      <c r="T105" s="218"/>
      <c r="U105" s="218"/>
      <c r="V105" s="218"/>
      <c r="W105" s="218"/>
    </row>
    <row r="106" spans="1:23" ht="13.5" customHeight="1">
      <c r="A106" s="154">
        <v>21120708</v>
      </c>
      <c r="B106" s="77" t="s">
        <v>470</v>
      </c>
      <c r="C106" s="72">
        <f>100000+9500</f>
        <v>109500</v>
      </c>
      <c r="D106" s="218"/>
      <c r="E106" s="218"/>
      <c r="F106" s="218"/>
      <c r="G106" s="218"/>
      <c r="H106" s="218"/>
      <c r="I106" s="218"/>
      <c r="J106" s="218"/>
      <c r="K106" s="218"/>
      <c r="L106" s="218"/>
      <c r="M106" s="218"/>
      <c r="N106" s="218"/>
      <c r="O106" s="218"/>
      <c r="P106" s="218"/>
      <c r="Q106" s="218"/>
      <c r="R106" s="218"/>
      <c r="S106" s="218"/>
      <c r="T106" s="218"/>
      <c r="U106" s="218"/>
      <c r="V106" s="218"/>
      <c r="W106" s="218"/>
    </row>
    <row r="107" spans="1:23" ht="13.5" customHeight="1">
      <c r="A107" s="154">
        <v>21120709</v>
      </c>
      <c r="B107" s="72" t="s">
        <v>471</v>
      </c>
      <c r="C107" s="72">
        <v>21500</v>
      </c>
      <c r="D107" s="218"/>
      <c r="E107" s="218"/>
      <c r="F107" s="218"/>
      <c r="G107" s="218"/>
      <c r="H107" s="218"/>
      <c r="I107" s="218"/>
      <c r="J107" s="218"/>
      <c r="K107" s="218"/>
      <c r="L107" s="218"/>
      <c r="M107" s="218"/>
      <c r="N107" s="218"/>
      <c r="O107" s="218"/>
      <c r="P107" s="218"/>
      <c r="Q107" s="218"/>
      <c r="R107" s="218"/>
      <c r="S107" s="218"/>
      <c r="T107" s="218"/>
      <c r="U107" s="218"/>
      <c r="V107" s="218"/>
      <c r="W107" s="218"/>
    </row>
    <row r="108" spans="1:23" ht="13.5" customHeight="1">
      <c r="A108" s="76">
        <v>211209</v>
      </c>
      <c r="B108" s="36" t="s">
        <v>477</v>
      </c>
      <c r="C108" s="36">
        <f>+SUM(C109:C110)</f>
        <v>374000</v>
      </c>
      <c r="D108" s="135"/>
      <c r="E108" s="135"/>
      <c r="F108" s="135"/>
      <c r="G108" s="135"/>
      <c r="H108" s="135"/>
      <c r="I108" s="135"/>
      <c r="J108" s="135"/>
      <c r="K108" s="135"/>
      <c r="L108" s="135"/>
      <c r="M108" s="135"/>
      <c r="N108" s="135"/>
      <c r="O108" s="135"/>
      <c r="P108" s="135"/>
      <c r="Q108" s="135"/>
      <c r="R108" s="135"/>
      <c r="S108" s="135"/>
      <c r="T108" s="135"/>
      <c r="U108" s="135"/>
      <c r="V108" s="135"/>
      <c r="W108" s="135"/>
    </row>
    <row r="109" spans="1:23" ht="13.5" customHeight="1">
      <c r="A109" s="154">
        <v>21120901</v>
      </c>
      <c r="B109" s="72" t="s">
        <v>478</v>
      </c>
      <c r="C109" s="72">
        <v>51000</v>
      </c>
      <c r="D109" s="218"/>
      <c r="E109" s="218"/>
      <c r="F109" s="218"/>
      <c r="G109" s="218"/>
      <c r="H109" s="218"/>
      <c r="I109" s="218"/>
      <c r="J109" s="218"/>
      <c r="K109" s="218"/>
      <c r="L109" s="218"/>
      <c r="M109" s="218"/>
      <c r="N109" s="218"/>
      <c r="O109" s="218"/>
      <c r="P109" s="218"/>
      <c r="Q109" s="218"/>
      <c r="R109" s="218"/>
      <c r="S109" s="218"/>
      <c r="T109" s="218"/>
      <c r="U109" s="218"/>
      <c r="V109" s="218"/>
      <c r="W109" s="218"/>
    </row>
    <row r="110" spans="1:23" ht="13.5" customHeight="1">
      <c r="A110" s="154">
        <v>21120906</v>
      </c>
      <c r="B110" s="72" t="s">
        <v>479</v>
      </c>
      <c r="C110" s="72">
        <f>500000+23000-200000</f>
        <v>323000</v>
      </c>
      <c r="D110" s="135"/>
      <c r="E110" s="135"/>
      <c r="F110" s="135"/>
      <c r="G110" s="135"/>
      <c r="H110" s="135"/>
      <c r="I110" s="135"/>
      <c r="J110" s="135"/>
      <c r="K110" s="135"/>
      <c r="L110" s="135"/>
      <c r="M110" s="135"/>
      <c r="N110" s="135"/>
      <c r="O110" s="135"/>
      <c r="P110" s="135"/>
      <c r="Q110" s="135"/>
      <c r="R110" s="135"/>
      <c r="S110" s="135"/>
      <c r="T110" s="135"/>
      <c r="U110" s="135"/>
      <c r="V110" s="135"/>
      <c r="W110" s="135"/>
    </row>
    <row r="111" spans="1:23" ht="13.5" customHeight="1" thickBot="1">
      <c r="A111" s="100"/>
      <c r="B111" s="72"/>
      <c r="C111" s="72"/>
      <c r="D111" s="251"/>
      <c r="E111" s="216"/>
      <c r="F111" s="135"/>
      <c r="G111" s="135"/>
      <c r="H111" s="135"/>
      <c r="I111" s="135"/>
      <c r="J111" s="135"/>
      <c r="K111" s="135"/>
      <c r="L111" s="135"/>
      <c r="M111" s="135"/>
      <c r="N111" s="135"/>
      <c r="O111" s="135"/>
      <c r="P111" s="135"/>
      <c r="Q111" s="135"/>
      <c r="R111" s="135"/>
      <c r="S111" s="135"/>
      <c r="T111" s="135"/>
      <c r="U111" s="135"/>
      <c r="V111" s="135"/>
      <c r="W111" s="135"/>
    </row>
    <row r="112" spans="1:23" ht="13.5" customHeight="1" thickBot="1">
      <c r="A112" s="1354" t="s">
        <v>4</v>
      </c>
      <c r="B112" s="1281"/>
      <c r="C112" s="220">
        <f>+C116+C113</f>
        <v>3746000</v>
      </c>
      <c r="D112" s="251"/>
      <c r="E112" s="216"/>
      <c r="F112" s="259"/>
      <c r="G112" s="75"/>
      <c r="H112" s="75"/>
      <c r="I112" s="75"/>
      <c r="J112" s="75"/>
      <c r="K112" s="75"/>
      <c r="L112" s="75"/>
      <c r="M112" s="75"/>
      <c r="N112" s="75"/>
      <c r="O112" s="75"/>
      <c r="P112" s="75"/>
      <c r="Q112" s="75"/>
      <c r="R112" s="75"/>
      <c r="S112" s="75"/>
      <c r="T112" s="75"/>
      <c r="U112" s="75"/>
      <c r="V112" s="75"/>
      <c r="W112" s="75"/>
    </row>
    <row r="113" spans="1:23" ht="13.5" customHeight="1">
      <c r="A113" s="76">
        <v>211305</v>
      </c>
      <c r="B113" s="36" t="s">
        <v>489</v>
      </c>
      <c r="C113" s="36">
        <f>SUM(C114:C115)</f>
        <v>3148000</v>
      </c>
      <c r="D113" s="216"/>
      <c r="E113" s="204"/>
      <c r="F113" s="216"/>
      <c r="G113" s="100"/>
      <c r="H113" s="100"/>
      <c r="I113" s="100"/>
      <c r="J113" s="100"/>
      <c r="K113" s="100"/>
      <c r="L113" s="100"/>
      <c r="M113" s="100"/>
      <c r="N113" s="100"/>
      <c r="O113" s="100"/>
      <c r="P113" s="100"/>
      <c r="Q113" s="100"/>
      <c r="R113" s="100"/>
      <c r="S113" s="100"/>
      <c r="T113" s="100"/>
      <c r="U113" s="100"/>
      <c r="V113" s="100"/>
      <c r="W113" s="100"/>
    </row>
    <row r="114" spans="1:23" ht="13.5" customHeight="1">
      <c r="A114" s="154">
        <v>21130501</v>
      </c>
      <c r="B114" s="77" t="s">
        <v>490</v>
      </c>
      <c r="C114" s="72">
        <f>8000+80000</f>
        <v>88000</v>
      </c>
      <c r="D114" s="251"/>
      <c r="E114" s="216"/>
      <c r="F114" s="251"/>
      <c r="G114" s="100"/>
      <c r="H114" s="100"/>
      <c r="I114" s="100"/>
      <c r="J114" s="100"/>
      <c r="K114" s="100"/>
      <c r="L114" s="100"/>
      <c r="M114" s="100"/>
      <c r="N114" s="100"/>
      <c r="O114" s="100"/>
      <c r="P114" s="100"/>
      <c r="Q114" s="100"/>
      <c r="R114" s="100"/>
      <c r="S114" s="100"/>
      <c r="T114" s="100"/>
      <c r="U114" s="100"/>
      <c r="V114" s="100"/>
      <c r="W114" s="100"/>
    </row>
    <row r="115" spans="1:23" ht="13.5" customHeight="1">
      <c r="A115" s="154">
        <v>21130502</v>
      </c>
      <c r="B115" s="72" t="s">
        <v>491</v>
      </c>
      <c r="C115" s="72">
        <f>3000000+60000</f>
        <v>3060000</v>
      </c>
      <c r="D115" s="251"/>
      <c r="E115" s="213"/>
      <c r="F115" s="216"/>
      <c r="G115" s="100"/>
      <c r="H115" s="100"/>
      <c r="I115" s="100"/>
      <c r="J115" s="100"/>
      <c r="K115" s="100"/>
      <c r="L115" s="100"/>
      <c r="M115" s="100"/>
      <c r="N115" s="100"/>
      <c r="O115" s="100"/>
      <c r="P115" s="100"/>
      <c r="Q115" s="100"/>
      <c r="R115" s="100"/>
      <c r="S115" s="100"/>
      <c r="T115" s="100"/>
      <c r="U115" s="100"/>
      <c r="V115" s="100"/>
      <c r="W115" s="100"/>
    </row>
    <row r="116" spans="1:23" ht="13.5" customHeight="1">
      <c r="A116" s="76">
        <v>211309</v>
      </c>
      <c r="B116" s="36" t="s">
        <v>496</v>
      </c>
      <c r="C116" s="36">
        <f>+SUM(C117:C119)</f>
        <v>598000</v>
      </c>
      <c r="D116" s="255"/>
      <c r="E116" s="223"/>
      <c r="F116" s="216"/>
      <c r="G116" s="100"/>
      <c r="H116" s="100"/>
      <c r="I116" s="100"/>
      <c r="J116" s="100"/>
      <c r="K116" s="100"/>
      <c r="L116" s="100"/>
      <c r="M116" s="100"/>
      <c r="N116" s="100"/>
      <c r="O116" s="100"/>
      <c r="P116" s="100"/>
      <c r="Q116" s="100"/>
      <c r="R116" s="100"/>
      <c r="S116" s="100"/>
      <c r="T116" s="100"/>
      <c r="U116" s="100"/>
      <c r="V116" s="100"/>
      <c r="W116" s="100"/>
    </row>
    <row r="117" spans="1:23" ht="13.5" customHeight="1">
      <c r="A117" s="154">
        <v>21130901</v>
      </c>
      <c r="B117" s="72" t="s">
        <v>497</v>
      </c>
      <c r="C117" s="72">
        <f>40000+100000</f>
        <v>140000</v>
      </c>
      <c r="D117" s="251"/>
      <c r="E117" s="216"/>
      <c r="F117" s="216"/>
      <c r="G117" s="75"/>
      <c r="H117" s="75"/>
      <c r="I117" s="75"/>
      <c r="J117" s="75"/>
      <c r="K117" s="75"/>
      <c r="L117" s="75"/>
      <c r="M117" s="75"/>
      <c r="N117" s="75"/>
      <c r="O117" s="75"/>
      <c r="P117" s="75"/>
      <c r="Q117" s="75"/>
      <c r="R117" s="75"/>
      <c r="S117" s="75"/>
      <c r="T117" s="75"/>
      <c r="U117" s="75"/>
      <c r="V117" s="75"/>
      <c r="W117" s="75"/>
    </row>
    <row r="118" spans="1:23" ht="13.5" customHeight="1">
      <c r="A118" s="154">
        <v>21130903</v>
      </c>
      <c r="B118" s="72" t="s">
        <v>498</v>
      </c>
      <c r="C118" s="72">
        <f>50000+16000</f>
        <v>66000</v>
      </c>
      <c r="D118" s="216"/>
      <c r="E118" s="201"/>
      <c r="F118" s="135"/>
      <c r="G118" s="135"/>
      <c r="H118" s="135"/>
      <c r="I118" s="135"/>
      <c r="J118" s="135"/>
      <c r="K118" s="135"/>
      <c r="L118" s="135"/>
      <c r="M118" s="135"/>
      <c r="N118" s="135"/>
      <c r="O118" s="135"/>
      <c r="P118" s="135"/>
      <c r="Q118" s="135"/>
      <c r="R118" s="135"/>
      <c r="S118" s="135"/>
      <c r="T118" s="135"/>
      <c r="U118" s="135"/>
      <c r="V118" s="135"/>
      <c r="W118" s="135"/>
    </row>
    <row r="119" spans="1:23" ht="13.5" customHeight="1">
      <c r="A119" s="154">
        <v>21130908</v>
      </c>
      <c r="B119" s="72" t="s">
        <v>500</v>
      </c>
      <c r="C119" s="72">
        <f>100000+292000</f>
        <v>392000</v>
      </c>
      <c r="D119" s="215"/>
      <c r="E119" s="100"/>
      <c r="F119" s="100"/>
      <c r="G119" s="100"/>
      <c r="H119" s="100"/>
      <c r="I119" s="100"/>
      <c r="J119" s="100"/>
      <c r="K119" s="100"/>
      <c r="L119" s="100"/>
      <c r="M119" s="100"/>
      <c r="N119" s="100"/>
      <c r="O119" s="100"/>
      <c r="P119" s="100"/>
      <c r="Q119" s="100"/>
      <c r="R119" s="100"/>
      <c r="S119" s="100"/>
      <c r="T119" s="100"/>
      <c r="U119" s="100"/>
      <c r="V119" s="100"/>
      <c r="W119" s="100"/>
    </row>
    <row r="120" spans="1:23" ht="13.5" customHeight="1" thickBot="1">
      <c r="A120" s="100"/>
      <c r="B120" s="100"/>
      <c r="C120" s="72"/>
      <c r="D120" s="201"/>
      <c r="E120" s="216"/>
      <c r="F120" s="154"/>
      <c r="G120" s="154"/>
      <c r="H120" s="154"/>
      <c r="I120" s="154"/>
      <c r="J120" s="154"/>
      <c r="K120" s="154"/>
      <c r="L120" s="154"/>
      <c r="M120" s="154"/>
      <c r="N120" s="154"/>
      <c r="O120" s="154"/>
      <c r="P120" s="154"/>
      <c r="Q120" s="154"/>
      <c r="R120" s="154"/>
      <c r="S120" s="154"/>
      <c r="T120" s="154"/>
      <c r="U120" s="154"/>
      <c r="V120" s="154"/>
      <c r="W120" s="154"/>
    </row>
    <row r="121" spans="1:23" ht="13.5" customHeight="1" thickBot="1">
      <c r="A121" s="1357" t="s">
        <v>45</v>
      </c>
      <c r="B121" s="1281"/>
      <c r="C121" s="228">
        <f>C122</f>
        <v>66875000</v>
      </c>
      <c r="D121" s="200"/>
      <c r="E121" s="201"/>
      <c r="F121" s="100"/>
      <c r="G121" s="100"/>
      <c r="H121" s="100"/>
      <c r="I121" s="100"/>
      <c r="J121" s="100"/>
      <c r="K121" s="100"/>
      <c r="L121" s="100"/>
      <c r="M121" s="100"/>
      <c r="N121" s="100"/>
      <c r="O121" s="100"/>
      <c r="P121" s="100"/>
      <c r="Q121" s="100"/>
      <c r="R121" s="100"/>
      <c r="S121" s="100"/>
      <c r="T121" s="100"/>
      <c r="U121" s="100"/>
      <c r="V121" s="100"/>
      <c r="W121" s="100"/>
    </row>
    <row r="122" spans="1:23" ht="13.5" customHeight="1">
      <c r="A122" s="76">
        <v>211402</v>
      </c>
      <c r="B122" s="76" t="s">
        <v>503</v>
      </c>
      <c r="C122" s="155">
        <f>SUM(C123:C126)</f>
        <v>66875000</v>
      </c>
      <c r="D122" s="200"/>
      <c r="E122" s="201"/>
      <c r="F122" s="100"/>
      <c r="G122" s="100"/>
      <c r="H122" s="100"/>
      <c r="I122" s="100"/>
      <c r="J122" s="100"/>
      <c r="K122" s="100"/>
      <c r="L122" s="100"/>
      <c r="M122" s="100"/>
      <c r="N122" s="100"/>
      <c r="O122" s="100"/>
      <c r="P122" s="100"/>
      <c r="Q122" s="100"/>
      <c r="R122" s="100"/>
      <c r="S122" s="100"/>
      <c r="T122" s="100"/>
      <c r="U122" s="100"/>
      <c r="V122" s="100"/>
      <c r="W122" s="100"/>
    </row>
    <row r="123" spans="1:23" ht="13.5" customHeight="1">
      <c r="A123" s="154">
        <v>21140201</v>
      </c>
      <c r="B123" s="100" t="s">
        <v>652</v>
      </c>
      <c r="C123" s="114">
        <v>1500000</v>
      </c>
      <c r="D123" s="200"/>
      <c r="E123" s="201"/>
      <c r="F123" s="100"/>
      <c r="G123" s="100"/>
      <c r="H123" s="100"/>
      <c r="I123" s="100"/>
      <c r="J123" s="100"/>
      <c r="K123" s="100"/>
      <c r="L123" s="100"/>
      <c r="M123" s="100"/>
      <c r="N123" s="100"/>
      <c r="O123" s="100"/>
      <c r="P123" s="100"/>
      <c r="Q123" s="100"/>
      <c r="R123" s="100"/>
      <c r="S123" s="100"/>
      <c r="T123" s="100"/>
      <c r="U123" s="100"/>
      <c r="V123" s="100"/>
      <c r="W123" s="100"/>
    </row>
    <row r="124" spans="1:23" ht="13.5" customHeight="1">
      <c r="A124" s="154">
        <v>21140203</v>
      </c>
      <c r="B124" s="77" t="s">
        <v>550</v>
      </c>
      <c r="C124" s="72">
        <v>975000</v>
      </c>
      <c r="D124" s="200"/>
      <c r="E124" s="201"/>
      <c r="F124" s="100"/>
      <c r="G124" s="100"/>
      <c r="H124" s="100"/>
      <c r="I124" s="100"/>
      <c r="J124" s="100"/>
      <c r="K124" s="100"/>
      <c r="L124" s="100"/>
      <c r="M124" s="100"/>
      <c r="N124" s="100"/>
      <c r="O124" s="100"/>
      <c r="P124" s="100"/>
      <c r="Q124" s="100"/>
      <c r="R124" s="100"/>
      <c r="S124" s="100"/>
      <c r="T124" s="100"/>
      <c r="U124" s="100"/>
      <c r="V124" s="100"/>
      <c r="W124" s="100"/>
    </row>
    <row r="125" spans="1:23" ht="13.5" customHeight="1">
      <c r="A125" s="154">
        <v>21140208</v>
      </c>
      <c r="B125" s="100" t="s">
        <v>553</v>
      </c>
      <c r="C125" s="72">
        <v>64000000</v>
      </c>
      <c r="D125" s="200"/>
      <c r="E125" s="201"/>
      <c r="F125" s="100"/>
      <c r="G125" s="100"/>
      <c r="H125" s="100"/>
      <c r="I125" s="100"/>
      <c r="J125" s="100"/>
      <c r="K125" s="100"/>
      <c r="L125" s="100"/>
      <c r="M125" s="100"/>
      <c r="N125" s="100"/>
      <c r="O125" s="100"/>
      <c r="P125" s="100"/>
      <c r="Q125" s="100"/>
      <c r="R125" s="100"/>
      <c r="S125" s="100"/>
      <c r="T125" s="100"/>
      <c r="U125" s="100"/>
      <c r="V125" s="100"/>
      <c r="W125" s="100"/>
    </row>
    <row r="126" spans="1:23" ht="13.5" customHeight="1">
      <c r="A126" s="154">
        <v>21140213</v>
      </c>
      <c r="B126" s="100" t="s">
        <v>504</v>
      </c>
      <c r="C126" s="72">
        <v>400000</v>
      </c>
      <c r="D126" s="200"/>
      <c r="E126" s="201"/>
      <c r="F126" s="100"/>
      <c r="G126" s="100"/>
      <c r="H126" s="100"/>
      <c r="I126" s="100"/>
      <c r="J126" s="100"/>
      <c r="K126" s="100"/>
      <c r="L126" s="100"/>
      <c r="M126" s="100"/>
      <c r="N126" s="100"/>
      <c r="O126" s="100"/>
      <c r="P126" s="100"/>
      <c r="Q126" s="100"/>
      <c r="R126" s="100"/>
      <c r="S126" s="100"/>
      <c r="T126" s="100"/>
      <c r="U126" s="100"/>
      <c r="V126" s="100"/>
      <c r="W126" s="100"/>
    </row>
    <row r="127" spans="1:23" ht="13.5" customHeight="1" thickBot="1">
      <c r="A127" s="100"/>
      <c r="B127" s="100"/>
      <c r="C127" s="72"/>
      <c r="D127" s="200"/>
      <c r="E127" s="201"/>
      <c r="F127" s="100"/>
      <c r="G127" s="100"/>
      <c r="H127" s="100"/>
      <c r="I127" s="100"/>
      <c r="J127" s="100"/>
      <c r="K127" s="100"/>
      <c r="L127" s="100"/>
      <c r="M127" s="100"/>
      <c r="N127" s="100"/>
      <c r="O127" s="100"/>
      <c r="P127" s="100"/>
      <c r="Q127" s="100"/>
      <c r="R127" s="100"/>
      <c r="S127" s="100"/>
      <c r="T127" s="100"/>
      <c r="U127" s="100"/>
      <c r="V127" s="100"/>
      <c r="W127" s="100"/>
    </row>
    <row r="128" spans="1:23" ht="13.5" customHeight="1" thickBot="1">
      <c r="A128" s="1355" t="s">
        <v>48</v>
      </c>
      <c r="B128" s="1281"/>
      <c r="C128" s="232">
        <f>C129+C132</f>
        <v>1096800</v>
      </c>
      <c r="D128" s="100"/>
      <c r="E128" s="216"/>
      <c r="F128" s="135"/>
      <c r="G128" s="135"/>
      <c r="H128" s="135"/>
      <c r="I128" s="135"/>
      <c r="J128" s="135"/>
      <c r="K128" s="135"/>
      <c r="L128" s="135"/>
      <c r="M128" s="135"/>
      <c r="N128" s="135"/>
      <c r="O128" s="135"/>
      <c r="P128" s="135"/>
      <c r="Q128" s="135"/>
      <c r="R128" s="135"/>
      <c r="S128" s="135"/>
      <c r="T128" s="135"/>
      <c r="U128" s="135"/>
      <c r="V128" s="135"/>
      <c r="W128" s="135"/>
    </row>
    <row r="129" spans="1:23" ht="13.5" customHeight="1">
      <c r="A129" s="76">
        <v>221104</v>
      </c>
      <c r="B129" s="826" t="s">
        <v>510</v>
      </c>
      <c r="C129" s="155">
        <f>SUM(C130:C131)</f>
        <v>766800</v>
      </c>
      <c r="D129" s="260"/>
      <c r="E129" s="72"/>
      <c r="F129" s="135"/>
      <c r="G129" s="135"/>
      <c r="H129" s="135"/>
      <c r="I129" s="135"/>
      <c r="J129" s="135"/>
      <c r="K129" s="135"/>
      <c r="L129" s="135"/>
      <c r="M129" s="135"/>
      <c r="N129" s="135"/>
      <c r="O129" s="135"/>
      <c r="P129" s="135"/>
      <c r="Q129" s="135"/>
      <c r="R129" s="135"/>
      <c r="S129" s="135"/>
      <c r="T129" s="135"/>
      <c r="U129" s="135"/>
      <c r="V129" s="135"/>
      <c r="W129" s="135"/>
    </row>
    <row r="130" spans="1:23" ht="13.5" customHeight="1">
      <c r="A130" s="154">
        <v>22110401</v>
      </c>
      <c r="B130" s="100" t="s">
        <v>511</v>
      </c>
      <c r="C130" s="72">
        <f>500000+30000</f>
        <v>530000</v>
      </c>
      <c r="D130" s="253"/>
      <c r="E130" s="72"/>
      <c r="F130" s="135"/>
      <c r="G130" s="135"/>
      <c r="H130" s="135"/>
      <c r="I130" s="135"/>
      <c r="J130" s="135"/>
      <c r="K130" s="135"/>
      <c r="L130" s="135"/>
      <c r="M130" s="135"/>
      <c r="N130" s="135"/>
      <c r="O130" s="135"/>
      <c r="P130" s="135"/>
      <c r="Q130" s="135"/>
      <c r="R130" s="135"/>
      <c r="S130" s="135"/>
      <c r="T130" s="135"/>
      <c r="U130" s="135"/>
      <c r="V130" s="135"/>
      <c r="W130" s="135"/>
    </row>
    <row r="131" spans="1:23" ht="13.5" customHeight="1">
      <c r="A131" s="154">
        <v>22110409</v>
      </c>
      <c r="B131" s="72" t="s">
        <v>513</v>
      </c>
      <c r="C131" s="224">
        <f>200000+36800</f>
        <v>236800</v>
      </c>
      <c r="D131" s="229"/>
      <c r="E131" s="117"/>
      <c r="F131" s="135"/>
      <c r="G131" s="135"/>
      <c r="H131" s="135"/>
      <c r="I131" s="135"/>
      <c r="J131" s="135"/>
      <c r="K131" s="135"/>
      <c r="L131" s="135"/>
      <c r="M131" s="135"/>
      <c r="N131" s="135"/>
      <c r="O131" s="135"/>
      <c r="P131" s="135"/>
      <c r="Q131" s="135"/>
      <c r="R131" s="135"/>
      <c r="S131" s="135"/>
      <c r="T131" s="135"/>
      <c r="U131" s="135"/>
      <c r="V131" s="135"/>
      <c r="W131" s="135"/>
    </row>
    <row r="132" spans="1:23" ht="13.5" customHeight="1">
      <c r="A132" s="76">
        <v>221107</v>
      </c>
      <c r="B132" s="36" t="s">
        <v>514</v>
      </c>
      <c r="C132" s="36">
        <f>SUM(C133)</f>
        <v>330000</v>
      </c>
      <c r="D132" s="255"/>
      <c r="E132" s="204"/>
      <c r="F132" s="211"/>
      <c r="G132" s="211"/>
      <c r="H132" s="211"/>
      <c r="I132" s="211"/>
      <c r="J132" s="211"/>
      <c r="K132" s="211"/>
      <c r="L132" s="211"/>
      <c r="M132" s="211"/>
      <c r="N132" s="211"/>
      <c r="O132" s="211"/>
      <c r="P132" s="211"/>
      <c r="Q132" s="211"/>
      <c r="R132" s="211"/>
      <c r="S132" s="211"/>
      <c r="T132" s="211"/>
      <c r="U132" s="211"/>
      <c r="V132" s="211"/>
      <c r="W132" s="211"/>
    </row>
    <row r="133" spans="1:23" ht="13.5" customHeight="1">
      <c r="A133" s="154">
        <v>22110702</v>
      </c>
      <c r="B133" s="72" t="s">
        <v>515</v>
      </c>
      <c r="C133" s="72">
        <f>500000+30000-200000</f>
        <v>330000</v>
      </c>
      <c r="D133" s="216"/>
      <c r="E133" s="204"/>
      <c r="F133" s="135"/>
      <c r="G133" s="135"/>
      <c r="H133" s="135"/>
      <c r="I133" s="135"/>
      <c r="J133" s="135"/>
      <c r="K133" s="135"/>
      <c r="L133" s="135"/>
      <c r="M133" s="135"/>
      <c r="N133" s="135"/>
      <c r="O133" s="135"/>
      <c r="P133" s="135"/>
      <c r="Q133" s="135"/>
      <c r="R133" s="135"/>
      <c r="S133" s="135"/>
      <c r="T133" s="135"/>
      <c r="U133" s="135"/>
      <c r="V133" s="135"/>
      <c r="W133" s="135"/>
    </row>
    <row r="134" spans="1:23" ht="13.5" customHeight="1">
      <c r="A134" s="154"/>
      <c r="B134" s="72"/>
      <c r="C134" s="72"/>
      <c r="D134" s="216"/>
      <c r="E134" s="204"/>
      <c r="F134" s="135"/>
      <c r="G134" s="135"/>
      <c r="H134" s="135"/>
      <c r="I134" s="135"/>
      <c r="J134" s="135"/>
      <c r="K134" s="135"/>
      <c r="L134" s="135"/>
      <c r="M134" s="135"/>
      <c r="N134" s="135"/>
      <c r="O134" s="135"/>
      <c r="P134" s="135"/>
      <c r="Q134" s="135"/>
      <c r="R134" s="135"/>
      <c r="S134" s="135"/>
      <c r="T134" s="135"/>
      <c r="U134" s="135"/>
      <c r="V134" s="135"/>
      <c r="W134" s="135"/>
    </row>
    <row r="135" spans="1:23" ht="13.5" customHeight="1" thickBot="1">
      <c r="A135" s="100"/>
      <c r="B135" s="72"/>
      <c r="C135" s="72"/>
      <c r="D135" s="242"/>
      <c r="E135" s="224"/>
      <c r="F135" s="77"/>
      <c r="G135" s="77"/>
      <c r="H135" s="77"/>
      <c r="I135" s="77"/>
      <c r="J135" s="77"/>
      <c r="K135" s="77"/>
      <c r="L135" s="77"/>
      <c r="M135" s="77"/>
      <c r="N135" s="77"/>
      <c r="O135" s="77"/>
      <c r="P135" s="77"/>
      <c r="Q135" s="77"/>
      <c r="R135" s="77"/>
      <c r="S135" s="77"/>
      <c r="T135" s="77"/>
      <c r="U135" s="77"/>
      <c r="V135" s="77"/>
      <c r="W135" s="77"/>
    </row>
    <row r="136" spans="1:23" ht="13.5" customHeight="1">
      <c r="A136" s="1346" t="s">
        <v>895</v>
      </c>
      <c r="B136" s="1347"/>
      <c r="C136" s="1238" t="s">
        <v>785</v>
      </c>
      <c r="D136" s="242"/>
      <c r="E136" s="245"/>
      <c r="F136" s="245"/>
      <c r="G136" s="236"/>
      <c r="H136" s="236"/>
      <c r="I136" s="236"/>
      <c r="J136" s="246"/>
      <c r="K136" s="246"/>
      <c r="L136" s="246"/>
      <c r="M136" s="246"/>
      <c r="N136" s="246"/>
      <c r="O136" s="246"/>
      <c r="P136" s="246"/>
      <c r="Q136" s="246"/>
      <c r="R136" s="246"/>
      <c r="S136" s="246"/>
      <c r="T136" s="246"/>
      <c r="U136" s="246"/>
      <c r="V136" s="246"/>
      <c r="W136" s="246"/>
    </row>
    <row r="137" spans="1:23" ht="13.5" customHeight="1" thickBot="1">
      <c r="A137" s="1348"/>
      <c r="B137" s="1349"/>
      <c r="C137" s="1239"/>
      <c r="D137" s="242"/>
      <c r="E137" s="245"/>
      <c r="F137" s="245"/>
      <c r="G137" s="236"/>
      <c r="H137" s="236"/>
      <c r="I137" s="236"/>
      <c r="J137" s="246"/>
      <c r="K137" s="246"/>
      <c r="L137" s="246"/>
      <c r="M137" s="246"/>
      <c r="N137" s="246"/>
      <c r="O137" s="246"/>
      <c r="P137" s="246"/>
      <c r="Q137" s="246"/>
      <c r="R137" s="246"/>
      <c r="S137" s="246"/>
      <c r="T137" s="246"/>
      <c r="U137" s="246"/>
      <c r="V137" s="246"/>
      <c r="W137" s="246"/>
    </row>
    <row r="138" spans="1:23" ht="13.5" customHeight="1">
      <c r="A138" s="608" t="s">
        <v>671</v>
      </c>
      <c r="B138" s="608"/>
      <c r="C138" s="624"/>
      <c r="D138" s="242"/>
      <c r="E138" s="247"/>
      <c r="F138" s="247"/>
      <c r="G138" s="248"/>
      <c r="H138" s="248"/>
      <c r="I138" s="248"/>
      <c r="J138" s="248"/>
      <c r="K138" s="248"/>
      <c r="L138" s="248"/>
      <c r="M138" s="248"/>
      <c r="N138" s="248"/>
      <c r="O138" s="248"/>
      <c r="P138" s="248"/>
      <c r="Q138" s="248"/>
      <c r="R138" s="248"/>
      <c r="S138" s="248"/>
      <c r="T138" s="248"/>
      <c r="U138" s="248"/>
      <c r="V138" s="248"/>
      <c r="W138" s="248"/>
    </row>
    <row r="139" spans="1:23" ht="13.5" customHeight="1">
      <c r="A139" s="609" t="s">
        <v>722</v>
      </c>
      <c r="B139" s="609"/>
      <c r="C139" s="624"/>
      <c r="D139" s="242"/>
      <c r="E139" s="247"/>
      <c r="F139" s="247"/>
      <c r="G139" s="248"/>
      <c r="H139" s="248"/>
      <c r="I139" s="248"/>
      <c r="J139" s="248"/>
      <c r="K139" s="248"/>
      <c r="L139" s="248"/>
      <c r="M139" s="248"/>
      <c r="N139" s="248"/>
      <c r="O139" s="248"/>
      <c r="P139" s="248"/>
      <c r="Q139" s="248"/>
      <c r="R139" s="248"/>
      <c r="S139" s="248"/>
      <c r="T139" s="248"/>
      <c r="U139" s="248"/>
      <c r="V139" s="248"/>
      <c r="W139" s="248"/>
    </row>
    <row r="140" spans="1:23" ht="13.5" customHeight="1">
      <c r="A140" s="609" t="s">
        <v>723</v>
      </c>
      <c r="B140" s="609"/>
      <c r="C140" s="624"/>
      <c r="D140" s="242"/>
      <c r="E140" s="247"/>
      <c r="F140" s="247"/>
      <c r="G140" s="248"/>
      <c r="H140" s="248"/>
      <c r="I140" s="248"/>
      <c r="J140" s="248"/>
      <c r="K140" s="248"/>
      <c r="L140" s="248"/>
      <c r="M140" s="248"/>
      <c r="N140" s="248"/>
      <c r="O140" s="248"/>
      <c r="P140" s="248"/>
      <c r="Q140" s="248"/>
      <c r="R140" s="248"/>
      <c r="S140" s="248"/>
      <c r="T140" s="248"/>
      <c r="U140" s="248"/>
      <c r="V140" s="248"/>
      <c r="W140" s="248"/>
    </row>
    <row r="141" spans="1:23" ht="13.5" customHeight="1" thickBot="1">
      <c r="A141" s="609" t="s">
        <v>0</v>
      </c>
      <c r="B141" s="609"/>
      <c r="C141" s="624"/>
      <c r="D141" s="242"/>
      <c r="E141" s="247"/>
      <c r="F141" s="247"/>
      <c r="G141" s="248"/>
      <c r="H141" s="248"/>
      <c r="I141" s="248"/>
      <c r="J141" s="248"/>
      <c r="K141" s="248"/>
      <c r="L141" s="248"/>
      <c r="M141" s="248"/>
      <c r="N141" s="248"/>
      <c r="O141" s="248"/>
      <c r="P141" s="248"/>
      <c r="Q141" s="248"/>
      <c r="R141" s="248"/>
      <c r="S141" s="248"/>
      <c r="T141" s="248"/>
      <c r="U141" s="248"/>
      <c r="V141" s="248"/>
      <c r="W141" s="248"/>
    </row>
    <row r="142" spans="1:23" ht="13.5" customHeight="1" thickBot="1">
      <c r="A142" s="1361" t="s">
        <v>1</v>
      </c>
      <c r="B142" s="1362"/>
      <c r="C142" s="1085">
        <f>C144+C166+C178</f>
        <v>14810000</v>
      </c>
      <c r="D142" s="242"/>
      <c r="E142" s="247"/>
      <c r="F142" s="247"/>
      <c r="G142" s="248"/>
      <c r="H142" s="248"/>
      <c r="I142" s="248"/>
      <c r="J142" s="248"/>
      <c r="K142" s="248"/>
      <c r="L142" s="248"/>
      <c r="M142" s="248"/>
      <c r="N142" s="248"/>
      <c r="O142" s="248"/>
      <c r="P142" s="248"/>
      <c r="Q142" s="248"/>
      <c r="R142" s="248"/>
      <c r="S142" s="248"/>
      <c r="T142" s="248"/>
      <c r="U142" s="248"/>
      <c r="V142" s="248"/>
      <c r="W142" s="248"/>
    </row>
    <row r="143" spans="1:23" ht="13.5" customHeight="1" thickBot="1">
      <c r="A143" s="100"/>
      <c r="B143" s="72"/>
      <c r="C143" s="72"/>
      <c r="D143" s="216"/>
      <c r="E143" s="201"/>
      <c r="F143" s="215"/>
      <c r="G143" s="100"/>
      <c r="H143" s="100"/>
      <c r="I143" s="100"/>
      <c r="J143" s="100"/>
      <c r="K143" s="100"/>
      <c r="L143" s="100"/>
      <c r="M143" s="100"/>
      <c r="N143" s="100"/>
      <c r="O143" s="100"/>
      <c r="P143" s="100"/>
      <c r="Q143" s="100"/>
      <c r="R143" s="100"/>
      <c r="S143" s="100"/>
      <c r="T143" s="100"/>
      <c r="U143" s="100"/>
      <c r="V143" s="100"/>
      <c r="W143" s="100"/>
    </row>
    <row r="144" spans="1:23" ht="13.5" customHeight="1" thickBot="1">
      <c r="A144" s="1356" t="s">
        <v>9</v>
      </c>
      <c r="B144" s="1281"/>
      <c r="C144" s="212">
        <f>+C145+C147+C149+C158+C151+C161+C153</f>
        <v>5510000</v>
      </c>
      <c r="D144" s="211"/>
      <c r="E144" s="238"/>
      <c r="F144" s="238"/>
      <c r="G144" s="238"/>
      <c r="H144" s="238"/>
      <c r="I144" s="238"/>
      <c r="J144" s="239"/>
      <c r="K144" s="239"/>
      <c r="L144" s="239"/>
      <c r="M144" s="239"/>
      <c r="N144" s="239"/>
      <c r="O144" s="239"/>
      <c r="P144" s="239"/>
      <c r="Q144" s="239"/>
      <c r="R144" s="239"/>
      <c r="S144" s="239"/>
      <c r="T144" s="239"/>
      <c r="U144" s="239"/>
      <c r="V144" s="239"/>
      <c r="W144" s="239"/>
    </row>
    <row r="145" spans="1:24" ht="13.5" customHeight="1">
      <c r="A145" s="76">
        <v>211201</v>
      </c>
      <c r="B145" s="241" t="s">
        <v>459</v>
      </c>
      <c r="C145" s="36">
        <f>SUM(C146)</f>
        <v>2017000</v>
      </c>
      <c r="D145" s="242"/>
      <c r="E145" s="224"/>
      <c r="F145" s="77"/>
      <c r="G145" s="224"/>
      <c r="H145" s="77"/>
      <c r="I145" s="77"/>
      <c r="J145" s="77"/>
      <c r="K145" s="77"/>
      <c r="L145" s="77"/>
      <c r="M145" s="77"/>
      <c r="N145" s="77"/>
      <c r="O145" s="77"/>
      <c r="P145" s="77"/>
      <c r="Q145" s="77"/>
      <c r="R145" s="77"/>
      <c r="S145" s="77"/>
      <c r="T145" s="77"/>
      <c r="U145" s="77"/>
      <c r="V145" s="77"/>
      <c r="W145" s="77"/>
    </row>
    <row r="146" spans="1:24" ht="13.5" customHeight="1">
      <c r="A146" s="154">
        <v>21120101</v>
      </c>
      <c r="B146" s="77" t="s">
        <v>460</v>
      </c>
      <c r="C146" s="72">
        <f>500000+257000+180000+80000+1000000</f>
        <v>2017000</v>
      </c>
      <c r="D146" s="117"/>
      <c r="E146" s="224"/>
      <c r="F146" s="77"/>
      <c r="G146" s="77"/>
      <c r="H146" s="77"/>
      <c r="I146" s="77"/>
      <c r="J146" s="77"/>
      <c r="K146" s="77"/>
      <c r="L146" s="77"/>
      <c r="M146" s="77"/>
      <c r="N146" s="77"/>
      <c r="O146" s="77"/>
      <c r="P146" s="77"/>
      <c r="Q146" s="77"/>
      <c r="R146" s="77"/>
      <c r="S146" s="77"/>
      <c r="T146" s="77"/>
      <c r="U146" s="77"/>
      <c r="V146" s="77"/>
      <c r="W146" s="77"/>
    </row>
    <row r="147" spans="1:24" ht="13.5" customHeight="1">
      <c r="A147" s="76">
        <v>211202</v>
      </c>
      <c r="B147" s="75" t="s">
        <v>529</v>
      </c>
      <c r="C147" s="36">
        <f>SUM(C148)</f>
        <v>400000</v>
      </c>
      <c r="D147" s="200"/>
      <c r="E147" s="201"/>
      <c r="F147" s="100"/>
      <c r="G147" s="100"/>
      <c r="H147" s="100"/>
      <c r="I147" s="100"/>
      <c r="J147" s="100"/>
      <c r="K147" s="100"/>
      <c r="L147" s="100"/>
      <c r="M147" s="100"/>
      <c r="N147" s="100"/>
      <c r="O147" s="100"/>
      <c r="P147" s="100"/>
      <c r="Q147" s="100"/>
      <c r="R147" s="100"/>
      <c r="S147" s="100"/>
      <c r="T147" s="100"/>
      <c r="U147" s="100"/>
      <c r="V147" s="100"/>
      <c r="W147" s="100"/>
    </row>
    <row r="148" spans="1:24" ht="13.5" customHeight="1">
      <c r="A148" s="154">
        <v>21120202</v>
      </c>
      <c r="B148" s="77" t="s">
        <v>530</v>
      </c>
      <c r="C148" s="72">
        <v>400000</v>
      </c>
      <c r="D148" s="200"/>
      <c r="E148" s="201"/>
      <c r="F148" s="100"/>
      <c r="G148" s="100"/>
      <c r="H148" s="100"/>
      <c r="I148" s="100"/>
      <c r="J148" s="100"/>
      <c r="K148" s="100"/>
      <c r="L148" s="100"/>
      <c r="M148" s="100"/>
      <c r="N148" s="100"/>
      <c r="O148" s="100"/>
      <c r="P148" s="100"/>
      <c r="Q148" s="100"/>
      <c r="R148" s="100"/>
      <c r="S148" s="100"/>
      <c r="T148" s="100"/>
      <c r="U148" s="100"/>
      <c r="V148" s="100"/>
      <c r="W148" s="100"/>
    </row>
    <row r="149" spans="1:24" ht="13.5" customHeight="1">
      <c r="A149" s="76">
        <v>211203</v>
      </c>
      <c r="B149" s="217" t="s">
        <v>461</v>
      </c>
      <c r="C149" s="36">
        <f>C150</f>
        <v>240000</v>
      </c>
      <c r="D149" s="117"/>
      <c r="E149" s="224"/>
      <c r="F149" s="77"/>
      <c r="G149" s="77"/>
      <c r="H149" s="77"/>
      <c r="I149" s="77"/>
      <c r="J149" s="77"/>
      <c r="K149" s="77"/>
      <c r="L149" s="77"/>
      <c r="M149" s="77"/>
      <c r="N149" s="77"/>
      <c r="O149" s="77"/>
      <c r="P149" s="77"/>
      <c r="Q149" s="77"/>
      <c r="R149" s="77"/>
      <c r="S149" s="77"/>
      <c r="T149" s="77"/>
      <c r="U149" s="77"/>
      <c r="V149" s="77"/>
      <c r="W149" s="77"/>
    </row>
    <row r="150" spans="1:24" ht="13.5" customHeight="1">
      <c r="A150" s="154">
        <v>21120302</v>
      </c>
      <c r="B150" s="77" t="s">
        <v>462</v>
      </c>
      <c r="C150" s="72">
        <f>80000+160000</f>
        <v>240000</v>
      </c>
      <c r="D150" s="117"/>
      <c r="E150" s="224"/>
      <c r="F150" s="77"/>
      <c r="G150" s="77"/>
      <c r="H150" s="77"/>
      <c r="I150" s="77"/>
      <c r="J150" s="77"/>
      <c r="K150" s="77"/>
      <c r="L150" s="77"/>
      <c r="M150" s="77"/>
      <c r="N150" s="77"/>
      <c r="O150" s="77"/>
      <c r="P150" s="77"/>
      <c r="Q150" s="77"/>
      <c r="R150" s="77"/>
      <c r="S150" s="77"/>
      <c r="T150" s="77"/>
      <c r="U150" s="77"/>
      <c r="V150" s="77"/>
      <c r="W150" s="77"/>
    </row>
    <row r="151" spans="1:24" ht="13.5" customHeight="1">
      <c r="A151" s="76">
        <v>211204</v>
      </c>
      <c r="B151" s="217" t="s">
        <v>463</v>
      </c>
      <c r="C151" s="36">
        <f>C152</f>
        <v>960000</v>
      </c>
      <c r="D151" s="114"/>
      <c r="E151" s="224"/>
      <c r="F151" s="77"/>
      <c r="G151" s="77"/>
      <c r="H151" s="77"/>
      <c r="I151" s="77"/>
      <c r="J151" s="77"/>
      <c r="K151" s="77"/>
      <c r="L151" s="77"/>
      <c r="M151" s="77"/>
      <c r="N151" s="77"/>
      <c r="O151" s="77"/>
      <c r="P151" s="77"/>
      <c r="Q151" s="77"/>
      <c r="R151" s="77"/>
      <c r="S151" s="77"/>
      <c r="T151" s="77"/>
      <c r="U151" s="77"/>
      <c r="V151" s="77"/>
      <c r="W151" s="77"/>
    </row>
    <row r="152" spans="1:24" ht="13.5" customHeight="1">
      <c r="A152" s="154">
        <v>21120401</v>
      </c>
      <c r="B152" s="72" t="s">
        <v>464</v>
      </c>
      <c r="C152" s="72">
        <f>460000+500000</f>
        <v>960000</v>
      </c>
      <c r="D152" s="117"/>
      <c r="E152" s="224"/>
      <c r="F152" s="77"/>
      <c r="G152" s="77"/>
      <c r="H152" s="77"/>
      <c r="I152" s="77"/>
      <c r="J152" s="77"/>
      <c r="K152" s="77"/>
      <c r="L152" s="77"/>
      <c r="M152" s="77"/>
      <c r="N152" s="77"/>
      <c r="O152" s="77"/>
      <c r="P152" s="77"/>
      <c r="Q152" s="77"/>
      <c r="R152" s="77"/>
      <c r="S152" s="77"/>
      <c r="T152" s="77"/>
      <c r="U152" s="77"/>
      <c r="V152" s="77"/>
      <c r="W152" s="77"/>
    </row>
    <row r="153" spans="1:24" ht="13.5" customHeight="1">
      <c r="A153" s="48">
        <v>211207</v>
      </c>
      <c r="B153" s="603" t="s">
        <v>467</v>
      </c>
      <c r="C153" s="26">
        <f>SUM(C154:C157)</f>
        <v>920000</v>
      </c>
      <c r="D153" s="37"/>
      <c r="E153" s="38"/>
      <c r="F153" s="38"/>
      <c r="G153" s="39"/>
      <c r="H153" s="38"/>
      <c r="I153" s="38"/>
      <c r="J153" s="38"/>
      <c r="K153" s="38"/>
      <c r="L153" s="38"/>
      <c r="M153" s="38"/>
      <c r="N153" s="38"/>
      <c r="O153" s="38"/>
      <c r="P153" s="38"/>
      <c r="Q153" s="38"/>
      <c r="R153" s="38"/>
      <c r="S153" s="38"/>
      <c r="T153" s="38"/>
      <c r="U153" s="38"/>
      <c r="V153" s="38"/>
      <c r="W153" s="38"/>
      <c r="X153" s="38"/>
    </row>
    <row r="154" spans="1:24" ht="13.5" customHeight="1">
      <c r="A154" s="154">
        <v>21120702</v>
      </c>
      <c r="B154" s="77" t="s">
        <v>468</v>
      </c>
      <c r="C154" s="72">
        <f>180000+40000</f>
        <v>220000</v>
      </c>
      <c r="D154" s="200"/>
      <c r="E154" s="201"/>
      <c r="F154" s="100"/>
      <c r="G154" s="100"/>
      <c r="H154" s="100"/>
      <c r="I154" s="100"/>
      <c r="J154" s="100"/>
      <c r="K154" s="100"/>
      <c r="L154" s="100"/>
      <c r="M154" s="100"/>
      <c r="N154" s="100"/>
      <c r="O154" s="100"/>
      <c r="P154" s="100"/>
      <c r="Q154" s="100"/>
      <c r="R154" s="100"/>
      <c r="S154" s="100"/>
      <c r="T154" s="100"/>
      <c r="U154" s="100"/>
      <c r="V154" s="100"/>
      <c r="W154" s="100"/>
    </row>
    <row r="155" spans="1:24" ht="13.5" customHeight="1">
      <c r="A155" s="33">
        <v>21120705</v>
      </c>
      <c r="B155" s="24" t="s">
        <v>583</v>
      </c>
      <c r="C155" s="51">
        <v>200000</v>
      </c>
      <c r="D155" s="37"/>
      <c r="E155" s="38"/>
      <c r="F155" s="38"/>
      <c r="G155" s="39"/>
      <c r="H155" s="38"/>
      <c r="I155" s="38"/>
      <c r="J155" s="38"/>
      <c r="K155" s="38"/>
      <c r="L155" s="38"/>
      <c r="M155" s="38"/>
      <c r="N155" s="38"/>
      <c r="O155" s="38"/>
      <c r="P155" s="38"/>
      <c r="Q155" s="38"/>
      <c r="R155" s="38"/>
      <c r="S155" s="38"/>
      <c r="T155" s="38"/>
      <c r="U155" s="38"/>
      <c r="V155" s="38"/>
      <c r="W155" s="38"/>
      <c r="X155" s="38"/>
    </row>
    <row r="156" spans="1:24" ht="13.5" customHeight="1">
      <c r="A156" s="33">
        <v>21120706</v>
      </c>
      <c r="B156" s="24" t="s">
        <v>542</v>
      </c>
      <c r="C156" s="24">
        <v>250000</v>
      </c>
      <c r="D156" s="37"/>
      <c r="E156" s="38"/>
      <c r="F156" s="38"/>
      <c r="G156" s="39"/>
      <c r="H156" s="38"/>
      <c r="I156" s="38"/>
      <c r="J156" s="38"/>
      <c r="K156" s="38"/>
      <c r="L156" s="38"/>
      <c r="M156" s="38"/>
      <c r="N156" s="38"/>
      <c r="O156" s="38"/>
      <c r="P156" s="38"/>
      <c r="Q156" s="38"/>
      <c r="R156" s="38"/>
      <c r="S156" s="38"/>
      <c r="T156" s="38"/>
      <c r="U156" s="38"/>
      <c r="V156" s="38"/>
      <c r="W156" s="38"/>
      <c r="X156" s="38"/>
    </row>
    <row r="157" spans="1:24" ht="13.5" customHeight="1">
      <c r="A157" s="154">
        <v>21120708</v>
      </c>
      <c r="B157" s="77" t="s">
        <v>470</v>
      </c>
      <c r="C157" s="72">
        <f>210000+40000</f>
        <v>250000</v>
      </c>
      <c r="D157" s="200"/>
      <c r="E157" s="201"/>
      <c r="F157" s="100"/>
      <c r="G157" s="100"/>
      <c r="H157" s="100"/>
      <c r="I157" s="100"/>
      <c r="J157" s="100"/>
      <c r="K157" s="100"/>
      <c r="L157" s="100"/>
      <c r="M157" s="100"/>
      <c r="N157" s="100"/>
      <c r="O157" s="100"/>
      <c r="P157" s="100"/>
      <c r="Q157" s="100"/>
      <c r="R157" s="100"/>
      <c r="S157" s="100"/>
      <c r="T157" s="100"/>
      <c r="U157" s="100"/>
      <c r="V157" s="100"/>
      <c r="W157" s="100"/>
    </row>
    <row r="158" spans="1:24" ht="13.5" customHeight="1">
      <c r="A158" s="48">
        <v>211208</v>
      </c>
      <c r="B158" s="26" t="s">
        <v>474</v>
      </c>
      <c r="C158" s="26">
        <f>+SUM(C159:C160)</f>
        <v>281000</v>
      </c>
      <c r="D158" s="37"/>
      <c r="E158" s="38"/>
      <c r="F158" s="38"/>
      <c r="G158" s="39"/>
      <c r="H158" s="38"/>
      <c r="I158" s="38"/>
      <c r="J158" s="38"/>
      <c r="K158" s="38"/>
      <c r="L158" s="38"/>
      <c r="M158" s="38"/>
      <c r="N158" s="38"/>
      <c r="O158" s="38"/>
      <c r="P158" s="38"/>
      <c r="Q158" s="38"/>
      <c r="R158" s="38"/>
      <c r="S158" s="38"/>
      <c r="T158" s="38"/>
      <c r="U158" s="38"/>
      <c r="V158" s="38"/>
      <c r="W158" s="38"/>
      <c r="X158" s="38"/>
    </row>
    <row r="159" spans="1:24" ht="13.5" customHeight="1">
      <c r="A159" s="33">
        <v>21120803</v>
      </c>
      <c r="B159" s="24" t="s">
        <v>517</v>
      </c>
      <c r="C159" s="24">
        <v>81000</v>
      </c>
      <c r="D159" s="37"/>
      <c r="E159" s="38"/>
      <c r="F159" s="38"/>
      <c r="G159" s="39"/>
      <c r="H159" s="38"/>
      <c r="I159" s="38"/>
      <c r="J159" s="38"/>
      <c r="K159" s="38"/>
      <c r="L159" s="38"/>
      <c r="M159" s="38"/>
      <c r="N159" s="38"/>
      <c r="O159" s="38"/>
      <c r="P159" s="38"/>
      <c r="Q159" s="38"/>
      <c r="R159" s="38"/>
      <c r="S159" s="38"/>
      <c r="T159" s="38"/>
      <c r="U159" s="38"/>
      <c r="V159" s="38"/>
      <c r="W159" s="38"/>
      <c r="X159" s="38"/>
    </row>
    <row r="160" spans="1:24" ht="13.5" customHeight="1">
      <c r="A160" s="33">
        <v>21120805</v>
      </c>
      <c r="B160" s="24" t="s">
        <v>476</v>
      </c>
      <c r="C160" s="51">
        <v>200000</v>
      </c>
      <c r="D160" s="37"/>
      <c r="E160" s="38"/>
      <c r="F160" s="38"/>
      <c r="G160" s="39"/>
      <c r="H160" s="38"/>
      <c r="I160" s="38"/>
      <c r="J160" s="38"/>
      <c r="K160" s="38"/>
      <c r="L160" s="38"/>
      <c r="M160" s="38"/>
      <c r="N160" s="38"/>
      <c r="O160" s="38"/>
      <c r="P160" s="38"/>
      <c r="Q160" s="38"/>
      <c r="R160" s="38"/>
      <c r="S160" s="38"/>
      <c r="T160" s="38"/>
      <c r="U160" s="38"/>
      <c r="V160" s="38"/>
      <c r="W160" s="38"/>
      <c r="X160" s="38"/>
    </row>
    <row r="161" spans="1:24" ht="13.5" customHeight="1">
      <c r="A161" s="48">
        <v>211209</v>
      </c>
      <c r="B161" s="26" t="s">
        <v>477</v>
      </c>
      <c r="C161" s="36">
        <f>SUM(C162:C164)</f>
        <v>692000</v>
      </c>
      <c r="D161" s="117"/>
      <c r="E161" s="224"/>
      <c r="F161" s="77"/>
      <c r="G161" s="77"/>
      <c r="H161" s="77"/>
      <c r="I161" s="77"/>
      <c r="J161" s="77"/>
      <c r="K161" s="77"/>
      <c r="L161" s="77"/>
      <c r="M161" s="77"/>
      <c r="N161" s="77"/>
      <c r="O161" s="77"/>
      <c r="P161" s="77"/>
      <c r="Q161" s="77"/>
      <c r="R161" s="77"/>
      <c r="S161" s="77"/>
      <c r="T161" s="77"/>
      <c r="U161" s="77"/>
      <c r="V161" s="77"/>
      <c r="W161" s="77"/>
    </row>
    <row r="162" spans="1:24" ht="13.5" customHeight="1">
      <c r="A162" s="33">
        <v>21120901</v>
      </c>
      <c r="B162" s="24" t="s">
        <v>478</v>
      </c>
      <c r="C162" s="24">
        <v>450500</v>
      </c>
      <c r="D162" s="37"/>
      <c r="E162" s="38"/>
      <c r="F162" s="38"/>
      <c r="G162" s="39"/>
      <c r="H162" s="38"/>
      <c r="I162" s="38"/>
      <c r="J162" s="38"/>
      <c r="K162" s="38"/>
      <c r="L162" s="38"/>
      <c r="M162" s="38"/>
      <c r="N162" s="38"/>
      <c r="O162" s="38"/>
      <c r="P162" s="38"/>
      <c r="Q162" s="38"/>
      <c r="R162" s="38"/>
      <c r="S162" s="38"/>
      <c r="T162" s="38"/>
      <c r="U162" s="38"/>
      <c r="V162" s="38"/>
      <c r="W162" s="38"/>
      <c r="X162" s="38"/>
    </row>
    <row r="163" spans="1:24" ht="13.5" customHeight="1">
      <c r="A163" s="154">
        <v>21120906</v>
      </c>
      <c r="B163" s="72" t="s">
        <v>479</v>
      </c>
      <c r="C163" s="224">
        <v>24000</v>
      </c>
      <c r="D163" s="225"/>
      <c r="E163" s="225"/>
      <c r="F163" s="225"/>
      <c r="G163" s="218"/>
      <c r="H163" s="218"/>
      <c r="I163" s="218"/>
      <c r="J163" s="218"/>
      <c r="K163" s="218"/>
      <c r="L163" s="218"/>
      <c r="M163" s="218"/>
      <c r="N163" s="218"/>
      <c r="O163" s="218"/>
      <c r="P163" s="218"/>
      <c r="Q163" s="218"/>
      <c r="R163" s="218"/>
      <c r="S163" s="218"/>
      <c r="T163" s="218"/>
      <c r="U163" s="218"/>
      <c r="V163" s="218"/>
      <c r="W163" s="218"/>
    </row>
    <row r="164" spans="1:24" ht="13.5" customHeight="1">
      <c r="A164" s="154">
        <v>21120907</v>
      </c>
      <c r="B164" s="77" t="s">
        <v>480</v>
      </c>
      <c r="C164" s="72">
        <v>217500</v>
      </c>
      <c r="D164" s="216"/>
      <c r="E164" s="204"/>
      <c r="F164" s="75"/>
      <c r="G164" s="75"/>
      <c r="H164" s="75"/>
      <c r="I164" s="75"/>
      <c r="J164" s="75"/>
      <c r="K164" s="75"/>
      <c r="L164" s="75"/>
      <c r="M164" s="75"/>
      <c r="N164" s="75"/>
      <c r="O164" s="75"/>
      <c r="P164" s="75"/>
      <c r="Q164" s="75"/>
      <c r="R164" s="75"/>
      <c r="S164" s="75"/>
      <c r="T164" s="75"/>
      <c r="U164" s="75"/>
      <c r="V164" s="75"/>
      <c r="W164" s="75"/>
    </row>
    <row r="165" spans="1:24" ht="13.5" customHeight="1" thickBot="1">
      <c r="A165" s="100"/>
      <c r="B165" s="72"/>
      <c r="C165" s="72"/>
      <c r="D165" s="114"/>
      <c r="E165" s="36"/>
      <c r="F165" s="243"/>
      <c r="G165" s="77"/>
      <c r="H165" s="77"/>
      <c r="I165" s="77"/>
      <c r="J165" s="77"/>
      <c r="K165" s="77"/>
      <c r="L165" s="77"/>
      <c r="M165" s="77"/>
      <c r="N165" s="77"/>
      <c r="O165" s="77"/>
      <c r="P165" s="77"/>
      <c r="Q165" s="77"/>
      <c r="R165" s="77"/>
      <c r="S165" s="77"/>
      <c r="T165" s="77"/>
      <c r="U165" s="77"/>
      <c r="V165" s="77"/>
      <c r="W165" s="77"/>
    </row>
    <row r="166" spans="1:24" ht="13.5" customHeight="1" thickBot="1">
      <c r="A166" s="1354" t="s">
        <v>4</v>
      </c>
      <c r="B166" s="1281"/>
      <c r="C166" s="220">
        <f>C167+C169+C171+C173</f>
        <v>7650000</v>
      </c>
      <c r="D166" s="114"/>
      <c r="E166" s="36"/>
      <c r="F166" s="225"/>
      <c r="G166" s="77"/>
      <c r="H166" s="77"/>
      <c r="I166" s="77"/>
      <c r="J166" s="77"/>
      <c r="K166" s="77"/>
      <c r="L166" s="77"/>
      <c r="M166" s="77"/>
      <c r="N166" s="77"/>
      <c r="O166" s="77"/>
      <c r="P166" s="77"/>
      <c r="Q166" s="77"/>
      <c r="R166" s="77"/>
      <c r="S166" s="77"/>
      <c r="T166" s="77"/>
      <c r="U166" s="77"/>
      <c r="V166" s="77"/>
      <c r="W166" s="77"/>
    </row>
    <row r="167" spans="1:24" ht="13.5" customHeight="1">
      <c r="A167" s="76">
        <v>211302</v>
      </c>
      <c r="B167" s="76" t="s">
        <v>481</v>
      </c>
      <c r="C167" s="36">
        <f>C168</f>
        <v>860000</v>
      </c>
      <c r="D167" s="114"/>
      <c r="E167" s="36"/>
      <c r="F167" s="225"/>
      <c r="G167" s="77"/>
      <c r="H167" s="77"/>
      <c r="I167" s="77"/>
      <c r="J167" s="77"/>
      <c r="K167" s="77"/>
      <c r="L167" s="77"/>
      <c r="M167" s="77"/>
      <c r="N167" s="77"/>
      <c r="O167" s="77"/>
      <c r="P167" s="77"/>
      <c r="Q167" s="77"/>
      <c r="R167" s="77"/>
      <c r="S167" s="77"/>
      <c r="T167" s="77"/>
      <c r="U167" s="77"/>
      <c r="V167" s="77"/>
      <c r="W167" s="77"/>
    </row>
    <row r="168" spans="1:24" ht="13.5" customHeight="1">
      <c r="A168" s="154">
        <v>21130204</v>
      </c>
      <c r="B168" s="72" t="s">
        <v>483</v>
      </c>
      <c r="C168" s="72">
        <f>90000+270000+500000</f>
        <v>860000</v>
      </c>
      <c r="D168" s="117"/>
      <c r="E168" s="36"/>
      <c r="F168" s="242"/>
      <c r="G168" s="77"/>
      <c r="H168" s="77"/>
      <c r="I168" s="77"/>
      <c r="J168" s="77"/>
      <c r="K168" s="77"/>
      <c r="L168" s="77"/>
      <c r="M168" s="77"/>
      <c r="N168" s="77"/>
      <c r="O168" s="77"/>
      <c r="P168" s="77"/>
      <c r="Q168" s="77"/>
      <c r="R168" s="77"/>
      <c r="S168" s="77"/>
      <c r="T168" s="77"/>
      <c r="U168" s="77"/>
      <c r="V168" s="77"/>
      <c r="W168" s="77"/>
    </row>
    <row r="169" spans="1:24" ht="13.5" customHeight="1">
      <c r="A169" s="241">
        <v>211303</v>
      </c>
      <c r="B169" s="234" t="s">
        <v>484</v>
      </c>
      <c r="C169" s="36">
        <f>C170</f>
        <v>1068500</v>
      </c>
      <c r="D169" s="114"/>
      <c r="E169" s="36"/>
      <c r="F169" s="242"/>
      <c r="G169" s="77"/>
      <c r="H169" s="77"/>
      <c r="I169" s="77"/>
      <c r="J169" s="77"/>
      <c r="K169" s="77"/>
      <c r="L169" s="77"/>
      <c r="M169" s="77"/>
      <c r="N169" s="77"/>
      <c r="O169" s="77"/>
      <c r="P169" s="77"/>
      <c r="Q169" s="77"/>
      <c r="R169" s="77"/>
      <c r="S169" s="77"/>
      <c r="T169" s="77"/>
      <c r="U169" s="77"/>
      <c r="V169" s="77"/>
      <c r="W169" s="77"/>
    </row>
    <row r="170" spans="1:24" ht="13.5" customHeight="1">
      <c r="A170" s="233">
        <v>21130307</v>
      </c>
      <c r="B170" s="77" t="s">
        <v>488</v>
      </c>
      <c r="C170" s="72">
        <f>615000+453500</f>
        <v>1068500</v>
      </c>
      <c r="D170" s="77"/>
      <c r="E170" s="36"/>
      <c r="F170" s="242"/>
      <c r="G170" s="77"/>
      <c r="H170" s="77"/>
      <c r="I170" s="77"/>
      <c r="J170" s="77"/>
      <c r="K170" s="77"/>
      <c r="L170" s="77"/>
      <c r="M170" s="77"/>
      <c r="N170" s="77"/>
      <c r="O170" s="77"/>
      <c r="P170" s="77"/>
      <c r="Q170" s="77"/>
      <c r="R170" s="77"/>
      <c r="S170" s="77"/>
      <c r="T170" s="77"/>
      <c r="U170" s="77"/>
      <c r="V170" s="77"/>
      <c r="W170" s="77"/>
    </row>
    <row r="171" spans="1:24" ht="13.5" customHeight="1">
      <c r="A171" s="241">
        <v>211305</v>
      </c>
      <c r="B171" s="217" t="s">
        <v>489</v>
      </c>
      <c r="C171" s="36">
        <f>C172</f>
        <v>2710000</v>
      </c>
      <c r="D171" s="114"/>
      <c r="E171" s="36"/>
      <c r="F171" s="242"/>
      <c r="G171" s="77"/>
      <c r="H171" s="77"/>
      <c r="I171" s="77"/>
      <c r="J171" s="77"/>
      <c r="K171" s="77"/>
      <c r="L171" s="77"/>
      <c r="M171" s="77"/>
      <c r="N171" s="77"/>
      <c r="O171" s="77"/>
      <c r="P171" s="77"/>
      <c r="Q171" s="77"/>
      <c r="R171" s="77"/>
      <c r="S171" s="77"/>
      <c r="T171" s="77"/>
      <c r="U171" s="77"/>
      <c r="V171" s="77"/>
      <c r="W171" s="77"/>
    </row>
    <row r="172" spans="1:24" ht="13.5" customHeight="1">
      <c r="A172" s="154">
        <v>21130502</v>
      </c>
      <c r="B172" s="72" t="s">
        <v>491</v>
      </c>
      <c r="C172" s="72">
        <f>300000+30000+1380000+1000000</f>
        <v>2710000</v>
      </c>
      <c r="D172" s="117"/>
      <c r="E172" s="36"/>
      <c r="F172" s="242"/>
      <c r="G172" s="77"/>
      <c r="H172" s="77"/>
      <c r="I172" s="77"/>
      <c r="J172" s="77"/>
      <c r="K172" s="77"/>
      <c r="L172" s="77"/>
      <c r="M172" s="77"/>
      <c r="N172" s="77"/>
      <c r="O172" s="77"/>
      <c r="P172" s="77"/>
      <c r="Q172" s="77"/>
      <c r="R172" s="77"/>
      <c r="S172" s="77"/>
      <c r="T172" s="77"/>
      <c r="U172" s="77"/>
      <c r="V172" s="77"/>
      <c r="W172" s="77"/>
    </row>
    <row r="173" spans="1:24" ht="13.5" customHeight="1">
      <c r="A173" s="76">
        <v>211309</v>
      </c>
      <c r="B173" s="36" t="s">
        <v>496</v>
      </c>
      <c r="C173" s="36">
        <f>SUM(C174:C176)</f>
        <v>3011500</v>
      </c>
      <c r="D173" s="114"/>
      <c r="E173" s="36"/>
      <c r="F173" s="242"/>
      <c r="G173" s="77"/>
      <c r="H173" s="77"/>
      <c r="I173" s="77"/>
      <c r="J173" s="77"/>
      <c r="K173" s="77"/>
      <c r="L173" s="77"/>
      <c r="M173" s="77"/>
      <c r="N173" s="77"/>
      <c r="O173" s="77"/>
      <c r="P173" s="77"/>
      <c r="Q173" s="77"/>
      <c r="R173" s="77"/>
      <c r="S173" s="77"/>
      <c r="T173" s="77"/>
      <c r="U173" s="77"/>
      <c r="V173" s="77"/>
      <c r="W173" s="77"/>
    </row>
    <row r="174" spans="1:24" ht="13.5" customHeight="1">
      <c r="A174" s="154">
        <v>21130901</v>
      </c>
      <c r="B174" s="72" t="s">
        <v>497</v>
      </c>
      <c r="C174" s="72">
        <f>200000+159000+1500000</f>
        <v>1859000</v>
      </c>
      <c r="D174" s="117"/>
      <c r="E174" s="36"/>
      <c r="F174" s="77"/>
      <c r="G174" s="77"/>
      <c r="H174" s="224"/>
      <c r="I174" s="77"/>
      <c r="J174" s="77"/>
      <c r="K174" s="77"/>
      <c r="L174" s="77"/>
      <c r="M174" s="77"/>
      <c r="N174" s="77"/>
      <c r="O174" s="77"/>
      <c r="P174" s="77"/>
      <c r="Q174" s="77"/>
      <c r="R174" s="77"/>
      <c r="S174" s="77"/>
      <c r="T174" s="77"/>
      <c r="U174" s="77"/>
      <c r="V174" s="77"/>
      <c r="W174" s="77"/>
    </row>
    <row r="175" spans="1:24" ht="13.5" customHeight="1">
      <c r="A175" s="233">
        <v>21130906</v>
      </c>
      <c r="B175" s="77" t="s">
        <v>499</v>
      </c>
      <c r="C175" s="224">
        <f>60000+28000+500000</f>
        <v>588000</v>
      </c>
      <c r="D175" s="225"/>
      <c r="E175" s="225"/>
      <c r="F175" s="218"/>
      <c r="G175" s="218"/>
      <c r="H175" s="218"/>
      <c r="I175" s="218"/>
      <c r="J175" s="218"/>
      <c r="K175" s="218"/>
      <c r="L175" s="218"/>
      <c r="M175" s="218"/>
      <c r="N175" s="218"/>
      <c r="O175" s="218"/>
      <c r="P175" s="218"/>
      <c r="Q175" s="218"/>
      <c r="R175" s="218"/>
      <c r="S175" s="218"/>
      <c r="T175" s="218"/>
      <c r="U175" s="218"/>
      <c r="V175" s="218"/>
      <c r="W175" s="218"/>
    </row>
    <row r="176" spans="1:24" ht="13.5" customHeight="1">
      <c r="A176" s="154">
        <v>21130908</v>
      </c>
      <c r="B176" s="72" t="s">
        <v>500</v>
      </c>
      <c r="C176" s="72">
        <v>564500</v>
      </c>
      <c r="D176" s="242"/>
      <c r="E176" s="224"/>
      <c r="F176" s="77"/>
      <c r="G176" s="77"/>
      <c r="H176" s="77"/>
      <c r="I176" s="77"/>
      <c r="J176" s="77"/>
      <c r="K176" s="77"/>
      <c r="L176" s="77"/>
      <c r="M176" s="77"/>
      <c r="N176" s="77"/>
      <c r="O176" s="77"/>
      <c r="P176" s="77"/>
      <c r="Q176" s="77"/>
      <c r="R176" s="77"/>
      <c r="S176" s="77"/>
      <c r="T176" s="77"/>
      <c r="U176" s="77"/>
      <c r="V176" s="77"/>
      <c r="W176" s="77"/>
    </row>
    <row r="177" spans="1:23" ht="13.5" customHeight="1" thickBot="1">
      <c r="A177" s="100"/>
      <c r="B177" s="72"/>
      <c r="C177" s="72"/>
      <c r="D177" s="242"/>
      <c r="E177" s="224"/>
      <c r="F177" s="77"/>
      <c r="G177" s="77"/>
      <c r="H177" s="77"/>
      <c r="I177" s="77"/>
      <c r="J177" s="77"/>
      <c r="K177" s="77"/>
      <c r="L177" s="77"/>
      <c r="M177" s="77"/>
      <c r="N177" s="77"/>
      <c r="O177" s="77"/>
      <c r="P177" s="77"/>
      <c r="Q177" s="77"/>
      <c r="R177" s="77"/>
      <c r="S177" s="77"/>
      <c r="T177" s="77"/>
      <c r="U177" s="77"/>
      <c r="V177" s="77"/>
      <c r="W177" s="77"/>
    </row>
    <row r="178" spans="1:23" ht="13.5" customHeight="1" thickBot="1">
      <c r="A178" s="1355" t="s">
        <v>48</v>
      </c>
      <c r="B178" s="1281"/>
      <c r="C178" s="232">
        <f>+C179+C183</f>
        <v>1650000</v>
      </c>
      <c r="D178" s="242"/>
      <c r="E178" s="224"/>
      <c r="F178" s="77"/>
      <c r="G178" s="77"/>
      <c r="H178" s="77"/>
      <c r="I178" s="77"/>
      <c r="J178" s="77"/>
      <c r="K178" s="77"/>
      <c r="L178" s="77"/>
      <c r="M178" s="77"/>
      <c r="N178" s="77"/>
      <c r="O178" s="77"/>
      <c r="P178" s="77"/>
      <c r="Q178" s="77"/>
      <c r="R178" s="77"/>
      <c r="S178" s="77"/>
      <c r="T178" s="77"/>
      <c r="U178" s="77"/>
      <c r="V178" s="77"/>
      <c r="W178" s="77"/>
    </row>
    <row r="179" spans="1:23" ht="13.5" customHeight="1">
      <c r="A179" s="76">
        <v>221104</v>
      </c>
      <c r="B179" s="849" t="s">
        <v>510</v>
      </c>
      <c r="C179" s="36">
        <f>SUM(C180:C182)</f>
        <v>700000</v>
      </c>
      <c r="D179" s="242"/>
      <c r="E179" s="224"/>
      <c r="F179" s="77"/>
      <c r="G179" s="77"/>
      <c r="H179" s="77"/>
      <c r="I179" s="77"/>
      <c r="J179" s="77"/>
      <c r="K179" s="77"/>
      <c r="L179" s="77"/>
      <c r="M179" s="77"/>
      <c r="N179" s="77"/>
      <c r="O179" s="77"/>
      <c r="P179" s="77"/>
      <c r="Q179" s="77"/>
      <c r="R179" s="77"/>
      <c r="S179" s="77"/>
      <c r="T179" s="77"/>
      <c r="U179" s="77"/>
      <c r="V179" s="77"/>
      <c r="W179" s="77"/>
    </row>
    <row r="180" spans="1:23" ht="13.5" customHeight="1">
      <c r="A180" s="154">
        <v>22110401</v>
      </c>
      <c r="B180" s="72" t="s">
        <v>511</v>
      </c>
      <c r="C180" s="72">
        <f>150000+160000</f>
        <v>310000</v>
      </c>
      <c r="D180" s="242"/>
      <c r="E180" s="224"/>
      <c r="F180" s="77"/>
      <c r="G180" s="77"/>
      <c r="H180" s="77"/>
      <c r="I180" s="77"/>
      <c r="J180" s="77"/>
      <c r="K180" s="77"/>
      <c r="L180" s="77"/>
      <c r="M180" s="77"/>
      <c r="N180" s="77"/>
      <c r="O180" s="77"/>
      <c r="P180" s="77"/>
      <c r="Q180" s="77"/>
      <c r="R180" s="77"/>
      <c r="S180" s="77"/>
      <c r="T180" s="77"/>
      <c r="U180" s="77"/>
      <c r="V180" s="77"/>
      <c r="W180" s="77"/>
    </row>
    <row r="181" spans="1:23" ht="13.5" customHeight="1">
      <c r="A181" s="154">
        <v>22110404</v>
      </c>
      <c r="B181" s="72" t="s">
        <v>512</v>
      </c>
      <c r="C181" s="72">
        <f>90000+20000</f>
        <v>110000</v>
      </c>
      <c r="D181" s="225"/>
      <c r="E181" s="235"/>
      <c r="F181" s="77"/>
      <c r="G181" s="77"/>
      <c r="H181" s="77"/>
      <c r="I181" s="77"/>
      <c r="J181" s="77"/>
      <c r="K181" s="77"/>
      <c r="L181" s="77"/>
      <c r="M181" s="77"/>
      <c r="N181" s="77"/>
      <c r="O181" s="77"/>
      <c r="P181" s="77"/>
      <c r="Q181" s="77"/>
      <c r="R181" s="77"/>
      <c r="S181" s="77"/>
      <c r="T181" s="77"/>
      <c r="U181" s="77"/>
      <c r="V181" s="77"/>
      <c r="W181" s="77"/>
    </row>
    <row r="182" spans="1:23" ht="13.5" customHeight="1">
      <c r="A182" s="154">
        <v>22110409</v>
      </c>
      <c r="B182" s="72" t="s">
        <v>513</v>
      </c>
      <c r="C182" s="72">
        <f>160000+20000+100000</f>
        <v>280000</v>
      </c>
      <c r="D182" s="233"/>
      <c r="E182" s="224"/>
      <c r="F182" s="77"/>
      <c r="G182" s="77"/>
      <c r="H182" s="77"/>
      <c r="I182" s="77"/>
      <c r="J182" s="77"/>
      <c r="K182" s="77"/>
      <c r="L182" s="77"/>
      <c r="M182" s="77"/>
      <c r="N182" s="77"/>
      <c r="O182" s="77"/>
      <c r="P182" s="77"/>
      <c r="Q182" s="77"/>
      <c r="R182" s="77"/>
      <c r="S182" s="77"/>
      <c r="T182" s="77"/>
      <c r="U182" s="77"/>
      <c r="V182" s="77"/>
      <c r="W182" s="77"/>
    </row>
    <row r="183" spans="1:23" ht="13.5" customHeight="1">
      <c r="A183" s="76">
        <v>221107</v>
      </c>
      <c r="B183" s="36" t="s">
        <v>514</v>
      </c>
      <c r="C183" s="36">
        <f>SUM(C184)</f>
        <v>950000</v>
      </c>
      <c r="D183" s="242"/>
      <c r="E183" s="224"/>
      <c r="F183" s="77"/>
      <c r="G183" s="77"/>
      <c r="H183" s="77"/>
      <c r="I183" s="77"/>
      <c r="J183" s="77"/>
      <c r="K183" s="77"/>
      <c r="L183" s="77"/>
      <c r="M183" s="77"/>
      <c r="N183" s="77"/>
      <c r="O183" s="77"/>
      <c r="P183" s="77"/>
      <c r="Q183" s="77"/>
      <c r="R183" s="77"/>
      <c r="S183" s="77"/>
      <c r="T183" s="77"/>
      <c r="U183" s="77"/>
      <c r="V183" s="77"/>
      <c r="W183" s="77"/>
    </row>
    <row r="184" spans="1:23" ht="13.5" customHeight="1">
      <c r="A184" s="154">
        <v>22110702</v>
      </c>
      <c r="B184" s="72" t="s">
        <v>515</v>
      </c>
      <c r="C184" s="72">
        <f>1000000+50000-100000</f>
        <v>950000</v>
      </c>
      <c r="D184" s="242"/>
      <c r="E184" s="224"/>
      <c r="F184" s="77"/>
      <c r="G184" s="77"/>
      <c r="H184" s="77"/>
      <c r="I184" s="77"/>
      <c r="J184" s="77"/>
      <c r="K184" s="77"/>
      <c r="L184" s="77"/>
      <c r="M184" s="77"/>
      <c r="N184" s="77"/>
      <c r="O184" s="77"/>
      <c r="P184" s="77"/>
      <c r="Q184" s="77"/>
      <c r="R184" s="77"/>
      <c r="S184" s="77"/>
      <c r="T184" s="77"/>
      <c r="U184" s="77"/>
      <c r="V184" s="77"/>
      <c r="W184" s="77"/>
    </row>
    <row r="185" spans="1:23" ht="13.5" customHeight="1">
      <c r="A185" s="100"/>
      <c r="B185" s="72"/>
      <c r="C185" s="72"/>
      <c r="D185" s="200"/>
      <c r="E185" s="201"/>
      <c r="F185" s="215"/>
      <c r="G185" s="100"/>
      <c r="H185" s="100"/>
      <c r="I185" s="100"/>
      <c r="J185" s="100"/>
      <c r="K185" s="100"/>
      <c r="L185" s="100"/>
      <c r="M185" s="100"/>
      <c r="N185" s="100"/>
      <c r="O185" s="100"/>
      <c r="P185" s="100"/>
      <c r="Q185" s="100"/>
      <c r="R185" s="100"/>
      <c r="S185" s="100"/>
      <c r="T185" s="100"/>
      <c r="U185" s="100"/>
      <c r="V185" s="100"/>
      <c r="W185" s="100"/>
    </row>
    <row r="186" spans="1:23" ht="13.5" customHeight="1" thickBot="1">
      <c r="A186" s="100"/>
      <c r="B186" s="72"/>
      <c r="C186" s="72"/>
      <c r="D186" s="242"/>
      <c r="E186" s="224"/>
      <c r="F186" s="77"/>
      <c r="G186" s="77"/>
      <c r="H186" s="77"/>
      <c r="I186" s="77"/>
      <c r="J186" s="77"/>
      <c r="K186" s="77"/>
      <c r="L186" s="77"/>
      <c r="M186" s="77"/>
      <c r="N186" s="77"/>
      <c r="O186" s="77"/>
      <c r="P186" s="77"/>
      <c r="Q186" s="77"/>
      <c r="R186" s="77"/>
      <c r="S186" s="77"/>
      <c r="T186" s="77"/>
      <c r="U186" s="77"/>
      <c r="V186" s="77"/>
      <c r="W186" s="77"/>
    </row>
    <row r="187" spans="1:23" s="246" customFormat="1" ht="13.5" customHeight="1">
      <c r="A187" s="1240" t="s">
        <v>896</v>
      </c>
      <c r="B187" s="1241"/>
      <c r="C187" s="1212">
        <v>1504</v>
      </c>
      <c r="D187" s="202"/>
      <c r="E187" s="225"/>
      <c r="F187" s="218"/>
      <c r="G187" s="218"/>
      <c r="H187" s="218"/>
      <c r="I187" s="218"/>
      <c r="J187" s="218"/>
      <c r="K187" s="218"/>
      <c r="L187" s="218"/>
      <c r="M187" s="218"/>
      <c r="N187" s="218"/>
      <c r="O187" s="218"/>
      <c r="P187" s="218"/>
      <c r="Q187" s="218"/>
      <c r="R187" s="218"/>
      <c r="S187" s="218"/>
      <c r="T187" s="218"/>
      <c r="U187" s="218"/>
      <c r="V187" s="218"/>
      <c r="W187" s="218"/>
    </row>
    <row r="188" spans="1:23" s="246" customFormat="1" ht="13.5" customHeight="1" thickBot="1">
      <c r="A188" s="1242"/>
      <c r="B188" s="1243"/>
      <c r="C188" s="1246"/>
      <c r="D188" s="202"/>
      <c r="E188" s="204"/>
      <c r="F188" s="255"/>
      <c r="G188" s="135"/>
      <c r="H188" s="135"/>
      <c r="I188" s="135"/>
      <c r="J188" s="135"/>
      <c r="K188" s="135"/>
      <c r="L188" s="135"/>
      <c r="M188" s="135"/>
      <c r="N188" s="135"/>
      <c r="O188" s="135"/>
      <c r="P188" s="135"/>
      <c r="Q188" s="135"/>
      <c r="R188" s="135"/>
      <c r="S188" s="135"/>
      <c r="T188" s="135"/>
      <c r="U188" s="135"/>
      <c r="V188" s="135"/>
      <c r="W188" s="135"/>
    </row>
    <row r="189" spans="1:23" ht="13.5" customHeight="1">
      <c r="A189" s="608" t="s">
        <v>671</v>
      </c>
      <c r="B189" s="606"/>
      <c r="C189" s="626"/>
      <c r="D189" s="200"/>
      <c r="E189" s="201"/>
      <c r="F189" s="215"/>
      <c r="G189" s="100"/>
      <c r="H189" s="100"/>
      <c r="I189" s="100"/>
      <c r="J189" s="100"/>
      <c r="K189" s="100"/>
      <c r="L189" s="100"/>
      <c r="M189" s="100"/>
      <c r="N189" s="100"/>
      <c r="O189" s="100"/>
      <c r="P189" s="100"/>
      <c r="Q189" s="100"/>
      <c r="R189" s="100"/>
      <c r="S189" s="100"/>
      <c r="T189" s="100"/>
      <c r="U189" s="100"/>
      <c r="V189" s="100"/>
      <c r="W189" s="100"/>
    </row>
    <row r="190" spans="1:23" ht="13.5" customHeight="1">
      <c r="A190" s="609" t="s">
        <v>722</v>
      </c>
      <c r="B190" s="606"/>
      <c r="C190" s="626"/>
      <c r="D190" s="200"/>
      <c r="E190" s="201"/>
      <c r="F190" s="215"/>
      <c r="G190" s="100"/>
      <c r="H190" s="100"/>
      <c r="I190" s="100"/>
      <c r="J190" s="100"/>
      <c r="K190" s="100"/>
      <c r="L190" s="100"/>
      <c r="M190" s="100"/>
      <c r="N190" s="100"/>
      <c r="O190" s="100"/>
      <c r="P190" s="100"/>
      <c r="Q190" s="100"/>
      <c r="R190" s="100"/>
      <c r="S190" s="100"/>
      <c r="T190" s="100"/>
      <c r="U190" s="100"/>
      <c r="V190" s="100"/>
      <c r="W190" s="100"/>
    </row>
    <row r="191" spans="1:23" ht="13.5" customHeight="1">
      <c r="A191" s="609" t="s">
        <v>723</v>
      </c>
      <c r="B191" s="606"/>
      <c r="C191" s="626"/>
      <c r="D191" s="200"/>
      <c r="E191" s="201"/>
      <c r="F191" s="215"/>
      <c r="G191" s="100"/>
      <c r="H191" s="100"/>
      <c r="I191" s="100"/>
      <c r="J191" s="100"/>
      <c r="K191" s="100"/>
      <c r="L191" s="100"/>
      <c r="M191" s="100"/>
      <c r="N191" s="100"/>
      <c r="O191" s="100"/>
      <c r="P191" s="100"/>
      <c r="Q191" s="100"/>
      <c r="R191" s="100"/>
      <c r="S191" s="100"/>
      <c r="T191" s="100"/>
      <c r="U191" s="100"/>
      <c r="V191" s="100"/>
      <c r="W191" s="100"/>
    </row>
    <row r="192" spans="1:23" ht="13.5" customHeight="1" thickBot="1">
      <c r="A192" s="609" t="s">
        <v>0</v>
      </c>
      <c r="B192" s="606"/>
      <c r="C192" s="626"/>
      <c r="D192" s="200"/>
      <c r="E192" s="201"/>
      <c r="F192" s="215"/>
      <c r="G192" s="100"/>
      <c r="H192" s="100"/>
      <c r="I192" s="100"/>
      <c r="J192" s="100"/>
      <c r="K192" s="100"/>
      <c r="L192" s="100"/>
      <c r="M192" s="100"/>
      <c r="N192" s="100"/>
      <c r="O192" s="100"/>
      <c r="P192" s="100"/>
      <c r="Q192" s="100"/>
      <c r="R192" s="100"/>
      <c r="S192" s="100"/>
      <c r="T192" s="100"/>
      <c r="U192" s="100"/>
      <c r="V192" s="100"/>
      <c r="W192" s="100"/>
    </row>
    <row r="193" spans="1:23" ht="13.5" customHeight="1" thickBot="1">
      <c r="A193" s="1244" t="s">
        <v>281</v>
      </c>
      <c r="B193" s="1245"/>
      <c r="C193" s="607">
        <f>C195+C215+C230+C236</f>
        <v>25945500</v>
      </c>
      <c r="D193" s="200"/>
      <c r="E193" s="201"/>
      <c r="F193" s="215"/>
      <c r="G193" s="100"/>
      <c r="H193" s="100"/>
      <c r="I193" s="100"/>
      <c r="J193" s="100"/>
      <c r="K193" s="100"/>
      <c r="L193" s="100"/>
      <c r="M193" s="100"/>
      <c r="N193" s="100"/>
      <c r="O193" s="100"/>
      <c r="P193" s="100"/>
      <c r="Q193" s="100"/>
      <c r="R193" s="100"/>
      <c r="S193" s="100"/>
      <c r="T193" s="100"/>
      <c r="U193" s="100"/>
      <c r="V193" s="100"/>
      <c r="W193" s="100"/>
    </row>
    <row r="194" spans="1:23" ht="13.5" customHeight="1" thickBot="1">
      <c r="A194" s="100"/>
      <c r="B194" s="72"/>
      <c r="C194" s="72"/>
      <c r="D194" s="200"/>
      <c r="E194" s="201"/>
      <c r="F194" s="215"/>
      <c r="G194" s="100"/>
      <c r="H194" s="100"/>
      <c r="I194" s="100"/>
      <c r="J194" s="100"/>
      <c r="K194" s="100"/>
      <c r="L194" s="100"/>
      <c r="M194" s="100"/>
      <c r="N194" s="100"/>
      <c r="O194" s="100"/>
      <c r="P194" s="100"/>
      <c r="Q194" s="100"/>
      <c r="R194" s="100"/>
      <c r="S194" s="100"/>
      <c r="T194" s="100"/>
      <c r="U194" s="100"/>
      <c r="V194" s="100"/>
      <c r="W194" s="100"/>
    </row>
    <row r="195" spans="1:23" ht="13.5" customHeight="1" thickBot="1">
      <c r="A195" s="1305" t="s">
        <v>9</v>
      </c>
      <c r="B195" s="1281"/>
      <c r="C195" s="257">
        <f>C196+C201+C203+C198+C205+C209</f>
        <v>7065000</v>
      </c>
      <c r="D195" s="200"/>
      <c r="E195" s="201"/>
      <c r="F195" s="100"/>
      <c r="G195" s="100"/>
      <c r="H195" s="100"/>
      <c r="I195" s="100"/>
      <c r="J195" s="100"/>
      <c r="K195" s="100"/>
      <c r="L195" s="100"/>
      <c r="M195" s="100"/>
      <c r="N195" s="100"/>
      <c r="O195" s="100"/>
      <c r="P195" s="100"/>
      <c r="Q195" s="100"/>
      <c r="R195" s="100"/>
      <c r="S195" s="100"/>
      <c r="T195" s="100"/>
      <c r="U195" s="100"/>
      <c r="V195" s="100"/>
      <c r="W195" s="100"/>
    </row>
    <row r="196" spans="1:23" ht="13.5" customHeight="1">
      <c r="A196" s="76">
        <v>211201</v>
      </c>
      <c r="B196" s="241" t="s">
        <v>459</v>
      </c>
      <c r="C196" s="36">
        <f>SUM(C197)</f>
        <v>2207500</v>
      </c>
      <c r="D196" s="200"/>
      <c r="E196" s="201"/>
      <c r="F196" s="100"/>
      <c r="G196" s="100"/>
      <c r="H196" s="100"/>
      <c r="I196" s="100"/>
      <c r="J196" s="100"/>
      <c r="K196" s="100"/>
      <c r="L196" s="100"/>
      <c r="M196" s="100"/>
      <c r="N196" s="100"/>
      <c r="O196" s="100"/>
      <c r="P196" s="100"/>
      <c r="Q196" s="100"/>
      <c r="R196" s="100"/>
      <c r="S196" s="100"/>
      <c r="T196" s="100"/>
      <c r="U196" s="100"/>
      <c r="V196" s="100"/>
      <c r="W196" s="100"/>
    </row>
    <row r="197" spans="1:23" ht="13.5" customHeight="1">
      <c r="A197" s="154">
        <v>21120101</v>
      </c>
      <c r="B197" s="77" t="s">
        <v>460</v>
      </c>
      <c r="C197" s="72">
        <f>400000+106000+1701500</f>
        <v>2207500</v>
      </c>
      <c r="D197" s="200"/>
      <c r="E197" s="201"/>
      <c r="F197" s="100"/>
      <c r="G197" s="100"/>
      <c r="H197" s="100"/>
      <c r="I197" s="100"/>
      <c r="J197" s="100"/>
      <c r="K197" s="100"/>
      <c r="L197" s="100"/>
      <c r="M197" s="100"/>
      <c r="N197" s="100"/>
      <c r="O197" s="100"/>
      <c r="P197" s="100"/>
      <c r="Q197" s="100"/>
      <c r="R197" s="100"/>
      <c r="S197" s="100"/>
      <c r="T197" s="100"/>
      <c r="U197" s="100"/>
      <c r="V197" s="100"/>
      <c r="W197" s="100"/>
    </row>
    <row r="198" spans="1:23" ht="13.5" customHeight="1">
      <c r="A198" s="76">
        <v>211202</v>
      </c>
      <c r="B198" s="75" t="s">
        <v>529</v>
      </c>
      <c r="C198" s="36">
        <f>SUM(C199:C200)</f>
        <v>1229500</v>
      </c>
      <c r="D198" s="214"/>
      <c r="E198" s="251"/>
      <c r="F198" s="251"/>
      <c r="G198" s="135"/>
      <c r="H198" s="135"/>
      <c r="I198" s="135"/>
      <c r="J198" s="135"/>
      <c r="K198" s="135"/>
      <c r="L198" s="135"/>
      <c r="M198" s="135"/>
      <c r="N198" s="135"/>
      <c r="O198" s="135"/>
      <c r="P198" s="135"/>
      <c r="Q198" s="135"/>
      <c r="R198" s="135"/>
      <c r="S198" s="135"/>
      <c r="T198" s="135"/>
      <c r="U198" s="135"/>
      <c r="V198" s="135"/>
      <c r="W198" s="135"/>
    </row>
    <row r="199" spans="1:23" ht="13.5" customHeight="1">
      <c r="A199" s="154">
        <v>21120201</v>
      </c>
      <c r="B199" s="100" t="s">
        <v>540</v>
      </c>
      <c r="C199" s="72">
        <f>100000+100000</f>
        <v>200000</v>
      </c>
      <c r="D199" s="214"/>
      <c r="E199" s="251"/>
      <c r="F199" s="251"/>
      <c r="G199" s="135"/>
      <c r="H199" s="135"/>
      <c r="I199" s="135"/>
      <c r="J199" s="135"/>
      <c r="K199" s="135"/>
      <c r="L199" s="135"/>
      <c r="M199" s="135"/>
      <c r="N199" s="135"/>
      <c r="O199" s="135"/>
      <c r="P199" s="135"/>
      <c r="Q199" s="135"/>
      <c r="R199" s="135"/>
      <c r="S199" s="135"/>
      <c r="T199" s="135"/>
      <c r="U199" s="135"/>
      <c r="V199" s="135"/>
      <c r="W199" s="135"/>
    </row>
    <row r="200" spans="1:23" ht="13.5" customHeight="1">
      <c r="A200" s="154">
        <v>21120202</v>
      </c>
      <c r="B200" s="77" t="s">
        <v>530</v>
      </c>
      <c r="C200" s="72">
        <v>1029500</v>
      </c>
      <c r="D200" s="201"/>
      <c r="E200" s="251"/>
      <c r="F200" s="251"/>
      <c r="G200" s="135"/>
      <c r="H200" s="135"/>
      <c r="I200" s="135"/>
      <c r="J200" s="135"/>
      <c r="K200" s="135"/>
      <c r="L200" s="135"/>
      <c r="M200" s="135"/>
      <c r="N200" s="135"/>
      <c r="O200" s="135"/>
      <c r="P200" s="135"/>
      <c r="Q200" s="135"/>
      <c r="R200" s="135"/>
      <c r="S200" s="135"/>
      <c r="T200" s="135"/>
      <c r="U200" s="135"/>
      <c r="V200" s="135"/>
      <c r="W200" s="135"/>
    </row>
    <row r="201" spans="1:23" ht="13.5" customHeight="1">
      <c r="A201" s="76">
        <v>211203</v>
      </c>
      <c r="B201" s="217" t="s">
        <v>461</v>
      </c>
      <c r="C201" s="36">
        <f>C202</f>
        <v>480000</v>
      </c>
      <c r="D201" s="200"/>
      <c r="E201" s="201"/>
      <c r="F201" s="100"/>
      <c r="G201" s="100"/>
      <c r="H201" s="100"/>
      <c r="I201" s="100"/>
      <c r="J201" s="100"/>
      <c r="K201" s="100"/>
      <c r="L201" s="100"/>
      <c r="M201" s="100"/>
      <c r="N201" s="100"/>
      <c r="O201" s="100"/>
      <c r="P201" s="100"/>
      <c r="Q201" s="100"/>
      <c r="R201" s="100"/>
      <c r="S201" s="100"/>
      <c r="T201" s="100"/>
      <c r="U201" s="100"/>
      <c r="V201" s="100"/>
      <c r="W201" s="100"/>
    </row>
    <row r="202" spans="1:23" ht="13.5" customHeight="1">
      <c r="A202" s="154">
        <v>21120302</v>
      </c>
      <c r="B202" s="77" t="s">
        <v>462</v>
      </c>
      <c r="C202" s="72">
        <f>150000+80000+250000</f>
        <v>480000</v>
      </c>
      <c r="D202" s="200"/>
      <c r="E202" s="201"/>
      <c r="F202" s="100"/>
      <c r="G202" s="100"/>
      <c r="H202" s="100"/>
      <c r="I202" s="100"/>
      <c r="J202" s="100"/>
      <c r="K202" s="100"/>
      <c r="L202" s="100"/>
      <c r="M202" s="100"/>
      <c r="N202" s="100"/>
      <c r="O202" s="100"/>
      <c r="P202" s="100"/>
      <c r="Q202" s="100"/>
      <c r="R202" s="100"/>
      <c r="S202" s="100"/>
      <c r="T202" s="100"/>
      <c r="U202" s="100"/>
      <c r="V202" s="100"/>
      <c r="W202" s="100"/>
    </row>
    <row r="203" spans="1:23" ht="13.5" customHeight="1">
      <c r="A203" s="76">
        <v>211204</v>
      </c>
      <c r="B203" s="217" t="s">
        <v>463</v>
      </c>
      <c r="C203" s="36">
        <f>C204</f>
        <v>193000</v>
      </c>
      <c r="D203" s="200"/>
      <c r="E203" s="201"/>
      <c r="F203" s="100"/>
      <c r="G203" s="100"/>
      <c r="H203" s="100"/>
      <c r="I203" s="100"/>
      <c r="J203" s="100"/>
      <c r="K203" s="100"/>
      <c r="L203" s="100"/>
      <c r="M203" s="100"/>
      <c r="N203" s="100"/>
      <c r="O203" s="100"/>
      <c r="P203" s="100"/>
      <c r="Q203" s="100"/>
      <c r="R203" s="100"/>
      <c r="S203" s="100"/>
      <c r="T203" s="100"/>
      <c r="U203" s="100"/>
      <c r="V203" s="100"/>
      <c r="W203" s="100"/>
    </row>
    <row r="204" spans="1:23" ht="13.5" customHeight="1">
      <c r="A204" s="154">
        <v>21120401</v>
      </c>
      <c r="B204" s="72" t="s">
        <v>464</v>
      </c>
      <c r="C204" s="224">
        <f>20000+23000+80000+70000</f>
        <v>193000</v>
      </c>
      <c r="D204" s="200"/>
      <c r="E204" s="201"/>
      <c r="F204" s="100"/>
      <c r="G204" s="100"/>
      <c r="H204" s="100"/>
      <c r="I204" s="100"/>
      <c r="J204" s="100"/>
      <c r="K204" s="100"/>
      <c r="L204" s="100"/>
      <c r="M204" s="100"/>
      <c r="N204" s="100"/>
      <c r="O204" s="100"/>
      <c r="P204" s="100"/>
      <c r="Q204" s="100"/>
      <c r="R204" s="100"/>
      <c r="S204" s="100"/>
      <c r="T204" s="100"/>
      <c r="U204" s="100"/>
      <c r="V204" s="100"/>
      <c r="W204" s="100"/>
    </row>
    <row r="205" spans="1:23" ht="13.5" customHeight="1">
      <c r="A205" s="76">
        <v>211207</v>
      </c>
      <c r="B205" s="848" t="s">
        <v>467</v>
      </c>
      <c r="C205" s="36">
        <f>SUM(C206:C208)</f>
        <v>76500</v>
      </c>
      <c r="D205" s="200"/>
      <c r="E205" s="201"/>
      <c r="F205" s="100"/>
      <c r="G205" s="100"/>
      <c r="H205" s="100"/>
      <c r="I205" s="100"/>
      <c r="J205" s="100"/>
      <c r="K205" s="100"/>
      <c r="L205" s="100"/>
      <c r="M205" s="100"/>
      <c r="N205" s="100"/>
      <c r="O205" s="100"/>
      <c r="P205" s="100"/>
      <c r="Q205" s="100"/>
      <c r="R205" s="100"/>
      <c r="S205" s="100"/>
      <c r="T205" s="100"/>
      <c r="U205" s="100"/>
      <c r="V205" s="100"/>
      <c r="W205" s="100"/>
    </row>
    <row r="206" spans="1:23" ht="13.5" customHeight="1">
      <c r="A206" s="154">
        <v>21120702</v>
      </c>
      <c r="B206" s="77" t="s">
        <v>468</v>
      </c>
      <c r="C206" s="72">
        <f>7000+7000</f>
        <v>14000</v>
      </c>
      <c r="D206" s="200"/>
      <c r="E206" s="201"/>
      <c r="F206" s="100"/>
      <c r="G206" s="100"/>
      <c r="H206" s="100"/>
      <c r="I206" s="100"/>
      <c r="J206" s="100"/>
      <c r="K206" s="100"/>
      <c r="L206" s="100"/>
      <c r="M206" s="100"/>
      <c r="N206" s="100"/>
      <c r="O206" s="100"/>
      <c r="P206" s="100"/>
      <c r="Q206" s="100"/>
      <c r="R206" s="100"/>
      <c r="S206" s="100"/>
      <c r="T206" s="100"/>
      <c r="U206" s="100"/>
      <c r="V206" s="100"/>
      <c r="W206" s="100"/>
    </row>
    <row r="207" spans="1:23" ht="13.5" customHeight="1">
      <c r="A207" s="154">
        <v>21120708</v>
      </c>
      <c r="B207" s="77" t="s">
        <v>470</v>
      </c>
      <c r="C207" s="72">
        <f>9500+10000</f>
        <v>19500</v>
      </c>
      <c r="D207" s="200"/>
      <c r="E207" s="201"/>
      <c r="F207" s="100"/>
      <c r="G207" s="100"/>
      <c r="H207" s="100"/>
      <c r="I207" s="100"/>
      <c r="J207" s="100"/>
      <c r="K207" s="100"/>
      <c r="L207" s="100"/>
      <c r="M207" s="100"/>
      <c r="N207" s="100"/>
      <c r="O207" s="100"/>
      <c r="P207" s="100"/>
      <c r="Q207" s="100"/>
      <c r="R207" s="100"/>
      <c r="S207" s="100"/>
      <c r="T207" s="100"/>
      <c r="U207" s="100"/>
      <c r="V207" s="100"/>
      <c r="W207" s="100"/>
    </row>
    <row r="208" spans="1:23" ht="13.5" customHeight="1">
      <c r="A208" s="154">
        <v>21120709</v>
      </c>
      <c r="B208" s="72" t="s">
        <v>471</v>
      </c>
      <c r="C208" s="72">
        <f>21500+21500</f>
        <v>43000</v>
      </c>
      <c r="D208" s="200"/>
      <c r="E208" s="201"/>
      <c r="F208" s="100"/>
      <c r="G208" s="100"/>
      <c r="H208" s="100"/>
      <c r="I208" s="100"/>
      <c r="J208" s="100"/>
      <c r="K208" s="100"/>
      <c r="L208" s="100"/>
      <c r="M208" s="100"/>
      <c r="N208" s="100"/>
      <c r="O208" s="100"/>
      <c r="P208" s="100"/>
      <c r="Q208" s="100"/>
      <c r="R208" s="100"/>
      <c r="S208" s="100"/>
      <c r="T208" s="100"/>
      <c r="U208" s="100"/>
      <c r="V208" s="100"/>
      <c r="W208" s="100"/>
    </row>
    <row r="209" spans="1:24" ht="13.5" customHeight="1">
      <c r="A209" s="76">
        <v>211209</v>
      </c>
      <c r="B209" s="36" t="s">
        <v>477</v>
      </c>
      <c r="C209" s="36">
        <f>SUM(C210:C213)</f>
        <v>2878500</v>
      </c>
      <c r="D209" s="135"/>
      <c r="E209" s="135"/>
      <c r="F209" s="135"/>
      <c r="G209" s="135"/>
      <c r="H209" s="135"/>
      <c r="I209" s="135"/>
      <c r="J209" s="135"/>
      <c r="K209" s="135"/>
      <c r="L209" s="135"/>
      <c r="M209" s="135"/>
      <c r="N209" s="135"/>
      <c r="O209" s="135"/>
      <c r="P209" s="135"/>
      <c r="Q209" s="135"/>
      <c r="R209" s="135"/>
      <c r="S209" s="135"/>
      <c r="T209" s="135"/>
      <c r="U209" s="135"/>
      <c r="V209" s="135"/>
      <c r="W209" s="135"/>
    </row>
    <row r="210" spans="1:24" ht="13.5" customHeight="1">
      <c r="A210" s="154">
        <v>21120901</v>
      </c>
      <c r="B210" s="72" t="s">
        <v>478</v>
      </c>
      <c r="C210" s="72">
        <f>250000+60000</f>
        <v>310000</v>
      </c>
      <c r="D210" s="218"/>
      <c r="E210" s="218"/>
      <c r="F210" s="218"/>
      <c r="G210" s="218"/>
      <c r="H210" s="218"/>
      <c r="I210" s="218"/>
      <c r="J210" s="218"/>
      <c r="K210" s="218"/>
      <c r="L210" s="218"/>
      <c r="M210" s="218"/>
      <c r="N210" s="218"/>
      <c r="O210" s="218"/>
      <c r="P210" s="218"/>
      <c r="Q210" s="218"/>
      <c r="R210" s="218"/>
      <c r="S210" s="218"/>
      <c r="T210" s="218"/>
      <c r="U210" s="218"/>
      <c r="V210" s="218"/>
      <c r="W210" s="218"/>
    </row>
    <row r="211" spans="1:24" ht="13.5" customHeight="1">
      <c r="A211" s="233">
        <v>21120905</v>
      </c>
      <c r="B211" s="77" t="s">
        <v>525</v>
      </c>
      <c r="C211" s="224">
        <v>50000</v>
      </c>
      <c r="D211" s="200"/>
      <c r="E211" s="201"/>
      <c r="F211" s="100"/>
      <c r="G211" s="100"/>
      <c r="H211" s="100"/>
      <c r="I211" s="100"/>
      <c r="J211" s="100"/>
      <c r="K211" s="100"/>
      <c r="L211" s="100"/>
      <c r="M211" s="100"/>
      <c r="N211" s="100"/>
      <c r="O211" s="100"/>
      <c r="P211" s="100"/>
      <c r="Q211" s="100"/>
      <c r="R211" s="100"/>
      <c r="S211" s="100"/>
      <c r="T211" s="100"/>
      <c r="U211" s="100"/>
      <c r="V211" s="100"/>
      <c r="W211" s="100"/>
    </row>
    <row r="212" spans="1:24" ht="13.5" customHeight="1">
      <c r="A212" s="154">
        <v>21120906</v>
      </c>
      <c r="B212" s="72" t="s">
        <v>479</v>
      </c>
      <c r="C212" s="224">
        <v>300000</v>
      </c>
      <c r="D212" s="200"/>
      <c r="E212" s="201"/>
      <c r="F212" s="100"/>
      <c r="G212" s="100"/>
      <c r="H212" s="100"/>
      <c r="I212" s="100"/>
      <c r="J212" s="100"/>
      <c r="K212" s="100"/>
      <c r="L212" s="100"/>
      <c r="M212" s="100"/>
      <c r="N212" s="100"/>
      <c r="O212" s="100"/>
      <c r="P212" s="100"/>
      <c r="Q212" s="100"/>
      <c r="R212" s="100"/>
      <c r="S212" s="100"/>
      <c r="T212" s="100"/>
      <c r="U212" s="100"/>
      <c r="V212" s="100"/>
      <c r="W212" s="100"/>
    </row>
    <row r="213" spans="1:24" ht="13.5" customHeight="1">
      <c r="A213" s="154">
        <v>21120907</v>
      </c>
      <c r="B213" s="77" t="s">
        <v>480</v>
      </c>
      <c r="C213" s="224">
        <f>2500000+68500-350000</f>
        <v>2218500</v>
      </c>
      <c r="D213" s="200"/>
      <c r="E213" s="201"/>
      <c r="F213" s="100"/>
      <c r="G213" s="100"/>
      <c r="H213" s="100"/>
      <c r="I213" s="100"/>
      <c r="J213" s="100"/>
      <c r="K213" s="100"/>
      <c r="L213" s="100"/>
      <c r="M213" s="100"/>
      <c r="N213" s="100"/>
      <c r="O213" s="100"/>
      <c r="P213" s="100"/>
      <c r="Q213" s="100"/>
      <c r="R213" s="100"/>
      <c r="S213" s="100"/>
      <c r="T213" s="100"/>
      <c r="U213" s="100"/>
      <c r="V213" s="100"/>
      <c r="W213" s="100"/>
    </row>
    <row r="214" spans="1:24" ht="13.5" customHeight="1" thickBot="1">
      <c r="A214" s="100"/>
      <c r="B214" s="72"/>
      <c r="C214" s="224"/>
      <c r="D214" s="200"/>
      <c r="E214" s="201"/>
      <c r="F214" s="100"/>
      <c r="G214" s="100"/>
      <c r="H214" s="100"/>
      <c r="I214" s="100"/>
      <c r="J214" s="100"/>
      <c r="K214" s="100"/>
      <c r="L214" s="100"/>
      <c r="M214" s="100"/>
      <c r="N214" s="100"/>
      <c r="O214" s="100"/>
      <c r="P214" s="100"/>
      <c r="Q214" s="100"/>
      <c r="R214" s="100"/>
      <c r="S214" s="100"/>
      <c r="T214" s="100"/>
      <c r="U214" s="100"/>
      <c r="V214" s="100"/>
      <c r="W214" s="100"/>
    </row>
    <row r="215" spans="1:24" ht="13.5" customHeight="1" thickBot="1">
      <c r="A215" s="1306" t="s">
        <v>4</v>
      </c>
      <c r="B215" s="1281"/>
      <c r="C215" s="258">
        <f>C216+C218+C221+C224</f>
        <v>17438500</v>
      </c>
      <c r="D215" s="200"/>
      <c r="E215" s="201"/>
      <c r="F215" s="100"/>
      <c r="G215" s="100"/>
      <c r="H215" s="100"/>
      <c r="I215" s="100"/>
      <c r="J215" s="100"/>
      <c r="K215" s="100"/>
      <c r="L215" s="100"/>
      <c r="M215" s="100"/>
      <c r="N215" s="100"/>
      <c r="O215" s="100"/>
      <c r="P215" s="100"/>
      <c r="Q215" s="100"/>
      <c r="R215" s="100"/>
      <c r="S215" s="100"/>
      <c r="T215" s="100"/>
      <c r="U215" s="100"/>
      <c r="V215" s="100"/>
      <c r="W215" s="100"/>
    </row>
    <row r="216" spans="1:24" ht="13.5" customHeight="1">
      <c r="A216" s="76">
        <v>211302</v>
      </c>
      <c r="B216" s="76" t="s">
        <v>481</v>
      </c>
      <c r="C216" s="256">
        <f>SUM(C217)</f>
        <v>519000</v>
      </c>
      <c r="D216" s="200"/>
      <c r="E216" s="201"/>
      <c r="F216" s="100"/>
      <c r="G216" s="100"/>
      <c r="H216" s="100"/>
      <c r="I216" s="100"/>
      <c r="J216" s="100"/>
      <c r="K216" s="100"/>
      <c r="L216" s="100"/>
      <c r="M216" s="100"/>
      <c r="N216" s="100"/>
      <c r="O216" s="100"/>
      <c r="P216" s="100"/>
      <c r="Q216" s="100"/>
      <c r="R216" s="100"/>
      <c r="S216" s="100"/>
      <c r="T216" s="100"/>
      <c r="U216" s="100"/>
      <c r="V216" s="100"/>
      <c r="W216" s="100"/>
    </row>
    <row r="217" spans="1:24" ht="13.5" customHeight="1">
      <c r="A217" s="233">
        <v>21130204</v>
      </c>
      <c r="B217" s="77" t="s">
        <v>483</v>
      </c>
      <c r="C217" s="224">
        <f>40000+239000+240000</f>
        <v>519000</v>
      </c>
      <c r="D217" s="200"/>
      <c r="E217" s="201"/>
      <c r="F217" s="100"/>
      <c r="G217" s="100"/>
      <c r="H217" s="100"/>
      <c r="I217" s="100"/>
      <c r="J217" s="100"/>
      <c r="K217" s="100"/>
      <c r="L217" s="100"/>
      <c r="M217" s="100"/>
      <c r="N217" s="100"/>
      <c r="O217" s="100"/>
      <c r="P217" s="100"/>
      <c r="Q217" s="100"/>
      <c r="R217" s="100"/>
      <c r="S217" s="100"/>
      <c r="T217" s="100"/>
      <c r="U217" s="100"/>
      <c r="V217" s="100"/>
      <c r="W217" s="100"/>
    </row>
    <row r="218" spans="1:24" ht="13.5" customHeight="1">
      <c r="A218" s="241">
        <v>211303</v>
      </c>
      <c r="B218" s="234" t="s">
        <v>484</v>
      </c>
      <c r="C218" s="36">
        <f>SUM(C219:C220)</f>
        <v>370000</v>
      </c>
      <c r="D218" s="200"/>
      <c r="E218" s="201"/>
      <c r="F218" s="100"/>
      <c r="G218" s="100"/>
      <c r="H218" s="100"/>
      <c r="I218" s="100"/>
      <c r="J218" s="100"/>
      <c r="K218" s="100"/>
      <c r="L218" s="100"/>
      <c r="M218" s="100"/>
      <c r="N218" s="100"/>
      <c r="O218" s="100"/>
      <c r="P218" s="100"/>
      <c r="Q218" s="100"/>
      <c r="R218" s="100"/>
      <c r="S218" s="100"/>
      <c r="T218" s="100"/>
      <c r="U218" s="100"/>
      <c r="V218" s="100"/>
      <c r="W218" s="100"/>
    </row>
    <row r="219" spans="1:24" ht="13.5" customHeight="1">
      <c r="A219" s="33">
        <v>21130301</v>
      </c>
      <c r="B219" s="23" t="s">
        <v>485</v>
      </c>
      <c r="C219" s="51">
        <v>200000</v>
      </c>
      <c r="D219" s="37"/>
      <c r="E219" s="38"/>
      <c r="F219" s="38"/>
      <c r="G219" s="39"/>
      <c r="H219" s="38"/>
      <c r="I219" s="38"/>
      <c r="J219" s="38"/>
      <c r="K219" s="38"/>
      <c r="L219" s="38"/>
      <c r="M219" s="38"/>
      <c r="N219" s="38"/>
      <c r="O219" s="38"/>
      <c r="P219" s="38"/>
      <c r="Q219" s="38"/>
      <c r="R219" s="38"/>
      <c r="S219" s="38"/>
      <c r="T219" s="38"/>
      <c r="U219" s="38"/>
      <c r="V219" s="38"/>
      <c r="W219" s="38"/>
      <c r="X219" s="38"/>
    </row>
    <row r="220" spans="1:24" ht="13.5" customHeight="1">
      <c r="A220" s="233">
        <v>21130307</v>
      </c>
      <c r="B220" s="77" t="s">
        <v>488</v>
      </c>
      <c r="C220" s="72">
        <f>120000+50000</f>
        <v>170000</v>
      </c>
      <c r="D220" s="200"/>
      <c r="E220" s="201"/>
      <c r="F220" s="100"/>
      <c r="G220" s="100"/>
      <c r="H220" s="100"/>
      <c r="I220" s="100"/>
      <c r="J220" s="100"/>
      <c r="K220" s="100"/>
      <c r="L220" s="100"/>
      <c r="M220" s="100"/>
      <c r="N220" s="100"/>
      <c r="O220" s="100"/>
      <c r="P220" s="100"/>
      <c r="Q220" s="100"/>
      <c r="R220" s="100"/>
      <c r="S220" s="100"/>
      <c r="T220" s="100"/>
      <c r="U220" s="100"/>
      <c r="V220" s="100"/>
      <c r="W220" s="100"/>
    </row>
    <row r="221" spans="1:24" ht="13.5" customHeight="1">
      <c r="A221" s="241">
        <v>211305</v>
      </c>
      <c r="B221" s="217" t="s">
        <v>489</v>
      </c>
      <c r="C221" s="256">
        <f>SUM(C222:C223)</f>
        <v>6088500</v>
      </c>
      <c r="D221" s="200"/>
      <c r="E221" s="201"/>
      <c r="F221" s="100"/>
      <c r="G221" s="100"/>
      <c r="H221" s="100"/>
      <c r="I221" s="100"/>
      <c r="J221" s="100"/>
      <c r="K221" s="100"/>
      <c r="L221" s="100"/>
      <c r="M221" s="100"/>
      <c r="N221" s="100"/>
      <c r="O221" s="100"/>
      <c r="P221" s="100"/>
      <c r="Q221" s="100"/>
      <c r="R221" s="100"/>
      <c r="S221" s="100"/>
      <c r="T221" s="100"/>
      <c r="U221" s="100"/>
      <c r="V221" s="100"/>
      <c r="W221" s="100"/>
    </row>
    <row r="222" spans="1:24" ht="13.5" customHeight="1">
      <c r="A222" s="154">
        <v>21130501</v>
      </c>
      <c r="B222" s="77" t="s">
        <v>490</v>
      </c>
      <c r="C222" s="72">
        <f>80000+40000</f>
        <v>120000</v>
      </c>
      <c r="D222" s="200"/>
      <c r="E222" s="201"/>
      <c r="F222" s="100"/>
      <c r="G222" s="100"/>
      <c r="H222" s="100"/>
      <c r="I222" s="100"/>
      <c r="J222" s="100"/>
      <c r="K222" s="100"/>
      <c r="L222" s="100"/>
      <c r="M222" s="100"/>
      <c r="N222" s="100"/>
      <c r="O222" s="100"/>
      <c r="P222" s="100"/>
      <c r="Q222" s="100"/>
      <c r="R222" s="100"/>
      <c r="S222" s="100"/>
      <c r="T222" s="100"/>
      <c r="U222" s="100"/>
      <c r="V222" s="100"/>
      <c r="W222" s="100"/>
    </row>
    <row r="223" spans="1:24" ht="13.5" customHeight="1">
      <c r="A223" s="154">
        <v>21130502</v>
      </c>
      <c r="B223" s="72" t="s">
        <v>491</v>
      </c>
      <c r="C223" s="224">
        <f>3568500+2400000</f>
        <v>5968500</v>
      </c>
      <c r="D223" s="200"/>
      <c r="E223" s="201"/>
      <c r="F223" s="100"/>
      <c r="G223" s="100"/>
      <c r="H223" s="100"/>
      <c r="I223" s="100"/>
      <c r="J223" s="100"/>
      <c r="K223" s="100"/>
      <c r="L223" s="100"/>
      <c r="M223" s="100"/>
      <c r="N223" s="100"/>
      <c r="O223" s="100"/>
      <c r="P223" s="100"/>
      <c r="Q223" s="100"/>
      <c r="R223" s="100"/>
      <c r="S223" s="100"/>
      <c r="T223" s="100"/>
      <c r="U223" s="100"/>
      <c r="V223" s="100"/>
      <c r="W223" s="100"/>
    </row>
    <row r="224" spans="1:24" ht="13.5" customHeight="1">
      <c r="A224" s="76">
        <v>211309</v>
      </c>
      <c r="B224" s="217" t="s">
        <v>496</v>
      </c>
      <c r="C224" s="256">
        <f>+SUM(C225:C228)</f>
        <v>10461000</v>
      </c>
      <c r="D224" s="200"/>
      <c r="E224" s="201"/>
      <c r="F224" s="100"/>
      <c r="G224" s="100"/>
      <c r="H224" s="100"/>
      <c r="I224" s="100"/>
      <c r="J224" s="100"/>
      <c r="K224" s="100"/>
      <c r="L224" s="100"/>
      <c r="M224" s="100"/>
      <c r="N224" s="100"/>
      <c r="O224" s="100"/>
      <c r="P224" s="100"/>
      <c r="Q224" s="100"/>
      <c r="R224" s="100"/>
      <c r="S224" s="100"/>
      <c r="T224" s="100"/>
      <c r="U224" s="100"/>
      <c r="V224" s="100"/>
      <c r="W224" s="100"/>
    </row>
    <row r="225" spans="1:23" ht="13.5" customHeight="1">
      <c r="A225" s="233">
        <v>21130901</v>
      </c>
      <c r="B225" s="77" t="s">
        <v>497</v>
      </c>
      <c r="C225" s="224">
        <f>200000+800000+3500000</f>
        <v>4500000</v>
      </c>
      <c r="D225" s="200"/>
      <c r="E225" s="201"/>
      <c r="F225" s="100"/>
      <c r="G225" s="100"/>
      <c r="H225" s="100"/>
      <c r="I225" s="100"/>
      <c r="J225" s="100"/>
      <c r="K225" s="100"/>
      <c r="L225" s="100"/>
      <c r="M225" s="100"/>
      <c r="N225" s="100"/>
      <c r="O225" s="100"/>
      <c r="P225" s="100"/>
      <c r="Q225" s="100"/>
      <c r="R225" s="100"/>
      <c r="S225" s="100"/>
      <c r="T225" s="100"/>
      <c r="U225" s="100"/>
      <c r="V225" s="100"/>
      <c r="W225" s="100"/>
    </row>
    <row r="226" spans="1:23" ht="13.5" customHeight="1">
      <c r="A226" s="154">
        <v>21130903</v>
      </c>
      <c r="B226" s="72" t="s">
        <v>498</v>
      </c>
      <c r="C226" s="72">
        <f>200000+40000+40000</f>
        <v>280000</v>
      </c>
      <c r="D226" s="200"/>
      <c r="E226" s="201"/>
      <c r="F226" s="100"/>
      <c r="G226" s="100"/>
      <c r="H226" s="100"/>
      <c r="I226" s="100"/>
      <c r="J226" s="100"/>
      <c r="K226" s="100"/>
      <c r="L226" s="100"/>
      <c r="M226" s="100"/>
      <c r="N226" s="100"/>
      <c r="O226" s="100"/>
      <c r="P226" s="100"/>
      <c r="Q226" s="100"/>
      <c r="R226" s="100"/>
      <c r="S226" s="100"/>
      <c r="T226" s="100"/>
      <c r="U226" s="100"/>
      <c r="V226" s="100"/>
      <c r="W226" s="100"/>
    </row>
    <row r="227" spans="1:23" ht="13.5" customHeight="1">
      <c r="A227" s="233">
        <v>21130906</v>
      </c>
      <c r="B227" s="77" t="s">
        <v>499</v>
      </c>
      <c r="C227" s="224">
        <v>4510500</v>
      </c>
      <c r="D227" s="200"/>
      <c r="E227" s="201"/>
      <c r="F227" s="100"/>
      <c r="G227" s="100"/>
      <c r="H227" s="100"/>
      <c r="I227" s="100"/>
      <c r="J227" s="100"/>
      <c r="K227" s="100"/>
      <c r="L227" s="100"/>
      <c r="M227" s="100"/>
      <c r="N227" s="100"/>
      <c r="O227" s="100"/>
      <c r="P227" s="100"/>
      <c r="Q227" s="100"/>
      <c r="R227" s="100"/>
      <c r="S227" s="100"/>
      <c r="T227" s="100"/>
      <c r="U227" s="100"/>
      <c r="V227" s="100"/>
      <c r="W227" s="100"/>
    </row>
    <row r="228" spans="1:23" ht="13.5" customHeight="1">
      <c r="A228" s="233">
        <v>21130908</v>
      </c>
      <c r="B228" s="77" t="s">
        <v>500</v>
      </c>
      <c r="C228" s="224">
        <f>577500+93000+500000</f>
        <v>1170500</v>
      </c>
      <c r="D228" s="200"/>
      <c r="E228" s="201"/>
      <c r="F228" s="100"/>
      <c r="G228" s="100"/>
      <c r="H228" s="100"/>
      <c r="I228" s="100"/>
      <c r="J228" s="100"/>
      <c r="K228" s="100"/>
      <c r="L228" s="100"/>
      <c r="M228" s="100"/>
      <c r="N228" s="100"/>
      <c r="O228" s="100"/>
      <c r="P228" s="100"/>
      <c r="Q228" s="100"/>
      <c r="R228" s="100"/>
      <c r="S228" s="100"/>
      <c r="T228" s="100"/>
      <c r="U228" s="100"/>
      <c r="V228" s="100"/>
      <c r="W228" s="100"/>
    </row>
    <row r="229" spans="1:23" ht="13.5" customHeight="1" thickBot="1">
      <c r="A229" s="100"/>
      <c r="B229" s="100"/>
      <c r="C229" s="72"/>
      <c r="D229" s="200"/>
      <c r="E229" s="201"/>
      <c r="F229" s="100"/>
      <c r="G229" s="100"/>
      <c r="H229" s="100"/>
      <c r="I229" s="100"/>
      <c r="J229" s="100"/>
      <c r="K229" s="100"/>
      <c r="L229" s="100"/>
      <c r="M229" s="100"/>
      <c r="N229" s="100"/>
      <c r="O229" s="100"/>
      <c r="P229" s="100"/>
      <c r="Q229" s="100"/>
      <c r="R229" s="100"/>
      <c r="S229" s="100"/>
      <c r="T229" s="100"/>
      <c r="U229" s="100"/>
      <c r="V229" s="100"/>
      <c r="W229" s="100"/>
    </row>
    <row r="230" spans="1:23" ht="13.5" customHeight="1" thickBot="1">
      <c r="A230" s="1357" t="s">
        <v>45</v>
      </c>
      <c r="B230" s="1281"/>
      <c r="C230" s="228">
        <f>C231</f>
        <v>380000</v>
      </c>
      <c r="D230" s="200"/>
      <c r="E230" s="201"/>
      <c r="F230" s="100"/>
      <c r="G230" s="100"/>
      <c r="H230" s="100"/>
      <c r="I230" s="100"/>
      <c r="J230" s="100"/>
      <c r="K230" s="100"/>
      <c r="L230" s="100"/>
      <c r="M230" s="100"/>
      <c r="N230" s="100"/>
      <c r="O230" s="100"/>
      <c r="P230" s="100"/>
      <c r="Q230" s="100"/>
      <c r="R230" s="100"/>
      <c r="S230" s="100"/>
      <c r="T230" s="100"/>
      <c r="U230" s="100"/>
      <c r="V230" s="100"/>
      <c r="W230" s="100"/>
    </row>
    <row r="231" spans="1:23" ht="13.5" customHeight="1">
      <c r="A231" s="76">
        <v>211402</v>
      </c>
      <c r="B231" s="76" t="s">
        <v>503</v>
      </c>
      <c r="C231" s="155">
        <f>SUM(C232:C234)</f>
        <v>380000</v>
      </c>
      <c r="D231" s="200"/>
      <c r="E231" s="201"/>
      <c r="F231" s="100"/>
      <c r="G231" s="100"/>
      <c r="H231" s="100"/>
      <c r="I231" s="100"/>
      <c r="J231" s="100"/>
      <c r="K231" s="100"/>
      <c r="L231" s="100"/>
      <c r="M231" s="100"/>
      <c r="N231" s="100"/>
      <c r="O231" s="100"/>
      <c r="P231" s="100"/>
      <c r="Q231" s="100"/>
      <c r="R231" s="100"/>
      <c r="S231" s="100"/>
      <c r="T231" s="100"/>
      <c r="U231" s="100"/>
      <c r="V231" s="100"/>
      <c r="W231" s="100"/>
    </row>
    <row r="232" spans="1:23" ht="13.5" customHeight="1">
      <c r="A232" s="154">
        <v>21140201</v>
      </c>
      <c r="B232" s="100" t="s">
        <v>652</v>
      </c>
      <c r="C232" s="114">
        <v>80000</v>
      </c>
      <c r="D232" s="200"/>
      <c r="E232" s="201"/>
      <c r="F232" s="100"/>
      <c r="G232" s="100"/>
      <c r="H232" s="100"/>
      <c r="I232" s="100"/>
      <c r="J232" s="100"/>
      <c r="K232" s="100"/>
      <c r="L232" s="100"/>
      <c r="M232" s="100"/>
      <c r="N232" s="100"/>
      <c r="O232" s="100"/>
      <c r="P232" s="100"/>
      <c r="Q232" s="100"/>
      <c r="R232" s="100"/>
      <c r="S232" s="100"/>
      <c r="T232" s="100"/>
      <c r="U232" s="100"/>
      <c r="V232" s="100"/>
      <c r="W232" s="100"/>
    </row>
    <row r="233" spans="1:23" ht="13.5" customHeight="1">
      <c r="A233" s="154">
        <v>21140208</v>
      </c>
      <c r="B233" s="100" t="s">
        <v>553</v>
      </c>
      <c r="C233" s="72">
        <v>200000</v>
      </c>
      <c r="D233" s="200"/>
      <c r="E233" s="201"/>
      <c r="F233" s="100"/>
      <c r="G233" s="100"/>
      <c r="H233" s="100"/>
      <c r="I233" s="100"/>
      <c r="J233" s="100"/>
      <c r="K233" s="100"/>
      <c r="L233" s="100"/>
      <c r="M233" s="100"/>
      <c r="N233" s="100"/>
      <c r="O233" s="100"/>
      <c r="P233" s="100"/>
      <c r="Q233" s="100"/>
      <c r="R233" s="100"/>
      <c r="S233" s="100"/>
      <c r="T233" s="100"/>
      <c r="U233" s="100"/>
      <c r="V233" s="100"/>
      <c r="W233" s="100"/>
    </row>
    <row r="234" spans="1:23" ht="13.5" customHeight="1">
      <c r="A234" s="154">
        <v>21140213</v>
      </c>
      <c r="B234" s="100" t="s">
        <v>504</v>
      </c>
      <c r="C234" s="72">
        <v>100000</v>
      </c>
      <c r="D234" s="200"/>
      <c r="E234" s="201"/>
      <c r="F234" s="100"/>
      <c r="G234" s="100"/>
      <c r="H234" s="100"/>
      <c r="I234" s="100"/>
      <c r="J234" s="100"/>
      <c r="K234" s="100"/>
      <c r="L234" s="100"/>
      <c r="M234" s="100"/>
      <c r="N234" s="100"/>
      <c r="O234" s="100"/>
      <c r="P234" s="100"/>
      <c r="Q234" s="100"/>
      <c r="R234" s="100"/>
      <c r="S234" s="100"/>
      <c r="T234" s="100"/>
      <c r="U234" s="100"/>
      <c r="V234" s="100"/>
      <c r="W234" s="100"/>
    </row>
    <row r="235" spans="1:23" ht="13.5" customHeight="1" thickBot="1">
      <c r="A235" s="100"/>
      <c r="B235" s="100"/>
      <c r="C235" s="72"/>
      <c r="D235" s="200"/>
      <c r="E235" s="201"/>
      <c r="F235" s="100"/>
      <c r="G235" s="100"/>
      <c r="H235" s="100"/>
      <c r="I235" s="100"/>
      <c r="J235" s="100"/>
      <c r="K235" s="100"/>
      <c r="L235" s="100"/>
      <c r="M235" s="100"/>
      <c r="N235" s="100"/>
      <c r="O235" s="100"/>
      <c r="P235" s="100"/>
      <c r="Q235" s="100"/>
      <c r="R235" s="100"/>
      <c r="S235" s="100"/>
      <c r="T235" s="100"/>
      <c r="U235" s="100"/>
      <c r="V235" s="100"/>
      <c r="W235" s="100"/>
    </row>
    <row r="236" spans="1:23" ht="13.5" customHeight="1" thickBot="1">
      <c r="A236" s="1355" t="s">
        <v>48</v>
      </c>
      <c r="B236" s="1281"/>
      <c r="C236" s="232">
        <f>C237+C240</f>
        <v>1062000</v>
      </c>
      <c r="D236" s="200"/>
      <c r="E236" s="201"/>
      <c r="F236" s="100"/>
      <c r="G236" s="100"/>
      <c r="H236" s="100"/>
      <c r="I236" s="100"/>
      <c r="J236" s="100"/>
      <c r="K236" s="100"/>
      <c r="L236" s="100"/>
      <c r="M236" s="100"/>
      <c r="N236" s="100"/>
      <c r="O236" s="100"/>
      <c r="P236" s="100"/>
      <c r="Q236" s="100"/>
      <c r="R236" s="100"/>
      <c r="S236" s="100"/>
      <c r="T236" s="100"/>
      <c r="U236" s="100"/>
      <c r="V236" s="100"/>
      <c r="W236" s="100"/>
    </row>
    <row r="237" spans="1:23" ht="13.5" customHeight="1">
      <c r="A237" s="76">
        <v>221104</v>
      </c>
      <c r="B237" s="826" t="s">
        <v>510</v>
      </c>
      <c r="C237" s="155">
        <f>SUM(C238:C239)</f>
        <v>450000</v>
      </c>
      <c r="D237" s="200"/>
      <c r="E237" s="201"/>
      <c r="F237" s="100"/>
      <c r="G237" s="100"/>
      <c r="H237" s="100"/>
      <c r="I237" s="100"/>
      <c r="J237" s="100"/>
      <c r="K237" s="100"/>
      <c r="L237" s="100"/>
      <c r="M237" s="100"/>
      <c r="N237" s="100"/>
      <c r="O237" s="100"/>
      <c r="P237" s="100"/>
      <c r="Q237" s="100"/>
      <c r="R237" s="100"/>
      <c r="S237" s="100"/>
      <c r="T237" s="100"/>
      <c r="U237" s="100"/>
      <c r="V237" s="100"/>
      <c r="W237" s="100"/>
    </row>
    <row r="238" spans="1:23" ht="13.5" customHeight="1">
      <c r="A238" s="154">
        <v>22110401</v>
      </c>
      <c r="B238" s="100" t="s">
        <v>511</v>
      </c>
      <c r="C238" s="72">
        <f>200000+30000</f>
        <v>230000</v>
      </c>
      <c r="D238" s="200"/>
      <c r="E238" s="201"/>
      <c r="F238" s="100"/>
      <c r="G238" s="100"/>
      <c r="H238" s="100"/>
      <c r="I238" s="100"/>
      <c r="J238" s="100"/>
      <c r="K238" s="100"/>
      <c r="L238" s="100"/>
      <c r="M238" s="100"/>
      <c r="N238" s="100"/>
      <c r="O238" s="100"/>
      <c r="P238" s="100"/>
      <c r="Q238" s="100"/>
      <c r="R238" s="100"/>
      <c r="S238" s="100"/>
      <c r="T238" s="100"/>
      <c r="U238" s="100"/>
      <c r="V238" s="100"/>
      <c r="W238" s="100"/>
    </row>
    <row r="239" spans="1:23" ht="13.5" customHeight="1">
      <c r="A239" s="154">
        <v>22110409</v>
      </c>
      <c r="B239" s="72" t="s">
        <v>513</v>
      </c>
      <c r="C239" s="224">
        <f>200000+20000</f>
        <v>220000</v>
      </c>
      <c r="D239" s="200"/>
      <c r="E239" s="201"/>
      <c r="F239" s="100"/>
      <c r="G239" s="100"/>
      <c r="H239" s="100"/>
      <c r="I239" s="100"/>
      <c r="J239" s="100"/>
      <c r="K239" s="100"/>
      <c r="L239" s="100"/>
      <c r="M239" s="100"/>
      <c r="N239" s="100"/>
      <c r="O239" s="100"/>
      <c r="P239" s="100"/>
      <c r="Q239" s="100"/>
      <c r="R239" s="100"/>
      <c r="S239" s="100"/>
      <c r="T239" s="100"/>
      <c r="U239" s="100"/>
      <c r="V239" s="100"/>
      <c r="W239" s="100"/>
    </row>
    <row r="240" spans="1:23" ht="13.5" customHeight="1">
      <c r="A240" s="76">
        <v>221107</v>
      </c>
      <c r="B240" s="36" t="s">
        <v>514</v>
      </c>
      <c r="C240" s="36">
        <f>SUM(C241)</f>
        <v>612000</v>
      </c>
      <c r="D240" s="200"/>
      <c r="E240" s="201"/>
      <c r="F240" s="100"/>
      <c r="G240" s="100"/>
      <c r="H240" s="100"/>
      <c r="I240" s="100"/>
      <c r="J240" s="100"/>
      <c r="K240" s="100"/>
      <c r="L240" s="100"/>
      <c r="M240" s="100"/>
      <c r="N240" s="100"/>
      <c r="O240" s="100"/>
      <c r="P240" s="100"/>
      <c r="Q240" s="100"/>
      <c r="R240" s="100"/>
      <c r="S240" s="100"/>
      <c r="T240" s="100"/>
      <c r="U240" s="100"/>
      <c r="V240" s="100"/>
      <c r="W240" s="100"/>
    </row>
    <row r="241" spans="1:23" ht="13.5" customHeight="1">
      <c r="A241" s="154">
        <v>22110702</v>
      </c>
      <c r="B241" s="72" t="s">
        <v>515</v>
      </c>
      <c r="C241" s="72">
        <f>1000000+12000-400000</f>
        <v>612000</v>
      </c>
      <c r="D241" s="200"/>
      <c r="E241" s="201"/>
      <c r="F241" s="100"/>
      <c r="G241" s="100"/>
      <c r="H241" s="100"/>
      <c r="I241" s="100"/>
      <c r="J241" s="100"/>
      <c r="K241" s="100"/>
      <c r="L241" s="100"/>
      <c r="M241" s="100"/>
      <c r="N241" s="100"/>
      <c r="O241" s="100"/>
      <c r="P241" s="100"/>
      <c r="Q241" s="100"/>
      <c r="R241" s="100"/>
      <c r="S241" s="100"/>
      <c r="T241" s="100"/>
      <c r="U241" s="100"/>
      <c r="V241" s="100"/>
      <c r="W241" s="100"/>
    </row>
    <row r="242" spans="1:23" ht="13.5" customHeight="1">
      <c r="A242" s="100"/>
      <c r="B242" s="72"/>
      <c r="C242" s="72"/>
      <c r="D242" s="200"/>
      <c r="E242" s="201"/>
      <c r="F242" s="100"/>
      <c r="G242" s="100"/>
      <c r="H242" s="100"/>
      <c r="I242" s="100"/>
      <c r="J242" s="100"/>
      <c r="K242" s="100"/>
      <c r="L242" s="100"/>
      <c r="M242" s="100"/>
      <c r="N242" s="100"/>
      <c r="O242" s="100"/>
      <c r="P242" s="100"/>
      <c r="Q242" s="100"/>
      <c r="R242" s="100"/>
      <c r="S242" s="100"/>
      <c r="T242" s="100"/>
      <c r="U242" s="100"/>
      <c r="V242" s="100"/>
      <c r="W242" s="100"/>
    </row>
    <row r="243" spans="1:23" ht="13.5" customHeight="1" thickBot="1">
      <c r="A243" s="100"/>
      <c r="B243" s="72"/>
      <c r="C243" s="72"/>
      <c r="D243" s="216"/>
      <c r="E243" s="204"/>
      <c r="F243" s="135"/>
      <c r="G243" s="135"/>
      <c r="H243" s="135"/>
      <c r="I243" s="135"/>
      <c r="J243" s="135"/>
      <c r="K243" s="135"/>
      <c r="L243" s="135"/>
      <c r="M243" s="135"/>
      <c r="N243" s="135"/>
      <c r="O243" s="135"/>
      <c r="P243" s="135"/>
      <c r="Q243" s="135"/>
      <c r="R243" s="135"/>
      <c r="S243" s="135"/>
      <c r="T243" s="135"/>
      <c r="U243" s="135"/>
      <c r="V243" s="135"/>
      <c r="W243" s="135"/>
    </row>
    <row r="244" spans="1:23" ht="13.5" customHeight="1">
      <c r="A244" s="1340" t="s">
        <v>897</v>
      </c>
      <c r="B244" s="1350"/>
      <c r="C244" s="1232">
        <v>1505</v>
      </c>
      <c r="D244" s="154"/>
      <c r="E244" s="201"/>
      <c r="F244" s="100"/>
      <c r="G244" s="100"/>
      <c r="H244" s="100"/>
      <c r="I244" s="100"/>
      <c r="J244" s="100"/>
      <c r="K244" s="100"/>
      <c r="L244" s="100"/>
      <c r="M244" s="100"/>
      <c r="N244" s="100"/>
      <c r="O244" s="100"/>
      <c r="P244" s="100"/>
      <c r="Q244" s="100"/>
      <c r="R244" s="100"/>
      <c r="S244" s="100"/>
      <c r="T244" s="100"/>
      <c r="U244" s="100"/>
      <c r="V244" s="100"/>
      <c r="W244" s="100"/>
    </row>
    <row r="245" spans="1:23" ht="13.5" customHeight="1" thickBot="1">
      <c r="A245" s="1342"/>
      <c r="B245" s="1351"/>
      <c r="C245" s="1234"/>
      <c r="D245" s="200"/>
      <c r="E245" s="201"/>
      <c r="F245" s="100"/>
      <c r="G245" s="100"/>
      <c r="H245" s="100"/>
      <c r="I245" s="100"/>
      <c r="J245" s="100"/>
      <c r="K245" s="100"/>
      <c r="L245" s="100"/>
      <c r="M245" s="100"/>
      <c r="N245" s="100"/>
      <c r="O245" s="100"/>
      <c r="P245" s="100"/>
      <c r="Q245" s="100"/>
      <c r="R245" s="100"/>
      <c r="S245" s="100"/>
      <c r="T245" s="100"/>
      <c r="U245" s="100"/>
      <c r="V245" s="100"/>
      <c r="W245" s="100"/>
    </row>
    <row r="246" spans="1:23" ht="13.5" customHeight="1">
      <c r="A246" s="609" t="s">
        <v>671</v>
      </c>
      <c r="B246" s="631"/>
      <c r="C246" s="1068"/>
      <c r="D246" s="200"/>
      <c r="E246" s="201"/>
      <c r="F246" s="100"/>
      <c r="G246" s="100"/>
      <c r="H246" s="100"/>
      <c r="I246" s="100"/>
      <c r="J246" s="100"/>
      <c r="K246" s="100"/>
      <c r="L246" s="100"/>
      <c r="M246" s="100"/>
      <c r="N246" s="100"/>
      <c r="O246" s="100"/>
      <c r="P246" s="100"/>
      <c r="Q246" s="100"/>
      <c r="R246" s="100"/>
      <c r="S246" s="100"/>
      <c r="T246" s="100"/>
      <c r="U246" s="100"/>
      <c r="V246" s="100"/>
      <c r="W246" s="100"/>
    </row>
    <row r="247" spans="1:23" ht="13.5" customHeight="1">
      <c r="A247" s="609" t="s">
        <v>722</v>
      </c>
      <c r="B247" s="631"/>
      <c r="C247" s="1068"/>
      <c r="D247" s="200"/>
      <c r="E247" s="201"/>
      <c r="F247" s="100"/>
      <c r="G247" s="100"/>
      <c r="H247" s="100"/>
      <c r="I247" s="100"/>
      <c r="J247" s="100"/>
      <c r="K247" s="100"/>
      <c r="L247" s="100"/>
      <c r="M247" s="100"/>
      <c r="N247" s="100"/>
      <c r="O247" s="100"/>
      <c r="P247" s="100"/>
      <c r="Q247" s="100"/>
      <c r="R247" s="100"/>
      <c r="S247" s="100"/>
      <c r="T247" s="100"/>
      <c r="U247" s="100"/>
      <c r="V247" s="100"/>
      <c r="W247" s="100"/>
    </row>
    <row r="248" spans="1:23" ht="13.5" customHeight="1">
      <c r="A248" s="609" t="s">
        <v>723</v>
      </c>
      <c r="B248" s="631"/>
      <c r="C248" s="1068"/>
      <c r="D248" s="200"/>
      <c r="E248" s="201"/>
      <c r="F248" s="100"/>
      <c r="G248" s="100"/>
      <c r="H248" s="100"/>
      <c r="I248" s="100"/>
      <c r="J248" s="100"/>
      <c r="K248" s="100"/>
      <c r="L248" s="100"/>
      <c r="M248" s="100"/>
      <c r="N248" s="100"/>
      <c r="O248" s="100"/>
      <c r="P248" s="100"/>
      <c r="Q248" s="100"/>
      <c r="R248" s="100"/>
      <c r="S248" s="100"/>
      <c r="T248" s="100"/>
      <c r="U248" s="100"/>
      <c r="V248" s="100"/>
      <c r="W248" s="100"/>
    </row>
    <row r="249" spans="1:23" ht="13.5" customHeight="1" thickBot="1">
      <c r="A249" s="609" t="s">
        <v>0</v>
      </c>
      <c r="B249" s="631"/>
      <c r="C249" s="1068"/>
      <c r="D249" s="200"/>
      <c r="E249" s="201"/>
      <c r="F249" s="100"/>
      <c r="G249" s="100"/>
      <c r="H249" s="100"/>
      <c r="I249" s="100"/>
      <c r="J249" s="100"/>
      <c r="K249" s="100"/>
      <c r="L249" s="100"/>
      <c r="M249" s="100"/>
      <c r="N249" s="100"/>
      <c r="O249" s="100"/>
      <c r="P249" s="100"/>
      <c r="Q249" s="100"/>
      <c r="R249" s="100"/>
      <c r="S249" s="100"/>
      <c r="T249" s="100"/>
      <c r="U249" s="100"/>
      <c r="V249" s="100"/>
      <c r="W249" s="100"/>
    </row>
    <row r="250" spans="1:23" ht="13.5" customHeight="1" thickBot="1">
      <c r="A250" s="632" t="s">
        <v>1</v>
      </c>
      <c r="B250" s="633"/>
      <c r="C250" s="1247">
        <f>C252+C268+C281</f>
        <v>29436000</v>
      </c>
      <c r="D250" s="200"/>
      <c r="E250" s="201"/>
      <c r="F250" s="100"/>
      <c r="G250" s="100"/>
      <c r="H250" s="100"/>
      <c r="I250" s="100"/>
      <c r="J250" s="100"/>
      <c r="K250" s="100"/>
      <c r="L250" s="100"/>
      <c r="M250" s="100"/>
      <c r="N250" s="100"/>
      <c r="O250" s="100"/>
      <c r="P250" s="100"/>
      <c r="Q250" s="100"/>
      <c r="R250" s="100"/>
      <c r="S250" s="100"/>
      <c r="T250" s="100"/>
      <c r="U250" s="100"/>
      <c r="V250" s="100"/>
      <c r="W250" s="100"/>
    </row>
    <row r="251" spans="1:23" ht="13.5" customHeight="1" thickBot="1">
      <c r="A251" s="217"/>
      <c r="B251" s="217"/>
      <c r="C251" s="256"/>
      <c r="D251" s="200"/>
      <c r="E251" s="201"/>
      <c r="F251" s="100"/>
      <c r="G251" s="100"/>
      <c r="H251" s="100"/>
      <c r="I251" s="100"/>
      <c r="J251" s="100"/>
      <c r="K251" s="100"/>
      <c r="L251" s="100"/>
      <c r="M251" s="100"/>
      <c r="N251" s="100"/>
      <c r="O251" s="100"/>
      <c r="P251" s="100"/>
      <c r="Q251" s="100"/>
      <c r="R251" s="100"/>
      <c r="S251" s="100"/>
      <c r="T251" s="100"/>
      <c r="U251" s="100"/>
      <c r="V251" s="100"/>
      <c r="W251" s="100"/>
    </row>
    <row r="252" spans="1:23" ht="13.5" customHeight="1" thickBot="1">
      <c r="A252" s="1305" t="s">
        <v>9</v>
      </c>
      <c r="B252" s="1281"/>
      <c r="C252" s="257">
        <f>C253+C258+C260+C262+C255</f>
        <v>16240000</v>
      </c>
      <c r="D252" s="200"/>
      <c r="E252" s="201"/>
      <c r="F252" s="100"/>
      <c r="G252" s="100"/>
      <c r="H252" s="100"/>
      <c r="I252" s="100"/>
      <c r="J252" s="100"/>
      <c r="K252" s="100"/>
      <c r="L252" s="100"/>
      <c r="M252" s="100"/>
      <c r="N252" s="100"/>
      <c r="O252" s="100"/>
      <c r="P252" s="100"/>
      <c r="Q252" s="100"/>
      <c r="R252" s="100"/>
      <c r="S252" s="100"/>
      <c r="T252" s="100"/>
      <c r="U252" s="100"/>
      <c r="V252" s="100"/>
      <c r="W252" s="100"/>
    </row>
    <row r="253" spans="1:23" ht="13.5" customHeight="1">
      <c r="A253" s="76">
        <v>211201</v>
      </c>
      <c r="B253" s="241" t="s">
        <v>459</v>
      </c>
      <c r="C253" s="36">
        <f>SUM(C254)</f>
        <v>3500000</v>
      </c>
      <c r="D253" s="200"/>
      <c r="E253" s="201"/>
      <c r="F253" s="100"/>
      <c r="G253" s="100"/>
      <c r="H253" s="100"/>
      <c r="I253" s="100"/>
      <c r="J253" s="100"/>
      <c r="K253" s="100"/>
      <c r="L253" s="100"/>
      <c r="M253" s="100"/>
      <c r="N253" s="100"/>
      <c r="O253" s="100"/>
      <c r="P253" s="100"/>
      <c r="Q253" s="100"/>
      <c r="R253" s="100"/>
      <c r="S253" s="100"/>
      <c r="T253" s="100"/>
      <c r="U253" s="100"/>
      <c r="V253" s="100"/>
      <c r="W253" s="100"/>
    </row>
    <row r="254" spans="1:23" ht="13.5" customHeight="1">
      <c r="A254" s="154">
        <v>21120101</v>
      </c>
      <c r="B254" s="77" t="s">
        <v>460</v>
      </c>
      <c r="C254" s="72">
        <f>5000000-1500000</f>
        <v>3500000</v>
      </c>
      <c r="D254" s="200"/>
      <c r="E254" s="201"/>
      <c r="F254" s="100"/>
      <c r="G254" s="100"/>
      <c r="H254" s="100"/>
      <c r="I254" s="100"/>
      <c r="J254" s="100"/>
      <c r="K254" s="100"/>
      <c r="L254" s="100"/>
      <c r="M254" s="100"/>
      <c r="N254" s="100"/>
      <c r="O254" s="100"/>
      <c r="P254" s="100"/>
      <c r="Q254" s="100"/>
      <c r="R254" s="100"/>
      <c r="S254" s="100"/>
      <c r="T254" s="100"/>
      <c r="U254" s="100"/>
      <c r="V254" s="100"/>
      <c r="W254" s="100"/>
    </row>
    <row r="255" spans="1:23" ht="13.5" customHeight="1">
      <c r="A255" s="76">
        <v>211202</v>
      </c>
      <c r="B255" s="75" t="s">
        <v>529</v>
      </c>
      <c r="C255" s="36">
        <f>SUM(C256:C257)</f>
        <v>3650000</v>
      </c>
      <c r="D255" s="214"/>
      <c r="E255" s="251"/>
      <c r="F255" s="251"/>
      <c r="G255" s="135"/>
      <c r="H255" s="135"/>
      <c r="I255" s="135"/>
      <c r="J255" s="135"/>
      <c r="K255" s="135"/>
      <c r="L255" s="135"/>
      <c r="M255" s="135"/>
      <c r="N255" s="135"/>
      <c r="O255" s="135"/>
      <c r="P255" s="135"/>
      <c r="Q255" s="135"/>
      <c r="R255" s="135"/>
      <c r="S255" s="135"/>
      <c r="T255" s="135"/>
      <c r="U255" s="135"/>
      <c r="V255" s="135"/>
      <c r="W255" s="135"/>
    </row>
    <row r="256" spans="1:23" ht="13.5" customHeight="1">
      <c r="A256" s="154">
        <v>21120201</v>
      </c>
      <c r="B256" s="100" t="s">
        <v>540</v>
      </c>
      <c r="C256" s="72">
        <v>3500000</v>
      </c>
      <c r="D256" s="214"/>
      <c r="E256" s="251"/>
      <c r="F256" s="251"/>
      <c r="G256" s="135"/>
      <c r="H256" s="135"/>
      <c r="I256" s="135"/>
      <c r="J256" s="135"/>
      <c r="K256" s="135"/>
      <c r="L256" s="135"/>
      <c r="M256" s="135"/>
      <c r="N256" s="135"/>
      <c r="O256" s="135"/>
      <c r="P256" s="135"/>
      <c r="Q256" s="135"/>
      <c r="R256" s="135"/>
      <c r="S256" s="135"/>
      <c r="T256" s="135"/>
      <c r="U256" s="135"/>
      <c r="V256" s="135"/>
      <c r="W256" s="135"/>
    </row>
    <row r="257" spans="1:23" ht="13.5" customHeight="1">
      <c r="A257" s="154">
        <v>21120202</v>
      </c>
      <c r="B257" s="77" t="s">
        <v>530</v>
      </c>
      <c r="C257" s="72">
        <v>150000</v>
      </c>
      <c r="D257" s="201"/>
      <c r="E257" s="251"/>
      <c r="F257" s="251"/>
      <c r="G257" s="135"/>
      <c r="H257" s="135"/>
      <c r="I257" s="135"/>
      <c r="J257" s="135"/>
      <c r="K257" s="135"/>
      <c r="L257" s="135"/>
      <c r="M257" s="135"/>
      <c r="N257" s="135"/>
      <c r="O257" s="135"/>
      <c r="P257" s="135"/>
      <c r="Q257" s="135"/>
      <c r="R257" s="135"/>
      <c r="S257" s="135"/>
      <c r="T257" s="135"/>
      <c r="U257" s="135"/>
      <c r="V257" s="135"/>
      <c r="W257" s="135"/>
    </row>
    <row r="258" spans="1:23" ht="13.5" customHeight="1">
      <c r="A258" s="76">
        <v>211203</v>
      </c>
      <c r="B258" s="217" t="s">
        <v>461</v>
      </c>
      <c r="C258" s="36">
        <f>SUM(C259)</f>
        <v>1000000</v>
      </c>
      <c r="D258" s="200"/>
      <c r="E258" s="201"/>
      <c r="F258" s="100"/>
      <c r="G258" s="100"/>
      <c r="H258" s="100"/>
      <c r="I258" s="100"/>
      <c r="J258" s="100"/>
      <c r="K258" s="100"/>
      <c r="L258" s="100"/>
      <c r="M258" s="100"/>
      <c r="N258" s="100"/>
      <c r="O258" s="100"/>
      <c r="P258" s="100"/>
      <c r="Q258" s="100"/>
      <c r="R258" s="100"/>
      <c r="S258" s="100"/>
      <c r="T258" s="100"/>
      <c r="U258" s="100"/>
      <c r="V258" s="100"/>
      <c r="W258" s="100"/>
    </row>
    <row r="259" spans="1:23" ht="13.5" customHeight="1">
      <c r="A259" s="154">
        <v>21120302</v>
      </c>
      <c r="B259" s="77" t="s">
        <v>462</v>
      </c>
      <c r="C259" s="72">
        <f>500000+500000</f>
        <v>1000000</v>
      </c>
      <c r="D259" s="200"/>
      <c r="E259" s="201"/>
      <c r="F259" s="100"/>
      <c r="G259" s="100"/>
      <c r="H259" s="100"/>
      <c r="I259" s="100"/>
      <c r="J259" s="100"/>
      <c r="K259" s="100"/>
      <c r="L259" s="100"/>
      <c r="M259" s="100"/>
      <c r="N259" s="100"/>
      <c r="O259" s="100"/>
      <c r="P259" s="100"/>
      <c r="Q259" s="100"/>
      <c r="R259" s="100"/>
      <c r="S259" s="100"/>
      <c r="T259" s="100"/>
      <c r="U259" s="100"/>
      <c r="V259" s="100"/>
      <c r="W259" s="100"/>
    </row>
    <row r="260" spans="1:23" ht="13.5" customHeight="1">
      <c r="A260" s="76">
        <v>211204</v>
      </c>
      <c r="B260" s="217" t="s">
        <v>463</v>
      </c>
      <c r="C260" s="36">
        <f>SUM(C261)</f>
        <v>850000</v>
      </c>
      <c r="D260" s="200"/>
      <c r="E260" s="201"/>
      <c r="F260" s="100"/>
      <c r="G260" s="100"/>
      <c r="H260" s="100"/>
      <c r="I260" s="100"/>
      <c r="J260" s="100"/>
      <c r="K260" s="100"/>
      <c r="L260" s="100"/>
      <c r="M260" s="100"/>
      <c r="N260" s="100"/>
      <c r="O260" s="100"/>
      <c r="P260" s="100"/>
      <c r="Q260" s="100"/>
      <c r="R260" s="100"/>
      <c r="S260" s="100"/>
      <c r="T260" s="100"/>
      <c r="U260" s="100"/>
      <c r="V260" s="100"/>
      <c r="W260" s="100"/>
    </row>
    <row r="261" spans="1:23" ht="13.5" customHeight="1">
      <c r="A261" s="154">
        <v>21120401</v>
      </c>
      <c r="B261" s="72" t="s">
        <v>464</v>
      </c>
      <c r="C261" s="224">
        <f>300000+550000</f>
        <v>850000</v>
      </c>
      <c r="D261" s="200"/>
      <c r="E261" s="201"/>
      <c r="F261" s="100"/>
      <c r="G261" s="100"/>
      <c r="H261" s="100"/>
      <c r="I261" s="100"/>
      <c r="J261" s="100"/>
      <c r="K261" s="100"/>
      <c r="L261" s="100"/>
      <c r="M261" s="100"/>
      <c r="N261" s="100"/>
      <c r="O261" s="100"/>
      <c r="P261" s="100"/>
      <c r="Q261" s="100"/>
      <c r="R261" s="100"/>
      <c r="S261" s="100"/>
      <c r="T261" s="100"/>
      <c r="U261" s="100"/>
      <c r="V261" s="100"/>
      <c r="W261" s="100"/>
    </row>
    <row r="262" spans="1:23" ht="13.5" customHeight="1">
      <c r="A262" s="76">
        <v>211209</v>
      </c>
      <c r="B262" s="36" t="s">
        <v>477</v>
      </c>
      <c r="C262" s="256">
        <f>SUM(C263:C266)</f>
        <v>7240000</v>
      </c>
      <c r="D262" s="200"/>
      <c r="E262" s="201"/>
      <c r="F262" s="100"/>
      <c r="G262" s="100"/>
      <c r="H262" s="100"/>
      <c r="I262" s="100"/>
      <c r="J262" s="100"/>
      <c r="K262" s="100"/>
      <c r="L262" s="100"/>
      <c r="M262" s="100"/>
      <c r="N262" s="100"/>
      <c r="O262" s="100"/>
      <c r="P262" s="100"/>
      <c r="Q262" s="100"/>
      <c r="R262" s="100"/>
      <c r="S262" s="100"/>
      <c r="T262" s="100"/>
      <c r="U262" s="100"/>
      <c r="V262" s="100"/>
      <c r="W262" s="100"/>
    </row>
    <row r="263" spans="1:23" ht="13.5" customHeight="1">
      <c r="A263" s="233">
        <v>21120904</v>
      </c>
      <c r="B263" s="77" t="s">
        <v>528</v>
      </c>
      <c r="C263" s="224">
        <v>3000000</v>
      </c>
      <c r="D263" s="200"/>
      <c r="E263" s="201"/>
      <c r="F263" s="100"/>
      <c r="G263" s="100"/>
      <c r="H263" s="100"/>
      <c r="I263" s="100"/>
      <c r="J263" s="100"/>
      <c r="K263" s="100"/>
      <c r="L263" s="100"/>
      <c r="M263" s="100"/>
      <c r="N263" s="100"/>
      <c r="O263" s="100"/>
      <c r="P263" s="100"/>
      <c r="Q263" s="100"/>
      <c r="R263" s="100"/>
      <c r="S263" s="100"/>
      <c r="T263" s="100"/>
      <c r="U263" s="100"/>
      <c r="V263" s="100"/>
      <c r="W263" s="100"/>
    </row>
    <row r="264" spans="1:23" ht="13.5" customHeight="1">
      <c r="A264" s="233">
        <v>21120905</v>
      </c>
      <c r="B264" s="77" t="s">
        <v>525</v>
      </c>
      <c r="C264" s="224">
        <v>1200000</v>
      </c>
      <c r="D264" s="200"/>
      <c r="E264" s="201"/>
      <c r="F264" s="100"/>
      <c r="G264" s="100"/>
      <c r="H264" s="100"/>
      <c r="I264" s="100"/>
      <c r="J264" s="100"/>
      <c r="K264" s="100"/>
      <c r="L264" s="100"/>
      <c r="M264" s="100"/>
      <c r="N264" s="100"/>
      <c r="O264" s="100"/>
      <c r="P264" s="100"/>
      <c r="Q264" s="100"/>
      <c r="R264" s="100"/>
      <c r="S264" s="100"/>
      <c r="T264" s="100"/>
      <c r="U264" s="100"/>
      <c r="V264" s="100"/>
      <c r="W264" s="100"/>
    </row>
    <row r="265" spans="1:23" ht="13.5" customHeight="1">
      <c r="A265" s="154">
        <v>21120906</v>
      </c>
      <c r="B265" s="72" t="s">
        <v>479</v>
      </c>
      <c r="C265" s="224">
        <v>90000</v>
      </c>
      <c r="D265" s="200"/>
      <c r="E265" s="201"/>
      <c r="F265" s="100"/>
      <c r="G265" s="100"/>
      <c r="H265" s="100"/>
      <c r="I265" s="100"/>
      <c r="J265" s="100"/>
      <c r="K265" s="100"/>
      <c r="L265" s="100"/>
      <c r="M265" s="100"/>
      <c r="N265" s="100"/>
      <c r="O265" s="100"/>
      <c r="P265" s="100"/>
      <c r="Q265" s="100"/>
      <c r="R265" s="100"/>
      <c r="S265" s="100"/>
      <c r="T265" s="100"/>
      <c r="U265" s="100"/>
      <c r="V265" s="100"/>
      <c r="W265" s="100"/>
    </row>
    <row r="266" spans="1:23" ht="13.5" customHeight="1">
      <c r="A266" s="154">
        <v>21120907</v>
      </c>
      <c r="B266" s="77" t="s">
        <v>480</v>
      </c>
      <c r="C266" s="224">
        <f>3500000-550000</f>
        <v>2950000</v>
      </c>
      <c r="D266" s="200"/>
      <c r="E266" s="201"/>
      <c r="F266" s="100"/>
      <c r="G266" s="100"/>
      <c r="H266" s="100"/>
      <c r="I266" s="100"/>
      <c r="J266" s="100"/>
      <c r="K266" s="100"/>
      <c r="L266" s="100"/>
      <c r="M266" s="100"/>
      <c r="N266" s="100"/>
      <c r="O266" s="100"/>
      <c r="P266" s="100"/>
      <c r="Q266" s="100"/>
      <c r="R266" s="100"/>
      <c r="S266" s="100"/>
      <c r="T266" s="100"/>
      <c r="U266" s="100"/>
      <c r="V266" s="100"/>
      <c r="W266" s="100"/>
    </row>
    <row r="267" spans="1:23" ht="13.5" customHeight="1" thickBot="1">
      <c r="A267" s="154"/>
      <c r="B267" s="72"/>
      <c r="C267" s="224"/>
      <c r="D267" s="200"/>
      <c r="E267" s="201"/>
      <c r="F267" s="100"/>
      <c r="G267" s="100"/>
      <c r="H267" s="100"/>
      <c r="I267" s="100"/>
      <c r="J267" s="100"/>
      <c r="K267" s="100"/>
      <c r="L267" s="100"/>
      <c r="M267" s="100"/>
      <c r="N267" s="100"/>
      <c r="O267" s="100"/>
      <c r="P267" s="100"/>
      <c r="Q267" s="100"/>
      <c r="R267" s="100"/>
      <c r="S267" s="100"/>
      <c r="T267" s="100"/>
      <c r="U267" s="100"/>
      <c r="V267" s="100"/>
      <c r="W267" s="100"/>
    </row>
    <row r="268" spans="1:23" ht="13.5" customHeight="1" thickBot="1">
      <c r="A268" s="1306" t="s">
        <v>4</v>
      </c>
      <c r="B268" s="1281"/>
      <c r="C268" s="258">
        <f>C269+C271+C273+C275</f>
        <v>12200000</v>
      </c>
      <c r="D268" s="200"/>
      <c r="E268" s="201"/>
      <c r="F268" s="100"/>
      <c r="G268" s="100"/>
      <c r="H268" s="100"/>
      <c r="I268" s="100"/>
      <c r="J268" s="100"/>
      <c r="K268" s="100"/>
      <c r="L268" s="100"/>
      <c r="M268" s="100"/>
      <c r="N268" s="100"/>
      <c r="O268" s="100"/>
      <c r="P268" s="100"/>
      <c r="Q268" s="100"/>
      <c r="R268" s="100"/>
      <c r="S268" s="100"/>
      <c r="T268" s="100"/>
      <c r="U268" s="100"/>
      <c r="V268" s="100"/>
      <c r="W268" s="100"/>
    </row>
    <row r="269" spans="1:23" ht="13.5" customHeight="1">
      <c r="A269" s="76">
        <v>211302</v>
      </c>
      <c r="B269" s="76" t="s">
        <v>481</v>
      </c>
      <c r="C269" s="256">
        <f>SUM(C270)</f>
        <v>1750000</v>
      </c>
      <c r="D269" s="200"/>
      <c r="E269" s="201"/>
      <c r="F269" s="100"/>
      <c r="G269" s="100"/>
      <c r="H269" s="100"/>
      <c r="I269" s="100"/>
      <c r="J269" s="100"/>
      <c r="K269" s="100"/>
      <c r="L269" s="100"/>
      <c r="M269" s="100"/>
      <c r="N269" s="100"/>
      <c r="O269" s="100"/>
      <c r="P269" s="100"/>
      <c r="Q269" s="100"/>
      <c r="R269" s="100"/>
      <c r="S269" s="100"/>
      <c r="T269" s="100"/>
      <c r="U269" s="100"/>
      <c r="V269" s="100"/>
      <c r="W269" s="100"/>
    </row>
    <row r="270" spans="1:23" ht="13.5" customHeight="1">
      <c r="A270" s="233">
        <v>21130204</v>
      </c>
      <c r="B270" s="77" t="s">
        <v>483</v>
      </c>
      <c r="C270" s="224">
        <v>1750000</v>
      </c>
      <c r="D270" s="200"/>
      <c r="E270" s="201"/>
      <c r="F270" s="100"/>
      <c r="G270" s="100"/>
      <c r="H270" s="100"/>
      <c r="I270" s="100"/>
      <c r="J270" s="100"/>
      <c r="K270" s="100"/>
      <c r="L270" s="100"/>
      <c r="M270" s="100"/>
      <c r="N270" s="100"/>
      <c r="O270" s="100"/>
      <c r="P270" s="100"/>
      <c r="Q270" s="100"/>
      <c r="R270" s="100"/>
      <c r="S270" s="100"/>
      <c r="T270" s="100"/>
      <c r="U270" s="100"/>
      <c r="V270" s="100"/>
      <c r="W270" s="100"/>
    </row>
    <row r="271" spans="1:23" ht="13.5" customHeight="1">
      <c r="A271" s="241">
        <v>211303</v>
      </c>
      <c r="B271" s="234" t="s">
        <v>484</v>
      </c>
      <c r="C271" s="36">
        <f>SUM(C272)</f>
        <v>200000</v>
      </c>
      <c r="D271" s="200"/>
      <c r="E271" s="201"/>
      <c r="F271" s="100"/>
      <c r="G271" s="100"/>
      <c r="H271" s="100"/>
      <c r="I271" s="100"/>
      <c r="J271" s="100"/>
      <c r="K271" s="100"/>
      <c r="L271" s="100"/>
      <c r="M271" s="100"/>
      <c r="N271" s="100"/>
      <c r="O271" s="100"/>
      <c r="P271" s="100"/>
      <c r="Q271" s="100"/>
      <c r="R271" s="100"/>
      <c r="S271" s="100"/>
      <c r="T271" s="100"/>
      <c r="U271" s="100"/>
      <c r="V271" s="100"/>
      <c r="W271" s="100"/>
    </row>
    <row r="272" spans="1:23" ht="13.5" customHeight="1">
      <c r="A272" s="233">
        <v>21130307</v>
      </c>
      <c r="B272" s="77" t="s">
        <v>488</v>
      </c>
      <c r="C272" s="72">
        <v>200000</v>
      </c>
      <c r="D272" s="200"/>
      <c r="E272" s="201"/>
      <c r="F272" s="100"/>
      <c r="G272" s="100"/>
      <c r="H272" s="100"/>
      <c r="I272" s="100"/>
      <c r="J272" s="100"/>
      <c r="K272" s="100"/>
      <c r="L272" s="100"/>
      <c r="M272" s="100"/>
      <c r="N272" s="100"/>
      <c r="O272" s="100"/>
      <c r="P272" s="100"/>
      <c r="Q272" s="100"/>
      <c r="R272" s="100"/>
      <c r="S272" s="100"/>
      <c r="T272" s="100"/>
      <c r="U272" s="100"/>
      <c r="V272" s="100"/>
      <c r="W272" s="100"/>
    </row>
    <row r="273" spans="1:23" ht="13.5" customHeight="1">
      <c r="A273" s="241">
        <v>211305</v>
      </c>
      <c r="B273" s="217" t="s">
        <v>489</v>
      </c>
      <c r="C273" s="256">
        <f>SUM(C274)</f>
        <v>2800000</v>
      </c>
      <c r="D273" s="200"/>
      <c r="E273" s="201"/>
      <c r="F273" s="100"/>
      <c r="G273" s="100"/>
      <c r="H273" s="100"/>
      <c r="I273" s="100"/>
      <c r="J273" s="100"/>
      <c r="K273" s="100"/>
      <c r="L273" s="100"/>
      <c r="M273" s="100"/>
      <c r="N273" s="100"/>
      <c r="O273" s="100"/>
      <c r="P273" s="100"/>
      <c r="Q273" s="100"/>
      <c r="R273" s="100"/>
      <c r="S273" s="100"/>
      <c r="T273" s="100"/>
      <c r="U273" s="100"/>
      <c r="V273" s="100"/>
      <c r="W273" s="100"/>
    </row>
    <row r="274" spans="1:23" ht="13.5" customHeight="1">
      <c r="A274" s="154">
        <v>21130502</v>
      </c>
      <c r="B274" s="72" t="s">
        <v>491</v>
      </c>
      <c r="C274" s="224">
        <f>800000+2000000</f>
        <v>2800000</v>
      </c>
      <c r="D274" s="200"/>
      <c r="E274" s="201"/>
      <c r="F274" s="100"/>
      <c r="G274" s="100"/>
      <c r="H274" s="100"/>
      <c r="I274" s="100"/>
      <c r="J274" s="100"/>
      <c r="K274" s="100"/>
      <c r="L274" s="100"/>
      <c r="M274" s="100"/>
      <c r="N274" s="100"/>
      <c r="O274" s="100"/>
      <c r="P274" s="100"/>
      <c r="Q274" s="100"/>
      <c r="R274" s="100"/>
      <c r="S274" s="100"/>
      <c r="T274" s="100"/>
      <c r="U274" s="100"/>
      <c r="V274" s="100"/>
      <c r="W274" s="100"/>
    </row>
    <row r="275" spans="1:23" ht="13.5" customHeight="1">
      <c r="A275" s="76">
        <v>211309</v>
      </c>
      <c r="B275" s="217" t="s">
        <v>496</v>
      </c>
      <c r="C275" s="256">
        <f>SUM(C276:C279)</f>
        <v>7450000</v>
      </c>
      <c r="D275" s="200"/>
      <c r="E275" s="201"/>
      <c r="F275" s="100"/>
      <c r="G275" s="100"/>
      <c r="H275" s="100"/>
      <c r="I275" s="100"/>
      <c r="J275" s="100"/>
      <c r="K275" s="100"/>
      <c r="L275" s="100"/>
      <c r="M275" s="100"/>
      <c r="N275" s="100"/>
      <c r="O275" s="100"/>
      <c r="P275" s="100"/>
      <c r="Q275" s="100"/>
      <c r="R275" s="100"/>
      <c r="S275" s="100"/>
      <c r="T275" s="100"/>
      <c r="U275" s="100"/>
      <c r="V275" s="100"/>
      <c r="W275" s="100"/>
    </row>
    <row r="276" spans="1:23" ht="13.5" customHeight="1">
      <c r="A276" s="233">
        <v>21130901</v>
      </c>
      <c r="B276" s="77" t="s">
        <v>497</v>
      </c>
      <c r="C276" s="224">
        <f>500000+40000+410000+1500000</f>
        <v>2450000</v>
      </c>
      <c r="D276" s="200"/>
      <c r="E276" s="201"/>
      <c r="F276" s="100"/>
      <c r="G276" s="100"/>
      <c r="H276" s="100"/>
      <c r="I276" s="100"/>
      <c r="J276" s="100"/>
      <c r="K276" s="100"/>
      <c r="L276" s="100"/>
      <c r="M276" s="100"/>
      <c r="N276" s="100"/>
      <c r="O276" s="100"/>
      <c r="P276" s="100"/>
      <c r="Q276" s="100"/>
      <c r="R276" s="100"/>
      <c r="S276" s="100"/>
      <c r="T276" s="100"/>
      <c r="U276" s="100"/>
      <c r="V276" s="100"/>
      <c r="W276" s="100"/>
    </row>
    <row r="277" spans="1:23" ht="13.5" customHeight="1">
      <c r="A277" s="233">
        <v>21130905</v>
      </c>
      <c r="B277" s="77" t="s">
        <v>532</v>
      </c>
      <c r="C277" s="224">
        <v>2000000</v>
      </c>
      <c r="D277" s="200"/>
      <c r="E277" s="201"/>
      <c r="F277" s="100"/>
      <c r="G277" s="100"/>
      <c r="H277" s="100"/>
      <c r="I277" s="100"/>
      <c r="J277" s="100"/>
      <c r="K277" s="100"/>
      <c r="L277" s="100"/>
      <c r="M277" s="100"/>
      <c r="N277" s="100"/>
      <c r="O277" s="100"/>
      <c r="P277" s="100"/>
      <c r="Q277" s="100"/>
      <c r="R277" s="100"/>
      <c r="S277" s="100"/>
      <c r="T277" s="100"/>
      <c r="U277" s="100"/>
      <c r="V277" s="100"/>
      <c r="W277" s="100"/>
    </row>
    <row r="278" spans="1:23" ht="13.5" customHeight="1">
      <c r="A278" s="233">
        <v>21130906</v>
      </c>
      <c r="B278" s="77" t="s">
        <v>499</v>
      </c>
      <c r="C278" s="224">
        <v>1500000</v>
      </c>
      <c r="D278" s="200"/>
      <c r="E278" s="201"/>
      <c r="F278" s="100"/>
      <c r="G278" s="100"/>
      <c r="H278" s="100"/>
      <c r="I278" s="100"/>
      <c r="J278" s="100"/>
      <c r="K278" s="100"/>
      <c r="L278" s="100"/>
      <c r="M278" s="100"/>
      <c r="N278" s="100"/>
      <c r="O278" s="100"/>
      <c r="P278" s="100"/>
      <c r="Q278" s="100"/>
      <c r="R278" s="100"/>
      <c r="S278" s="100"/>
      <c r="T278" s="100"/>
      <c r="U278" s="100"/>
      <c r="V278" s="100"/>
      <c r="W278" s="100"/>
    </row>
    <row r="279" spans="1:23" ht="13.5" customHeight="1">
      <c r="A279" s="233">
        <v>21130908</v>
      </c>
      <c r="B279" s="77" t="s">
        <v>500</v>
      </c>
      <c r="C279" s="224">
        <v>1500000</v>
      </c>
      <c r="D279" s="200"/>
      <c r="E279" s="201"/>
      <c r="F279" s="100"/>
      <c r="G279" s="100"/>
      <c r="H279" s="100"/>
      <c r="I279" s="100"/>
      <c r="J279" s="100"/>
      <c r="K279" s="100"/>
      <c r="L279" s="100"/>
      <c r="M279" s="100"/>
      <c r="N279" s="100"/>
      <c r="O279" s="100"/>
      <c r="P279" s="100"/>
      <c r="Q279" s="100"/>
      <c r="R279" s="100"/>
      <c r="S279" s="100"/>
      <c r="T279" s="100"/>
      <c r="U279" s="100"/>
      <c r="V279" s="100"/>
      <c r="W279" s="100"/>
    </row>
    <row r="280" spans="1:23" ht="13.5" customHeight="1" thickBot="1">
      <c r="A280" s="77"/>
      <c r="B280" s="77"/>
      <c r="C280" s="224"/>
      <c r="D280" s="200"/>
      <c r="E280" s="201"/>
      <c r="F280" s="100"/>
      <c r="G280" s="100"/>
      <c r="H280" s="100"/>
      <c r="I280" s="100"/>
      <c r="J280" s="100"/>
      <c r="K280" s="100"/>
      <c r="L280" s="100"/>
      <c r="M280" s="100"/>
      <c r="N280" s="100"/>
      <c r="O280" s="100"/>
      <c r="P280" s="100"/>
      <c r="Q280" s="100"/>
      <c r="R280" s="100"/>
      <c r="S280" s="100"/>
      <c r="T280" s="100"/>
      <c r="U280" s="100"/>
      <c r="V280" s="100"/>
      <c r="W280" s="100"/>
    </row>
    <row r="281" spans="1:23" ht="13.5" customHeight="1" thickBot="1">
      <c r="A281" s="1355" t="s">
        <v>48</v>
      </c>
      <c r="B281" s="1281"/>
      <c r="C281" s="232">
        <f>C282+C286</f>
        <v>996000</v>
      </c>
      <c r="D281" s="200"/>
      <c r="E281" s="201"/>
      <c r="F281" s="100"/>
      <c r="G281" s="100"/>
      <c r="H281" s="100"/>
      <c r="I281" s="100"/>
      <c r="J281" s="100"/>
      <c r="K281" s="100"/>
      <c r="L281" s="100"/>
      <c r="M281" s="100"/>
      <c r="N281" s="100"/>
      <c r="O281" s="100"/>
      <c r="P281" s="100"/>
      <c r="Q281" s="100"/>
      <c r="R281" s="100"/>
      <c r="S281" s="100"/>
      <c r="T281" s="100"/>
      <c r="U281" s="100"/>
      <c r="V281" s="100"/>
      <c r="W281" s="100"/>
    </row>
    <row r="282" spans="1:23" ht="13.5" customHeight="1">
      <c r="A282" s="76">
        <v>221104</v>
      </c>
      <c r="B282" s="826" t="s">
        <v>510</v>
      </c>
      <c r="C282" s="155">
        <f>SUM(C283:C285)</f>
        <v>386000</v>
      </c>
      <c r="D282" s="200"/>
      <c r="E282" s="201"/>
      <c r="F282" s="100"/>
      <c r="G282" s="100"/>
      <c r="H282" s="100"/>
      <c r="I282" s="100"/>
      <c r="J282" s="100"/>
      <c r="K282" s="100"/>
      <c r="L282" s="100"/>
      <c r="M282" s="100"/>
      <c r="N282" s="100"/>
      <c r="O282" s="100"/>
      <c r="P282" s="100"/>
      <c r="Q282" s="100"/>
      <c r="R282" s="100"/>
      <c r="S282" s="100"/>
      <c r="T282" s="100"/>
      <c r="U282" s="100"/>
      <c r="V282" s="100"/>
      <c r="W282" s="100"/>
    </row>
    <row r="283" spans="1:23" ht="13.5" customHeight="1">
      <c r="A283" s="154">
        <v>22110401</v>
      </c>
      <c r="B283" s="100" t="s">
        <v>511</v>
      </c>
      <c r="C283" s="72">
        <f>40000+250000+20000</f>
        <v>310000</v>
      </c>
      <c r="D283" s="200"/>
      <c r="E283" s="201"/>
      <c r="F283" s="100"/>
      <c r="G283" s="100"/>
      <c r="H283" s="100"/>
      <c r="I283" s="100"/>
      <c r="J283" s="100"/>
      <c r="K283" s="100"/>
      <c r="L283" s="100"/>
      <c r="M283" s="100"/>
      <c r="N283" s="100"/>
      <c r="O283" s="100"/>
      <c r="P283" s="100"/>
      <c r="Q283" s="100"/>
      <c r="R283" s="100"/>
      <c r="S283" s="100"/>
      <c r="T283" s="100"/>
      <c r="U283" s="100"/>
      <c r="V283" s="100"/>
      <c r="W283" s="100"/>
    </row>
    <row r="284" spans="1:23" ht="13.5" customHeight="1">
      <c r="A284" s="154">
        <v>22110404</v>
      </c>
      <c r="B284" s="100" t="s">
        <v>512</v>
      </c>
      <c r="C284" s="72">
        <v>20000</v>
      </c>
      <c r="D284" s="200"/>
      <c r="E284" s="201"/>
      <c r="F284" s="100"/>
      <c r="G284" s="100"/>
      <c r="H284" s="100"/>
      <c r="I284" s="100"/>
      <c r="J284" s="100"/>
      <c r="K284" s="100"/>
      <c r="L284" s="100"/>
      <c r="M284" s="100"/>
      <c r="N284" s="100"/>
      <c r="O284" s="100"/>
      <c r="P284" s="100"/>
      <c r="Q284" s="100"/>
      <c r="R284" s="100"/>
      <c r="S284" s="100"/>
      <c r="T284" s="100"/>
      <c r="U284" s="100"/>
      <c r="V284" s="100"/>
      <c r="W284" s="100"/>
    </row>
    <row r="285" spans="1:23" ht="13.5" customHeight="1">
      <c r="A285" s="154">
        <v>22110409</v>
      </c>
      <c r="B285" s="72" t="s">
        <v>513</v>
      </c>
      <c r="C285" s="224">
        <f>40000+16000</f>
        <v>56000</v>
      </c>
      <c r="D285" s="200"/>
      <c r="E285" s="201"/>
      <c r="F285" s="100"/>
      <c r="G285" s="100"/>
      <c r="H285" s="100"/>
      <c r="I285" s="100"/>
      <c r="J285" s="100"/>
      <c r="K285" s="100"/>
      <c r="L285" s="100"/>
      <c r="M285" s="100"/>
      <c r="N285" s="100"/>
      <c r="O285" s="100"/>
      <c r="P285" s="100"/>
      <c r="Q285" s="100"/>
      <c r="R285" s="100"/>
      <c r="S285" s="100"/>
      <c r="T285" s="100"/>
      <c r="U285" s="100"/>
      <c r="V285" s="100"/>
      <c r="W285" s="100"/>
    </row>
    <row r="286" spans="1:23" ht="13.5" customHeight="1">
      <c r="A286" s="76">
        <v>221107</v>
      </c>
      <c r="B286" s="36" t="s">
        <v>514</v>
      </c>
      <c r="C286" s="36">
        <f>SUM(C287)</f>
        <v>610000</v>
      </c>
      <c r="D286" s="200"/>
      <c r="E286" s="201"/>
      <c r="F286" s="100"/>
      <c r="G286" s="100"/>
      <c r="H286" s="100"/>
      <c r="I286" s="100"/>
      <c r="J286" s="100"/>
      <c r="K286" s="100"/>
      <c r="L286" s="100"/>
      <c r="M286" s="100"/>
      <c r="N286" s="100"/>
      <c r="O286" s="100"/>
      <c r="P286" s="100"/>
      <c r="Q286" s="100"/>
      <c r="R286" s="100"/>
      <c r="S286" s="100"/>
      <c r="T286" s="100"/>
      <c r="U286" s="100"/>
      <c r="V286" s="100"/>
      <c r="W286" s="100"/>
    </row>
    <row r="287" spans="1:23" ht="13.5" customHeight="1">
      <c r="A287" s="154">
        <v>22110702</v>
      </c>
      <c r="B287" s="72" t="s">
        <v>515</v>
      </c>
      <c r="C287" s="72">
        <f>100000+500000+10000</f>
        <v>610000</v>
      </c>
      <c r="D287" s="200"/>
      <c r="E287" s="201"/>
      <c r="F287" s="100"/>
      <c r="G287" s="100"/>
      <c r="H287" s="100"/>
      <c r="I287" s="100"/>
      <c r="J287" s="100"/>
      <c r="K287" s="100"/>
      <c r="L287" s="100"/>
      <c r="M287" s="100"/>
      <c r="N287" s="100"/>
      <c r="O287" s="100"/>
      <c r="P287" s="100"/>
      <c r="Q287" s="100"/>
      <c r="R287" s="100"/>
      <c r="S287" s="100"/>
      <c r="T287" s="100"/>
      <c r="U287" s="100"/>
      <c r="V287" s="100"/>
      <c r="W287" s="100"/>
    </row>
    <row r="288" spans="1:23" ht="13.5" customHeight="1">
      <c r="A288" s="77"/>
      <c r="B288" s="77"/>
      <c r="C288" s="224"/>
      <c r="D288" s="200"/>
      <c r="E288" s="201"/>
      <c r="F288" s="100"/>
      <c r="G288" s="100"/>
      <c r="H288" s="100"/>
      <c r="I288" s="100"/>
      <c r="J288" s="100"/>
      <c r="K288" s="100"/>
      <c r="L288" s="100"/>
      <c r="M288" s="100"/>
      <c r="N288" s="100"/>
      <c r="O288" s="100"/>
      <c r="P288" s="100"/>
      <c r="Q288" s="100"/>
      <c r="R288" s="100"/>
      <c r="S288" s="100"/>
      <c r="T288" s="100"/>
      <c r="U288" s="100"/>
      <c r="V288" s="100"/>
      <c r="W288" s="100"/>
    </row>
    <row r="289" spans="1:23" ht="13.5" customHeight="1" thickBot="1">
      <c r="A289" s="100"/>
      <c r="B289" s="100"/>
      <c r="C289" s="72"/>
      <c r="D289" s="200"/>
      <c r="E289" s="201"/>
      <c r="F289" s="100"/>
      <c r="G289" s="100"/>
      <c r="H289" s="100"/>
      <c r="I289" s="100"/>
      <c r="J289" s="100"/>
      <c r="K289" s="100"/>
      <c r="L289" s="100"/>
      <c r="M289" s="100"/>
      <c r="N289" s="100"/>
      <c r="O289" s="100"/>
      <c r="P289" s="100"/>
      <c r="Q289" s="100"/>
      <c r="R289" s="100"/>
      <c r="S289" s="100"/>
      <c r="T289" s="100"/>
      <c r="U289" s="100"/>
      <c r="V289" s="100"/>
      <c r="W289" s="100"/>
    </row>
    <row r="290" spans="1:23" ht="13.5" customHeight="1">
      <c r="A290" s="1249" t="s">
        <v>898</v>
      </c>
      <c r="B290" s="1250"/>
      <c r="C290" s="1232">
        <v>1506</v>
      </c>
      <c r="D290" s="200"/>
      <c r="E290" s="201"/>
      <c r="F290" s="100"/>
      <c r="G290" s="100"/>
      <c r="H290" s="100"/>
      <c r="I290" s="100"/>
      <c r="J290" s="100"/>
      <c r="K290" s="100"/>
      <c r="L290" s="100"/>
      <c r="M290" s="100"/>
      <c r="N290" s="100"/>
      <c r="O290" s="100"/>
      <c r="P290" s="100"/>
      <c r="Q290" s="100"/>
      <c r="R290" s="100"/>
      <c r="S290" s="100"/>
      <c r="T290" s="100"/>
      <c r="U290" s="100"/>
      <c r="V290" s="100"/>
      <c r="W290" s="100"/>
    </row>
    <row r="291" spans="1:23" ht="13.5" customHeight="1" thickBot="1">
      <c r="A291" s="1251"/>
      <c r="B291" s="1248"/>
      <c r="C291" s="1233"/>
      <c r="D291" s="200"/>
      <c r="E291" s="201"/>
      <c r="F291" s="100"/>
      <c r="G291" s="100"/>
      <c r="H291" s="100"/>
      <c r="I291" s="100"/>
      <c r="J291" s="100"/>
      <c r="K291" s="100"/>
      <c r="L291" s="100"/>
      <c r="M291" s="100"/>
      <c r="N291" s="100"/>
      <c r="O291" s="100"/>
      <c r="P291" s="100"/>
      <c r="Q291" s="100"/>
      <c r="R291" s="100"/>
      <c r="S291" s="100"/>
      <c r="T291" s="100"/>
      <c r="U291" s="100"/>
      <c r="V291" s="100"/>
      <c r="W291" s="100"/>
    </row>
    <row r="292" spans="1:23" ht="13.5" customHeight="1">
      <c r="A292" s="608" t="s">
        <v>671</v>
      </c>
      <c r="B292" s="612"/>
      <c r="C292" s="626"/>
      <c r="D292" s="200"/>
      <c r="E292" s="201"/>
      <c r="F292" s="100"/>
      <c r="G292" s="100"/>
      <c r="H292" s="100"/>
      <c r="I292" s="100"/>
      <c r="J292" s="100"/>
      <c r="K292" s="100"/>
      <c r="L292" s="100"/>
      <c r="M292" s="100"/>
      <c r="N292" s="100"/>
      <c r="O292" s="100"/>
      <c r="P292" s="100"/>
      <c r="Q292" s="100"/>
      <c r="R292" s="100"/>
      <c r="S292" s="100"/>
      <c r="T292" s="100"/>
      <c r="U292" s="100"/>
      <c r="V292" s="100"/>
      <c r="W292" s="100"/>
    </row>
    <row r="293" spans="1:23" ht="13.5" customHeight="1">
      <c r="A293" s="609" t="s">
        <v>722</v>
      </c>
      <c r="B293" s="612"/>
      <c r="C293" s="626"/>
      <c r="D293" s="200"/>
      <c r="E293" s="201"/>
      <c r="F293" s="100"/>
      <c r="G293" s="100"/>
      <c r="H293" s="100"/>
      <c r="I293" s="100"/>
      <c r="J293" s="100"/>
      <c r="K293" s="100"/>
      <c r="L293" s="100"/>
      <c r="M293" s="100"/>
      <c r="N293" s="100"/>
      <c r="O293" s="100"/>
      <c r="P293" s="100"/>
      <c r="Q293" s="100"/>
      <c r="R293" s="100"/>
      <c r="S293" s="100"/>
      <c r="T293" s="100"/>
      <c r="U293" s="100"/>
      <c r="V293" s="100"/>
      <c r="W293" s="100"/>
    </row>
    <row r="294" spans="1:23" ht="13.5" customHeight="1">
      <c r="A294" s="609" t="s">
        <v>723</v>
      </c>
      <c r="B294" s="611"/>
      <c r="C294" s="626"/>
      <c r="D294" s="200"/>
      <c r="E294" s="201"/>
      <c r="F294" s="100"/>
      <c r="G294" s="100"/>
      <c r="H294" s="100"/>
      <c r="I294" s="100"/>
      <c r="J294" s="100"/>
      <c r="K294" s="100"/>
      <c r="L294" s="100"/>
      <c r="M294" s="100"/>
      <c r="N294" s="100"/>
      <c r="O294" s="100"/>
      <c r="P294" s="100"/>
      <c r="Q294" s="100"/>
      <c r="R294" s="100"/>
      <c r="S294" s="100"/>
      <c r="T294" s="100"/>
      <c r="U294" s="100"/>
      <c r="V294" s="100"/>
      <c r="W294" s="100"/>
    </row>
    <row r="295" spans="1:23" ht="13.5" customHeight="1" thickBot="1">
      <c r="A295" s="609" t="s">
        <v>0</v>
      </c>
      <c r="B295" s="612"/>
      <c r="C295" s="626"/>
      <c r="D295" s="200"/>
      <c r="E295" s="201"/>
      <c r="F295" s="100"/>
      <c r="G295" s="100"/>
      <c r="H295" s="100"/>
      <c r="I295" s="100"/>
      <c r="J295" s="100"/>
      <c r="K295" s="100"/>
      <c r="L295" s="100"/>
      <c r="M295" s="100"/>
      <c r="N295" s="100"/>
      <c r="O295" s="100"/>
      <c r="P295" s="100"/>
      <c r="Q295" s="100"/>
      <c r="R295" s="100"/>
      <c r="S295" s="100"/>
      <c r="T295" s="100"/>
      <c r="U295" s="100"/>
      <c r="V295" s="100"/>
      <c r="W295" s="100"/>
    </row>
    <row r="296" spans="1:23" ht="13.5" customHeight="1" thickBot="1">
      <c r="A296" s="627" t="s">
        <v>60</v>
      </c>
      <c r="B296" s="630"/>
      <c r="C296" s="638">
        <f>C298+C319+C334+C384+C416+C349</f>
        <v>77066000</v>
      </c>
      <c r="D296" s="200"/>
      <c r="E296" s="201"/>
      <c r="F296" s="100"/>
      <c r="G296" s="100"/>
      <c r="H296" s="100"/>
      <c r="I296" s="100"/>
      <c r="J296" s="100"/>
      <c r="K296" s="100"/>
      <c r="L296" s="100"/>
      <c r="M296" s="100"/>
      <c r="N296" s="100"/>
      <c r="O296" s="100"/>
      <c r="P296" s="100"/>
      <c r="Q296" s="100"/>
      <c r="R296" s="100"/>
      <c r="S296" s="100"/>
      <c r="T296" s="100"/>
      <c r="U296" s="100"/>
      <c r="V296" s="100"/>
      <c r="W296" s="100"/>
    </row>
    <row r="297" spans="1:23" ht="13.5" customHeight="1" thickBot="1">
      <c r="A297" s="100"/>
      <c r="B297" s="100"/>
      <c r="C297" s="72"/>
      <c r="D297" s="200"/>
      <c r="E297" s="201"/>
      <c r="F297" s="100"/>
      <c r="G297" s="100"/>
      <c r="H297" s="100"/>
      <c r="I297" s="100"/>
      <c r="J297" s="100"/>
      <c r="K297" s="100"/>
      <c r="L297" s="100"/>
      <c r="M297" s="100"/>
      <c r="N297" s="100"/>
      <c r="O297" s="100"/>
      <c r="P297" s="100"/>
      <c r="Q297" s="100"/>
      <c r="R297" s="100"/>
      <c r="S297" s="100"/>
      <c r="T297" s="100"/>
      <c r="U297" s="100"/>
      <c r="V297" s="100"/>
      <c r="W297" s="100"/>
    </row>
    <row r="298" spans="1:23" ht="13.5" customHeight="1" thickBot="1">
      <c r="A298" s="1356" t="s">
        <v>9</v>
      </c>
      <c r="B298" s="1281"/>
      <c r="C298" s="212">
        <f>C299+C301+C303+C305+C313+C308</f>
        <v>2588500</v>
      </c>
      <c r="D298" s="200"/>
      <c r="E298" s="201"/>
      <c r="F298" s="100"/>
      <c r="G298" s="100"/>
      <c r="H298" s="100"/>
      <c r="I298" s="100"/>
      <c r="J298" s="100"/>
      <c r="K298" s="100"/>
      <c r="L298" s="100"/>
      <c r="M298" s="100"/>
      <c r="N298" s="100"/>
      <c r="O298" s="100"/>
      <c r="P298" s="100"/>
      <c r="Q298" s="100"/>
      <c r="R298" s="100"/>
      <c r="S298" s="100"/>
      <c r="T298" s="100"/>
      <c r="U298" s="100"/>
      <c r="V298" s="100"/>
      <c r="W298" s="100"/>
    </row>
    <row r="299" spans="1:23" ht="13.5" customHeight="1">
      <c r="A299" s="76">
        <v>211201</v>
      </c>
      <c r="B299" s="76" t="s">
        <v>459</v>
      </c>
      <c r="C299" s="155">
        <f>SUM(C300)</f>
        <v>552500</v>
      </c>
      <c r="D299" s="200"/>
      <c r="E299" s="201"/>
      <c r="F299" s="100"/>
      <c r="G299" s="100"/>
      <c r="H299" s="100"/>
      <c r="I299" s="100"/>
      <c r="J299" s="100"/>
      <c r="K299" s="100"/>
      <c r="L299" s="100"/>
      <c r="M299" s="100"/>
      <c r="N299" s="100"/>
      <c r="O299" s="100"/>
      <c r="P299" s="100"/>
      <c r="Q299" s="100"/>
      <c r="R299" s="100"/>
      <c r="S299" s="100"/>
      <c r="T299" s="100"/>
      <c r="U299" s="100"/>
      <c r="V299" s="100"/>
      <c r="W299" s="100"/>
    </row>
    <row r="300" spans="1:23" ht="13.5" customHeight="1">
      <c r="A300" s="154">
        <v>21120101</v>
      </c>
      <c r="B300" s="100" t="s">
        <v>460</v>
      </c>
      <c r="C300" s="72">
        <f>500000+52500</f>
        <v>552500</v>
      </c>
      <c r="D300" s="200"/>
      <c r="E300" s="201"/>
      <c r="F300" s="100"/>
      <c r="G300" s="100"/>
      <c r="H300" s="100"/>
      <c r="I300" s="100"/>
      <c r="J300" s="100"/>
      <c r="K300" s="100"/>
      <c r="L300" s="100"/>
      <c r="M300" s="100"/>
      <c r="N300" s="100"/>
      <c r="O300" s="100"/>
      <c r="P300" s="100"/>
      <c r="Q300" s="100"/>
      <c r="R300" s="100"/>
      <c r="S300" s="100"/>
      <c r="T300" s="100"/>
      <c r="U300" s="100"/>
      <c r="V300" s="100"/>
      <c r="W300" s="100"/>
    </row>
    <row r="301" spans="1:23" ht="13.5" customHeight="1">
      <c r="A301" s="76">
        <v>211202</v>
      </c>
      <c r="B301" s="75" t="s">
        <v>529</v>
      </c>
      <c r="C301" s="36">
        <f>C302</f>
        <v>212500</v>
      </c>
      <c r="D301" s="200"/>
      <c r="E301" s="201"/>
      <c r="F301" s="100"/>
      <c r="G301" s="100"/>
      <c r="H301" s="100"/>
      <c r="I301" s="100"/>
      <c r="J301" s="100"/>
      <c r="K301" s="100"/>
      <c r="L301" s="100"/>
      <c r="M301" s="100"/>
      <c r="N301" s="100"/>
      <c r="O301" s="100"/>
      <c r="P301" s="100"/>
      <c r="Q301" s="100"/>
      <c r="R301" s="100"/>
      <c r="S301" s="100"/>
      <c r="T301" s="100"/>
      <c r="U301" s="100"/>
      <c r="V301" s="100"/>
      <c r="W301" s="100"/>
    </row>
    <row r="302" spans="1:23" ht="13.5" customHeight="1">
      <c r="A302" s="154">
        <v>21120202</v>
      </c>
      <c r="B302" s="100" t="s">
        <v>530</v>
      </c>
      <c r="C302" s="72">
        <v>212500</v>
      </c>
      <c r="D302" s="200"/>
      <c r="E302" s="201"/>
      <c r="F302" s="100"/>
      <c r="G302" s="100"/>
      <c r="H302" s="100"/>
      <c r="I302" s="100"/>
      <c r="J302" s="100"/>
      <c r="K302" s="100"/>
      <c r="L302" s="100"/>
      <c r="M302" s="100"/>
      <c r="N302" s="100"/>
      <c r="O302" s="100"/>
      <c r="P302" s="100"/>
      <c r="Q302" s="100"/>
      <c r="R302" s="100"/>
      <c r="S302" s="100"/>
      <c r="T302" s="100"/>
      <c r="U302" s="100"/>
      <c r="V302" s="100"/>
      <c r="W302" s="100"/>
    </row>
    <row r="303" spans="1:23" ht="13.5" customHeight="1">
      <c r="A303" s="76">
        <v>211203</v>
      </c>
      <c r="B303" s="75" t="s">
        <v>461</v>
      </c>
      <c r="C303" s="36">
        <f>C304</f>
        <v>60000</v>
      </c>
      <c r="D303" s="200"/>
      <c r="E303" s="201"/>
      <c r="F303" s="100"/>
      <c r="G303" s="100"/>
      <c r="H303" s="100"/>
      <c r="I303" s="100"/>
      <c r="J303" s="100"/>
      <c r="K303" s="100"/>
      <c r="L303" s="100"/>
      <c r="M303" s="100"/>
      <c r="N303" s="100"/>
      <c r="O303" s="100"/>
      <c r="P303" s="100"/>
      <c r="Q303" s="100"/>
      <c r="R303" s="100"/>
      <c r="S303" s="100"/>
      <c r="T303" s="100"/>
      <c r="U303" s="100"/>
      <c r="V303" s="100"/>
      <c r="W303" s="100"/>
    </row>
    <row r="304" spans="1:23" ht="13.5" customHeight="1">
      <c r="A304" s="154">
        <v>21120302</v>
      </c>
      <c r="B304" s="100" t="s">
        <v>462</v>
      </c>
      <c r="C304" s="72">
        <v>60000</v>
      </c>
      <c r="D304" s="200"/>
      <c r="E304" s="201"/>
      <c r="F304" s="100"/>
      <c r="G304" s="100"/>
      <c r="H304" s="100"/>
      <c r="I304" s="100"/>
      <c r="J304" s="100"/>
      <c r="K304" s="100"/>
      <c r="L304" s="100"/>
      <c r="M304" s="100"/>
      <c r="N304" s="100"/>
      <c r="O304" s="100"/>
      <c r="P304" s="100"/>
      <c r="Q304" s="100"/>
      <c r="R304" s="100"/>
      <c r="S304" s="100"/>
      <c r="T304" s="100"/>
      <c r="U304" s="100"/>
      <c r="V304" s="100"/>
      <c r="W304" s="100"/>
    </row>
    <row r="305" spans="1:23" ht="13.5" customHeight="1">
      <c r="A305" s="76">
        <v>211204</v>
      </c>
      <c r="B305" s="75" t="s">
        <v>463</v>
      </c>
      <c r="C305" s="36">
        <f>+SUM(C306:C307)</f>
        <v>600000</v>
      </c>
      <c r="D305" s="200"/>
      <c r="E305" s="201"/>
      <c r="F305" s="100"/>
      <c r="G305" s="100"/>
      <c r="H305" s="100"/>
      <c r="I305" s="100"/>
      <c r="J305" s="100"/>
      <c r="K305" s="100"/>
      <c r="L305" s="100"/>
      <c r="M305" s="100"/>
      <c r="N305" s="100"/>
      <c r="O305" s="100"/>
      <c r="P305" s="100"/>
      <c r="Q305" s="100"/>
      <c r="R305" s="100"/>
      <c r="S305" s="100"/>
      <c r="T305" s="100"/>
      <c r="U305" s="100"/>
      <c r="V305" s="100"/>
      <c r="W305" s="100"/>
    </row>
    <row r="306" spans="1:23" ht="13.5" customHeight="1">
      <c r="A306" s="154">
        <v>21120401</v>
      </c>
      <c r="B306" s="72" t="s">
        <v>464</v>
      </c>
      <c r="C306" s="72">
        <f>40000+200000</f>
        <v>240000</v>
      </c>
      <c r="D306" s="200"/>
      <c r="E306" s="201"/>
      <c r="F306" s="100"/>
      <c r="G306" s="100"/>
      <c r="H306" s="100"/>
      <c r="I306" s="100"/>
      <c r="J306" s="100"/>
      <c r="K306" s="100"/>
      <c r="L306" s="100"/>
      <c r="M306" s="100"/>
      <c r="N306" s="100"/>
      <c r="O306" s="100"/>
      <c r="P306" s="100"/>
      <c r="Q306" s="100"/>
      <c r="R306" s="100"/>
      <c r="S306" s="100"/>
      <c r="T306" s="100"/>
      <c r="U306" s="100"/>
      <c r="V306" s="100"/>
      <c r="W306" s="100"/>
    </row>
    <row r="307" spans="1:23" ht="13.5" customHeight="1">
      <c r="A307" s="154">
        <v>21120402</v>
      </c>
      <c r="B307" s="77" t="s">
        <v>649</v>
      </c>
      <c r="C307" s="72">
        <f>60000+300000</f>
        <v>360000</v>
      </c>
      <c r="D307" s="200"/>
      <c r="E307" s="201"/>
      <c r="F307" s="100"/>
      <c r="G307" s="100"/>
      <c r="H307" s="100"/>
      <c r="I307" s="100"/>
      <c r="J307" s="100"/>
      <c r="K307" s="100"/>
      <c r="L307" s="100"/>
      <c r="M307" s="100"/>
      <c r="N307" s="100"/>
      <c r="O307" s="100"/>
      <c r="P307" s="100"/>
      <c r="Q307" s="100"/>
      <c r="R307" s="100"/>
      <c r="S307" s="100"/>
      <c r="T307" s="100"/>
      <c r="U307" s="100"/>
      <c r="V307" s="100"/>
      <c r="W307" s="100"/>
    </row>
    <row r="308" spans="1:23" ht="13.5" customHeight="1">
      <c r="A308" s="76">
        <v>211207</v>
      </c>
      <c r="B308" s="851" t="s">
        <v>467</v>
      </c>
      <c r="C308" s="36">
        <f>+SUM(C309:C312)</f>
        <v>129000</v>
      </c>
      <c r="D308" s="200"/>
      <c r="E308" s="201"/>
      <c r="F308" s="100"/>
      <c r="G308" s="100"/>
      <c r="H308" s="100"/>
      <c r="I308" s="100"/>
      <c r="J308" s="100"/>
      <c r="K308" s="100"/>
      <c r="L308" s="100"/>
      <c r="M308" s="100"/>
      <c r="N308" s="100"/>
      <c r="O308" s="100"/>
      <c r="P308" s="100"/>
      <c r="Q308" s="100"/>
      <c r="R308" s="100"/>
      <c r="S308" s="100"/>
      <c r="T308" s="100"/>
      <c r="U308" s="100"/>
      <c r="V308" s="100"/>
      <c r="W308" s="100"/>
    </row>
    <row r="309" spans="1:23" ht="13.5" customHeight="1">
      <c r="A309" s="154">
        <v>21120708</v>
      </c>
      <c r="B309" s="77" t="s">
        <v>470</v>
      </c>
      <c r="C309" s="72">
        <v>25000</v>
      </c>
      <c r="D309" s="200"/>
      <c r="E309" s="201"/>
      <c r="F309" s="100"/>
      <c r="G309" s="100"/>
      <c r="H309" s="100"/>
      <c r="I309" s="100"/>
      <c r="J309" s="100"/>
      <c r="K309" s="100"/>
      <c r="L309" s="100"/>
      <c r="M309" s="100"/>
      <c r="N309" s="100"/>
      <c r="O309" s="100"/>
      <c r="P309" s="100"/>
      <c r="Q309" s="100"/>
      <c r="R309" s="100"/>
      <c r="S309" s="100"/>
      <c r="T309" s="100"/>
      <c r="U309" s="100"/>
      <c r="V309" s="100"/>
      <c r="W309" s="100"/>
    </row>
    <row r="310" spans="1:23" ht="13.5" customHeight="1">
      <c r="A310" s="154">
        <v>21120709</v>
      </c>
      <c r="B310" s="72" t="s">
        <v>471</v>
      </c>
      <c r="C310" s="72">
        <v>40000</v>
      </c>
      <c r="D310" s="200"/>
      <c r="E310" s="201"/>
      <c r="F310" s="100"/>
      <c r="G310" s="100"/>
      <c r="H310" s="100"/>
      <c r="I310" s="100"/>
      <c r="J310" s="100"/>
      <c r="K310" s="100"/>
      <c r="L310" s="100"/>
      <c r="M310" s="100"/>
      <c r="N310" s="100"/>
      <c r="O310" s="100"/>
      <c r="P310" s="100"/>
      <c r="Q310" s="100"/>
      <c r="R310" s="100"/>
      <c r="S310" s="100"/>
      <c r="T310" s="100"/>
      <c r="U310" s="100"/>
      <c r="V310" s="100"/>
      <c r="W310" s="100"/>
    </row>
    <row r="311" spans="1:23" ht="13.5" customHeight="1">
      <c r="A311" s="154">
        <v>2112071</v>
      </c>
      <c r="B311" s="72" t="s">
        <v>472</v>
      </c>
      <c r="C311" s="72">
        <v>40000</v>
      </c>
      <c r="D311" s="200"/>
      <c r="E311" s="201"/>
      <c r="F311" s="100"/>
      <c r="G311" s="100"/>
      <c r="H311" s="100"/>
      <c r="I311" s="100"/>
      <c r="J311" s="100"/>
      <c r="K311" s="100"/>
      <c r="L311" s="100"/>
      <c r="M311" s="100"/>
      <c r="N311" s="100"/>
      <c r="O311" s="100"/>
      <c r="P311" s="100"/>
      <c r="Q311" s="100"/>
      <c r="R311" s="100"/>
      <c r="S311" s="100"/>
      <c r="T311" s="100"/>
      <c r="U311" s="100"/>
      <c r="V311" s="100"/>
      <c r="W311" s="100"/>
    </row>
    <row r="312" spans="1:23" ht="13.5" customHeight="1">
      <c r="A312" s="154">
        <v>21120711</v>
      </c>
      <c r="B312" s="72" t="s">
        <v>473</v>
      </c>
      <c r="C312" s="72">
        <v>24000</v>
      </c>
      <c r="D312" s="200"/>
      <c r="E312" s="201"/>
      <c r="F312" s="100"/>
      <c r="G312" s="100"/>
      <c r="H312" s="100"/>
      <c r="I312" s="100"/>
      <c r="J312" s="100"/>
      <c r="K312" s="100"/>
      <c r="L312" s="100"/>
      <c r="M312" s="100"/>
      <c r="N312" s="100"/>
      <c r="O312" s="100"/>
      <c r="P312" s="100"/>
      <c r="Q312" s="100"/>
      <c r="R312" s="100"/>
      <c r="S312" s="100"/>
      <c r="T312" s="100"/>
      <c r="U312" s="100"/>
      <c r="V312" s="100"/>
      <c r="W312" s="100"/>
    </row>
    <row r="313" spans="1:23" ht="13.5" customHeight="1">
      <c r="A313" s="76">
        <v>211209</v>
      </c>
      <c r="B313" s="36" t="s">
        <v>477</v>
      </c>
      <c r="C313" s="36">
        <f>+SUM(C314:C317)</f>
        <v>1034500</v>
      </c>
      <c r="D313" s="200"/>
      <c r="E313" s="201"/>
      <c r="F313" s="100"/>
      <c r="G313" s="100"/>
      <c r="H313" s="100"/>
      <c r="I313" s="100"/>
      <c r="J313" s="100"/>
      <c r="K313" s="100"/>
      <c r="L313" s="100"/>
      <c r="M313" s="100"/>
      <c r="N313" s="100"/>
      <c r="O313" s="100"/>
      <c r="P313" s="100"/>
      <c r="Q313" s="100"/>
      <c r="R313" s="100"/>
      <c r="S313" s="100"/>
      <c r="T313" s="100"/>
      <c r="U313" s="100"/>
      <c r="V313" s="100"/>
      <c r="W313" s="100"/>
    </row>
    <row r="314" spans="1:23" ht="13.5" customHeight="1">
      <c r="A314" s="154">
        <v>21120901</v>
      </c>
      <c r="B314" s="72" t="s">
        <v>478</v>
      </c>
      <c r="C314" s="72">
        <f>1000000+35000-500000</f>
        <v>535000</v>
      </c>
      <c r="D314" s="200"/>
      <c r="E314" s="201"/>
      <c r="F314" s="100"/>
      <c r="G314" s="100"/>
      <c r="H314" s="100"/>
      <c r="I314" s="100"/>
      <c r="J314" s="100"/>
      <c r="K314" s="100"/>
      <c r="L314" s="100"/>
      <c r="M314" s="100"/>
      <c r="N314" s="100"/>
      <c r="O314" s="100"/>
      <c r="P314" s="100"/>
      <c r="Q314" s="100"/>
      <c r="R314" s="100"/>
      <c r="S314" s="100"/>
      <c r="T314" s="100"/>
      <c r="U314" s="100"/>
      <c r="V314" s="100"/>
      <c r="W314" s="100"/>
    </row>
    <row r="315" spans="1:23" ht="13.5" customHeight="1">
      <c r="A315" s="154">
        <v>21120905</v>
      </c>
      <c r="B315" s="72" t="s">
        <v>525</v>
      </c>
      <c r="C315" s="72">
        <v>150000</v>
      </c>
      <c r="D315" s="200"/>
      <c r="E315" s="201"/>
      <c r="F315" s="100"/>
      <c r="G315" s="100"/>
      <c r="H315" s="100"/>
      <c r="I315" s="100"/>
      <c r="J315" s="100"/>
      <c r="K315" s="100"/>
      <c r="L315" s="100"/>
      <c r="M315" s="100"/>
      <c r="N315" s="100"/>
      <c r="O315" s="100"/>
      <c r="P315" s="100"/>
      <c r="Q315" s="100"/>
      <c r="R315" s="100"/>
      <c r="S315" s="100"/>
      <c r="T315" s="100"/>
      <c r="U315" s="100"/>
      <c r="V315" s="100"/>
      <c r="W315" s="100"/>
    </row>
    <row r="316" spans="1:23" ht="13.5" customHeight="1">
      <c r="A316" s="154">
        <v>21120906</v>
      </c>
      <c r="B316" s="72" t="s">
        <v>479</v>
      </c>
      <c r="C316" s="72">
        <f>100000+60000</f>
        <v>160000</v>
      </c>
      <c r="D316" s="200"/>
      <c r="E316" s="201"/>
      <c r="F316" s="100"/>
      <c r="G316" s="100"/>
      <c r="H316" s="100"/>
      <c r="I316" s="100"/>
      <c r="J316" s="100"/>
      <c r="K316" s="100"/>
      <c r="L316" s="100"/>
      <c r="M316" s="100"/>
      <c r="N316" s="100"/>
      <c r="O316" s="100"/>
      <c r="P316" s="100"/>
      <c r="Q316" s="100"/>
      <c r="R316" s="100"/>
      <c r="S316" s="100"/>
      <c r="T316" s="100"/>
      <c r="U316" s="100"/>
      <c r="V316" s="100"/>
      <c r="W316" s="100"/>
    </row>
    <row r="317" spans="1:23" ht="13.5" customHeight="1">
      <c r="A317" s="154">
        <v>21120907</v>
      </c>
      <c r="B317" s="77" t="s">
        <v>480</v>
      </c>
      <c r="C317" s="72">
        <v>189500</v>
      </c>
      <c r="D317" s="200"/>
      <c r="E317" s="201"/>
      <c r="F317" s="100"/>
      <c r="G317" s="100"/>
      <c r="H317" s="100"/>
      <c r="I317" s="100"/>
      <c r="J317" s="100"/>
      <c r="K317" s="100"/>
      <c r="L317" s="100"/>
      <c r="M317" s="100"/>
      <c r="N317" s="100"/>
      <c r="O317" s="100"/>
      <c r="P317" s="100"/>
      <c r="Q317" s="100"/>
      <c r="R317" s="100"/>
      <c r="S317" s="100"/>
      <c r="T317" s="100"/>
      <c r="U317" s="100"/>
      <c r="V317" s="100"/>
      <c r="W317" s="100"/>
    </row>
    <row r="318" spans="1:23" ht="13.5" customHeight="1" thickBot="1">
      <c r="A318" s="100"/>
      <c r="B318" s="72"/>
      <c r="C318" s="72"/>
      <c r="D318" s="200"/>
      <c r="E318" s="201"/>
      <c r="F318" s="100"/>
      <c r="G318" s="100"/>
      <c r="H318" s="100"/>
      <c r="I318" s="100"/>
      <c r="J318" s="100"/>
      <c r="K318" s="100"/>
      <c r="L318" s="100"/>
      <c r="M318" s="100"/>
      <c r="N318" s="100"/>
      <c r="O318" s="100"/>
      <c r="P318" s="100"/>
      <c r="Q318" s="100"/>
      <c r="R318" s="100"/>
      <c r="S318" s="100"/>
      <c r="T318" s="100"/>
      <c r="U318" s="100"/>
      <c r="V318" s="100"/>
      <c r="W318" s="100"/>
    </row>
    <row r="319" spans="1:23" ht="13.5" customHeight="1" thickBot="1">
      <c r="A319" s="1354" t="s">
        <v>4</v>
      </c>
      <c r="B319" s="1281"/>
      <c r="C319" s="220">
        <f>C320+C322+C325+C327</f>
        <v>12777000</v>
      </c>
      <c r="D319" s="200"/>
      <c r="E319" s="201"/>
      <c r="F319" s="100"/>
      <c r="G319" s="100"/>
      <c r="H319" s="100"/>
      <c r="I319" s="100"/>
      <c r="J319" s="100"/>
      <c r="K319" s="100"/>
      <c r="L319" s="100"/>
      <c r="M319" s="100"/>
      <c r="N319" s="100"/>
      <c r="O319" s="100"/>
      <c r="P319" s="100"/>
      <c r="Q319" s="100"/>
      <c r="R319" s="100"/>
      <c r="S319" s="100"/>
      <c r="T319" s="100"/>
      <c r="U319" s="100"/>
      <c r="V319" s="100"/>
      <c r="W319" s="100"/>
    </row>
    <row r="320" spans="1:23" ht="13.5" customHeight="1">
      <c r="A320" s="76">
        <v>211302</v>
      </c>
      <c r="B320" s="76" t="s">
        <v>481</v>
      </c>
      <c r="C320" s="155">
        <f>+C321</f>
        <v>1658500</v>
      </c>
      <c r="D320" s="200"/>
      <c r="E320" s="201"/>
      <c r="F320" s="100"/>
      <c r="G320" s="100"/>
      <c r="H320" s="100"/>
      <c r="I320" s="100"/>
      <c r="J320" s="100"/>
      <c r="K320" s="100"/>
      <c r="L320" s="100"/>
      <c r="M320" s="100"/>
      <c r="N320" s="100"/>
      <c r="O320" s="100"/>
      <c r="P320" s="100"/>
      <c r="Q320" s="100"/>
      <c r="R320" s="100"/>
      <c r="S320" s="100"/>
      <c r="T320" s="100"/>
      <c r="U320" s="100"/>
      <c r="V320" s="100"/>
      <c r="W320" s="100"/>
    </row>
    <row r="321" spans="1:23" ht="13.5" customHeight="1">
      <c r="A321" s="154">
        <v>21130204</v>
      </c>
      <c r="B321" s="72" t="s">
        <v>483</v>
      </c>
      <c r="C321" s="72">
        <v>1658500</v>
      </c>
      <c r="D321" s="200"/>
      <c r="E321" s="201"/>
      <c r="F321" s="100"/>
      <c r="G321" s="100"/>
      <c r="H321" s="100"/>
      <c r="I321" s="100"/>
      <c r="J321" s="100"/>
      <c r="K321" s="100"/>
      <c r="L321" s="100"/>
      <c r="M321" s="100"/>
      <c r="N321" s="100"/>
      <c r="O321" s="100"/>
      <c r="P321" s="100"/>
      <c r="Q321" s="100"/>
      <c r="R321" s="100"/>
      <c r="S321" s="100"/>
      <c r="T321" s="100"/>
      <c r="U321" s="100"/>
      <c r="V321" s="100"/>
      <c r="W321" s="100"/>
    </row>
    <row r="322" spans="1:23" ht="13.5" customHeight="1">
      <c r="A322" s="76">
        <v>211305</v>
      </c>
      <c r="B322" s="36" t="s">
        <v>489</v>
      </c>
      <c r="C322" s="36">
        <f>+C323+C324</f>
        <v>3380000</v>
      </c>
      <c r="D322" s="200"/>
      <c r="E322" s="201"/>
      <c r="F322" s="100"/>
      <c r="G322" s="100"/>
      <c r="H322" s="100"/>
      <c r="I322" s="100"/>
      <c r="J322" s="100"/>
      <c r="K322" s="100"/>
      <c r="L322" s="100"/>
      <c r="M322" s="100"/>
      <c r="N322" s="100"/>
      <c r="O322" s="100"/>
      <c r="P322" s="100"/>
      <c r="Q322" s="100"/>
      <c r="R322" s="100"/>
      <c r="S322" s="100"/>
      <c r="T322" s="100"/>
      <c r="U322" s="100"/>
      <c r="V322" s="100"/>
      <c r="W322" s="100"/>
    </row>
    <row r="323" spans="1:23" ht="13.5" customHeight="1">
      <c r="A323" s="154">
        <v>21130502</v>
      </c>
      <c r="B323" s="72" t="s">
        <v>491</v>
      </c>
      <c r="C323" s="72">
        <v>2300000</v>
      </c>
      <c r="D323" s="200"/>
      <c r="E323" s="201"/>
      <c r="F323" s="100"/>
      <c r="G323" s="100"/>
      <c r="H323" s="100"/>
      <c r="I323" s="100"/>
      <c r="J323" s="100"/>
      <c r="K323" s="100"/>
      <c r="L323" s="100"/>
      <c r="M323" s="100"/>
      <c r="N323" s="100"/>
      <c r="O323" s="100"/>
      <c r="P323" s="100"/>
      <c r="Q323" s="100"/>
      <c r="R323" s="100"/>
      <c r="S323" s="100"/>
      <c r="T323" s="100"/>
      <c r="U323" s="100"/>
      <c r="V323" s="100"/>
      <c r="W323" s="100"/>
    </row>
    <row r="324" spans="1:23" ht="13.5" customHeight="1">
      <c r="A324" s="154">
        <v>21130505</v>
      </c>
      <c r="B324" s="77" t="s">
        <v>651</v>
      </c>
      <c r="C324" s="72">
        <f>1000000+80000</f>
        <v>1080000</v>
      </c>
      <c r="D324" s="200"/>
      <c r="E324" s="201"/>
      <c r="F324" s="100"/>
      <c r="G324" s="100"/>
      <c r="H324" s="100"/>
      <c r="I324" s="100"/>
      <c r="J324" s="100"/>
      <c r="K324" s="100"/>
      <c r="L324" s="100"/>
      <c r="M324" s="100"/>
      <c r="N324" s="100"/>
      <c r="O324" s="100"/>
      <c r="P324" s="100"/>
      <c r="Q324" s="100"/>
      <c r="R324" s="100"/>
      <c r="S324" s="100"/>
      <c r="T324" s="100"/>
      <c r="U324" s="100"/>
      <c r="V324" s="100"/>
      <c r="W324" s="100"/>
    </row>
    <row r="325" spans="1:23" ht="13.5" customHeight="1">
      <c r="A325" s="76">
        <v>211306</v>
      </c>
      <c r="B325" s="36" t="s">
        <v>492</v>
      </c>
      <c r="C325" s="36">
        <f>C326</f>
        <v>560000</v>
      </c>
      <c r="D325" s="200"/>
      <c r="E325" s="201"/>
      <c r="F325" s="100"/>
      <c r="G325" s="100"/>
      <c r="H325" s="100"/>
      <c r="I325" s="100"/>
      <c r="J325" s="100"/>
      <c r="K325" s="100"/>
      <c r="L325" s="100"/>
      <c r="M325" s="100"/>
      <c r="N325" s="100"/>
      <c r="O325" s="100"/>
      <c r="P325" s="100"/>
      <c r="Q325" s="100"/>
      <c r="R325" s="100"/>
      <c r="S325" s="100"/>
      <c r="T325" s="100"/>
      <c r="U325" s="100"/>
      <c r="V325" s="100"/>
      <c r="W325" s="100"/>
    </row>
    <row r="326" spans="1:23" ht="13.5" customHeight="1">
      <c r="A326" s="154">
        <v>21130604</v>
      </c>
      <c r="B326" s="100" t="s">
        <v>539</v>
      </c>
      <c r="C326" s="72">
        <f>500000+60000</f>
        <v>560000</v>
      </c>
      <c r="D326" s="200"/>
      <c r="E326" s="201"/>
      <c r="F326" s="100"/>
      <c r="G326" s="100"/>
      <c r="H326" s="100"/>
      <c r="I326" s="100"/>
      <c r="J326" s="100"/>
      <c r="K326" s="100"/>
      <c r="L326" s="100"/>
      <c r="M326" s="100"/>
      <c r="N326" s="100"/>
      <c r="O326" s="100"/>
      <c r="P326" s="100"/>
      <c r="Q326" s="100"/>
      <c r="R326" s="100"/>
      <c r="S326" s="100"/>
      <c r="T326" s="100"/>
      <c r="U326" s="100"/>
      <c r="V326" s="100"/>
      <c r="W326" s="100"/>
    </row>
    <row r="327" spans="1:23" ht="13.5" customHeight="1">
      <c r="A327" s="76">
        <v>211309</v>
      </c>
      <c r="B327" s="36" t="s">
        <v>496</v>
      </c>
      <c r="C327" s="36">
        <f>SUM(C328:C332)</f>
        <v>7178500</v>
      </c>
      <c r="D327" s="200"/>
      <c r="E327" s="201"/>
      <c r="F327" s="100"/>
      <c r="G327" s="100"/>
      <c r="H327" s="100"/>
      <c r="I327" s="100"/>
      <c r="J327" s="100"/>
      <c r="K327" s="100"/>
      <c r="L327" s="100"/>
      <c r="M327" s="100"/>
      <c r="N327" s="100"/>
      <c r="O327" s="100"/>
      <c r="P327" s="100"/>
      <c r="Q327" s="100"/>
      <c r="R327" s="100"/>
      <c r="S327" s="100"/>
      <c r="T327" s="100"/>
      <c r="U327" s="100"/>
      <c r="V327" s="100"/>
      <c r="W327" s="100"/>
    </row>
    <row r="328" spans="1:23" ht="13.5" customHeight="1">
      <c r="A328" s="154">
        <v>21130901</v>
      </c>
      <c r="B328" s="72" t="s">
        <v>497</v>
      </c>
      <c r="C328" s="72">
        <v>1194000</v>
      </c>
      <c r="D328" s="200"/>
      <c r="E328" s="201"/>
      <c r="F328" s="100"/>
      <c r="G328" s="100"/>
      <c r="H328" s="100"/>
      <c r="I328" s="100"/>
      <c r="J328" s="100"/>
      <c r="K328" s="100"/>
      <c r="L328" s="100"/>
      <c r="M328" s="100"/>
      <c r="N328" s="100"/>
      <c r="O328" s="100"/>
      <c r="P328" s="100"/>
      <c r="Q328" s="100"/>
      <c r="R328" s="100"/>
      <c r="S328" s="100"/>
      <c r="T328" s="100"/>
      <c r="U328" s="100"/>
      <c r="V328" s="100"/>
      <c r="W328" s="100"/>
    </row>
    <row r="329" spans="1:23" ht="13.5" customHeight="1">
      <c r="A329" s="154">
        <v>21130903</v>
      </c>
      <c r="B329" s="72" t="s">
        <v>498</v>
      </c>
      <c r="C329" s="72">
        <f>500000+22500</f>
        <v>522500</v>
      </c>
      <c r="D329" s="200"/>
      <c r="E329" s="201"/>
      <c r="F329" s="100"/>
      <c r="G329" s="100"/>
      <c r="H329" s="100"/>
      <c r="I329" s="100"/>
      <c r="J329" s="100"/>
      <c r="K329" s="100"/>
      <c r="L329" s="100"/>
      <c r="M329" s="100"/>
      <c r="N329" s="100"/>
      <c r="O329" s="100"/>
      <c r="P329" s="100"/>
      <c r="Q329" s="100"/>
      <c r="R329" s="100"/>
      <c r="S329" s="100"/>
      <c r="T329" s="100"/>
      <c r="U329" s="100"/>
      <c r="V329" s="100"/>
      <c r="W329" s="100"/>
    </row>
    <row r="330" spans="1:23" ht="13.5" customHeight="1">
      <c r="A330" s="154">
        <v>21130905</v>
      </c>
      <c r="B330" s="100" t="s">
        <v>532</v>
      </c>
      <c r="C330" s="72">
        <f>2000000+120000</f>
        <v>2120000</v>
      </c>
      <c r="D330" s="200"/>
      <c r="E330" s="201"/>
      <c r="F330" s="100"/>
      <c r="G330" s="100"/>
      <c r="H330" s="100"/>
      <c r="I330" s="100"/>
      <c r="J330" s="100"/>
      <c r="K330" s="100"/>
      <c r="L330" s="100"/>
      <c r="M330" s="100"/>
      <c r="N330" s="100"/>
      <c r="O330" s="100"/>
      <c r="P330" s="100"/>
      <c r="Q330" s="100"/>
      <c r="R330" s="100"/>
      <c r="S330" s="100"/>
      <c r="T330" s="100"/>
      <c r="U330" s="100"/>
      <c r="V330" s="100"/>
      <c r="W330" s="100"/>
    </row>
    <row r="331" spans="1:23" ht="13.5" customHeight="1">
      <c r="A331" s="154">
        <v>21130906</v>
      </c>
      <c r="B331" s="100" t="s">
        <v>499</v>
      </c>
      <c r="C331" s="72">
        <v>3184000</v>
      </c>
      <c r="D331" s="200"/>
      <c r="E331" s="201"/>
      <c r="F331" s="100"/>
      <c r="G331" s="100"/>
      <c r="H331" s="100"/>
      <c r="I331" s="100"/>
      <c r="J331" s="100"/>
      <c r="K331" s="100"/>
      <c r="L331" s="100"/>
      <c r="M331" s="100"/>
      <c r="N331" s="100"/>
      <c r="O331" s="100"/>
      <c r="P331" s="100"/>
      <c r="Q331" s="100"/>
      <c r="R331" s="100"/>
      <c r="S331" s="100"/>
      <c r="T331" s="100"/>
      <c r="U331" s="100"/>
      <c r="V331" s="100"/>
      <c r="W331" s="100"/>
    </row>
    <row r="332" spans="1:23" ht="13.5" customHeight="1">
      <c r="A332" s="154">
        <v>21130908</v>
      </c>
      <c r="B332" s="72" t="s">
        <v>500</v>
      </c>
      <c r="C332" s="72">
        <v>158000</v>
      </c>
      <c r="D332" s="200"/>
      <c r="E332" s="201"/>
      <c r="F332" s="100"/>
      <c r="G332" s="100"/>
      <c r="H332" s="100"/>
      <c r="I332" s="100"/>
      <c r="J332" s="100"/>
      <c r="K332" s="100"/>
      <c r="L332" s="100"/>
      <c r="M332" s="100"/>
      <c r="N332" s="100"/>
      <c r="O332" s="100"/>
      <c r="P332" s="100"/>
      <c r="Q332" s="100"/>
      <c r="R332" s="100"/>
      <c r="S332" s="100"/>
      <c r="T332" s="100"/>
      <c r="U332" s="100"/>
      <c r="V332" s="100"/>
      <c r="W332" s="100"/>
    </row>
    <row r="333" spans="1:23" ht="13.5" customHeight="1" thickBot="1">
      <c r="A333" s="100"/>
      <c r="B333" s="72"/>
      <c r="C333" s="72"/>
      <c r="D333" s="200"/>
      <c r="E333" s="201"/>
      <c r="F333" s="100"/>
      <c r="G333" s="100"/>
      <c r="H333" s="100"/>
      <c r="I333" s="100"/>
      <c r="J333" s="100"/>
      <c r="K333" s="100"/>
      <c r="L333" s="100"/>
      <c r="M333" s="100"/>
      <c r="N333" s="100"/>
      <c r="O333" s="100"/>
      <c r="P333" s="100"/>
      <c r="Q333" s="100"/>
      <c r="R333" s="100"/>
      <c r="S333" s="100"/>
      <c r="T333" s="100"/>
      <c r="U333" s="100"/>
      <c r="V333" s="100"/>
      <c r="W333" s="100"/>
    </row>
    <row r="334" spans="1:23" ht="13.5" customHeight="1" thickBot="1">
      <c r="A334" s="1355" t="s">
        <v>48</v>
      </c>
      <c r="B334" s="1281"/>
      <c r="C334" s="232">
        <f>C335+C339</f>
        <v>95000</v>
      </c>
      <c r="D334" s="200"/>
      <c r="E334" s="201"/>
      <c r="F334" s="100"/>
      <c r="G334" s="100"/>
      <c r="H334" s="100"/>
      <c r="I334" s="100"/>
      <c r="J334" s="100"/>
      <c r="K334" s="100"/>
      <c r="L334" s="100"/>
      <c r="M334" s="100"/>
      <c r="N334" s="100"/>
      <c r="O334" s="100"/>
      <c r="P334" s="100"/>
      <c r="Q334" s="100"/>
      <c r="R334" s="100"/>
      <c r="S334" s="100"/>
      <c r="T334" s="100"/>
      <c r="U334" s="100"/>
      <c r="V334" s="100"/>
      <c r="W334" s="100"/>
    </row>
    <row r="335" spans="1:23" ht="13.5" customHeight="1">
      <c r="A335" s="76">
        <v>221104</v>
      </c>
      <c r="B335" s="826" t="s">
        <v>510</v>
      </c>
      <c r="C335" s="155">
        <f>SUM(C336:C338)</f>
        <v>80000</v>
      </c>
      <c r="D335" s="200"/>
      <c r="E335" s="201"/>
      <c r="F335" s="100"/>
      <c r="G335" s="100"/>
      <c r="H335" s="100"/>
      <c r="I335" s="100"/>
      <c r="J335" s="100"/>
      <c r="K335" s="100"/>
      <c r="L335" s="100"/>
      <c r="M335" s="100"/>
      <c r="N335" s="100"/>
      <c r="O335" s="100"/>
      <c r="P335" s="100"/>
      <c r="Q335" s="100"/>
      <c r="R335" s="100"/>
      <c r="S335" s="100"/>
      <c r="T335" s="100"/>
      <c r="U335" s="100"/>
      <c r="V335" s="100"/>
      <c r="W335" s="100"/>
    </row>
    <row r="336" spans="1:23" ht="13.5" customHeight="1">
      <c r="A336" s="154">
        <v>22110401</v>
      </c>
      <c r="B336" s="100" t="s">
        <v>511</v>
      </c>
      <c r="C336" s="72">
        <v>30000</v>
      </c>
      <c r="D336" s="200"/>
      <c r="E336" s="201"/>
      <c r="F336" s="100"/>
      <c r="G336" s="100"/>
      <c r="H336" s="100"/>
      <c r="I336" s="100"/>
      <c r="J336" s="100"/>
      <c r="K336" s="100"/>
      <c r="L336" s="100"/>
      <c r="M336" s="100"/>
      <c r="N336" s="100"/>
      <c r="O336" s="100"/>
      <c r="P336" s="100"/>
      <c r="Q336" s="100"/>
      <c r="R336" s="100"/>
      <c r="S336" s="100"/>
      <c r="T336" s="100"/>
      <c r="U336" s="100"/>
      <c r="V336" s="100"/>
      <c r="W336" s="100"/>
    </row>
    <row r="337" spans="1:23" ht="13.5" customHeight="1">
      <c r="A337" s="154">
        <v>22110404</v>
      </c>
      <c r="B337" s="100" t="s">
        <v>512</v>
      </c>
      <c r="C337" s="72">
        <v>20000</v>
      </c>
      <c r="D337" s="200"/>
      <c r="E337" s="201"/>
      <c r="F337" s="100"/>
      <c r="G337" s="100"/>
      <c r="H337" s="100"/>
      <c r="I337" s="100"/>
      <c r="J337" s="100"/>
      <c r="K337" s="100"/>
      <c r="L337" s="100"/>
      <c r="M337" s="100"/>
      <c r="N337" s="100"/>
      <c r="O337" s="100"/>
      <c r="P337" s="100"/>
      <c r="Q337" s="100"/>
      <c r="R337" s="100"/>
      <c r="S337" s="100"/>
      <c r="T337" s="100"/>
      <c r="U337" s="100"/>
      <c r="V337" s="100"/>
      <c r="W337" s="100"/>
    </row>
    <row r="338" spans="1:23" ht="13.5" customHeight="1">
      <c r="A338" s="154">
        <v>22110409</v>
      </c>
      <c r="B338" s="72" t="s">
        <v>513</v>
      </c>
      <c r="C338" s="224">
        <v>30000</v>
      </c>
      <c r="D338" s="200"/>
      <c r="E338" s="201"/>
      <c r="F338" s="100"/>
      <c r="G338" s="100"/>
      <c r="H338" s="100"/>
      <c r="I338" s="100"/>
      <c r="J338" s="100"/>
      <c r="K338" s="100"/>
      <c r="L338" s="100"/>
      <c r="M338" s="100"/>
      <c r="N338" s="100"/>
      <c r="O338" s="100"/>
      <c r="P338" s="100"/>
      <c r="Q338" s="100"/>
      <c r="R338" s="100"/>
      <c r="S338" s="100"/>
      <c r="T338" s="100"/>
      <c r="U338" s="100"/>
      <c r="V338" s="100"/>
      <c r="W338" s="100"/>
    </row>
    <row r="339" spans="1:23" ht="13.5" customHeight="1">
      <c r="A339" s="76">
        <v>221107</v>
      </c>
      <c r="B339" s="36" t="s">
        <v>514</v>
      </c>
      <c r="C339" s="36">
        <f>SUM(C340)</f>
        <v>15000</v>
      </c>
      <c r="D339" s="200"/>
      <c r="E339" s="201"/>
      <c r="F339" s="100"/>
      <c r="G339" s="100"/>
      <c r="H339" s="100"/>
      <c r="I339" s="100"/>
      <c r="J339" s="100"/>
      <c r="K339" s="100"/>
      <c r="L339" s="100"/>
      <c r="M339" s="100"/>
      <c r="N339" s="100"/>
      <c r="O339" s="100"/>
      <c r="P339" s="100"/>
      <c r="Q339" s="100"/>
      <c r="R339" s="100"/>
      <c r="S339" s="100"/>
      <c r="T339" s="100"/>
      <c r="U339" s="100"/>
      <c r="V339" s="100"/>
      <c r="W339" s="100"/>
    </row>
    <row r="340" spans="1:23" ht="13.5" customHeight="1">
      <c r="A340" s="154">
        <v>22110702</v>
      </c>
      <c r="B340" s="72" t="s">
        <v>515</v>
      </c>
      <c r="C340" s="72">
        <v>15000</v>
      </c>
      <c r="D340" s="200"/>
      <c r="E340" s="201"/>
      <c r="F340" s="100"/>
      <c r="G340" s="100"/>
      <c r="H340" s="100"/>
      <c r="I340" s="100"/>
      <c r="J340" s="100"/>
      <c r="K340" s="100"/>
      <c r="L340" s="100"/>
      <c r="M340" s="100"/>
      <c r="N340" s="100"/>
      <c r="O340" s="100"/>
      <c r="P340" s="100"/>
      <c r="Q340" s="100"/>
      <c r="R340" s="100"/>
      <c r="S340" s="100"/>
      <c r="T340" s="100"/>
      <c r="U340" s="100"/>
      <c r="V340" s="100"/>
      <c r="W340" s="100"/>
    </row>
    <row r="341" spans="1:23" ht="13.5" customHeight="1">
      <c r="A341" s="100"/>
      <c r="B341" s="72"/>
      <c r="C341" s="72"/>
      <c r="D341" s="200"/>
      <c r="E341" s="201"/>
      <c r="F341" s="100"/>
      <c r="G341" s="100"/>
      <c r="H341" s="100"/>
      <c r="I341" s="100"/>
      <c r="J341" s="100"/>
      <c r="K341" s="100"/>
      <c r="L341" s="100"/>
      <c r="M341" s="100"/>
      <c r="N341" s="100"/>
      <c r="O341" s="100"/>
      <c r="P341" s="100"/>
      <c r="Q341" s="100"/>
      <c r="R341" s="100"/>
      <c r="S341" s="100"/>
      <c r="T341" s="100"/>
      <c r="U341" s="100"/>
      <c r="V341" s="100"/>
      <c r="W341" s="100"/>
    </row>
    <row r="342" spans="1:23" ht="13.5" customHeight="1" thickBot="1">
      <c r="A342" s="100"/>
      <c r="B342" s="100"/>
      <c r="C342" s="72"/>
      <c r="D342" s="200"/>
      <c r="E342" s="201"/>
      <c r="F342" s="100"/>
      <c r="G342" s="100"/>
      <c r="H342" s="100"/>
      <c r="I342" s="100"/>
      <c r="J342" s="100"/>
      <c r="K342" s="100"/>
      <c r="L342" s="100"/>
      <c r="M342" s="100"/>
      <c r="N342" s="100"/>
      <c r="O342" s="100"/>
      <c r="P342" s="100"/>
      <c r="Q342" s="100"/>
      <c r="R342" s="100"/>
      <c r="S342" s="100"/>
      <c r="T342" s="100"/>
      <c r="U342" s="100"/>
      <c r="V342" s="100"/>
      <c r="W342" s="100"/>
    </row>
    <row r="343" spans="1:23" ht="13.5" customHeight="1">
      <c r="A343" s="1308" t="s">
        <v>899</v>
      </c>
      <c r="B343" s="1309"/>
      <c r="C343" s="1252" t="s">
        <v>916</v>
      </c>
      <c r="D343" s="200"/>
      <c r="E343" s="201"/>
      <c r="F343" s="100"/>
      <c r="G343" s="100"/>
      <c r="H343" s="100"/>
      <c r="I343" s="100"/>
      <c r="J343" s="100"/>
      <c r="K343" s="100"/>
      <c r="L343" s="100"/>
      <c r="M343" s="100"/>
      <c r="N343" s="100"/>
      <c r="O343" s="100"/>
      <c r="P343" s="100"/>
      <c r="Q343" s="100"/>
      <c r="R343" s="100"/>
      <c r="S343" s="100"/>
      <c r="T343" s="100"/>
      <c r="U343" s="100"/>
      <c r="V343" s="100"/>
      <c r="W343" s="100"/>
    </row>
    <row r="344" spans="1:23" ht="13.5" customHeight="1" thickBot="1">
      <c r="A344" s="1344"/>
      <c r="B344" s="1345"/>
      <c r="C344" s="1253"/>
      <c r="D344" s="200"/>
      <c r="E344" s="201"/>
      <c r="F344" s="100"/>
      <c r="G344" s="100"/>
      <c r="H344" s="100"/>
      <c r="I344" s="100"/>
      <c r="J344" s="100"/>
      <c r="K344" s="100"/>
      <c r="L344" s="100"/>
      <c r="M344" s="100"/>
      <c r="N344" s="100"/>
      <c r="O344" s="100"/>
      <c r="P344" s="100"/>
      <c r="Q344" s="100"/>
      <c r="R344" s="100"/>
      <c r="S344" s="100"/>
      <c r="T344" s="100"/>
      <c r="U344" s="100"/>
      <c r="V344" s="100"/>
      <c r="W344" s="100"/>
    </row>
    <row r="345" spans="1:23" ht="13.5" customHeight="1">
      <c r="A345" s="609" t="s">
        <v>671</v>
      </c>
      <c r="B345" s="612"/>
      <c r="C345" s="1193"/>
      <c r="D345" s="200"/>
      <c r="E345" s="201"/>
      <c r="F345" s="100"/>
      <c r="G345" s="100"/>
      <c r="H345" s="100"/>
      <c r="I345" s="100"/>
      <c r="J345" s="100"/>
      <c r="K345" s="100"/>
      <c r="L345" s="100"/>
      <c r="M345" s="100"/>
      <c r="N345" s="100"/>
      <c r="O345" s="100"/>
      <c r="P345" s="100"/>
      <c r="Q345" s="100"/>
      <c r="R345" s="100"/>
      <c r="S345" s="100"/>
      <c r="T345" s="100"/>
      <c r="U345" s="100"/>
      <c r="V345" s="100"/>
      <c r="W345" s="100"/>
    </row>
    <row r="346" spans="1:23" ht="13.5" customHeight="1">
      <c r="A346" s="609" t="s">
        <v>722</v>
      </c>
      <c r="B346" s="612"/>
      <c r="C346" s="1193"/>
      <c r="D346" s="200"/>
      <c r="E346" s="201"/>
      <c r="F346" s="100"/>
      <c r="G346" s="100"/>
      <c r="H346" s="100"/>
      <c r="I346" s="100"/>
      <c r="J346" s="100"/>
      <c r="K346" s="100"/>
      <c r="L346" s="100"/>
      <c r="M346" s="100"/>
      <c r="N346" s="100"/>
      <c r="O346" s="100"/>
      <c r="P346" s="100"/>
      <c r="Q346" s="100"/>
      <c r="R346" s="100"/>
      <c r="S346" s="100"/>
      <c r="T346" s="100"/>
      <c r="U346" s="100"/>
      <c r="V346" s="100"/>
      <c r="W346" s="100"/>
    </row>
    <row r="347" spans="1:23" ht="13.5" customHeight="1">
      <c r="A347" s="609" t="s">
        <v>723</v>
      </c>
      <c r="B347" s="612"/>
      <c r="C347" s="1193"/>
      <c r="D347" s="200"/>
      <c r="E347" s="201"/>
      <c r="F347" s="100"/>
      <c r="G347" s="100"/>
      <c r="H347" s="100"/>
      <c r="I347" s="100"/>
      <c r="J347" s="100"/>
      <c r="K347" s="100"/>
      <c r="L347" s="100"/>
      <c r="M347" s="100"/>
      <c r="N347" s="100"/>
      <c r="O347" s="100"/>
      <c r="P347" s="100"/>
      <c r="Q347" s="100"/>
      <c r="R347" s="100"/>
      <c r="S347" s="100"/>
      <c r="T347" s="100"/>
      <c r="U347" s="100"/>
      <c r="V347" s="100"/>
      <c r="W347" s="100"/>
    </row>
    <row r="348" spans="1:23" ht="13.5" customHeight="1" thickBot="1">
      <c r="A348" s="609" t="s">
        <v>0</v>
      </c>
      <c r="B348" s="613"/>
      <c r="C348" s="1194"/>
      <c r="D348" s="200"/>
      <c r="E348" s="201"/>
      <c r="F348" s="100"/>
      <c r="G348" s="100"/>
      <c r="H348" s="100"/>
      <c r="I348" s="100"/>
      <c r="J348" s="100"/>
      <c r="K348" s="100"/>
      <c r="L348" s="100"/>
      <c r="M348" s="100"/>
      <c r="N348" s="100"/>
      <c r="O348" s="100"/>
      <c r="P348" s="100"/>
      <c r="Q348" s="100"/>
      <c r="R348" s="100"/>
      <c r="S348" s="100"/>
      <c r="T348" s="100"/>
      <c r="U348" s="100"/>
      <c r="V348" s="100"/>
      <c r="W348" s="100"/>
    </row>
    <row r="349" spans="1:23" ht="13.5" customHeight="1" thickBot="1">
      <c r="A349" s="627" t="s">
        <v>92</v>
      </c>
      <c r="B349" s="628"/>
      <c r="C349" s="637">
        <f>C351+C366</f>
        <v>8190000</v>
      </c>
      <c r="D349" s="200"/>
      <c r="E349" s="201"/>
      <c r="F349" s="100"/>
      <c r="G349" s="100"/>
      <c r="H349" s="100"/>
      <c r="I349" s="100"/>
      <c r="J349" s="100"/>
      <c r="K349" s="100"/>
      <c r="L349" s="100"/>
      <c r="M349" s="100"/>
      <c r="N349" s="100"/>
      <c r="O349" s="100"/>
      <c r="P349" s="100"/>
      <c r="Q349" s="100"/>
      <c r="R349" s="100"/>
      <c r="S349" s="100"/>
      <c r="T349" s="100"/>
      <c r="U349" s="100"/>
      <c r="V349" s="100"/>
      <c r="W349" s="100"/>
    </row>
    <row r="350" spans="1:23" ht="13.5" customHeight="1" thickBot="1">
      <c r="A350" s="100"/>
      <c r="B350" s="100"/>
      <c r="C350" s="72"/>
      <c r="D350" s="200"/>
      <c r="E350" s="201"/>
      <c r="F350" s="100"/>
      <c r="G350" s="100"/>
      <c r="H350" s="100"/>
      <c r="I350" s="100"/>
      <c r="J350" s="100"/>
      <c r="K350" s="100"/>
      <c r="L350" s="100"/>
      <c r="M350" s="100"/>
      <c r="N350" s="100"/>
      <c r="O350" s="100"/>
      <c r="P350" s="100"/>
      <c r="Q350" s="100"/>
      <c r="R350" s="100"/>
      <c r="S350" s="100"/>
      <c r="T350" s="100"/>
      <c r="U350" s="100"/>
      <c r="V350" s="100"/>
      <c r="W350" s="100"/>
    </row>
    <row r="351" spans="1:23" ht="13.5" customHeight="1" thickBot="1">
      <c r="A351" s="1305" t="s">
        <v>9</v>
      </c>
      <c r="B351" s="1281"/>
      <c r="C351" s="257">
        <f>C352+C356+C358+C360+C354</f>
        <v>3080000</v>
      </c>
      <c r="D351" s="200"/>
      <c r="E351" s="201"/>
      <c r="F351" s="100"/>
      <c r="G351" s="100"/>
      <c r="H351" s="100"/>
      <c r="I351" s="100"/>
      <c r="J351" s="100"/>
      <c r="K351" s="100"/>
      <c r="L351" s="100"/>
      <c r="M351" s="100"/>
      <c r="N351" s="100"/>
      <c r="O351" s="100"/>
      <c r="P351" s="100"/>
      <c r="Q351" s="100"/>
      <c r="R351" s="100"/>
      <c r="S351" s="100"/>
      <c r="T351" s="100"/>
      <c r="U351" s="100"/>
      <c r="V351" s="100"/>
      <c r="W351" s="100"/>
    </row>
    <row r="352" spans="1:23" ht="13.5" customHeight="1">
      <c r="A352" s="76">
        <v>211201</v>
      </c>
      <c r="B352" s="241" t="s">
        <v>459</v>
      </c>
      <c r="C352" s="36">
        <f>SUM(C353)</f>
        <v>400000</v>
      </c>
      <c r="D352" s="200"/>
      <c r="E352" s="201"/>
      <c r="F352" s="100"/>
      <c r="G352" s="100"/>
      <c r="H352" s="100"/>
      <c r="I352" s="100"/>
      <c r="J352" s="100"/>
      <c r="K352" s="100"/>
      <c r="L352" s="100"/>
      <c r="M352" s="100"/>
      <c r="N352" s="100"/>
      <c r="O352" s="100"/>
      <c r="P352" s="100"/>
      <c r="Q352" s="100"/>
      <c r="R352" s="100"/>
      <c r="S352" s="100"/>
      <c r="T352" s="100"/>
      <c r="U352" s="100"/>
      <c r="V352" s="100"/>
      <c r="W352" s="100"/>
    </row>
    <row r="353" spans="1:23" ht="13.5" customHeight="1">
      <c r="A353" s="154">
        <v>21120101</v>
      </c>
      <c r="B353" s="77" t="s">
        <v>460</v>
      </c>
      <c r="C353" s="72">
        <v>400000</v>
      </c>
      <c r="D353" s="200"/>
      <c r="E353" s="201"/>
      <c r="F353" s="100"/>
      <c r="G353" s="100"/>
      <c r="H353" s="100"/>
      <c r="I353" s="100"/>
      <c r="J353" s="100"/>
      <c r="K353" s="100"/>
      <c r="L353" s="100"/>
      <c r="M353" s="100"/>
      <c r="N353" s="100"/>
      <c r="O353" s="100"/>
      <c r="P353" s="100"/>
      <c r="Q353" s="100"/>
      <c r="R353" s="100"/>
      <c r="S353" s="100"/>
      <c r="T353" s="100"/>
      <c r="U353" s="100"/>
      <c r="V353" s="100"/>
      <c r="W353" s="100"/>
    </row>
    <row r="354" spans="1:23" ht="13.5" customHeight="1">
      <c r="A354" s="76">
        <v>211202</v>
      </c>
      <c r="B354" s="75" t="s">
        <v>529</v>
      </c>
      <c r="C354" s="36">
        <f>SUM(C355:C355)</f>
        <v>400000</v>
      </c>
      <c r="D354" s="214"/>
      <c r="E354" s="251"/>
      <c r="F354" s="251"/>
      <c r="G354" s="135"/>
      <c r="H354" s="135"/>
      <c r="I354" s="135"/>
      <c r="J354" s="135"/>
      <c r="K354" s="135"/>
      <c r="L354" s="135"/>
      <c r="M354" s="135"/>
      <c r="N354" s="135"/>
      <c r="O354" s="135"/>
      <c r="P354" s="135"/>
      <c r="Q354" s="135"/>
      <c r="R354" s="135"/>
      <c r="S354" s="135"/>
      <c r="T354" s="135"/>
      <c r="U354" s="135"/>
      <c r="V354" s="135"/>
      <c r="W354" s="135"/>
    </row>
    <row r="355" spans="1:23" ht="13.5" customHeight="1">
      <c r="A355" s="154">
        <v>21120202</v>
      </c>
      <c r="B355" s="77" t="s">
        <v>530</v>
      </c>
      <c r="C355" s="72">
        <v>400000</v>
      </c>
      <c r="D355" s="201"/>
      <c r="E355" s="251"/>
      <c r="F355" s="251"/>
      <c r="G355" s="135"/>
      <c r="H355" s="135"/>
      <c r="I355" s="135"/>
      <c r="J355" s="135"/>
      <c r="K355" s="135"/>
      <c r="L355" s="135"/>
      <c r="M355" s="135"/>
      <c r="N355" s="135"/>
      <c r="O355" s="135"/>
      <c r="P355" s="135"/>
      <c r="Q355" s="135"/>
      <c r="R355" s="135"/>
      <c r="S355" s="135"/>
      <c r="T355" s="135"/>
      <c r="U355" s="135"/>
      <c r="V355" s="135"/>
      <c r="W355" s="135"/>
    </row>
    <row r="356" spans="1:23" ht="13.5" customHeight="1">
      <c r="A356" s="76">
        <v>211203</v>
      </c>
      <c r="B356" s="217" t="s">
        <v>461</v>
      </c>
      <c r="C356" s="36">
        <f>SUM(C357)</f>
        <v>250000</v>
      </c>
      <c r="D356" s="200"/>
      <c r="E356" s="201"/>
      <c r="F356" s="100"/>
      <c r="G356" s="100"/>
      <c r="H356" s="100"/>
      <c r="I356" s="100"/>
      <c r="J356" s="100"/>
      <c r="K356" s="100"/>
      <c r="L356" s="100"/>
      <c r="M356" s="100"/>
      <c r="N356" s="100"/>
      <c r="O356" s="100"/>
      <c r="P356" s="100"/>
      <c r="Q356" s="100"/>
      <c r="R356" s="100"/>
      <c r="S356" s="100"/>
      <c r="T356" s="100"/>
      <c r="U356" s="100"/>
      <c r="V356" s="100"/>
      <c r="W356" s="100"/>
    </row>
    <row r="357" spans="1:23" ht="13.5" customHeight="1">
      <c r="A357" s="154">
        <v>21120302</v>
      </c>
      <c r="B357" s="77" t="s">
        <v>462</v>
      </c>
      <c r="C357" s="72">
        <f>50000+200000</f>
        <v>250000</v>
      </c>
      <c r="D357" s="200"/>
      <c r="E357" s="201"/>
      <c r="F357" s="100"/>
      <c r="G357" s="100"/>
      <c r="H357" s="100"/>
      <c r="I357" s="100"/>
      <c r="J357" s="100"/>
      <c r="K357" s="100"/>
      <c r="L357" s="100"/>
      <c r="M357" s="100"/>
      <c r="N357" s="100"/>
      <c r="O357" s="100"/>
      <c r="P357" s="100"/>
      <c r="Q357" s="100"/>
      <c r="R357" s="100"/>
      <c r="S357" s="100"/>
      <c r="T357" s="100"/>
      <c r="U357" s="100"/>
      <c r="V357" s="100"/>
      <c r="W357" s="100"/>
    </row>
    <row r="358" spans="1:23" ht="13.5" customHeight="1">
      <c r="A358" s="76">
        <v>211204</v>
      </c>
      <c r="B358" s="217" t="s">
        <v>463</v>
      </c>
      <c r="C358" s="36">
        <f>SUM(C359)</f>
        <v>580000</v>
      </c>
      <c r="D358" s="200"/>
      <c r="E358" s="201"/>
      <c r="F358" s="100"/>
      <c r="G358" s="100"/>
      <c r="H358" s="100"/>
      <c r="I358" s="100"/>
      <c r="J358" s="100"/>
      <c r="K358" s="100"/>
      <c r="L358" s="100"/>
      <c r="M358" s="100"/>
      <c r="N358" s="100"/>
      <c r="O358" s="100"/>
      <c r="P358" s="100"/>
      <c r="Q358" s="100"/>
      <c r="R358" s="100"/>
      <c r="S358" s="100"/>
      <c r="T358" s="100"/>
      <c r="U358" s="100"/>
      <c r="V358" s="100"/>
      <c r="W358" s="100"/>
    </row>
    <row r="359" spans="1:23" ht="13.5" customHeight="1">
      <c r="A359" s="154">
        <v>21120401</v>
      </c>
      <c r="B359" s="72" t="s">
        <v>464</v>
      </c>
      <c r="C359" s="224">
        <f>180000+400000</f>
        <v>580000</v>
      </c>
      <c r="D359" s="200"/>
      <c r="E359" s="201"/>
      <c r="F359" s="100"/>
      <c r="G359" s="100"/>
      <c r="H359" s="100"/>
      <c r="I359" s="100"/>
      <c r="J359" s="100"/>
      <c r="K359" s="100"/>
      <c r="L359" s="100"/>
      <c r="M359" s="100"/>
      <c r="N359" s="100"/>
      <c r="O359" s="100"/>
      <c r="P359" s="100"/>
      <c r="Q359" s="100"/>
      <c r="R359" s="100"/>
      <c r="S359" s="100"/>
      <c r="T359" s="100"/>
      <c r="U359" s="100"/>
      <c r="V359" s="100"/>
      <c r="W359" s="100"/>
    </row>
    <row r="360" spans="1:23" ht="13.5" customHeight="1">
      <c r="A360" s="76">
        <v>211209</v>
      </c>
      <c r="B360" s="36" t="s">
        <v>477</v>
      </c>
      <c r="C360" s="256">
        <f>SUM(C361:C364)</f>
        <v>1450000</v>
      </c>
      <c r="D360" s="200"/>
      <c r="E360" s="201"/>
      <c r="F360" s="100"/>
      <c r="G360" s="100"/>
      <c r="H360" s="100"/>
      <c r="I360" s="100"/>
      <c r="J360" s="100"/>
      <c r="K360" s="100"/>
      <c r="L360" s="100"/>
      <c r="M360" s="100"/>
      <c r="N360" s="100"/>
      <c r="O360" s="100"/>
      <c r="P360" s="100"/>
      <c r="Q360" s="100"/>
      <c r="R360" s="100"/>
      <c r="S360" s="100"/>
      <c r="T360" s="100"/>
      <c r="U360" s="100"/>
      <c r="V360" s="100"/>
      <c r="W360" s="100"/>
    </row>
    <row r="361" spans="1:23" ht="13.5" customHeight="1">
      <c r="A361" s="233">
        <v>21120904</v>
      </c>
      <c r="B361" s="77" t="s">
        <v>528</v>
      </c>
      <c r="C361" s="224">
        <v>500000</v>
      </c>
      <c r="D361" s="200"/>
      <c r="E361" s="201"/>
      <c r="F361" s="100"/>
      <c r="G361" s="100"/>
      <c r="H361" s="100"/>
      <c r="I361" s="100"/>
      <c r="J361" s="100"/>
      <c r="K361" s="100"/>
      <c r="L361" s="100"/>
      <c r="M361" s="100"/>
      <c r="N361" s="100"/>
      <c r="O361" s="100"/>
      <c r="P361" s="100"/>
      <c r="Q361" s="100"/>
      <c r="R361" s="100"/>
      <c r="S361" s="100"/>
      <c r="T361" s="100"/>
      <c r="U361" s="100"/>
      <c r="V361" s="100"/>
      <c r="W361" s="100"/>
    </row>
    <row r="362" spans="1:23" ht="13.5" customHeight="1">
      <c r="A362" s="233">
        <v>21120905</v>
      </c>
      <c r="B362" s="77" t="s">
        <v>525</v>
      </c>
      <c r="C362" s="224">
        <v>250000</v>
      </c>
      <c r="D362" s="200"/>
      <c r="E362" s="201"/>
      <c r="F362" s="100"/>
      <c r="G362" s="100"/>
      <c r="H362" s="100"/>
      <c r="I362" s="100"/>
      <c r="J362" s="100"/>
      <c r="K362" s="100"/>
      <c r="L362" s="100"/>
      <c r="M362" s="100"/>
      <c r="N362" s="100"/>
      <c r="O362" s="100"/>
      <c r="P362" s="100"/>
      <c r="Q362" s="100"/>
      <c r="R362" s="100"/>
      <c r="S362" s="100"/>
      <c r="T362" s="100"/>
      <c r="U362" s="100"/>
      <c r="V362" s="100"/>
      <c r="W362" s="100"/>
    </row>
    <row r="363" spans="1:23" ht="13.5" customHeight="1">
      <c r="A363" s="154">
        <v>21120906</v>
      </c>
      <c r="B363" s="72" t="s">
        <v>479</v>
      </c>
      <c r="C363" s="224">
        <v>500000</v>
      </c>
      <c r="D363" s="200"/>
      <c r="E363" s="201"/>
      <c r="F363" s="100"/>
      <c r="G363" s="100"/>
      <c r="H363" s="100"/>
      <c r="I363" s="100"/>
      <c r="J363" s="100"/>
      <c r="K363" s="100"/>
      <c r="L363" s="100"/>
      <c r="M363" s="100"/>
      <c r="N363" s="100"/>
      <c r="O363" s="100"/>
      <c r="P363" s="100"/>
      <c r="Q363" s="100"/>
      <c r="R363" s="100"/>
      <c r="S363" s="100"/>
      <c r="T363" s="100"/>
      <c r="U363" s="100"/>
      <c r="V363" s="100"/>
      <c r="W363" s="100"/>
    </row>
    <row r="364" spans="1:23" ht="13.5" customHeight="1">
      <c r="A364" s="154">
        <v>21120907</v>
      </c>
      <c r="B364" s="77" t="s">
        <v>480</v>
      </c>
      <c r="C364" s="224">
        <f>800000-600000</f>
        <v>200000</v>
      </c>
      <c r="D364" s="200"/>
      <c r="E364" s="201"/>
      <c r="F364" s="100"/>
      <c r="G364" s="100"/>
      <c r="H364" s="100"/>
      <c r="I364" s="100"/>
      <c r="J364" s="100"/>
      <c r="K364" s="100"/>
      <c r="L364" s="100"/>
      <c r="M364" s="100"/>
      <c r="N364" s="100"/>
      <c r="O364" s="100"/>
      <c r="P364" s="100"/>
      <c r="Q364" s="100"/>
      <c r="R364" s="100"/>
      <c r="S364" s="100"/>
      <c r="T364" s="100"/>
      <c r="U364" s="100"/>
      <c r="V364" s="100"/>
      <c r="W364" s="100"/>
    </row>
    <row r="365" spans="1:23" ht="13.5" customHeight="1" thickBot="1">
      <c r="A365" s="100"/>
      <c r="B365" s="72"/>
      <c r="C365" s="224"/>
      <c r="D365" s="200"/>
      <c r="E365" s="201"/>
      <c r="F365" s="100"/>
      <c r="G365" s="100"/>
      <c r="H365" s="100"/>
      <c r="I365" s="100"/>
      <c r="J365" s="100"/>
      <c r="K365" s="100"/>
      <c r="L365" s="100"/>
      <c r="M365" s="100"/>
      <c r="N365" s="100"/>
      <c r="O365" s="100"/>
      <c r="P365" s="100"/>
      <c r="Q365" s="100"/>
      <c r="R365" s="100"/>
      <c r="S365" s="100"/>
      <c r="T365" s="100"/>
      <c r="U365" s="100"/>
      <c r="V365" s="100"/>
      <c r="W365" s="100"/>
    </row>
    <row r="366" spans="1:23" ht="13.5" customHeight="1" thickBot="1">
      <c r="A366" s="1306" t="s">
        <v>4</v>
      </c>
      <c r="B366" s="1281"/>
      <c r="C366" s="258">
        <f>C367+C369+C371+C373</f>
        <v>5110000</v>
      </c>
      <c r="D366" s="200"/>
      <c r="E366" s="201"/>
      <c r="F366" s="100"/>
      <c r="G366" s="100"/>
      <c r="H366" s="100"/>
      <c r="I366" s="100"/>
      <c r="J366" s="100"/>
      <c r="K366" s="100"/>
      <c r="L366" s="100"/>
      <c r="M366" s="100"/>
      <c r="N366" s="100"/>
      <c r="O366" s="100"/>
      <c r="P366" s="100"/>
      <c r="Q366" s="100"/>
      <c r="R366" s="100"/>
      <c r="S366" s="100"/>
      <c r="T366" s="100"/>
      <c r="U366" s="100"/>
      <c r="V366" s="100"/>
      <c r="W366" s="100"/>
    </row>
    <row r="367" spans="1:23" ht="13.5" customHeight="1">
      <c r="A367" s="76">
        <v>211302</v>
      </c>
      <c r="B367" s="76" t="s">
        <v>481</v>
      </c>
      <c r="C367" s="256">
        <f>SUM(C368)</f>
        <v>150000</v>
      </c>
      <c r="D367" s="200"/>
      <c r="E367" s="201"/>
      <c r="F367" s="100"/>
      <c r="G367" s="100"/>
      <c r="H367" s="100"/>
      <c r="I367" s="100"/>
      <c r="J367" s="100"/>
      <c r="K367" s="100"/>
      <c r="L367" s="100"/>
      <c r="M367" s="100"/>
      <c r="N367" s="100"/>
      <c r="O367" s="100"/>
      <c r="P367" s="100"/>
      <c r="Q367" s="100"/>
      <c r="R367" s="100"/>
      <c r="S367" s="100"/>
      <c r="T367" s="100"/>
      <c r="U367" s="100"/>
      <c r="V367" s="100"/>
      <c r="W367" s="100"/>
    </row>
    <row r="368" spans="1:23" ht="13.5" customHeight="1">
      <c r="A368" s="233">
        <v>21130204</v>
      </c>
      <c r="B368" s="77" t="s">
        <v>483</v>
      </c>
      <c r="C368" s="224">
        <v>150000</v>
      </c>
      <c r="D368" s="200"/>
      <c r="E368" s="201"/>
      <c r="F368" s="100"/>
      <c r="G368" s="100"/>
      <c r="H368" s="100"/>
      <c r="I368" s="100"/>
      <c r="J368" s="100"/>
      <c r="K368" s="100"/>
      <c r="L368" s="100"/>
      <c r="M368" s="100"/>
      <c r="N368" s="100"/>
      <c r="O368" s="100"/>
      <c r="P368" s="100"/>
      <c r="Q368" s="100"/>
      <c r="R368" s="100"/>
      <c r="S368" s="100"/>
      <c r="T368" s="100"/>
      <c r="U368" s="100"/>
      <c r="V368" s="100"/>
      <c r="W368" s="100"/>
    </row>
    <row r="369" spans="1:23" ht="13.5" customHeight="1">
      <c r="A369" s="241">
        <v>211303</v>
      </c>
      <c r="B369" s="234" t="s">
        <v>484</v>
      </c>
      <c r="C369" s="36">
        <f>SUM(C370)</f>
        <v>50000</v>
      </c>
      <c r="D369" s="200"/>
      <c r="E369" s="201"/>
      <c r="F369" s="100"/>
      <c r="G369" s="100"/>
      <c r="H369" s="100"/>
      <c r="I369" s="100"/>
      <c r="J369" s="100"/>
      <c r="K369" s="100"/>
      <c r="L369" s="100"/>
      <c r="M369" s="100"/>
      <c r="N369" s="100"/>
      <c r="O369" s="100"/>
      <c r="P369" s="100"/>
      <c r="Q369" s="100"/>
      <c r="R369" s="100"/>
      <c r="S369" s="100"/>
      <c r="T369" s="100"/>
      <c r="U369" s="100"/>
      <c r="V369" s="100"/>
      <c r="W369" s="100"/>
    </row>
    <row r="370" spans="1:23" ht="13.5" customHeight="1">
      <c r="A370" s="233">
        <v>21130307</v>
      </c>
      <c r="B370" s="77" t="s">
        <v>488</v>
      </c>
      <c r="C370" s="72">
        <v>50000</v>
      </c>
      <c r="D370" s="200"/>
      <c r="E370" s="201"/>
      <c r="F370" s="100"/>
      <c r="G370" s="100"/>
      <c r="H370" s="100"/>
      <c r="I370" s="100"/>
      <c r="J370" s="100"/>
      <c r="K370" s="100"/>
      <c r="L370" s="100"/>
      <c r="M370" s="100"/>
      <c r="N370" s="100"/>
      <c r="O370" s="100"/>
      <c r="P370" s="100"/>
      <c r="Q370" s="100"/>
      <c r="R370" s="100"/>
      <c r="S370" s="100"/>
      <c r="T370" s="100"/>
      <c r="U370" s="100"/>
      <c r="V370" s="100"/>
      <c r="W370" s="100"/>
    </row>
    <row r="371" spans="1:23" ht="13.5" customHeight="1">
      <c r="A371" s="241">
        <v>211305</v>
      </c>
      <c r="B371" s="217" t="s">
        <v>489</v>
      </c>
      <c r="C371" s="256">
        <f>SUM(C372)</f>
        <v>2060000</v>
      </c>
      <c r="D371" s="200"/>
      <c r="E371" s="201"/>
      <c r="F371" s="100"/>
      <c r="G371" s="100"/>
      <c r="H371" s="100"/>
      <c r="I371" s="100"/>
      <c r="J371" s="100"/>
      <c r="K371" s="100"/>
      <c r="L371" s="100"/>
      <c r="M371" s="100"/>
      <c r="N371" s="100"/>
      <c r="O371" s="100"/>
      <c r="P371" s="100"/>
      <c r="Q371" s="100"/>
      <c r="R371" s="100"/>
      <c r="S371" s="100"/>
      <c r="T371" s="100"/>
      <c r="U371" s="100"/>
      <c r="V371" s="100"/>
      <c r="W371" s="100"/>
    </row>
    <row r="372" spans="1:23" ht="13.5" customHeight="1">
      <c r="A372" s="154">
        <v>21130502</v>
      </c>
      <c r="B372" s="72" t="s">
        <v>491</v>
      </c>
      <c r="C372" s="224">
        <f>2000000+60000</f>
        <v>2060000</v>
      </c>
      <c r="D372" s="200"/>
      <c r="E372" s="201"/>
      <c r="F372" s="100"/>
      <c r="G372" s="100"/>
      <c r="H372" s="100"/>
      <c r="I372" s="100"/>
      <c r="J372" s="100"/>
      <c r="K372" s="100"/>
      <c r="L372" s="100"/>
      <c r="M372" s="100"/>
      <c r="N372" s="100"/>
      <c r="O372" s="100"/>
      <c r="P372" s="100"/>
      <c r="Q372" s="100"/>
      <c r="R372" s="100"/>
      <c r="S372" s="100"/>
      <c r="T372" s="100"/>
      <c r="U372" s="100"/>
      <c r="V372" s="100"/>
      <c r="W372" s="100"/>
    </row>
    <row r="373" spans="1:23" ht="13.5" customHeight="1">
      <c r="A373" s="76">
        <v>211309</v>
      </c>
      <c r="B373" s="217" t="s">
        <v>496</v>
      </c>
      <c r="C373" s="256">
        <f>SUM(C374:C376)</f>
        <v>2850000</v>
      </c>
      <c r="D373" s="200"/>
      <c r="E373" s="201"/>
      <c r="F373" s="100"/>
      <c r="G373" s="100"/>
      <c r="H373" s="100"/>
      <c r="I373" s="100"/>
      <c r="J373" s="100"/>
      <c r="K373" s="100"/>
      <c r="L373" s="100"/>
      <c r="M373" s="100"/>
      <c r="N373" s="100"/>
      <c r="O373" s="100"/>
      <c r="P373" s="100"/>
      <c r="Q373" s="100"/>
      <c r="R373" s="100"/>
      <c r="S373" s="100"/>
      <c r="T373" s="100"/>
      <c r="U373" s="100"/>
      <c r="V373" s="100"/>
      <c r="W373" s="100"/>
    </row>
    <row r="374" spans="1:23" ht="13.5" customHeight="1">
      <c r="A374" s="233">
        <v>21130901</v>
      </c>
      <c r="B374" s="77" t="s">
        <v>497</v>
      </c>
      <c r="C374" s="224">
        <f>1000000+50000</f>
        <v>1050000</v>
      </c>
      <c r="D374" s="200"/>
      <c r="E374" s="201"/>
      <c r="F374" s="100"/>
      <c r="G374" s="100"/>
      <c r="H374" s="100"/>
      <c r="I374" s="100"/>
      <c r="J374" s="100"/>
      <c r="K374" s="100"/>
      <c r="L374" s="100"/>
      <c r="M374" s="100"/>
      <c r="N374" s="100"/>
      <c r="O374" s="100"/>
      <c r="P374" s="100"/>
      <c r="Q374" s="100"/>
      <c r="R374" s="100"/>
      <c r="S374" s="100"/>
      <c r="T374" s="100"/>
      <c r="U374" s="100"/>
      <c r="V374" s="100"/>
      <c r="W374" s="100"/>
    </row>
    <row r="375" spans="1:23" ht="13.5" customHeight="1">
      <c r="A375" s="233">
        <v>21130906</v>
      </c>
      <c r="B375" s="77" t="s">
        <v>499</v>
      </c>
      <c r="C375" s="224">
        <v>900000</v>
      </c>
      <c r="D375" s="200"/>
      <c r="E375" s="201"/>
      <c r="F375" s="100"/>
      <c r="G375" s="100"/>
      <c r="H375" s="100"/>
      <c r="I375" s="100"/>
      <c r="J375" s="100"/>
      <c r="K375" s="100"/>
      <c r="L375" s="100"/>
      <c r="M375" s="100"/>
      <c r="N375" s="100"/>
      <c r="O375" s="100"/>
      <c r="P375" s="100"/>
      <c r="Q375" s="100"/>
      <c r="R375" s="100"/>
      <c r="S375" s="100"/>
      <c r="T375" s="100"/>
      <c r="U375" s="100"/>
      <c r="V375" s="100"/>
      <c r="W375" s="100"/>
    </row>
    <row r="376" spans="1:23" ht="13.5" customHeight="1">
      <c r="A376" s="233">
        <v>21130908</v>
      </c>
      <c r="B376" s="77" t="s">
        <v>500</v>
      </c>
      <c r="C376" s="224">
        <v>900000</v>
      </c>
      <c r="D376" s="200"/>
      <c r="E376" s="201"/>
      <c r="F376" s="100"/>
      <c r="G376" s="100"/>
      <c r="H376" s="100"/>
      <c r="I376" s="100"/>
      <c r="J376" s="100"/>
      <c r="K376" s="100"/>
      <c r="L376" s="100"/>
      <c r="M376" s="100"/>
      <c r="N376" s="100"/>
      <c r="O376" s="100"/>
      <c r="P376" s="100"/>
      <c r="Q376" s="100"/>
      <c r="R376" s="100"/>
      <c r="S376" s="100"/>
      <c r="T376" s="100"/>
      <c r="U376" s="100"/>
      <c r="V376" s="100"/>
      <c r="W376" s="100"/>
    </row>
    <row r="377" spans="1:23" ht="13.5" customHeight="1" thickBot="1">
      <c r="A377" s="233"/>
      <c r="B377" s="77"/>
      <c r="C377" s="224"/>
      <c r="D377" s="200"/>
      <c r="E377" s="201"/>
      <c r="F377" s="100"/>
      <c r="G377" s="100"/>
      <c r="H377" s="100"/>
      <c r="I377" s="100"/>
      <c r="J377" s="100"/>
      <c r="K377" s="100"/>
      <c r="L377" s="100"/>
      <c r="M377" s="100"/>
      <c r="N377" s="100"/>
      <c r="O377" s="100"/>
      <c r="P377" s="100"/>
      <c r="Q377" s="100"/>
      <c r="R377" s="100"/>
      <c r="S377" s="100"/>
      <c r="T377" s="100"/>
      <c r="U377" s="100"/>
      <c r="V377" s="100"/>
      <c r="W377" s="100"/>
    </row>
    <row r="378" spans="1:23" ht="13.5" customHeight="1">
      <c r="A378" s="1308" t="s">
        <v>900</v>
      </c>
      <c r="B378" s="1309"/>
      <c r="C378" s="1254" t="s">
        <v>917</v>
      </c>
      <c r="D378" s="200"/>
      <c r="E378" s="201"/>
      <c r="F378" s="100"/>
      <c r="G378" s="100"/>
      <c r="H378" s="100"/>
      <c r="I378" s="100"/>
      <c r="J378" s="100"/>
      <c r="K378" s="100"/>
      <c r="L378" s="100"/>
      <c r="M378" s="100"/>
      <c r="N378" s="100"/>
      <c r="O378" s="100"/>
      <c r="P378" s="100"/>
      <c r="Q378" s="100"/>
      <c r="R378" s="100"/>
      <c r="S378" s="100"/>
      <c r="T378" s="100"/>
      <c r="U378" s="100"/>
      <c r="V378" s="100"/>
      <c r="W378" s="100"/>
    </row>
    <row r="379" spans="1:23" ht="13.5" customHeight="1" thickBot="1">
      <c r="A379" s="1344"/>
      <c r="B379" s="1345"/>
      <c r="C379" s="1255"/>
      <c r="D379" s="200"/>
      <c r="E379" s="201"/>
      <c r="F379" s="100"/>
      <c r="G379" s="100"/>
      <c r="H379" s="100"/>
      <c r="I379" s="100"/>
      <c r="J379" s="100"/>
      <c r="K379" s="100"/>
      <c r="L379" s="100"/>
      <c r="M379" s="100"/>
      <c r="N379" s="100"/>
      <c r="O379" s="100"/>
      <c r="P379" s="100"/>
      <c r="Q379" s="100"/>
      <c r="R379" s="100"/>
      <c r="S379" s="100"/>
      <c r="T379" s="100"/>
      <c r="U379" s="100"/>
      <c r="V379" s="100"/>
      <c r="W379" s="100"/>
    </row>
    <row r="380" spans="1:23" ht="13.5" customHeight="1">
      <c r="A380" s="608" t="s">
        <v>671</v>
      </c>
      <c r="B380" s="612"/>
      <c r="C380" s="1193"/>
      <c r="D380" s="200"/>
      <c r="E380" s="201"/>
      <c r="F380" s="100"/>
      <c r="G380" s="100"/>
      <c r="H380" s="100"/>
      <c r="I380" s="100"/>
      <c r="J380" s="100"/>
      <c r="K380" s="100"/>
      <c r="L380" s="100"/>
      <c r="M380" s="100"/>
      <c r="N380" s="100"/>
      <c r="O380" s="100"/>
      <c r="P380" s="100"/>
      <c r="Q380" s="100"/>
      <c r="R380" s="100"/>
      <c r="S380" s="100"/>
      <c r="T380" s="100"/>
      <c r="U380" s="100"/>
      <c r="V380" s="100"/>
      <c r="W380" s="100"/>
    </row>
    <row r="381" spans="1:23" ht="13.5" customHeight="1">
      <c r="A381" s="609" t="s">
        <v>722</v>
      </c>
      <c r="B381" s="612"/>
      <c r="C381" s="1193"/>
      <c r="D381" s="200"/>
      <c r="E381" s="201"/>
      <c r="F381" s="100"/>
      <c r="G381" s="100"/>
      <c r="H381" s="100"/>
      <c r="I381" s="100"/>
      <c r="J381" s="100"/>
      <c r="K381" s="100"/>
      <c r="L381" s="100"/>
      <c r="M381" s="100"/>
      <c r="N381" s="100"/>
      <c r="O381" s="100"/>
      <c r="P381" s="100"/>
      <c r="Q381" s="100"/>
      <c r="R381" s="100"/>
      <c r="S381" s="100"/>
      <c r="T381" s="100"/>
      <c r="U381" s="100"/>
      <c r="V381" s="100"/>
      <c r="W381" s="100"/>
    </row>
    <row r="382" spans="1:23" ht="13.5" customHeight="1">
      <c r="A382" s="609" t="s">
        <v>723</v>
      </c>
      <c r="B382" s="612"/>
      <c r="C382" s="1193"/>
      <c r="D382" s="200"/>
      <c r="E382" s="201"/>
      <c r="F382" s="100"/>
      <c r="G382" s="100"/>
      <c r="H382" s="100"/>
      <c r="I382" s="100"/>
      <c r="J382" s="100"/>
      <c r="K382" s="100"/>
      <c r="L382" s="100"/>
      <c r="M382" s="100"/>
      <c r="N382" s="100"/>
      <c r="O382" s="100"/>
      <c r="P382" s="100"/>
      <c r="Q382" s="100"/>
      <c r="R382" s="100"/>
      <c r="S382" s="100"/>
      <c r="T382" s="100"/>
      <c r="U382" s="100"/>
      <c r="V382" s="100"/>
      <c r="W382" s="100"/>
    </row>
    <row r="383" spans="1:23" ht="13.5" customHeight="1" thickBot="1">
      <c r="A383" s="609" t="s">
        <v>0</v>
      </c>
      <c r="B383" s="613"/>
      <c r="C383" s="1194"/>
      <c r="D383" s="200"/>
      <c r="E383" s="201"/>
      <c r="F383" s="100"/>
      <c r="G383" s="100"/>
      <c r="H383" s="100"/>
      <c r="I383" s="100"/>
      <c r="J383" s="100"/>
      <c r="K383" s="100"/>
      <c r="L383" s="100"/>
      <c r="M383" s="100"/>
      <c r="N383" s="100"/>
      <c r="O383" s="100"/>
      <c r="P383" s="100"/>
      <c r="Q383" s="100"/>
      <c r="R383" s="100"/>
      <c r="S383" s="100"/>
      <c r="T383" s="100"/>
      <c r="U383" s="100"/>
      <c r="V383" s="100"/>
      <c r="W383" s="100"/>
    </row>
    <row r="384" spans="1:23" ht="13.5" customHeight="1" thickBot="1">
      <c r="A384" s="627" t="s">
        <v>92</v>
      </c>
      <c r="B384" s="628"/>
      <c r="C384" s="637">
        <f>C386+C399</f>
        <v>4030000</v>
      </c>
      <c r="D384" s="200"/>
      <c r="E384" s="201"/>
      <c r="F384" s="100"/>
      <c r="G384" s="100"/>
      <c r="H384" s="100"/>
      <c r="I384" s="100"/>
      <c r="J384" s="100"/>
      <c r="K384" s="100"/>
      <c r="L384" s="100"/>
      <c r="M384" s="100"/>
      <c r="N384" s="100"/>
      <c r="O384" s="100"/>
      <c r="P384" s="100"/>
      <c r="Q384" s="100"/>
      <c r="R384" s="100"/>
      <c r="S384" s="100"/>
      <c r="T384" s="100"/>
      <c r="U384" s="100"/>
      <c r="V384" s="100"/>
      <c r="W384" s="100"/>
    </row>
    <row r="385" spans="1:23" ht="13.5" customHeight="1" thickBot="1">
      <c r="A385" s="100"/>
      <c r="B385" s="100"/>
      <c r="C385" s="72"/>
      <c r="D385" s="200"/>
      <c r="E385" s="201"/>
      <c r="F385" s="100"/>
      <c r="G385" s="100"/>
      <c r="H385" s="100"/>
      <c r="I385" s="100"/>
      <c r="J385" s="100"/>
      <c r="K385" s="100"/>
      <c r="L385" s="100"/>
      <c r="M385" s="100"/>
      <c r="N385" s="100"/>
      <c r="O385" s="100"/>
      <c r="P385" s="100"/>
      <c r="Q385" s="100"/>
      <c r="R385" s="100"/>
      <c r="S385" s="100"/>
      <c r="T385" s="100"/>
      <c r="U385" s="100"/>
      <c r="V385" s="100"/>
      <c r="W385" s="100"/>
    </row>
    <row r="386" spans="1:23" ht="13.5" customHeight="1" thickBot="1">
      <c r="A386" s="1356" t="s">
        <v>9</v>
      </c>
      <c r="B386" s="1281"/>
      <c r="C386" s="212">
        <f>C387+C389+C391+C393+C395</f>
        <v>2010000</v>
      </c>
      <c r="D386" s="200"/>
      <c r="E386" s="201"/>
      <c r="F386" s="100"/>
      <c r="G386" s="100"/>
      <c r="H386" s="100"/>
      <c r="I386" s="100"/>
      <c r="J386" s="100"/>
      <c r="K386" s="100"/>
      <c r="L386" s="100"/>
      <c r="M386" s="100"/>
      <c r="N386" s="100"/>
      <c r="O386" s="100"/>
      <c r="P386" s="100"/>
      <c r="Q386" s="100"/>
      <c r="R386" s="100"/>
      <c r="S386" s="100"/>
      <c r="T386" s="100"/>
      <c r="U386" s="100"/>
      <c r="V386" s="100"/>
      <c r="W386" s="100"/>
    </row>
    <row r="387" spans="1:23" ht="13.5" customHeight="1">
      <c r="A387" s="76">
        <v>211201</v>
      </c>
      <c r="B387" s="76" t="s">
        <v>459</v>
      </c>
      <c r="C387" s="155">
        <f>SUM(C388)</f>
        <v>300000</v>
      </c>
      <c r="D387" s="200"/>
      <c r="E387" s="201"/>
      <c r="F387" s="100"/>
      <c r="G387" s="100"/>
      <c r="H387" s="100"/>
      <c r="I387" s="100"/>
      <c r="J387" s="100"/>
      <c r="K387" s="100"/>
      <c r="L387" s="100"/>
      <c r="M387" s="100"/>
      <c r="N387" s="100"/>
      <c r="O387" s="100"/>
      <c r="P387" s="100"/>
      <c r="Q387" s="100"/>
      <c r="R387" s="100"/>
      <c r="S387" s="100"/>
      <c r="T387" s="100"/>
      <c r="U387" s="100"/>
      <c r="V387" s="100"/>
      <c r="W387" s="100"/>
    </row>
    <row r="388" spans="1:23" ht="13.5" customHeight="1">
      <c r="A388" s="154">
        <v>21120101</v>
      </c>
      <c r="B388" s="100" t="s">
        <v>460</v>
      </c>
      <c r="C388" s="72">
        <v>300000</v>
      </c>
      <c r="D388" s="200"/>
      <c r="E388" s="201"/>
      <c r="F388" s="100"/>
      <c r="G388" s="100"/>
      <c r="H388" s="100"/>
      <c r="I388" s="100"/>
      <c r="J388" s="100"/>
      <c r="K388" s="100"/>
      <c r="L388" s="100"/>
      <c r="M388" s="100"/>
      <c r="N388" s="100"/>
      <c r="O388" s="100"/>
      <c r="P388" s="100"/>
      <c r="Q388" s="100"/>
      <c r="R388" s="100"/>
      <c r="S388" s="100"/>
      <c r="T388" s="100"/>
      <c r="U388" s="100"/>
      <c r="V388" s="100"/>
      <c r="W388" s="100"/>
    </row>
    <row r="389" spans="1:23" ht="13.5" customHeight="1">
      <c r="A389" s="76">
        <v>211202</v>
      </c>
      <c r="B389" s="76" t="s">
        <v>529</v>
      </c>
      <c r="C389" s="36">
        <f>SUM(C390)</f>
        <v>900000</v>
      </c>
      <c r="D389" s="200"/>
      <c r="E389" s="201"/>
      <c r="F389" s="100"/>
      <c r="G389" s="100"/>
      <c r="H389" s="100"/>
      <c r="I389" s="100"/>
      <c r="J389" s="100"/>
      <c r="K389" s="100"/>
      <c r="L389" s="100"/>
      <c r="M389" s="100"/>
      <c r="N389" s="100"/>
      <c r="O389" s="100"/>
      <c r="P389" s="100"/>
      <c r="Q389" s="100"/>
      <c r="R389" s="100"/>
      <c r="S389" s="100"/>
      <c r="T389" s="100"/>
      <c r="U389" s="100"/>
      <c r="V389" s="100"/>
      <c r="W389" s="100"/>
    </row>
    <row r="390" spans="1:23" ht="13.5" customHeight="1">
      <c r="A390" s="154">
        <v>21120202</v>
      </c>
      <c r="B390" s="154" t="s">
        <v>530</v>
      </c>
      <c r="C390" s="72">
        <v>900000</v>
      </c>
      <c r="D390" s="200"/>
      <c r="E390" s="201"/>
      <c r="F390" s="100"/>
      <c r="G390" s="100"/>
      <c r="H390" s="100"/>
      <c r="I390" s="100"/>
      <c r="J390" s="100"/>
      <c r="K390" s="100"/>
      <c r="L390" s="100"/>
      <c r="M390" s="100"/>
      <c r="N390" s="100"/>
      <c r="O390" s="100"/>
      <c r="P390" s="100"/>
      <c r="Q390" s="100"/>
      <c r="R390" s="100"/>
      <c r="S390" s="100"/>
      <c r="T390" s="100"/>
      <c r="U390" s="100"/>
      <c r="V390" s="100"/>
      <c r="W390" s="100"/>
    </row>
    <row r="391" spans="1:23" ht="13.5" customHeight="1">
      <c r="A391" s="76">
        <v>211203</v>
      </c>
      <c r="B391" s="75" t="s">
        <v>461</v>
      </c>
      <c r="C391" s="155">
        <f>SUM(C392)</f>
        <v>150000</v>
      </c>
      <c r="D391" s="200"/>
      <c r="E391" s="201"/>
      <c r="F391" s="100"/>
      <c r="G391" s="100"/>
      <c r="H391" s="100"/>
      <c r="I391" s="100"/>
      <c r="J391" s="100"/>
      <c r="K391" s="100"/>
      <c r="L391" s="100"/>
      <c r="M391" s="100"/>
      <c r="N391" s="100"/>
      <c r="O391" s="100"/>
      <c r="P391" s="100"/>
      <c r="Q391" s="100"/>
      <c r="R391" s="100"/>
      <c r="S391" s="100"/>
      <c r="T391" s="100"/>
      <c r="U391" s="100"/>
      <c r="V391" s="100"/>
      <c r="W391" s="100"/>
    </row>
    <row r="392" spans="1:23" ht="13.5" customHeight="1">
      <c r="A392" s="154">
        <v>21120302</v>
      </c>
      <c r="B392" s="100" t="s">
        <v>462</v>
      </c>
      <c r="C392" s="72">
        <v>150000</v>
      </c>
      <c r="D392" s="200"/>
      <c r="E392" s="201"/>
      <c r="F392" s="100"/>
      <c r="G392" s="100"/>
      <c r="H392" s="100"/>
      <c r="I392" s="100"/>
      <c r="J392" s="100"/>
      <c r="K392" s="100"/>
      <c r="L392" s="100"/>
      <c r="M392" s="100"/>
      <c r="N392" s="100"/>
      <c r="O392" s="100"/>
      <c r="P392" s="100"/>
      <c r="Q392" s="100"/>
      <c r="R392" s="100"/>
      <c r="S392" s="100"/>
      <c r="T392" s="100"/>
      <c r="U392" s="100"/>
      <c r="V392" s="100"/>
      <c r="W392" s="100"/>
    </row>
    <row r="393" spans="1:23" ht="13.5" customHeight="1">
      <c r="A393" s="76">
        <v>211204</v>
      </c>
      <c r="B393" s="75" t="s">
        <v>463</v>
      </c>
      <c r="C393" s="36">
        <f>SUM(C394)</f>
        <v>200000</v>
      </c>
      <c r="D393" s="200"/>
      <c r="E393" s="201"/>
      <c r="F393" s="100"/>
      <c r="G393" s="100"/>
      <c r="H393" s="100"/>
      <c r="I393" s="100"/>
      <c r="J393" s="100"/>
      <c r="K393" s="100"/>
      <c r="L393" s="100"/>
      <c r="M393" s="100"/>
      <c r="N393" s="100"/>
      <c r="O393" s="100"/>
      <c r="P393" s="100"/>
      <c r="Q393" s="100"/>
      <c r="R393" s="100"/>
      <c r="S393" s="100"/>
      <c r="T393" s="100"/>
      <c r="U393" s="100"/>
      <c r="V393" s="100"/>
      <c r="W393" s="100"/>
    </row>
    <row r="394" spans="1:23" ht="13.5" customHeight="1">
      <c r="A394" s="154">
        <v>21120401</v>
      </c>
      <c r="B394" s="72" t="s">
        <v>464</v>
      </c>
      <c r="C394" s="72">
        <v>200000</v>
      </c>
      <c r="D394" s="200"/>
      <c r="E394" s="201"/>
      <c r="F394" s="100"/>
      <c r="G394" s="100"/>
      <c r="H394" s="100"/>
      <c r="I394" s="100"/>
      <c r="J394" s="100"/>
      <c r="K394" s="100"/>
      <c r="L394" s="100"/>
      <c r="M394" s="100"/>
      <c r="N394" s="100"/>
      <c r="O394" s="100"/>
      <c r="P394" s="100"/>
      <c r="Q394" s="100"/>
      <c r="R394" s="100"/>
      <c r="S394" s="100"/>
      <c r="T394" s="100"/>
      <c r="U394" s="100"/>
      <c r="V394" s="100"/>
      <c r="W394" s="100"/>
    </row>
    <row r="395" spans="1:23" ht="13.5" customHeight="1">
      <c r="A395" s="76">
        <v>211209</v>
      </c>
      <c r="B395" s="36" t="s">
        <v>477</v>
      </c>
      <c r="C395" s="36">
        <f>SUM(C396:C397)</f>
        <v>460000</v>
      </c>
      <c r="D395" s="200"/>
      <c r="E395" s="201"/>
      <c r="F395" s="100"/>
      <c r="G395" s="100"/>
      <c r="H395" s="100"/>
      <c r="I395" s="100"/>
      <c r="J395" s="100"/>
      <c r="K395" s="100"/>
      <c r="L395" s="100"/>
      <c r="M395" s="100"/>
      <c r="N395" s="100"/>
      <c r="O395" s="100"/>
      <c r="P395" s="100"/>
      <c r="Q395" s="100"/>
      <c r="R395" s="100"/>
      <c r="S395" s="100"/>
      <c r="T395" s="100"/>
      <c r="U395" s="100"/>
      <c r="V395" s="100"/>
      <c r="W395" s="100"/>
    </row>
    <row r="396" spans="1:23" ht="13.5" customHeight="1">
      <c r="A396" s="154">
        <v>21120906</v>
      </c>
      <c r="B396" s="72" t="s">
        <v>479</v>
      </c>
      <c r="C396" s="72">
        <v>60000</v>
      </c>
      <c r="D396" s="200"/>
      <c r="E396" s="201"/>
      <c r="F396" s="100"/>
      <c r="G396" s="100"/>
      <c r="H396" s="100"/>
      <c r="I396" s="100"/>
      <c r="J396" s="100"/>
      <c r="K396" s="100"/>
      <c r="L396" s="100"/>
      <c r="M396" s="100"/>
      <c r="N396" s="100"/>
      <c r="O396" s="100"/>
      <c r="P396" s="100"/>
      <c r="Q396" s="100"/>
      <c r="R396" s="100"/>
      <c r="S396" s="100"/>
      <c r="T396" s="100"/>
      <c r="U396" s="100"/>
      <c r="V396" s="100"/>
      <c r="W396" s="100"/>
    </row>
    <row r="397" spans="1:23" ht="13.5" customHeight="1">
      <c r="A397" s="154">
        <v>21120907</v>
      </c>
      <c r="B397" s="77" t="s">
        <v>480</v>
      </c>
      <c r="C397" s="72">
        <v>400000</v>
      </c>
      <c r="D397" s="200"/>
      <c r="E397" s="201"/>
      <c r="F397" s="100"/>
      <c r="G397" s="100"/>
      <c r="H397" s="100"/>
      <c r="I397" s="100"/>
      <c r="J397" s="100"/>
      <c r="K397" s="100"/>
      <c r="L397" s="100"/>
      <c r="M397" s="100"/>
      <c r="N397" s="100"/>
      <c r="O397" s="100"/>
      <c r="P397" s="100"/>
      <c r="Q397" s="100"/>
      <c r="R397" s="100"/>
      <c r="S397" s="100"/>
      <c r="T397" s="100"/>
      <c r="U397" s="100"/>
      <c r="V397" s="100"/>
      <c r="W397" s="100"/>
    </row>
    <row r="398" spans="1:23" ht="13.5" customHeight="1" thickBot="1">
      <c r="A398" s="154"/>
      <c r="B398" s="72"/>
      <c r="C398" s="72"/>
      <c r="D398" s="200"/>
      <c r="E398" s="201"/>
      <c r="F398" s="100"/>
      <c r="G398" s="100"/>
      <c r="H398" s="100"/>
      <c r="I398" s="100"/>
      <c r="J398" s="100"/>
      <c r="K398" s="100"/>
      <c r="L398" s="100"/>
      <c r="M398" s="100"/>
      <c r="N398" s="100"/>
      <c r="O398" s="100"/>
      <c r="P398" s="100"/>
      <c r="Q398" s="100"/>
      <c r="R398" s="100"/>
      <c r="S398" s="100"/>
      <c r="T398" s="100"/>
      <c r="U398" s="100"/>
      <c r="V398" s="100"/>
      <c r="W398" s="100"/>
    </row>
    <row r="399" spans="1:23" ht="13.5" customHeight="1" thickBot="1">
      <c r="A399" s="1354" t="s">
        <v>4</v>
      </c>
      <c r="B399" s="1281"/>
      <c r="C399" s="220">
        <f>C400+C402+C404</f>
        <v>2020000</v>
      </c>
      <c r="D399" s="200"/>
      <c r="E399" s="201"/>
      <c r="F399" s="100"/>
      <c r="G399" s="100"/>
      <c r="H399" s="100"/>
      <c r="I399" s="100"/>
      <c r="J399" s="100"/>
      <c r="K399" s="100"/>
      <c r="L399" s="100"/>
      <c r="M399" s="100"/>
      <c r="N399" s="100"/>
      <c r="O399" s="100"/>
      <c r="P399" s="100"/>
      <c r="Q399" s="100"/>
      <c r="R399" s="100"/>
      <c r="S399" s="100"/>
      <c r="T399" s="100"/>
      <c r="U399" s="100"/>
      <c r="V399" s="100"/>
      <c r="W399" s="100"/>
    </row>
    <row r="400" spans="1:23" ht="13.5" customHeight="1">
      <c r="A400" s="76">
        <v>211302</v>
      </c>
      <c r="B400" s="75" t="s">
        <v>481</v>
      </c>
      <c r="C400" s="155">
        <f>SUM(C401)</f>
        <v>90000</v>
      </c>
      <c r="D400" s="200"/>
      <c r="E400" s="201"/>
      <c r="F400" s="100"/>
      <c r="G400" s="100"/>
      <c r="H400" s="100"/>
      <c r="I400" s="100"/>
      <c r="J400" s="100"/>
      <c r="K400" s="100"/>
      <c r="L400" s="100"/>
      <c r="M400" s="100"/>
      <c r="N400" s="100"/>
      <c r="O400" s="100"/>
      <c r="P400" s="100"/>
      <c r="Q400" s="100"/>
      <c r="R400" s="100"/>
      <c r="S400" s="100"/>
      <c r="T400" s="100"/>
      <c r="U400" s="100"/>
      <c r="V400" s="100"/>
      <c r="W400" s="100"/>
    </row>
    <row r="401" spans="1:23" ht="13.5" customHeight="1">
      <c r="A401" s="154">
        <v>21130204</v>
      </c>
      <c r="B401" s="100" t="s">
        <v>483</v>
      </c>
      <c r="C401" s="72">
        <v>90000</v>
      </c>
      <c r="D401" s="200"/>
      <c r="E401" s="201"/>
      <c r="F401" s="100"/>
      <c r="G401" s="100"/>
      <c r="H401" s="100"/>
      <c r="I401" s="100"/>
      <c r="J401" s="100"/>
      <c r="K401" s="100"/>
      <c r="L401" s="100"/>
      <c r="M401" s="100"/>
      <c r="N401" s="100"/>
      <c r="O401" s="100"/>
      <c r="P401" s="100"/>
      <c r="Q401" s="100"/>
      <c r="R401" s="100"/>
      <c r="S401" s="100"/>
      <c r="T401" s="100"/>
      <c r="U401" s="100"/>
      <c r="V401" s="100"/>
      <c r="W401" s="100"/>
    </row>
    <row r="402" spans="1:23" ht="13.5" customHeight="1">
      <c r="A402" s="76">
        <v>211305</v>
      </c>
      <c r="B402" s="75" t="s">
        <v>489</v>
      </c>
      <c r="C402" s="36">
        <f>SUM(C403)</f>
        <v>540000</v>
      </c>
      <c r="D402" s="200"/>
      <c r="E402" s="201"/>
      <c r="F402" s="100"/>
      <c r="G402" s="100"/>
      <c r="H402" s="100"/>
      <c r="I402" s="100"/>
      <c r="J402" s="100"/>
      <c r="K402" s="100"/>
      <c r="L402" s="100"/>
      <c r="M402" s="100"/>
      <c r="N402" s="100"/>
      <c r="O402" s="100"/>
      <c r="P402" s="100"/>
      <c r="Q402" s="100"/>
      <c r="R402" s="100"/>
      <c r="S402" s="100"/>
      <c r="T402" s="100"/>
      <c r="U402" s="100"/>
      <c r="V402" s="100"/>
      <c r="W402" s="100"/>
    </row>
    <row r="403" spans="1:23" ht="13.5" customHeight="1">
      <c r="A403" s="154">
        <v>21130502</v>
      </c>
      <c r="B403" s="72" t="s">
        <v>491</v>
      </c>
      <c r="C403" s="72">
        <f>40000+500000</f>
        <v>540000</v>
      </c>
      <c r="D403" s="200"/>
      <c r="E403" s="201"/>
      <c r="F403" s="100"/>
      <c r="G403" s="100"/>
      <c r="H403" s="100"/>
      <c r="I403" s="100"/>
      <c r="J403" s="100"/>
      <c r="K403" s="100"/>
      <c r="L403" s="100"/>
      <c r="M403" s="100"/>
      <c r="N403" s="100"/>
      <c r="O403" s="100"/>
      <c r="P403" s="100"/>
      <c r="Q403" s="100"/>
      <c r="R403" s="100"/>
      <c r="S403" s="100"/>
      <c r="T403" s="100"/>
      <c r="U403" s="100"/>
      <c r="V403" s="100"/>
      <c r="W403" s="100"/>
    </row>
    <row r="404" spans="1:23" ht="13.5" customHeight="1">
      <c r="A404" s="76">
        <v>211309</v>
      </c>
      <c r="B404" s="36" t="s">
        <v>496</v>
      </c>
      <c r="C404" s="36">
        <f>SUM(C405:C407)</f>
        <v>1390000</v>
      </c>
      <c r="D404" s="200"/>
      <c r="E404" s="201"/>
      <c r="F404" s="100"/>
      <c r="G404" s="100"/>
      <c r="H404" s="100"/>
      <c r="I404" s="100"/>
      <c r="J404" s="100"/>
      <c r="K404" s="100"/>
      <c r="L404" s="100"/>
      <c r="M404" s="100"/>
      <c r="N404" s="100"/>
      <c r="O404" s="100"/>
      <c r="P404" s="100"/>
      <c r="Q404" s="100"/>
      <c r="R404" s="100"/>
      <c r="S404" s="100"/>
      <c r="T404" s="100"/>
      <c r="U404" s="100"/>
      <c r="V404" s="100"/>
      <c r="W404" s="100"/>
    </row>
    <row r="405" spans="1:23" ht="13.5" customHeight="1">
      <c r="A405" s="154">
        <v>21130901</v>
      </c>
      <c r="B405" s="72" t="s">
        <v>497</v>
      </c>
      <c r="C405" s="72">
        <f>40000+500000</f>
        <v>540000</v>
      </c>
      <c r="D405" s="200"/>
      <c r="E405" s="201"/>
      <c r="F405" s="100"/>
      <c r="G405" s="100"/>
      <c r="H405" s="100"/>
      <c r="I405" s="100"/>
      <c r="J405" s="100"/>
      <c r="K405" s="100"/>
      <c r="L405" s="100"/>
      <c r="M405" s="100"/>
      <c r="N405" s="100"/>
      <c r="O405" s="100"/>
      <c r="P405" s="100"/>
      <c r="Q405" s="100"/>
      <c r="R405" s="100"/>
      <c r="S405" s="100"/>
      <c r="T405" s="100"/>
      <c r="U405" s="100"/>
      <c r="V405" s="100"/>
      <c r="W405" s="100"/>
    </row>
    <row r="406" spans="1:23" ht="13.5" customHeight="1">
      <c r="A406" s="154">
        <v>21130906</v>
      </c>
      <c r="B406" s="100" t="s">
        <v>499</v>
      </c>
      <c r="C406" s="72">
        <v>600000</v>
      </c>
      <c r="D406" s="200"/>
      <c r="E406" s="201"/>
      <c r="F406" s="100"/>
      <c r="G406" s="100"/>
      <c r="H406" s="100"/>
      <c r="I406" s="100"/>
      <c r="J406" s="100"/>
      <c r="K406" s="100"/>
      <c r="L406" s="100"/>
      <c r="M406" s="100"/>
      <c r="N406" s="100"/>
      <c r="O406" s="100"/>
      <c r="P406" s="100"/>
      <c r="Q406" s="100"/>
      <c r="R406" s="100"/>
      <c r="S406" s="100"/>
      <c r="T406" s="100"/>
      <c r="U406" s="100"/>
      <c r="V406" s="100"/>
      <c r="W406" s="100"/>
    </row>
    <row r="407" spans="1:23" ht="13.5" customHeight="1">
      <c r="A407" s="154">
        <v>21130908</v>
      </c>
      <c r="B407" s="72" t="s">
        <v>500</v>
      </c>
      <c r="C407" s="114">
        <v>250000</v>
      </c>
      <c r="D407" s="200"/>
      <c r="E407" s="201"/>
      <c r="F407" s="100"/>
      <c r="G407" s="100"/>
      <c r="H407" s="100"/>
      <c r="I407" s="100"/>
      <c r="J407" s="100"/>
      <c r="K407" s="100"/>
      <c r="L407" s="100"/>
      <c r="M407" s="100"/>
      <c r="N407" s="100"/>
      <c r="O407" s="100"/>
      <c r="P407" s="100"/>
      <c r="Q407" s="100"/>
      <c r="R407" s="100"/>
      <c r="S407" s="100"/>
      <c r="T407" s="100"/>
      <c r="U407" s="100"/>
      <c r="V407" s="100"/>
      <c r="W407" s="100"/>
    </row>
    <row r="408" spans="1:23" ht="13.5" customHeight="1">
      <c r="A408" s="100"/>
      <c r="B408" s="72"/>
      <c r="C408" s="114"/>
      <c r="D408" s="200"/>
      <c r="E408" s="201"/>
      <c r="F408" s="100"/>
      <c r="G408" s="100"/>
      <c r="H408" s="100"/>
      <c r="I408" s="100"/>
      <c r="J408" s="100"/>
      <c r="K408" s="100"/>
      <c r="L408" s="100"/>
      <c r="M408" s="100"/>
      <c r="N408" s="100"/>
      <c r="O408" s="100"/>
      <c r="P408" s="100"/>
      <c r="Q408" s="100"/>
      <c r="R408" s="100"/>
      <c r="S408" s="100"/>
      <c r="T408" s="100"/>
      <c r="U408" s="100"/>
      <c r="V408" s="100"/>
      <c r="W408" s="100"/>
    </row>
    <row r="409" spans="1:23" ht="13.5" customHeight="1" thickBot="1">
      <c r="A409" s="100"/>
      <c r="B409" s="72"/>
      <c r="C409" s="114"/>
      <c r="D409" s="200"/>
      <c r="E409" s="201"/>
      <c r="F409" s="100"/>
      <c r="G409" s="100"/>
      <c r="H409" s="100"/>
      <c r="I409" s="100"/>
      <c r="J409" s="100"/>
      <c r="K409" s="100"/>
      <c r="L409" s="100"/>
      <c r="M409" s="100"/>
      <c r="N409" s="100"/>
      <c r="O409" s="100"/>
      <c r="P409" s="100"/>
      <c r="Q409" s="100"/>
      <c r="R409" s="100"/>
      <c r="S409" s="100"/>
      <c r="T409" s="100"/>
      <c r="U409" s="100"/>
      <c r="V409" s="100"/>
      <c r="W409" s="100"/>
    </row>
    <row r="410" spans="1:23" ht="13.5" customHeight="1">
      <c r="A410" s="1308" t="s">
        <v>457</v>
      </c>
      <c r="B410" s="1309"/>
      <c r="C410" s="1252" t="s">
        <v>918</v>
      </c>
      <c r="D410" s="200"/>
      <c r="E410" s="201"/>
      <c r="F410" s="100"/>
      <c r="G410" s="100"/>
      <c r="H410" s="100"/>
      <c r="I410" s="100"/>
      <c r="J410" s="100"/>
      <c r="K410" s="100"/>
      <c r="L410" s="100"/>
      <c r="M410" s="100"/>
      <c r="N410" s="100"/>
      <c r="O410" s="100"/>
      <c r="P410" s="100"/>
      <c r="Q410" s="100"/>
      <c r="R410" s="100"/>
      <c r="S410" s="100"/>
      <c r="T410" s="100"/>
      <c r="U410" s="100"/>
      <c r="V410" s="100"/>
      <c r="W410" s="100"/>
    </row>
    <row r="411" spans="1:23" ht="13.5" customHeight="1" thickBot="1">
      <c r="A411" s="1344"/>
      <c r="B411" s="1345"/>
      <c r="C411" s="1253"/>
      <c r="D411" s="200"/>
      <c r="E411" s="201"/>
      <c r="F411" s="100"/>
      <c r="G411" s="100"/>
      <c r="H411" s="100"/>
      <c r="I411" s="100"/>
      <c r="J411" s="100"/>
      <c r="K411" s="100"/>
      <c r="L411" s="100"/>
      <c r="M411" s="100"/>
      <c r="N411" s="100"/>
      <c r="O411" s="100"/>
      <c r="P411" s="100"/>
      <c r="Q411" s="100"/>
      <c r="R411" s="100"/>
      <c r="S411" s="100"/>
      <c r="T411" s="100"/>
      <c r="U411" s="100"/>
      <c r="V411" s="100"/>
      <c r="W411" s="100"/>
    </row>
    <row r="412" spans="1:23" ht="13.5" customHeight="1">
      <c r="A412" s="608" t="s">
        <v>671</v>
      </c>
      <c r="B412" s="612"/>
      <c r="C412" s="1193"/>
      <c r="D412" s="200"/>
      <c r="E412" s="201"/>
      <c r="F412" s="100"/>
      <c r="G412" s="100"/>
      <c r="H412" s="100"/>
      <c r="I412" s="100"/>
      <c r="J412" s="100"/>
      <c r="K412" s="100"/>
      <c r="L412" s="100"/>
      <c r="M412" s="100"/>
      <c r="N412" s="100"/>
      <c r="O412" s="100"/>
      <c r="P412" s="100"/>
      <c r="Q412" s="100"/>
      <c r="R412" s="100"/>
      <c r="S412" s="100"/>
      <c r="T412" s="100"/>
      <c r="U412" s="100"/>
      <c r="V412" s="100"/>
      <c r="W412" s="100"/>
    </row>
    <row r="413" spans="1:23" ht="13.5" customHeight="1">
      <c r="A413" s="609" t="s">
        <v>722</v>
      </c>
      <c r="B413" s="612"/>
      <c r="C413" s="1193"/>
      <c r="D413" s="200"/>
      <c r="E413" s="201"/>
      <c r="F413" s="100"/>
      <c r="G413" s="100"/>
      <c r="H413" s="100"/>
      <c r="I413" s="100"/>
      <c r="J413" s="100"/>
      <c r="K413" s="100"/>
      <c r="L413" s="100"/>
      <c r="M413" s="100"/>
      <c r="N413" s="100"/>
      <c r="O413" s="100"/>
      <c r="P413" s="100"/>
      <c r="Q413" s="100"/>
      <c r="R413" s="100"/>
      <c r="S413" s="100"/>
      <c r="T413" s="100"/>
      <c r="U413" s="100"/>
      <c r="V413" s="100"/>
      <c r="W413" s="100"/>
    </row>
    <row r="414" spans="1:23" ht="13.5" customHeight="1">
      <c r="A414" s="609" t="s">
        <v>723</v>
      </c>
      <c r="B414" s="612"/>
      <c r="C414" s="1193"/>
      <c r="D414" s="200"/>
      <c r="E414" s="201"/>
      <c r="F414" s="100"/>
      <c r="G414" s="100"/>
      <c r="H414" s="100"/>
      <c r="I414" s="100"/>
      <c r="J414" s="100"/>
      <c r="K414" s="100"/>
      <c r="L414" s="100"/>
      <c r="M414" s="100"/>
      <c r="N414" s="100"/>
      <c r="O414" s="100"/>
      <c r="P414" s="100"/>
      <c r="Q414" s="100"/>
      <c r="R414" s="100"/>
      <c r="S414" s="100"/>
      <c r="T414" s="100"/>
      <c r="U414" s="100"/>
      <c r="V414" s="100"/>
      <c r="W414" s="100"/>
    </row>
    <row r="415" spans="1:23" ht="13.5" customHeight="1" thickBot="1">
      <c r="A415" s="609" t="s">
        <v>0</v>
      </c>
      <c r="B415" s="612"/>
      <c r="C415" s="1193"/>
      <c r="D415" s="200"/>
      <c r="E415" s="201"/>
      <c r="F415" s="100"/>
      <c r="G415" s="100"/>
      <c r="H415" s="100"/>
      <c r="I415" s="100"/>
      <c r="J415" s="100"/>
      <c r="K415" s="100"/>
      <c r="L415" s="100"/>
      <c r="M415" s="100"/>
      <c r="N415" s="100"/>
      <c r="O415" s="100"/>
      <c r="P415" s="100"/>
      <c r="Q415" s="100"/>
      <c r="R415" s="100"/>
      <c r="S415" s="100"/>
      <c r="T415" s="100"/>
      <c r="U415" s="100"/>
      <c r="V415" s="100"/>
      <c r="W415" s="100"/>
    </row>
    <row r="416" spans="1:23" ht="13.5" customHeight="1" thickBot="1">
      <c r="A416" s="1086" t="s">
        <v>92</v>
      </c>
      <c r="B416" s="1087"/>
      <c r="C416" s="638">
        <f>C418+C433</f>
        <v>49385500</v>
      </c>
      <c r="D416" s="200"/>
      <c r="E416" s="201"/>
      <c r="F416" s="100"/>
      <c r="G416" s="100"/>
      <c r="H416" s="100"/>
      <c r="I416" s="100"/>
      <c r="J416" s="100"/>
      <c r="K416" s="100"/>
      <c r="L416" s="100"/>
      <c r="M416" s="100"/>
      <c r="N416" s="100"/>
      <c r="O416" s="100"/>
      <c r="P416" s="100"/>
      <c r="Q416" s="100"/>
      <c r="R416" s="100"/>
      <c r="S416" s="100"/>
      <c r="T416" s="100"/>
      <c r="U416" s="100"/>
      <c r="V416" s="100"/>
      <c r="W416" s="100"/>
    </row>
    <row r="417" spans="1:23" ht="13.5" customHeight="1" thickBot="1">
      <c r="A417" s="100"/>
      <c r="B417" s="100"/>
      <c r="C417" s="72"/>
      <c r="D417" s="200"/>
      <c r="E417" s="201"/>
      <c r="F417" s="100"/>
      <c r="G417" s="100"/>
      <c r="H417" s="100"/>
      <c r="I417" s="100"/>
      <c r="J417" s="100"/>
      <c r="K417" s="100"/>
      <c r="L417" s="100"/>
      <c r="M417" s="100"/>
      <c r="N417" s="100"/>
      <c r="O417" s="100"/>
      <c r="P417" s="100"/>
      <c r="Q417" s="100"/>
      <c r="R417" s="100"/>
      <c r="S417" s="100"/>
      <c r="T417" s="100"/>
      <c r="U417" s="100"/>
      <c r="V417" s="100"/>
      <c r="W417" s="100"/>
    </row>
    <row r="418" spans="1:23" ht="13.5" customHeight="1" thickBot="1">
      <c r="A418" s="1305" t="s">
        <v>9</v>
      </c>
      <c r="B418" s="1281"/>
      <c r="C418" s="257">
        <f>C419+C424+C426+C421+C428</f>
        <v>7625500</v>
      </c>
      <c r="D418" s="200"/>
      <c r="E418" s="201"/>
      <c r="F418" s="100"/>
      <c r="G418" s="100"/>
      <c r="H418" s="100"/>
      <c r="I418" s="100"/>
      <c r="J418" s="100"/>
      <c r="K418" s="100"/>
      <c r="L418" s="100"/>
      <c r="M418" s="100"/>
      <c r="N418" s="100"/>
      <c r="O418" s="100"/>
      <c r="P418" s="100"/>
      <c r="Q418" s="100"/>
      <c r="R418" s="100"/>
      <c r="S418" s="100"/>
      <c r="T418" s="100"/>
      <c r="U418" s="100"/>
      <c r="V418" s="100"/>
      <c r="W418" s="100"/>
    </row>
    <row r="419" spans="1:23" ht="13.5" customHeight="1">
      <c r="A419" s="76">
        <v>211201</v>
      </c>
      <c r="B419" s="241" t="s">
        <v>459</v>
      </c>
      <c r="C419" s="36">
        <f>SUM(C420)</f>
        <v>2095500</v>
      </c>
      <c r="D419" s="200"/>
      <c r="E419" s="201"/>
      <c r="F419" s="100"/>
      <c r="G419" s="100"/>
      <c r="H419" s="100"/>
      <c r="I419" s="100"/>
      <c r="J419" s="100"/>
      <c r="K419" s="100"/>
      <c r="L419" s="100"/>
      <c r="M419" s="100"/>
      <c r="N419" s="100"/>
      <c r="O419" s="100"/>
      <c r="P419" s="100"/>
      <c r="Q419" s="100"/>
      <c r="R419" s="100"/>
      <c r="S419" s="100"/>
      <c r="T419" s="100"/>
      <c r="U419" s="100"/>
      <c r="V419" s="100"/>
      <c r="W419" s="100"/>
    </row>
    <row r="420" spans="1:23" ht="13.5" customHeight="1">
      <c r="A420" s="154">
        <v>21120101</v>
      </c>
      <c r="B420" s="77" t="s">
        <v>460</v>
      </c>
      <c r="C420" s="72">
        <f>2000000+95500</f>
        <v>2095500</v>
      </c>
      <c r="D420" s="200"/>
      <c r="E420" s="201"/>
      <c r="F420" s="100"/>
      <c r="G420" s="100"/>
      <c r="H420" s="100"/>
      <c r="I420" s="100"/>
      <c r="J420" s="100"/>
      <c r="K420" s="100"/>
      <c r="L420" s="100"/>
      <c r="M420" s="100"/>
      <c r="N420" s="100"/>
      <c r="O420" s="100"/>
      <c r="P420" s="100"/>
      <c r="Q420" s="100"/>
      <c r="R420" s="100"/>
      <c r="S420" s="100"/>
      <c r="T420" s="100"/>
      <c r="U420" s="100"/>
      <c r="V420" s="100"/>
      <c r="W420" s="100"/>
    </row>
    <row r="421" spans="1:23" ht="13.5" customHeight="1">
      <c r="A421" s="76">
        <v>211202</v>
      </c>
      <c r="B421" s="75" t="s">
        <v>529</v>
      </c>
      <c r="C421" s="36">
        <f>SUM(C422:C423)</f>
        <v>250000</v>
      </c>
      <c r="D421" s="214"/>
      <c r="E421" s="251"/>
      <c r="F421" s="251"/>
      <c r="G421" s="135"/>
      <c r="H421" s="135"/>
      <c r="I421" s="135"/>
      <c r="J421" s="135"/>
      <c r="K421" s="135"/>
      <c r="L421" s="135"/>
      <c r="M421" s="135"/>
      <c r="N421" s="135"/>
      <c r="O421" s="135"/>
      <c r="P421" s="135"/>
      <c r="Q421" s="135"/>
      <c r="R421" s="135"/>
      <c r="S421" s="135"/>
      <c r="T421" s="135"/>
      <c r="U421" s="135"/>
      <c r="V421" s="135"/>
      <c r="W421" s="135"/>
    </row>
    <row r="422" spans="1:23" ht="13.5" customHeight="1">
      <c r="A422" s="154">
        <v>21120201</v>
      </c>
      <c r="B422" s="100" t="s">
        <v>540</v>
      </c>
      <c r="C422" s="72">
        <v>100000</v>
      </c>
      <c r="D422" s="214"/>
      <c r="E422" s="251"/>
      <c r="F422" s="251"/>
      <c r="G422" s="135"/>
      <c r="H422" s="135"/>
      <c r="I422" s="135"/>
      <c r="J422" s="135"/>
      <c r="K422" s="135"/>
      <c r="L422" s="135"/>
      <c r="M422" s="135"/>
      <c r="N422" s="135"/>
      <c r="O422" s="135"/>
      <c r="P422" s="135"/>
      <c r="Q422" s="135"/>
      <c r="R422" s="135"/>
      <c r="S422" s="135"/>
      <c r="T422" s="135"/>
      <c r="U422" s="135"/>
      <c r="V422" s="135"/>
      <c r="W422" s="135"/>
    </row>
    <row r="423" spans="1:23" ht="13.5" customHeight="1">
      <c r="A423" s="154">
        <v>21120202</v>
      </c>
      <c r="B423" s="77" t="s">
        <v>530</v>
      </c>
      <c r="C423" s="72">
        <v>150000</v>
      </c>
      <c r="D423" s="201"/>
      <c r="E423" s="251"/>
      <c r="F423" s="251"/>
      <c r="G423" s="135"/>
      <c r="H423" s="135"/>
      <c r="I423" s="135"/>
      <c r="J423" s="135"/>
      <c r="K423" s="135"/>
      <c r="L423" s="135"/>
      <c r="M423" s="135"/>
      <c r="N423" s="135"/>
      <c r="O423" s="135"/>
      <c r="P423" s="135"/>
      <c r="Q423" s="135"/>
      <c r="R423" s="135"/>
      <c r="S423" s="135"/>
      <c r="T423" s="135"/>
      <c r="U423" s="135"/>
      <c r="V423" s="135"/>
      <c r="W423" s="135"/>
    </row>
    <row r="424" spans="1:23" ht="13.5" customHeight="1">
      <c r="A424" s="76">
        <v>211203</v>
      </c>
      <c r="B424" s="217" t="s">
        <v>461</v>
      </c>
      <c r="C424" s="36">
        <f>C425</f>
        <v>2250000</v>
      </c>
      <c r="D424" s="200"/>
      <c r="E424" s="201"/>
      <c r="F424" s="100"/>
      <c r="G424" s="100"/>
      <c r="H424" s="100"/>
      <c r="I424" s="100"/>
      <c r="J424" s="100"/>
      <c r="K424" s="100"/>
      <c r="L424" s="100"/>
      <c r="M424" s="100"/>
      <c r="N424" s="100"/>
      <c r="O424" s="100"/>
      <c r="P424" s="100"/>
      <c r="Q424" s="100"/>
      <c r="R424" s="100"/>
      <c r="S424" s="100"/>
      <c r="T424" s="100"/>
      <c r="U424" s="100"/>
      <c r="V424" s="100"/>
      <c r="W424" s="100"/>
    </row>
    <row r="425" spans="1:23" ht="13.5" customHeight="1">
      <c r="A425" s="154">
        <v>21120302</v>
      </c>
      <c r="B425" s="77" t="s">
        <v>462</v>
      </c>
      <c r="C425" s="72">
        <f>2000000+250000</f>
        <v>2250000</v>
      </c>
      <c r="D425" s="200"/>
      <c r="E425" s="201"/>
      <c r="F425" s="100"/>
      <c r="G425" s="100"/>
      <c r="H425" s="100"/>
      <c r="I425" s="100"/>
      <c r="J425" s="100"/>
      <c r="K425" s="100"/>
      <c r="L425" s="100"/>
      <c r="M425" s="100"/>
      <c r="N425" s="100"/>
      <c r="O425" s="100"/>
      <c r="P425" s="100"/>
      <c r="Q425" s="100"/>
      <c r="R425" s="100"/>
      <c r="S425" s="100"/>
      <c r="T425" s="100"/>
      <c r="U425" s="100"/>
      <c r="V425" s="100"/>
      <c r="W425" s="100"/>
    </row>
    <row r="426" spans="1:23" ht="13.5" customHeight="1">
      <c r="A426" s="76">
        <v>211204</v>
      </c>
      <c r="B426" s="217" t="s">
        <v>463</v>
      </c>
      <c r="C426" s="36">
        <f>C427</f>
        <v>1080000</v>
      </c>
      <c r="D426" s="200"/>
      <c r="E426" s="201"/>
      <c r="F426" s="100"/>
      <c r="G426" s="100"/>
      <c r="H426" s="100"/>
      <c r="I426" s="100"/>
      <c r="J426" s="100"/>
      <c r="K426" s="100"/>
      <c r="L426" s="100"/>
      <c r="M426" s="100"/>
      <c r="N426" s="100"/>
      <c r="O426" s="100"/>
      <c r="P426" s="100"/>
      <c r="Q426" s="100"/>
      <c r="R426" s="100"/>
      <c r="S426" s="100"/>
      <c r="T426" s="100"/>
      <c r="U426" s="100"/>
      <c r="V426" s="100"/>
      <c r="W426" s="100"/>
    </row>
    <row r="427" spans="1:23" ht="13.5" customHeight="1">
      <c r="A427" s="154">
        <v>21120401</v>
      </c>
      <c r="B427" s="72" t="s">
        <v>464</v>
      </c>
      <c r="C427" s="224">
        <f>1000000+80000</f>
        <v>1080000</v>
      </c>
      <c r="D427" s="200"/>
      <c r="E427" s="201"/>
      <c r="F427" s="100"/>
      <c r="G427" s="100"/>
      <c r="H427" s="100"/>
      <c r="I427" s="100"/>
      <c r="J427" s="100"/>
      <c r="K427" s="100"/>
      <c r="L427" s="100"/>
      <c r="M427" s="100"/>
      <c r="N427" s="100"/>
      <c r="O427" s="100"/>
      <c r="P427" s="100"/>
      <c r="Q427" s="100"/>
      <c r="R427" s="100"/>
      <c r="S427" s="100"/>
      <c r="T427" s="100"/>
      <c r="U427" s="100"/>
      <c r="V427" s="100"/>
      <c r="W427" s="100"/>
    </row>
    <row r="428" spans="1:23" ht="13.5" customHeight="1">
      <c r="A428" s="76">
        <v>211209</v>
      </c>
      <c r="B428" s="36" t="s">
        <v>477</v>
      </c>
      <c r="C428" s="256">
        <f>+SUM(C429:C431)</f>
        <v>1950000</v>
      </c>
      <c r="D428" s="200"/>
      <c r="E428" s="201"/>
      <c r="F428" s="100"/>
      <c r="G428" s="100"/>
      <c r="H428" s="100"/>
      <c r="I428" s="100"/>
      <c r="J428" s="100"/>
      <c r="K428" s="100"/>
      <c r="L428" s="100"/>
      <c r="M428" s="100"/>
      <c r="N428" s="100"/>
      <c r="O428" s="100"/>
      <c r="P428" s="100"/>
      <c r="Q428" s="100"/>
      <c r="R428" s="100"/>
      <c r="S428" s="100"/>
      <c r="T428" s="100"/>
      <c r="U428" s="100"/>
      <c r="V428" s="100"/>
      <c r="W428" s="100"/>
    </row>
    <row r="429" spans="1:23" ht="13.5" customHeight="1">
      <c r="A429" s="233">
        <v>21120905</v>
      </c>
      <c r="B429" s="77" t="s">
        <v>525</v>
      </c>
      <c r="C429" s="224">
        <f>1000000+50000</f>
        <v>1050000</v>
      </c>
      <c r="D429" s="200"/>
      <c r="E429" s="201"/>
      <c r="F429" s="100"/>
      <c r="G429" s="100"/>
      <c r="H429" s="100"/>
      <c r="I429" s="100"/>
      <c r="J429" s="100"/>
      <c r="K429" s="100"/>
      <c r="L429" s="100"/>
      <c r="M429" s="100"/>
      <c r="N429" s="100"/>
      <c r="O429" s="100"/>
      <c r="P429" s="100"/>
      <c r="Q429" s="100"/>
      <c r="R429" s="100"/>
      <c r="S429" s="100"/>
      <c r="T429" s="100"/>
      <c r="U429" s="100"/>
      <c r="V429" s="100"/>
      <c r="W429" s="100"/>
    </row>
    <row r="430" spans="1:23" ht="13.5" customHeight="1">
      <c r="A430" s="154">
        <v>21120906</v>
      </c>
      <c r="B430" s="72" t="s">
        <v>479</v>
      </c>
      <c r="C430" s="224">
        <v>300000</v>
      </c>
      <c r="D430" s="200"/>
      <c r="E430" s="201"/>
      <c r="F430" s="100"/>
      <c r="G430" s="100"/>
      <c r="H430" s="100"/>
      <c r="I430" s="100"/>
      <c r="J430" s="100"/>
      <c r="K430" s="100"/>
      <c r="L430" s="100"/>
      <c r="M430" s="100"/>
      <c r="N430" s="100"/>
      <c r="O430" s="100"/>
      <c r="P430" s="100"/>
      <c r="Q430" s="100"/>
      <c r="R430" s="100"/>
      <c r="S430" s="100"/>
      <c r="T430" s="100"/>
      <c r="U430" s="100"/>
      <c r="V430" s="100"/>
      <c r="W430" s="100"/>
    </row>
    <row r="431" spans="1:23" ht="13.5" customHeight="1">
      <c r="A431" s="154">
        <v>21120907</v>
      </c>
      <c r="B431" s="77" t="s">
        <v>480</v>
      </c>
      <c r="C431" s="224">
        <v>600000</v>
      </c>
      <c r="D431" s="200"/>
      <c r="E431" s="201"/>
      <c r="F431" s="100"/>
      <c r="G431" s="100"/>
      <c r="H431" s="100"/>
      <c r="I431" s="100"/>
      <c r="J431" s="100"/>
      <c r="K431" s="100"/>
      <c r="L431" s="100"/>
      <c r="M431" s="100"/>
      <c r="N431" s="100"/>
      <c r="O431" s="100"/>
      <c r="P431" s="100"/>
      <c r="Q431" s="100"/>
      <c r="R431" s="100"/>
      <c r="S431" s="100"/>
      <c r="T431" s="100"/>
      <c r="U431" s="100"/>
      <c r="V431" s="100"/>
      <c r="W431" s="100"/>
    </row>
    <row r="432" spans="1:23" ht="13.5" customHeight="1" thickBot="1">
      <c r="A432" s="100"/>
      <c r="B432" s="72"/>
      <c r="C432" s="224"/>
      <c r="D432" s="200"/>
      <c r="E432" s="201"/>
      <c r="F432" s="100"/>
      <c r="G432" s="100"/>
      <c r="H432" s="100"/>
      <c r="I432" s="100"/>
      <c r="J432" s="100"/>
      <c r="K432" s="100"/>
      <c r="L432" s="100"/>
      <c r="M432" s="100"/>
      <c r="N432" s="100"/>
      <c r="O432" s="100"/>
      <c r="P432" s="100"/>
      <c r="Q432" s="100"/>
      <c r="R432" s="100"/>
      <c r="S432" s="100"/>
      <c r="T432" s="100"/>
      <c r="U432" s="100"/>
      <c r="V432" s="100"/>
      <c r="W432" s="100"/>
    </row>
    <row r="433" spans="1:24" ht="13.5" customHeight="1" thickBot="1">
      <c r="A433" s="1306" t="s">
        <v>4</v>
      </c>
      <c r="B433" s="1281"/>
      <c r="C433" s="258">
        <f>C434+C436+C439+C441</f>
        <v>41760000</v>
      </c>
      <c r="D433" s="200"/>
      <c r="E433" s="201"/>
      <c r="F433" s="100"/>
      <c r="G433" s="100"/>
      <c r="H433" s="100"/>
      <c r="I433" s="100"/>
      <c r="J433" s="100"/>
      <c r="K433" s="100"/>
      <c r="L433" s="100"/>
      <c r="M433" s="100"/>
      <c r="N433" s="100"/>
      <c r="O433" s="100"/>
      <c r="P433" s="100"/>
      <c r="Q433" s="100"/>
      <c r="R433" s="100"/>
      <c r="S433" s="100"/>
      <c r="T433" s="100"/>
      <c r="U433" s="100"/>
      <c r="V433" s="100"/>
      <c r="W433" s="100"/>
    </row>
    <row r="434" spans="1:24" ht="13.5" customHeight="1">
      <c r="A434" s="76">
        <v>211302</v>
      </c>
      <c r="B434" s="76" t="s">
        <v>481</v>
      </c>
      <c r="C434" s="256">
        <f>SUM(C435)</f>
        <v>170000</v>
      </c>
      <c r="D434" s="200"/>
      <c r="E434" s="201"/>
      <c r="F434" s="100"/>
      <c r="G434" s="100"/>
      <c r="H434" s="100"/>
      <c r="I434" s="100"/>
      <c r="J434" s="100"/>
      <c r="K434" s="100"/>
      <c r="L434" s="100"/>
      <c r="M434" s="100"/>
      <c r="N434" s="100"/>
      <c r="O434" s="100"/>
      <c r="P434" s="100"/>
      <c r="Q434" s="100"/>
      <c r="R434" s="100"/>
      <c r="S434" s="100"/>
      <c r="T434" s="100"/>
      <c r="U434" s="100"/>
      <c r="V434" s="100"/>
      <c r="W434" s="100"/>
    </row>
    <row r="435" spans="1:24" ht="13.5" customHeight="1">
      <c r="A435" s="233">
        <v>21130204</v>
      </c>
      <c r="B435" s="77" t="s">
        <v>483</v>
      </c>
      <c r="C435" s="224">
        <v>170000</v>
      </c>
      <c r="D435" s="200"/>
      <c r="E435" s="201"/>
      <c r="F435" s="100"/>
      <c r="G435" s="100"/>
      <c r="H435" s="100"/>
      <c r="I435" s="100"/>
      <c r="J435" s="100"/>
      <c r="K435" s="100"/>
      <c r="L435" s="100"/>
      <c r="M435" s="100"/>
      <c r="N435" s="100"/>
      <c r="O435" s="100"/>
      <c r="P435" s="100"/>
      <c r="Q435" s="100"/>
      <c r="R435" s="100"/>
      <c r="S435" s="100"/>
      <c r="T435" s="100"/>
      <c r="U435" s="100"/>
      <c r="V435" s="100"/>
      <c r="W435" s="100"/>
    </row>
    <row r="436" spans="1:24" ht="13.5" customHeight="1">
      <c r="A436" s="241">
        <v>211303</v>
      </c>
      <c r="B436" s="234" t="s">
        <v>484</v>
      </c>
      <c r="C436" s="36">
        <f>SUM(C437:C438)</f>
        <v>250000</v>
      </c>
      <c r="D436" s="200"/>
      <c r="E436" s="201"/>
      <c r="F436" s="100"/>
      <c r="G436" s="100"/>
      <c r="H436" s="100"/>
      <c r="I436" s="100"/>
      <c r="J436" s="100"/>
      <c r="K436" s="100"/>
      <c r="L436" s="100"/>
      <c r="M436" s="100"/>
      <c r="N436" s="100"/>
      <c r="O436" s="100"/>
      <c r="P436" s="100"/>
      <c r="Q436" s="100"/>
      <c r="R436" s="100"/>
      <c r="S436" s="100"/>
      <c r="T436" s="100"/>
      <c r="U436" s="100"/>
      <c r="V436" s="100"/>
      <c r="W436" s="100"/>
    </row>
    <row r="437" spans="1:24" ht="13.5" customHeight="1">
      <c r="A437" s="33">
        <v>21130301</v>
      </c>
      <c r="B437" s="23" t="s">
        <v>485</v>
      </c>
      <c r="C437" s="51">
        <v>200000</v>
      </c>
      <c r="D437" s="37"/>
      <c r="E437" s="38"/>
      <c r="F437" s="38"/>
      <c r="G437" s="39"/>
      <c r="H437" s="38"/>
      <c r="I437" s="38"/>
      <c r="J437" s="38"/>
      <c r="K437" s="38"/>
      <c r="L437" s="38"/>
      <c r="M437" s="38"/>
      <c r="N437" s="38"/>
      <c r="O437" s="38"/>
      <c r="P437" s="38"/>
      <c r="Q437" s="38"/>
      <c r="R437" s="38"/>
      <c r="S437" s="38"/>
      <c r="T437" s="38"/>
      <c r="U437" s="38"/>
      <c r="V437" s="38"/>
      <c r="W437" s="38"/>
      <c r="X437" s="38"/>
    </row>
    <row r="438" spans="1:24" ht="13.5" customHeight="1">
      <c r="A438" s="233">
        <v>21130307</v>
      </c>
      <c r="B438" s="77" t="s">
        <v>488</v>
      </c>
      <c r="C438" s="72">
        <v>50000</v>
      </c>
      <c r="D438" s="200"/>
      <c r="E438" s="201"/>
      <c r="F438" s="100"/>
      <c r="G438" s="100"/>
      <c r="H438" s="100"/>
      <c r="I438" s="100"/>
      <c r="J438" s="100"/>
      <c r="K438" s="100"/>
      <c r="L438" s="100"/>
      <c r="M438" s="100"/>
      <c r="N438" s="100"/>
      <c r="O438" s="100"/>
      <c r="P438" s="100"/>
      <c r="Q438" s="100"/>
      <c r="R438" s="100"/>
      <c r="S438" s="100"/>
      <c r="T438" s="100"/>
      <c r="U438" s="100"/>
      <c r="V438" s="100"/>
      <c r="W438" s="100"/>
    </row>
    <row r="439" spans="1:24" ht="13.5" customHeight="1">
      <c r="A439" s="241">
        <v>211305</v>
      </c>
      <c r="B439" s="217" t="s">
        <v>489</v>
      </c>
      <c r="C439" s="256">
        <f>C440</f>
        <v>4800000</v>
      </c>
      <c r="D439" s="200"/>
      <c r="E439" s="201"/>
      <c r="F439" s="100"/>
      <c r="G439" s="100"/>
      <c r="H439" s="100"/>
      <c r="I439" s="100"/>
      <c r="J439" s="100"/>
      <c r="K439" s="100"/>
      <c r="L439" s="100"/>
      <c r="M439" s="100"/>
      <c r="N439" s="100"/>
      <c r="O439" s="100"/>
      <c r="P439" s="100"/>
      <c r="Q439" s="100"/>
      <c r="R439" s="100"/>
      <c r="S439" s="100"/>
      <c r="T439" s="100"/>
      <c r="U439" s="100"/>
      <c r="V439" s="100"/>
      <c r="W439" s="100"/>
    </row>
    <row r="440" spans="1:24" ht="13.5" customHeight="1">
      <c r="A440" s="154">
        <v>21130502</v>
      </c>
      <c r="B440" s="72" t="s">
        <v>491</v>
      </c>
      <c r="C440" s="224">
        <v>4800000</v>
      </c>
      <c r="D440" s="200"/>
      <c r="E440" s="201"/>
      <c r="F440" s="100"/>
      <c r="G440" s="100"/>
      <c r="H440" s="100"/>
      <c r="I440" s="100"/>
      <c r="J440" s="100"/>
      <c r="K440" s="100"/>
      <c r="L440" s="100"/>
      <c r="M440" s="100"/>
      <c r="N440" s="100"/>
      <c r="O440" s="100"/>
      <c r="P440" s="100"/>
      <c r="Q440" s="100"/>
      <c r="R440" s="100"/>
      <c r="S440" s="100"/>
      <c r="T440" s="100"/>
      <c r="U440" s="100"/>
      <c r="V440" s="100"/>
      <c r="W440" s="100"/>
    </row>
    <row r="441" spans="1:24" ht="13.5" customHeight="1">
      <c r="A441" s="76">
        <v>211309</v>
      </c>
      <c r="B441" s="217" t="s">
        <v>496</v>
      </c>
      <c r="C441" s="256">
        <f>+SUM(C442:C444)</f>
        <v>36540000</v>
      </c>
      <c r="D441" s="200"/>
      <c r="E441" s="201"/>
      <c r="F441" s="100"/>
      <c r="G441" s="100"/>
      <c r="H441" s="100"/>
      <c r="I441" s="100"/>
      <c r="J441" s="100"/>
      <c r="K441" s="100"/>
      <c r="L441" s="100"/>
      <c r="M441" s="100"/>
      <c r="N441" s="100"/>
      <c r="O441" s="100"/>
      <c r="P441" s="100"/>
      <c r="Q441" s="100"/>
      <c r="R441" s="100"/>
      <c r="S441" s="100"/>
      <c r="T441" s="100"/>
      <c r="U441" s="100"/>
      <c r="V441" s="100"/>
      <c r="W441" s="100"/>
    </row>
    <row r="442" spans="1:24" ht="13.5" customHeight="1">
      <c r="A442" s="233">
        <v>21130901</v>
      </c>
      <c r="B442" s="77" t="s">
        <v>497</v>
      </c>
      <c r="C442" s="224">
        <f>2000000+1500000</f>
        <v>3500000</v>
      </c>
      <c r="D442" s="200"/>
      <c r="E442" s="201"/>
      <c r="F442" s="100"/>
      <c r="G442" s="100"/>
      <c r="H442" s="100"/>
      <c r="I442" s="100"/>
      <c r="J442" s="100"/>
      <c r="K442" s="100"/>
      <c r="L442" s="100"/>
      <c r="M442" s="100"/>
      <c r="N442" s="100"/>
      <c r="O442" s="100"/>
      <c r="P442" s="100"/>
      <c r="Q442" s="100"/>
      <c r="R442" s="100"/>
      <c r="S442" s="100"/>
      <c r="T442" s="100"/>
      <c r="U442" s="100"/>
      <c r="V442" s="100"/>
      <c r="W442" s="100"/>
    </row>
    <row r="443" spans="1:24" ht="13.5" customHeight="1">
      <c r="A443" s="233">
        <v>21130906</v>
      </c>
      <c r="B443" s="77" t="s">
        <v>499</v>
      </c>
      <c r="C443" s="224">
        <v>31840000</v>
      </c>
      <c r="D443" s="200"/>
      <c r="E443" s="201"/>
      <c r="F443" s="100"/>
      <c r="G443" s="100"/>
      <c r="H443" s="100"/>
      <c r="I443" s="100"/>
      <c r="J443" s="100"/>
      <c r="K443" s="100"/>
      <c r="L443" s="100"/>
      <c r="M443" s="100"/>
      <c r="N443" s="100"/>
      <c r="O443" s="100"/>
      <c r="P443" s="100"/>
      <c r="Q443" s="100"/>
      <c r="R443" s="100"/>
      <c r="S443" s="100"/>
      <c r="T443" s="100"/>
      <c r="U443" s="100"/>
      <c r="V443" s="100"/>
      <c r="W443" s="100"/>
    </row>
    <row r="444" spans="1:24" ht="13.5" customHeight="1">
      <c r="A444" s="233">
        <v>21130908</v>
      </c>
      <c r="B444" s="77" t="s">
        <v>500</v>
      </c>
      <c r="C444" s="224">
        <f>500000+700000</f>
        <v>1200000</v>
      </c>
      <c r="D444" s="200"/>
      <c r="E444" s="201"/>
      <c r="F444" s="100"/>
      <c r="G444" s="100"/>
      <c r="H444" s="100"/>
      <c r="I444" s="100"/>
      <c r="J444" s="100"/>
      <c r="K444" s="100"/>
      <c r="L444" s="100"/>
      <c r="M444" s="100"/>
      <c r="N444" s="100"/>
      <c r="O444" s="100"/>
      <c r="P444" s="100"/>
      <c r="Q444" s="100"/>
      <c r="R444" s="100"/>
      <c r="S444" s="100"/>
      <c r="T444" s="100"/>
      <c r="U444" s="100"/>
      <c r="V444" s="100"/>
      <c r="W444" s="100"/>
    </row>
    <row r="445" spans="1:24" ht="13.5" customHeight="1">
      <c r="A445" s="233"/>
      <c r="B445" s="77"/>
      <c r="C445" s="224"/>
      <c r="D445" s="200"/>
      <c r="E445" s="201"/>
      <c r="F445" s="100"/>
      <c r="G445" s="100"/>
      <c r="H445" s="100"/>
      <c r="I445" s="100"/>
      <c r="J445" s="100"/>
      <c r="K445" s="100"/>
      <c r="L445" s="100"/>
      <c r="M445" s="100"/>
      <c r="N445" s="100"/>
      <c r="O445" s="100"/>
      <c r="P445" s="100"/>
      <c r="Q445" s="100"/>
      <c r="R445" s="100"/>
      <c r="S445" s="100"/>
      <c r="T445" s="100"/>
      <c r="U445" s="100"/>
      <c r="V445" s="100"/>
      <c r="W445" s="100"/>
    </row>
    <row r="446" spans="1:24" ht="13.5" customHeight="1" thickBot="1">
      <c r="A446" s="75"/>
      <c r="B446" s="75"/>
      <c r="C446" s="36"/>
      <c r="D446" s="200"/>
      <c r="E446" s="201"/>
      <c r="F446" s="100"/>
      <c r="G446" s="100"/>
      <c r="H446" s="100"/>
      <c r="I446" s="100"/>
      <c r="J446" s="100"/>
      <c r="K446" s="100"/>
      <c r="L446" s="100"/>
      <c r="M446" s="100"/>
      <c r="N446" s="100"/>
      <c r="O446" s="100"/>
      <c r="P446" s="100"/>
      <c r="Q446" s="100"/>
      <c r="R446" s="100"/>
      <c r="S446" s="100"/>
      <c r="T446" s="100"/>
      <c r="U446" s="100"/>
      <c r="V446" s="100"/>
      <c r="W446" s="100"/>
    </row>
    <row r="447" spans="1:24" ht="13.5" customHeight="1">
      <c r="A447" s="1308" t="s">
        <v>901</v>
      </c>
      <c r="B447" s="1309"/>
      <c r="C447" s="1232">
        <v>1507</v>
      </c>
      <c r="D447" s="200"/>
      <c r="E447" s="201"/>
      <c r="F447" s="100"/>
      <c r="G447" s="100"/>
      <c r="H447" s="100"/>
      <c r="I447" s="100"/>
      <c r="J447" s="100"/>
      <c r="K447" s="100"/>
      <c r="L447" s="100"/>
      <c r="M447" s="100"/>
      <c r="N447" s="100"/>
      <c r="O447" s="100"/>
      <c r="P447" s="100"/>
      <c r="Q447" s="100"/>
      <c r="R447" s="100"/>
      <c r="S447" s="100"/>
      <c r="T447" s="100"/>
      <c r="U447" s="100"/>
      <c r="V447" s="100"/>
      <c r="W447" s="100"/>
    </row>
    <row r="448" spans="1:24" ht="13.5" customHeight="1" thickBot="1">
      <c r="A448" s="1344"/>
      <c r="B448" s="1345"/>
      <c r="C448" s="1253"/>
      <c r="D448" s="200"/>
      <c r="E448" s="201"/>
      <c r="F448" s="100"/>
      <c r="G448" s="100"/>
      <c r="H448" s="100"/>
      <c r="I448" s="100"/>
      <c r="J448" s="100"/>
      <c r="K448" s="100"/>
      <c r="L448" s="100"/>
      <c r="M448" s="100"/>
      <c r="N448" s="100"/>
      <c r="O448" s="100"/>
      <c r="P448" s="100"/>
      <c r="Q448" s="100"/>
      <c r="R448" s="100"/>
      <c r="S448" s="100"/>
      <c r="T448" s="100"/>
      <c r="U448" s="100"/>
      <c r="V448" s="100"/>
      <c r="W448" s="100"/>
    </row>
    <row r="449" spans="1:23" ht="13.5" customHeight="1">
      <c r="A449" s="608" t="s">
        <v>671</v>
      </c>
      <c r="B449" s="612"/>
      <c r="C449" s="626"/>
      <c r="D449" s="200"/>
      <c r="E449" s="201"/>
      <c r="F449" s="100"/>
      <c r="G449" s="100"/>
      <c r="H449" s="100"/>
      <c r="I449" s="100"/>
      <c r="J449" s="100"/>
      <c r="K449" s="100"/>
      <c r="L449" s="100"/>
      <c r="M449" s="100"/>
      <c r="N449" s="100"/>
      <c r="O449" s="100"/>
      <c r="P449" s="100"/>
      <c r="Q449" s="100"/>
      <c r="R449" s="100"/>
      <c r="S449" s="100"/>
      <c r="T449" s="100"/>
      <c r="U449" s="100"/>
      <c r="V449" s="100"/>
      <c r="W449" s="100"/>
    </row>
    <row r="450" spans="1:23" ht="13.5" customHeight="1">
      <c r="A450" s="609" t="s">
        <v>722</v>
      </c>
      <c r="B450" s="611"/>
      <c r="C450" s="626"/>
      <c r="D450" s="200"/>
      <c r="E450" s="201"/>
      <c r="F450" s="100"/>
      <c r="G450" s="100"/>
      <c r="H450" s="100"/>
      <c r="I450" s="100"/>
      <c r="J450" s="100"/>
      <c r="K450" s="100"/>
      <c r="L450" s="100"/>
      <c r="M450" s="100"/>
      <c r="N450" s="100"/>
      <c r="O450" s="100"/>
      <c r="P450" s="100"/>
      <c r="Q450" s="100"/>
      <c r="R450" s="100"/>
      <c r="S450" s="100"/>
      <c r="T450" s="100"/>
      <c r="U450" s="100"/>
      <c r="V450" s="100"/>
      <c r="W450" s="100"/>
    </row>
    <row r="451" spans="1:23" ht="13.5" customHeight="1">
      <c r="A451" s="609" t="s">
        <v>723</v>
      </c>
      <c r="B451" s="611"/>
      <c r="C451" s="626"/>
      <c r="D451" s="200"/>
      <c r="E451" s="201"/>
      <c r="F451" s="100"/>
      <c r="G451" s="100"/>
      <c r="H451" s="100"/>
      <c r="I451" s="100"/>
      <c r="J451" s="100"/>
      <c r="K451" s="100"/>
      <c r="L451" s="100"/>
      <c r="M451" s="100"/>
      <c r="N451" s="100"/>
      <c r="O451" s="100"/>
      <c r="P451" s="100"/>
      <c r="Q451" s="100"/>
      <c r="R451" s="100"/>
      <c r="S451" s="100"/>
      <c r="T451" s="100"/>
      <c r="U451" s="100"/>
      <c r="V451" s="100"/>
      <c r="W451" s="100"/>
    </row>
    <row r="452" spans="1:23" ht="13.5" customHeight="1" thickBot="1">
      <c r="A452" s="609" t="s">
        <v>0</v>
      </c>
      <c r="B452" s="634"/>
      <c r="C452" s="635"/>
      <c r="D452" s="200"/>
      <c r="E452" s="201"/>
      <c r="F452" s="100"/>
      <c r="G452" s="100"/>
      <c r="H452" s="100"/>
      <c r="I452" s="100"/>
      <c r="J452" s="100"/>
      <c r="K452" s="100"/>
      <c r="L452" s="100"/>
      <c r="M452" s="100"/>
      <c r="N452" s="100"/>
      <c r="O452" s="100"/>
      <c r="P452" s="100"/>
      <c r="Q452" s="100"/>
      <c r="R452" s="100"/>
      <c r="S452" s="100"/>
      <c r="T452" s="100"/>
      <c r="U452" s="100"/>
      <c r="V452" s="100"/>
      <c r="W452" s="100"/>
    </row>
    <row r="453" spans="1:23" ht="13.5" customHeight="1" thickBot="1">
      <c r="A453" s="1086" t="s">
        <v>1</v>
      </c>
      <c r="B453" s="1087"/>
      <c r="C453" s="638">
        <f>C455+C471+C482+C496+C532</f>
        <v>31511920</v>
      </c>
      <c r="D453" s="200"/>
      <c r="E453" s="201"/>
      <c r="F453" s="100"/>
      <c r="G453" s="100"/>
      <c r="H453" s="100"/>
      <c r="I453" s="100"/>
      <c r="J453" s="100"/>
      <c r="K453" s="100"/>
      <c r="L453" s="100"/>
      <c r="M453" s="100"/>
      <c r="N453" s="100"/>
      <c r="O453" s="100"/>
      <c r="P453" s="100"/>
      <c r="Q453" s="100"/>
      <c r="R453" s="100"/>
      <c r="S453" s="100"/>
      <c r="T453" s="100"/>
      <c r="U453" s="100"/>
      <c r="V453" s="100"/>
      <c r="W453" s="100"/>
    </row>
    <row r="454" spans="1:23" ht="13.5" customHeight="1" thickBot="1">
      <c r="A454" s="75"/>
      <c r="B454" s="75"/>
      <c r="C454" s="36"/>
      <c r="D454" s="200"/>
      <c r="E454" s="201"/>
      <c r="F454" s="100"/>
      <c r="G454" s="100"/>
      <c r="H454" s="100"/>
      <c r="I454" s="100"/>
      <c r="J454" s="100"/>
      <c r="K454" s="100"/>
      <c r="L454" s="100"/>
      <c r="M454" s="100"/>
      <c r="N454" s="100"/>
      <c r="O454" s="100"/>
      <c r="P454" s="100"/>
      <c r="Q454" s="100"/>
      <c r="R454" s="100"/>
      <c r="S454" s="100"/>
      <c r="T454" s="100"/>
      <c r="U454" s="100"/>
      <c r="V454" s="100"/>
      <c r="W454" s="100"/>
    </row>
    <row r="455" spans="1:23" ht="13.5" customHeight="1" thickBot="1">
      <c r="A455" s="1356" t="s">
        <v>9</v>
      </c>
      <c r="B455" s="1281"/>
      <c r="C455" s="212">
        <f>C456+C458+C460+C462+C466</f>
        <v>2148220</v>
      </c>
      <c r="D455" s="200"/>
      <c r="E455" s="201"/>
      <c r="F455" s="100"/>
      <c r="G455" s="100"/>
      <c r="H455" s="100"/>
      <c r="I455" s="100"/>
      <c r="J455" s="100"/>
      <c r="K455" s="100"/>
      <c r="L455" s="100"/>
      <c r="M455" s="100"/>
      <c r="N455" s="100"/>
      <c r="O455" s="100"/>
      <c r="P455" s="100"/>
      <c r="Q455" s="100"/>
      <c r="R455" s="100"/>
      <c r="S455" s="100"/>
      <c r="T455" s="100"/>
      <c r="U455" s="100"/>
      <c r="V455" s="100"/>
      <c r="W455" s="100"/>
    </row>
    <row r="456" spans="1:23" ht="13.5" customHeight="1">
      <c r="A456" s="76">
        <v>211201</v>
      </c>
      <c r="B456" s="76" t="s">
        <v>459</v>
      </c>
      <c r="C456" s="155">
        <f>SUM(C457)</f>
        <v>550000</v>
      </c>
      <c r="D456" s="200"/>
      <c r="E456" s="201"/>
      <c r="F456" s="100"/>
      <c r="G456" s="100"/>
      <c r="H456" s="100"/>
      <c r="I456" s="100"/>
      <c r="J456" s="100"/>
      <c r="K456" s="100"/>
      <c r="L456" s="100"/>
      <c r="M456" s="100"/>
      <c r="N456" s="100"/>
      <c r="O456" s="100"/>
      <c r="P456" s="100"/>
      <c r="Q456" s="100"/>
      <c r="R456" s="100"/>
      <c r="S456" s="100"/>
      <c r="T456" s="100"/>
      <c r="U456" s="100"/>
      <c r="V456" s="100"/>
      <c r="W456" s="100"/>
    </row>
    <row r="457" spans="1:23" ht="13.5" customHeight="1">
      <c r="A457" s="154">
        <v>21120101</v>
      </c>
      <c r="B457" s="100" t="s">
        <v>460</v>
      </c>
      <c r="C457" s="72">
        <f>150000+400000</f>
        <v>550000</v>
      </c>
      <c r="D457" s="200"/>
      <c r="E457" s="201"/>
      <c r="F457" s="100"/>
      <c r="G457" s="100"/>
      <c r="H457" s="100"/>
      <c r="I457" s="100"/>
      <c r="J457" s="100"/>
      <c r="K457" s="100"/>
      <c r="L457" s="100"/>
      <c r="M457" s="100"/>
      <c r="N457" s="100"/>
      <c r="O457" s="100"/>
      <c r="P457" s="100"/>
      <c r="Q457" s="100"/>
      <c r="R457" s="100"/>
      <c r="S457" s="100"/>
      <c r="T457" s="100"/>
      <c r="U457" s="100"/>
      <c r="V457" s="100"/>
      <c r="W457" s="100"/>
    </row>
    <row r="458" spans="1:23" ht="13.5" customHeight="1">
      <c r="A458" s="76">
        <v>211203</v>
      </c>
      <c r="B458" s="75" t="s">
        <v>461</v>
      </c>
      <c r="C458" s="36">
        <f>SUM(C459)</f>
        <v>180000</v>
      </c>
      <c r="D458" s="200"/>
      <c r="E458" s="201"/>
      <c r="F458" s="100"/>
      <c r="G458" s="100"/>
      <c r="H458" s="100"/>
      <c r="I458" s="100"/>
      <c r="J458" s="100"/>
      <c r="K458" s="100"/>
      <c r="L458" s="100"/>
      <c r="M458" s="100"/>
      <c r="N458" s="100"/>
      <c r="O458" s="100"/>
      <c r="P458" s="100"/>
      <c r="Q458" s="100"/>
      <c r="R458" s="100"/>
      <c r="S458" s="100"/>
      <c r="T458" s="100"/>
      <c r="U458" s="100"/>
      <c r="V458" s="100"/>
      <c r="W458" s="100"/>
    </row>
    <row r="459" spans="1:23" ht="13.5" customHeight="1">
      <c r="A459" s="154">
        <v>21120302</v>
      </c>
      <c r="B459" s="100" t="s">
        <v>462</v>
      </c>
      <c r="C459" s="72">
        <f>60000+120000</f>
        <v>180000</v>
      </c>
      <c r="D459" s="200"/>
      <c r="E459" s="201"/>
      <c r="F459" s="100"/>
      <c r="G459" s="100"/>
      <c r="H459" s="100"/>
      <c r="I459" s="100"/>
      <c r="J459" s="100"/>
      <c r="K459" s="100"/>
      <c r="L459" s="100"/>
      <c r="M459" s="100"/>
      <c r="N459" s="100"/>
      <c r="O459" s="100"/>
      <c r="P459" s="100"/>
      <c r="Q459" s="100"/>
      <c r="R459" s="100"/>
      <c r="S459" s="100"/>
      <c r="T459" s="100"/>
      <c r="U459" s="100"/>
      <c r="V459" s="100"/>
      <c r="W459" s="100"/>
    </row>
    <row r="460" spans="1:23" ht="13.5" customHeight="1">
      <c r="A460" s="76">
        <v>211204</v>
      </c>
      <c r="B460" s="75" t="s">
        <v>463</v>
      </c>
      <c r="C460" s="36">
        <f>SUM(C461)</f>
        <v>400000</v>
      </c>
      <c r="D460" s="200"/>
      <c r="E460" s="201"/>
      <c r="F460" s="100"/>
      <c r="G460" s="100"/>
      <c r="H460" s="100"/>
      <c r="I460" s="100"/>
      <c r="J460" s="100"/>
      <c r="K460" s="100"/>
      <c r="L460" s="100"/>
      <c r="M460" s="100"/>
      <c r="N460" s="100"/>
      <c r="O460" s="100"/>
      <c r="P460" s="100"/>
      <c r="Q460" s="100"/>
      <c r="R460" s="100"/>
      <c r="S460" s="100"/>
      <c r="T460" s="100"/>
      <c r="U460" s="100"/>
      <c r="V460" s="100"/>
      <c r="W460" s="100"/>
    </row>
    <row r="461" spans="1:23" ht="13.5" customHeight="1">
      <c r="A461" s="154">
        <v>21120401</v>
      </c>
      <c r="B461" s="72" t="s">
        <v>464</v>
      </c>
      <c r="C461" s="72">
        <f>200000+20000+60000+120000</f>
        <v>400000</v>
      </c>
      <c r="D461" s="200"/>
      <c r="E461" s="201"/>
      <c r="F461" s="100"/>
      <c r="G461" s="100"/>
      <c r="H461" s="100"/>
      <c r="I461" s="100"/>
      <c r="J461" s="100"/>
      <c r="K461" s="100"/>
      <c r="L461" s="100"/>
      <c r="M461" s="100"/>
      <c r="N461" s="100"/>
      <c r="O461" s="100"/>
      <c r="P461" s="100"/>
      <c r="Q461" s="100"/>
      <c r="R461" s="100"/>
      <c r="S461" s="100"/>
      <c r="T461" s="100"/>
      <c r="U461" s="100"/>
      <c r="V461" s="100"/>
      <c r="W461" s="100"/>
    </row>
    <row r="462" spans="1:23" ht="13.5" customHeight="1">
      <c r="A462" s="76">
        <v>211207</v>
      </c>
      <c r="B462" s="848" t="s">
        <v>467</v>
      </c>
      <c r="C462" s="36">
        <f>SUM(C463:C465)</f>
        <v>268220</v>
      </c>
      <c r="D462" s="200"/>
      <c r="E462" s="201"/>
      <c r="F462" s="100"/>
      <c r="G462" s="100"/>
      <c r="H462" s="100"/>
      <c r="I462" s="100"/>
      <c r="J462" s="100"/>
      <c r="K462" s="100"/>
      <c r="L462" s="100"/>
      <c r="M462" s="100"/>
      <c r="N462" s="100"/>
      <c r="O462" s="100"/>
      <c r="P462" s="100"/>
      <c r="Q462" s="100"/>
      <c r="R462" s="100"/>
      <c r="S462" s="100"/>
      <c r="T462" s="100"/>
      <c r="U462" s="100"/>
      <c r="V462" s="100"/>
      <c r="W462" s="100"/>
    </row>
    <row r="463" spans="1:23" ht="13.5" customHeight="1">
      <c r="A463" s="154">
        <v>21120702</v>
      </c>
      <c r="B463" s="77" t="s">
        <v>468</v>
      </c>
      <c r="C463" s="72">
        <f>60000+7000</f>
        <v>67000</v>
      </c>
      <c r="D463" s="200"/>
      <c r="E463" s="201"/>
      <c r="F463" s="100"/>
      <c r="G463" s="100"/>
      <c r="H463" s="100"/>
      <c r="I463" s="100"/>
      <c r="J463" s="100"/>
      <c r="K463" s="100"/>
      <c r="L463" s="100"/>
      <c r="M463" s="100"/>
      <c r="N463" s="100"/>
      <c r="O463" s="100"/>
      <c r="P463" s="100"/>
      <c r="Q463" s="100"/>
      <c r="R463" s="100"/>
      <c r="S463" s="100"/>
      <c r="T463" s="100"/>
      <c r="U463" s="100"/>
      <c r="V463" s="100"/>
      <c r="W463" s="100"/>
    </row>
    <row r="464" spans="1:23" ht="13.5" customHeight="1">
      <c r="A464" s="154">
        <v>21120708</v>
      </c>
      <c r="B464" s="77" t="s">
        <v>470</v>
      </c>
      <c r="C464" s="72">
        <f>70000+9720</f>
        <v>79720</v>
      </c>
      <c r="D464" s="200"/>
      <c r="E464" s="201"/>
      <c r="F464" s="100"/>
      <c r="G464" s="100"/>
      <c r="H464" s="100"/>
      <c r="I464" s="100"/>
      <c r="J464" s="100"/>
      <c r="K464" s="100"/>
      <c r="L464" s="100"/>
      <c r="M464" s="100"/>
      <c r="N464" s="100"/>
      <c r="O464" s="100"/>
      <c r="P464" s="100"/>
      <c r="Q464" s="100"/>
      <c r="R464" s="100"/>
      <c r="S464" s="100"/>
      <c r="T464" s="100"/>
      <c r="U464" s="100"/>
      <c r="V464" s="100"/>
      <c r="W464" s="100"/>
    </row>
    <row r="465" spans="1:23" ht="13.5" customHeight="1">
      <c r="A465" s="154">
        <v>21120709</v>
      </c>
      <c r="B465" s="72" t="s">
        <v>471</v>
      </c>
      <c r="C465" s="72">
        <f>100000+21500</f>
        <v>121500</v>
      </c>
      <c r="D465" s="200"/>
      <c r="E465" s="201"/>
      <c r="F465" s="100"/>
      <c r="G465" s="100"/>
      <c r="H465" s="100"/>
      <c r="I465" s="100"/>
      <c r="J465" s="100"/>
      <c r="K465" s="100"/>
      <c r="L465" s="100"/>
      <c r="M465" s="100"/>
      <c r="N465" s="100"/>
      <c r="O465" s="100"/>
      <c r="P465" s="100"/>
      <c r="Q465" s="100"/>
      <c r="R465" s="100"/>
      <c r="S465" s="100"/>
      <c r="T465" s="100"/>
      <c r="U465" s="100"/>
      <c r="V465" s="100"/>
      <c r="W465" s="100"/>
    </row>
    <row r="466" spans="1:23" ht="13.5" customHeight="1">
      <c r="A466" s="76">
        <v>211209</v>
      </c>
      <c r="B466" s="36" t="s">
        <v>477</v>
      </c>
      <c r="C466" s="36">
        <f>SUM(C467:C469)</f>
        <v>750000</v>
      </c>
      <c r="D466" s="200"/>
      <c r="E466" s="201"/>
      <c r="F466" s="100"/>
      <c r="G466" s="100"/>
      <c r="H466" s="100"/>
      <c r="I466" s="100"/>
      <c r="J466" s="100"/>
      <c r="K466" s="100"/>
      <c r="L466" s="100"/>
      <c r="M466" s="100"/>
      <c r="N466" s="100"/>
      <c r="O466" s="100"/>
      <c r="P466" s="100"/>
      <c r="Q466" s="100"/>
      <c r="R466" s="100"/>
      <c r="S466" s="100"/>
      <c r="T466" s="100"/>
      <c r="U466" s="100"/>
      <c r="V466" s="100"/>
      <c r="W466" s="100"/>
    </row>
    <row r="467" spans="1:23" ht="13.5" customHeight="1">
      <c r="A467" s="154">
        <v>21120901</v>
      </c>
      <c r="B467" s="72" t="s">
        <v>478</v>
      </c>
      <c r="C467" s="72">
        <f>80000+90000</f>
        <v>170000</v>
      </c>
      <c r="D467" s="200"/>
      <c r="E467" s="201"/>
      <c r="F467" s="100"/>
      <c r="G467" s="100"/>
      <c r="H467" s="100"/>
      <c r="I467" s="100"/>
      <c r="J467" s="100"/>
      <c r="K467" s="100"/>
      <c r="L467" s="100"/>
      <c r="M467" s="100"/>
      <c r="N467" s="100"/>
      <c r="O467" s="100"/>
      <c r="P467" s="100"/>
      <c r="Q467" s="100"/>
      <c r="R467" s="100"/>
      <c r="S467" s="100"/>
      <c r="T467" s="100"/>
      <c r="U467" s="100"/>
      <c r="V467" s="100"/>
      <c r="W467" s="100"/>
    </row>
    <row r="468" spans="1:23" ht="13.5" customHeight="1">
      <c r="A468" s="154">
        <v>21120906</v>
      </c>
      <c r="B468" s="72" t="s">
        <v>479</v>
      </c>
      <c r="C468" s="72">
        <f>80000+350000</f>
        <v>430000</v>
      </c>
      <c r="D468" s="200"/>
      <c r="E468" s="201"/>
      <c r="F468" s="100"/>
      <c r="G468" s="100"/>
      <c r="H468" s="100"/>
      <c r="I468" s="100"/>
      <c r="J468" s="100"/>
      <c r="K468" s="100"/>
      <c r="L468" s="100"/>
      <c r="M468" s="100"/>
      <c r="N468" s="100"/>
      <c r="O468" s="100"/>
      <c r="P468" s="100"/>
      <c r="Q468" s="100"/>
      <c r="R468" s="100"/>
      <c r="S468" s="100"/>
      <c r="T468" s="100"/>
      <c r="U468" s="100"/>
      <c r="V468" s="100"/>
      <c r="W468" s="100"/>
    </row>
    <row r="469" spans="1:23" ht="13.5" customHeight="1">
      <c r="A469" s="154">
        <v>21120907</v>
      </c>
      <c r="B469" s="77" t="s">
        <v>480</v>
      </c>
      <c r="C469" s="224">
        <v>150000</v>
      </c>
      <c r="D469" s="200"/>
      <c r="E469" s="201"/>
      <c r="F469" s="100"/>
      <c r="G469" s="100"/>
      <c r="H469" s="100"/>
      <c r="I469" s="100"/>
      <c r="J469" s="100"/>
      <c r="K469" s="100"/>
      <c r="L469" s="100"/>
      <c r="M469" s="100"/>
      <c r="N469" s="100"/>
      <c r="O469" s="100"/>
      <c r="P469" s="100"/>
      <c r="Q469" s="100"/>
      <c r="R469" s="100"/>
      <c r="S469" s="100"/>
      <c r="T469" s="100"/>
      <c r="U469" s="100"/>
      <c r="V469" s="100"/>
      <c r="W469" s="100"/>
    </row>
    <row r="470" spans="1:23" ht="13.5" customHeight="1" thickBot="1">
      <c r="A470" s="100"/>
      <c r="B470" s="72"/>
      <c r="C470" s="72"/>
      <c r="D470" s="200"/>
      <c r="E470" s="201"/>
      <c r="F470" s="100"/>
      <c r="G470" s="100"/>
      <c r="H470" s="100"/>
      <c r="I470" s="100"/>
      <c r="J470" s="100"/>
      <c r="K470" s="100"/>
      <c r="L470" s="100"/>
      <c r="M470" s="100"/>
      <c r="N470" s="100"/>
      <c r="O470" s="100"/>
      <c r="P470" s="100"/>
      <c r="Q470" s="100"/>
      <c r="R470" s="100"/>
      <c r="S470" s="100"/>
      <c r="T470" s="100"/>
      <c r="U470" s="100"/>
      <c r="V470" s="100"/>
      <c r="W470" s="100"/>
    </row>
    <row r="471" spans="1:23" ht="13.5" customHeight="1" thickBot="1">
      <c r="A471" s="1354" t="s">
        <v>4</v>
      </c>
      <c r="B471" s="1281"/>
      <c r="C471" s="220">
        <f>C472+C477+C474</f>
        <v>4094200</v>
      </c>
      <c r="D471" s="200"/>
      <c r="E471" s="201"/>
      <c r="F471" s="100"/>
      <c r="G471" s="100"/>
      <c r="H471" s="100"/>
      <c r="I471" s="100"/>
      <c r="J471" s="100"/>
      <c r="K471" s="100"/>
      <c r="L471" s="100"/>
      <c r="M471" s="100"/>
      <c r="N471" s="100"/>
      <c r="O471" s="100"/>
      <c r="P471" s="100"/>
      <c r="Q471" s="100"/>
      <c r="R471" s="100"/>
      <c r="S471" s="100"/>
      <c r="T471" s="100"/>
      <c r="U471" s="100"/>
      <c r="V471" s="100"/>
      <c r="W471" s="100"/>
    </row>
    <row r="472" spans="1:23" ht="13.5" customHeight="1">
      <c r="A472" s="76">
        <v>211302</v>
      </c>
      <c r="B472" s="76" t="s">
        <v>481</v>
      </c>
      <c r="C472" s="155">
        <f>SUM(C473)</f>
        <v>390000</v>
      </c>
      <c r="D472" s="200"/>
      <c r="E472" s="201"/>
      <c r="F472" s="100"/>
      <c r="G472" s="100"/>
      <c r="H472" s="100"/>
      <c r="I472" s="100"/>
      <c r="J472" s="100"/>
      <c r="K472" s="100"/>
      <c r="L472" s="100"/>
      <c r="M472" s="100"/>
      <c r="N472" s="100"/>
      <c r="O472" s="100"/>
      <c r="P472" s="100"/>
      <c r="Q472" s="100"/>
      <c r="R472" s="100"/>
      <c r="S472" s="100"/>
      <c r="T472" s="100"/>
      <c r="U472" s="100"/>
      <c r="V472" s="100"/>
      <c r="W472" s="100"/>
    </row>
    <row r="473" spans="1:23" ht="13.5" customHeight="1">
      <c r="A473" s="154">
        <v>21130204</v>
      </c>
      <c r="B473" s="72" t="s">
        <v>483</v>
      </c>
      <c r="C473" s="72">
        <f>50000+60000+280000</f>
        <v>390000</v>
      </c>
      <c r="D473" s="200"/>
      <c r="E473" s="201"/>
      <c r="F473" s="100"/>
      <c r="G473" s="100"/>
      <c r="H473" s="100"/>
      <c r="I473" s="100"/>
      <c r="J473" s="100"/>
      <c r="K473" s="100"/>
      <c r="L473" s="100"/>
      <c r="M473" s="100"/>
      <c r="N473" s="100"/>
      <c r="O473" s="100"/>
      <c r="P473" s="100"/>
      <c r="Q473" s="100"/>
      <c r="R473" s="100"/>
      <c r="S473" s="100"/>
      <c r="T473" s="100"/>
      <c r="U473" s="100"/>
      <c r="V473" s="100"/>
      <c r="W473" s="100"/>
    </row>
    <row r="474" spans="1:23" ht="13.5" customHeight="1">
      <c r="A474" s="76">
        <v>211305</v>
      </c>
      <c r="B474" s="36" t="s">
        <v>489</v>
      </c>
      <c r="C474" s="36">
        <f>SUM(C475:C476)</f>
        <v>1728200</v>
      </c>
      <c r="D474" s="200"/>
      <c r="E474" s="201"/>
      <c r="F474" s="100"/>
      <c r="G474" s="100"/>
      <c r="H474" s="100"/>
      <c r="I474" s="100"/>
      <c r="J474" s="100"/>
      <c r="K474" s="100"/>
      <c r="L474" s="100"/>
      <c r="M474" s="100"/>
      <c r="N474" s="100"/>
      <c r="O474" s="100"/>
      <c r="P474" s="100"/>
      <c r="Q474" s="100"/>
      <c r="R474" s="100"/>
      <c r="S474" s="100"/>
      <c r="T474" s="100"/>
      <c r="U474" s="100"/>
      <c r="V474" s="100"/>
      <c r="W474" s="100"/>
    </row>
    <row r="475" spans="1:23" ht="13.5" customHeight="1">
      <c r="A475" s="154">
        <v>21130501</v>
      </c>
      <c r="B475" s="77" t="s">
        <v>490</v>
      </c>
      <c r="C475" s="72">
        <v>600000</v>
      </c>
      <c r="D475" s="200"/>
      <c r="E475" s="201"/>
      <c r="F475" s="100"/>
      <c r="G475" s="100"/>
      <c r="H475" s="100"/>
      <c r="I475" s="100"/>
      <c r="J475" s="100"/>
      <c r="K475" s="100"/>
      <c r="L475" s="100"/>
      <c r="M475" s="100"/>
      <c r="N475" s="100"/>
      <c r="O475" s="100"/>
      <c r="P475" s="100"/>
      <c r="Q475" s="100"/>
      <c r="R475" s="100"/>
      <c r="S475" s="100"/>
      <c r="T475" s="100"/>
      <c r="U475" s="100"/>
      <c r="V475" s="100"/>
      <c r="W475" s="100"/>
    </row>
    <row r="476" spans="1:23" ht="13.5" customHeight="1">
      <c r="A476" s="154">
        <v>21130502</v>
      </c>
      <c r="B476" s="72" t="s">
        <v>491</v>
      </c>
      <c r="C476" s="72">
        <f>500000+300000+48200+280000</f>
        <v>1128200</v>
      </c>
      <c r="D476" s="200"/>
      <c r="E476" s="201"/>
      <c r="F476" s="100"/>
      <c r="G476" s="100"/>
      <c r="H476" s="100"/>
      <c r="I476" s="100"/>
      <c r="J476" s="100"/>
      <c r="K476" s="100"/>
      <c r="L476" s="100"/>
      <c r="M476" s="100"/>
      <c r="N476" s="100"/>
      <c r="O476" s="100"/>
      <c r="P476" s="100"/>
      <c r="Q476" s="100"/>
      <c r="R476" s="100"/>
      <c r="S476" s="100"/>
      <c r="T476" s="100"/>
      <c r="U476" s="100"/>
      <c r="V476" s="100"/>
      <c r="W476" s="100"/>
    </row>
    <row r="477" spans="1:23" ht="13.5" customHeight="1">
      <c r="A477" s="76">
        <v>211309</v>
      </c>
      <c r="B477" s="36" t="s">
        <v>496</v>
      </c>
      <c r="C477" s="36">
        <f>SUM(C478:C480)</f>
        <v>1976000</v>
      </c>
      <c r="D477" s="200"/>
      <c r="E477" s="201"/>
      <c r="F477" s="100"/>
      <c r="G477" s="100"/>
      <c r="H477" s="100"/>
      <c r="I477" s="100"/>
      <c r="J477" s="100"/>
      <c r="K477" s="100"/>
      <c r="L477" s="100"/>
      <c r="M477" s="100"/>
      <c r="N477" s="100"/>
      <c r="O477" s="100"/>
      <c r="P477" s="100"/>
      <c r="Q477" s="100"/>
      <c r="R477" s="100"/>
      <c r="S477" s="100"/>
      <c r="T477" s="100"/>
      <c r="U477" s="100"/>
      <c r="V477" s="100"/>
      <c r="W477" s="100"/>
    </row>
    <row r="478" spans="1:23" ht="13.5" customHeight="1">
      <c r="A478" s="154">
        <v>21130901</v>
      </c>
      <c r="B478" s="72" t="s">
        <v>497</v>
      </c>
      <c r="C478" s="72">
        <f>500000+616000</f>
        <v>1116000</v>
      </c>
      <c r="D478" s="200"/>
      <c r="E478" s="201"/>
      <c r="F478" s="100"/>
      <c r="G478" s="100"/>
      <c r="H478" s="100"/>
      <c r="I478" s="100"/>
      <c r="J478" s="100"/>
      <c r="K478" s="100"/>
      <c r="L478" s="100"/>
      <c r="M478" s="100"/>
      <c r="N478" s="100"/>
      <c r="O478" s="100"/>
      <c r="P478" s="100"/>
      <c r="Q478" s="100"/>
      <c r="R478" s="100"/>
      <c r="S478" s="100"/>
      <c r="T478" s="100"/>
      <c r="U478" s="100"/>
      <c r="V478" s="100"/>
      <c r="W478" s="100"/>
    </row>
    <row r="479" spans="1:23" ht="13.5" customHeight="1">
      <c r="A479" s="154">
        <v>21130903</v>
      </c>
      <c r="B479" s="72" t="s">
        <v>498</v>
      </c>
      <c r="C479" s="72">
        <f>100000+40000</f>
        <v>140000</v>
      </c>
      <c r="D479" s="200"/>
      <c r="E479" s="201"/>
      <c r="F479" s="100"/>
      <c r="G479" s="100"/>
      <c r="H479" s="100"/>
      <c r="I479" s="100"/>
      <c r="J479" s="100"/>
      <c r="K479" s="100"/>
      <c r="L479" s="100"/>
      <c r="M479" s="100"/>
      <c r="N479" s="100"/>
      <c r="O479" s="100"/>
      <c r="P479" s="100"/>
      <c r="Q479" s="100"/>
      <c r="R479" s="100"/>
      <c r="S479" s="100"/>
      <c r="T479" s="100"/>
      <c r="U479" s="100"/>
      <c r="V479" s="100"/>
      <c r="W479" s="100"/>
    </row>
    <row r="480" spans="1:23" ht="13.5" customHeight="1">
      <c r="A480" s="154">
        <v>21130908</v>
      </c>
      <c r="B480" s="72" t="s">
        <v>500</v>
      </c>
      <c r="C480" s="72">
        <f>400000+40000+280000</f>
        <v>720000</v>
      </c>
      <c r="D480" s="200"/>
      <c r="E480" s="201"/>
      <c r="F480" s="100"/>
      <c r="G480" s="100"/>
      <c r="H480" s="100"/>
      <c r="I480" s="100"/>
      <c r="J480" s="100"/>
      <c r="K480" s="100"/>
      <c r="L480" s="100"/>
      <c r="M480" s="100"/>
      <c r="N480" s="100"/>
      <c r="O480" s="100"/>
      <c r="P480" s="100"/>
      <c r="Q480" s="100"/>
      <c r="R480" s="100"/>
      <c r="S480" s="100"/>
      <c r="T480" s="100"/>
      <c r="U480" s="100"/>
      <c r="V480" s="100"/>
      <c r="W480" s="100"/>
    </row>
    <row r="481" spans="1:23" ht="13.5" customHeight="1" thickBot="1">
      <c r="A481" s="154"/>
      <c r="B481" s="100"/>
      <c r="C481" s="72"/>
      <c r="D481" s="200"/>
      <c r="E481" s="201"/>
      <c r="F481" s="100"/>
      <c r="G481" s="100"/>
      <c r="H481" s="100"/>
      <c r="I481" s="100"/>
      <c r="J481" s="100"/>
      <c r="K481" s="100"/>
      <c r="L481" s="100"/>
      <c r="M481" s="100"/>
      <c r="N481" s="100"/>
      <c r="O481" s="100"/>
      <c r="P481" s="100"/>
      <c r="Q481" s="100"/>
      <c r="R481" s="100"/>
      <c r="S481" s="100"/>
      <c r="T481" s="100"/>
      <c r="U481" s="100"/>
      <c r="V481" s="100"/>
      <c r="W481" s="100"/>
    </row>
    <row r="482" spans="1:23" ht="13.5" customHeight="1" thickBot="1">
      <c r="A482" s="1355" t="s">
        <v>48</v>
      </c>
      <c r="B482" s="1281"/>
      <c r="C482" s="232">
        <f>C483+C486</f>
        <v>75000</v>
      </c>
      <c r="D482" s="200"/>
      <c r="E482" s="201"/>
      <c r="F482" s="100"/>
      <c r="G482" s="100"/>
      <c r="H482" s="100"/>
      <c r="I482" s="100"/>
      <c r="J482" s="100"/>
      <c r="K482" s="100"/>
      <c r="L482" s="100"/>
      <c r="M482" s="100"/>
      <c r="N482" s="100"/>
      <c r="O482" s="100"/>
      <c r="P482" s="100"/>
      <c r="Q482" s="100"/>
      <c r="R482" s="100"/>
      <c r="S482" s="100"/>
      <c r="T482" s="100"/>
      <c r="U482" s="100"/>
      <c r="V482" s="100"/>
      <c r="W482" s="100"/>
    </row>
    <row r="483" spans="1:23" ht="13.5" customHeight="1">
      <c r="A483" s="76">
        <v>221104</v>
      </c>
      <c r="B483" s="826" t="s">
        <v>510</v>
      </c>
      <c r="C483" s="155">
        <f>SUM(C484:C485)</f>
        <v>45000</v>
      </c>
      <c r="D483" s="200"/>
      <c r="E483" s="201"/>
      <c r="F483" s="100"/>
      <c r="G483" s="100"/>
      <c r="H483" s="100"/>
      <c r="I483" s="100"/>
      <c r="J483" s="100"/>
      <c r="K483" s="100"/>
      <c r="L483" s="100"/>
      <c r="M483" s="100"/>
      <c r="N483" s="100"/>
      <c r="O483" s="100"/>
      <c r="P483" s="100"/>
      <c r="Q483" s="100"/>
      <c r="R483" s="100"/>
      <c r="S483" s="100"/>
      <c r="T483" s="100"/>
      <c r="U483" s="100"/>
      <c r="V483" s="100"/>
      <c r="W483" s="100"/>
    </row>
    <row r="484" spans="1:23" ht="13.5" customHeight="1">
      <c r="A484" s="154">
        <v>22110401</v>
      </c>
      <c r="B484" s="100" t="s">
        <v>511</v>
      </c>
      <c r="C484" s="72">
        <v>25000</v>
      </c>
      <c r="D484" s="200"/>
      <c r="E484" s="201"/>
      <c r="F484" s="100"/>
      <c r="G484" s="100"/>
      <c r="H484" s="100"/>
      <c r="I484" s="100"/>
      <c r="J484" s="100"/>
      <c r="K484" s="100"/>
      <c r="L484" s="100"/>
      <c r="M484" s="100"/>
      <c r="N484" s="100"/>
      <c r="O484" s="100"/>
      <c r="P484" s="100"/>
      <c r="Q484" s="100"/>
      <c r="R484" s="100"/>
      <c r="S484" s="100"/>
      <c r="T484" s="100"/>
      <c r="U484" s="100"/>
      <c r="V484" s="100"/>
      <c r="W484" s="100"/>
    </row>
    <row r="485" spans="1:23" ht="13.5" customHeight="1">
      <c r="A485" s="154">
        <v>22110409</v>
      </c>
      <c r="B485" s="72" t="s">
        <v>513</v>
      </c>
      <c r="C485" s="224">
        <v>20000</v>
      </c>
      <c r="D485" s="200"/>
      <c r="E485" s="201"/>
      <c r="F485" s="100"/>
      <c r="G485" s="100"/>
      <c r="H485" s="100"/>
      <c r="I485" s="100"/>
      <c r="J485" s="100"/>
      <c r="K485" s="100"/>
      <c r="L485" s="100"/>
      <c r="M485" s="100"/>
      <c r="N485" s="100"/>
      <c r="O485" s="100"/>
      <c r="P485" s="100"/>
      <c r="Q485" s="100"/>
      <c r="R485" s="100"/>
      <c r="S485" s="100"/>
      <c r="T485" s="100"/>
      <c r="U485" s="100"/>
      <c r="V485" s="100"/>
      <c r="W485" s="100"/>
    </row>
    <row r="486" spans="1:23" ht="13.5" customHeight="1">
      <c r="A486" s="76">
        <v>221107</v>
      </c>
      <c r="B486" s="36" t="s">
        <v>514</v>
      </c>
      <c r="C486" s="36">
        <f>SUM(C487)</f>
        <v>30000</v>
      </c>
      <c r="D486" s="200"/>
      <c r="E486" s="201"/>
      <c r="F486" s="100"/>
      <c r="G486" s="100"/>
      <c r="H486" s="100"/>
      <c r="I486" s="100"/>
      <c r="J486" s="100"/>
      <c r="K486" s="100"/>
      <c r="L486" s="100"/>
      <c r="M486" s="100"/>
      <c r="N486" s="100"/>
      <c r="O486" s="100"/>
      <c r="P486" s="100"/>
      <c r="Q486" s="100"/>
      <c r="R486" s="100"/>
      <c r="S486" s="100"/>
      <c r="T486" s="100"/>
      <c r="U486" s="100"/>
      <c r="V486" s="100"/>
      <c r="W486" s="100"/>
    </row>
    <row r="487" spans="1:23" ht="13.5" customHeight="1">
      <c r="A487" s="154">
        <v>22110702</v>
      </c>
      <c r="B487" s="72" t="s">
        <v>515</v>
      </c>
      <c r="C487" s="72">
        <v>30000</v>
      </c>
      <c r="D487" s="200"/>
      <c r="E487" s="201"/>
      <c r="F487" s="100"/>
      <c r="G487" s="100"/>
      <c r="H487" s="100"/>
      <c r="I487" s="100"/>
      <c r="J487" s="100"/>
      <c r="K487" s="100"/>
      <c r="L487" s="100"/>
      <c r="M487" s="100"/>
      <c r="N487" s="100"/>
      <c r="O487" s="100"/>
      <c r="P487" s="100"/>
      <c r="Q487" s="100"/>
      <c r="R487" s="100"/>
      <c r="S487" s="100"/>
      <c r="T487" s="100"/>
      <c r="U487" s="100"/>
      <c r="V487" s="100"/>
      <c r="W487" s="100"/>
    </row>
    <row r="488" spans="1:23" ht="13.5" customHeight="1">
      <c r="A488" s="154"/>
      <c r="B488" s="72"/>
      <c r="C488" s="72"/>
      <c r="D488" s="200"/>
      <c r="E488" s="201"/>
      <c r="F488" s="100"/>
      <c r="G488" s="100"/>
      <c r="H488" s="100"/>
      <c r="I488" s="100"/>
      <c r="J488" s="100"/>
      <c r="K488" s="100"/>
      <c r="L488" s="100"/>
      <c r="M488" s="100"/>
      <c r="N488" s="100"/>
      <c r="O488" s="100"/>
      <c r="P488" s="100"/>
      <c r="Q488" s="100"/>
      <c r="R488" s="100"/>
      <c r="S488" s="100"/>
      <c r="T488" s="100"/>
      <c r="U488" s="100"/>
      <c r="V488" s="100"/>
      <c r="W488" s="100"/>
    </row>
    <row r="489" spans="1:23" ht="13.5" customHeight="1" thickBot="1">
      <c r="A489" s="100"/>
      <c r="B489" s="100"/>
      <c r="C489" s="72"/>
      <c r="D489" s="200"/>
      <c r="E489" s="201"/>
      <c r="F489" s="100"/>
      <c r="G489" s="100"/>
      <c r="H489" s="100"/>
      <c r="I489" s="100"/>
      <c r="J489" s="100"/>
      <c r="K489" s="100"/>
      <c r="L489" s="100"/>
      <c r="M489" s="100"/>
      <c r="N489" s="100"/>
      <c r="O489" s="100"/>
      <c r="P489" s="100"/>
      <c r="Q489" s="100"/>
      <c r="R489" s="100"/>
      <c r="S489" s="100"/>
      <c r="T489" s="100"/>
      <c r="U489" s="100"/>
      <c r="V489" s="100"/>
      <c r="W489" s="100"/>
    </row>
    <row r="490" spans="1:23" ht="13.5" customHeight="1">
      <c r="A490" s="1340" t="s">
        <v>111</v>
      </c>
      <c r="B490" s="1341"/>
      <c r="C490" s="1256" t="s">
        <v>919</v>
      </c>
      <c r="D490" s="200"/>
      <c r="E490" s="201"/>
      <c r="F490" s="100"/>
      <c r="G490" s="100"/>
      <c r="H490" s="100"/>
      <c r="I490" s="100"/>
      <c r="J490" s="100"/>
      <c r="K490" s="100"/>
      <c r="L490" s="100"/>
      <c r="M490" s="100"/>
      <c r="N490" s="100"/>
      <c r="O490" s="100"/>
      <c r="P490" s="100"/>
      <c r="Q490" s="100"/>
      <c r="R490" s="100"/>
      <c r="S490" s="100"/>
      <c r="T490" s="100"/>
      <c r="U490" s="100"/>
      <c r="V490" s="100"/>
      <c r="W490" s="100"/>
    </row>
    <row r="491" spans="1:23" ht="13.5" customHeight="1" thickBot="1">
      <c r="A491" s="1342"/>
      <c r="B491" s="1343"/>
      <c r="C491" s="1253"/>
      <c r="D491" s="200"/>
      <c r="E491" s="201"/>
      <c r="F491" s="100"/>
      <c r="G491" s="100"/>
      <c r="H491" s="100"/>
      <c r="I491" s="100"/>
      <c r="J491" s="100"/>
      <c r="K491" s="100"/>
      <c r="L491" s="100"/>
      <c r="M491" s="100"/>
      <c r="N491" s="100"/>
      <c r="O491" s="100"/>
      <c r="P491" s="100"/>
      <c r="Q491" s="100"/>
      <c r="R491" s="100"/>
      <c r="S491" s="100"/>
      <c r="T491" s="100"/>
      <c r="U491" s="100"/>
      <c r="V491" s="100"/>
      <c r="W491" s="100"/>
    </row>
    <row r="492" spans="1:23" ht="13.5" customHeight="1">
      <c r="A492" s="609" t="s">
        <v>671</v>
      </c>
      <c r="B492" s="612"/>
      <c r="C492" s="626"/>
      <c r="D492" s="200"/>
      <c r="E492" s="201"/>
      <c r="F492" s="100"/>
      <c r="G492" s="100"/>
      <c r="H492" s="100"/>
      <c r="I492" s="100"/>
      <c r="J492" s="100"/>
      <c r="K492" s="100"/>
      <c r="L492" s="100"/>
      <c r="M492" s="100"/>
      <c r="N492" s="100"/>
      <c r="O492" s="100"/>
      <c r="P492" s="100"/>
      <c r="Q492" s="100"/>
      <c r="R492" s="100"/>
      <c r="S492" s="100"/>
      <c r="T492" s="100"/>
      <c r="U492" s="100"/>
      <c r="V492" s="100"/>
      <c r="W492" s="100"/>
    </row>
    <row r="493" spans="1:23" ht="13.5" customHeight="1">
      <c r="A493" s="609" t="s">
        <v>722</v>
      </c>
      <c r="B493" s="611"/>
      <c r="C493" s="626"/>
      <c r="D493" s="200"/>
      <c r="E493" s="201"/>
      <c r="F493" s="100"/>
      <c r="G493" s="100"/>
      <c r="H493" s="100"/>
      <c r="I493" s="100"/>
      <c r="J493" s="100"/>
      <c r="K493" s="100"/>
      <c r="L493" s="100"/>
      <c r="M493" s="100"/>
      <c r="N493" s="100"/>
      <c r="O493" s="100"/>
      <c r="P493" s="100"/>
      <c r="Q493" s="100"/>
      <c r="R493" s="100"/>
      <c r="S493" s="100"/>
      <c r="T493" s="100"/>
      <c r="U493" s="100"/>
      <c r="V493" s="100"/>
      <c r="W493" s="100"/>
    </row>
    <row r="494" spans="1:23" ht="13.5" customHeight="1">
      <c r="A494" s="609" t="s">
        <v>723</v>
      </c>
      <c r="B494" s="611"/>
      <c r="C494" s="626"/>
      <c r="D494" s="200"/>
      <c r="E494" s="201"/>
      <c r="F494" s="100"/>
      <c r="G494" s="100"/>
      <c r="H494" s="100"/>
      <c r="I494" s="100"/>
      <c r="J494" s="100"/>
      <c r="K494" s="100"/>
      <c r="L494" s="100"/>
      <c r="M494" s="100"/>
      <c r="N494" s="100"/>
      <c r="O494" s="100"/>
      <c r="P494" s="100"/>
      <c r="Q494" s="100"/>
      <c r="R494" s="100"/>
      <c r="S494" s="100"/>
      <c r="T494" s="100"/>
      <c r="U494" s="100"/>
      <c r="V494" s="100"/>
      <c r="W494" s="100"/>
    </row>
    <row r="495" spans="1:23" ht="13.5" customHeight="1" thickBot="1">
      <c r="A495" s="609" t="s">
        <v>0</v>
      </c>
      <c r="B495" s="142"/>
      <c r="C495" s="626"/>
      <c r="D495" s="200"/>
      <c r="E495" s="201"/>
      <c r="F495" s="100"/>
      <c r="G495" s="100"/>
      <c r="H495" s="100"/>
      <c r="I495" s="100"/>
      <c r="J495" s="100"/>
      <c r="K495" s="100"/>
      <c r="L495" s="100"/>
      <c r="M495" s="100"/>
      <c r="N495" s="100"/>
      <c r="O495" s="100"/>
      <c r="P495" s="100"/>
      <c r="Q495" s="100"/>
      <c r="R495" s="100"/>
      <c r="S495" s="100"/>
      <c r="T495" s="100"/>
      <c r="U495" s="100"/>
      <c r="V495" s="100"/>
      <c r="W495" s="100"/>
    </row>
    <row r="496" spans="1:23" ht="13.5" customHeight="1" thickBot="1">
      <c r="A496" s="665" t="s">
        <v>66</v>
      </c>
      <c r="B496" s="666"/>
      <c r="C496" s="638">
        <f>C498+C514</f>
        <v>21209500</v>
      </c>
      <c r="D496" s="200"/>
      <c r="E496" s="201"/>
      <c r="F496" s="100"/>
      <c r="G496" s="100"/>
      <c r="H496" s="100"/>
      <c r="I496" s="100"/>
      <c r="J496" s="100"/>
      <c r="K496" s="100"/>
      <c r="L496" s="100"/>
      <c r="M496" s="100"/>
      <c r="N496" s="100"/>
      <c r="O496" s="100"/>
      <c r="P496" s="100"/>
      <c r="Q496" s="100"/>
      <c r="R496" s="100"/>
      <c r="S496" s="100"/>
      <c r="T496" s="100"/>
      <c r="U496" s="100"/>
      <c r="V496" s="100"/>
      <c r="W496" s="100"/>
    </row>
    <row r="497" spans="1:23" ht="13.5" customHeight="1" thickBot="1">
      <c r="A497" s="75"/>
      <c r="B497" s="75"/>
      <c r="C497" s="36"/>
      <c r="D497" s="200"/>
      <c r="E497" s="201"/>
      <c r="F497" s="100"/>
      <c r="G497" s="100"/>
      <c r="H497" s="100"/>
      <c r="I497" s="100"/>
      <c r="J497" s="100"/>
      <c r="K497" s="100"/>
      <c r="L497" s="100"/>
      <c r="M497" s="100"/>
      <c r="N497" s="100"/>
      <c r="O497" s="100"/>
      <c r="P497" s="100"/>
      <c r="Q497" s="100"/>
      <c r="R497" s="100"/>
      <c r="S497" s="100"/>
      <c r="T497" s="100"/>
      <c r="U497" s="100"/>
      <c r="V497" s="100"/>
      <c r="W497" s="100"/>
    </row>
    <row r="498" spans="1:23" ht="13.5" customHeight="1" thickBot="1">
      <c r="A498" s="1356" t="s">
        <v>9</v>
      </c>
      <c r="B498" s="1281"/>
      <c r="C498" s="212">
        <f>C499+C503+C505+C510+C507+C501</f>
        <v>975000</v>
      </c>
      <c r="D498" s="200"/>
      <c r="E498" s="201"/>
      <c r="F498" s="100"/>
      <c r="G498" s="100"/>
      <c r="H498" s="100"/>
      <c r="I498" s="100"/>
      <c r="J498" s="100"/>
      <c r="K498" s="100"/>
      <c r="L498" s="100"/>
      <c r="M498" s="100"/>
      <c r="N498" s="100"/>
      <c r="O498" s="100"/>
      <c r="P498" s="100"/>
      <c r="Q498" s="100"/>
      <c r="R498" s="100"/>
      <c r="S498" s="100"/>
      <c r="T498" s="100"/>
      <c r="U498" s="100"/>
      <c r="V498" s="100"/>
      <c r="W498" s="100"/>
    </row>
    <row r="499" spans="1:23" ht="13.5" customHeight="1">
      <c r="A499" s="76">
        <v>211201</v>
      </c>
      <c r="B499" s="76" t="s">
        <v>459</v>
      </c>
      <c r="C499" s="155">
        <f>SUM(C500)</f>
        <v>294000</v>
      </c>
      <c r="D499" s="200"/>
      <c r="E499" s="201"/>
      <c r="F499" s="100"/>
      <c r="G499" s="100"/>
      <c r="H499" s="100"/>
      <c r="I499" s="100"/>
      <c r="J499" s="100"/>
      <c r="K499" s="100"/>
      <c r="L499" s="100"/>
      <c r="M499" s="100"/>
      <c r="N499" s="100"/>
      <c r="O499" s="100"/>
      <c r="P499" s="100"/>
      <c r="Q499" s="100"/>
      <c r="R499" s="100"/>
      <c r="S499" s="100"/>
      <c r="T499" s="100"/>
      <c r="U499" s="100"/>
      <c r="V499" s="100"/>
      <c r="W499" s="100"/>
    </row>
    <row r="500" spans="1:23" ht="13.5" customHeight="1">
      <c r="A500" s="154">
        <v>21120101</v>
      </c>
      <c r="B500" s="100" t="s">
        <v>460</v>
      </c>
      <c r="C500" s="72">
        <v>294000</v>
      </c>
      <c r="D500" s="200"/>
      <c r="E500" s="201"/>
      <c r="F500" s="100"/>
      <c r="G500" s="100"/>
      <c r="H500" s="100"/>
      <c r="I500" s="100"/>
      <c r="J500" s="100"/>
      <c r="K500" s="100"/>
      <c r="L500" s="100"/>
      <c r="M500" s="100"/>
      <c r="N500" s="100"/>
      <c r="O500" s="100"/>
      <c r="P500" s="100"/>
      <c r="Q500" s="100"/>
      <c r="R500" s="100"/>
      <c r="S500" s="100"/>
      <c r="T500" s="100"/>
      <c r="U500" s="100"/>
      <c r="V500" s="100"/>
      <c r="W500" s="100"/>
    </row>
    <row r="501" spans="1:23" ht="13.5" customHeight="1">
      <c r="A501" s="76">
        <v>211202</v>
      </c>
      <c r="B501" s="75" t="s">
        <v>529</v>
      </c>
      <c r="C501" s="36">
        <v>239000</v>
      </c>
      <c r="D501" s="200"/>
      <c r="E501" s="201"/>
      <c r="F501" s="100"/>
      <c r="G501" s="100"/>
      <c r="H501" s="100"/>
      <c r="I501" s="100"/>
      <c r="J501" s="100"/>
      <c r="K501" s="100"/>
      <c r="L501" s="100"/>
      <c r="M501" s="100"/>
      <c r="N501" s="100"/>
      <c r="O501" s="100"/>
      <c r="P501" s="100"/>
      <c r="Q501" s="100"/>
      <c r="R501" s="100"/>
      <c r="S501" s="100"/>
      <c r="T501" s="100"/>
      <c r="U501" s="100"/>
      <c r="V501" s="100"/>
      <c r="W501" s="100"/>
    </row>
    <row r="502" spans="1:23" ht="13.5" customHeight="1">
      <c r="A502" s="154">
        <v>21120202</v>
      </c>
      <c r="B502" s="77" t="s">
        <v>530</v>
      </c>
      <c r="C502" s="72">
        <v>239000</v>
      </c>
      <c r="D502" s="200"/>
      <c r="E502" s="201"/>
      <c r="F502" s="100"/>
      <c r="G502" s="100"/>
      <c r="H502" s="100"/>
      <c r="I502" s="100"/>
      <c r="J502" s="100"/>
      <c r="K502" s="100"/>
      <c r="L502" s="100"/>
      <c r="M502" s="100"/>
      <c r="N502" s="100"/>
      <c r="O502" s="100"/>
      <c r="P502" s="100"/>
      <c r="Q502" s="100"/>
      <c r="R502" s="100"/>
      <c r="S502" s="100"/>
      <c r="T502" s="100"/>
      <c r="U502" s="100"/>
      <c r="V502" s="100"/>
      <c r="W502" s="100"/>
    </row>
    <row r="503" spans="1:23" ht="13.5" customHeight="1">
      <c r="A503" s="76">
        <v>211203</v>
      </c>
      <c r="B503" s="75" t="s">
        <v>461</v>
      </c>
      <c r="C503" s="36">
        <v>83000</v>
      </c>
      <c r="D503" s="200"/>
      <c r="E503" s="201"/>
      <c r="F503" s="100"/>
      <c r="G503" s="100"/>
      <c r="H503" s="100"/>
      <c r="I503" s="100"/>
      <c r="J503" s="100"/>
      <c r="K503" s="100"/>
      <c r="L503" s="100"/>
      <c r="M503" s="100"/>
      <c r="N503" s="100"/>
      <c r="O503" s="100"/>
      <c r="P503" s="100"/>
      <c r="Q503" s="100"/>
      <c r="R503" s="100"/>
      <c r="S503" s="100"/>
      <c r="T503" s="100"/>
      <c r="U503" s="100"/>
      <c r="V503" s="100"/>
      <c r="W503" s="100"/>
    </row>
    <row r="504" spans="1:23" ht="13.5" customHeight="1">
      <c r="A504" s="154">
        <v>21120302</v>
      </c>
      <c r="B504" s="100" t="s">
        <v>462</v>
      </c>
      <c r="C504" s="72">
        <v>83000</v>
      </c>
      <c r="D504" s="200"/>
      <c r="E504" s="201"/>
      <c r="F504" s="100"/>
      <c r="G504" s="100"/>
      <c r="H504" s="100"/>
      <c r="I504" s="100"/>
      <c r="J504" s="100"/>
      <c r="K504" s="100"/>
      <c r="L504" s="100"/>
      <c r="M504" s="100"/>
      <c r="N504" s="100"/>
      <c r="O504" s="100"/>
      <c r="P504" s="100"/>
      <c r="Q504" s="100"/>
      <c r="R504" s="100"/>
      <c r="S504" s="100"/>
      <c r="T504" s="100"/>
      <c r="U504" s="100"/>
      <c r="V504" s="100"/>
      <c r="W504" s="100"/>
    </row>
    <row r="505" spans="1:23" ht="13.5" customHeight="1">
      <c r="A505" s="76">
        <v>211204</v>
      </c>
      <c r="B505" s="75" t="s">
        <v>463</v>
      </c>
      <c r="C505" s="36">
        <v>249000</v>
      </c>
      <c r="D505" s="200"/>
      <c r="E505" s="201"/>
      <c r="F505" s="100"/>
      <c r="G505" s="100"/>
      <c r="H505" s="100"/>
      <c r="I505" s="100"/>
      <c r="J505" s="100"/>
      <c r="K505" s="100"/>
      <c r="L505" s="100"/>
      <c r="M505" s="100"/>
      <c r="N505" s="100"/>
      <c r="O505" s="100"/>
      <c r="P505" s="100"/>
      <c r="Q505" s="100"/>
      <c r="R505" s="100"/>
      <c r="S505" s="100"/>
      <c r="T505" s="100"/>
      <c r="U505" s="100"/>
      <c r="V505" s="100"/>
      <c r="W505" s="100"/>
    </row>
    <row r="506" spans="1:23" ht="13.5" customHeight="1">
      <c r="A506" s="154">
        <v>21120401</v>
      </c>
      <c r="B506" s="72" t="s">
        <v>464</v>
      </c>
      <c r="C506" s="72">
        <v>249000</v>
      </c>
      <c r="D506" s="200"/>
      <c r="E506" s="201"/>
      <c r="F506" s="100"/>
      <c r="G506" s="100"/>
      <c r="H506" s="100"/>
      <c r="I506" s="100"/>
      <c r="J506" s="100"/>
      <c r="K506" s="100"/>
      <c r="L506" s="100"/>
      <c r="M506" s="100"/>
      <c r="N506" s="100"/>
      <c r="O506" s="100"/>
      <c r="P506" s="100"/>
      <c r="Q506" s="100"/>
      <c r="R506" s="100"/>
      <c r="S506" s="100"/>
      <c r="T506" s="100"/>
      <c r="U506" s="100"/>
      <c r="V506" s="100"/>
      <c r="W506" s="100"/>
    </row>
    <row r="507" spans="1:23" ht="13.5" customHeight="1">
      <c r="A507" s="76">
        <v>211207</v>
      </c>
      <c r="B507" s="848" t="s">
        <v>467</v>
      </c>
      <c r="C507" s="36">
        <v>70000</v>
      </c>
      <c r="D507" s="200"/>
      <c r="E507" s="201"/>
      <c r="F507" s="100"/>
      <c r="G507" s="100"/>
      <c r="H507" s="100"/>
      <c r="I507" s="100"/>
      <c r="J507" s="100"/>
      <c r="K507" s="100"/>
      <c r="L507" s="100"/>
      <c r="M507" s="100"/>
      <c r="N507" s="100"/>
      <c r="O507" s="100"/>
      <c r="P507" s="100"/>
      <c r="Q507" s="100"/>
      <c r="R507" s="100"/>
      <c r="S507" s="100"/>
      <c r="T507" s="100"/>
      <c r="U507" s="100"/>
      <c r="V507" s="100"/>
      <c r="W507" s="100"/>
    </row>
    <row r="508" spans="1:23" ht="13.5" customHeight="1">
      <c r="A508" s="154">
        <v>21120702</v>
      </c>
      <c r="B508" s="77" t="s">
        <v>468</v>
      </c>
      <c r="C508" s="72">
        <f>20000+10000</f>
        <v>30000</v>
      </c>
      <c r="D508" s="200"/>
      <c r="E508" s="201"/>
      <c r="F508" s="100"/>
      <c r="G508" s="100"/>
      <c r="H508" s="100"/>
      <c r="I508" s="100"/>
      <c r="J508" s="100"/>
      <c r="K508" s="100"/>
      <c r="L508" s="100"/>
      <c r="M508" s="100"/>
      <c r="N508" s="100"/>
      <c r="O508" s="100"/>
      <c r="P508" s="100"/>
      <c r="Q508" s="100"/>
      <c r="R508" s="100"/>
      <c r="S508" s="100"/>
      <c r="T508" s="100"/>
      <c r="U508" s="100"/>
      <c r="V508" s="100"/>
      <c r="W508" s="100"/>
    </row>
    <row r="509" spans="1:23" ht="13.5" customHeight="1">
      <c r="A509" s="154">
        <v>21120709</v>
      </c>
      <c r="B509" s="72" t="s">
        <v>471</v>
      </c>
      <c r="C509" s="72">
        <v>40000</v>
      </c>
      <c r="D509" s="200"/>
      <c r="E509" s="201"/>
      <c r="F509" s="100"/>
      <c r="G509" s="100"/>
      <c r="H509" s="100"/>
      <c r="I509" s="100"/>
      <c r="J509" s="100"/>
      <c r="K509" s="100"/>
      <c r="L509" s="100"/>
      <c r="M509" s="100"/>
      <c r="N509" s="100"/>
      <c r="O509" s="100"/>
      <c r="P509" s="100"/>
      <c r="Q509" s="100"/>
      <c r="R509" s="100"/>
      <c r="S509" s="100"/>
      <c r="T509" s="100"/>
      <c r="U509" s="100"/>
      <c r="V509" s="100"/>
      <c r="W509" s="100"/>
    </row>
    <row r="510" spans="1:23" ht="13.5" customHeight="1">
      <c r="A510" s="76">
        <v>211209</v>
      </c>
      <c r="B510" s="36" t="s">
        <v>477</v>
      </c>
      <c r="C510" s="36">
        <v>40000</v>
      </c>
      <c r="D510" s="200"/>
      <c r="E510" s="201"/>
      <c r="F510" s="100"/>
      <c r="G510" s="100"/>
      <c r="H510" s="100"/>
      <c r="I510" s="100"/>
      <c r="J510" s="100"/>
      <c r="K510" s="100"/>
      <c r="L510" s="100"/>
      <c r="M510" s="100"/>
      <c r="N510" s="100"/>
      <c r="O510" s="100"/>
      <c r="P510" s="100"/>
      <c r="Q510" s="100"/>
      <c r="R510" s="100"/>
      <c r="S510" s="100"/>
      <c r="T510" s="100"/>
      <c r="U510" s="100"/>
      <c r="V510" s="100"/>
      <c r="W510" s="100"/>
    </row>
    <row r="511" spans="1:23" ht="13.5" customHeight="1">
      <c r="A511" s="154">
        <v>21120901</v>
      </c>
      <c r="B511" s="72" t="s">
        <v>478</v>
      </c>
      <c r="C511" s="72">
        <v>20000</v>
      </c>
      <c r="D511" s="200"/>
      <c r="E511" s="201"/>
      <c r="F511" s="100"/>
      <c r="G511" s="100"/>
      <c r="H511" s="100"/>
      <c r="I511" s="100"/>
      <c r="J511" s="100"/>
      <c r="K511" s="100"/>
      <c r="L511" s="100"/>
      <c r="M511" s="100"/>
      <c r="N511" s="100"/>
      <c r="O511" s="100"/>
      <c r="P511" s="100"/>
      <c r="Q511" s="100"/>
      <c r="R511" s="100"/>
      <c r="S511" s="100"/>
      <c r="T511" s="100"/>
      <c r="U511" s="100"/>
      <c r="V511" s="100"/>
      <c r="W511" s="100"/>
    </row>
    <row r="512" spans="1:23" ht="13.5" customHeight="1">
      <c r="A512" s="154">
        <v>21120906</v>
      </c>
      <c r="B512" s="72" t="s">
        <v>479</v>
      </c>
      <c r="C512" s="72">
        <v>20000</v>
      </c>
      <c r="D512" s="200"/>
      <c r="E512" s="201"/>
      <c r="F512" s="100"/>
      <c r="G512" s="100"/>
      <c r="H512" s="100"/>
      <c r="I512" s="100"/>
      <c r="J512" s="100"/>
      <c r="K512" s="100"/>
      <c r="L512" s="100"/>
      <c r="M512" s="100"/>
      <c r="N512" s="100"/>
      <c r="O512" s="100"/>
      <c r="P512" s="100"/>
      <c r="Q512" s="100"/>
      <c r="R512" s="100"/>
      <c r="S512" s="100"/>
      <c r="T512" s="100"/>
      <c r="U512" s="100"/>
      <c r="V512" s="100"/>
      <c r="W512" s="100"/>
    </row>
    <row r="513" spans="1:23" ht="13.5" customHeight="1" thickBot="1">
      <c r="A513" s="100"/>
      <c r="B513" s="72"/>
      <c r="C513" s="72"/>
      <c r="D513" s="200"/>
      <c r="E513" s="201"/>
      <c r="F513" s="100"/>
      <c r="G513" s="100"/>
      <c r="H513" s="100"/>
      <c r="I513" s="100"/>
      <c r="J513" s="100"/>
      <c r="K513" s="100"/>
      <c r="L513" s="100"/>
      <c r="M513" s="100"/>
      <c r="N513" s="100"/>
      <c r="O513" s="100"/>
      <c r="P513" s="100"/>
      <c r="Q513" s="100"/>
      <c r="R513" s="100"/>
      <c r="S513" s="100"/>
      <c r="T513" s="100"/>
      <c r="U513" s="100"/>
      <c r="V513" s="100"/>
      <c r="W513" s="100"/>
    </row>
    <row r="514" spans="1:23" ht="13.5" customHeight="1" thickBot="1">
      <c r="A514" s="1354" t="s">
        <v>4</v>
      </c>
      <c r="B514" s="1281"/>
      <c r="C514" s="220">
        <f>C515+C520+C517</f>
        <v>20234500</v>
      </c>
      <c r="D514" s="200"/>
      <c r="E514" s="201"/>
      <c r="F514" s="100"/>
      <c r="G514" s="100"/>
      <c r="H514" s="100"/>
      <c r="I514" s="100"/>
      <c r="J514" s="100"/>
      <c r="K514" s="100"/>
      <c r="L514" s="100"/>
      <c r="M514" s="100"/>
      <c r="N514" s="100"/>
      <c r="O514" s="100"/>
      <c r="P514" s="100"/>
      <c r="Q514" s="100"/>
      <c r="R514" s="100"/>
      <c r="S514" s="100"/>
      <c r="T514" s="100"/>
      <c r="U514" s="100"/>
      <c r="V514" s="100"/>
      <c r="W514" s="100"/>
    </row>
    <row r="515" spans="1:23" ht="13.5" customHeight="1">
      <c r="A515" s="76">
        <v>211302</v>
      </c>
      <c r="B515" s="76" t="s">
        <v>481</v>
      </c>
      <c r="C515" s="155">
        <f>SUM(C516)</f>
        <v>60000</v>
      </c>
      <c r="D515" s="200"/>
      <c r="E515" s="201"/>
      <c r="F515" s="100"/>
      <c r="G515" s="100"/>
      <c r="H515" s="100"/>
      <c r="I515" s="100"/>
      <c r="J515" s="100"/>
      <c r="K515" s="100"/>
      <c r="L515" s="100"/>
      <c r="M515" s="100"/>
      <c r="N515" s="100"/>
      <c r="O515" s="100"/>
      <c r="P515" s="100"/>
      <c r="Q515" s="100"/>
      <c r="R515" s="100"/>
      <c r="S515" s="100"/>
      <c r="T515" s="100"/>
      <c r="U515" s="100"/>
      <c r="V515" s="100"/>
      <c r="W515" s="100"/>
    </row>
    <row r="516" spans="1:23" ht="13.5" customHeight="1">
      <c r="A516" s="154">
        <v>21130204</v>
      </c>
      <c r="B516" s="72" t="s">
        <v>483</v>
      </c>
      <c r="C516" s="72">
        <v>60000</v>
      </c>
      <c r="D516" s="200"/>
      <c r="E516" s="201"/>
      <c r="F516" s="100"/>
      <c r="G516" s="100"/>
      <c r="H516" s="100"/>
      <c r="I516" s="100"/>
      <c r="J516" s="100"/>
      <c r="K516" s="100"/>
      <c r="L516" s="100"/>
      <c r="M516" s="100"/>
      <c r="N516" s="100"/>
      <c r="O516" s="100"/>
      <c r="P516" s="100"/>
      <c r="Q516" s="100"/>
      <c r="R516" s="100"/>
      <c r="S516" s="100"/>
      <c r="T516" s="100"/>
      <c r="U516" s="100"/>
      <c r="V516" s="100"/>
      <c r="W516" s="100"/>
    </row>
    <row r="517" spans="1:23" ht="13.5" customHeight="1">
      <c r="A517" s="76">
        <v>211305</v>
      </c>
      <c r="B517" s="36" t="s">
        <v>489</v>
      </c>
      <c r="C517" s="36">
        <f>+SUM(C518:C519)</f>
        <v>18533000</v>
      </c>
      <c r="D517" s="200"/>
      <c r="E517" s="201"/>
      <c r="F517" s="100"/>
      <c r="G517" s="100"/>
      <c r="H517" s="100"/>
      <c r="I517" s="100"/>
      <c r="J517" s="100"/>
      <c r="K517" s="100"/>
      <c r="L517" s="100"/>
      <c r="M517" s="100"/>
      <c r="N517" s="100"/>
      <c r="O517" s="100"/>
      <c r="P517" s="100"/>
      <c r="Q517" s="100"/>
      <c r="R517" s="100"/>
      <c r="S517" s="100"/>
      <c r="T517" s="100"/>
      <c r="U517" s="100"/>
      <c r="V517" s="100"/>
      <c r="W517" s="100"/>
    </row>
    <row r="518" spans="1:23" ht="13.5" customHeight="1">
      <c r="A518" s="154">
        <v>21130501</v>
      </c>
      <c r="B518" s="77" t="s">
        <v>490</v>
      </c>
      <c r="C518" s="72">
        <f>100000+40000</f>
        <v>140000</v>
      </c>
      <c r="D518" s="200"/>
      <c r="E518" s="201"/>
      <c r="F518" s="100"/>
      <c r="G518" s="100"/>
      <c r="H518" s="100"/>
      <c r="I518" s="100"/>
      <c r="J518" s="100"/>
      <c r="K518" s="100"/>
      <c r="L518" s="100"/>
      <c r="M518" s="100"/>
      <c r="N518" s="100"/>
      <c r="O518" s="100"/>
      <c r="P518" s="100"/>
      <c r="Q518" s="100"/>
      <c r="R518" s="100"/>
      <c r="S518" s="100"/>
      <c r="T518" s="100"/>
      <c r="U518" s="100"/>
      <c r="V518" s="100"/>
      <c r="W518" s="100"/>
    </row>
    <row r="519" spans="1:23" ht="13.5" customHeight="1">
      <c r="A519" s="154">
        <v>21130502</v>
      </c>
      <c r="B519" s="72" t="s">
        <v>491</v>
      </c>
      <c r="C519" s="72">
        <v>18393000</v>
      </c>
      <c r="D519" s="200"/>
      <c r="E519" s="201"/>
      <c r="F519" s="100"/>
      <c r="G519" s="100"/>
      <c r="H519" s="100"/>
      <c r="I519" s="100"/>
      <c r="J519" s="100"/>
      <c r="K519" s="100"/>
      <c r="L519" s="100"/>
      <c r="M519" s="100"/>
      <c r="N519" s="100"/>
      <c r="O519" s="100"/>
      <c r="P519" s="100"/>
      <c r="Q519" s="100"/>
      <c r="R519" s="100"/>
      <c r="S519" s="100"/>
      <c r="T519" s="100"/>
      <c r="U519" s="100"/>
      <c r="V519" s="100"/>
      <c r="W519" s="100"/>
    </row>
    <row r="520" spans="1:23" ht="13.5" customHeight="1">
      <c r="A520" s="76">
        <v>211309</v>
      </c>
      <c r="B520" s="36" t="s">
        <v>496</v>
      </c>
      <c r="C520" s="36">
        <f>+SUM(C521:C523)</f>
        <v>1641500</v>
      </c>
      <c r="D520" s="200"/>
      <c r="E520" s="201"/>
      <c r="F520" s="100"/>
      <c r="G520" s="100"/>
      <c r="H520" s="100"/>
      <c r="I520" s="100"/>
      <c r="J520" s="100"/>
      <c r="K520" s="100"/>
      <c r="L520" s="100"/>
      <c r="M520" s="100"/>
      <c r="N520" s="100"/>
      <c r="O520" s="100"/>
      <c r="P520" s="100"/>
      <c r="Q520" s="100"/>
      <c r="R520" s="100"/>
      <c r="S520" s="100"/>
      <c r="T520" s="100"/>
      <c r="U520" s="100"/>
      <c r="V520" s="100"/>
      <c r="W520" s="100"/>
    </row>
    <row r="521" spans="1:23" ht="13.5" customHeight="1">
      <c r="A521" s="154">
        <v>21130901</v>
      </c>
      <c r="B521" s="72" t="s">
        <v>497</v>
      </c>
      <c r="C521" s="72">
        <v>1258000</v>
      </c>
      <c r="D521" s="200"/>
      <c r="E521" s="201"/>
      <c r="F521" s="100"/>
      <c r="G521" s="100"/>
      <c r="H521" s="100"/>
      <c r="I521" s="100"/>
      <c r="J521" s="100"/>
      <c r="K521" s="100"/>
      <c r="L521" s="100"/>
      <c r="M521" s="100"/>
      <c r="N521" s="100"/>
      <c r="O521" s="100"/>
      <c r="P521" s="100"/>
      <c r="Q521" s="100"/>
      <c r="R521" s="100"/>
      <c r="S521" s="100"/>
      <c r="T521" s="100"/>
      <c r="U521" s="100"/>
      <c r="V521" s="100"/>
      <c r="W521" s="100"/>
    </row>
    <row r="522" spans="1:23" ht="13.5" customHeight="1">
      <c r="A522" s="154">
        <v>21130903</v>
      </c>
      <c r="B522" s="72" t="s">
        <v>498</v>
      </c>
      <c r="C522" s="72">
        <f>250000-100000</f>
        <v>150000</v>
      </c>
      <c r="D522" s="200"/>
      <c r="E522" s="201"/>
      <c r="F522" s="100"/>
      <c r="G522" s="100"/>
      <c r="H522" s="100"/>
      <c r="I522" s="100"/>
      <c r="J522" s="100"/>
      <c r="K522" s="100"/>
      <c r="L522" s="100"/>
      <c r="M522" s="100"/>
      <c r="N522" s="100"/>
      <c r="O522" s="100"/>
      <c r="P522" s="100"/>
      <c r="Q522" s="100"/>
      <c r="R522" s="100"/>
      <c r="S522" s="100"/>
      <c r="T522" s="100"/>
      <c r="U522" s="100"/>
      <c r="V522" s="100"/>
      <c r="W522" s="100"/>
    </row>
    <row r="523" spans="1:23" ht="13.5" customHeight="1">
      <c r="A523" s="154">
        <v>21130908</v>
      </c>
      <c r="B523" s="72" t="s">
        <v>500</v>
      </c>
      <c r="C523" s="72">
        <v>233500</v>
      </c>
      <c r="D523" s="200"/>
      <c r="E523" s="201"/>
      <c r="F523" s="100"/>
      <c r="G523" s="100"/>
      <c r="H523" s="100"/>
      <c r="I523" s="100"/>
      <c r="J523" s="100"/>
      <c r="K523" s="100"/>
      <c r="L523" s="100"/>
      <c r="M523" s="100"/>
      <c r="N523" s="100"/>
      <c r="O523" s="100"/>
      <c r="P523" s="100"/>
      <c r="Q523" s="100"/>
      <c r="R523" s="100"/>
      <c r="S523" s="100"/>
      <c r="T523" s="100"/>
      <c r="U523" s="100"/>
      <c r="V523" s="100"/>
      <c r="W523" s="100"/>
    </row>
    <row r="524" spans="1:23" ht="13.5" customHeight="1">
      <c r="A524" s="100"/>
      <c r="B524" s="72"/>
      <c r="C524" s="72"/>
      <c r="D524" s="200"/>
      <c r="E524" s="201"/>
      <c r="F524" s="100"/>
      <c r="G524" s="100"/>
      <c r="H524" s="100"/>
      <c r="I524" s="100"/>
      <c r="J524" s="100"/>
      <c r="K524" s="100"/>
      <c r="L524" s="100"/>
      <c r="M524" s="100"/>
      <c r="N524" s="100"/>
      <c r="O524" s="100"/>
      <c r="P524" s="100"/>
      <c r="Q524" s="100"/>
      <c r="R524" s="100"/>
      <c r="S524" s="100"/>
      <c r="T524" s="100"/>
      <c r="U524" s="100"/>
      <c r="V524" s="100"/>
      <c r="W524" s="100"/>
    </row>
    <row r="525" spans="1:23" ht="13.5" customHeight="1" thickBot="1">
      <c r="A525" s="100"/>
      <c r="B525" s="100"/>
      <c r="C525" s="72"/>
      <c r="D525" s="200"/>
      <c r="E525" s="201"/>
      <c r="F525" s="100"/>
      <c r="G525" s="100"/>
      <c r="H525" s="100"/>
      <c r="I525" s="100"/>
      <c r="J525" s="100"/>
      <c r="K525" s="100"/>
      <c r="L525" s="100"/>
      <c r="M525" s="100"/>
      <c r="N525" s="100"/>
      <c r="O525" s="100"/>
      <c r="P525" s="100"/>
      <c r="Q525" s="100"/>
      <c r="R525" s="100"/>
      <c r="S525" s="100"/>
      <c r="T525" s="100"/>
      <c r="U525" s="100"/>
      <c r="V525" s="100"/>
      <c r="W525" s="100"/>
    </row>
    <row r="526" spans="1:23" ht="13.5" customHeight="1">
      <c r="A526" s="1308" t="s">
        <v>112</v>
      </c>
      <c r="B526" s="1358"/>
      <c r="C526" s="1256" t="s">
        <v>920</v>
      </c>
      <c r="D526" s="200"/>
      <c r="E526" s="201"/>
      <c r="F526" s="100"/>
      <c r="G526" s="100"/>
      <c r="H526" s="100"/>
      <c r="I526" s="100"/>
      <c r="J526" s="100"/>
      <c r="K526" s="100"/>
      <c r="L526" s="100"/>
      <c r="M526" s="100"/>
      <c r="N526" s="100"/>
      <c r="O526" s="100"/>
      <c r="P526" s="100"/>
      <c r="Q526" s="100"/>
      <c r="R526" s="100"/>
      <c r="S526" s="100"/>
      <c r="T526" s="100"/>
      <c r="U526" s="100"/>
      <c r="V526" s="100"/>
      <c r="W526" s="100"/>
    </row>
    <row r="527" spans="1:23" ht="13.5" customHeight="1" thickBot="1">
      <c r="A527" s="1344"/>
      <c r="B527" s="1359"/>
      <c r="C527" s="1257"/>
      <c r="D527" s="200"/>
      <c r="E527" s="201"/>
      <c r="F527" s="100"/>
      <c r="G527" s="100"/>
      <c r="H527" s="100"/>
      <c r="I527" s="100"/>
      <c r="J527" s="100"/>
      <c r="K527" s="100"/>
      <c r="L527" s="100"/>
      <c r="M527" s="100"/>
      <c r="N527" s="100"/>
      <c r="O527" s="100"/>
      <c r="P527" s="100"/>
      <c r="Q527" s="100"/>
      <c r="R527" s="100"/>
      <c r="S527" s="100"/>
      <c r="T527" s="100"/>
      <c r="U527" s="100"/>
      <c r="V527" s="100"/>
      <c r="W527" s="100"/>
    </row>
    <row r="528" spans="1:23" ht="13.5" customHeight="1">
      <c r="A528" s="609" t="s">
        <v>671</v>
      </c>
      <c r="B528" s="612"/>
      <c r="C528" s="626"/>
      <c r="D528" s="200"/>
      <c r="E528" s="201"/>
      <c r="F528" s="100"/>
      <c r="G528" s="100"/>
      <c r="H528" s="100"/>
      <c r="I528" s="100"/>
      <c r="J528" s="100"/>
      <c r="K528" s="100"/>
      <c r="L528" s="100"/>
      <c r="M528" s="100"/>
      <c r="N528" s="100"/>
      <c r="O528" s="100"/>
      <c r="P528" s="100"/>
      <c r="Q528" s="100"/>
      <c r="R528" s="100"/>
      <c r="S528" s="100"/>
      <c r="T528" s="100"/>
      <c r="U528" s="100"/>
      <c r="V528" s="100"/>
      <c r="W528" s="100"/>
    </row>
    <row r="529" spans="1:23" ht="13.5" customHeight="1">
      <c r="A529" s="609" t="s">
        <v>722</v>
      </c>
      <c r="B529" s="611"/>
      <c r="C529" s="626"/>
      <c r="D529" s="200"/>
      <c r="E529" s="201"/>
      <c r="F529" s="100"/>
      <c r="G529" s="100"/>
      <c r="H529" s="100"/>
      <c r="I529" s="100"/>
      <c r="J529" s="100"/>
      <c r="K529" s="100"/>
      <c r="L529" s="100"/>
      <c r="M529" s="100"/>
      <c r="N529" s="100"/>
      <c r="O529" s="100"/>
      <c r="P529" s="100"/>
      <c r="Q529" s="100"/>
      <c r="R529" s="100"/>
      <c r="S529" s="100"/>
      <c r="T529" s="100"/>
      <c r="U529" s="100"/>
      <c r="V529" s="100"/>
      <c r="W529" s="100"/>
    </row>
    <row r="530" spans="1:23" ht="13.5" customHeight="1">
      <c r="A530" s="609" t="s">
        <v>723</v>
      </c>
      <c r="B530" s="611"/>
      <c r="C530" s="626"/>
      <c r="D530" s="200"/>
      <c r="E530" s="201"/>
      <c r="F530" s="100"/>
      <c r="G530" s="100"/>
      <c r="H530" s="100"/>
      <c r="I530" s="100"/>
      <c r="J530" s="100"/>
      <c r="K530" s="100"/>
      <c r="L530" s="100"/>
      <c r="M530" s="100"/>
      <c r="N530" s="100"/>
      <c r="O530" s="100"/>
      <c r="P530" s="100"/>
      <c r="Q530" s="100"/>
      <c r="R530" s="100"/>
      <c r="S530" s="100"/>
      <c r="T530" s="100"/>
      <c r="U530" s="100"/>
      <c r="V530" s="100"/>
      <c r="W530" s="100"/>
    </row>
    <row r="531" spans="1:23" ht="13.5" customHeight="1" thickBot="1">
      <c r="A531" s="609" t="s">
        <v>0</v>
      </c>
      <c r="B531" s="142"/>
      <c r="C531" s="626"/>
      <c r="D531" s="200"/>
      <c r="E531" s="201"/>
      <c r="F531" s="100"/>
      <c r="G531" s="100"/>
      <c r="H531" s="100"/>
      <c r="I531" s="100"/>
      <c r="J531" s="100"/>
      <c r="K531" s="100"/>
      <c r="L531" s="100"/>
      <c r="M531" s="100"/>
      <c r="N531" s="100"/>
      <c r="O531" s="100"/>
      <c r="P531" s="100"/>
      <c r="Q531" s="100"/>
      <c r="R531" s="100"/>
      <c r="S531" s="100"/>
      <c r="T531" s="100"/>
      <c r="U531" s="100"/>
      <c r="V531" s="100"/>
      <c r="W531" s="100"/>
    </row>
    <row r="532" spans="1:23" ht="13.5" customHeight="1" thickBot="1">
      <c r="A532" s="665" t="s">
        <v>283</v>
      </c>
      <c r="B532" s="666"/>
      <c r="C532" s="638">
        <f>C534+C548</f>
        <v>3985000</v>
      </c>
      <c r="D532" s="200"/>
      <c r="E532" s="201"/>
      <c r="F532" s="100"/>
      <c r="G532" s="100"/>
      <c r="H532" s="100"/>
      <c r="I532" s="100"/>
      <c r="J532" s="100"/>
      <c r="K532" s="100"/>
      <c r="L532" s="100"/>
      <c r="M532" s="100"/>
      <c r="N532" s="100"/>
      <c r="O532" s="100"/>
      <c r="P532" s="100"/>
      <c r="Q532" s="100"/>
      <c r="R532" s="100"/>
      <c r="S532" s="100"/>
      <c r="T532" s="100"/>
      <c r="U532" s="100"/>
      <c r="V532" s="100"/>
      <c r="W532" s="100"/>
    </row>
    <row r="533" spans="1:23" ht="13.5" customHeight="1" thickBot="1">
      <c r="A533" s="75"/>
      <c r="B533" s="75"/>
      <c r="C533" s="36"/>
      <c r="D533" s="200"/>
      <c r="E533" s="201"/>
      <c r="F533" s="100"/>
      <c r="G533" s="100"/>
      <c r="H533" s="100"/>
      <c r="I533" s="100"/>
      <c r="J533" s="100"/>
      <c r="K533" s="100"/>
      <c r="L533" s="100"/>
      <c r="M533" s="100"/>
      <c r="N533" s="100"/>
      <c r="O533" s="100"/>
      <c r="P533" s="100"/>
      <c r="Q533" s="100"/>
      <c r="R533" s="100"/>
      <c r="S533" s="100"/>
      <c r="T533" s="100"/>
      <c r="U533" s="100"/>
      <c r="V533" s="100"/>
      <c r="W533" s="100"/>
    </row>
    <row r="534" spans="1:23" ht="13.5" customHeight="1" thickBot="1">
      <c r="A534" s="1356" t="s">
        <v>9</v>
      </c>
      <c r="B534" s="1281"/>
      <c r="C534" s="212">
        <f>C535+C537+C539+C545+C541</f>
        <v>1015000</v>
      </c>
      <c r="D534" s="200"/>
      <c r="E534" s="201"/>
      <c r="F534" s="100"/>
      <c r="G534" s="100"/>
      <c r="H534" s="100"/>
      <c r="I534" s="100"/>
      <c r="J534" s="100"/>
      <c r="K534" s="100"/>
      <c r="L534" s="100"/>
      <c r="M534" s="100"/>
      <c r="N534" s="100"/>
      <c r="O534" s="100"/>
      <c r="P534" s="100"/>
      <c r="Q534" s="100"/>
      <c r="R534" s="100"/>
      <c r="S534" s="100"/>
      <c r="T534" s="100"/>
      <c r="U534" s="100"/>
      <c r="V534" s="100"/>
      <c r="W534" s="100"/>
    </row>
    <row r="535" spans="1:23" ht="13.5" customHeight="1">
      <c r="A535" s="76">
        <v>211201</v>
      </c>
      <c r="B535" s="76" t="s">
        <v>459</v>
      </c>
      <c r="C535" s="155">
        <f>SUM(C536)</f>
        <v>380000</v>
      </c>
      <c r="D535" s="200"/>
      <c r="E535" s="201"/>
      <c r="F535" s="100"/>
      <c r="G535" s="100"/>
      <c r="H535" s="100"/>
      <c r="I535" s="100"/>
      <c r="J535" s="100"/>
      <c r="K535" s="100"/>
      <c r="L535" s="100"/>
      <c r="M535" s="100"/>
      <c r="N535" s="100"/>
      <c r="O535" s="100"/>
      <c r="P535" s="100"/>
      <c r="Q535" s="100"/>
      <c r="R535" s="100"/>
      <c r="S535" s="100"/>
      <c r="T535" s="100"/>
      <c r="U535" s="100"/>
      <c r="V535" s="100"/>
      <c r="W535" s="100"/>
    </row>
    <row r="536" spans="1:23" ht="13.5" customHeight="1">
      <c r="A536" s="154">
        <v>21120101</v>
      </c>
      <c r="B536" s="100" t="s">
        <v>460</v>
      </c>
      <c r="C536" s="72">
        <v>380000</v>
      </c>
      <c r="D536" s="200"/>
      <c r="E536" s="201"/>
      <c r="F536" s="100"/>
      <c r="G536" s="100"/>
      <c r="H536" s="100"/>
      <c r="I536" s="100"/>
      <c r="J536" s="100"/>
      <c r="K536" s="100"/>
      <c r="L536" s="100"/>
      <c r="M536" s="100"/>
      <c r="N536" s="100"/>
      <c r="O536" s="100"/>
      <c r="P536" s="100"/>
      <c r="Q536" s="100"/>
      <c r="R536" s="100"/>
      <c r="S536" s="100"/>
      <c r="T536" s="100"/>
      <c r="U536" s="100"/>
      <c r="V536" s="100"/>
      <c r="W536" s="100"/>
    </row>
    <row r="537" spans="1:23" ht="13.5" customHeight="1">
      <c r="A537" s="76">
        <v>211203</v>
      </c>
      <c r="B537" s="75" t="s">
        <v>461</v>
      </c>
      <c r="C537" s="36">
        <f>SUM(C538)</f>
        <v>180000</v>
      </c>
      <c r="D537" s="200"/>
      <c r="E537" s="201"/>
      <c r="F537" s="100"/>
      <c r="G537" s="100"/>
      <c r="H537" s="100"/>
      <c r="I537" s="100"/>
      <c r="J537" s="100"/>
      <c r="K537" s="100"/>
      <c r="L537" s="100"/>
      <c r="M537" s="100"/>
      <c r="N537" s="100"/>
      <c r="O537" s="100"/>
      <c r="P537" s="100"/>
      <c r="Q537" s="100"/>
      <c r="R537" s="100"/>
      <c r="S537" s="100"/>
      <c r="T537" s="100"/>
      <c r="U537" s="100"/>
      <c r="V537" s="100"/>
      <c r="W537" s="100"/>
    </row>
    <row r="538" spans="1:23" ht="13.5" customHeight="1">
      <c r="A538" s="154">
        <v>21120302</v>
      </c>
      <c r="B538" s="100" t="s">
        <v>462</v>
      </c>
      <c r="C538" s="72">
        <f>100000+80000</f>
        <v>180000</v>
      </c>
      <c r="D538" s="200"/>
      <c r="E538" s="201"/>
      <c r="F538" s="100"/>
      <c r="G538" s="100"/>
      <c r="H538" s="100"/>
      <c r="I538" s="100"/>
      <c r="J538" s="100"/>
      <c r="K538" s="100"/>
      <c r="L538" s="100"/>
      <c r="M538" s="100"/>
      <c r="N538" s="100"/>
      <c r="O538" s="100"/>
      <c r="P538" s="100"/>
      <c r="Q538" s="100"/>
      <c r="R538" s="100"/>
      <c r="S538" s="100"/>
      <c r="T538" s="100"/>
      <c r="U538" s="100"/>
      <c r="V538" s="100"/>
      <c r="W538" s="100"/>
    </row>
    <row r="539" spans="1:23" ht="13.5" customHeight="1">
      <c r="A539" s="76">
        <v>211204</v>
      </c>
      <c r="B539" s="75" t="s">
        <v>463</v>
      </c>
      <c r="C539" s="36">
        <f>SUM(C540)</f>
        <v>170000</v>
      </c>
      <c r="D539" s="200"/>
      <c r="E539" s="201"/>
      <c r="F539" s="100"/>
      <c r="G539" s="100"/>
      <c r="H539" s="100"/>
      <c r="I539" s="100"/>
      <c r="J539" s="100"/>
      <c r="K539" s="100"/>
      <c r="L539" s="100"/>
      <c r="M539" s="100"/>
      <c r="N539" s="100"/>
      <c r="O539" s="100"/>
      <c r="P539" s="100"/>
      <c r="Q539" s="100"/>
      <c r="R539" s="100"/>
      <c r="S539" s="100"/>
      <c r="T539" s="100"/>
      <c r="U539" s="100"/>
      <c r="V539" s="100"/>
      <c r="W539" s="100"/>
    </row>
    <row r="540" spans="1:23" ht="13.5" customHeight="1">
      <c r="A540" s="154">
        <v>21120401</v>
      </c>
      <c r="B540" s="72" t="s">
        <v>464</v>
      </c>
      <c r="C540" s="72">
        <f>80000+90000</f>
        <v>170000</v>
      </c>
      <c r="D540" s="200"/>
      <c r="E540" s="201"/>
      <c r="F540" s="100"/>
      <c r="G540" s="100"/>
      <c r="H540" s="100"/>
      <c r="I540" s="100"/>
      <c r="J540" s="100"/>
      <c r="K540" s="100"/>
      <c r="L540" s="100"/>
      <c r="M540" s="100"/>
      <c r="N540" s="100"/>
      <c r="O540" s="100"/>
      <c r="P540" s="100"/>
      <c r="Q540" s="100"/>
      <c r="R540" s="100"/>
      <c r="S540" s="100"/>
      <c r="T540" s="100"/>
      <c r="U540" s="100"/>
      <c r="V540" s="100"/>
      <c r="W540" s="100"/>
    </row>
    <row r="541" spans="1:23" ht="13.5" customHeight="1">
      <c r="A541" s="76">
        <v>211207</v>
      </c>
      <c r="B541" s="848" t="s">
        <v>467</v>
      </c>
      <c r="C541" s="36">
        <f>SUM(C542:C544)</f>
        <v>135000</v>
      </c>
      <c r="D541" s="200"/>
      <c r="E541" s="201"/>
      <c r="F541" s="100"/>
      <c r="G541" s="100"/>
      <c r="H541" s="100"/>
      <c r="I541" s="100"/>
      <c r="J541" s="100"/>
      <c r="K541" s="100"/>
      <c r="L541" s="100"/>
      <c r="M541" s="100"/>
      <c r="N541" s="100"/>
      <c r="O541" s="100"/>
      <c r="P541" s="100"/>
      <c r="Q541" s="100"/>
      <c r="R541" s="100"/>
      <c r="S541" s="100"/>
      <c r="T541" s="100"/>
      <c r="U541" s="100"/>
      <c r="V541" s="100"/>
      <c r="W541" s="100"/>
    </row>
    <row r="542" spans="1:23" ht="13.5" customHeight="1">
      <c r="A542" s="154">
        <v>21120702</v>
      </c>
      <c r="B542" s="77" t="s">
        <v>468</v>
      </c>
      <c r="C542" s="72">
        <v>50000</v>
      </c>
      <c r="D542" s="200"/>
      <c r="E542" s="201"/>
      <c r="F542" s="100"/>
      <c r="G542" s="100"/>
      <c r="H542" s="100"/>
      <c r="I542" s="100"/>
      <c r="J542" s="100"/>
      <c r="K542" s="100"/>
      <c r="L542" s="100"/>
      <c r="M542" s="100"/>
      <c r="N542" s="100"/>
      <c r="O542" s="100"/>
      <c r="P542" s="100"/>
      <c r="Q542" s="100"/>
      <c r="R542" s="100"/>
      <c r="S542" s="100"/>
      <c r="T542" s="100"/>
      <c r="U542" s="100"/>
      <c r="V542" s="100"/>
      <c r="W542" s="100"/>
    </row>
    <row r="543" spans="1:23" ht="13.5" customHeight="1">
      <c r="A543" s="154">
        <v>21120708</v>
      </c>
      <c r="B543" s="77" t="s">
        <v>470</v>
      </c>
      <c r="C543" s="72">
        <v>60000</v>
      </c>
      <c r="D543" s="200"/>
      <c r="E543" s="201"/>
      <c r="F543" s="100"/>
      <c r="G543" s="100"/>
      <c r="H543" s="100"/>
      <c r="I543" s="100"/>
      <c r="J543" s="100"/>
      <c r="K543" s="100"/>
      <c r="L543" s="100"/>
      <c r="M543" s="100"/>
      <c r="N543" s="100"/>
      <c r="O543" s="100"/>
      <c r="P543" s="100"/>
      <c r="Q543" s="100"/>
      <c r="R543" s="100"/>
      <c r="S543" s="100"/>
      <c r="T543" s="100"/>
      <c r="U543" s="100"/>
      <c r="V543" s="100"/>
      <c r="W543" s="100"/>
    </row>
    <row r="544" spans="1:23" ht="13.5" customHeight="1">
      <c r="A544" s="154">
        <v>21120709</v>
      </c>
      <c r="B544" s="72" t="s">
        <v>471</v>
      </c>
      <c r="C544" s="72">
        <v>25000</v>
      </c>
      <c r="D544" s="200"/>
      <c r="E544" s="201"/>
      <c r="F544" s="100"/>
      <c r="G544" s="100"/>
      <c r="H544" s="100"/>
      <c r="I544" s="100"/>
      <c r="J544" s="100"/>
      <c r="K544" s="100"/>
      <c r="L544" s="100"/>
      <c r="M544" s="100"/>
      <c r="N544" s="100"/>
      <c r="O544" s="100"/>
      <c r="P544" s="100"/>
      <c r="Q544" s="100"/>
      <c r="R544" s="100"/>
      <c r="S544" s="100"/>
      <c r="T544" s="100"/>
      <c r="U544" s="100"/>
      <c r="V544" s="100"/>
      <c r="W544" s="100"/>
    </row>
    <row r="545" spans="1:23" ht="13.5" customHeight="1">
      <c r="A545" s="76">
        <v>211209</v>
      </c>
      <c r="B545" s="36" t="s">
        <v>477</v>
      </c>
      <c r="C545" s="36">
        <f>SUM(C546)</f>
        <v>150000</v>
      </c>
      <c r="D545" s="200"/>
      <c r="E545" s="201"/>
      <c r="F545" s="100"/>
      <c r="G545" s="100"/>
      <c r="H545" s="100"/>
      <c r="I545" s="100"/>
      <c r="J545" s="100"/>
      <c r="K545" s="100"/>
      <c r="L545" s="100"/>
      <c r="M545" s="100"/>
      <c r="N545" s="100"/>
      <c r="O545" s="100"/>
      <c r="P545" s="100"/>
      <c r="Q545" s="100"/>
      <c r="R545" s="100"/>
      <c r="S545" s="100"/>
      <c r="T545" s="100"/>
      <c r="U545" s="100"/>
      <c r="V545" s="100"/>
      <c r="W545" s="100"/>
    </row>
    <row r="546" spans="1:23" ht="13.5" customHeight="1">
      <c r="A546" s="154">
        <v>21120906</v>
      </c>
      <c r="B546" s="72" t="s">
        <v>479</v>
      </c>
      <c r="C546" s="72">
        <v>150000</v>
      </c>
      <c r="D546" s="200"/>
      <c r="E546" s="201"/>
      <c r="F546" s="100"/>
      <c r="G546" s="100"/>
      <c r="H546" s="100"/>
      <c r="I546" s="100"/>
      <c r="J546" s="100"/>
      <c r="K546" s="100"/>
      <c r="L546" s="100"/>
      <c r="M546" s="100"/>
      <c r="N546" s="100"/>
      <c r="O546" s="100"/>
      <c r="P546" s="100"/>
      <c r="Q546" s="100"/>
      <c r="R546" s="100"/>
      <c r="S546" s="100"/>
      <c r="T546" s="100"/>
      <c r="U546" s="100"/>
      <c r="V546" s="100"/>
      <c r="W546" s="100"/>
    </row>
    <row r="547" spans="1:23" ht="13.5" customHeight="1" thickBot="1">
      <c r="A547" s="100"/>
      <c r="B547" s="72"/>
      <c r="C547" s="72"/>
      <c r="D547" s="200"/>
      <c r="E547" s="201"/>
      <c r="F547" s="100"/>
      <c r="G547" s="100"/>
      <c r="H547" s="100"/>
      <c r="I547" s="100"/>
      <c r="J547" s="100"/>
      <c r="K547" s="100"/>
      <c r="L547" s="100"/>
      <c r="M547" s="100"/>
      <c r="N547" s="100"/>
      <c r="O547" s="100"/>
      <c r="P547" s="100"/>
      <c r="Q547" s="100"/>
      <c r="R547" s="100"/>
      <c r="S547" s="100"/>
      <c r="T547" s="100"/>
      <c r="U547" s="100"/>
      <c r="V547" s="100"/>
      <c r="W547" s="100"/>
    </row>
    <row r="548" spans="1:23" ht="13.5" customHeight="1" thickBot="1">
      <c r="A548" s="1354" t="s">
        <v>4</v>
      </c>
      <c r="B548" s="1281"/>
      <c r="C548" s="220">
        <f>C552+C549</f>
        <v>2970000</v>
      </c>
      <c r="D548" s="200"/>
      <c r="E548" s="201"/>
      <c r="F548" s="100"/>
      <c r="G548" s="100"/>
      <c r="H548" s="100"/>
      <c r="I548" s="100"/>
      <c r="J548" s="100"/>
      <c r="K548" s="100"/>
      <c r="L548" s="100"/>
      <c r="M548" s="100"/>
      <c r="N548" s="100"/>
      <c r="O548" s="100"/>
      <c r="P548" s="100"/>
      <c r="Q548" s="100"/>
      <c r="R548" s="100"/>
      <c r="S548" s="100"/>
      <c r="T548" s="100"/>
      <c r="U548" s="100"/>
      <c r="V548" s="100"/>
      <c r="W548" s="100"/>
    </row>
    <row r="549" spans="1:23" ht="13.5" customHeight="1">
      <c r="A549" s="76">
        <v>211305</v>
      </c>
      <c r="B549" s="36" t="s">
        <v>489</v>
      </c>
      <c r="C549" s="36">
        <f>SUM(C550:C551)</f>
        <v>1170000</v>
      </c>
      <c r="D549" s="200"/>
      <c r="E549" s="201"/>
      <c r="F549" s="100"/>
      <c r="G549" s="100"/>
      <c r="H549" s="100"/>
      <c r="I549" s="100"/>
      <c r="J549" s="100"/>
      <c r="K549" s="100"/>
      <c r="L549" s="100"/>
      <c r="M549" s="100"/>
      <c r="N549" s="100"/>
      <c r="O549" s="100"/>
      <c r="P549" s="100"/>
      <c r="Q549" s="100"/>
      <c r="R549" s="100"/>
      <c r="S549" s="100"/>
      <c r="T549" s="100"/>
      <c r="U549" s="100"/>
      <c r="V549" s="100"/>
      <c r="W549" s="100"/>
    </row>
    <row r="550" spans="1:23" ht="13.5" customHeight="1">
      <c r="A550" s="154">
        <v>21130501</v>
      </c>
      <c r="B550" s="77" t="s">
        <v>490</v>
      </c>
      <c r="C550" s="72">
        <f>90000+40000</f>
        <v>130000</v>
      </c>
      <c r="D550" s="200"/>
      <c r="E550" s="201"/>
      <c r="F550" s="100"/>
      <c r="G550" s="100"/>
      <c r="H550" s="100"/>
      <c r="I550" s="100"/>
      <c r="J550" s="100"/>
      <c r="K550" s="100"/>
      <c r="L550" s="100"/>
      <c r="M550" s="100"/>
      <c r="N550" s="100"/>
      <c r="O550" s="100"/>
      <c r="P550" s="100"/>
      <c r="Q550" s="100"/>
      <c r="R550" s="100"/>
      <c r="S550" s="100"/>
      <c r="T550" s="100"/>
      <c r="U550" s="100"/>
      <c r="V550" s="100"/>
      <c r="W550" s="100"/>
    </row>
    <row r="551" spans="1:23" ht="13.5" customHeight="1">
      <c r="A551" s="154">
        <v>21130502</v>
      </c>
      <c r="B551" s="72" t="s">
        <v>491</v>
      </c>
      <c r="C551" s="72">
        <f>1000000+40000</f>
        <v>1040000</v>
      </c>
      <c r="D551" s="200"/>
      <c r="E551" s="201"/>
      <c r="F551" s="100"/>
      <c r="G551" s="100"/>
      <c r="H551" s="100"/>
      <c r="I551" s="100"/>
      <c r="J551" s="100"/>
      <c r="K551" s="100"/>
      <c r="L551" s="100"/>
      <c r="M551" s="100"/>
      <c r="N551" s="100"/>
      <c r="O551" s="100"/>
      <c r="P551" s="100"/>
      <c r="Q551" s="100"/>
      <c r="R551" s="100"/>
      <c r="S551" s="100"/>
      <c r="T551" s="100"/>
      <c r="U551" s="100"/>
      <c r="V551" s="100"/>
      <c r="W551" s="100"/>
    </row>
    <row r="552" spans="1:23" ht="13.5" customHeight="1">
      <c r="A552" s="76">
        <v>211309</v>
      </c>
      <c r="B552" s="36" t="s">
        <v>496</v>
      </c>
      <c r="C552" s="36">
        <f>SUM(C553:C555)</f>
        <v>1800000</v>
      </c>
      <c r="D552" s="200"/>
      <c r="E552" s="201"/>
      <c r="F552" s="100"/>
      <c r="G552" s="100"/>
      <c r="H552" s="100"/>
      <c r="I552" s="100"/>
      <c r="J552" s="100"/>
      <c r="K552" s="100"/>
      <c r="L552" s="100"/>
      <c r="M552" s="100"/>
      <c r="N552" s="100"/>
      <c r="O552" s="100"/>
      <c r="P552" s="100"/>
      <c r="Q552" s="100"/>
      <c r="R552" s="100"/>
      <c r="S552" s="100"/>
      <c r="T552" s="100"/>
      <c r="U552" s="100"/>
      <c r="V552" s="100"/>
      <c r="W552" s="100"/>
    </row>
    <row r="553" spans="1:23" ht="13.5" customHeight="1">
      <c r="A553" s="154">
        <v>21130901</v>
      </c>
      <c r="B553" s="72" t="s">
        <v>497</v>
      </c>
      <c r="C553" s="72">
        <f>1000000+80000</f>
        <v>1080000</v>
      </c>
      <c r="D553" s="200"/>
      <c r="E553" s="201"/>
      <c r="F553" s="100"/>
      <c r="G553" s="100"/>
      <c r="H553" s="100"/>
      <c r="I553" s="100"/>
      <c r="J553" s="100"/>
      <c r="K553" s="100"/>
      <c r="L553" s="100"/>
      <c r="M553" s="100"/>
      <c r="N553" s="100"/>
      <c r="O553" s="100"/>
      <c r="P553" s="100"/>
      <c r="Q553" s="100"/>
      <c r="R553" s="100"/>
      <c r="S553" s="100"/>
      <c r="T553" s="100"/>
      <c r="U553" s="100"/>
      <c r="V553" s="100"/>
      <c r="W553" s="100"/>
    </row>
    <row r="554" spans="1:23" ht="13.5" customHeight="1">
      <c r="A554" s="154">
        <v>21130903</v>
      </c>
      <c r="B554" s="72" t="s">
        <v>498</v>
      </c>
      <c r="C554" s="72">
        <f>80000+40000</f>
        <v>120000</v>
      </c>
      <c r="D554" s="200"/>
      <c r="E554" s="201"/>
      <c r="F554" s="100"/>
      <c r="G554" s="100"/>
      <c r="H554" s="100"/>
      <c r="I554" s="100"/>
      <c r="J554" s="100"/>
      <c r="K554" s="100"/>
      <c r="L554" s="100"/>
      <c r="M554" s="100"/>
      <c r="N554" s="100"/>
      <c r="O554" s="100"/>
      <c r="P554" s="100"/>
      <c r="Q554" s="100"/>
      <c r="R554" s="100"/>
      <c r="S554" s="100"/>
      <c r="T554" s="100"/>
      <c r="U554" s="100"/>
      <c r="V554" s="100"/>
      <c r="W554" s="100"/>
    </row>
    <row r="555" spans="1:23" ht="13.5" customHeight="1">
      <c r="A555" s="154">
        <v>21130908</v>
      </c>
      <c r="B555" s="72" t="s">
        <v>500</v>
      </c>
      <c r="C555" s="72">
        <f>300000+300000</f>
        <v>600000</v>
      </c>
      <c r="D555" s="200"/>
      <c r="E555" s="201"/>
      <c r="F555" s="100"/>
      <c r="G555" s="100"/>
      <c r="H555" s="100"/>
      <c r="I555" s="100"/>
      <c r="J555" s="100"/>
      <c r="K555" s="100"/>
      <c r="L555" s="100"/>
      <c r="M555" s="100"/>
      <c r="N555" s="100"/>
      <c r="O555" s="100"/>
      <c r="P555" s="100"/>
      <c r="Q555" s="100"/>
      <c r="R555" s="100"/>
      <c r="S555" s="100"/>
      <c r="T555" s="100"/>
      <c r="U555" s="100"/>
      <c r="V555" s="100"/>
      <c r="W555" s="100"/>
    </row>
    <row r="556" spans="1:23" ht="13.5" customHeight="1">
      <c r="A556" s="154"/>
      <c r="B556" s="100"/>
      <c r="C556" s="72"/>
      <c r="D556" s="200"/>
      <c r="E556" s="201"/>
      <c r="F556" s="100"/>
      <c r="G556" s="100"/>
      <c r="H556" s="100"/>
      <c r="I556" s="100"/>
      <c r="J556" s="100"/>
      <c r="K556" s="100"/>
      <c r="L556" s="100"/>
      <c r="M556" s="100"/>
      <c r="N556" s="100"/>
      <c r="O556" s="100"/>
      <c r="P556" s="100"/>
      <c r="Q556" s="100"/>
      <c r="R556" s="100"/>
      <c r="S556" s="100"/>
      <c r="T556" s="100"/>
      <c r="U556" s="100"/>
      <c r="V556" s="100"/>
      <c r="W556" s="100"/>
    </row>
    <row r="557" spans="1:23" ht="13.5" customHeight="1" thickBot="1">
      <c r="A557" s="100"/>
      <c r="B557" s="72"/>
      <c r="C557" s="72"/>
      <c r="D557" s="206"/>
      <c r="E557" s="221"/>
      <c r="F557" s="100"/>
      <c r="G557" s="100"/>
      <c r="H557" s="100"/>
      <c r="I557" s="100"/>
      <c r="J557" s="100"/>
      <c r="K557" s="100"/>
      <c r="L557" s="100"/>
      <c r="M557" s="100"/>
      <c r="N557" s="100"/>
      <c r="O557" s="100"/>
      <c r="P557" s="100"/>
      <c r="Q557" s="100"/>
      <c r="R557" s="100"/>
      <c r="S557" s="100"/>
      <c r="T557" s="100"/>
      <c r="U557" s="100"/>
      <c r="V557" s="100"/>
      <c r="W557" s="100"/>
    </row>
    <row r="558" spans="1:23" ht="13.5" customHeight="1">
      <c r="A558" s="1308" t="s">
        <v>902</v>
      </c>
      <c r="B558" s="1309"/>
      <c r="C558" s="1236">
        <v>1508</v>
      </c>
      <c r="D558" s="206"/>
      <c r="E558" s="215"/>
      <c r="F558" s="100"/>
      <c r="G558" s="100"/>
      <c r="H558" s="100"/>
      <c r="I558" s="100"/>
      <c r="J558" s="100"/>
      <c r="K558" s="100"/>
      <c r="L558" s="100"/>
      <c r="M558" s="100"/>
      <c r="N558" s="100"/>
      <c r="O558" s="100"/>
      <c r="P558" s="100"/>
      <c r="Q558" s="100"/>
      <c r="R558" s="100"/>
      <c r="S558" s="100"/>
      <c r="T558" s="100"/>
      <c r="U558" s="100"/>
      <c r="V558" s="100"/>
      <c r="W558" s="100"/>
    </row>
    <row r="559" spans="1:23" ht="13.5" customHeight="1" thickBot="1">
      <c r="A559" s="1344"/>
      <c r="B559" s="1345"/>
      <c r="C559" s="1258"/>
      <c r="D559" s="216"/>
      <c r="E559" s="204"/>
      <c r="F559" s="135"/>
      <c r="G559" s="135"/>
      <c r="H559" s="135"/>
      <c r="I559" s="135"/>
      <c r="J559" s="135"/>
      <c r="K559" s="135"/>
      <c r="L559" s="135"/>
      <c r="M559" s="135"/>
      <c r="N559" s="135"/>
      <c r="O559" s="135"/>
      <c r="P559" s="135"/>
      <c r="Q559" s="135"/>
      <c r="R559" s="135"/>
      <c r="S559" s="135"/>
      <c r="T559" s="135"/>
      <c r="U559" s="135"/>
      <c r="V559" s="135"/>
      <c r="W559" s="135"/>
    </row>
    <row r="560" spans="1:23" ht="13.5" customHeight="1">
      <c r="A560" s="609" t="s">
        <v>671</v>
      </c>
      <c r="B560" s="611"/>
      <c r="C560" s="626"/>
      <c r="D560" s="204"/>
      <c r="E560" s="204"/>
      <c r="F560" s="135"/>
      <c r="G560" s="135"/>
      <c r="H560" s="135"/>
      <c r="I560" s="135"/>
      <c r="J560" s="135"/>
      <c r="K560" s="135"/>
      <c r="L560" s="135"/>
      <c r="M560" s="135"/>
      <c r="N560" s="135"/>
      <c r="O560" s="135"/>
      <c r="P560" s="135"/>
      <c r="Q560" s="135"/>
      <c r="R560" s="135"/>
      <c r="S560" s="135"/>
      <c r="T560" s="135"/>
      <c r="U560" s="135"/>
      <c r="V560" s="135"/>
      <c r="W560" s="135"/>
    </row>
    <row r="561" spans="1:23" ht="13.5" customHeight="1">
      <c r="A561" s="609" t="s">
        <v>722</v>
      </c>
      <c r="B561" s="611"/>
      <c r="C561" s="626"/>
      <c r="D561" s="201"/>
      <c r="E561" s="204"/>
      <c r="F561" s="135"/>
      <c r="G561" s="135"/>
      <c r="H561" s="135"/>
      <c r="I561" s="135"/>
      <c r="J561" s="135"/>
      <c r="K561" s="135"/>
      <c r="L561" s="135"/>
      <c r="M561" s="135"/>
      <c r="N561" s="135"/>
      <c r="O561" s="135"/>
      <c r="P561" s="135"/>
      <c r="Q561" s="135"/>
      <c r="R561" s="135"/>
      <c r="S561" s="135"/>
      <c r="T561" s="135"/>
      <c r="U561" s="135"/>
      <c r="V561" s="135"/>
      <c r="W561" s="135"/>
    </row>
    <row r="562" spans="1:23" ht="13.5" customHeight="1">
      <c r="A562" s="609" t="s">
        <v>723</v>
      </c>
      <c r="B562" s="611"/>
      <c r="C562" s="626"/>
      <c r="D562" s="218"/>
      <c r="E562" s="218"/>
      <c r="F562" s="218"/>
      <c r="G562" s="218"/>
      <c r="H562" s="218"/>
      <c r="I562" s="218"/>
      <c r="J562" s="218"/>
      <c r="K562" s="218"/>
      <c r="L562" s="218"/>
      <c r="M562" s="218"/>
      <c r="N562" s="218"/>
      <c r="O562" s="218"/>
      <c r="P562" s="218"/>
      <c r="Q562" s="218"/>
      <c r="R562" s="218"/>
      <c r="S562" s="218"/>
      <c r="T562" s="218"/>
      <c r="U562" s="218"/>
      <c r="V562" s="218"/>
      <c r="W562" s="218"/>
    </row>
    <row r="563" spans="1:23" ht="13.5" customHeight="1" thickBot="1">
      <c r="A563" s="609" t="s">
        <v>0</v>
      </c>
      <c r="B563" s="611"/>
      <c r="C563" s="626"/>
      <c r="D563" s="218"/>
      <c r="E563" s="218"/>
      <c r="F563" s="218"/>
      <c r="G563" s="218"/>
      <c r="H563" s="218"/>
      <c r="I563" s="218"/>
      <c r="J563" s="218"/>
      <c r="K563" s="218"/>
      <c r="L563" s="218"/>
      <c r="M563" s="218"/>
      <c r="N563" s="218"/>
      <c r="O563" s="218"/>
      <c r="P563" s="218"/>
      <c r="Q563" s="218"/>
      <c r="R563" s="218"/>
      <c r="S563" s="218"/>
      <c r="T563" s="218"/>
      <c r="U563" s="218"/>
      <c r="V563" s="218"/>
      <c r="W563" s="218"/>
    </row>
    <row r="564" spans="1:23" ht="13.5" customHeight="1" thickBot="1">
      <c r="A564" s="627" t="s">
        <v>60</v>
      </c>
      <c r="B564" s="628"/>
      <c r="C564" s="638">
        <f>C566+C583+C595</f>
        <v>22454000</v>
      </c>
      <c r="D564" s="218"/>
      <c r="E564" s="218"/>
      <c r="F564" s="218"/>
      <c r="G564" s="218"/>
      <c r="H564" s="218"/>
      <c r="I564" s="218"/>
      <c r="J564" s="218"/>
      <c r="K564" s="218"/>
      <c r="L564" s="218"/>
      <c r="M564" s="218"/>
      <c r="N564" s="218"/>
      <c r="O564" s="218"/>
      <c r="P564" s="218"/>
      <c r="Q564" s="218"/>
      <c r="R564" s="218"/>
      <c r="S564" s="218"/>
      <c r="T564" s="218"/>
      <c r="U564" s="218"/>
      <c r="V564" s="218"/>
      <c r="W564" s="218"/>
    </row>
    <row r="565" spans="1:23" ht="13.5" customHeight="1" thickBot="1">
      <c r="A565" s="100"/>
      <c r="B565" s="100"/>
      <c r="C565" s="72"/>
      <c r="D565" s="135"/>
      <c r="E565" s="135"/>
      <c r="F565" s="135"/>
      <c r="G565" s="135"/>
      <c r="H565" s="135"/>
      <c r="I565" s="135"/>
      <c r="J565" s="135"/>
      <c r="K565" s="135"/>
      <c r="L565" s="135"/>
      <c r="M565" s="135"/>
      <c r="N565" s="135"/>
      <c r="O565" s="135"/>
      <c r="P565" s="135"/>
      <c r="Q565" s="135"/>
      <c r="R565" s="135"/>
      <c r="S565" s="135"/>
      <c r="T565" s="135"/>
      <c r="U565" s="135"/>
      <c r="V565" s="135"/>
      <c r="W565" s="135"/>
    </row>
    <row r="566" spans="1:23" ht="13.5" customHeight="1" thickBot="1">
      <c r="A566" s="1356" t="s">
        <v>9</v>
      </c>
      <c r="B566" s="1281"/>
      <c r="C566" s="212">
        <f>C567+C569+C571+C576+C578+C574</f>
        <v>3472000</v>
      </c>
      <c r="D566" s="218"/>
      <c r="E566" s="218"/>
      <c r="F566" s="218"/>
      <c r="G566" s="218"/>
      <c r="H566" s="218"/>
      <c r="I566" s="218"/>
      <c r="J566" s="218"/>
      <c r="K566" s="218"/>
      <c r="L566" s="218"/>
      <c r="M566" s="218"/>
      <c r="N566" s="218"/>
      <c r="O566" s="218"/>
      <c r="P566" s="218"/>
      <c r="Q566" s="218"/>
      <c r="R566" s="218"/>
      <c r="S566" s="218"/>
      <c r="T566" s="218"/>
      <c r="U566" s="218"/>
      <c r="V566" s="218"/>
      <c r="W566" s="218"/>
    </row>
    <row r="567" spans="1:23" ht="13.5" customHeight="1">
      <c r="A567" s="76">
        <v>211201</v>
      </c>
      <c r="B567" s="76" t="s">
        <v>459</v>
      </c>
      <c r="C567" s="155">
        <f>C568</f>
        <v>1051500</v>
      </c>
      <c r="D567" s="135"/>
      <c r="E567" s="135"/>
      <c r="F567" s="135"/>
      <c r="G567" s="135"/>
      <c r="H567" s="135"/>
      <c r="I567" s="135"/>
      <c r="J567" s="135"/>
      <c r="K567" s="135"/>
      <c r="L567" s="135"/>
      <c r="M567" s="135"/>
      <c r="N567" s="135"/>
      <c r="O567" s="135"/>
      <c r="P567" s="135"/>
      <c r="Q567" s="135"/>
      <c r="R567" s="135"/>
      <c r="S567" s="135"/>
      <c r="T567" s="135"/>
      <c r="U567" s="135"/>
      <c r="V567" s="135"/>
      <c r="W567" s="135"/>
    </row>
    <row r="568" spans="1:23" ht="13.5" customHeight="1">
      <c r="A568" s="154">
        <v>21120101</v>
      </c>
      <c r="B568" s="100" t="s">
        <v>460</v>
      </c>
      <c r="C568" s="72">
        <f>1000000+51500</f>
        <v>1051500</v>
      </c>
      <c r="D568" s="204"/>
      <c r="E568" s="204"/>
      <c r="F568" s="135"/>
      <c r="G568" s="135"/>
      <c r="H568" s="135"/>
      <c r="I568" s="135"/>
      <c r="J568" s="135"/>
      <c r="K568" s="135"/>
      <c r="L568" s="135"/>
      <c r="M568" s="135"/>
      <c r="N568" s="135"/>
      <c r="O568" s="135"/>
      <c r="P568" s="135"/>
      <c r="Q568" s="135"/>
      <c r="R568" s="135"/>
      <c r="S568" s="135"/>
      <c r="T568" s="135"/>
      <c r="U568" s="135"/>
      <c r="V568" s="135"/>
      <c r="W568" s="135"/>
    </row>
    <row r="569" spans="1:23" ht="13.5" customHeight="1">
      <c r="A569" s="76">
        <v>211203</v>
      </c>
      <c r="B569" s="75" t="s">
        <v>461</v>
      </c>
      <c r="C569" s="36">
        <f>C570</f>
        <v>510000</v>
      </c>
      <c r="D569" s="201"/>
      <c r="E569" s="135"/>
      <c r="F569" s="135"/>
      <c r="G569" s="135"/>
      <c r="H569" s="135"/>
      <c r="I569" s="135"/>
      <c r="J569" s="135"/>
      <c r="K569" s="135"/>
      <c r="L569" s="135"/>
      <c r="M569" s="135"/>
      <c r="N569" s="135"/>
      <c r="O569" s="135"/>
      <c r="P569" s="135"/>
      <c r="Q569" s="135"/>
      <c r="R569" s="135"/>
      <c r="S569" s="135"/>
      <c r="T569" s="135"/>
      <c r="U569" s="135"/>
      <c r="V569" s="135"/>
      <c r="W569" s="135"/>
    </row>
    <row r="570" spans="1:23" ht="13.5" customHeight="1">
      <c r="A570" s="154">
        <v>21120302</v>
      </c>
      <c r="B570" s="100" t="s">
        <v>462</v>
      </c>
      <c r="C570" s="72">
        <f>500000+10000</f>
        <v>510000</v>
      </c>
      <c r="D570" s="201"/>
      <c r="E570" s="135"/>
      <c r="F570" s="75"/>
      <c r="G570" s="75"/>
      <c r="H570" s="75"/>
      <c r="I570" s="75"/>
      <c r="J570" s="75"/>
      <c r="K570" s="75"/>
      <c r="L570" s="75"/>
      <c r="M570" s="75"/>
      <c r="N570" s="75"/>
      <c r="O570" s="75"/>
      <c r="P570" s="75"/>
      <c r="Q570" s="75"/>
      <c r="R570" s="75"/>
      <c r="S570" s="75"/>
      <c r="T570" s="75"/>
      <c r="U570" s="75"/>
      <c r="V570" s="75"/>
      <c r="W570" s="75"/>
    </row>
    <row r="571" spans="1:23" ht="13.5" customHeight="1">
      <c r="A571" s="76">
        <v>211204</v>
      </c>
      <c r="B571" s="75" t="s">
        <v>463</v>
      </c>
      <c r="C571" s="36">
        <f>SUM(C572:C573)</f>
        <v>1272500</v>
      </c>
      <c r="D571" s="201"/>
      <c r="E571" s="204"/>
      <c r="F571" s="75"/>
      <c r="G571" s="75"/>
      <c r="H571" s="75"/>
      <c r="I571" s="75"/>
      <c r="J571" s="75"/>
      <c r="K571" s="75"/>
      <c r="L571" s="75"/>
      <c r="M571" s="75"/>
      <c r="N571" s="75"/>
      <c r="O571" s="75"/>
      <c r="P571" s="75"/>
      <c r="Q571" s="75"/>
      <c r="R571" s="75"/>
      <c r="S571" s="75"/>
      <c r="T571" s="75"/>
      <c r="U571" s="75"/>
      <c r="V571" s="75"/>
      <c r="W571" s="75"/>
    </row>
    <row r="572" spans="1:23" ht="13.5" customHeight="1">
      <c r="A572" s="154">
        <v>21120401</v>
      </c>
      <c r="B572" s="72" t="s">
        <v>464</v>
      </c>
      <c r="C572" s="72">
        <f>1000000+42500</f>
        <v>1042500</v>
      </c>
      <c r="D572" s="216"/>
      <c r="E572" s="204"/>
      <c r="F572" s="154"/>
      <c r="G572" s="154"/>
      <c r="H572" s="154"/>
      <c r="I572" s="154"/>
      <c r="J572" s="154"/>
      <c r="K572" s="154"/>
      <c r="L572" s="154"/>
      <c r="M572" s="154"/>
      <c r="N572" s="154"/>
      <c r="O572" s="154"/>
      <c r="P572" s="154"/>
      <c r="Q572" s="154"/>
      <c r="R572" s="154"/>
      <c r="S572" s="154"/>
      <c r="T572" s="154"/>
      <c r="U572" s="154"/>
      <c r="V572" s="154"/>
      <c r="W572" s="154"/>
    </row>
    <row r="573" spans="1:23" ht="13.5" customHeight="1">
      <c r="A573" s="154">
        <v>21120402</v>
      </c>
      <c r="B573" s="77" t="s">
        <v>649</v>
      </c>
      <c r="C573" s="72">
        <f>30000+200000</f>
        <v>230000</v>
      </c>
      <c r="D573" s="216"/>
      <c r="E573" s="204"/>
      <c r="F573" s="72"/>
      <c r="G573" s="100"/>
      <c r="H573" s="100"/>
      <c r="I573" s="100"/>
      <c r="J573" s="100"/>
      <c r="K573" s="100"/>
      <c r="L573" s="100"/>
      <c r="M573" s="100"/>
      <c r="N573" s="100"/>
      <c r="O573" s="100"/>
      <c r="P573" s="100"/>
      <c r="Q573" s="100"/>
      <c r="R573" s="100"/>
      <c r="S573" s="100"/>
      <c r="T573" s="100"/>
      <c r="U573" s="100"/>
      <c r="V573" s="100"/>
      <c r="W573" s="100"/>
    </row>
    <row r="574" spans="1:23" ht="13.5" customHeight="1">
      <c r="A574" s="76">
        <v>211207</v>
      </c>
      <c r="B574" s="848" t="s">
        <v>467</v>
      </c>
      <c r="C574" s="36">
        <v>30000</v>
      </c>
      <c r="D574" s="216"/>
      <c r="E574" s="204"/>
      <c r="F574" s="72"/>
      <c r="G574" s="100"/>
      <c r="H574" s="100"/>
      <c r="I574" s="100"/>
      <c r="J574" s="100"/>
      <c r="K574" s="100"/>
      <c r="L574" s="100"/>
      <c r="M574" s="100"/>
      <c r="N574" s="100"/>
      <c r="O574" s="100"/>
      <c r="P574" s="100"/>
      <c r="Q574" s="100"/>
      <c r="R574" s="100"/>
      <c r="S574" s="100"/>
      <c r="T574" s="100"/>
      <c r="U574" s="100"/>
      <c r="V574" s="100"/>
      <c r="W574" s="100"/>
    </row>
    <row r="575" spans="1:23" ht="13.5" customHeight="1">
      <c r="A575" s="154">
        <v>21120706</v>
      </c>
      <c r="B575" s="77" t="s">
        <v>542</v>
      </c>
      <c r="C575" s="72">
        <v>30000</v>
      </c>
      <c r="D575" s="213"/>
      <c r="E575" s="221"/>
      <c r="F575" s="72"/>
      <c r="G575" s="100"/>
      <c r="H575" s="100"/>
      <c r="I575" s="100"/>
      <c r="J575" s="100"/>
      <c r="K575" s="100"/>
      <c r="L575" s="100"/>
      <c r="M575" s="100"/>
      <c r="N575" s="100"/>
      <c r="O575" s="100"/>
      <c r="P575" s="100"/>
      <c r="Q575" s="100"/>
      <c r="R575" s="100"/>
      <c r="S575" s="100"/>
      <c r="T575" s="100"/>
      <c r="U575" s="100"/>
      <c r="V575" s="100"/>
      <c r="W575" s="100"/>
    </row>
    <row r="576" spans="1:23" ht="13.5" customHeight="1">
      <c r="A576" s="76">
        <v>211208</v>
      </c>
      <c r="B576" s="36" t="s">
        <v>474</v>
      </c>
      <c r="C576" s="36">
        <v>30000</v>
      </c>
      <c r="D576" s="223"/>
      <c r="E576" s="215"/>
      <c r="F576" s="72"/>
      <c r="G576" s="100"/>
      <c r="H576" s="100"/>
      <c r="I576" s="100"/>
      <c r="J576" s="100"/>
      <c r="K576" s="100"/>
      <c r="L576" s="100"/>
      <c r="M576" s="100"/>
      <c r="N576" s="100"/>
      <c r="O576" s="100"/>
      <c r="P576" s="100"/>
      <c r="Q576" s="100"/>
      <c r="R576" s="100"/>
      <c r="S576" s="100"/>
      <c r="T576" s="100"/>
      <c r="U576" s="100"/>
      <c r="V576" s="100"/>
      <c r="W576" s="100"/>
    </row>
    <row r="577" spans="1:23" ht="13.5" customHeight="1">
      <c r="A577" s="154">
        <v>21120805</v>
      </c>
      <c r="B577" s="72" t="s">
        <v>476</v>
      </c>
      <c r="C577" s="72">
        <v>30000</v>
      </c>
      <c r="D577" s="216"/>
      <c r="E577" s="201"/>
      <c r="F577" s="72"/>
      <c r="G577" s="100"/>
      <c r="H577" s="100"/>
      <c r="I577" s="100"/>
      <c r="J577" s="100"/>
      <c r="K577" s="100"/>
      <c r="L577" s="100"/>
      <c r="M577" s="100"/>
      <c r="N577" s="100"/>
      <c r="O577" s="100"/>
      <c r="P577" s="100"/>
      <c r="Q577" s="100"/>
      <c r="R577" s="100"/>
      <c r="S577" s="100"/>
      <c r="T577" s="100"/>
      <c r="U577" s="100"/>
      <c r="V577" s="100"/>
      <c r="W577" s="100"/>
    </row>
    <row r="578" spans="1:23" ht="13.5" customHeight="1">
      <c r="A578" s="76">
        <v>211209</v>
      </c>
      <c r="B578" s="36" t="s">
        <v>477</v>
      </c>
      <c r="C578" s="36">
        <f>+SUM(C579:C581)</f>
        <v>578000</v>
      </c>
      <c r="D578" s="216"/>
      <c r="E578" s="201"/>
      <c r="F578" s="72"/>
      <c r="G578" s="100"/>
      <c r="H578" s="100"/>
      <c r="I578" s="100"/>
      <c r="J578" s="100"/>
      <c r="K578" s="100"/>
      <c r="L578" s="100"/>
      <c r="M578" s="100"/>
      <c r="N578" s="100"/>
      <c r="O578" s="100"/>
      <c r="P578" s="100"/>
      <c r="Q578" s="100"/>
      <c r="R578" s="100"/>
      <c r="S578" s="100"/>
      <c r="T578" s="100"/>
      <c r="U578" s="100"/>
      <c r="V578" s="100"/>
      <c r="W578" s="100"/>
    </row>
    <row r="579" spans="1:23" ht="13.5" customHeight="1">
      <c r="A579" s="154">
        <v>21120905</v>
      </c>
      <c r="B579" s="72" t="s">
        <v>525</v>
      </c>
      <c r="C579" s="72">
        <v>35000</v>
      </c>
      <c r="D579" s="218"/>
      <c r="E579" s="224"/>
      <c r="F579" s="225"/>
      <c r="G579" s="225"/>
      <c r="H579" s="218"/>
      <c r="I579" s="218"/>
      <c r="J579" s="218"/>
      <c r="K579" s="218"/>
      <c r="L579" s="218"/>
      <c r="M579" s="218"/>
      <c r="N579" s="218"/>
      <c r="O579" s="218"/>
      <c r="P579" s="218"/>
      <c r="Q579" s="218"/>
      <c r="R579" s="218"/>
      <c r="S579" s="218"/>
      <c r="T579" s="218"/>
      <c r="U579" s="218"/>
      <c r="V579" s="218"/>
      <c r="W579" s="218"/>
    </row>
    <row r="580" spans="1:23" ht="13.5" customHeight="1">
      <c r="A580" s="154">
        <v>21120906</v>
      </c>
      <c r="B580" s="72" t="s">
        <v>479</v>
      </c>
      <c r="C580" s="72">
        <f>500000+93000-200000</f>
        <v>393000</v>
      </c>
      <c r="D580" s="216"/>
      <c r="E580" s="201"/>
      <c r="F580" s="72"/>
      <c r="G580" s="100"/>
      <c r="H580" s="100"/>
      <c r="I580" s="100"/>
      <c r="J580" s="100"/>
      <c r="K580" s="100"/>
      <c r="L580" s="100"/>
      <c r="M580" s="100"/>
      <c r="N580" s="100"/>
      <c r="O580" s="100"/>
      <c r="P580" s="100"/>
      <c r="Q580" s="100"/>
      <c r="R580" s="100"/>
      <c r="S580" s="100"/>
      <c r="T580" s="100"/>
      <c r="U580" s="100"/>
      <c r="V580" s="100"/>
      <c r="W580" s="100"/>
    </row>
    <row r="581" spans="1:23" ht="13.5" customHeight="1">
      <c r="A581" s="154">
        <v>21120907</v>
      </c>
      <c r="B581" s="77" t="s">
        <v>480</v>
      </c>
      <c r="C581" s="72">
        <v>150000</v>
      </c>
      <c r="D581" s="216"/>
      <c r="E581" s="201"/>
      <c r="F581" s="135"/>
      <c r="G581" s="135"/>
      <c r="H581" s="135"/>
      <c r="I581" s="135"/>
      <c r="J581" s="135"/>
      <c r="K581" s="135"/>
      <c r="L581" s="135"/>
      <c r="M581" s="135"/>
      <c r="N581" s="135"/>
      <c r="O581" s="135"/>
      <c r="P581" s="135"/>
      <c r="Q581" s="135"/>
      <c r="R581" s="135"/>
      <c r="S581" s="135"/>
      <c r="T581" s="135"/>
      <c r="U581" s="135"/>
      <c r="V581" s="135"/>
      <c r="W581" s="135"/>
    </row>
    <row r="582" spans="1:23" ht="13.5" customHeight="1" thickBot="1">
      <c r="A582" s="100"/>
      <c r="B582" s="72"/>
      <c r="C582" s="72"/>
      <c r="D582" s="216"/>
      <c r="E582" s="201"/>
      <c r="F582" s="100"/>
      <c r="G582" s="100"/>
      <c r="H582" s="100"/>
      <c r="I582" s="100"/>
      <c r="J582" s="100"/>
      <c r="K582" s="100"/>
      <c r="L582" s="100"/>
      <c r="M582" s="100"/>
      <c r="N582" s="100"/>
      <c r="O582" s="100"/>
      <c r="P582" s="100"/>
      <c r="Q582" s="100"/>
      <c r="R582" s="100"/>
      <c r="S582" s="100"/>
      <c r="T582" s="100"/>
      <c r="U582" s="100"/>
      <c r="V582" s="100"/>
      <c r="W582" s="100"/>
    </row>
    <row r="583" spans="1:23" ht="13.5" customHeight="1" thickBot="1">
      <c r="A583" s="1354" t="s">
        <v>4</v>
      </c>
      <c r="B583" s="1281"/>
      <c r="C583" s="220">
        <f>+C586+C588+C590+C584</f>
        <v>16752000</v>
      </c>
      <c r="D583" s="215"/>
      <c r="E583" s="100"/>
      <c r="F583" s="100"/>
      <c r="G583" s="100"/>
      <c r="H583" s="100"/>
      <c r="I583" s="100"/>
      <c r="J583" s="100"/>
      <c r="K583" s="100"/>
      <c r="L583" s="100"/>
      <c r="M583" s="100"/>
      <c r="N583" s="100"/>
      <c r="O583" s="100"/>
      <c r="P583" s="100"/>
      <c r="Q583" s="100"/>
      <c r="R583" s="100"/>
      <c r="S583" s="100"/>
      <c r="T583" s="100"/>
      <c r="U583" s="100"/>
      <c r="V583" s="100"/>
      <c r="W583" s="100"/>
    </row>
    <row r="584" spans="1:23" ht="13.5" customHeight="1">
      <c r="A584" s="76">
        <v>211302</v>
      </c>
      <c r="B584" s="76" t="s">
        <v>481</v>
      </c>
      <c r="C584" s="155">
        <f>SUM(C585)</f>
        <v>583500</v>
      </c>
      <c r="D584" s="216"/>
      <c r="E584" s="201"/>
      <c r="F584" s="100"/>
      <c r="G584" s="100"/>
      <c r="H584" s="72"/>
      <c r="I584" s="100"/>
      <c r="J584" s="100"/>
      <c r="K584" s="100"/>
      <c r="L584" s="100"/>
      <c r="M584" s="100"/>
      <c r="N584" s="100"/>
      <c r="O584" s="100"/>
      <c r="P584" s="100"/>
      <c r="Q584" s="100"/>
      <c r="R584" s="100"/>
      <c r="S584" s="100"/>
      <c r="T584" s="100"/>
      <c r="U584" s="100"/>
      <c r="V584" s="100"/>
      <c r="W584" s="100"/>
    </row>
    <row r="585" spans="1:23" ht="13.5" customHeight="1">
      <c r="A585" s="154">
        <v>21130204</v>
      </c>
      <c r="B585" s="72" t="s">
        <v>483</v>
      </c>
      <c r="C585" s="72">
        <v>583500</v>
      </c>
      <c r="D585" s="215"/>
      <c r="E585" s="100"/>
      <c r="F585" s="100"/>
      <c r="G585" s="100"/>
      <c r="H585" s="100"/>
      <c r="I585" s="100"/>
      <c r="J585" s="100"/>
      <c r="K585" s="100"/>
      <c r="L585" s="100"/>
      <c r="M585" s="100"/>
      <c r="N585" s="100"/>
      <c r="O585" s="100"/>
      <c r="P585" s="100"/>
      <c r="Q585" s="100"/>
      <c r="R585" s="100"/>
      <c r="S585" s="100"/>
      <c r="T585" s="100"/>
      <c r="U585" s="100"/>
      <c r="V585" s="100"/>
      <c r="W585" s="100"/>
    </row>
    <row r="586" spans="1:23" ht="13.5" customHeight="1">
      <c r="A586" s="76">
        <v>211303</v>
      </c>
      <c r="B586" s="36" t="s">
        <v>484</v>
      </c>
      <c r="C586" s="36">
        <f>SUM(C587)</f>
        <v>101500</v>
      </c>
      <c r="D586" s="100"/>
      <c r="E586" s="135"/>
      <c r="F586" s="75"/>
      <c r="G586" s="75"/>
      <c r="H586" s="75"/>
      <c r="I586" s="75"/>
      <c r="J586" s="75"/>
      <c r="K586" s="75"/>
      <c r="L586" s="75"/>
      <c r="M586" s="75"/>
      <c r="N586" s="75"/>
      <c r="O586" s="75"/>
      <c r="P586" s="75"/>
      <c r="Q586" s="75"/>
      <c r="R586" s="75"/>
      <c r="S586" s="75"/>
      <c r="T586" s="75"/>
      <c r="U586" s="75"/>
      <c r="V586" s="75"/>
      <c r="W586" s="75"/>
    </row>
    <row r="587" spans="1:23" ht="13.5" customHeight="1">
      <c r="A587" s="154">
        <v>21130307</v>
      </c>
      <c r="B587" s="100" t="s">
        <v>488</v>
      </c>
      <c r="C587" s="72">
        <v>101500</v>
      </c>
      <c r="D587" s="251"/>
      <c r="E587" s="201"/>
      <c r="F587" s="100"/>
      <c r="G587" s="100"/>
      <c r="H587" s="72"/>
      <c r="I587" s="100"/>
      <c r="J587" s="100"/>
      <c r="K587" s="100"/>
      <c r="L587" s="100"/>
      <c r="M587" s="100"/>
      <c r="N587" s="100"/>
      <c r="O587" s="100"/>
      <c r="P587" s="100"/>
      <c r="Q587" s="100"/>
      <c r="R587" s="100"/>
      <c r="S587" s="100"/>
      <c r="T587" s="100"/>
      <c r="U587" s="100"/>
      <c r="V587" s="100"/>
      <c r="W587" s="100"/>
    </row>
    <row r="588" spans="1:23" ht="13.5" customHeight="1">
      <c r="A588" s="76">
        <v>211305</v>
      </c>
      <c r="B588" s="36" t="s">
        <v>489</v>
      </c>
      <c r="C588" s="36">
        <f>C589</f>
        <v>7030000</v>
      </c>
      <c r="D588" s="204"/>
      <c r="E588" s="201"/>
      <c r="F588" s="100"/>
      <c r="G588" s="100"/>
      <c r="H588" s="100"/>
      <c r="I588" s="100"/>
      <c r="J588" s="100"/>
      <c r="K588" s="100"/>
      <c r="L588" s="100"/>
      <c r="M588" s="100"/>
      <c r="N588" s="100"/>
      <c r="O588" s="100"/>
      <c r="P588" s="100"/>
      <c r="Q588" s="100"/>
      <c r="R588" s="100"/>
      <c r="S588" s="100"/>
      <c r="T588" s="100"/>
      <c r="U588" s="100"/>
      <c r="V588" s="100"/>
      <c r="W588" s="100"/>
    </row>
    <row r="589" spans="1:23" ht="13.5" customHeight="1">
      <c r="A589" s="154">
        <v>21130502</v>
      </c>
      <c r="B589" s="72" t="s">
        <v>491</v>
      </c>
      <c r="C589" s="72">
        <f>2000000+30000+5000000</f>
        <v>7030000</v>
      </c>
      <c r="D589" s="251"/>
      <c r="E589" s="201"/>
      <c r="F589" s="135"/>
      <c r="G589" s="135"/>
      <c r="H589" s="135"/>
      <c r="I589" s="135"/>
      <c r="J589" s="135"/>
      <c r="K589" s="135"/>
      <c r="L589" s="135"/>
      <c r="M589" s="135"/>
      <c r="N589" s="135"/>
      <c r="O589" s="135"/>
      <c r="P589" s="135"/>
      <c r="Q589" s="135"/>
      <c r="R589" s="135"/>
      <c r="S589" s="135"/>
      <c r="T589" s="135"/>
      <c r="U589" s="135"/>
      <c r="V589" s="135"/>
      <c r="W589" s="135"/>
    </row>
    <row r="590" spans="1:23" ht="13.5" customHeight="1">
      <c r="A590" s="76">
        <v>211309</v>
      </c>
      <c r="B590" s="36" t="s">
        <v>496</v>
      </c>
      <c r="C590" s="36">
        <f>+SUM(C591:C593)</f>
        <v>9037000</v>
      </c>
      <c r="D590" s="250"/>
      <c r="E590" s="201"/>
      <c r="F590" s="219"/>
      <c r="G590" s="219"/>
      <c r="H590" s="219"/>
      <c r="I590" s="219"/>
      <c r="J590" s="219"/>
      <c r="K590" s="219"/>
      <c r="L590" s="219"/>
      <c r="M590" s="219"/>
      <c r="N590" s="219"/>
      <c r="O590" s="219"/>
      <c r="P590" s="219"/>
      <c r="Q590" s="219"/>
      <c r="R590" s="219"/>
      <c r="S590" s="219"/>
      <c r="T590" s="219"/>
      <c r="U590" s="219"/>
      <c r="V590" s="219"/>
      <c r="W590" s="219"/>
    </row>
    <row r="591" spans="1:23" ht="13.5" customHeight="1">
      <c r="A591" s="154">
        <v>21130901</v>
      </c>
      <c r="B591" s="72" t="s">
        <v>497</v>
      </c>
      <c r="C591" s="72">
        <f>1000000+69000+5000000</f>
        <v>6069000</v>
      </c>
      <c r="D591" s="100"/>
      <c r="E591" s="201"/>
      <c r="F591" s="135"/>
      <c r="G591" s="135"/>
      <c r="H591" s="135"/>
      <c r="I591" s="135"/>
      <c r="J591" s="135"/>
      <c r="K591" s="135"/>
      <c r="L591" s="135"/>
      <c r="M591" s="135"/>
      <c r="N591" s="135"/>
      <c r="O591" s="135"/>
      <c r="P591" s="135"/>
      <c r="Q591" s="135"/>
      <c r="R591" s="135"/>
      <c r="S591" s="135"/>
      <c r="T591" s="135"/>
      <c r="U591" s="135"/>
      <c r="V591" s="135"/>
      <c r="W591" s="135"/>
    </row>
    <row r="592" spans="1:23" ht="13.5" customHeight="1">
      <c r="A592" s="154">
        <v>21130906</v>
      </c>
      <c r="B592" s="100" t="s">
        <v>499</v>
      </c>
      <c r="C592" s="72">
        <f>40000+1000000</f>
        <v>1040000</v>
      </c>
      <c r="D592" s="204"/>
      <c r="E592" s="201"/>
      <c r="F592" s="135"/>
      <c r="G592" s="135"/>
      <c r="H592" s="135"/>
      <c r="I592" s="135"/>
      <c r="J592" s="135"/>
      <c r="K592" s="135"/>
      <c r="L592" s="135"/>
      <c r="M592" s="135"/>
      <c r="N592" s="135"/>
      <c r="O592" s="135"/>
      <c r="P592" s="135"/>
      <c r="Q592" s="135"/>
      <c r="R592" s="135"/>
      <c r="S592" s="135"/>
      <c r="T592" s="135"/>
      <c r="U592" s="135"/>
      <c r="V592" s="135"/>
      <c r="W592" s="135"/>
    </row>
    <row r="593" spans="1:23" ht="13.5" customHeight="1">
      <c r="A593" s="154">
        <v>21130908</v>
      </c>
      <c r="B593" s="72" t="s">
        <v>500</v>
      </c>
      <c r="C593" s="72">
        <f>928000+1000000</f>
        <v>1928000</v>
      </c>
      <c r="D593" s="203"/>
      <c r="E593" s="221"/>
      <c r="F593" s="100"/>
      <c r="G593" s="100"/>
      <c r="H593" s="100"/>
      <c r="I593" s="100"/>
      <c r="J593" s="100"/>
      <c r="K593" s="100"/>
      <c r="L593" s="100"/>
      <c r="M593" s="100"/>
      <c r="N593" s="100"/>
      <c r="O593" s="100"/>
      <c r="P593" s="100"/>
      <c r="Q593" s="100"/>
      <c r="R593" s="100"/>
      <c r="S593" s="100"/>
      <c r="T593" s="100"/>
      <c r="U593" s="100"/>
      <c r="V593" s="100"/>
      <c r="W593" s="100"/>
    </row>
    <row r="594" spans="1:23" ht="13.5" customHeight="1" thickBot="1">
      <c r="A594" s="100"/>
      <c r="B594" s="72"/>
      <c r="C594" s="72"/>
      <c r="D594" s="222"/>
      <c r="E594" s="215"/>
      <c r="F594" s="154"/>
      <c r="G594" s="154"/>
      <c r="H594" s="154"/>
      <c r="I594" s="154"/>
      <c r="J594" s="154"/>
      <c r="K594" s="154"/>
      <c r="L594" s="154"/>
      <c r="M594" s="154"/>
      <c r="N594" s="154"/>
      <c r="O594" s="154"/>
      <c r="P594" s="154"/>
      <c r="Q594" s="154"/>
      <c r="R594" s="154"/>
      <c r="S594" s="154"/>
      <c r="T594" s="154"/>
      <c r="U594" s="154"/>
      <c r="V594" s="154"/>
      <c r="W594" s="154"/>
    </row>
    <row r="595" spans="1:23" ht="13.5" customHeight="1" thickBot="1">
      <c r="A595" s="1355" t="s">
        <v>48</v>
      </c>
      <c r="B595" s="1281"/>
      <c r="C595" s="232">
        <f>C596+C600</f>
        <v>2230000</v>
      </c>
      <c r="D595" s="100"/>
      <c r="E595" s="201"/>
      <c r="F595" s="135"/>
      <c r="G595" s="135"/>
      <c r="H595" s="135"/>
      <c r="I595" s="135"/>
      <c r="J595" s="135"/>
      <c r="K595" s="135"/>
      <c r="L595" s="135"/>
      <c r="M595" s="135"/>
      <c r="N595" s="135"/>
      <c r="O595" s="135"/>
      <c r="P595" s="135"/>
      <c r="Q595" s="135"/>
      <c r="R595" s="135"/>
      <c r="S595" s="135"/>
      <c r="T595" s="135"/>
      <c r="U595" s="135"/>
      <c r="V595" s="135"/>
      <c r="W595" s="135"/>
    </row>
    <row r="596" spans="1:23" ht="13.5" customHeight="1">
      <c r="A596" s="76">
        <v>221104</v>
      </c>
      <c r="B596" s="826" t="s">
        <v>510</v>
      </c>
      <c r="C596" s="155">
        <f>SUM(C597:C599)</f>
        <v>1700000</v>
      </c>
      <c r="D596" s="200"/>
      <c r="E596" s="201"/>
      <c r="F596" s="135"/>
      <c r="G596" s="135"/>
      <c r="H596" s="135"/>
      <c r="I596" s="135"/>
      <c r="J596" s="135"/>
      <c r="K596" s="135"/>
      <c r="L596" s="135"/>
      <c r="M596" s="135"/>
      <c r="N596" s="135"/>
      <c r="O596" s="135"/>
      <c r="P596" s="135"/>
      <c r="Q596" s="135"/>
      <c r="R596" s="135"/>
      <c r="S596" s="135"/>
      <c r="T596" s="135"/>
      <c r="U596" s="135"/>
      <c r="V596" s="135"/>
      <c r="W596" s="135"/>
    </row>
    <row r="597" spans="1:23" ht="13.5" customHeight="1">
      <c r="A597" s="154">
        <v>22110401</v>
      </c>
      <c r="B597" s="100" t="s">
        <v>511</v>
      </c>
      <c r="C597" s="72">
        <f>500000+120000</f>
        <v>620000</v>
      </c>
      <c r="D597" s="252"/>
      <c r="E597" s="221"/>
      <c r="F597" s="135"/>
      <c r="G597" s="135"/>
      <c r="H597" s="135"/>
      <c r="I597" s="135"/>
      <c r="J597" s="135"/>
      <c r="K597" s="135"/>
      <c r="L597" s="135"/>
      <c r="M597" s="135"/>
      <c r="N597" s="135"/>
      <c r="O597" s="135"/>
      <c r="P597" s="135"/>
      <c r="Q597" s="135"/>
      <c r="R597" s="135"/>
      <c r="S597" s="135"/>
      <c r="T597" s="135"/>
      <c r="U597" s="135"/>
      <c r="V597" s="135"/>
      <c r="W597" s="135"/>
    </row>
    <row r="598" spans="1:23" ht="13.5" customHeight="1">
      <c r="A598" s="154">
        <v>22110404</v>
      </c>
      <c r="B598" s="100" t="s">
        <v>512</v>
      </c>
      <c r="C598" s="72">
        <f>40000+500000</f>
        <v>540000</v>
      </c>
      <c r="D598" s="154"/>
      <c r="E598" s="215"/>
      <c r="F598" s="135"/>
      <c r="G598" s="135"/>
      <c r="H598" s="135"/>
      <c r="I598" s="135"/>
      <c r="J598" s="135"/>
      <c r="K598" s="135"/>
      <c r="L598" s="135"/>
      <c r="M598" s="135"/>
      <c r="N598" s="135"/>
      <c r="O598" s="135"/>
      <c r="P598" s="135"/>
      <c r="Q598" s="135"/>
      <c r="R598" s="135"/>
      <c r="S598" s="135"/>
      <c r="T598" s="135"/>
      <c r="U598" s="135"/>
      <c r="V598" s="135"/>
      <c r="W598" s="135"/>
    </row>
    <row r="599" spans="1:23" ht="13.5" customHeight="1">
      <c r="A599" s="154">
        <v>22110409</v>
      </c>
      <c r="B599" s="72" t="s">
        <v>513</v>
      </c>
      <c r="C599" s="224">
        <f>500000+40000</f>
        <v>540000</v>
      </c>
      <c r="D599" s="201"/>
      <c r="E599" s="204"/>
      <c r="F599" s="135"/>
      <c r="G599" s="135"/>
      <c r="H599" s="135"/>
      <c r="I599" s="135"/>
      <c r="J599" s="135"/>
      <c r="K599" s="135"/>
      <c r="L599" s="135"/>
      <c r="M599" s="135"/>
      <c r="N599" s="135"/>
      <c r="O599" s="135"/>
      <c r="P599" s="135"/>
      <c r="Q599" s="135"/>
      <c r="R599" s="135"/>
      <c r="S599" s="135"/>
      <c r="T599" s="135"/>
      <c r="U599" s="135"/>
      <c r="V599" s="135"/>
      <c r="W599" s="135"/>
    </row>
    <row r="600" spans="1:23" ht="13.5" customHeight="1">
      <c r="A600" s="76">
        <v>2211070</v>
      </c>
      <c r="B600" s="36" t="s">
        <v>514</v>
      </c>
      <c r="C600" s="36">
        <f>SUM(C601)</f>
        <v>530000</v>
      </c>
      <c r="D600" s="216"/>
      <c r="E600" s="204"/>
      <c r="F600" s="135"/>
      <c r="G600" s="135"/>
      <c r="H600" s="135"/>
      <c r="I600" s="135"/>
      <c r="J600" s="135"/>
      <c r="K600" s="135"/>
      <c r="L600" s="135"/>
      <c r="M600" s="135"/>
      <c r="N600" s="135"/>
      <c r="O600" s="135"/>
      <c r="P600" s="135"/>
      <c r="Q600" s="135"/>
      <c r="R600" s="135"/>
      <c r="S600" s="135"/>
      <c r="T600" s="135"/>
      <c r="U600" s="135"/>
      <c r="V600" s="135"/>
      <c r="W600" s="135"/>
    </row>
    <row r="601" spans="1:23" ht="13.5" customHeight="1">
      <c r="A601" s="154">
        <v>22110702</v>
      </c>
      <c r="B601" s="72" t="s">
        <v>515</v>
      </c>
      <c r="C601" s="72">
        <f>500000+30000</f>
        <v>530000</v>
      </c>
      <c r="D601" s="216"/>
      <c r="E601" s="204"/>
      <c r="F601" s="135"/>
      <c r="G601" s="135"/>
      <c r="H601" s="135"/>
      <c r="I601" s="135"/>
      <c r="J601" s="135"/>
      <c r="K601" s="135"/>
      <c r="L601" s="135"/>
      <c r="M601" s="135"/>
      <c r="N601" s="135"/>
      <c r="O601" s="135"/>
      <c r="P601" s="135"/>
      <c r="Q601" s="135"/>
      <c r="R601" s="135"/>
      <c r="S601" s="135"/>
      <c r="T601" s="135"/>
      <c r="U601" s="135"/>
      <c r="V601" s="135"/>
      <c r="W601" s="135"/>
    </row>
    <row r="602" spans="1:23" ht="13.5" customHeight="1">
      <c r="A602" s="100"/>
      <c r="B602" s="72"/>
      <c r="C602" s="72"/>
      <c r="D602" s="216"/>
      <c r="E602" s="204"/>
      <c r="F602" s="135"/>
      <c r="G602" s="135"/>
      <c r="H602" s="135"/>
      <c r="I602" s="135"/>
      <c r="J602" s="135"/>
      <c r="K602" s="135"/>
      <c r="L602" s="135"/>
      <c r="M602" s="135"/>
      <c r="N602" s="135"/>
      <c r="O602" s="135"/>
      <c r="P602" s="135"/>
      <c r="Q602" s="135"/>
      <c r="R602" s="135"/>
      <c r="S602" s="135"/>
      <c r="T602" s="135"/>
      <c r="U602" s="135"/>
      <c r="V602" s="135"/>
      <c r="W602" s="135"/>
    </row>
    <row r="603" spans="1:23" ht="13.5" customHeight="1" thickBot="1">
      <c r="A603" s="100"/>
      <c r="B603" s="72"/>
      <c r="C603" s="72"/>
      <c r="D603" s="216"/>
      <c r="E603" s="204"/>
      <c r="F603" s="135"/>
      <c r="G603" s="135"/>
      <c r="H603" s="135"/>
      <c r="I603" s="135"/>
      <c r="J603" s="135"/>
      <c r="K603" s="135"/>
      <c r="L603" s="135"/>
      <c r="M603" s="135"/>
      <c r="N603" s="135"/>
      <c r="O603" s="135"/>
      <c r="P603" s="135"/>
      <c r="Q603" s="135"/>
      <c r="R603" s="135"/>
      <c r="S603" s="135"/>
      <c r="T603" s="135"/>
      <c r="U603" s="135"/>
      <c r="V603" s="135"/>
      <c r="W603" s="135"/>
    </row>
    <row r="604" spans="1:23" ht="13.5" customHeight="1">
      <c r="A604" s="1308" t="s">
        <v>903</v>
      </c>
      <c r="B604" s="1358"/>
      <c r="C604" s="1474">
        <v>1509</v>
      </c>
      <c r="D604" s="200"/>
      <c r="E604" s="201"/>
      <c r="F604" s="100"/>
      <c r="G604" s="100"/>
      <c r="H604" s="100"/>
      <c r="I604" s="100"/>
      <c r="J604" s="100"/>
      <c r="K604" s="100"/>
      <c r="L604" s="100"/>
      <c r="M604" s="100"/>
      <c r="N604" s="100"/>
      <c r="O604" s="100"/>
      <c r="P604" s="100"/>
      <c r="Q604" s="100"/>
      <c r="R604" s="100"/>
      <c r="S604" s="100"/>
      <c r="T604" s="100"/>
      <c r="U604" s="100"/>
      <c r="V604" s="100"/>
      <c r="W604" s="100"/>
    </row>
    <row r="605" spans="1:23" ht="13.5" customHeight="1" thickBot="1">
      <c r="A605" s="1344"/>
      <c r="B605" s="1359"/>
      <c r="C605" s="1475"/>
      <c r="D605" s="200"/>
      <c r="E605" s="201"/>
      <c r="F605" s="100"/>
      <c r="G605" s="100"/>
      <c r="H605" s="100"/>
      <c r="I605" s="100"/>
      <c r="J605" s="100"/>
      <c r="K605" s="100"/>
      <c r="L605" s="100"/>
      <c r="M605" s="100"/>
      <c r="N605" s="100"/>
      <c r="O605" s="100"/>
      <c r="P605" s="100"/>
      <c r="Q605" s="100"/>
      <c r="R605" s="100"/>
      <c r="S605" s="100"/>
      <c r="T605" s="100"/>
      <c r="U605" s="100"/>
      <c r="V605" s="100"/>
      <c r="W605" s="100"/>
    </row>
    <row r="606" spans="1:23" ht="13.5" customHeight="1">
      <c r="A606" s="609" t="s">
        <v>671</v>
      </c>
      <c r="B606" s="611"/>
      <c r="C606" s="1080"/>
      <c r="D606" s="200"/>
      <c r="E606" s="201"/>
      <c r="F606" s="100"/>
      <c r="G606" s="100"/>
      <c r="H606" s="100"/>
      <c r="I606" s="100"/>
      <c r="J606" s="100"/>
      <c r="K606" s="100"/>
      <c r="L606" s="100"/>
      <c r="M606" s="100"/>
      <c r="N606" s="100"/>
      <c r="O606" s="100"/>
      <c r="P606" s="100"/>
      <c r="Q606" s="100"/>
      <c r="R606" s="100"/>
      <c r="S606" s="100"/>
      <c r="T606" s="100"/>
      <c r="U606" s="100"/>
      <c r="V606" s="100"/>
      <c r="W606" s="100"/>
    </row>
    <row r="607" spans="1:23" ht="13.5" customHeight="1">
      <c r="A607" s="609" t="s">
        <v>722</v>
      </c>
      <c r="B607" s="611"/>
      <c r="C607" s="1080"/>
      <c r="D607" s="200"/>
      <c r="E607" s="201"/>
      <c r="F607" s="100"/>
      <c r="G607" s="100"/>
      <c r="H607" s="100"/>
      <c r="I607" s="100"/>
      <c r="J607" s="100"/>
      <c r="K607" s="100"/>
      <c r="L607" s="100"/>
      <c r="M607" s="100"/>
      <c r="N607" s="100"/>
      <c r="O607" s="100"/>
      <c r="P607" s="100"/>
      <c r="Q607" s="100"/>
      <c r="R607" s="100"/>
      <c r="S607" s="100"/>
      <c r="T607" s="100"/>
      <c r="U607" s="100"/>
      <c r="V607" s="100"/>
      <c r="W607" s="100"/>
    </row>
    <row r="608" spans="1:23" ht="13.5" customHeight="1">
      <c r="A608" s="609" t="s">
        <v>723</v>
      </c>
      <c r="B608" s="611"/>
      <c r="C608" s="1080"/>
      <c r="D608" s="200"/>
      <c r="E608" s="201"/>
      <c r="F608" s="100"/>
      <c r="G608" s="100"/>
      <c r="H608" s="100"/>
      <c r="I608" s="100"/>
      <c r="J608" s="100"/>
      <c r="K608" s="100"/>
      <c r="L608" s="100"/>
      <c r="M608" s="100"/>
      <c r="N608" s="100"/>
      <c r="O608" s="100"/>
      <c r="P608" s="100"/>
      <c r="Q608" s="100"/>
      <c r="R608" s="100"/>
      <c r="S608" s="100"/>
      <c r="T608" s="100"/>
      <c r="U608" s="100"/>
      <c r="V608" s="100"/>
      <c r="W608" s="100"/>
    </row>
    <row r="609" spans="1:23" ht="13.5" customHeight="1" thickBot="1">
      <c r="A609" s="609" t="s">
        <v>0</v>
      </c>
      <c r="B609" s="142"/>
      <c r="C609" s="1080"/>
      <c r="D609" s="200"/>
      <c r="E609" s="201"/>
      <c r="F609" s="100"/>
      <c r="G609" s="100"/>
      <c r="H609" s="100"/>
      <c r="I609" s="100"/>
      <c r="J609" s="100"/>
      <c r="K609" s="100"/>
      <c r="L609" s="100"/>
      <c r="M609" s="100"/>
      <c r="N609" s="100"/>
      <c r="O609" s="100"/>
      <c r="P609" s="100"/>
      <c r="Q609" s="100"/>
      <c r="R609" s="100"/>
      <c r="S609" s="100"/>
      <c r="T609" s="100"/>
      <c r="U609" s="100"/>
      <c r="V609" s="100"/>
      <c r="W609" s="100"/>
    </row>
    <row r="610" spans="1:23" ht="13.5" customHeight="1" thickBot="1">
      <c r="A610" s="627" t="s">
        <v>60</v>
      </c>
      <c r="B610" s="630"/>
      <c r="C610" s="638">
        <f>+C612+C637+C655+C659</f>
        <v>71199000</v>
      </c>
      <c r="D610" s="200"/>
      <c r="E610" s="201"/>
      <c r="F610" s="100"/>
      <c r="G610" s="100"/>
      <c r="H610" s="100"/>
      <c r="I610" s="100"/>
      <c r="J610" s="100"/>
      <c r="K610" s="100"/>
      <c r="L610" s="100"/>
      <c r="M610" s="100"/>
      <c r="N610" s="100"/>
      <c r="O610" s="100"/>
      <c r="P610" s="100"/>
      <c r="Q610" s="100"/>
      <c r="R610" s="100"/>
      <c r="S610" s="100"/>
      <c r="T610" s="100"/>
      <c r="U610" s="100"/>
      <c r="V610" s="100"/>
      <c r="W610" s="100"/>
    </row>
    <row r="611" spans="1:23" ht="13.5" customHeight="1" thickBot="1">
      <c r="A611" s="254"/>
      <c r="B611" s="75"/>
      <c r="C611" s="36"/>
      <c r="D611" s="200"/>
      <c r="E611" s="201"/>
      <c r="F611" s="100"/>
      <c r="G611" s="100"/>
      <c r="H611" s="100"/>
      <c r="I611" s="100"/>
      <c r="J611" s="100"/>
      <c r="K611" s="100"/>
      <c r="L611" s="100"/>
      <c r="M611" s="100"/>
      <c r="N611" s="100"/>
      <c r="O611" s="100"/>
      <c r="P611" s="100"/>
      <c r="Q611" s="100"/>
      <c r="R611" s="100"/>
      <c r="S611" s="100"/>
      <c r="T611" s="100"/>
      <c r="U611" s="100"/>
      <c r="V611" s="100"/>
      <c r="W611" s="100"/>
    </row>
    <row r="612" spans="1:23" ht="13.5" customHeight="1" thickBot="1">
      <c r="A612" s="1356" t="s">
        <v>9</v>
      </c>
      <c r="B612" s="1281"/>
      <c r="C612" s="212">
        <f>+C613+C615+C617+C619+C622+C628+C630</f>
        <v>8281000</v>
      </c>
      <c r="D612" s="200"/>
      <c r="E612" s="201"/>
      <c r="F612" s="100"/>
      <c r="G612" s="100"/>
      <c r="H612" s="100"/>
      <c r="I612" s="100"/>
      <c r="J612" s="100"/>
      <c r="K612" s="100"/>
      <c r="L612" s="100"/>
      <c r="M612" s="100"/>
      <c r="N612" s="100"/>
      <c r="O612" s="100"/>
      <c r="P612" s="100"/>
      <c r="Q612" s="100"/>
      <c r="R612" s="100"/>
      <c r="S612" s="100"/>
      <c r="T612" s="100"/>
      <c r="U612" s="100"/>
      <c r="V612" s="100"/>
      <c r="W612" s="100"/>
    </row>
    <row r="613" spans="1:23" ht="13.5" customHeight="1">
      <c r="A613" s="76">
        <v>211201</v>
      </c>
      <c r="B613" s="76" t="s">
        <v>459</v>
      </c>
      <c r="C613" s="155">
        <f>SUM(C614)</f>
        <v>2664500</v>
      </c>
      <c r="D613" s="200"/>
      <c r="E613" s="201"/>
      <c r="F613" s="100"/>
      <c r="G613" s="100"/>
      <c r="H613" s="100"/>
      <c r="I613" s="100"/>
      <c r="J613" s="100"/>
      <c r="K613" s="100"/>
      <c r="L613" s="100"/>
      <c r="M613" s="100"/>
      <c r="N613" s="100"/>
      <c r="O613" s="100"/>
      <c r="P613" s="100"/>
      <c r="Q613" s="100"/>
      <c r="R613" s="100"/>
      <c r="S613" s="100"/>
      <c r="T613" s="100"/>
      <c r="U613" s="100"/>
      <c r="V613" s="100"/>
      <c r="W613" s="100"/>
    </row>
    <row r="614" spans="1:23" ht="13.5" customHeight="1">
      <c r="A614" s="154">
        <v>21120101</v>
      </c>
      <c r="B614" s="100" t="s">
        <v>460</v>
      </c>
      <c r="C614" s="72">
        <v>2664500</v>
      </c>
      <c r="D614" s="200"/>
      <c r="E614" s="201"/>
      <c r="F614" s="100"/>
      <c r="G614" s="100"/>
      <c r="H614" s="100"/>
      <c r="I614" s="100"/>
      <c r="J614" s="100"/>
      <c r="K614" s="100"/>
      <c r="L614" s="100"/>
      <c r="M614" s="100"/>
      <c r="N614" s="100"/>
      <c r="O614" s="100"/>
      <c r="P614" s="100"/>
      <c r="Q614" s="100"/>
      <c r="R614" s="100"/>
      <c r="S614" s="100"/>
      <c r="T614" s="100"/>
      <c r="U614" s="100"/>
      <c r="V614" s="100"/>
      <c r="W614" s="100"/>
    </row>
    <row r="615" spans="1:23" ht="13.5" customHeight="1">
      <c r="A615" s="76">
        <v>211202</v>
      </c>
      <c r="B615" s="75" t="s">
        <v>529</v>
      </c>
      <c r="C615" s="36">
        <v>450000</v>
      </c>
      <c r="D615" s="200"/>
      <c r="E615" s="201"/>
      <c r="F615" s="100"/>
      <c r="G615" s="100"/>
      <c r="H615" s="100"/>
      <c r="I615" s="100"/>
      <c r="J615" s="100"/>
      <c r="K615" s="100"/>
      <c r="L615" s="100"/>
      <c r="M615" s="100"/>
      <c r="N615" s="100"/>
      <c r="O615" s="100"/>
      <c r="P615" s="100"/>
      <c r="Q615" s="100"/>
      <c r="R615" s="100"/>
      <c r="S615" s="100"/>
      <c r="T615" s="100"/>
      <c r="U615" s="100"/>
      <c r="V615" s="100"/>
      <c r="W615" s="100"/>
    </row>
    <row r="616" spans="1:23" ht="13.5" customHeight="1">
      <c r="A616" s="154">
        <v>21120202</v>
      </c>
      <c r="B616" s="100" t="s">
        <v>530</v>
      </c>
      <c r="C616" s="72">
        <v>450000</v>
      </c>
      <c r="D616" s="200"/>
      <c r="E616" s="201"/>
      <c r="F616" s="100"/>
      <c r="G616" s="100"/>
      <c r="H616" s="100"/>
      <c r="I616" s="100"/>
      <c r="J616" s="100"/>
      <c r="K616" s="100"/>
      <c r="L616" s="100"/>
      <c r="M616" s="100"/>
      <c r="N616" s="100"/>
      <c r="O616" s="100"/>
      <c r="P616" s="100"/>
      <c r="Q616" s="100"/>
      <c r="R616" s="100"/>
      <c r="S616" s="100"/>
      <c r="T616" s="100"/>
      <c r="U616" s="100"/>
      <c r="V616" s="100"/>
      <c r="W616" s="100"/>
    </row>
    <row r="617" spans="1:23" ht="13.5" customHeight="1">
      <c r="A617" s="76">
        <v>211203</v>
      </c>
      <c r="B617" s="75" t="s">
        <v>461</v>
      </c>
      <c r="C617" s="36">
        <v>313000</v>
      </c>
      <c r="D617" s="200"/>
      <c r="E617" s="201"/>
      <c r="F617" s="100"/>
      <c r="G617" s="100"/>
      <c r="H617" s="100"/>
      <c r="I617" s="100"/>
      <c r="J617" s="100"/>
      <c r="K617" s="100"/>
      <c r="L617" s="100"/>
      <c r="M617" s="100"/>
      <c r="N617" s="100"/>
      <c r="O617" s="100"/>
      <c r="P617" s="100"/>
      <c r="Q617" s="100"/>
      <c r="R617" s="100"/>
      <c r="S617" s="100"/>
      <c r="T617" s="100"/>
      <c r="U617" s="100"/>
      <c r="V617" s="100"/>
      <c r="W617" s="100"/>
    </row>
    <row r="618" spans="1:23" ht="13.5" customHeight="1">
      <c r="A618" s="154">
        <v>21120302</v>
      </c>
      <c r="B618" s="100" t="s">
        <v>462</v>
      </c>
      <c r="C618" s="72">
        <v>313000</v>
      </c>
      <c r="D618" s="200"/>
      <c r="E618" s="201"/>
      <c r="F618" s="100"/>
      <c r="G618" s="100"/>
      <c r="H618" s="100"/>
      <c r="I618" s="100"/>
      <c r="J618" s="100"/>
      <c r="K618" s="100"/>
      <c r="L618" s="100"/>
      <c r="M618" s="100"/>
      <c r="N618" s="100"/>
      <c r="O618" s="100"/>
      <c r="P618" s="100"/>
      <c r="Q618" s="100"/>
      <c r="R618" s="100"/>
      <c r="S618" s="100"/>
      <c r="T618" s="100"/>
      <c r="U618" s="100"/>
      <c r="V618" s="100"/>
      <c r="W618" s="100"/>
    </row>
    <row r="619" spans="1:23" ht="13.5" customHeight="1">
      <c r="A619" s="76">
        <v>211204</v>
      </c>
      <c r="B619" s="75" t="s">
        <v>463</v>
      </c>
      <c r="C619" s="36">
        <f>+SUM(C620:C621)</f>
        <v>1384000</v>
      </c>
      <c r="D619" s="200"/>
      <c r="E619" s="201"/>
      <c r="F619" s="100"/>
      <c r="G619" s="100"/>
      <c r="H619" s="100"/>
      <c r="I619" s="100"/>
      <c r="J619" s="100"/>
      <c r="K619" s="100"/>
      <c r="L619" s="100"/>
      <c r="M619" s="100"/>
      <c r="N619" s="100"/>
      <c r="O619" s="100"/>
      <c r="P619" s="100"/>
      <c r="Q619" s="100"/>
      <c r="R619" s="100"/>
      <c r="S619" s="100"/>
      <c r="T619" s="100"/>
      <c r="U619" s="100"/>
      <c r="V619" s="100"/>
      <c r="W619" s="100"/>
    </row>
    <row r="620" spans="1:23" ht="13.5" customHeight="1">
      <c r="A620" s="154">
        <v>21120401</v>
      </c>
      <c r="B620" s="72" t="s">
        <v>464</v>
      </c>
      <c r="C620" s="72">
        <v>1182000</v>
      </c>
      <c r="D620" s="200"/>
      <c r="E620" s="201"/>
      <c r="F620" s="100"/>
      <c r="G620" s="100"/>
      <c r="H620" s="100"/>
      <c r="I620" s="100"/>
      <c r="J620" s="100"/>
      <c r="K620" s="100"/>
      <c r="L620" s="100"/>
      <c r="M620" s="100"/>
      <c r="N620" s="100"/>
      <c r="O620" s="100"/>
      <c r="P620" s="100"/>
      <c r="Q620" s="100"/>
      <c r="R620" s="100"/>
      <c r="S620" s="100"/>
      <c r="T620" s="100"/>
      <c r="U620" s="100"/>
      <c r="V620" s="100"/>
      <c r="W620" s="100"/>
    </row>
    <row r="621" spans="1:23" ht="13.5" customHeight="1">
      <c r="A621" s="154">
        <v>21120402</v>
      </c>
      <c r="B621" s="77" t="s">
        <v>649</v>
      </c>
      <c r="C621" s="72">
        <f>50000+152000</f>
        <v>202000</v>
      </c>
      <c r="D621" s="200"/>
      <c r="E621" s="201"/>
      <c r="F621" s="100"/>
      <c r="G621" s="100"/>
      <c r="H621" s="100"/>
      <c r="I621" s="100"/>
      <c r="J621" s="100"/>
      <c r="K621" s="100"/>
      <c r="L621" s="100"/>
      <c r="M621" s="100"/>
      <c r="N621" s="100"/>
      <c r="O621" s="100"/>
      <c r="P621" s="100"/>
      <c r="Q621" s="100"/>
      <c r="R621" s="100"/>
      <c r="S621" s="100"/>
      <c r="T621" s="100"/>
      <c r="U621" s="100"/>
      <c r="V621" s="100"/>
      <c r="W621" s="100"/>
    </row>
    <row r="622" spans="1:23" ht="13.5" customHeight="1">
      <c r="A622" s="76">
        <v>211207</v>
      </c>
      <c r="B622" s="851" t="s">
        <v>467</v>
      </c>
      <c r="C622" s="36">
        <f>+SUM(C623:C627)</f>
        <v>208000</v>
      </c>
      <c r="D622" s="200"/>
      <c r="E622" s="201"/>
      <c r="F622" s="100"/>
      <c r="G622" s="100"/>
      <c r="H622" s="100"/>
      <c r="I622" s="100"/>
      <c r="J622" s="100"/>
      <c r="K622" s="100"/>
      <c r="L622" s="100"/>
      <c r="M622" s="100"/>
      <c r="N622" s="100"/>
      <c r="O622" s="100"/>
      <c r="P622" s="100"/>
      <c r="Q622" s="100"/>
      <c r="R622" s="100"/>
      <c r="S622" s="100"/>
      <c r="T622" s="100"/>
      <c r="U622" s="100"/>
      <c r="V622" s="100"/>
      <c r="W622" s="100"/>
    </row>
    <row r="623" spans="1:23" ht="13.5" customHeight="1">
      <c r="A623" s="154">
        <v>21120702</v>
      </c>
      <c r="B623" s="72" t="s">
        <v>468</v>
      </c>
      <c r="C623" s="72">
        <v>40000</v>
      </c>
      <c r="D623" s="200"/>
      <c r="E623" s="201"/>
      <c r="F623" s="100"/>
      <c r="G623" s="100"/>
      <c r="H623" s="100"/>
      <c r="I623" s="100"/>
      <c r="J623" s="100"/>
      <c r="K623" s="100"/>
      <c r="L623" s="100"/>
      <c r="M623" s="100"/>
      <c r="N623" s="100"/>
      <c r="O623" s="100"/>
      <c r="P623" s="100"/>
      <c r="Q623" s="100"/>
      <c r="R623" s="100"/>
      <c r="S623" s="100"/>
      <c r="T623" s="100"/>
      <c r="U623" s="100"/>
      <c r="V623" s="100"/>
      <c r="W623" s="100"/>
    </row>
    <row r="624" spans="1:23" ht="13.5" customHeight="1">
      <c r="A624" s="154">
        <v>21120708</v>
      </c>
      <c r="B624" s="77" t="s">
        <v>470</v>
      </c>
      <c r="C624" s="72">
        <v>20000</v>
      </c>
      <c r="D624" s="200"/>
      <c r="E624" s="201"/>
      <c r="F624" s="100"/>
      <c r="G624" s="100"/>
      <c r="H624" s="100"/>
      <c r="I624" s="100"/>
      <c r="J624" s="100"/>
      <c r="K624" s="100"/>
      <c r="L624" s="100"/>
      <c r="M624" s="100"/>
      <c r="N624" s="100"/>
      <c r="O624" s="100"/>
      <c r="P624" s="100"/>
      <c r="Q624" s="100"/>
      <c r="R624" s="100"/>
      <c r="S624" s="100"/>
      <c r="T624" s="100"/>
      <c r="U624" s="100"/>
      <c r="V624" s="100"/>
      <c r="W624" s="100"/>
    </row>
    <row r="625" spans="1:23" ht="13.5" customHeight="1">
      <c r="A625" s="154">
        <v>21120709</v>
      </c>
      <c r="B625" s="72" t="s">
        <v>471</v>
      </c>
      <c r="C625" s="72">
        <v>48000</v>
      </c>
      <c r="D625" s="200"/>
      <c r="E625" s="201"/>
      <c r="F625" s="100"/>
      <c r="G625" s="100"/>
      <c r="H625" s="100"/>
      <c r="I625" s="100"/>
      <c r="J625" s="100"/>
      <c r="K625" s="100"/>
      <c r="L625" s="100"/>
      <c r="M625" s="100"/>
      <c r="N625" s="100"/>
      <c r="O625" s="100"/>
      <c r="P625" s="100"/>
      <c r="Q625" s="100"/>
      <c r="R625" s="100"/>
      <c r="S625" s="100"/>
      <c r="T625" s="100"/>
      <c r="U625" s="100"/>
      <c r="V625" s="100"/>
      <c r="W625" s="100"/>
    </row>
    <row r="626" spans="1:23" ht="13.5" customHeight="1">
      <c r="A626" s="154">
        <v>21120710</v>
      </c>
      <c r="B626" s="72" t="s">
        <v>472</v>
      </c>
      <c r="C626" s="72">
        <v>60000</v>
      </c>
      <c r="D626" s="200"/>
      <c r="E626" s="201"/>
      <c r="F626" s="100"/>
      <c r="G626" s="100"/>
      <c r="H626" s="100"/>
      <c r="I626" s="100"/>
      <c r="J626" s="100"/>
      <c r="K626" s="100"/>
      <c r="L626" s="100"/>
      <c r="M626" s="100"/>
      <c r="N626" s="100"/>
      <c r="O626" s="100"/>
      <c r="P626" s="100"/>
      <c r="Q626" s="100"/>
      <c r="R626" s="100"/>
      <c r="S626" s="100"/>
      <c r="T626" s="100"/>
      <c r="U626" s="100"/>
      <c r="V626" s="100"/>
      <c r="W626" s="100"/>
    </row>
    <row r="627" spans="1:23" ht="13.5" customHeight="1">
      <c r="A627" s="154">
        <v>21120711</v>
      </c>
      <c r="B627" s="72" t="s">
        <v>473</v>
      </c>
      <c r="C627" s="72">
        <v>40000</v>
      </c>
      <c r="D627" s="200"/>
      <c r="E627" s="201"/>
      <c r="F627" s="100"/>
      <c r="G627" s="100"/>
      <c r="H627" s="100"/>
      <c r="I627" s="100"/>
      <c r="J627" s="100"/>
      <c r="K627" s="100"/>
      <c r="L627" s="100"/>
      <c r="M627" s="100"/>
      <c r="N627" s="100"/>
      <c r="O627" s="100"/>
      <c r="P627" s="100"/>
      <c r="Q627" s="100"/>
      <c r="R627" s="100"/>
      <c r="S627" s="100"/>
      <c r="T627" s="100"/>
      <c r="U627" s="100"/>
      <c r="V627" s="100"/>
      <c r="W627" s="100"/>
    </row>
    <row r="628" spans="1:23" ht="13.5" customHeight="1">
      <c r="A628" s="76">
        <v>211208</v>
      </c>
      <c r="B628" s="36" t="s">
        <v>474</v>
      </c>
      <c r="C628" s="36">
        <f>+SUM(C629:C629)</f>
        <v>49500</v>
      </c>
      <c r="D628" s="200"/>
      <c r="E628" s="201"/>
      <c r="F628" s="100"/>
      <c r="G628" s="100"/>
      <c r="H628" s="100"/>
      <c r="I628" s="100"/>
      <c r="J628" s="100"/>
      <c r="K628" s="100"/>
      <c r="L628" s="100"/>
      <c r="M628" s="100"/>
      <c r="N628" s="100"/>
      <c r="O628" s="100"/>
      <c r="P628" s="100"/>
      <c r="Q628" s="100"/>
      <c r="R628" s="100"/>
      <c r="S628" s="100"/>
      <c r="T628" s="100"/>
      <c r="U628" s="100"/>
      <c r="V628" s="100"/>
      <c r="W628" s="100"/>
    </row>
    <row r="629" spans="1:23" ht="13.5" customHeight="1">
      <c r="A629" s="154">
        <v>21120805</v>
      </c>
      <c r="B629" s="72" t="s">
        <v>476</v>
      </c>
      <c r="C629" s="72">
        <v>49500</v>
      </c>
      <c r="D629" s="200"/>
      <c r="E629" s="201"/>
      <c r="F629" s="100"/>
      <c r="G629" s="100"/>
      <c r="H629" s="100"/>
      <c r="I629" s="100"/>
      <c r="J629" s="100"/>
      <c r="K629" s="100"/>
      <c r="L629" s="100"/>
      <c r="M629" s="100"/>
      <c r="N629" s="100"/>
      <c r="O629" s="100"/>
      <c r="P629" s="100"/>
      <c r="Q629" s="100"/>
      <c r="R629" s="100"/>
      <c r="S629" s="100"/>
      <c r="T629" s="100"/>
      <c r="U629" s="100"/>
      <c r="V629" s="100"/>
      <c r="W629" s="100"/>
    </row>
    <row r="630" spans="1:23" ht="13.5" customHeight="1">
      <c r="A630" s="76">
        <v>211209</v>
      </c>
      <c r="B630" s="36" t="s">
        <v>477</v>
      </c>
      <c r="C630" s="36">
        <f>+SUM(C631:C635)</f>
        <v>3212000</v>
      </c>
      <c r="D630" s="200"/>
      <c r="E630" s="201"/>
      <c r="F630" s="100"/>
      <c r="G630" s="100"/>
      <c r="H630" s="100"/>
      <c r="I630" s="100"/>
      <c r="J630" s="100"/>
      <c r="K630" s="100"/>
      <c r="L630" s="100"/>
      <c r="M630" s="100"/>
      <c r="N630" s="100"/>
      <c r="O630" s="100"/>
      <c r="P630" s="100"/>
      <c r="Q630" s="100"/>
      <c r="R630" s="100"/>
      <c r="S630" s="100"/>
      <c r="T630" s="100"/>
      <c r="U630" s="100"/>
      <c r="V630" s="100"/>
      <c r="W630" s="100"/>
    </row>
    <row r="631" spans="1:23" ht="13.5" customHeight="1">
      <c r="A631" s="154">
        <v>21120901</v>
      </c>
      <c r="B631" s="72" t="s">
        <v>478</v>
      </c>
      <c r="C631" s="72">
        <v>577500</v>
      </c>
      <c r="D631" s="200"/>
      <c r="E631" s="201"/>
      <c r="F631" s="100"/>
      <c r="G631" s="100"/>
      <c r="H631" s="100"/>
      <c r="I631" s="100"/>
      <c r="J631" s="100"/>
      <c r="K631" s="100"/>
      <c r="L631" s="100"/>
      <c r="M631" s="100"/>
      <c r="N631" s="100"/>
      <c r="O631" s="100"/>
      <c r="P631" s="100"/>
      <c r="Q631" s="100"/>
      <c r="R631" s="100"/>
      <c r="S631" s="100"/>
      <c r="T631" s="100"/>
      <c r="U631" s="100"/>
      <c r="V631" s="100"/>
      <c r="W631" s="100"/>
    </row>
    <row r="632" spans="1:23" ht="13.5" customHeight="1">
      <c r="A632" s="154">
        <v>21120902</v>
      </c>
      <c r="B632" s="72" t="s">
        <v>584</v>
      </c>
      <c r="C632" s="72">
        <v>240000</v>
      </c>
      <c r="D632" s="200"/>
      <c r="E632" s="201"/>
      <c r="F632" s="100"/>
      <c r="G632" s="100"/>
      <c r="H632" s="100"/>
      <c r="I632" s="100"/>
      <c r="J632" s="100"/>
      <c r="K632" s="100"/>
      <c r="L632" s="100"/>
      <c r="M632" s="100"/>
      <c r="N632" s="100"/>
      <c r="O632" s="100"/>
      <c r="P632" s="100"/>
      <c r="Q632" s="100"/>
      <c r="R632" s="100"/>
      <c r="S632" s="100"/>
      <c r="T632" s="100"/>
      <c r="U632" s="100"/>
      <c r="V632" s="100"/>
      <c r="W632" s="100"/>
    </row>
    <row r="633" spans="1:23" ht="13.5" customHeight="1">
      <c r="A633" s="154">
        <v>21120905</v>
      </c>
      <c r="B633" s="72" t="s">
        <v>525</v>
      </c>
      <c r="C633" s="72">
        <v>160000</v>
      </c>
      <c r="D633" s="200"/>
      <c r="E633" s="201"/>
      <c r="F633" s="100"/>
      <c r="G633" s="100"/>
      <c r="H633" s="100"/>
      <c r="I633" s="100"/>
      <c r="J633" s="100"/>
      <c r="K633" s="100"/>
      <c r="L633" s="100"/>
      <c r="M633" s="100"/>
      <c r="N633" s="100"/>
      <c r="O633" s="100"/>
      <c r="P633" s="100"/>
      <c r="Q633" s="100"/>
      <c r="R633" s="100"/>
      <c r="S633" s="100"/>
      <c r="T633" s="100"/>
      <c r="U633" s="100"/>
      <c r="V633" s="100"/>
      <c r="W633" s="100"/>
    </row>
    <row r="634" spans="1:23" ht="13.5" customHeight="1">
      <c r="A634" s="154">
        <v>21120906</v>
      </c>
      <c r="B634" s="72" t="s">
        <v>479</v>
      </c>
      <c r="C634" s="72">
        <v>414000</v>
      </c>
      <c r="D634" s="200"/>
      <c r="E634" s="201"/>
      <c r="F634" s="100"/>
      <c r="G634" s="100"/>
      <c r="H634" s="100"/>
      <c r="I634" s="100"/>
      <c r="J634" s="100"/>
      <c r="K634" s="100"/>
      <c r="L634" s="100"/>
      <c r="M634" s="100"/>
      <c r="N634" s="100"/>
      <c r="O634" s="100"/>
      <c r="P634" s="100"/>
      <c r="Q634" s="100"/>
      <c r="R634" s="100"/>
      <c r="S634" s="100"/>
      <c r="T634" s="100"/>
      <c r="U634" s="100"/>
      <c r="V634" s="100"/>
      <c r="W634" s="100"/>
    </row>
    <row r="635" spans="1:23" ht="13.5" customHeight="1">
      <c r="A635" s="154">
        <v>21120907</v>
      </c>
      <c r="B635" s="77" t="s">
        <v>480</v>
      </c>
      <c r="C635" s="72">
        <v>1820500</v>
      </c>
      <c r="D635" s="200"/>
      <c r="E635" s="201"/>
      <c r="F635" s="100"/>
      <c r="G635" s="100"/>
      <c r="H635" s="100"/>
      <c r="I635" s="100"/>
      <c r="J635" s="100"/>
      <c r="K635" s="100"/>
      <c r="L635" s="100"/>
      <c r="M635" s="100"/>
      <c r="N635" s="100"/>
      <c r="O635" s="100"/>
      <c r="P635" s="100"/>
      <c r="Q635" s="100"/>
      <c r="R635" s="100"/>
      <c r="S635" s="100"/>
      <c r="T635" s="100"/>
      <c r="U635" s="100"/>
      <c r="V635" s="100"/>
      <c r="W635" s="100"/>
    </row>
    <row r="636" spans="1:23" ht="13.5" customHeight="1" thickBot="1">
      <c r="A636" s="100"/>
      <c r="B636" s="72"/>
      <c r="C636" s="72"/>
      <c r="D636" s="200"/>
      <c r="E636" s="201"/>
      <c r="F636" s="100"/>
      <c r="G636" s="100"/>
      <c r="H636" s="100"/>
      <c r="I636" s="100"/>
      <c r="J636" s="100"/>
      <c r="K636" s="100"/>
      <c r="L636" s="100"/>
      <c r="M636" s="100"/>
      <c r="N636" s="100"/>
      <c r="O636" s="100"/>
      <c r="P636" s="100"/>
      <c r="Q636" s="100"/>
      <c r="R636" s="100"/>
      <c r="S636" s="100"/>
      <c r="T636" s="100"/>
      <c r="U636" s="100"/>
      <c r="V636" s="100"/>
      <c r="W636" s="100"/>
    </row>
    <row r="637" spans="1:23" ht="13.5" customHeight="1" thickBot="1">
      <c r="A637" s="1354" t="s">
        <v>4</v>
      </c>
      <c r="B637" s="1281"/>
      <c r="C637" s="220">
        <f>C638+C640+C643+C647+C649</f>
        <v>49991500</v>
      </c>
      <c r="D637" s="200"/>
      <c r="E637" s="201"/>
      <c r="F637" s="100"/>
      <c r="G637" s="100"/>
      <c r="H637" s="100"/>
      <c r="I637" s="100"/>
      <c r="J637" s="100"/>
      <c r="K637" s="100"/>
      <c r="L637" s="100"/>
      <c r="M637" s="100"/>
      <c r="N637" s="100"/>
      <c r="O637" s="100"/>
      <c r="P637" s="100"/>
      <c r="Q637" s="100"/>
      <c r="R637" s="100"/>
      <c r="S637" s="100"/>
      <c r="T637" s="100"/>
      <c r="U637" s="100"/>
      <c r="V637" s="100"/>
      <c r="W637" s="100"/>
    </row>
    <row r="638" spans="1:23" ht="13.5" customHeight="1">
      <c r="A638" s="76">
        <v>211302</v>
      </c>
      <c r="B638" s="76" t="s">
        <v>481</v>
      </c>
      <c r="C638" s="155">
        <f>SUM(C639)</f>
        <v>106000</v>
      </c>
      <c r="D638" s="200"/>
      <c r="E638" s="201"/>
      <c r="F638" s="100"/>
      <c r="G638" s="100"/>
      <c r="H638" s="100"/>
      <c r="I638" s="100"/>
      <c r="J638" s="100"/>
      <c r="K638" s="100"/>
      <c r="L638" s="100"/>
      <c r="M638" s="100"/>
      <c r="N638" s="100"/>
      <c r="O638" s="100"/>
      <c r="P638" s="100"/>
      <c r="Q638" s="100"/>
      <c r="R638" s="100"/>
      <c r="S638" s="100"/>
      <c r="T638" s="100"/>
      <c r="U638" s="100"/>
      <c r="V638" s="100"/>
      <c r="W638" s="100"/>
    </row>
    <row r="639" spans="1:23" ht="13.5" customHeight="1">
      <c r="A639" s="154">
        <v>21130204</v>
      </c>
      <c r="B639" s="72" t="s">
        <v>483</v>
      </c>
      <c r="C639" s="72">
        <v>106000</v>
      </c>
      <c r="D639" s="200"/>
      <c r="E639" s="201"/>
      <c r="F639" s="100"/>
      <c r="G639" s="100"/>
      <c r="H639" s="100"/>
      <c r="I639" s="100"/>
      <c r="J639" s="100"/>
      <c r="K639" s="100"/>
      <c r="L639" s="100"/>
      <c r="M639" s="100"/>
      <c r="N639" s="100"/>
      <c r="O639" s="100"/>
      <c r="P639" s="100"/>
      <c r="Q639" s="100"/>
      <c r="R639" s="100"/>
      <c r="S639" s="100"/>
      <c r="T639" s="100"/>
      <c r="U639" s="100"/>
      <c r="V639" s="100"/>
      <c r="W639" s="100"/>
    </row>
    <row r="640" spans="1:23" ht="13.5" customHeight="1">
      <c r="A640" s="76">
        <v>211303</v>
      </c>
      <c r="B640" s="36" t="s">
        <v>484</v>
      </c>
      <c r="C640" s="36">
        <v>140000</v>
      </c>
      <c r="D640" s="200"/>
      <c r="E640" s="201"/>
      <c r="F640" s="100"/>
      <c r="G640" s="100"/>
      <c r="H640" s="100"/>
      <c r="I640" s="100"/>
      <c r="J640" s="100"/>
      <c r="K640" s="100"/>
      <c r="L640" s="100"/>
      <c r="M640" s="100"/>
      <c r="N640" s="100"/>
      <c r="O640" s="100"/>
      <c r="P640" s="100"/>
      <c r="Q640" s="100"/>
      <c r="R640" s="100"/>
      <c r="S640" s="100"/>
      <c r="T640" s="100"/>
      <c r="U640" s="100"/>
      <c r="V640" s="100"/>
      <c r="W640" s="100"/>
    </row>
    <row r="641" spans="1:23" ht="13.5" customHeight="1">
      <c r="A641" s="233">
        <v>21130306</v>
      </c>
      <c r="B641" s="77" t="s">
        <v>487</v>
      </c>
      <c r="C641" s="224">
        <v>80000</v>
      </c>
      <c r="D641" s="200"/>
      <c r="E641" s="201"/>
      <c r="F641" s="100"/>
      <c r="G641" s="100"/>
      <c r="H641" s="100"/>
      <c r="I641" s="100"/>
      <c r="J641" s="100"/>
      <c r="K641" s="100"/>
      <c r="L641" s="100"/>
      <c r="M641" s="100"/>
      <c r="N641" s="100"/>
      <c r="O641" s="100"/>
      <c r="P641" s="100"/>
      <c r="Q641" s="100"/>
      <c r="R641" s="100"/>
      <c r="S641" s="100"/>
      <c r="T641" s="100"/>
      <c r="U641" s="100"/>
      <c r="V641" s="100"/>
      <c r="W641" s="100"/>
    </row>
    <row r="642" spans="1:23" ht="13.5" customHeight="1">
      <c r="A642" s="154">
        <v>21130307</v>
      </c>
      <c r="B642" s="100" t="s">
        <v>488</v>
      </c>
      <c r="C642" s="72">
        <v>60000</v>
      </c>
      <c r="D642" s="200"/>
      <c r="E642" s="201"/>
      <c r="F642" s="100"/>
      <c r="G642" s="100"/>
      <c r="H642" s="100"/>
      <c r="I642" s="100"/>
      <c r="J642" s="100"/>
      <c r="K642" s="100"/>
      <c r="L642" s="100"/>
      <c r="M642" s="100"/>
      <c r="N642" s="100"/>
      <c r="O642" s="100"/>
      <c r="P642" s="100"/>
      <c r="Q642" s="100"/>
      <c r="R642" s="100"/>
      <c r="S642" s="100"/>
      <c r="T642" s="100"/>
      <c r="U642" s="100"/>
      <c r="V642" s="100"/>
      <c r="W642" s="100"/>
    </row>
    <row r="643" spans="1:23" ht="13.5" customHeight="1">
      <c r="A643" s="76">
        <v>211305</v>
      </c>
      <c r="B643" s="36" t="s">
        <v>489</v>
      </c>
      <c r="C643" s="36">
        <f>+SUM(C644:C646)</f>
        <v>17289000</v>
      </c>
      <c r="D643" s="200"/>
      <c r="E643" s="201"/>
      <c r="F643" s="100"/>
      <c r="G643" s="100"/>
      <c r="H643" s="100"/>
      <c r="I643" s="100"/>
      <c r="J643" s="100"/>
      <c r="K643" s="100"/>
      <c r="L643" s="100"/>
      <c r="M643" s="100"/>
      <c r="N643" s="100"/>
      <c r="O643" s="100"/>
      <c r="P643" s="100"/>
      <c r="Q643" s="100"/>
      <c r="R643" s="100"/>
      <c r="S643" s="100"/>
      <c r="T643" s="100"/>
      <c r="U643" s="100"/>
      <c r="V643" s="100"/>
      <c r="W643" s="100"/>
    </row>
    <row r="644" spans="1:23" ht="13.5" customHeight="1">
      <c r="A644" s="154">
        <v>21130501</v>
      </c>
      <c r="B644" s="77" t="s">
        <v>490</v>
      </c>
      <c r="C644" s="72">
        <f>20000+100000</f>
        <v>120000</v>
      </c>
      <c r="D644" s="200"/>
      <c r="E644" s="201"/>
      <c r="F644" s="100"/>
      <c r="G644" s="100"/>
      <c r="H644" s="100"/>
      <c r="I644" s="100"/>
      <c r="J644" s="100"/>
      <c r="K644" s="100"/>
      <c r="L644" s="100"/>
      <c r="M644" s="100"/>
      <c r="N644" s="100"/>
      <c r="O644" s="100"/>
      <c r="P644" s="100"/>
      <c r="Q644" s="100"/>
      <c r="R644" s="100"/>
      <c r="S644" s="100"/>
      <c r="T644" s="100"/>
      <c r="U644" s="100"/>
      <c r="V644" s="100"/>
      <c r="W644" s="100"/>
    </row>
    <row r="645" spans="1:23" ht="13.5" customHeight="1">
      <c r="A645" s="154">
        <v>21130502</v>
      </c>
      <c r="B645" s="72" t="s">
        <v>491</v>
      </c>
      <c r="C645" s="72">
        <f>10369000-100000</f>
        <v>10269000</v>
      </c>
      <c r="D645" s="200"/>
      <c r="E645" s="201"/>
      <c r="F645" s="100"/>
      <c r="G645" s="100"/>
      <c r="H645" s="100"/>
      <c r="I645" s="100"/>
      <c r="J645" s="100"/>
      <c r="K645" s="100"/>
      <c r="L645" s="100"/>
      <c r="M645" s="100"/>
      <c r="N645" s="100"/>
      <c r="O645" s="100"/>
      <c r="P645" s="100"/>
      <c r="Q645" s="100"/>
      <c r="R645" s="100"/>
      <c r="S645" s="100"/>
      <c r="T645" s="100"/>
      <c r="U645" s="100"/>
      <c r="V645" s="100"/>
      <c r="W645" s="100"/>
    </row>
    <row r="646" spans="1:23" ht="13.5" customHeight="1">
      <c r="A646" s="154">
        <v>21130505</v>
      </c>
      <c r="B646" s="77" t="s">
        <v>651</v>
      </c>
      <c r="C646" s="72">
        <v>6900000</v>
      </c>
      <c r="D646" s="200"/>
      <c r="E646" s="201"/>
      <c r="F646" s="100"/>
      <c r="G646" s="100"/>
      <c r="H646" s="100"/>
      <c r="I646" s="100"/>
      <c r="J646" s="100"/>
      <c r="K646" s="100"/>
      <c r="L646" s="100"/>
      <c r="M646" s="100"/>
      <c r="N646" s="100"/>
      <c r="O646" s="100"/>
      <c r="P646" s="100"/>
      <c r="Q646" s="100"/>
      <c r="R646" s="100"/>
      <c r="S646" s="100"/>
      <c r="T646" s="100"/>
      <c r="U646" s="100"/>
      <c r="V646" s="100"/>
      <c r="W646" s="100"/>
    </row>
    <row r="647" spans="1:23" ht="13.5" customHeight="1">
      <c r="A647" s="76">
        <v>211306</v>
      </c>
      <c r="B647" s="36" t="s">
        <v>492</v>
      </c>
      <c r="C647" s="36">
        <v>303500</v>
      </c>
      <c r="D647" s="200"/>
      <c r="E647" s="201"/>
      <c r="F647" s="100"/>
      <c r="G647" s="100"/>
      <c r="H647" s="100"/>
      <c r="I647" s="100"/>
      <c r="J647" s="100"/>
      <c r="K647" s="100"/>
      <c r="L647" s="100"/>
      <c r="M647" s="100"/>
      <c r="N647" s="100"/>
      <c r="O647" s="100"/>
      <c r="P647" s="100"/>
      <c r="Q647" s="100"/>
      <c r="R647" s="100"/>
      <c r="S647" s="100"/>
      <c r="T647" s="100"/>
      <c r="U647" s="100"/>
      <c r="V647" s="100"/>
      <c r="W647" s="100"/>
    </row>
    <row r="648" spans="1:23" ht="13.5" customHeight="1">
      <c r="A648" s="154">
        <v>21130604</v>
      </c>
      <c r="B648" s="100" t="s">
        <v>539</v>
      </c>
      <c r="C648" s="72">
        <v>303500</v>
      </c>
      <c r="D648" s="200"/>
      <c r="E648" s="201"/>
      <c r="F648" s="100"/>
      <c r="G648" s="100"/>
      <c r="H648" s="100"/>
      <c r="I648" s="100"/>
      <c r="J648" s="100"/>
      <c r="K648" s="100"/>
      <c r="L648" s="100"/>
      <c r="M648" s="100"/>
      <c r="N648" s="100"/>
      <c r="O648" s="100"/>
      <c r="P648" s="100"/>
      <c r="Q648" s="100"/>
      <c r="R648" s="100"/>
      <c r="S648" s="100"/>
      <c r="T648" s="100"/>
      <c r="U648" s="100"/>
      <c r="V648" s="100"/>
      <c r="W648" s="100"/>
    </row>
    <row r="649" spans="1:23" ht="13.5" customHeight="1">
      <c r="A649" s="76">
        <v>211309</v>
      </c>
      <c r="B649" s="36" t="s">
        <v>496</v>
      </c>
      <c r="C649" s="36">
        <f>+SUM(C650:C653)</f>
        <v>32153000</v>
      </c>
      <c r="D649" s="200"/>
      <c r="E649" s="201"/>
      <c r="F649" s="100"/>
      <c r="G649" s="100"/>
      <c r="H649" s="100"/>
      <c r="I649" s="100"/>
      <c r="J649" s="100"/>
      <c r="K649" s="100"/>
      <c r="L649" s="100"/>
      <c r="M649" s="100"/>
      <c r="N649" s="100"/>
      <c r="O649" s="100"/>
      <c r="P649" s="100"/>
      <c r="Q649" s="100"/>
      <c r="R649" s="100"/>
      <c r="S649" s="100"/>
      <c r="T649" s="100"/>
      <c r="U649" s="100"/>
      <c r="V649" s="100"/>
      <c r="W649" s="100"/>
    </row>
    <row r="650" spans="1:23" ht="13.5" customHeight="1">
      <c r="A650" s="154">
        <v>21130901</v>
      </c>
      <c r="B650" s="72" t="s">
        <v>497</v>
      </c>
      <c r="C650" s="72">
        <v>3716000</v>
      </c>
      <c r="D650" s="200"/>
      <c r="E650" s="201"/>
      <c r="F650" s="100"/>
      <c r="G650" s="100"/>
      <c r="H650" s="100"/>
      <c r="I650" s="100"/>
      <c r="J650" s="100"/>
      <c r="K650" s="100"/>
      <c r="L650" s="100"/>
      <c r="M650" s="100"/>
      <c r="N650" s="100"/>
      <c r="O650" s="100"/>
      <c r="P650" s="100"/>
      <c r="Q650" s="100"/>
      <c r="R650" s="100"/>
      <c r="S650" s="100"/>
      <c r="T650" s="100"/>
      <c r="U650" s="100"/>
      <c r="V650" s="100"/>
      <c r="W650" s="100"/>
    </row>
    <row r="651" spans="1:23" ht="13.5" customHeight="1">
      <c r="A651" s="154">
        <v>21130903</v>
      </c>
      <c r="B651" s="72" t="s">
        <v>498</v>
      </c>
      <c r="C651" s="72">
        <f>1459500-1000000</f>
        <v>459500</v>
      </c>
      <c r="D651" s="200"/>
      <c r="E651" s="201"/>
      <c r="F651" s="100"/>
      <c r="G651" s="100"/>
      <c r="H651" s="100"/>
      <c r="I651" s="100"/>
      <c r="J651" s="100"/>
      <c r="K651" s="100"/>
      <c r="L651" s="100"/>
      <c r="M651" s="100"/>
      <c r="N651" s="100"/>
      <c r="O651" s="100"/>
      <c r="P651" s="100"/>
      <c r="Q651" s="100"/>
      <c r="R651" s="100"/>
      <c r="S651" s="100"/>
      <c r="T651" s="100"/>
      <c r="U651" s="100"/>
      <c r="V651" s="100"/>
      <c r="W651" s="100"/>
    </row>
    <row r="652" spans="1:23" ht="13.5" customHeight="1">
      <c r="A652" s="154">
        <v>21130906</v>
      </c>
      <c r="B652" s="100" t="s">
        <v>499</v>
      </c>
      <c r="C652" s="72">
        <f>132500+1000000</f>
        <v>1132500</v>
      </c>
      <c r="D652" s="200"/>
      <c r="E652" s="201"/>
      <c r="F652" s="100"/>
      <c r="G652" s="100"/>
      <c r="H652" s="100"/>
      <c r="I652" s="100"/>
      <c r="J652" s="100"/>
      <c r="K652" s="100"/>
      <c r="L652" s="100"/>
      <c r="M652" s="100"/>
      <c r="N652" s="100"/>
      <c r="O652" s="100"/>
      <c r="P652" s="100"/>
      <c r="Q652" s="100"/>
      <c r="R652" s="100"/>
      <c r="S652" s="100"/>
      <c r="T652" s="100"/>
      <c r="U652" s="100"/>
      <c r="V652" s="100"/>
      <c r="W652" s="100"/>
    </row>
    <row r="653" spans="1:23" ht="13.5" customHeight="1">
      <c r="A653" s="154">
        <v>21130908</v>
      </c>
      <c r="B653" s="72" t="s">
        <v>500</v>
      </c>
      <c r="C653" s="72">
        <v>26845000</v>
      </c>
      <c r="D653" s="200"/>
      <c r="E653" s="201"/>
      <c r="F653" s="100"/>
      <c r="G653" s="100"/>
      <c r="H653" s="100"/>
      <c r="I653" s="100"/>
      <c r="J653" s="100"/>
      <c r="K653" s="100"/>
      <c r="L653" s="100"/>
      <c r="M653" s="100"/>
      <c r="N653" s="100"/>
      <c r="O653" s="100"/>
      <c r="P653" s="100"/>
      <c r="Q653" s="100"/>
      <c r="R653" s="100"/>
      <c r="S653" s="100"/>
      <c r="T653" s="100"/>
      <c r="U653" s="100"/>
      <c r="V653" s="100"/>
      <c r="W653" s="100"/>
    </row>
    <row r="654" spans="1:23" ht="13.5" customHeight="1" thickBot="1">
      <c r="A654" s="100"/>
      <c r="B654" s="72"/>
      <c r="C654" s="72"/>
      <c r="D654" s="200"/>
      <c r="E654" s="201"/>
      <c r="F654" s="100"/>
      <c r="G654" s="100"/>
      <c r="H654" s="100"/>
      <c r="I654" s="100"/>
      <c r="J654" s="100"/>
      <c r="K654" s="100"/>
      <c r="L654" s="100"/>
      <c r="M654" s="100"/>
      <c r="N654" s="100"/>
      <c r="O654" s="100"/>
      <c r="P654" s="100"/>
      <c r="Q654" s="100"/>
      <c r="R654" s="100"/>
      <c r="S654" s="100"/>
      <c r="T654" s="100"/>
      <c r="U654" s="100"/>
      <c r="V654" s="100"/>
      <c r="W654" s="100"/>
    </row>
    <row r="655" spans="1:23" ht="13.5" customHeight="1" thickBot="1">
      <c r="A655" s="1357" t="s">
        <v>45</v>
      </c>
      <c r="B655" s="1281"/>
      <c r="C655" s="228">
        <f>C656</f>
        <v>10000000</v>
      </c>
      <c r="D655" s="200"/>
      <c r="E655" s="201"/>
      <c r="F655" s="100"/>
      <c r="G655" s="100"/>
      <c r="H655" s="100"/>
      <c r="I655" s="100"/>
      <c r="J655" s="100"/>
      <c r="K655" s="100"/>
      <c r="L655" s="100"/>
      <c r="M655" s="100"/>
      <c r="N655" s="100"/>
      <c r="O655" s="100"/>
      <c r="P655" s="100"/>
      <c r="Q655" s="100"/>
      <c r="R655" s="100"/>
      <c r="S655" s="100"/>
      <c r="T655" s="100"/>
      <c r="U655" s="100"/>
      <c r="V655" s="100"/>
      <c r="W655" s="100"/>
    </row>
    <row r="656" spans="1:23" ht="13.5" customHeight="1">
      <c r="A656" s="76">
        <v>211402</v>
      </c>
      <c r="B656" s="76" t="s">
        <v>503</v>
      </c>
      <c r="C656" s="155">
        <f>SUM(C657)</f>
        <v>10000000</v>
      </c>
      <c r="D656" s="200"/>
      <c r="E656" s="201"/>
      <c r="F656" s="100"/>
      <c r="G656" s="100"/>
      <c r="H656" s="100"/>
      <c r="I656" s="100"/>
      <c r="J656" s="100"/>
      <c r="K656" s="100"/>
      <c r="L656" s="100"/>
      <c r="M656" s="100"/>
      <c r="N656" s="100"/>
      <c r="O656" s="100"/>
      <c r="P656" s="100"/>
      <c r="Q656" s="100"/>
      <c r="R656" s="100"/>
      <c r="S656" s="100"/>
      <c r="T656" s="100"/>
      <c r="U656" s="100"/>
      <c r="V656" s="100"/>
      <c r="W656" s="100"/>
    </row>
    <row r="657" spans="1:23" ht="13.5" customHeight="1">
      <c r="A657" s="154">
        <v>21140204</v>
      </c>
      <c r="B657" s="100" t="s">
        <v>556</v>
      </c>
      <c r="C657" s="72">
        <f>8000000+400000+1600000</f>
        <v>10000000</v>
      </c>
      <c r="D657" s="200"/>
      <c r="E657" s="201"/>
      <c r="F657" s="100"/>
      <c r="G657" s="100"/>
      <c r="H657" s="100"/>
      <c r="I657" s="100"/>
      <c r="J657" s="100"/>
      <c r="K657" s="100"/>
      <c r="L657" s="100"/>
      <c r="M657" s="100"/>
      <c r="N657" s="100"/>
      <c r="O657" s="100"/>
      <c r="P657" s="100"/>
      <c r="Q657" s="100"/>
      <c r="R657" s="100"/>
      <c r="S657" s="100"/>
      <c r="T657" s="100"/>
      <c r="U657" s="100"/>
      <c r="V657" s="100"/>
      <c r="W657" s="100"/>
    </row>
    <row r="658" spans="1:23" ht="13.5" customHeight="1" thickBot="1">
      <c r="A658" s="154"/>
      <c r="B658" s="100"/>
      <c r="C658" s="72"/>
      <c r="D658" s="200"/>
      <c r="E658" s="201"/>
      <c r="F658" s="100"/>
      <c r="G658" s="100"/>
      <c r="H658" s="100"/>
      <c r="I658" s="100"/>
      <c r="J658" s="100"/>
      <c r="K658" s="100"/>
      <c r="L658" s="100"/>
      <c r="M658" s="100"/>
      <c r="N658" s="100"/>
      <c r="O658" s="100"/>
      <c r="P658" s="100"/>
      <c r="Q658" s="100"/>
      <c r="R658" s="100"/>
      <c r="S658" s="100"/>
      <c r="T658" s="100"/>
      <c r="U658" s="100"/>
      <c r="V658" s="100"/>
      <c r="W658" s="100"/>
    </row>
    <row r="659" spans="1:23" ht="13.5" customHeight="1" thickBot="1">
      <c r="A659" s="1355" t="s">
        <v>48</v>
      </c>
      <c r="B659" s="1281"/>
      <c r="C659" s="232">
        <f>C660+C665</f>
        <v>2926500</v>
      </c>
      <c r="D659" s="200"/>
      <c r="E659" s="201"/>
      <c r="F659" s="100"/>
      <c r="G659" s="100"/>
      <c r="H659" s="100"/>
      <c r="I659" s="100"/>
      <c r="J659" s="100"/>
      <c r="K659" s="100"/>
      <c r="L659" s="100"/>
      <c r="M659" s="100"/>
      <c r="N659" s="100"/>
      <c r="O659" s="100"/>
      <c r="P659" s="100"/>
      <c r="Q659" s="100"/>
      <c r="R659" s="100"/>
      <c r="S659" s="100"/>
      <c r="T659" s="100"/>
      <c r="U659" s="100"/>
      <c r="V659" s="100"/>
      <c r="W659" s="100"/>
    </row>
    <row r="660" spans="1:23" ht="13.5" customHeight="1">
      <c r="A660" s="76">
        <v>221104</v>
      </c>
      <c r="B660" s="826" t="s">
        <v>510</v>
      </c>
      <c r="C660" s="155">
        <f>SUM(C661:C664)</f>
        <v>1836500</v>
      </c>
      <c r="D660" s="200"/>
      <c r="E660" s="201"/>
      <c r="F660" s="100"/>
      <c r="G660" s="100"/>
      <c r="H660" s="100"/>
      <c r="I660" s="100"/>
      <c r="J660" s="100"/>
      <c r="K660" s="100"/>
      <c r="L660" s="100"/>
      <c r="M660" s="100"/>
      <c r="N660" s="100"/>
      <c r="O660" s="100"/>
      <c r="P660" s="100"/>
      <c r="Q660" s="100"/>
      <c r="R660" s="100"/>
      <c r="S660" s="100"/>
      <c r="T660" s="100"/>
      <c r="U660" s="100"/>
      <c r="V660" s="100"/>
      <c r="W660" s="100"/>
    </row>
    <row r="661" spans="1:23" ht="13.5" customHeight="1">
      <c r="A661" s="154">
        <v>22110401</v>
      </c>
      <c r="B661" s="100" t="s">
        <v>511</v>
      </c>
      <c r="C661" s="72">
        <v>566000</v>
      </c>
      <c r="D661" s="200"/>
      <c r="E661" s="201"/>
      <c r="F661" s="100"/>
      <c r="G661" s="100"/>
      <c r="H661" s="100"/>
      <c r="I661" s="100"/>
      <c r="J661" s="100"/>
      <c r="K661" s="100"/>
      <c r="L661" s="100"/>
      <c r="M661" s="100"/>
      <c r="N661" s="100"/>
      <c r="O661" s="100"/>
      <c r="P661" s="100"/>
      <c r="Q661" s="100"/>
      <c r="R661" s="100"/>
      <c r="S661" s="100"/>
      <c r="T661" s="100"/>
      <c r="U661" s="100"/>
      <c r="V661" s="100"/>
      <c r="W661" s="100"/>
    </row>
    <row r="662" spans="1:23" ht="13.5" customHeight="1">
      <c r="A662" s="154">
        <v>22110404</v>
      </c>
      <c r="B662" s="100" t="s">
        <v>512</v>
      </c>
      <c r="C662" s="72">
        <v>87000</v>
      </c>
      <c r="D662" s="200"/>
      <c r="E662" s="201"/>
      <c r="F662" s="100"/>
      <c r="G662" s="100"/>
      <c r="H662" s="100"/>
      <c r="I662" s="100"/>
      <c r="J662" s="100"/>
      <c r="K662" s="100"/>
      <c r="L662" s="100"/>
      <c r="M662" s="100"/>
      <c r="N662" s="100"/>
      <c r="O662" s="100"/>
      <c r="P662" s="100"/>
      <c r="Q662" s="100"/>
      <c r="R662" s="100"/>
      <c r="S662" s="100"/>
      <c r="T662" s="100"/>
      <c r="U662" s="100"/>
      <c r="V662" s="100"/>
      <c r="W662" s="100"/>
    </row>
    <row r="663" spans="1:23" ht="13.5" customHeight="1">
      <c r="A663" s="154">
        <v>22110405</v>
      </c>
      <c r="B663" s="100" t="s">
        <v>554</v>
      </c>
      <c r="C663" s="72">
        <v>510000</v>
      </c>
      <c r="D663" s="200"/>
      <c r="E663" s="201"/>
      <c r="F663" s="100"/>
      <c r="G663" s="100"/>
      <c r="H663" s="100"/>
      <c r="I663" s="100"/>
      <c r="J663" s="100"/>
      <c r="K663" s="100"/>
      <c r="L663" s="100"/>
      <c r="M663" s="100"/>
      <c r="N663" s="100"/>
      <c r="O663" s="100"/>
      <c r="P663" s="100"/>
      <c r="Q663" s="100"/>
      <c r="R663" s="100"/>
      <c r="S663" s="100"/>
      <c r="T663" s="100"/>
      <c r="U663" s="100"/>
      <c r="V663" s="100"/>
      <c r="W663" s="100"/>
    </row>
    <row r="664" spans="1:23" ht="13.5" customHeight="1">
      <c r="A664" s="154">
        <v>22110409</v>
      </c>
      <c r="B664" s="72" t="s">
        <v>513</v>
      </c>
      <c r="C664" s="224">
        <v>673500</v>
      </c>
      <c r="D664" s="200"/>
      <c r="E664" s="201"/>
      <c r="F664" s="100"/>
      <c r="G664" s="100"/>
      <c r="H664" s="100"/>
      <c r="I664" s="100"/>
      <c r="J664" s="100"/>
      <c r="K664" s="100"/>
      <c r="L664" s="100"/>
      <c r="M664" s="100"/>
      <c r="N664" s="100"/>
      <c r="O664" s="100"/>
      <c r="P664" s="100"/>
      <c r="Q664" s="100"/>
      <c r="R664" s="100"/>
      <c r="S664" s="100"/>
      <c r="T664" s="100"/>
      <c r="U664" s="100"/>
      <c r="V664" s="100"/>
      <c r="W664" s="100"/>
    </row>
    <row r="665" spans="1:23" ht="13.5" customHeight="1">
      <c r="A665" s="76">
        <v>221107</v>
      </c>
      <c r="B665" s="36" t="s">
        <v>514</v>
      </c>
      <c r="C665" s="36">
        <f>C666</f>
        <v>1090000</v>
      </c>
      <c r="D665" s="200"/>
      <c r="E665" s="201"/>
      <c r="F665" s="100"/>
      <c r="G665" s="100"/>
      <c r="H665" s="100"/>
      <c r="I665" s="100"/>
      <c r="J665" s="100"/>
      <c r="K665" s="100"/>
      <c r="L665" s="100"/>
      <c r="M665" s="100"/>
      <c r="N665" s="100"/>
      <c r="O665" s="100"/>
      <c r="P665" s="100"/>
      <c r="Q665" s="100"/>
      <c r="R665" s="100"/>
      <c r="S665" s="100"/>
      <c r="T665" s="100"/>
      <c r="U665" s="100"/>
      <c r="V665" s="100"/>
      <c r="W665" s="100"/>
    </row>
    <row r="666" spans="1:23" ht="13.5" customHeight="1">
      <c r="A666" s="154">
        <v>22110702</v>
      </c>
      <c r="B666" s="72" t="s">
        <v>515</v>
      </c>
      <c r="C666" s="72">
        <f>1000000+90000</f>
        <v>1090000</v>
      </c>
      <c r="D666" s="200"/>
      <c r="E666" s="201"/>
      <c r="F666" s="100"/>
      <c r="G666" s="100"/>
      <c r="H666" s="100"/>
      <c r="I666" s="100"/>
      <c r="J666" s="100"/>
      <c r="K666" s="100"/>
      <c r="L666" s="100"/>
      <c r="M666" s="100"/>
      <c r="N666" s="100"/>
      <c r="O666" s="100"/>
      <c r="P666" s="100"/>
      <c r="Q666" s="100"/>
      <c r="R666" s="100"/>
      <c r="S666" s="100"/>
      <c r="T666" s="100"/>
      <c r="U666" s="100"/>
      <c r="V666" s="100"/>
      <c r="W666" s="100"/>
    </row>
    <row r="667" spans="1:23" ht="13.5" customHeight="1">
      <c r="A667" s="154"/>
      <c r="B667" s="72"/>
      <c r="C667" s="72"/>
      <c r="D667" s="200"/>
      <c r="E667" s="201"/>
      <c r="F667" s="100"/>
      <c r="G667" s="100"/>
      <c r="H667" s="100"/>
      <c r="I667" s="100"/>
      <c r="J667" s="100"/>
      <c r="K667" s="100"/>
      <c r="L667" s="100"/>
      <c r="M667" s="100"/>
      <c r="N667" s="100"/>
      <c r="O667" s="100"/>
      <c r="P667" s="100"/>
      <c r="Q667" s="100"/>
      <c r="R667" s="100"/>
      <c r="S667" s="100"/>
      <c r="T667" s="100"/>
      <c r="U667" s="100"/>
      <c r="V667" s="100"/>
      <c r="W667" s="100"/>
    </row>
    <row r="668" spans="1:23" ht="13.5" customHeight="1" thickBot="1">
      <c r="A668" s="100"/>
      <c r="B668" s="100"/>
      <c r="C668" s="72"/>
      <c r="D668" s="200"/>
      <c r="E668" s="201"/>
      <c r="F668" s="100"/>
      <c r="G668" s="100"/>
      <c r="H668" s="100"/>
      <c r="I668" s="100"/>
      <c r="J668" s="100"/>
      <c r="K668" s="100"/>
      <c r="L668" s="100"/>
      <c r="M668" s="100"/>
      <c r="N668" s="100"/>
      <c r="O668" s="100"/>
      <c r="P668" s="100"/>
      <c r="Q668" s="100"/>
      <c r="R668" s="100"/>
      <c r="S668" s="100"/>
      <c r="T668" s="100"/>
      <c r="U668" s="100"/>
      <c r="V668" s="100"/>
      <c r="W668" s="100"/>
    </row>
    <row r="669" spans="1:23" ht="13.5" customHeight="1">
      <c r="A669" s="1308" t="s">
        <v>904</v>
      </c>
      <c r="B669" s="1358"/>
      <c r="C669" s="1474">
        <v>1510</v>
      </c>
      <c r="D669" s="200"/>
      <c r="E669" s="201"/>
      <c r="F669" s="100"/>
      <c r="G669" s="100"/>
      <c r="H669" s="100"/>
      <c r="I669" s="100"/>
      <c r="J669" s="100"/>
      <c r="K669" s="100"/>
      <c r="L669" s="100"/>
      <c r="M669" s="100"/>
      <c r="N669" s="100"/>
      <c r="O669" s="100"/>
      <c r="P669" s="100"/>
      <c r="Q669" s="100"/>
      <c r="R669" s="100"/>
      <c r="S669" s="100"/>
      <c r="T669" s="100"/>
      <c r="U669" s="100"/>
      <c r="V669" s="100"/>
      <c r="W669" s="100"/>
    </row>
    <row r="670" spans="1:23" ht="13.5" customHeight="1" thickBot="1">
      <c r="A670" s="1344"/>
      <c r="B670" s="1359"/>
      <c r="C670" s="1475"/>
      <c r="D670" s="200"/>
      <c r="E670" s="201"/>
      <c r="F670" s="100"/>
      <c r="G670" s="100"/>
      <c r="H670" s="100"/>
      <c r="I670" s="100"/>
      <c r="J670" s="100"/>
      <c r="K670" s="100"/>
      <c r="L670" s="100"/>
      <c r="M670" s="100"/>
      <c r="N670" s="100"/>
      <c r="O670" s="100"/>
      <c r="P670" s="100"/>
      <c r="Q670" s="100"/>
      <c r="R670" s="100"/>
      <c r="S670" s="100"/>
      <c r="T670" s="100"/>
      <c r="U670" s="100"/>
      <c r="V670" s="100"/>
      <c r="W670" s="100"/>
    </row>
    <row r="671" spans="1:23" ht="13.5" customHeight="1">
      <c r="A671" s="609" t="s">
        <v>671</v>
      </c>
      <c r="B671" s="612"/>
      <c r="C671" s="1080"/>
      <c r="D671" s="200"/>
      <c r="E671" s="201"/>
      <c r="F671" s="100"/>
      <c r="G671" s="100"/>
      <c r="H671" s="100"/>
      <c r="I671" s="100"/>
      <c r="J671" s="100"/>
      <c r="K671" s="100"/>
      <c r="L671" s="100"/>
      <c r="M671" s="100"/>
      <c r="N671" s="100"/>
      <c r="O671" s="100"/>
      <c r="P671" s="100"/>
      <c r="Q671" s="100"/>
      <c r="R671" s="100"/>
      <c r="S671" s="100"/>
      <c r="T671" s="100"/>
      <c r="U671" s="100"/>
      <c r="V671" s="100"/>
      <c r="W671" s="100"/>
    </row>
    <row r="672" spans="1:23" ht="13.5" customHeight="1">
      <c r="A672" s="609" t="s">
        <v>722</v>
      </c>
      <c r="B672" s="611"/>
      <c r="C672" s="1080"/>
      <c r="D672" s="200"/>
      <c r="E672" s="201"/>
      <c r="F672" s="100"/>
      <c r="G672" s="100"/>
      <c r="H672" s="100"/>
      <c r="I672" s="100"/>
      <c r="J672" s="100"/>
      <c r="K672" s="100"/>
      <c r="L672" s="100"/>
      <c r="M672" s="100"/>
      <c r="N672" s="100"/>
      <c r="O672" s="100"/>
      <c r="P672" s="100"/>
      <c r="Q672" s="100"/>
      <c r="R672" s="100"/>
      <c r="S672" s="100"/>
      <c r="T672" s="100"/>
      <c r="U672" s="100"/>
      <c r="V672" s="100"/>
      <c r="W672" s="100"/>
    </row>
    <row r="673" spans="1:23" ht="13.5" customHeight="1">
      <c r="A673" s="609" t="s">
        <v>723</v>
      </c>
      <c r="B673" s="611"/>
      <c r="C673" s="1080"/>
      <c r="D673" s="200"/>
      <c r="E673" s="201"/>
      <c r="F673" s="100"/>
      <c r="G673" s="100"/>
      <c r="H673" s="100"/>
      <c r="I673" s="100"/>
      <c r="J673" s="100"/>
      <c r="K673" s="100"/>
      <c r="L673" s="100"/>
      <c r="M673" s="100"/>
      <c r="N673" s="100"/>
      <c r="O673" s="100"/>
      <c r="P673" s="100"/>
      <c r="Q673" s="100"/>
      <c r="R673" s="100"/>
      <c r="S673" s="100"/>
      <c r="T673" s="100"/>
      <c r="U673" s="100"/>
      <c r="V673" s="100"/>
      <c r="W673" s="100"/>
    </row>
    <row r="674" spans="1:23" ht="13.5" customHeight="1" thickBot="1">
      <c r="A674" s="609" t="s">
        <v>0</v>
      </c>
      <c r="B674" s="611"/>
      <c r="C674" s="1080"/>
      <c r="D674" s="200"/>
      <c r="E674" s="201"/>
      <c r="F674" s="100"/>
      <c r="G674" s="100"/>
      <c r="H674" s="100"/>
      <c r="I674" s="100"/>
      <c r="J674" s="100"/>
      <c r="K674" s="100"/>
      <c r="L674" s="100"/>
      <c r="M674" s="100"/>
      <c r="N674" s="100"/>
      <c r="O674" s="100"/>
      <c r="P674" s="100"/>
      <c r="Q674" s="100"/>
      <c r="R674" s="100"/>
      <c r="S674" s="100"/>
      <c r="T674" s="100"/>
      <c r="U674" s="100"/>
      <c r="V674" s="100"/>
      <c r="W674" s="100"/>
    </row>
    <row r="675" spans="1:23" ht="13.5" customHeight="1" thickBot="1">
      <c r="A675" s="665" t="s">
        <v>110</v>
      </c>
      <c r="B675" s="665"/>
      <c r="C675" s="638">
        <f>C677+C686</f>
        <v>3450000</v>
      </c>
      <c r="D675" s="200"/>
      <c r="E675" s="201"/>
      <c r="F675" s="100"/>
      <c r="G675" s="100"/>
      <c r="H675" s="100"/>
      <c r="I675" s="100"/>
      <c r="J675" s="100"/>
      <c r="K675" s="100"/>
      <c r="L675" s="100"/>
      <c r="M675" s="100"/>
      <c r="N675" s="100"/>
      <c r="O675" s="100"/>
      <c r="P675" s="100"/>
      <c r="Q675" s="100"/>
      <c r="R675" s="100"/>
      <c r="S675" s="100"/>
      <c r="T675" s="100"/>
      <c r="U675" s="100"/>
      <c r="V675" s="100"/>
      <c r="W675" s="100"/>
    </row>
    <row r="676" spans="1:23" ht="13.5" customHeight="1" thickBot="1">
      <c r="A676" s="75"/>
      <c r="B676" s="75"/>
      <c r="C676" s="36"/>
      <c r="D676" s="200"/>
      <c r="E676" s="201"/>
      <c r="F676" s="100"/>
      <c r="G676" s="100"/>
      <c r="H676" s="100"/>
      <c r="I676" s="100"/>
      <c r="J676" s="100"/>
      <c r="K676" s="100"/>
      <c r="L676" s="100"/>
      <c r="M676" s="100"/>
      <c r="N676" s="100"/>
      <c r="O676" s="100"/>
      <c r="P676" s="100"/>
      <c r="Q676" s="100"/>
      <c r="R676" s="100"/>
      <c r="S676" s="100"/>
      <c r="T676" s="100"/>
      <c r="U676" s="100"/>
      <c r="V676" s="100"/>
      <c r="W676" s="100"/>
    </row>
    <row r="677" spans="1:23" ht="13.5" customHeight="1" thickBot="1">
      <c r="A677" s="1356" t="s">
        <v>9</v>
      </c>
      <c r="B677" s="1281"/>
      <c r="C677" s="212">
        <f>C678+C682+C680</f>
        <v>370000</v>
      </c>
      <c r="D677" s="200"/>
      <c r="E677" s="201"/>
      <c r="F677" s="100"/>
      <c r="G677" s="100"/>
      <c r="H677" s="100"/>
      <c r="I677" s="100"/>
      <c r="J677" s="100"/>
      <c r="K677" s="100"/>
      <c r="L677" s="100"/>
      <c r="M677" s="100"/>
      <c r="N677" s="100"/>
      <c r="O677" s="100"/>
      <c r="P677" s="100"/>
      <c r="Q677" s="100"/>
      <c r="R677" s="100"/>
      <c r="S677" s="100"/>
      <c r="T677" s="100"/>
      <c r="U677" s="100"/>
      <c r="V677" s="100"/>
      <c r="W677" s="100"/>
    </row>
    <row r="678" spans="1:23" ht="13.5" customHeight="1">
      <c r="A678" s="76">
        <v>211201</v>
      </c>
      <c r="B678" s="76" t="s">
        <v>459</v>
      </c>
      <c r="C678" s="155">
        <f>SUM(C679)</f>
        <v>80000</v>
      </c>
      <c r="D678" s="200"/>
      <c r="E678" s="201"/>
      <c r="F678" s="100"/>
      <c r="G678" s="100"/>
      <c r="H678" s="100"/>
      <c r="I678" s="100"/>
      <c r="J678" s="100"/>
      <c r="K678" s="100"/>
      <c r="L678" s="100"/>
      <c r="M678" s="100"/>
      <c r="N678" s="100"/>
      <c r="O678" s="100"/>
      <c r="P678" s="100"/>
      <c r="Q678" s="100"/>
      <c r="R678" s="100"/>
      <c r="S678" s="100"/>
      <c r="T678" s="100"/>
      <c r="U678" s="100"/>
      <c r="V678" s="100"/>
      <c r="W678" s="100"/>
    </row>
    <row r="679" spans="1:23" ht="13.5" customHeight="1">
      <c r="A679" s="154">
        <v>21120101</v>
      </c>
      <c r="B679" s="100" t="s">
        <v>460</v>
      </c>
      <c r="C679" s="72">
        <v>80000</v>
      </c>
      <c r="D679" s="200"/>
      <c r="E679" s="201"/>
      <c r="F679" s="100"/>
      <c r="G679" s="100"/>
      <c r="H679" s="100"/>
      <c r="I679" s="100"/>
      <c r="J679" s="100"/>
      <c r="K679" s="100"/>
      <c r="L679" s="100"/>
      <c r="M679" s="100"/>
      <c r="N679" s="100"/>
      <c r="O679" s="100"/>
      <c r="P679" s="100"/>
      <c r="Q679" s="100"/>
      <c r="R679" s="100"/>
      <c r="S679" s="100"/>
      <c r="T679" s="100"/>
      <c r="U679" s="100"/>
      <c r="V679" s="100"/>
      <c r="W679" s="100"/>
    </row>
    <row r="680" spans="1:23" ht="13.5" customHeight="1">
      <c r="A680" s="76">
        <v>211202</v>
      </c>
      <c r="B680" s="75" t="s">
        <v>529</v>
      </c>
      <c r="C680" s="36">
        <f>SUM(C681)</f>
        <v>80000</v>
      </c>
      <c r="D680" s="200"/>
      <c r="E680" s="201"/>
      <c r="F680" s="100"/>
      <c r="G680" s="100"/>
      <c r="H680" s="100"/>
      <c r="I680" s="100"/>
      <c r="J680" s="100"/>
      <c r="K680" s="100"/>
      <c r="L680" s="100"/>
      <c r="M680" s="100"/>
      <c r="N680" s="100"/>
      <c r="O680" s="100"/>
      <c r="P680" s="100"/>
      <c r="Q680" s="100"/>
      <c r="R680" s="100"/>
      <c r="S680" s="100"/>
      <c r="T680" s="100"/>
      <c r="U680" s="100"/>
      <c r="V680" s="100"/>
      <c r="W680" s="100"/>
    </row>
    <row r="681" spans="1:23" ht="13.5" customHeight="1">
      <c r="A681" s="154">
        <v>21120202</v>
      </c>
      <c r="B681" s="77" t="s">
        <v>530</v>
      </c>
      <c r="C681" s="72">
        <v>80000</v>
      </c>
      <c r="D681" s="200"/>
      <c r="E681" s="201"/>
      <c r="F681" s="100"/>
      <c r="G681" s="100"/>
      <c r="H681" s="100"/>
      <c r="I681" s="100"/>
      <c r="J681" s="100"/>
      <c r="K681" s="100"/>
      <c r="L681" s="100"/>
      <c r="M681" s="100"/>
      <c r="N681" s="100"/>
      <c r="O681" s="100"/>
      <c r="P681" s="100"/>
      <c r="Q681" s="100"/>
      <c r="R681" s="100"/>
      <c r="S681" s="100"/>
      <c r="T681" s="100"/>
      <c r="U681" s="100"/>
      <c r="V681" s="100"/>
      <c r="W681" s="100"/>
    </row>
    <row r="682" spans="1:23" ht="13.5" customHeight="1">
      <c r="A682" s="76">
        <v>211209</v>
      </c>
      <c r="B682" s="36" t="s">
        <v>477</v>
      </c>
      <c r="C682" s="36">
        <f>SUM(C683:C684)</f>
        <v>210000</v>
      </c>
      <c r="D682" s="200"/>
      <c r="E682" s="201"/>
      <c r="F682" s="100"/>
      <c r="G682" s="100"/>
      <c r="H682" s="100"/>
      <c r="I682" s="100"/>
      <c r="J682" s="100"/>
      <c r="K682" s="100"/>
      <c r="L682" s="100"/>
      <c r="M682" s="100"/>
      <c r="N682" s="100"/>
      <c r="O682" s="100"/>
      <c r="P682" s="100"/>
      <c r="Q682" s="100"/>
      <c r="R682" s="100"/>
      <c r="S682" s="100"/>
      <c r="T682" s="100"/>
      <c r="U682" s="100"/>
      <c r="V682" s="100"/>
      <c r="W682" s="100"/>
    </row>
    <row r="683" spans="1:23" ht="13.5" customHeight="1">
      <c r="A683" s="154">
        <v>21120901</v>
      </c>
      <c r="B683" s="72" t="s">
        <v>478</v>
      </c>
      <c r="C683" s="72">
        <v>60000</v>
      </c>
      <c r="D683" s="200"/>
      <c r="E683" s="201"/>
      <c r="F683" s="100"/>
      <c r="G683" s="100"/>
      <c r="H683" s="100"/>
      <c r="I683" s="100"/>
      <c r="J683" s="100"/>
      <c r="K683" s="100"/>
      <c r="L683" s="100"/>
      <c r="M683" s="100"/>
      <c r="N683" s="100"/>
      <c r="O683" s="100"/>
      <c r="P683" s="100"/>
      <c r="Q683" s="100"/>
      <c r="R683" s="100"/>
      <c r="S683" s="100"/>
      <c r="T683" s="100"/>
      <c r="U683" s="100"/>
      <c r="V683" s="100"/>
      <c r="W683" s="100"/>
    </row>
    <row r="684" spans="1:23" ht="13.5" customHeight="1">
      <c r="A684" s="154">
        <v>21120906</v>
      </c>
      <c r="B684" s="72" t="s">
        <v>479</v>
      </c>
      <c r="C684" s="72">
        <v>150000</v>
      </c>
      <c r="D684" s="200"/>
      <c r="E684" s="201"/>
      <c r="F684" s="100"/>
      <c r="G684" s="100"/>
      <c r="H684" s="100"/>
      <c r="I684" s="100"/>
      <c r="J684" s="100"/>
      <c r="K684" s="100"/>
      <c r="L684" s="100"/>
      <c r="M684" s="100"/>
      <c r="N684" s="100"/>
      <c r="O684" s="100"/>
      <c r="P684" s="100"/>
      <c r="Q684" s="100"/>
      <c r="R684" s="100"/>
      <c r="S684" s="100"/>
      <c r="T684" s="100"/>
      <c r="U684" s="100"/>
      <c r="V684" s="100"/>
      <c r="W684" s="100"/>
    </row>
    <row r="685" spans="1:23" ht="13.5" customHeight="1" thickBot="1">
      <c r="A685" s="154"/>
      <c r="B685" s="72"/>
      <c r="C685" s="72"/>
      <c r="D685" s="200"/>
      <c r="E685" s="201"/>
      <c r="F685" s="100"/>
      <c r="G685" s="100"/>
      <c r="H685" s="100"/>
      <c r="I685" s="100"/>
      <c r="J685" s="100"/>
      <c r="K685" s="100"/>
      <c r="L685" s="100"/>
      <c r="M685" s="100"/>
      <c r="N685" s="100"/>
      <c r="O685" s="100"/>
      <c r="P685" s="100"/>
      <c r="Q685" s="100"/>
      <c r="R685" s="100"/>
      <c r="S685" s="100"/>
      <c r="T685" s="100"/>
      <c r="U685" s="100"/>
      <c r="V685" s="100"/>
      <c r="W685" s="100"/>
    </row>
    <row r="686" spans="1:23" ht="13.5" customHeight="1" thickBot="1">
      <c r="A686" s="1354" t="s">
        <v>4</v>
      </c>
      <c r="B686" s="1281"/>
      <c r="C686" s="220">
        <f>C687+C692+C689</f>
        <v>3080000</v>
      </c>
      <c r="D686" s="200"/>
      <c r="E686" s="201"/>
      <c r="F686" s="100"/>
      <c r="G686" s="100"/>
      <c r="H686" s="100"/>
      <c r="I686" s="100"/>
      <c r="J686" s="100"/>
      <c r="K686" s="100"/>
      <c r="L686" s="100"/>
      <c r="M686" s="100"/>
      <c r="N686" s="100"/>
      <c r="O686" s="100"/>
      <c r="P686" s="100"/>
      <c r="Q686" s="100"/>
      <c r="R686" s="100"/>
      <c r="S686" s="100"/>
      <c r="T686" s="100"/>
      <c r="U686" s="100"/>
      <c r="V686" s="100"/>
      <c r="W686" s="100"/>
    </row>
    <row r="687" spans="1:23" ht="13.5" customHeight="1">
      <c r="A687" s="76">
        <v>211302</v>
      </c>
      <c r="B687" s="76" t="s">
        <v>481</v>
      </c>
      <c r="C687" s="155">
        <f>SUM(C688)</f>
        <v>120000</v>
      </c>
      <c r="D687" s="200"/>
      <c r="E687" s="201"/>
      <c r="F687" s="100"/>
      <c r="G687" s="100"/>
      <c r="H687" s="100"/>
      <c r="I687" s="100"/>
      <c r="J687" s="100"/>
      <c r="K687" s="100"/>
      <c r="L687" s="100"/>
      <c r="M687" s="100"/>
      <c r="N687" s="100"/>
      <c r="O687" s="100"/>
      <c r="P687" s="100"/>
      <c r="Q687" s="100"/>
      <c r="R687" s="100"/>
      <c r="S687" s="100"/>
      <c r="T687" s="100"/>
      <c r="U687" s="100"/>
      <c r="V687" s="100"/>
      <c r="W687" s="100"/>
    </row>
    <row r="688" spans="1:23" ht="13.5" customHeight="1">
      <c r="A688" s="154">
        <v>21130204</v>
      </c>
      <c r="B688" s="72" t="s">
        <v>483</v>
      </c>
      <c r="C688" s="72">
        <v>120000</v>
      </c>
      <c r="D688" s="200"/>
      <c r="E688" s="201"/>
      <c r="F688" s="100"/>
      <c r="G688" s="100"/>
      <c r="H688" s="100"/>
      <c r="I688" s="100"/>
      <c r="J688" s="100"/>
      <c r="K688" s="100"/>
      <c r="L688" s="100"/>
      <c r="M688" s="100"/>
      <c r="N688" s="100"/>
      <c r="O688" s="100"/>
      <c r="P688" s="100"/>
      <c r="Q688" s="100"/>
      <c r="R688" s="100"/>
      <c r="S688" s="100"/>
      <c r="T688" s="100"/>
      <c r="U688" s="100"/>
      <c r="V688" s="100"/>
      <c r="W688" s="100"/>
    </row>
    <row r="689" spans="1:23" ht="13.5" customHeight="1">
      <c r="A689" s="76">
        <v>211305</v>
      </c>
      <c r="B689" s="36" t="s">
        <v>489</v>
      </c>
      <c r="C689" s="36">
        <f>SUM(C690:C691)</f>
        <v>1380000</v>
      </c>
      <c r="D689" s="200"/>
      <c r="E689" s="201"/>
      <c r="F689" s="100"/>
      <c r="G689" s="100"/>
      <c r="H689" s="100"/>
      <c r="I689" s="100"/>
      <c r="J689" s="100"/>
      <c r="K689" s="100"/>
      <c r="L689" s="100"/>
      <c r="M689" s="100"/>
      <c r="N689" s="100"/>
      <c r="O689" s="100"/>
      <c r="P689" s="100"/>
      <c r="Q689" s="100"/>
      <c r="R689" s="100"/>
      <c r="S689" s="100"/>
      <c r="T689" s="100"/>
      <c r="U689" s="100"/>
      <c r="V689" s="100"/>
      <c r="W689" s="100"/>
    </row>
    <row r="690" spans="1:23" ht="13.5" customHeight="1">
      <c r="A690" s="154">
        <v>21130501</v>
      </c>
      <c r="B690" s="77" t="s">
        <v>490</v>
      </c>
      <c r="C690" s="72">
        <f>40000+100000</f>
        <v>140000</v>
      </c>
      <c r="D690" s="200"/>
      <c r="E690" s="201"/>
      <c r="F690" s="100"/>
      <c r="G690" s="100"/>
      <c r="H690" s="100"/>
      <c r="I690" s="100"/>
      <c r="J690" s="100"/>
      <c r="K690" s="100"/>
      <c r="L690" s="100"/>
      <c r="M690" s="100"/>
      <c r="N690" s="100"/>
      <c r="O690" s="100"/>
      <c r="P690" s="100"/>
      <c r="Q690" s="100"/>
      <c r="R690" s="100"/>
      <c r="S690" s="100"/>
      <c r="T690" s="100"/>
      <c r="U690" s="100"/>
      <c r="V690" s="100"/>
      <c r="W690" s="100"/>
    </row>
    <row r="691" spans="1:23" ht="13.5" customHeight="1">
      <c r="A691" s="154">
        <v>21130502</v>
      </c>
      <c r="B691" s="72" t="s">
        <v>491</v>
      </c>
      <c r="C691" s="72">
        <f>240000+1000000</f>
        <v>1240000</v>
      </c>
      <c r="D691" s="200"/>
      <c r="E691" s="201"/>
      <c r="F691" s="100"/>
      <c r="G691" s="100"/>
      <c r="H691" s="100"/>
      <c r="I691" s="100"/>
      <c r="J691" s="100"/>
      <c r="K691" s="100"/>
      <c r="L691" s="100"/>
      <c r="M691" s="100"/>
      <c r="N691" s="100"/>
      <c r="O691" s="100"/>
      <c r="P691" s="100"/>
      <c r="Q691" s="100"/>
      <c r="R691" s="100"/>
      <c r="S691" s="100"/>
      <c r="T691" s="100"/>
      <c r="U691" s="100"/>
      <c r="V691" s="100"/>
      <c r="W691" s="100"/>
    </row>
    <row r="692" spans="1:23" ht="13.5" customHeight="1">
      <c r="A692" s="76">
        <v>211309</v>
      </c>
      <c r="B692" s="36" t="s">
        <v>496</v>
      </c>
      <c r="C692" s="36">
        <f>SUM(C693:C695)</f>
        <v>1580000</v>
      </c>
      <c r="D692" s="200"/>
      <c r="E692" s="201"/>
      <c r="F692" s="100"/>
      <c r="G692" s="100"/>
      <c r="H692" s="100"/>
      <c r="I692" s="100"/>
      <c r="J692" s="100"/>
      <c r="K692" s="100"/>
      <c r="L692" s="100"/>
      <c r="M692" s="100"/>
      <c r="N692" s="100"/>
      <c r="O692" s="100"/>
      <c r="P692" s="100"/>
      <c r="Q692" s="100"/>
      <c r="R692" s="100"/>
      <c r="S692" s="100"/>
      <c r="T692" s="100"/>
      <c r="U692" s="100"/>
      <c r="V692" s="100"/>
      <c r="W692" s="100"/>
    </row>
    <row r="693" spans="1:23" ht="13.5" customHeight="1">
      <c r="A693" s="154">
        <v>21130901</v>
      </c>
      <c r="B693" s="72" t="s">
        <v>497</v>
      </c>
      <c r="C693" s="72">
        <f>60000+1000000</f>
        <v>1060000</v>
      </c>
      <c r="D693" s="200"/>
      <c r="E693" s="201"/>
      <c r="F693" s="100"/>
      <c r="G693" s="100"/>
      <c r="H693" s="100"/>
      <c r="I693" s="100"/>
      <c r="J693" s="100"/>
      <c r="K693" s="100"/>
      <c r="L693" s="100"/>
      <c r="M693" s="100"/>
      <c r="N693" s="100"/>
      <c r="O693" s="100"/>
      <c r="P693" s="100"/>
      <c r="Q693" s="100"/>
      <c r="R693" s="100"/>
      <c r="S693" s="100"/>
      <c r="T693" s="100"/>
      <c r="U693" s="100"/>
      <c r="V693" s="100"/>
      <c r="W693" s="100"/>
    </row>
    <row r="694" spans="1:23" ht="13.5" customHeight="1">
      <c r="A694" s="154">
        <v>21130903</v>
      </c>
      <c r="B694" s="72" t="s">
        <v>498</v>
      </c>
      <c r="C694" s="72">
        <v>120000</v>
      </c>
      <c r="D694" s="200"/>
      <c r="E694" s="201"/>
      <c r="F694" s="100"/>
      <c r="G694" s="100"/>
      <c r="H694" s="100"/>
      <c r="I694" s="100"/>
      <c r="J694" s="100"/>
      <c r="K694" s="100"/>
      <c r="L694" s="100"/>
      <c r="M694" s="100"/>
      <c r="N694" s="100"/>
      <c r="O694" s="100"/>
      <c r="P694" s="100"/>
      <c r="Q694" s="100"/>
      <c r="R694" s="100"/>
      <c r="S694" s="100"/>
      <c r="T694" s="100"/>
      <c r="U694" s="100"/>
      <c r="V694" s="100"/>
      <c r="W694" s="100"/>
    </row>
    <row r="695" spans="1:23" ht="13.5" customHeight="1">
      <c r="A695" s="154">
        <v>21130908</v>
      </c>
      <c r="B695" s="72" t="s">
        <v>500</v>
      </c>
      <c r="C695" s="72">
        <f>250000+150000</f>
        <v>400000</v>
      </c>
      <c r="D695" s="200"/>
      <c r="E695" s="201"/>
      <c r="F695" s="100"/>
      <c r="G695" s="100"/>
      <c r="H695" s="100"/>
      <c r="I695" s="100"/>
      <c r="J695" s="100"/>
      <c r="K695" s="100"/>
      <c r="L695" s="100"/>
      <c r="M695" s="100"/>
      <c r="N695" s="100"/>
      <c r="O695" s="100"/>
      <c r="P695" s="100"/>
      <c r="Q695" s="100"/>
      <c r="R695" s="100"/>
      <c r="S695" s="100"/>
      <c r="T695" s="100"/>
      <c r="U695" s="100"/>
      <c r="V695" s="100"/>
      <c r="W695" s="100"/>
    </row>
    <row r="696" spans="1:23" ht="13.5" customHeight="1">
      <c r="A696" s="77"/>
      <c r="B696" s="77"/>
      <c r="C696" s="224"/>
      <c r="D696" s="200"/>
      <c r="E696" s="201"/>
      <c r="F696" s="100"/>
      <c r="G696" s="100"/>
      <c r="H696" s="100"/>
      <c r="I696" s="100"/>
      <c r="J696" s="100"/>
      <c r="K696" s="100"/>
      <c r="L696" s="100"/>
      <c r="M696" s="100"/>
      <c r="N696" s="100"/>
      <c r="O696" s="100"/>
      <c r="P696" s="100"/>
      <c r="Q696" s="100"/>
      <c r="R696" s="100"/>
      <c r="S696" s="100"/>
      <c r="T696" s="100"/>
      <c r="U696" s="100"/>
      <c r="V696" s="100"/>
      <c r="W696" s="100"/>
    </row>
    <row r="697" spans="1:23" ht="13.5" customHeight="1" thickBot="1">
      <c r="A697" s="100"/>
      <c r="B697" s="72"/>
      <c r="C697" s="72"/>
      <c r="D697" s="200"/>
      <c r="E697" s="201"/>
      <c r="F697" s="100"/>
      <c r="G697" s="100"/>
      <c r="H697" s="100"/>
      <c r="I697" s="100"/>
      <c r="J697" s="100"/>
      <c r="K697" s="100"/>
      <c r="L697" s="100"/>
      <c r="M697" s="100"/>
      <c r="N697" s="100"/>
      <c r="O697" s="100"/>
      <c r="P697" s="100"/>
      <c r="Q697" s="100"/>
      <c r="R697" s="100"/>
      <c r="S697" s="100"/>
      <c r="T697" s="100"/>
      <c r="U697" s="100"/>
      <c r="V697" s="100"/>
      <c r="W697" s="100"/>
    </row>
    <row r="698" spans="1:23" ht="13.5" customHeight="1">
      <c r="A698" s="1308" t="s">
        <v>905</v>
      </c>
      <c r="B698" s="1358"/>
      <c r="C698" s="1476">
        <v>1511</v>
      </c>
      <c r="D698" s="200"/>
      <c r="E698" s="201"/>
      <c r="F698" s="100"/>
      <c r="G698" s="100"/>
      <c r="H698" s="100"/>
      <c r="I698" s="100"/>
      <c r="J698" s="100"/>
      <c r="K698" s="100"/>
      <c r="L698" s="100"/>
      <c r="M698" s="100"/>
      <c r="N698" s="100"/>
      <c r="O698" s="100"/>
      <c r="P698" s="100"/>
      <c r="Q698" s="100"/>
      <c r="R698" s="100"/>
      <c r="S698" s="100"/>
      <c r="T698" s="100"/>
      <c r="U698" s="100"/>
      <c r="V698" s="100"/>
      <c r="W698" s="100"/>
    </row>
    <row r="699" spans="1:23" ht="13.5" customHeight="1" thickBot="1">
      <c r="A699" s="1344"/>
      <c r="B699" s="1359"/>
      <c r="C699" s="1477"/>
      <c r="D699" s="200"/>
      <c r="E699" s="201"/>
      <c r="F699" s="100"/>
      <c r="G699" s="100"/>
      <c r="H699" s="100"/>
      <c r="I699" s="100"/>
      <c r="J699" s="100"/>
      <c r="K699" s="100"/>
      <c r="L699" s="100"/>
      <c r="M699" s="100"/>
      <c r="N699" s="100"/>
      <c r="O699" s="100"/>
      <c r="P699" s="100"/>
      <c r="Q699" s="100"/>
      <c r="R699" s="100"/>
      <c r="S699" s="100"/>
      <c r="T699" s="100"/>
      <c r="U699" s="100"/>
      <c r="V699" s="100"/>
      <c r="W699" s="100"/>
    </row>
    <row r="700" spans="1:23" ht="13.5" customHeight="1">
      <c r="A700" s="609" t="s">
        <v>671</v>
      </c>
      <c r="B700" s="612"/>
      <c r="C700" s="1080"/>
      <c r="D700" s="200"/>
      <c r="E700" s="201"/>
      <c r="F700" s="100"/>
      <c r="G700" s="100"/>
      <c r="H700" s="100"/>
      <c r="I700" s="100"/>
      <c r="J700" s="100"/>
      <c r="K700" s="100"/>
      <c r="L700" s="100"/>
      <c r="M700" s="100"/>
      <c r="N700" s="100"/>
      <c r="O700" s="100"/>
      <c r="P700" s="100"/>
      <c r="Q700" s="100"/>
      <c r="R700" s="100"/>
      <c r="S700" s="100"/>
      <c r="T700" s="100"/>
      <c r="U700" s="100"/>
      <c r="V700" s="100"/>
      <c r="W700" s="100"/>
    </row>
    <row r="701" spans="1:23" ht="13.5" customHeight="1">
      <c r="A701" s="609" t="s">
        <v>722</v>
      </c>
      <c r="B701" s="611"/>
      <c r="C701" s="1080"/>
      <c r="D701" s="200"/>
      <c r="E701" s="201"/>
      <c r="F701" s="100"/>
      <c r="G701" s="100"/>
      <c r="H701" s="100"/>
      <c r="I701" s="100"/>
      <c r="J701" s="100"/>
      <c r="K701" s="100"/>
      <c r="L701" s="100"/>
      <c r="M701" s="100"/>
      <c r="N701" s="100"/>
      <c r="O701" s="100"/>
      <c r="P701" s="100"/>
      <c r="Q701" s="100"/>
      <c r="R701" s="100"/>
      <c r="S701" s="100"/>
      <c r="T701" s="100"/>
      <c r="U701" s="100"/>
      <c r="V701" s="100"/>
      <c r="W701" s="100"/>
    </row>
    <row r="702" spans="1:23" ht="13.5" customHeight="1">
      <c r="A702" s="609" t="s">
        <v>723</v>
      </c>
      <c r="B702" s="611"/>
      <c r="C702" s="1080"/>
      <c r="D702" s="200"/>
      <c r="E702" s="201"/>
      <c r="F702" s="100"/>
      <c r="G702" s="100"/>
      <c r="H702" s="100"/>
      <c r="I702" s="100"/>
      <c r="J702" s="100"/>
      <c r="K702" s="100"/>
      <c r="L702" s="100"/>
      <c r="M702" s="100"/>
      <c r="N702" s="100"/>
      <c r="O702" s="100"/>
      <c r="P702" s="100"/>
      <c r="Q702" s="100"/>
      <c r="R702" s="100"/>
      <c r="S702" s="100"/>
      <c r="T702" s="100"/>
      <c r="U702" s="100"/>
      <c r="V702" s="100"/>
      <c r="W702" s="100"/>
    </row>
    <row r="703" spans="1:23" ht="13.5" customHeight="1" thickBot="1">
      <c r="A703" s="609" t="s">
        <v>0</v>
      </c>
      <c r="B703" s="612"/>
      <c r="C703" s="1080"/>
      <c r="D703" s="200"/>
      <c r="E703" s="201"/>
      <c r="F703" s="100"/>
      <c r="G703" s="100"/>
      <c r="H703" s="100"/>
      <c r="I703" s="100"/>
      <c r="J703" s="100"/>
      <c r="K703" s="100"/>
      <c r="L703" s="100"/>
      <c r="M703" s="100"/>
      <c r="N703" s="100"/>
      <c r="O703" s="100"/>
      <c r="P703" s="100"/>
      <c r="Q703" s="100"/>
      <c r="R703" s="100"/>
      <c r="S703" s="100"/>
      <c r="T703" s="100"/>
      <c r="U703" s="100"/>
      <c r="V703" s="100"/>
      <c r="W703" s="100"/>
    </row>
    <row r="704" spans="1:23" ht="13.5" customHeight="1" thickBot="1">
      <c r="A704" s="627" t="s">
        <v>1</v>
      </c>
      <c r="B704" s="628"/>
      <c r="C704" s="638">
        <f>+C706+C722+C737</f>
        <v>5091500</v>
      </c>
      <c r="D704" s="200"/>
      <c r="E704" s="201"/>
      <c r="F704" s="100"/>
      <c r="G704" s="100"/>
      <c r="H704" s="100"/>
      <c r="I704" s="100"/>
      <c r="J704" s="100"/>
      <c r="K704" s="100"/>
      <c r="L704" s="100"/>
      <c r="M704" s="100"/>
      <c r="N704" s="100"/>
      <c r="O704" s="100"/>
      <c r="P704" s="100"/>
      <c r="Q704" s="100"/>
      <c r="R704" s="100"/>
      <c r="S704" s="100"/>
      <c r="T704" s="100"/>
      <c r="U704" s="100"/>
      <c r="V704" s="100"/>
      <c r="W704" s="100"/>
    </row>
    <row r="705" spans="1:23" ht="13.5" customHeight="1" thickBot="1">
      <c r="A705" s="75"/>
      <c r="B705" s="75"/>
      <c r="C705" s="36"/>
      <c r="D705" s="200"/>
      <c r="E705" s="201"/>
      <c r="F705" s="100"/>
      <c r="G705" s="100"/>
      <c r="H705" s="100"/>
      <c r="I705" s="100"/>
      <c r="J705" s="100"/>
      <c r="K705" s="100"/>
      <c r="L705" s="100"/>
      <c r="M705" s="100"/>
      <c r="N705" s="100"/>
      <c r="O705" s="100"/>
      <c r="P705" s="100"/>
      <c r="Q705" s="100"/>
      <c r="R705" s="100"/>
      <c r="S705" s="100"/>
      <c r="T705" s="100"/>
      <c r="U705" s="100"/>
      <c r="V705" s="100"/>
      <c r="W705" s="100"/>
    </row>
    <row r="706" spans="1:23" ht="13.5" customHeight="1" thickBot="1">
      <c r="A706" s="1356" t="s">
        <v>9</v>
      </c>
      <c r="B706" s="1281"/>
      <c r="C706" s="212">
        <f>C707+C709+C711+C713+C715+C717</f>
        <v>3261500</v>
      </c>
      <c r="D706" s="200"/>
      <c r="E706" s="201"/>
      <c r="F706" s="100"/>
      <c r="G706" s="100"/>
      <c r="H706" s="100"/>
      <c r="I706" s="100"/>
      <c r="J706" s="100"/>
      <c r="K706" s="100"/>
      <c r="L706" s="100"/>
      <c r="M706" s="100"/>
      <c r="N706" s="100"/>
      <c r="O706" s="100"/>
      <c r="P706" s="100"/>
      <c r="Q706" s="100"/>
      <c r="R706" s="100"/>
      <c r="S706" s="100"/>
      <c r="T706" s="100"/>
      <c r="U706" s="100"/>
      <c r="V706" s="100"/>
      <c r="W706" s="100"/>
    </row>
    <row r="707" spans="1:23" ht="13.5" customHeight="1">
      <c r="A707" s="76">
        <v>211201</v>
      </c>
      <c r="B707" s="76" t="s">
        <v>459</v>
      </c>
      <c r="C707" s="155">
        <v>280000</v>
      </c>
      <c r="D707" s="200"/>
      <c r="E707" s="201"/>
      <c r="F707" s="100"/>
      <c r="G707" s="100"/>
      <c r="H707" s="100"/>
      <c r="I707" s="100"/>
      <c r="J707" s="100"/>
      <c r="K707" s="100"/>
      <c r="L707" s="100"/>
      <c r="M707" s="100"/>
      <c r="N707" s="100"/>
      <c r="O707" s="100"/>
      <c r="P707" s="100"/>
      <c r="Q707" s="100"/>
      <c r="R707" s="100"/>
      <c r="S707" s="100"/>
      <c r="T707" s="100"/>
      <c r="U707" s="100"/>
      <c r="V707" s="100"/>
      <c r="W707" s="100"/>
    </row>
    <row r="708" spans="1:23" ht="13.5" customHeight="1">
      <c r="A708" s="154">
        <v>21120101</v>
      </c>
      <c r="B708" s="100" t="s">
        <v>460</v>
      </c>
      <c r="C708" s="72">
        <v>280000</v>
      </c>
      <c r="D708" s="200"/>
      <c r="E708" s="201"/>
      <c r="F708" s="100"/>
      <c r="G708" s="100"/>
      <c r="H708" s="100"/>
      <c r="I708" s="100"/>
      <c r="J708" s="100"/>
      <c r="K708" s="100"/>
      <c r="L708" s="100"/>
      <c r="M708" s="100"/>
      <c r="N708" s="100"/>
      <c r="O708" s="100"/>
      <c r="P708" s="100"/>
      <c r="Q708" s="100"/>
      <c r="R708" s="100"/>
      <c r="S708" s="100"/>
      <c r="T708" s="100"/>
      <c r="U708" s="100"/>
      <c r="V708" s="100"/>
      <c r="W708" s="100"/>
    </row>
    <row r="709" spans="1:23" ht="13.5" customHeight="1">
      <c r="A709" s="76">
        <v>211202</v>
      </c>
      <c r="B709" s="76" t="s">
        <v>529</v>
      </c>
      <c r="C709" s="36">
        <v>200000</v>
      </c>
      <c r="D709" s="200"/>
      <c r="E709" s="201"/>
      <c r="F709" s="100"/>
      <c r="G709" s="100"/>
      <c r="H709" s="100"/>
      <c r="I709" s="100"/>
      <c r="J709" s="100"/>
      <c r="K709" s="100"/>
      <c r="L709" s="100"/>
      <c r="M709" s="100"/>
      <c r="N709" s="100"/>
      <c r="O709" s="100"/>
      <c r="P709" s="100"/>
      <c r="Q709" s="100"/>
      <c r="R709" s="100"/>
      <c r="S709" s="100"/>
      <c r="T709" s="100"/>
      <c r="U709" s="100"/>
      <c r="V709" s="100"/>
      <c r="W709" s="100"/>
    </row>
    <row r="710" spans="1:23" ht="13.5" customHeight="1">
      <c r="A710" s="154">
        <v>21120202</v>
      </c>
      <c r="B710" s="154" t="s">
        <v>530</v>
      </c>
      <c r="C710" s="72">
        <v>200000</v>
      </c>
      <c r="D710" s="200"/>
      <c r="E710" s="201"/>
      <c r="F710" s="100"/>
      <c r="G710" s="100"/>
      <c r="H710" s="100"/>
      <c r="I710" s="100"/>
      <c r="J710" s="100"/>
      <c r="K710" s="100"/>
      <c r="L710" s="100"/>
      <c r="M710" s="100"/>
      <c r="N710" s="100"/>
      <c r="O710" s="100"/>
      <c r="P710" s="100"/>
      <c r="Q710" s="100"/>
      <c r="R710" s="100"/>
      <c r="S710" s="100"/>
      <c r="T710" s="100"/>
      <c r="U710" s="100"/>
      <c r="V710" s="100"/>
      <c r="W710" s="100"/>
    </row>
    <row r="711" spans="1:23" ht="13.5" customHeight="1">
      <c r="A711" s="76">
        <v>211203</v>
      </c>
      <c r="B711" s="75" t="s">
        <v>461</v>
      </c>
      <c r="C711" s="155">
        <v>50000</v>
      </c>
      <c r="D711" s="200"/>
      <c r="E711" s="201"/>
      <c r="F711" s="100"/>
      <c r="G711" s="100"/>
      <c r="H711" s="100"/>
      <c r="I711" s="100"/>
      <c r="J711" s="100"/>
      <c r="K711" s="100"/>
      <c r="L711" s="100"/>
      <c r="M711" s="100"/>
      <c r="N711" s="100"/>
      <c r="O711" s="100"/>
      <c r="P711" s="100"/>
      <c r="Q711" s="100"/>
      <c r="R711" s="100"/>
      <c r="S711" s="100"/>
      <c r="T711" s="100"/>
      <c r="U711" s="100"/>
      <c r="V711" s="100"/>
      <c r="W711" s="100"/>
    </row>
    <row r="712" spans="1:23" ht="13.5" customHeight="1">
      <c r="A712" s="154">
        <v>21120302</v>
      </c>
      <c r="B712" s="100" t="s">
        <v>462</v>
      </c>
      <c r="C712" s="72">
        <v>50000</v>
      </c>
      <c r="D712" s="200"/>
      <c r="E712" s="201"/>
      <c r="F712" s="100"/>
      <c r="G712" s="100"/>
      <c r="H712" s="100"/>
      <c r="I712" s="100"/>
      <c r="J712" s="100"/>
      <c r="K712" s="100"/>
      <c r="L712" s="100"/>
      <c r="M712" s="100"/>
      <c r="N712" s="100"/>
      <c r="O712" s="100"/>
      <c r="P712" s="100"/>
      <c r="Q712" s="100"/>
      <c r="R712" s="100"/>
      <c r="S712" s="100"/>
      <c r="T712" s="100"/>
      <c r="U712" s="100"/>
      <c r="V712" s="100"/>
      <c r="W712" s="100"/>
    </row>
    <row r="713" spans="1:23" ht="13.5" customHeight="1">
      <c r="A713" s="76">
        <v>211204</v>
      </c>
      <c r="B713" s="75" t="s">
        <v>463</v>
      </c>
      <c r="C713" s="36">
        <v>100000</v>
      </c>
      <c r="D713" s="200"/>
      <c r="E713" s="201"/>
      <c r="F713" s="100"/>
      <c r="G713" s="100"/>
      <c r="H713" s="100"/>
      <c r="I713" s="100"/>
      <c r="J713" s="100"/>
      <c r="K713" s="100"/>
      <c r="L713" s="100"/>
      <c r="M713" s="100"/>
      <c r="N713" s="100"/>
      <c r="O713" s="100"/>
      <c r="P713" s="100"/>
      <c r="Q713" s="100"/>
      <c r="R713" s="100"/>
      <c r="S713" s="100"/>
      <c r="T713" s="100"/>
      <c r="U713" s="100"/>
      <c r="V713" s="100"/>
      <c r="W713" s="100"/>
    </row>
    <row r="714" spans="1:23" ht="13.5" customHeight="1">
      <c r="A714" s="154">
        <v>21120401</v>
      </c>
      <c r="B714" s="72" t="s">
        <v>464</v>
      </c>
      <c r="C714" s="72">
        <v>100000</v>
      </c>
      <c r="D714" s="200"/>
      <c r="E714" s="201"/>
      <c r="F714" s="100"/>
      <c r="G714" s="100"/>
      <c r="H714" s="100"/>
      <c r="I714" s="100"/>
      <c r="J714" s="100"/>
      <c r="K714" s="100"/>
      <c r="L714" s="100"/>
      <c r="M714" s="100"/>
      <c r="N714" s="100"/>
      <c r="O714" s="100"/>
      <c r="P714" s="100"/>
      <c r="Q714" s="100"/>
      <c r="R714" s="100"/>
      <c r="S714" s="100"/>
      <c r="T714" s="100"/>
      <c r="U714" s="100"/>
      <c r="V714" s="100"/>
      <c r="W714" s="100"/>
    </row>
    <row r="715" spans="1:23" ht="13.5" customHeight="1">
      <c r="A715" s="76">
        <v>211208</v>
      </c>
      <c r="B715" s="36" t="s">
        <v>474</v>
      </c>
      <c r="C715" s="36">
        <v>100000</v>
      </c>
      <c r="D715" s="200"/>
      <c r="E715" s="201"/>
      <c r="F715" s="100"/>
      <c r="G715" s="100"/>
      <c r="H715" s="100"/>
      <c r="I715" s="100"/>
      <c r="J715" s="100"/>
      <c r="K715" s="100"/>
      <c r="L715" s="100"/>
      <c r="M715" s="100"/>
      <c r="N715" s="100"/>
      <c r="O715" s="100"/>
      <c r="P715" s="100"/>
      <c r="Q715" s="100"/>
      <c r="R715" s="100"/>
      <c r="S715" s="100"/>
      <c r="T715" s="100"/>
      <c r="U715" s="100"/>
      <c r="V715" s="100"/>
      <c r="W715" s="100"/>
    </row>
    <row r="716" spans="1:23" ht="13.5" customHeight="1">
      <c r="A716" s="154">
        <v>21120805</v>
      </c>
      <c r="B716" s="72" t="s">
        <v>476</v>
      </c>
      <c r="C716" s="72">
        <v>100000</v>
      </c>
      <c r="D716" s="200"/>
      <c r="E716" s="201"/>
      <c r="F716" s="100"/>
      <c r="G716" s="100"/>
      <c r="H716" s="100"/>
      <c r="I716" s="100"/>
      <c r="J716" s="100"/>
      <c r="K716" s="100"/>
      <c r="L716" s="100"/>
      <c r="M716" s="100"/>
      <c r="N716" s="100"/>
      <c r="O716" s="100"/>
      <c r="P716" s="100"/>
      <c r="Q716" s="100"/>
      <c r="R716" s="100"/>
      <c r="S716" s="100"/>
      <c r="T716" s="100"/>
      <c r="U716" s="100"/>
      <c r="V716" s="100"/>
      <c r="W716" s="100"/>
    </row>
    <row r="717" spans="1:23" ht="13.5" customHeight="1">
      <c r="A717" s="76">
        <v>211209</v>
      </c>
      <c r="B717" s="36" t="s">
        <v>477</v>
      </c>
      <c r="C717" s="36">
        <f>+SUM(C718:C720)</f>
        <v>2531500</v>
      </c>
      <c r="D717" s="200"/>
      <c r="E717" s="201"/>
      <c r="F717" s="100"/>
      <c r="G717" s="100"/>
      <c r="H717" s="100"/>
      <c r="I717" s="100"/>
      <c r="J717" s="100"/>
      <c r="K717" s="100"/>
      <c r="L717" s="100"/>
      <c r="M717" s="100"/>
      <c r="N717" s="100"/>
      <c r="O717" s="100"/>
      <c r="P717" s="100"/>
      <c r="Q717" s="100"/>
      <c r="R717" s="100"/>
      <c r="S717" s="100"/>
      <c r="T717" s="100"/>
      <c r="U717" s="100"/>
      <c r="V717" s="100"/>
      <c r="W717" s="100"/>
    </row>
    <row r="718" spans="1:23" ht="13.5" customHeight="1">
      <c r="A718" s="154">
        <v>21120901</v>
      </c>
      <c r="B718" s="72" t="s">
        <v>478</v>
      </c>
      <c r="C718" s="72">
        <v>2274000</v>
      </c>
      <c r="D718" s="200"/>
      <c r="E718" s="201"/>
      <c r="F718" s="100"/>
      <c r="G718" s="100"/>
      <c r="H718" s="100"/>
      <c r="I718" s="100"/>
      <c r="J718" s="100"/>
      <c r="K718" s="100"/>
      <c r="L718" s="100"/>
      <c r="M718" s="100"/>
      <c r="N718" s="100"/>
      <c r="O718" s="100"/>
      <c r="P718" s="100"/>
      <c r="Q718" s="100"/>
      <c r="R718" s="100"/>
      <c r="S718" s="100"/>
      <c r="T718" s="100"/>
      <c r="U718" s="100"/>
      <c r="V718" s="100"/>
      <c r="W718" s="100"/>
    </row>
    <row r="719" spans="1:23" ht="13.5" customHeight="1">
      <c r="A719" s="154">
        <v>21120906</v>
      </c>
      <c r="B719" s="72" t="s">
        <v>479</v>
      </c>
      <c r="C719" s="72">
        <v>57500</v>
      </c>
      <c r="D719" s="200"/>
      <c r="E719" s="201"/>
      <c r="F719" s="100"/>
      <c r="G719" s="100"/>
      <c r="H719" s="100"/>
      <c r="I719" s="100"/>
      <c r="J719" s="100"/>
      <c r="K719" s="100"/>
      <c r="L719" s="100"/>
      <c r="M719" s="100"/>
      <c r="N719" s="100"/>
      <c r="O719" s="100"/>
      <c r="P719" s="100"/>
      <c r="Q719" s="100"/>
      <c r="R719" s="100"/>
      <c r="S719" s="100"/>
      <c r="T719" s="100"/>
      <c r="U719" s="100"/>
      <c r="V719" s="100"/>
      <c r="W719" s="100"/>
    </row>
    <row r="720" spans="1:23" ht="13.5" customHeight="1">
      <c r="A720" s="154">
        <v>21120907</v>
      </c>
      <c r="B720" s="77" t="s">
        <v>480</v>
      </c>
      <c r="C720" s="72">
        <v>200000</v>
      </c>
      <c r="D720" s="200"/>
      <c r="E720" s="201"/>
      <c r="F720" s="100"/>
      <c r="G720" s="100"/>
      <c r="H720" s="100"/>
      <c r="I720" s="100"/>
      <c r="J720" s="100"/>
      <c r="K720" s="100"/>
      <c r="L720" s="100"/>
      <c r="M720" s="100"/>
      <c r="N720" s="100"/>
      <c r="O720" s="100"/>
      <c r="P720" s="100"/>
      <c r="Q720" s="100"/>
      <c r="R720" s="100"/>
      <c r="S720" s="100"/>
      <c r="T720" s="100"/>
      <c r="U720" s="100"/>
      <c r="V720" s="100"/>
      <c r="W720" s="100"/>
    </row>
    <row r="721" spans="1:23" ht="13.5" customHeight="1" thickBot="1">
      <c r="A721" s="100"/>
      <c r="B721" s="72"/>
      <c r="C721" s="72"/>
      <c r="D721" s="200"/>
      <c r="E721" s="201"/>
      <c r="F721" s="100"/>
      <c r="G721" s="100"/>
      <c r="H721" s="100"/>
      <c r="I721" s="100"/>
      <c r="J721" s="100"/>
      <c r="K721" s="100"/>
      <c r="L721" s="100"/>
      <c r="M721" s="100"/>
      <c r="N721" s="100"/>
      <c r="O721" s="100"/>
      <c r="P721" s="100"/>
      <c r="Q721" s="100"/>
      <c r="R721" s="100"/>
      <c r="S721" s="100"/>
      <c r="T721" s="100"/>
      <c r="U721" s="100"/>
      <c r="V721" s="100"/>
      <c r="W721" s="100"/>
    </row>
    <row r="722" spans="1:23" ht="13.5" customHeight="1" thickBot="1">
      <c r="A722" s="1354" t="s">
        <v>4</v>
      </c>
      <c r="B722" s="1281"/>
      <c r="C722" s="220">
        <f>C723+C725+C727++C730</f>
        <v>1610000</v>
      </c>
      <c r="D722" s="200"/>
      <c r="E722" s="201"/>
      <c r="F722" s="100"/>
      <c r="G722" s="100"/>
      <c r="H722" s="100"/>
      <c r="I722" s="100"/>
      <c r="J722" s="100"/>
      <c r="K722" s="100"/>
      <c r="L722" s="100"/>
      <c r="M722" s="100"/>
      <c r="N722" s="100"/>
      <c r="O722" s="100"/>
      <c r="P722" s="100"/>
      <c r="Q722" s="100"/>
      <c r="R722" s="100"/>
      <c r="S722" s="100"/>
      <c r="T722" s="100"/>
      <c r="U722" s="100"/>
      <c r="V722" s="100"/>
      <c r="W722" s="100"/>
    </row>
    <row r="723" spans="1:23" ht="13.5" customHeight="1">
      <c r="A723" s="76">
        <v>211302</v>
      </c>
      <c r="B723" s="75" t="s">
        <v>481</v>
      </c>
      <c r="C723" s="155">
        <f>SUM(C724)</f>
        <v>250000</v>
      </c>
      <c r="D723" s="200"/>
      <c r="E723" s="201"/>
      <c r="F723" s="100"/>
      <c r="G723" s="100"/>
      <c r="H723" s="100"/>
      <c r="I723" s="100"/>
      <c r="J723" s="100"/>
      <c r="K723" s="100"/>
      <c r="L723" s="100"/>
      <c r="M723" s="100"/>
      <c r="N723" s="100"/>
      <c r="O723" s="100"/>
      <c r="P723" s="100"/>
      <c r="Q723" s="100"/>
      <c r="R723" s="100"/>
      <c r="S723" s="100"/>
      <c r="T723" s="100"/>
      <c r="U723" s="100"/>
      <c r="V723" s="100"/>
      <c r="W723" s="100"/>
    </row>
    <row r="724" spans="1:23" ht="13.5" customHeight="1">
      <c r="A724" s="154">
        <v>21130204</v>
      </c>
      <c r="B724" s="100" t="s">
        <v>483</v>
      </c>
      <c r="C724" s="72">
        <v>250000</v>
      </c>
      <c r="D724" s="200"/>
      <c r="E724" s="201"/>
      <c r="F724" s="100"/>
      <c r="G724" s="100"/>
      <c r="H724" s="100"/>
      <c r="I724" s="100"/>
      <c r="J724" s="100"/>
      <c r="K724" s="100"/>
      <c r="L724" s="100"/>
      <c r="M724" s="100"/>
      <c r="N724" s="100"/>
      <c r="O724" s="100"/>
      <c r="P724" s="100"/>
      <c r="Q724" s="100"/>
      <c r="R724" s="100"/>
      <c r="S724" s="100"/>
      <c r="T724" s="100"/>
      <c r="U724" s="100"/>
      <c r="V724" s="100"/>
      <c r="W724" s="100"/>
    </row>
    <row r="725" spans="1:23" ht="13.5" customHeight="1">
      <c r="A725" s="76">
        <v>211305</v>
      </c>
      <c r="B725" s="75" t="s">
        <v>489</v>
      </c>
      <c r="C725" s="36">
        <f>SUM(C726)</f>
        <v>40000</v>
      </c>
      <c r="D725" s="200"/>
      <c r="E725" s="201"/>
      <c r="F725" s="100"/>
      <c r="G725" s="100"/>
      <c r="H725" s="100"/>
      <c r="I725" s="100"/>
      <c r="J725" s="100"/>
      <c r="K725" s="100"/>
      <c r="L725" s="100"/>
      <c r="M725" s="100"/>
      <c r="N725" s="100"/>
      <c r="O725" s="100"/>
      <c r="P725" s="100"/>
      <c r="Q725" s="100"/>
      <c r="R725" s="100"/>
      <c r="S725" s="100"/>
      <c r="T725" s="100"/>
      <c r="U725" s="100"/>
      <c r="V725" s="100"/>
      <c r="W725" s="100"/>
    </row>
    <row r="726" spans="1:23" ht="13.5" customHeight="1">
      <c r="A726" s="154">
        <v>21130502</v>
      </c>
      <c r="B726" s="72" t="s">
        <v>491</v>
      </c>
      <c r="C726" s="72">
        <v>40000</v>
      </c>
      <c r="D726" s="200"/>
      <c r="E726" s="201"/>
      <c r="F726" s="100"/>
      <c r="G726" s="100"/>
      <c r="H726" s="100"/>
      <c r="I726" s="100"/>
      <c r="J726" s="100"/>
      <c r="K726" s="100"/>
      <c r="L726" s="100"/>
      <c r="M726" s="100"/>
      <c r="N726" s="100"/>
      <c r="O726" s="100"/>
      <c r="P726" s="100"/>
      <c r="Q726" s="100"/>
      <c r="R726" s="100"/>
      <c r="S726" s="100"/>
      <c r="T726" s="100"/>
      <c r="U726" s="100"/>
      <c r="V726" s="100"/>
      <c r="W726" s="100"/>
    </row>
    <row r="727" spans="1:23" ht="13.5" customHeight="1">
      <c r="A727" s="76">
        <v>211306</v>
      </c>
      <c r="B727" s="36" t="s">
        <v>492</v>
      </c>
      <c r="C727" s="36">
        <f>SUM(C728:C729)</f>
        <v>30000</v>
      </c>
      <c r="D727" s="200"/>
      <c r="E727" s="201"/>
      <c r="F727" s="100"/>
      <c r="G727" s="100"/>
      <c r="H727" s="100"/>
      <c r="I727" s="100"/>
      <c r="J727" s="100"/>
      <c r="K727" s="100"/>
      <c r="L727" s="100"/>
      <c r="M727" s="100"/>
      <c r="N727" s="100"/>
      <c r="O727" s="100"/>
      <c r="P727" s="100"/>
      <c r="Q727" s="100"/>
      <c r="R727" s="100"/>
      <c r="S727" s="100"/>
      <c r="T727" s="100"/>
      <c r="U727" s="100"/>
      <c r="V727" s="100"/>
      <c r="W727" s="100"/>
    </row>
    <row r="728" spans="1:23" ht="13.5" customHeight="1">
      <c r="A728" s="154">
        <v>21130604</v>
      </c>
      <c r="B728" s="100" t="s">
        <v>539</v>
      </c>
      <c r="C728" s="72">
        <v>15000</v>
      </c>
      <c r="D728" s="200"/>
      <c r="E728" s="201"/>
      <c r="F728" s="100"/>
      <c r="G728" s="100"/>
      <c r="H728" s="100"/>
      <c r="I728" s="100"/>
      <c r="J728" s="100"/>
      <c r="K728" s="100"/>
      <c r="L728" s="100"/>
      <c r="M728" s="100"/>
      <c r="N728" s="100"/>
      <c r="O728" s="100"/>
      <c r="P728" s="100"/>
      <c r="Q728" s="100"/>
      <c r="R728" s="100"/>
      <c r="S728" s="100"/>
      <c r="T728" s="100"/>
      <c r="U728" s="100"/>
      <c r="V728" s="100"/>
      <c r="W728" s="100"/>
    </row>
    <row r="729" spans="1:23" ht="13.5" customHeight="1">
      <c r="A729" s="154">
        <v>21130607</v>
      </c>
      <c r="B729" s="72" t="s">
        <v>493</v>
      </c>
      <c r="C729" s="72">
        <v>15000</v>
      </c>
      <c r="D729" s="200"/>
      <c r="E729" s="201"/>
      <c r="F729" s="100"/>
      <c r="G729" s="100"/>
      <c r="H729" s="100"/>
      <c r="I729" s="100"/>
      <c r="J729" s="100"/>
      <c r="K729" s="100"/>
      <c r="L729" s="100"/>
      <c r="M729" s="100"/>
      <c r="N729" s="100"/>
      <c r="O729" s="100"/>
      <c r="P729" s="100"/>
      <c r="Q729" s="100"/>
      <c r="R729" s="100"/>
      <c r="S729" s="100"/>
      <c r="T729" s="100"/>
      <c r="U729" s="100"/>
      <c r="V729" s="100"/>
      <c r="W729" s="100"/>
    </row>
    <row r="730" spans="1:23" ht="13.5" customHeight="1">
      <c r="A730" s="76">
        <v>211309</v>
      </c>
      <c r="B730" s="36" t="s">
        <v>496</v>
      </c>
      <c r="C730" s="36">
        <f>SUM(C731:C734)</f>
        <v>1290000</v>
      </c>
      <c r="D730" s="200"/>
      <c r="E730" s="201"/>
      <c r="F730" s="100"/>
      <c r="G730" s="100"/>
      <c r="H730" s="100"/>
      <c r="I730" s="100"/>
      <c r="J730" s="100"/>
      <c r="K730" s="100"/>
      <c r="L730" s="100"/>
      <c r="M730" s="100"/>
      <c r="N730" s="100"/>
      <c r="O730" s="100"/>
      <c r="P730" s="100"/>
      <c r="Q730" s="100"/>
      <c r="R730" s="100"/>
      <c r="S730" s="100"/>
      <c r="T730" s="100"/>
      <c r="U730" s="100"/>
      <c r="V730" s="100"/>
      <c r="W730" s="100"/>
    </row>
    <row r="731" spans="1:23" ht="13.5" customHeight="1">
      <c r="A731" s="154">
        <v>21130901</v>
      </c>
      <c r="B731" s="72" t="s">
        <v>497</v>
      </c>
      <c r="C731" s="72">
        <v>50000</v>
      </c>
      <c r="D731" s="200"/>
      <c r="E731" s="201"/>
      <c r="F731" s="100"/>
      <c r="G731" s="100"/>
      <c r="H731" s="100"/>
      <c r="I731" s="100"/>
      <c r="J731" s="100"/>
      <c r="K731" s="100"/>
      <c r="L731" s="100"/>
      <c r="M731" s="100"/>
      <c r="N731" s="100"/>
      <c r="O731" s="100"/>
      <c r="P731" s="100"/>
      <c r="Q731" s="100"/>
      <c r="R731" s="100"/>
      <c r="S731" s="100"/>
      <c r="T731" s="100"/>
      <c r="U731" s="100"/>
      <c r="V731" s="100"/>
      <c r="W731" s="100"/>
    </row>
    <row r="732" spans="1:23" ht="13.5" customHeight="1">
      <c r="A732" s="154">
        <v>21130903</v>
      </c>
      <c r="B732" s="72" t="s">
        <v>498</v>
      </c>
      <c r="C732" s="72">
        <v>90000</v>
      </c>
      <c r="D732" s="200"/>
      <c r="E732" s="201"/>
      <c r="F732" s="100"/>
      <c r="G732" s="100"/>
      <c r="H732" s="100"/>
      <c r="I732" s="100"/>
      <c r="J732" s="100"/>
      <c r="K732" s="100"/>
      <c r="L732" s="100"/>
      <c r="M732" s="100"/>
      <c r="N732" s="100"/>
      <c r="O732" s="100"/>
      <c r="P732" s="100"/>
      <c r="Q732" s="100"/>
      <c r="R732" s="100"/>
      <c r="S732" s="100"/>
      <c r="T732" s="100"/>
      <c r="U732" s="100"/>
      <c r="V732" s="100"/>
      <c r="W732" s="100"/>
    </row>
    <row r="733" spans="1:23" ht="13.5" customHeight="1">
      <c r="A733" s="154">
        <v>21130906</v>
      </c>
      <c r="B733" s="100" t="s">
        <v>499</v>
      </c>
      <c r="C733" s="72">
        <v>150000</v>
      </c>
      <c r="D733" s="200"/>
      <c r="E733" s="201"/>
      <c r="F733" s="100"/>
      <c r="G733" s="100"/>
      <c r="H733" s="100"/>
      <c r="I733" s="100"/>
      <c r="J733" s="100"/>
      <c r="K733" s="100"/>
      <c r="L733" s="100"/>
      <c r="M733" s="100"/>
      <c r="N733" s="100"/>
      <c r="O733" s="100"/>
      <c r="P733" s="100"/>
      <c r="Q733" s="100"/>
      <c r="R733" s="100"/>
      <c r="S733" s="100"/>
      <c r="T733" s="100"/>
      <c r="U733" s="100"/>
      <c r="V733" s="100"/>
      <c r="W733" s="100"/>
    </row>
    <row r="734" spans="1:23" ht="13.5" customHeight="1">
      <c r="A734" s="154">
        <v>21130908</v>
      </c>
      <c r="B734" s="72" t="s">
        <v>500</v>
      </c>
      <c r="C734" s="114">
        <v>1000000</v>
      </c>
      <c r="D734" s="200"/>
      <c r="E734" s="201"/>
      <c r="F734" s="100"/>
      <c r="G734" s="100"/>
      <c r="H734" s="100"/>
      <c r="I734" s="100"/>
      <c r="J734" s="100"/>
      <c r="K734" s="100"/>
      <c r="L734" s="100"/>
      <c r="M734" s="100"/>
      <c r="N734" s="100"/>
      <c r="O734" s="100"/>
      <c r="P734" s="100"/>
      <c r="Q734" s="100"/>
      <c r="R734" s="100"/>
      <c r="S734" s="100"/>
      <c r="T734" s="100"/>
      <c r="U734" s="100"/>
      <c r="V734" s="100"/>
      <c r="W734" s="100"/>
    </row>
    <row r="735" spans="1:23" ht="13.5" customHeight="1">
      <c r="A735" s="100"/>
      <c r="B735" s="100"/>
      <c r="C735" s="117"/>
      <c r="D735" s="200"/>
      <c r="E735" s="201"/>
      <c r="F735" s="100"/>
      <c r="G735" s="100"/>
      <c r="H735" s="100"/>
      <c r="I735" s="100"/>
      <c r="J735" s="100"/>
      <c r="K735" s="100"/>
      <c r="L735" s="100"/>
      <c r="M735" s="100"/>
      <c r="N735" s="100"/>
      <c r="O735" s="100"/>
      <c r="P735" s="100"/>
      <c r="Q735" s="100"/>
      <c r="R735" s="100"/>
      <c r="S735" s="100"/>
      <c r="T735" s="100"/>
      <c r="U735" s="100"/>
      <c r="V735" s="100"/>
      <c r="W735" s="100"/>
    </row>
    <row r="736" spans="1:23" ht="13.5" customHeight="1" thickBot="1">
      <c r="A736" s="100"/>
      <c r="B736" s="72"/>
      <c r="C736" s="72"/>
      <c r="D736" s="200"/>
      <c r="E736" s="201"/>
      <c r="F736" s="100"/>
      <c r="G736" s="100"/>
      <c r="H736" s="100"/>
      <c r="I736" s="100"/>
      <c r="J736" s="100"/>
      <c r="K736" s="100"/>
      <c r="L736" s="100"/>
      <c r="M736" s="100"/>
      <c r="N736" s="100"/>
      <c r="O736" s="100"/>
      <c r="P736" s="100"/>
      <c r="Q736" s="100"/>
      <c r="R736" s="100"/>
      <c r="S736" s="100"/>
      <c r="T736" s="100"/>
      <c r="U736" s="100"/>
      <c r="V736" s="100"/>
      <c r="W736" s="100"/>
    </row>
    <row r="737" spans="1:23" ht="13.5" customHeight="1" thickBot="1">
      <c r="A737" s="1355" t="s">
        <v>48</v>
      </c>
      <c r="B737" s="1281"/>
      <c r="C737" s="232">
        <f>+C738+C740</f>
        <v>220000</v>
      </c>
      <c r="D737" s="200"/>
      <c r="E737" s="201"/>
      <c r="F737" s="100"/>
      <c r="G737" s="100"/>
      <c r="H737" s="100"/>
      <c r="I737" s="100"/>
      <c r="J737" s="100"/>
      <c r="K737" s="100"/>
      <c r="L737" s="100"/>
      <c r="M737" s="100"/>
      <c r="N737" s="100"/>
      <c r="O737" s="100"/>
      <c r="P737" s="100"/>
      <c r="Q737" s="100"/>
      <c r="R737" s="100"/>
      <c r="S737" s="100"/>
      <c r="T737" s="100"/>
      <c r="U737" s="100"/>
      <c r="V737" s="100"/>
      <c r="W737" s="100"/>
    </row>
    <row r="738" spans="1:23" ht="13.5" customHeight="1">
      <c r="A738" s="76">
        <v>221104</v>
      </c>
      <c r="B738" s="850" t="s">
        <v>510</v>
      </c>
      <c r="C738" s="36">
        <f>SUM(C739)</f>
        <v>120000</v>
      </c>
      <c r="D738" s="200"/>
      <c r="E738" s="201"/>
      <c r="F738" s="100"/>
      <c r="G738" s="100"/>
      <c r="H738" s="100"/>
      <c r="I738" s="100"/>
      <c r="J738" s="100"/>
      <c r="K738" s="100"/>
      <c r="L738" s="100"/>
      <c r="M738" s="100"/>
      <c r="N738" s="100"/>
      <c r="O738" s="100"/>
      <c r="P738" s="100"/>
      <c r="Q738" s="100"/>
      <c r="R738" s="100"/>
      <c r="S738" s="100"/>
      <c r="T738" s="100"/>
      <c r="U738" s="100"/>
      <c r="V738" s="100"/>
      <c r="W738" s="100"/>
    </row>
    <row r="739" spans="1:23" ht="13.5" customHeight="1">
      <c r="A739" s="154">
        <v>22110401</v>
      </c>
      <c r="B739" s="100" t="s">
        <v>511</v>
      </c>
      <c r="C739" s="72">
        <v>120000</v>
      </c>
      <c r="D739" s="200"/>
      <c r="E739" s="201"/>
      <c r="F739" s="100"/>
      <c r="G739" s="100"/>
      <c r="H739" s="100"/>
      <c r="I739" s="100"/>
      <c r="J739" s="100"/>
      <c r="K739" s="100"/>
      <c r="L739" s="100"/>
      <c r="M739" s="100"/>
      <c r="N739" s="100"/>
      <c r="O739" s="100"/>
      <c r="P739" s="100"/>
      <c r="Q739" s="100"/>
      <c r="R739" s="100"/>
      <c r="S739" s="100"/>
      <c r="T739" s="100"/>
      <c r="U739" s="100"/>
      <c r="V739" s="100"/>
      <c r="W739" s="100"/>
    </row>
    <row r="740" spans="1:23" ht="13.5" customHeight="1">
      <c r="A740" s="76">
        <v>221107</v>
      </c>
      <c r="B740" s="36" t="s">
        <v>514</v>
      </c>
      <c r="C740" s="36">
        <f>SUM(C741)</f>
        <v>100000</v>
      </c>
      <c r="D740" s="200"/>
      <c r="E740" s="201"/>
      <c r="F740" s="100"/>
      <c r="G740" s="100"/>
      <c r="H740" s="100"/>
      <c r="I740" s="100"/>
      <c r="J740" s="100"/>
      <c r="K740" s="100"/>
      <c r="L740" s="100"/>
      <c r="M740" s="100"/>
      <c r="N740" s="100"/>
      <c r="O740" s="100"/>
      <c r="P740" s="100"/>
      <c r="Q740" s="100"/>
      <c r="R740" s="100"/>
      <c r="S740" s="100"/>
      <c r="T740" s="100"/>
      <c r="U740" s="100"/>
      <c r="V740" s="100"/>
      <c r="W740" s="100"/>
    </row>
    <row r="741" spans="1:23" ht="13.5" customHeight="1">
      <c r="A741" s="154">
        <v>22110702</v>
      </c>
      <c r="B741" s="72" t="s">
        <v>515</v>
      </c>
      <c r="C741" s="72">
        <v>100000</v>
      </c>
      <c r="D741" s="200"/>
      <c r="E741" s="201"/>
      <c r="F741" s="100"/>
      <c r="G741" s="100"/>
      <c r="H741" s="100"/>
      <c r="I741" s="100"/>
      <c r="J741" s="100"/>
      <c r="K741" s="100"/>
      <c r="L741" s="100"/>
      <c r="M741" s="100"/>
      <c r="N741" s="100"/>
      <c r="O741" s="100"/>
      <c r="P741" s="100"/>
      <c r="Q741" s="100"/>
      <c r="R741" s="100"/>
      <c r="S741" s="100"/>
      <c r="T741" s="100"/>
      <c r="U741" s="100"/>
      <c r="V741" s="100"/>
      <c r="W741" s="100"/>
    </row>
    <row r="742" spans="1:23" ht="13.5" customHeight="1">
      <c r="A742" s="100"/>
      <c r="B742" s="72"/>
      <c r="C742" s="72"/>
      <c r="D742" s="200"/>
      <c r="E742" s="201"/>
      <c r="F742" s="100"/>
      <c r="G742" s="100"/>
      <c r="H742" s="100"/>
      <c r="I742" s="100"/>
      <c r="J742" s="100"/>
      <c r="K742" s="100"/>
      <c r="L742" s="100"/>
      <c r="M742" s="100"/>
      <c r="N742" s="100"/>
      <c r="O742" s="100"/>
      <c r="P742" s="100"/>
      <c r="Q742" s="100"/>
      <c r="R742" s="100"/>
      <c r="S742" s="100"/>
      <c r="T742" s="100"/>
      <c r="U742" s="100"/>
      <c r="V742" s="100"/>
      <c r="W742" s="100"/>
    </row>
    <row r="743" spans="1:23" ht="13.5" customHeight="1" thickBot="1">
      <c r="A743" s="100"/>
      <c r="B743" s="100"/>
      <c r="C743" s="72"/>
      <c r="D743" s="200"/>
      <c r="E743" s="201"/>
      <c r="F743" s="100"/>
      <c r="G743" s="100"/>
      <c r="H743" s="100"/>
      <c r="I743" s="100"/>
      <c r="J743" s="100"/>
      <c r="K743" s="100"/>
      <c r="L743" s="100"/>
      <c r="M743" s="100"/>
      <c r="N743" s="100"/>
      <c r="O743" s="100"/>
      <c r="P743" s="100"/>
      <c r="Q743" s="100"/>
      <c r="R743" s="100"/>
      <c r="S743" s="100"/>
      <c r="T743" s="100"/>
      <c r="U743" s="100"/>
      <c r="V743" s="100"/>
      <c r="W743" s="100"/>
    </row>
    <row r="744" spans="1:23" ht="13.5" customHeight="1">
      <c r="A744" s="1308" t="s">
        <v>906</v>
      </c>
      <c r="B744" s="1358"/>
      <c r="C744" s="1474">
        <v>1512</v>
      </c>
      <c r="D744" s="200"/>
      <c r="E744" s="201"/>
      <c r="F744" s="100"/>
      <c r="G744" s="100"/>
      <c r="H744" s="100"/>
      <c r="I744" s="100"/>
      <c r="J744" s="100"/>
      <c r="K744" s="100"/>
      <c r="L744" s="100"/>
      <c r="M744" s="100"/>
      <c r="N744" s="100"/>
      <c r="O744" s="100"/>
      <c r="P744" s="100"/>
      <c r="Q744" s="100"/>
      <c r="R744" s="100"/>
      <c r="S744" s="100"/>
      <c r="T744" s="100"/>
      <c r="U744" s="100"/>
      <c r="V744" s="100"/>
      <c r="W744" s="100"/>
    </row>
    <row r="745" spans="1:23" ht="13.5" customHeight="1" thickBot="1">
      <c r="A745" s="1344"/>
      <c r="B745" s="1359"/>
      <c r="C745" s="1475"/>
      <c r="D745" s="200"/>
      <c r="E745" s="201"/>
      <c r="F745" s="100"/>
      <c r="G745" s="100"/>
      <c r="H745" s="100"/>
      <c r="I745" s="100"/>
      <c r="J745" s="100"/>
      <c r="K745" s="100"/>
      <c r="L745" s="100"/>
      <c r="M745" s="100"/>
      <c r="N745" s="100"/>
      <c r="O745" s="100"/>
      <c r="P745" s="100"/>
      <c r="Q745" s="100"/>
      <c r="R745" s="100"/>
      <c r="S745" s="100"/>
      <c r="T745" s="100"/>
      <c r="U745" s="100"/>
      <c r="V745" s="100"/>
      <c r="W745" s="100"/>
    </row>
    <row r="746" spans="1:23" ht="13.5" customHeight="1">
      <c r="A746" s="609" t="s">
        <v>671</v>
      </c>
      <c r="B746" s="612"/>
      <c r="C746" s="1080"/>
      <c r="D746" s="200"/>
      <c r="E746" s="201"/>
      <c r="F746" s="100"/>
      <c r="G746" s="100"/>
      <c r="H746" s="100"/>
      <c r="I746" s="100"/>
      <c r="J746" s="100"/>
      <c r="K746" s="100"/>
      <c r="L746" s="100"/>
      <c r="M746" s="100"/>
      <c r="N746" s="100"/>
      <c r="O746" s="100"/>
      <c r="P746" s="100"/>
      <c r="Q746" s="100"/>
      <c r="R746" s="100"/>
      <c r="S746" s="100"/>
      <c r="T746" s="100"/>
      <c r="U746" s="100"/>
      <c r="V746" s="100"/>
      <c r="W746" s="100"/>
    </row>
    <row r="747" spans="1:23" ht="13.5" customHeight="1">
      <c r="A747" s="609" t="s">
        <v>722</v>
      </c>
      <c r="B747" s="611"/>
      <c r="C747" s="1080"/>
      <c r="D747" s="200"/>
      <c r="E747" s="201"/>
      <c r="F747" s="100"/>
      <c r="G747" s="100"/>
      <c r="H747" s="100"/>
      <c r="I747" s="100"/>
      <c r="J747" s="100"/>
      <c r="K747" s="100"/>
      <c r="L747" s="100"/>
      <c r="M747" s="100"/>
      <c r="N747" s="100"/>
      <c r="O747" s="100"/>
      <c r="P747" s="100"/>
      <c r="Q747" s="100"/>
      <c r="R747" s="100"/>
      <c r="S747" s="100"/>
      <c r="T747" s="100"/>
      <c r="U747" s="100"/>
      <c r="V747" s="100"/>
      <c r="W747" s="100"/>
    </row>
    <row r="748" spans="1:23" ht="13.5" customHeight="1">
      <c r="A748" s="609" t="s">
        <v>723</v>
      </c>
      <c r="B748" s="611"/>
      <c r="C748" s="1080"/>
      <c r="D748" s="200"/>
      <c r="E748" s="201"/>
      <c r="F748" s="100"/>
      <c r="G748" s="100"/>
      <c r="H748" s="100"/>
      <c r="I748" s="100"/>
      <c r="J748" s="100"/>
      <c r="K748" s="100"/>
      <c r="L748" s="100"/>
      <c r="M748" s="100"/>
      <c r="N748" s="100"/>
      <c r="O748" s="100"/>
      <c r="P748" s="100"/>
      <c r="Q748" s="100"/>
      <c r="R748" s="100"/>
      <c r="S748" s="100"/>
      <c r="T748" s="100"/>
      <c r="U748" s="100"/>
      <c r="V748" s="100"/>
      <c r="W748" s="100"/>
    </row>
    <row r="749" spans="1:23" ht="13.5" customHeight="1" thickBot="1">
      <c r="A749" s="609" t="s">
        <v>0</v>
      </c>
      <c r="B749" s="612"/>
      <c r="C749" s="1080"/>
      <c r="D749" s="200"/>
      <c r="E749" s="201"/>
      <c r="F749" s="100"/>
      <c r="G749" s="100"/>
      <c r="H749" s="100"/>
      <c r="I749" s="100"/>
      <c r="J749" s="100"/>
      <c r="K749" s="100"/>
      <c r="L749" s="100"/>
      <c r="M749" s="100"/>
      <c r="N749" s="100"/>
      <c r="O749" s="100"/>
      <c r="P749" s="100"/>
      <c r="Q749" s="100"/>
      <c r="R749" s="100"/>
      <c r="S749" s="100"/>
      <c r="T749" s="100"/>
      <c r="U749" s="100"/>
      <c r="V749" s="100"/>
      <c r="W749" s="100"/>
    </row>
    <row r="750" spans="1:23" ht="13.5" customHeight="1" thickBot="1">
      <c r="A750" s="627" t="s">
        <v>1</v>
      </c>
      <c r="B750" s="628"/>
      <c r="C750" s="638">
        <f>+C752+C768+C784+C799</f>
        <v>370066183.59000003</v>
      </c>
      <c r="D750" s="200"/>
      <c r="E750" s="201"/>
      <c r="F750" s="100"/>
      <c r="G750" s="100"/>
      <c r="H750" s="100"/>
      <c r="I750" s="100"/>
      <c r="J750" s="100"/>
      <c r="K750" s="100"/>
      <c r="L750" s="100"/>
      <c r="M750" s="100"/>
      <c r="N750" s="100"/>
      <c r="O750" s="100"/>
      <c r="P750" s="100"/>
      <c r="Q750" s="100"/>
      <c r="R750" s="100"/>
      <c r="S750" s="100"/>
      <c r="T750" s="100"/>
      <c r="U750" s="100"/>
      <c r="V750" s="100"/>
      <c r="W750" s="100"/>
    </row>
    <row r="751" spans="1:23" ht="13.5" customHeight="1" thickBot="1">
      <c r="A751" s="75"/>
      <c r="B751" s="75"/>
      <c r="C751" s="36"/>
      <c r="D751" s="200"/>
      <c r="E751" s="201"/>
      <c r="F751" s="100"/>
      <c r="G751" s="100"/>
      <c r="H751" s="100"/>
      <c r="I751" s="100"/>
      <c r="J751" s="100"/>
      <c r="K751" s="100"/>
      <c r="L751" s="100"/>
      <c r="M751" s="100"/>
      <c r="N751" s="100"/>
      <c r="O751" s="100"/>
      <c r="P751" s="100"/>
      <c r="Q751" s="100"/>
      <c r="R751" s="100"/>
      <c r="S751" s="100"/>
      <c r="T751" s="100"/>
      <c r="U751" s="100"/>
      <c r="V751" s="100"/>
      <c r="W751" s="100"/>
    </row>
    <row r="752" spans="1:23" ht="13.5" customHeight="1" thickBot="1">
      <c r="A752" s="1356" t="s">
        <v>9</v>
      </c>
      <c r="B752" s="1281"/>
      <c r="C752" s="212">
        <f>C753+C755+C757+C759+C761+C763</f>
        <v>6650500</v>
      </c>
      <c r="D752" s="200"/>
      <c r="E752" s="201"/>
      <c r="F752" s="100"/>
      <c r="G752" s="100"/>
      <c r="H752" s="100"/>
      <c r="I752" s="100"/>
      <c r="J752" s="100"/>
      <c r="K752" s="100"/>
      <c r="L752" s="100"/>
      <c r="M752" s="100"/>
      <c r="N752" s="100"/>
      <c r="O752" s="100"/>
      <c r="P752" s="100"/>
      <c r="Q752" s="100"/>
      <c r="R752" s="100"/>
      <c r="S752" s="100"/>
      <c r="T752" s="100"/>
      <c r="U752" s="100"/>
      <c r="V752" s="100"/>
      <c r="W752" s="100"/>
    </row>
    <row r="753" spans="1:23" ht="13.5" customHeight="1">
      <c r="A753" s="76">
        <v>211201</v>
      </c>
      <c r="B753" s="76" t="s">
        <v>459</v>
      </c>
      <c r="C753" s="155">
        <f>SUM(C754)</f>
        <v>1040000</v>
      </c>
      <c r="D753" s="200"/>
      <c r="E753" s="201"/>
      <c r="F753" s="100"/>
      <c r="G753" s="100"/>
      <c r="H753" s="100"/>
      <c r="I753" s="100"/>
      <c r="J753" s="100"/>
      <c r="K753" s="100"/>
      <c r="L753" s="100"/>
      <c r="M753" s="100"/>
      <c r="N753" s="100"/>
      <c r="O753" s="100"/>
      <c r="P753" s="100"/>
      <c r="Q753" s="100"/>
      <c r="R753" s="100"/>
      <c r="S753" s="100"/>
      <c r="T753" s="100"/>
      <c r="U753" s="100"/>
      <c r="V753" s="100"/>
      <c r="W753" s="100"/>
    </row>
    <row r="754" spans="1:23" ht="13.5" customHeight="1">
      <c r="A754" s="154">
        <v>21120101</v>
      </c>
      <c r="B754" s="100" t="s">
        <v>460</v>
      </c>
      <c r="C754" s="72">
        <f>40000+1000000</f>
        <v>1040000</v>
      </c>
      <c r="D754" s="200"/>
      <c r="E754" s="201"/>
      <c r="F754" s="100"/>
      <c r="G754" s="100"/>
      <c r="H754" s="100"/>
      <c r="I754" s="100"/>
      <c r="J754" s="100"/>
      <c r="K754" s="100"/>
      <c r="L754" s="100"/>
      <c r="M754" s="100"/>
      <c r="N754" s="100"/>
      <c r="O754" s="100"/>
      <c r="P754" s="100"/>
      <c r="Q754" s="100"/>
      <c r="R754" s="100"/>
      <c r="S754" s="100"/>
      <c r="T754" s="100"/>
      <c r="U754" s="100"/>
      <c r="V754" s="100"/>
      <c r="W754" s="100"/>
    </row>
    <row r="755" spans="1:23" ht="13.5" customHeight="1">
      <c r="A755" s="76">
        <v>211202</v>
      </c>
      <c r="B755" s="76" t="s">
        <v>529</v>
      </c>
      <c r="C755" s="36">
        <f>SUM(C756)</f>
        <v>2094000</v>
      </c>
      <c r="D755" s="200"/>
      <c r="E755" s="201"/>
      <c r="F755" s="100"/>
      <c r="G755" s="100"/>
      <c r="H755" s="100"/>
      <c r="I755" s="100"/>
      <c r="J755" s="100"/>
      <c r="K755" s="100"/>
      <c r="L755" s="100"/>
      <c r="M755" s="100"/>
      <c r="N755" s="100"/>
      <c r="O755" s="100"/>
      <c r="P755" s="100"/>
      <c r="Q755" s="100"/>
      <c r="R755" s="100"/>
      <c r="S755" s="100"/>
      <c r="T755" s="100"/>
      <c r="U755" s="100"/>
      <c r="V755" s="100"/>
      <c r="W755" s="100"/>
    </row>
    <row r="756" spans="1:23" ht="13.5" customHeight="1">
      <c r="A756" s="154">
        <v>21120202</v>
      </c>
      <c r="B756" s="154" t="s">
        <v>530</v>
      </c>
      <c r="C756" s="72">
        <f>3094000-1000000</f>
        <v>2094000</v>
      </c>
      <c r="D756" s="200"/>
      <c r="E756" s="201"/>
      <c r="F756" s="100"/>
      <c r="G756" s="100"/>
      <c r="H756" s="100"/>
      <c r="I756" s="100"/>
      <c r="J756" s="100"/>
      <c r="K756" s="100"/>
      <c r="L756" s="100"/>
      <c r="M756" s="100"/>
      <c r="N756" s="100"/>
      <c r="O756" s="100"/>
      <c r="P756" s="100"/>
      <c r="Q756" s="100"/>
      <c r="R756" s="100"/>
      <c r="S756" s="100"/>
      <c r="T756" s="100"/>
      <c r="U756" s="100"/>
      <c r="V756" s="100"/>
      <c r="W756" s="100"/>
    </row>
    <row r="757" spans="1:23" ht="13.5" customHeight="1">
      <c r="A757" s="76">
        <v>211203</v>
      </c>
      <c r="B757" s="75" t="s">
        <v>461</v>
      </c>
      <c r="C757" s="155">
        <f>SUM(C758)</f>
        <v>209500</v>
      </c>
      <c r="D757" s="200"/>
      <c r="E757" s="201"/>
      <c r="F757" s="100"/>
      <c r="G757" s="100"/>
      <c r="H757" s="100"/>
      <c r="I757" s="100"/>
      <c r="J757" s="100"/>
      <c r="K757" s="100"/>
      <c r="L757" s="100"/>
      <c r="M757" s="100"/>
      <c r="N757" s="100"/>
      <c r="O757" s="100"/>
      <c r="P757" s="100"/>
      <c r="Q757" s="100"/>
      <c r="R757" s="100"/>
      <c r="S757" s="100"/>
      <c r="T757" s="100"/>
      <c r="U757" s="100"/>
      <c r="V757" s="100"/>
      <c r="W757" s="100"/>
    </row>
    <row r="758" spans="1:23" ht="13.5" customHeight="1">
      <c r="A758" s="154">
        <v>21120302</v>
      </c>
      <c r="B758" s="100" t="s">
        <v>462</v>
      </c>
      <c r="C758" s="72">
        <v>209500</v>
      </c>
      <c r="D758" s="200"/>
      <c r="E758" s="201"/>
      <c r="F758" s="100"/>
      <c r="G758" s="100"/>
      <c r="H758" s="100"/>
      <c r="I758" s="100"/>
      <c r="J758" s="100"/>
      <c r="K758" s="100"/>
      <c r="L758" s="100"/>
      <c r="M758" s="100"/>
      <c r="N758" s="100"/>
      <c r="O758" s="100"/>
      <c r="P758" s="100"/>
      <c r="Q758" s="100"/>
      <c r="R758" s="100"/>
      <c r="S758" s="100"/>
      <c r="T758" s="100"/>
      <c r="U758" s="100"/>
      <c r="V758" s="100"/>
      <c r="W758" s="100"/>
    </row>
    <row r="759" spans="1:23" ht="13.5" customHeight="1">
      <c r="A759" s="76">
        <v>211204</v>
      </c>
      <c r="B759" s="75" t="s">
        <v>463</v>
      </c>
      <c r="C759" s="36">
        <f>SUM(C760)</f>
        <v>240000</v>
      </c>
      <c r="D759" s="200"/>
      <c r="E759" s="201"/>
      <c r="F759" s="100"/>
      <c r="G759" s="100"/>
      <c r="H759" s="100"/>
      <c r="I759" s="100"/>
      <c r="J759" s="100"/>
      <c r="K759" s="100"/>
      <c r="L759" s="100"/>
      <c r="M759" s="100"/>
      <c r="N759" s="100"/>
      <c r="O759" s="100"/>
      <c r="P759" s="100"/>
      <c r="Q759" s="100"/>
      <c r="R759" s="100"/>
      <c r="S759" s="100"/>
      <c r="T759" s="100"/>
      <c r="U759" s="100"/>
      <c r="V759" s="100"/>
      <c r="W759" s="100"/>
    </row>
    <row r="760" spans="1:23" ht="13.5" customHeight="1">
      <c r="A760" s="154">
        <v>21120401</v>
      </c>
      <c r="B760" s="72" t="s">
        <v>464</v>
      </c>
      <c r="C760" s="72">
        <f>40000+200000</f>
        <v>240000</v>
      </c>
      <c r="D760" s="200"/>
      <c r="E760" s="201"/>
      <c r="F760" s="100"/>
      <c r="G760" s="100"/>
      <c r="H760" s="100"/>
      <c r="I760" s="100"/>
      <c r="J760" s="100"/>
      <c r="K760" s="100"/>
      <c r="L760" s="100"/>
      <c r="M760" s="100"/>
      <c r="N760" s="100"/>
      <c r="O760" s="100"/>
      <c r="P760" s="100"/>
      <c r="Q760" s="100"/>
      <c r="R760" s="100"/>
      <c r="S760" s="100"/>
      <c r="T760" s="100"/>
      <c r="U760" s="100"/>
      <c r="V760" s="100"/>
      <c r="W760" s="100"/>
    </row>
    <row r="761" spans="1:23" ht="13.5" customHeight="1">
      <c r="A761" s="76">
        <v>211208</v>
      </c>
      <c r="B761" s="36" t="s">
        <v>474</v>
      </c>
      <c r="C761" s="36">
        <f>SUM(C762)</f>
        <v>2652500</v>
      </c>
      <c r="D761" s="200"/>
      <c r="E761" s="201"/>
      <c r="F761" s="100"/>
      <c r="G761" s="100"/>
      <c r="H761" s="100"/>
      <c r="I761" s="100"/>
      <c r="J761" s="100"/>
      <c r="K761" s="100"/>
      <c r="L761" s="100"/>
      <c r="M761" s="100"/>
      <c r="N761" s="100"/>
      <c r="O761" s="100"/>
      <c r="P761" s="100"/>
      <c r="Q761" s="100"/>
      <c r="R761" s="100"/>
      <c r="S761" s="100"/>
      <c r="T761" s="100"/>
      <c r="U761" s="100"/>
      <c r="V761" s="100"/>
      <c r="W761" s="100"/>
    </row>
    <row r="762" spans="1:23" ht="13.5" customHeight="1">
      <c r="A762" s="154">
        <v>21120805</v>
      </c>
      <c r="B762" s="72" t="s">
        <v>476</v>
      </c>
      <c r="C762" s="72">
        <f>2852500-200000</f>
        <v>2652500</v>
      </c>
      <c r="D762" s="200"/>
      <c r="E762" s="201"/>
      <c r="F762" s="100"/>
      <c r="G762" s="100"/>
      <c r="H762" s="100"/>
      <c r="I762" s="100"/>
      <c r="J762" s="100"/>
      <c r="K762" s="100"/>
      <c r="L762" s="100"/>
      <c r="M762" s="100"/>
      <c r="N762" s="100"/>
      <c r="O762" s="100"/>
      <c r="P762" s="100"/>
      <c r="Q762" s="100"/>
      <c r="R762" s="100"/>
      <c r="S762" s="100"/>
      <c r="T762" s="100"/>
      <c r="U762" s="100"/>
      <c r="V762" s="100"/>
      <c r="W762" s="100"/>
    </row>
    <row r="763" spans="1:23" ht="13.5" customHeight="1">
      <c r="A763" s="76">
        <v>211209</v>
      </c>
      <c r="B763" s="36" t="s">
        <v>477</v>
      </c>
      <c r="C763" s="36">
        <f>+SUM(C764:C766)</f>
        <v>414500</v>
      </c>
      <c r="D763" s="200"/>
      <c r="E763" s="201"/>
      <c r="F763" s="100"/>
      <c r="G763" s="100"/>
      <c r="H763" s="100"/>
      <c r="I763" s="100"/>
      <c r="J763" s="100"/>
      <c r="K763" s="100"/>
      <c r="L763" s="100"/>
      <c r="M763" s="100"/>
      <c r="N763" s="100"/>
      <c r="O763" s="100"/>
      <c r="P763" s="100"/>
      <c r="Q763" s="100"/>
      <c r="R763" s="100"/>
      <c r="S763" s="100"/>
      <c r="T763" s="100"/>
      <c r="U763" s="100"/>
      <c r="V763" s="100"/>
      <c r="W763" s="100"/>
    </row>
    <row r="764" spans="1:23" ht="13.5" customHeight="1">
      <c r="A764" s="154">
        <v>21120905</v>
      </c>
      <c r="B764" s="72" t="s">
        <v>525</v>
      </c>
      <c r="C764" s="72">
        <v>120000</v>
      </c>
      <c r="D764" s="200"/>
      <c r="E764" s="201"/>
      <c r="F764" s="100"/>
      <c r="G764" s="100"/>
      <c r="H764" s="100"/>
      <c r="I764" s="100"/>
      <c r="J764" s="100"/>
      <c r="K764" s="100"/>
      <c r="L764" s="100"/>
      <c r="M764" s="100"/>
      <c r="N764" s="100"/>
      <c r="O764" s="100"/>
      <c r="P764" s="100"/>
      <c r="Q764" s="100"/>
      <c r="R764" s="100"/>
      <c r="S764" s="100"/>
      <c r="T764" s="100"/>
      <c r="U764" s="100"/>
      <c r="V764" s="100"/>
      <c r="W764" s="100"/>
    </row>
    <row r="765" spans="1:23" ht="13.5" customHeight="1">
      <c r="A765" s="154">
        <v>21120906</v>
      </c>
      <c r="B765" s="72" t="s">
        <v>479</v>
      </c>
      <c r="C765" s="72">
        <v>90000</v>
      </c>
      <c r="D765" s="200"/>
      <c r="E765" s="201"/>
      <c r="F765" s="100"/>
      <c r="G765" s="100"/>
      <c r="H765" s="100"/>
      <c r="I765" s="100"/>
      <c r="J765" s="100"/>
      <c r="K765" s="100"/>
      <c r="L765" s="100"/>
      <c r="M765" s="100"/>
      <c r="N765" s="100"/>
      <c r="O765" s="100"/>
      <c r="P765" s="100"/>
      <c r="Q765" s="100"/>
      <c r="R765" s="100"/>
      <c r="S765" s="100"/>
      <c r="T765" s="100"/>
      <c r="U765" s="100"/>
      <c r="V765" s="100"/>
      <c r="W765" s="100"/>
    </row>
    <row r="766" spans="1:23" ht="13.5" customHeight="1">
      <c r="A766" s="154">
        <v>21120907</v>
      </c>
      <c r="B766" s="77" t="s">
        <v>480</v>
      </c>
      <c r="C766" s="72">
        <v>204500</v>
      </c>
      <c r="D766" s="200"/>
      <c r="E766" s="201"/>
      <c r="F766" s="100"/>
      <c r="G766" s="100"/>
      <c r="H766" s="100"/>
      <c r="I766" s="100"/>
      <c r="J766" s="100"/>
      <c r="K766" s="100"/>
      <c r="L766" s="100"/>
      <c r="M766" s="100"/>
      <c r="N766" s="100"/>
      <c r="O766" s="100"/>
      <c r="P766" s="100"/>
      <c r="Q766" s="100"/>
      <c r="R766" s="100"/>
      <c r="S766" s="100"/>
      <c r="T766" s="100"/>
      <c r="U766" s="100"/>
      <c r="V766" s="100"/>
      <c r="W766" s="100"/>
    </row>
    <row r="767" spans="1:23" ht="13.5" customHeight="1" thickBot="1">
      <c r="A767" s="154"/>
      <c r="B767" s="72"/>
      <c r="C767" s="72"/>
      <c r="D767" s="200"/>
      <c r="E767" s="201"/>
      <c r="F767" s="100"/>
      <c r="G767" s="100"/>
      <c r="H767" s="100"/>
      <c r="I767" s="100"/>
      <c r="J767" s="100"/>
      <c r="K767" s="100"/>
      <c r="L767" s="100"/>
      <c r="M767" s="100"/>
      <c r="N767" s="100"/>
      <c r="O767" s="100"/>
      <c r="P767" s="100"/>
      <c r="Q767" s="100"/>
      <c r="R767" s="100"/>
      <c r="S767" s="100"/>
      <c r="T767" s="100"/>
      <c r="U767" s="100"/>
      <c r="V767" s="100"/>
      <c r="W767" s="100"/>
    </row>
    <row r="768" spans="1:23" ht="13.5" customHeight="1" thickBot="1">
      <c r="A768" s="1354" t="s">
        <v>4</v>
      </c>
      <c r="B768" s="1281"/>
      <c r="C768" s="220">
        <f>C769+C771+C773+C776+C778</f>
        <v>20976500</v>
      </c>
      <c r="D768" s="200"/>
      <c r="E768" s="201"/>
      <c r="F768" s="100"/>
      <c r="G768" s="100"/>
      <c r="H768" s="100"/>
      <c r="I768" s="100"/>
      <c r="J768" s="100"/>
      <c r="K768" s="100"/>
      <c r="L768" s="100"/>
      <c r="M768" s="100"/>
      <c r="N768" s="100"/>
      <c r="O768" s="100"/>
      <c r="P768" s="100"/>
      <c r="Q768" s="100"/>
      <c r="R768" s="100"/>
      <c r="S768" s="100"/>
      <c r="T768" s="100"/>
      <c r="U768" s="100"/>
      <c r="V768" s="100"/>
      <c r="W768" s="100"/>
    </row>
    <row r="769" spans="1:23" ht="13.5" customHeight="1">
      <c r="A769" s="76">
        <v>211302</v>
      </c>
      <c r="B769" s="75" t="s">
        <v>481</v>
      </c>
      <c r="C769" s="155">
        <f>SUM(C770)</f>
        <v>11028000</v>
      </c>
      <c r="D769" s="200"/>
      <c r="E769" s="201"/>
      <c r="F769" s="100"/>
      <c r="G769" s="100"/>
      <c r="H769" s="100"/>
      <c r="I769" s="100"/>
      <c r="J769" s="100"/>
      <c r="K769" s="100"/>
      <c r="L769" s="100"/>
      <c r="M769" s="100"/>
      <c r="N769" s="100"/>
      <c r="O769" s="100"/>
      <c r="P769" s="100"/>
      <c r="Q769" s="100"/>
      <c r="R769" s="100"/>
      <c r="S769" s="100"/>
      <c r="T769" s="100"/>
      <c r="U769" s="100"/>
      <c r="V769" s="100"/>
      <c r="W769" s="100"/>
    </row>
    <row r="770" spans="1:23" ht="13.5" customHeight="1">
      <c r="A770" s="154">
        <v>21130204</v>
      </c>
      <c r="B770" s="100" t="s">
        <v>483</v>
      </c>
      <c r="C770" s="72">
        <v>11028000</v>
      </c>
      <c r="D770" s="200"/>
      <c r="E770" s="201"/>
      <c r="F770" s="100"/>
      <c r="G770" s="100"/>
      <c r="H770" s="100"/>
      <c r="I770" s="100"/>
      <c r="J770" s="100"/>
      <c r="K770" s="100"/>
      <c r="L770" s="100"/>
      <c r="M770" s="100"/>
      <c r="N770" s="100"/>
      <c r="O770" s="100"/>
      <c r="P770" s="100"/>
      <c r="Q770" s="100"/>
      <c r="R770" s="100"/>
      <c r="S770" s="100"/>
      <c r="T770" s="100"/>
      <c r="U770" s="100"/>
      <c r="V770" s="100"/>
      <c r="W770" s="100"/>
    </row>
    <row r="771" spans="1:23" ht="13.5" customHeight="1">
      <c r="A771" s="76">
        <v>211305</v>
      </c>
      <c r="B771" s="75" t="s">
        <v>489</v>
      </c>
      <c r="C771" s="36">
        <f>SUM(C772)</f>
        <v>1040000</v>
      </c>
      <c r="D771" s="200"/>
      <c r="E771" s="201"/>
      <c r="F771" s="100"/>
      <c r="G771" s="100"/>
      <c r="H771" s="100"/>
      <c r="I771" s="100"/>
      <c r="J771" s="100"/>
      <c r="K771" s="100"/>
      <c r="L771" s="100"/>
      <c r="M771" s="100"/>
      <c r="N771" s="100"/>
      <c r="O771" s="100"/>
      <c r="P771" s="100"/>
      <c r="Q771" s="100"/>
      <c r="R771" s="100"/>
      <c r="S771" s="100"/>
      <c r="T771" s="100"/>
      <c r="U771" s="100"/>
      <c r="V771" s="100"/>
      <c r="W771" s="100"/>
    </row>
    <row r="772" spans="1:23" ht="13.5" customHeight="1">
      <c r="A772" s="154">
        <v>21130502</v>
      </c>
      <c r="B772" s="72" t="s">
        <v>491</v>
      </c>
      <c r="C772" s="72">
        <f>40000+1000000</f>
        <v>1040000</v>
      </c>
      <c r="D772" s="200"/>
      <c r="E772" s="201"/>
      <c r="F772" s="100"/>
      <c r="G772" s="100"/>
      <c r="H772" s="100"/>
      <c r="I772" s="100"/>
      <c r="J772" s="100"/>
      <c r="K772" s="100"/>
      <c r="L772" s="100"/>
      <c r="M772" s="100"/>
      <c r="N772" s="100"/>
      <c r="O772" s="100"/>
      <c r="P772" s="100"/>
      <c r="Q772" s="100"/>
      <c r="R772" s="100"/>
      <c r="S772" s="100"/>
      <c r="T772" s="100"/>
      <c r="U772" s="100"/>
      <c r="V772" s="100"/>
      <c r="W772" s="100"/>
    </row>
    <row r="773" spans="1:23" ht="13.5" customHeight="1">
      <c r="A773" s="76">
        <v>211306</v>
      </c>
      <c r="B773" s="36" t="s">
        <v>492</v>
      </c>
      <c r="C773" s="36">
        <f>SUM(C774:C775)</f>
        <v>280000</v>
      </c>
      <c r="D773" s="200"/>
      <c r="E773" s="201"/>
      <c r="F773" s="100"/>
      <c r="G773" s="100"/>
      <c r="H773" s="100"/>
      <c r="I773" s="100"/>
      <c r="J773" s="100"/>
      <c r="K773" s="100"/>
      <c r="L773" s="100"/>
      <c r="M773" s="100"/>
      <c r="N773" s="100"/>
      <c r="O773" s="100"/>
      <c r="P773" s="100"/>
      <c r="Q773" s="100"/>
      <c r="R773" s="100"/>
      <c r="S773" s="100"/>
      <c r="T773" s="100"/>
      <c r="U773" s="100"/>
      <c r="V773" s="100"/>
      <c r="W773" s="100"/>
    </row>
    <row r="774" spans="1:23" ht="13.5" customHeight="1">
      <c r="A774" s="154">
        <v>21130604</v>
      </c>
      <c r="B774" s="100" t="s">
        <v>539</v>
      </c>
      <c r="C774" s="72">
        <f>15000+200000</f>
        <v>215000</v>
      </c>
      <c r="D774" s="200"/>
      <c r="E774" s="201"/>
      <c r="F774" s="100"/>
      <c r="G774" s="100"/>
      <c r="H774" s="100"/>
      <c r="I774" s="100"/>
      <c r="J774" s="100"/>
      <c r="K774" s="100"/>
      <c r="L774" s="100"/>
      <c r="M774" s="100"/>
      <c r="N774" s="100"/>
      <c r="O774" s="100"/>
      <c r="P774" s="100"/>
      <c r="Q774" s="100"/>
      <c r="R774" s="100"/>
      <c r="S774" s="100"/>
      <c r="T774" s="100"/>
      <c r="U774" s="100"/>
      <c r="V774" s="100"/>
      <c r="W774" s="100"/>
    </row>
    <row r="775" spans="1:23" ht="13.5" customHeight="1">
      <c r="A775" s="154">
        <v>21130607</v>
      </c>
      <c r="B775" s="72" t="s">
        <v>493</v>
      </c>
      <c r="C775" s="72">
        <f>15000+50000</f>
        <v>65000</v>
      </c>
      <c r="D775" s="200"/>
      <c r="E775" s="201"/>
      <c r="F775" s="100"/>
      <c r="G775" s="100"/>
      <c r="H775" s="100"/>
      <c r="I775" s="100"/>
      <c r="J775" s="100"/>
      <c r="K775" s="100"/>
      <c r="L775" s="100"/>
      <c r="M775" s="100"/>
      <c r="N775" s="100"/>
      <c r="O775" s="100"/>
      <c r="P775" s="100"/>
      <c r="Q775" s="100"/>
      <c r="R775" s="100"/>
      <c r="S775" s="100"/>
      <c r="T775" s="100"/>
      <c r="U775" s="100"/>
      <c r="V775" s="100"/>
      <c r="W775" s="100"/>
    </row>
    <row r="776" spans="1:23" ht="13.5" customHeight="1">
      <c r="A776" s="76">
        <v>211307</v>
      </c>
      <c r="B776" s="36" t="s">
        <v>494</v>
      </c>
      <c r="C776" s="36">
        <f>SUM(C777)</f>
        <v>159000</v>
      </c>
      <c r="D776" s="200"/>
      <c r="E776" s="201"/>
      <c r="F776" s="100"/>
      <c r="G776" s="100"/>
      <c r="H776" s="100"/>
      <c r="I776" s="100"/>
      <c r="J776" s="100"/>
      <c r="K776" s="100"/>
      <c r="L776" s="100"/>
      <c r="M776" s="100"/>
      <c r="N776" s="100"/>
      <c r="O776" s="100"/>
      <c r="P776" s="100"/>
      <c r="Q776" s="100"/>
      <c r="R776" s="100"/>
      <c r="S776" s="100"/>
      <c r="T776" s="100"/>
      <c r="U776" s="100"/>
      <c r="V776" s="100"/>
      <c r="W776" s="100"/>
    </row>
    <row r="777" spans="1:23" ht="13.5" customHeight="1">
      <c r="A777" s="154">
        <v>21130701</v>
      </c>
      <c r="B777" s="100" t="s">
        <v>495</v>
      </c>
      <c r="C777" s="72">
        <v>159000</v>
      </c>
      <c r="D777" s="200"/>
      <c r="E777" s="201"/>
      <c r="F777" s="100"/>
      <c r="G777" s="100"/>
      <c r="H777" s="100"/>
      <c r="I777" s="100"/>
      <c r="J777" s="100"/>
      <c r="K777" s="100"/>
      <c r="L777" s="100"/>
      <c r="M777" s="100"/>
      <c r="N777" s="100"/>
      <c r="O777" s="100"/>
      <c r="P777" s="100"/>
      <c r="Q777" s="100"/>
      <c r="R777" s="100"/>
      <c r="S777" s="100"/>
      <c r="T777" s="100"/>
      <c r="U777" s="100"/>
      <c r="V777" s="100"/>
      <c r="W777" s="100"/>
    </row>
    <row r="778" spans="1:23" ht="13.5" customHeight="1">
      <c r="A778" s="76">
        <v>211309</v>
      </c>
      <c r="B778" s="36" t="s">
        <v>496</v>
      </c>
      <c r="C778" s="36">
        <f>+SUM(C779:C782)</f>
        <v>8469500</v>
      </c>
      <c r="D778" s="200"/>
      <c r="E778" s="201"/>
      <c r="F778" s="100"/>
      <c r="G778" s="100"/>
      <c r="H778" s="100"/>
      <c r="I778" s="100"/>
      <c r="J778" s="100"/>
      <c r="K778" s="100"/>
      <c r="L778" s="100"/>
      <c r="M778" s="100"/>
      <c r="N778" s="100"/>
      <c r="O778" s="100"/>
      <c r="P778" s="100"/>
      <c r="Q778" s="100"/>
      <c r="R778" s="100"/>
      <c r="S778" s="100"/>
      <c r="T778" s="100"/>
      <c r="U778" s="100"/>
      <c r="V778" s="100"/>
      <c r="W778" s="100"/>
    </row>
    <row r="779" spans="1:23" ht="13.5" customHeight="1">
      <c r="A779" s="154">
        <v>21130901</v>
      </c>
      <c r="B779" s="72" t="s">
        <v>497</v>
      </c>
      <c r="C779" s="72">
        <f>116500+1000+1000000</f>
        <v>1117500</v>
      </c>
      <c r="D779" s="200"/>
      <c r="E779" s="201"/>
      <c r="F779" s="100"/>
      <c r="G779" s="100"/>
      <c r="H779" s="100"/>
      <c r="I779" s="100"/>
      <c r="J779" s="100"/>
      <c r="K779" s="100"/>
      <c r="L779" s="100"/>
      <c r="M779" s="100"/>
      <c r="N779" s="100"/>
      <c r="O779" s="100"/>
      <c r="P779" s="100"/>
      <c r="Q779" s="100"/>
      <c r="R779" s="100"/>
      <c r="S779" s="100"/>
      <c r="T779" s="100"/>
      <c r="U779" s="100"/>
      <c r="V779" s="100"/>
      <c r="W779" s="100"/>
    </row>
    <row r="780" spans="1:23" ht="13.5" customHeight="1">
      <c r="A780" s="154">
        <v>21130903</v>
      </c>
      <c r="B780" s="72" t="s">
        <v>498</v>
      </c>
      <c r="C780" s="72">
        <v>20000</v>
      </c>
      <c r="D780" s="200"/>
      <c r="E780" s="201"/>
      <c r="F780" s="100"/>
      <c r="G780" s="100"/>
      <c r="H780" s="100"/>
      <c r="I780" s="100"/>
      <c r="J780" s="100"/>
      <c r="K780" s="100"/>
      <c r="L780" s="100"/>
      <c r="M780" s="100"/>
      <c r="N780" s="100"/>
      <c r="O780" s="100"/>
      <c r="P780" s="100"/>
      <c r="Q780" s="100"/>
      <c r="R780" s="100"/>
      <c r="S780" s="100"/>
      <c r="T780" s="100"/>
      <c r="U780" s="100"/>
      <c r="V780" s="100"/>
      <c r="W780" s="100"/>
    </row>
    <row r="781" spans="1:23" ht="13.5" customHeight="1">
      <c r="A781" s="154">
        <v>21130906</v>
      </c>
      <c r="B781" s="100" t="s">
        <v>499</v>
      </c>
      <c r="C781" s="72">
        <v>250000</v>
      </c>
      <c r="D781" s="200"/>
      <c r="E781" s="201"/>
      <c r="F781" s="100"/>
      <c r="G781" s="100"/>
      <c r="H781" s="100"/>
      <c r="I781" s="100"/>
      <c r="J781" s="100"/>
      <c r="K781" s="100"/>
      <c r="L781" s="100"/>
      <c r="M781" s="100"/>
      <c r="N781" s="100"/>
      <c r="O781" s="100"/>
      <c r="P781" s="100"/>
      <c r="Q781" s="100"/>
      <c r="R781" s="100"/>
      <c r="S781" s="100"/>
      <c r="T781" s="100"/>
      <c r="U781" s="100"/>
      <c r="V781" s="100"/>
      <c r="W781" s="100"/>
    </row>
    <row r="782" spans="1:23" ht="13.5" customHeight="1">
      <c r="A782" s="154">
        <v>21130908</v>
      </c>
      <c r="B782" s="72" t="s">
        <v>500</v>
      </c>
      <c r="C782" s="114">
        <f>9332000-2250000</f>
        <v>7082000</v>
      </c>
      <c r="D782" s="200"/>
      <c r="E782" s="201"/>
      <c r="F782" s="100"/>
      <c r="G782" s="100"/>
      <c r="H782" s="100"/>
      <c r="I782" s="100"/>
      <c r="J782" s="100"/>
      <c r="K782" s="100"/>
      <c r="L782" s="100"/>
      <c r="M782" s="100"/>
      <c r="N782" s="100"/>
      <c r="O782" s="100"/>
      <c r="P782" s="100"/>
      <c r="Q782" s="100"/>
      <c r="R782" s="100"/>
      <c r="S782" s="100"/>
      <c r="T782" s="100"/>
      <c r="U782" s="100"/>
      <c r="V782" s="100"/>
      <c r="W782" s="100"/>
    </row>
    <row r="783" spans="1:23" ht="13.5" customHeight="1" thickBot="1">
      <c r="A783" s="100"/>
      <c r="B783" s="100"/>
      <c r="C783" s="117"/>
      <c r="D783" s="200"/>
      <c r="E783" s="201"/>
      <c r="F783" s="100"/>
      <c r="G783" s="100"/>
      <c r="H783" s="100"/>
      <c r="I783" s="100"/>
      <c r="J783" s="100"/>
      <c r="K783" s="100"/>
      <c r="L783" s="100"/>
      <c r="M783" s="100"/>
      <c r="N783" s="100"/>
      <c r="O783" s="100"/>
      <c r="P783" s="100"/>
      <c r="Q783" s="100"/>
      <c r="R783" s="100"/>
      <c r="S783" s="100"/>
      <c r="T783" s="100"/>
      <c r="U783" s="100"/>
      <c r="V783" s="100"/>
      <c r="W783" s="100"/>
    </row>
    <row r="784" spans="1:23" ht="13.5" customHeight="1" thickBot="1">
      <c r="A784" s="1357" t="s">
        <v>45</v>
      </c>
      <c r="B784" s="1281"/>
      <c r="C784" s="228">
        <f>C785+C787</f>
        <v>64187000</v>
      </c>
      <c r="D784" s="200"/>
      <c r="E784" s="201"/>
      <c r="F784" s="100"/>
      <c r="G784" s="100"/>
      <c r="H784" s="100"/>
      <c r="I784" s="100"/>
      <c r="J784" s="100"/>
      <c r="K784" s="100"/>
      <c r="L784" s="100"/>
      <c r="M784" s="100"/>
      <c r="N784" s="100"/>
      <c r="O784" s="100"/>
      <c r="P784" s="100"/>
      <c r="Q784" s="100"/>
      <c r="R784" s="100"/>
      <c r="S784" s="100"/>
      <c r="T784" s="100"/>
      <c r="U784" s="100"/>
      <c r="V784" s="100"/>
      <c r="W784" s="100"/>
    </row>
    <row r="785" spans="1:24" ht="12.75" customHeight="1">
      <c r="A785" s="48">
        <v>211401</v>
      </c>
      <c r="B785" s="48" t="s">
        <v>501</v>
      </c>
      <c r="C785" s="26">
        <f>SUM(C786)</f>
        <v>45000000</v>
      </c>
      <c r="D785" s="10"/>
      <c r="E785" s="13"/>
      <c r="F785" s="13"/>
      <c r="G785" s="13"/>
      <c r="H785" s="13"/>
      <c r="I785" s="13"/>
      <c r="J785" s="13"/>
      <c r="K785" s="13"/>
      <c r="L785" s="13"/>
      <c r="M785" s="13"/>
      <c r="N785" s="13"/>
      <c r="O785" s="13"/>
      <c r="P785" s="13"/>
      <c r="Q785" s="13"/>
      <c r="R785" s="13"/>
      <c r="S785" s="13"/>
      <c r="T785" s="13"/>
      <c r="U785" s="13"/>
      <c r="V785" s="13"/>
      <c r="W785" s="13"/>
      <c r="X785" s="13"/>
    </row>
    <row r="786" spans="1:24" ht="12.75" customHeight="1">
      <c r="A786" s="33">
        <v>21140101</v>
      </c>
      <c r="B786" s="23" t="s">
        <v>658</v>
      </c>
      <c r="C786" s="24">
        <v>45000000</v>
      </c>
      <c r="D786" s="270"/>
      <c r="E786" s="4"/>
      <c r="F786" s="4"/>
      <c r="G786" s="4"/>
      <c r="H786" s="4"/>
      <c r="I786" s="4"/>
      <c r="J786" s="4"/>
      <c r="K786" s="4"/>
      <c r="L786" s="4"/>
      <c r="M786" s="4"/>
      <c r="N786" s="4"/>
      <c r="O786" s="4"/>
      <c r="P786" s="4"/>
      <c r="Q786" s="4"/>
      <c r="R786" s="4"/>
      <c r="S786" s="4"/>
      <c r="T786" s="4"/>
      <c r="U786" s="4"/>
      <c r="V786" s="4"/>
      <c r="W786" s="4"/>
      <c r="X786" s="4"/>
    </row>
    <row r="787" spans="1:24" ht="12.75" customHeight="1">
      <c r="A787" s="48">
        <v>211402</v>
      </c>
      <c r="B787" s="48" t="s">
        <v>503</v>
      </c>
      <c r="C787" s="49">
        <f>SUM(C788:C790)</f>
        <v>19187000</v>
      </c>
      <c r="D787" s="272"/>
      <c r="E787" s="34"/>
      <c r="F787" s="34"/>
      <c r="G787" s="34"/>
      <c r="H787" s="34"/>
      <c r="I787" s="34"/>
      <c r="J787" s="34"/>
      <c r="K787" s="34"/>
      <c r="L787" s="34"/>
      <c r="M787" s="34"/>
      <c r="N787" s="34"/>
      <c r="O787" s="34"/>
      <c r="P787" s="34"/>
      <c r="Q787" s="34"/>
      <c r="R787" s="34"/>
      <c r="S787" s="34"/>
      <c r="T787" s="34"/>
      <c r="U787" s="34"/>
      <c r="V787" s="34"/>
      <c r="W787" s="34"/>
      <c r="X787" s="34"/>
    </row>
    <row r="788" spans="1:24" ht="13.5" customHeight="1">
      <c r="A788" s="154">
        <v>21140206</v>
      </c>
      <c r="B788" s="100" t="s">
        <v>650</v>
      </c>
      <c r="C788" s="72">
        <f>10000000+200000+71000</f>
        <v>10271000</v>
      </c>
      <c r="D788" s="200"/>
      <c r="E788" s="201"/>
      <c r="F788" s="100"/>
      <c r="G788" s="100"/>
      <c r="H788" s="100"/>
      <c r="I788" s="100"/>
      <c r="J788" s="100"/>
      <c r="K788" s="100"/>
      <c r="L788" s="100"/>
      <c r="M788" s="100"/>
      <c r="N788" s="100"/>
      <c r="O788" s="100"/>
      <c r="P788" s="100"/>
      <c r="Q788" s="100"/>
      <c r="R788" s="100"/>
      <c r="S788" s="100"/>
      <c r="T788" s="100"/>
      <c r="U788" s="100"/>
      <c r="V788" s="100"/>
      <c r="W788" s="100"/>
    </row>
    <row r="789" spans="1:24" ht="13.5" customHeight="1">
      <c r="A789" s="154">
        <v>21140212</v>
      </c>
      <c r="B789" s="77" t="s">
        <v>552</v>
      </c>
      <c r="C789" s="72">
        <f>5000000+50000</f>
        <v>5050000</v>
      </c>
      <c r="D789" s="200"/>
      <c r="E789" s="201"/>
      <c r="F789" s="100"/>
      <c r="G789" s="100"/>
      <c r="H789" s="100"/>
      <c r="I789" s="100"/>
      <c r="J789" s="100"/>
      <c r="K789" s="100"/>
      <c r="L789" s="100"/>
      <c r="M789" s="100"/>
      <c r="N789" s="100"/>
      <c r="O789" s="100"/>
      <c r="P789" s="100"/>
      <c r="Q789" s="100"/>
      <c r="R789" s="100"/>
      <c r="S789" s="100"/>
      <c r="T789" s="100"/>
      <c r="U789" s="100"/>
      <c r="V789" s="100"/>
      <c r="W789" s="100"/>
    </row>
    <row r="790" spans="1:24" ht="12.75" customHeight="1">
      <c r="A790" s="33">
        <v>21140213</v>
      </c>
      <c r="B790" s="23" t="s">
        <v>504</v>
      </c>
      <c r="C790" s="24">
        <f>3070000+796000</f>
        <v>3866000</v>
      </c>
      <c r="D790" s="270"/>
      <c r="E790" s="4"/>
      <c r="F790" s="4"/>
      <c r="G790" s="4"/>
      <c r="H790" s="4"/>
      <c r="I790" s="4"/>
      <c r="J790" s="4"/>
      <c r="K790" s="4"/>
      <c r="L790" s="4"/>
      <c r="M790" s="4"/>
      <c r="N790" s="4"/>
      <c r="O790" s="4"/>
      <c r="P790" s="4"/>
      <c r="Q790" s="4"/>
      <c r="R790" s="4"/>
      <c r="S790" s="4"/>
      <c r="T790" s="4"/>
      <c r="U790" s="4"/>
      <c r="V790" s="4"/>
      <c r="W790" s="4"/>
      <c r="X790" s="4"/>
    </row>
    <row r="791" spans="1:24" ht="13.5" customHeight="1">
      <c r="A791" s="154"/>
      <c r="B791" s="72"/>
      <c r="C791" s="72"/>
      <c r="D791" s="200"/>
      <c r="E791" s="201"/>
      <c r="F791" s="100"/>
      <c r="G791" s="100"/>
      <c r="H791" s="100"/>
      <c r="I791" s="100"/>
      <c r="J791" s="100"/>
      <c r="K791" s="100"/>
      <c r="L791" s="100"/>
      <c r="M791" s="100"/>
      <c r="N791" s="100"/>
      <c r="O791" s="100"/>
      <c r="P791" s="100"/>
      <c r="Q791" s="100"/>
      <c r="R791" s="100"/>
      <c r="S791" s="100"/>
      <c r="T791" s="100"/>
      <c r="U791" s="100"/>
      <c r="V791" s="100"/>
      <c r="W791" s="100"/>
    </row>
    <row r="792" spans="1:24" ht="13.5" customHeight="1" thickBot="1">
      <c r="A792" s="100"/>
      <c r="B792" s="72"/>
      <c r="C792" s="72"/>
      <c r="D792" s="216"/>
      <c r="E792" s="204"/>
      <c r="F792" s="135"/>
      <c r="G792" s="135"/>
      <c r="H792" s="135"/>
      <c r="I792" s="135"/>
      <c r="J792" s="135"/>
      <c r="K792" s="135"/>
      <c r="L792" s="135"/>
      <c r="M792" s="135"/>
      <c r="N792" s="135"/>
      <c r="O792" s="135"/>
      <c r="P792" s="135"/>
      <c r="Q792" s="135"/>
      <c r="R792" s="135"/>
      <c r="S792" s="135"/>
      <c r="T792" s="135"/>
      <c r="U792" s="135"/>
      <c r="V792" s="135"/>
      <c r="W792" s="135"/>
    </row>
    <row r="793" spans="1:24" ht="13.5" customHeight="1">
      <c r="A793" s="1308" t="s">
        <v>786</v>
      </c>
      <c r="B793" s="1309"/>
      <c r="C793" s="1478" t="s">
        <v>921</v>
      </c>
      <c r="D793" s="200"/>
      <c r="E793" s="201"/>
      <c r="F793" s="100"/>
      <c r="G793" s="100"/>
      <c r="H793" s="100"/>
      <c r="I793" s="100"/>
      <c r="J793" s="100"/>
      <c r="K793" s="100"/>
      <c r="L793" s="100"/>
      <c r="M793" s="100"/>
      <c r="N793" s="100"/>
      <c r="O793" s="100"/>
      <c r="P793" s="100"/>
      <c r="Q793" s="100"/>
      <c r="R793" s="100"/>
      <c r="S793" s="100"/>
      <c r="T793" s="100"/>
      <c r="U793" s="100"/>
      <c r="V793" s="100"/>
      <c r="W793" s="100"/>
    </row>
    <row r="794" spans="1:24" ht="13.5" customHeight="1" thickBot="1">
      <c r="A794" s="1310"/>
      <c r="B794" s="1311"/>
      <c r="C794" s="1479"/>
      <c r="D794" s="200"/>
      <c r="E794" s="201"/>
      <c r="F794" s="100"/>
      <c r="G794" s="100"/>
      <c r="H794" s="100"/>
      <c r="I794" s="100"/>
      <c r="J794" s="100"/>
      <c r="K794" s="100"/>
      <c r="L794" s="100"/>
      <c r="M794" s="100"/>
      <c r="N794" s="100"/>
      <c r="O794" s="100"/>
      <c r="P794" s="100"/>
      <c r="Q794" s="100"/>
      <c r="R794" s="100"/>
      <c r="S794" s="100"/>
      <c r="T794" s="100"/>
      <c r="U794" s="100"/>
      <c r="V794" s="100"/>
      <c r="W794" s="100"/>
    </row>
    <row r="795" spans="1:24" ht="13.5" customHeight="1">
      <c r="A795" s="608" t="s">
        <v>671</v>
      </c>
      <c r="B795" s="629"/>
      <c r="C795" s="1480"/>
      <c r="D795" s="200"/>
      <c r="E795" s="201"/>
      <c r="F795" s="100"/>
      <c r="G795" s="100"/>
      <c r="H795" s="100"/>
      <c r="I795" s="100"/>
      <c r="J795" s="100"/>
      <c r="K795" s="100"/>
      <c r="L795" s="100"/>
      <c r="M795" s="100"/>
      <c r="N795" s="100"/>
      <c r="O795" s="100"/>
      <c r="P795" s="100"/>
      <c r="Q795" s="100"/>
      <c r="R795" s="100"/>
      <c r="S795" s="100"/>
      <c r="T795" s="100"/>
      <c r="U795" s="100"/>
      <c r="V795" s="100"/>
      <c r="W795" s="100"/>
    </row>
    <row r="796" spans="1:24" ht="13.5" customHeight="1">
      <c r="A796" s="609" t="s">
        <v>722</v>
      </c>
      <c r="B796" s="611"/>
      <c r="C796" s="626"/>
      <c r="D796" s="200"/>
      <c r="E796" s="201"/>
      <c r="F796" s="100"/>
      <c r="G796" s="100"/>
      <c r="H796" s="100"/>
      <c r="I796" s="100"/>
      <c r="J796" s="100"/>
      <c r="K796" s="100"/>
      <c r="L796" s="100"/>
      <c r="M796" s="100"/>
      <c r="N796" s="100"/>
      <c r="O796" s="100"/>
      <c r="P796" s="100"/>
      <c r="Q796" s="100"/>
      <c r="R796" s="100"/>
      <c r="S796" s="100"/>
      <c r="T796" s="100"/>
      <c r="U796" s="100"/>
      <c r="V796" s="100"/>
      <c r="W796" s="100"/>
    </row>
    <row r="797" spans="1:24" ht="13.5" customHeight="1">
      <c r="A797" s="609" t="s">
        <v>723</v>
      </c>
      <c r="B797" s="611"/>
      <c r="C797" s="626"/>
      <c r="D797" s="200"/>
      <c r="E797" s="201"/>
      <c r="F797" s="100"/>
      <c r="G797" s="100"/>
      <c r="H797" s="100"/>
      <c r="I797" s="100"/>
      <c r="J797" s="100"/>
      <c r="K797" s="100"/>
      <c r="L797" s="100"/>
      <c r="M797" s="100"/>
      <c r="N797" s="100"/>
      <c r="O797" s="100"/>
      <c r="P797" s="100"/>
      <c r="Q797" s="100"/>
      <c r="R797" s="100"/>
      <c r="S797" s="100"/>
      <c r="T797" s="100"/>
      <c r="U797" s="100"/>
      <c r="V797" s="100"/>
      <c r="W797" s="100"/>
    </row>
    <row r="798" spans="1:24" ht="13.5" customHeight="1" thickBot="1">
      <c r="A798" s="609" t="s">
        <v>0</v>
      </c>
      <c r="B798" s="142"/>
      <c r="C798" s="626"/>
      <c r="D798" s="200"/>
      <c r="E798" s="201"/>
      <c r="F798" s="100"/>
      <c r="G798" s="100"/>
      <c r="H798" s="100"/>
      <c r="I798" s="100"/>
      <c r="J798" s="100"/>
      <c r="K798" s="100"/>
      <c r="L798" s="100"/>
      <c r="M798" s="100"/>
      <c r="N798" s="100"/>
      <c r="O798" s="100"/>
      <c r="P798" s="100"/>
      <c r="Q798" s="100"/>
      <c r="R798" s="100"/>
      <c r="S798" s="100"/>
      <c r="T798" s="100"/>
      <c r="U798" s="100"/>
      <c r="V798" s="100"/>
      <c r="W798" s="100"/>
    </row>
    <row r="799" spans="1:24" ht="13.5" customHeight="1" thickBot="1">
      <c r="A799" s="627" t="s">
        <v>92</v>
      </c>
      <c r="B799" s="630"/>
      <c r="C799" s="638">
        <f>C801+C815+C825</f>
        <v>278252183.59000003</v>
      </c>
      <c r="D799" s="114"/>
      <c r="E799" s="201"/>
      <c r="F799" s="100"/>
      <c r="G799" s="100"/>
      <c r="H799" s="100"/>
      <c r="I799" s="100"/>
      <c r="J799" s="100"/>
      <c r="K799" s="100"/>
      <c r="L799" s="100"/>
      <c r="M799" s="100"/>
      <c r="N799" s="100"/>
      <c r="O799" s="100"/>
      <c r="P799" s="100"/>
      <c r="Q799" s="100"/>
      <c r="R799" s="100"/>
      <c r="S799" s="100"/>
      <c r="T799" s="100"/>
      <c r="U799" s="100"/>
      <c r="V799" s="100"/>
      <c r="W799" s="100"/>
    </row>
    <row r="800" spans="1:24" ht="13.5" customHeight="1" thickBot="1">
      <c r="A800" s="254"/>
      <c r="B800" s="75"/>
      <c r="C800" s="36"/>
      <c r="D800" s="200"/>
      <c r="E800" s="201"/>
      <c r="F800" s="100"/>
      <c r="G800" s="100"/>
      <c r="H800" s="100"/>
      <c r="I800" s="100"/>
      <c r="J800" s="100"/>
      <c r="K800" s="100"/>
      <c r="L800" s="100"/>
      <c r="M800" s="100"/>
      <c r="N800" s="100"/>
      <c r="O800" s="100"/>
      <c r="P800" s="100"/>
      <c r="Q800" s="100"/>
      <c r="R800" s="100"/>
      <c r="S800" s="100"/>
      <c r="T800" s="100"/>
      <c r="U800" s="100"/>
      <c r="V800" s="100"/>
      <c r="W800" s="100"/>
    </row>
    <row r="801" spans="1:23" ht="13.5" customHeight="1" thickBot="1">
      <c r="A801" s="1356" t="s">
        <v>9</v>
      </c>
      <c r="B801" s="1281"/>
      <c r="C801" s="212">
        <f>C802+C807+C809+C811+C804</f>
        <v>268000</v>
      </c>
      <c r="D801" s="200"/>
      <c r="E801" s="201"/>
      <c r="F801" s="100"/>
      <c r="G801" s="100"/>
      <c r="H801" s="100"/>
      <c r="I801" s="100"/>
      <c r="J801" s="100"/>
      <c r="K801" s="100"/>
      <c r="L801" s="100"/>
      <c r="M801" s="100"/>
      <c r="N801" s="100"/>
      <c r="O801" s="100"/>
      <c r="P801" s="100"/>
      <c r="Q801" s="100"/>
      <c r="R801" s="100"/>
      <c r="S801" s="100"/>
      <c r="T801" s="100"/>
      <c r="U801" s="100"/>
      <c r="V801" s="100"/>
      <c r="W801" s="100"/>
    </row>
    <row r="802" spans="1:23" ht="13.5" customHeight="1">
      <c r="A802" s="76">
        <v>211201</v>
      </c>
      <c r="B802" s="76" t="s">
        <v>459</v>
      </c>
      <c r="C802" s="155">
        <f>SUM(C803)</f>
        <v>23000</v>
      </c>
      <c r="D802" s="200"/>
      <c r="E802" s="201"/>
      <c r="F802" s="100"/>
      <c r="G802" s="100"/>
      <c r="H802" s="100"/>
      <c r="I802" s="100"/>
      <c r="J802" s="100"/>
      <c r="K802" s="100"/>
      <c r="L802" s="100"/>
      <c r="M802" s="100"/>
      <c r="N802" s="100"/>
      <c r="O802" s="100"/>
      <c r="P802" s="100"/>
      <c r="Q802" s="100"/>
      <c r="R802" s="100"/>
      <c r="S802" s="100"/>
      <c r="T802" s="100"/>
      <c r="U802" s="100"/>
      <c r="V802" s="100"/>
      <c r="W802" s="100"/>
    </row>
    <row r="803" spans="1:23" ht="13.5" customHeight="1">
      <c r="A803" s="154">
        <v>21120101</v>
      </c>
      <c r="B803" s="100" t="s">
        <v>460</v>
      </c>
      <c r="C803" s="72">
        <v>23000</v>
      </c>
      <c r="D803" s="200"/>
      <c r="E803" s="201"/>
      <c r="F803" s="100"/>
      <c r="G803" s="100"/>
      <c r="H803" s="100"/>
      <c r="I803" s="100"/>
      <c r="J803" s="100"/>
      <c r="K803" s="100"/>
      <c r="L803" s="100"/>
      <c r="M803" s="100"/>
      <c r="N803" s="100"/>
      <c r="O803" s="100"/>
      <c r="P803" s="100"/>
      <c r="Q803" s="100"/>
      <c r="R803" s="100"/>
      <c r="S803" s="100"/>
      <c r="T803" s="100"/>
      <c r="U803" s="100"/>
      <c r="V803" s="100"/>
      <c r="W803" s="100"/>
    </row>
    <row r="804" spans="1:23" ht="13.5" customHeight="1">
      <c r="A804" s="76">
        <v>211202</v>
      </c>
      <c r="B804" s="75" t="s">
        <v>529</v>
      </c>
      <c r="C804" s="36">
        <f>SUM(C805:C806)</f>
        <v>130000</v>
      </c>
      <c r="D804" s="200"/>
      <c r="E804" s="201"/>
      <c r="F804" s="100"/>
      <c r="G804" s="100"/>
      <c r="H804" s="100"/>
      <c r="I804" s="100"/>
      <c r="J804" s="100"/>
      <c r="K804" s="100"/>
      <c r="L804" s="100"/>
      <c r="M804" s="100"/>
      <c r="N804" s="100"/>
      <c r="O804" s="100"/>
      <c r="P804" s="100"/>
      <c r="Q804" s="100"/>
      <c r="R804" s="100"/>
      <c r="S804" s="100"/>
      <c r="T804" s="100"/>
      <c r="U804" s="100"/>
      <c r="V804" s="100"/>
      <c r="W804" s="100"/>
    </row>
    <row r="805" spans="1:23" ht="13.5" customHeight="1">
      <c r="A805" s="154">
        <v>21120201</v>
      </c>
      <c r="B805" s="100" t="s">
        <v>540</v>
      </c>
      <c r="C805" s="72">
        <v>90000</v>
      </c>
      <c r="D805" s="200"/>
      <c r="E805" s="201"/>
      <c r="F805" s="100"/>
      <c r="G805" s="100"/>
      <c r="H805" s="100"/>
      <c r="I805" s="100"/>
      <c r="J805" s="100"/>
      <c r="K805" s="100"/>
      <c r="L805" s="100"/>
      <c r="M805" s="100"/>
      <c r="N805" s="100"/>
      <c r="O805" s="100"/>
      <c r="P805" s="100"/>
      <c r="Q805" s="100"/>
      <c r="R805" s="100"/>
      <c r="S805" s="100"/>
      <c r="T805" s="100"/>
      <c r="U805" s="100"/>
      <c r="V805" s="100"/>
      <c r="W805" s="100"/>
    </row>
    <row r="806" spans="1:23" ht="13.5" customHeight="1">
      <c r="A806" s="154">
        <v>21120202</v>
      </c>
      <c r="B806" s="77" t="s">
        <v>530</v>
      </c>
      <c r="C806" s="72">
        <v>40000</v>
      </c>
      <c r="D806" s="200"/>
      <c r="E806" s="201"/>
      <c r="F806" s="100"/>
      <c r="G806" s="100"/>
      <c r="H806" s="100"/>
      <c r="I806" s="100"/>
      <c r="J806" s="100"/>
      <c r="K806" s="100"/>
      <c r="L806" s="100"/>
      <c r="M806" s="100"/>
      <c r="N806" s="100"/>
      <c r="O806" s="100"/>
      <c r="P806" s="100"/>
      <c r="Q806" s="100"/>
      <c r="R806" s="100"/>
      <c r="S806" s="100"/>
      <c r="T806" s="100"/>
      <c r="U806" s="100"/>
      <c r="V806" s="100"/>
      <c r="W806" s="100"/>
    </row>
    <row r="807" spans="1:23" ht="13.5" customHeight="1">
      <c r="A807" s="76">
        <v>211203</v>
      </c>
      <c r="B807" s="75" t="s">
        <v>461</v>
      </c>
      <c r="C807" s="36">
        <f>SUM(C808)</f>
        <v>10000</v>
      </c>
      <c r="D807" s="200"/>
      <c r="E807" s="201"/>
      <c r="F807" s="100"/>
      <c r="G807" s="100"/>
      <c r="H807" s="100"/>
      <c r="I807" s="100"/>
      <c r="J807" s="100"/>
      <c r="K807" s="100"/>
      <c r="L807" s="100"/>
      <c r="M807" s="100"/>
      <c r="N807" s="100"/>
      <c r="O807" s="100"/>
      <c r="P807" s="100"/>
      <c r="Q807" s="100"/>
      <c r="R807" s="100"/>
      <c r="S807" s="100"/>
      <c r="T807" s="100"/>
      <c r="U807" s="100"/>
      <c r="V807" s="100"/>
      <c r="W807" s="100"/>
    </row>
    <row r="808" spans="1:23" ht="13.5" customHeight="1">
      <c r="A808" s="154">
        <v>21120302</v>
      </c>
      <c r="B808" s="100" t="s">
        <v>462</v>
      </c>
      <c r="C808" s="72">
        <v>10000</v>
      </c>
      <c r="D808" s="200"/>
      <c r="E808" s="201"/>
      <c r="F808" s="100"/>
      <c r="G808" s="100"/>
      <c r="H808" s="100"/>
      <c r="I808" s="100"/>
      <c r="J808" s="100"/>
      <c r="K808" s="100"/>
      <c r="L808" s="100"/>
      <c r="M808" s="100"/>
      <c r="N808" s="100"/>
      <c r="O808" s="100"/>
      <c r="P808" s="100"/>
      <c r="Q808" s="100"/>
      <c r="R808" s="100"/>
      <c r="S808" s="100"/>
      <c r="T808" s="100"/>
      <c r="U808" s="100"/>
      <c r="V808" s="100"/>
      <c r="W808" s="100"/>
    </row>
    <row r="809" spans="1:23" ht="13.5" customHeight="1">
      <c r="A809" s="76">
        <v>211204</v>
      </c>
      <c r="B809" s="75" t="s">
        <v>463</v>
      </c>
      <c r="C809" s="36">
        <f>SUM(C810)</f>
        <v>45000</v>
      </c>
      <c r="D809" s="200"/>
      <c r="E809" s="201"/>
      <c r="F809" s="100"/>
      <c r="G809" s="100"/>
      <c r="H809" s="100"/>
      <c r="I809" s="100"/>
      <c r="J809" s="100"/>
      <c r="K809" s="100"/>
      <c r="L809" s="100"/>
      <c r="M809" s="100"/>
      <c r="N809" s="100"/>
      <c r="O809" s="100"/>
      <c r="P809" s="100"/>
      <c r="Q809" s="100"/>
      <c r="R809" s="100"/>
      <c r="S809" s="100"/>
      <c r="T809" s="100"/>
      <c r="U809" s="100"/>
      <c r="V809" s="100"/>
      <c r="W809" s="100"/>
    </row>
    <row r="810" spans="1:23" ht="13.5" customHeight="1">
      <c r="A810" s="154">
        <v>21120401</v>
      </c>
      <c r="B810" s="72" t="s">
        <v>464</v>
      </c>
      <c r="C810" s="72">
        <f>15000+30000</f>
        <v>45000</v>
      </c>
      <c r="D810" s="200"/>
      <c r="E810" s="201"/>
      <c r="F810" s="100"/>
      <c r="G810" s="100"/>
      <c r="H810" s="100"/>
      <c r="I810" s="100"/>
      <c r="J810" s="100"/>
      <c r="K810" s="100"/>
      <c r="L810" s="100"/>
      <c r="M810" s="100"/>
      <c r="N810" s="100"/>
      <c r="O810" s="100"/>
      <c r="P810" s="100"/>
      <c r="Q810" s="100"/>
      <c r="R810" s="100"/>
      <c r="S810" s="100"/>
      <c r="T810" s="100"/>
      <c r="U810" s="100"/>
      <c r="V810" s="100"/>
      <c r="W810" s="100"/>
    </row>
    <row r="811" spans="1:23" ht="13.5" customHeight="1">
      <c r="A811" s="76">
        <v>211209</v>
      </c>
      <c r="B811" s="36" t="s">
        <v>477</v>
      </c>
      <c r="C811" s="36">
        <f>SUM(C812:C813)</f>
        <v>60000</v>
      </c>
      <c r="D811" s="200"/>
      <c r="E811" s="201"/>
      <c r="F811" s="100"/>
      <c r="G811" s="100"/>
      <c r="H811" s="100"/>
      <c r="I811" s="100"/>
      <c r="J811" s="100"/>
      <c r="K811" s="100"/>
      <c r="L811" s="100"/>
      <c r="M811" s="100"/>
      <c r="N811" s="100"/>
      <c r="O811" s="100"/>
      <c r="P811" s="100"/>
      <c r="Q811" s="100"/>
      <c r="R811" s="100"/>
      <c r="S811" s="100"/>
      <c r="T811" s="100"/>
      <c r="U811" s="100"/>
      <c r="V811" s="100"/>
      <c r="W811" s="100"/>
    </row>
    <row r="812" spans="1:23" ht="13.5" customHeight="1">
      <c r="A812" s="154"/>
      <c r="B812" s="72" t="s">
        <v>478</v>
      </c>
      <c r="C812" s="72">
        <v>30000</v>
      </c>
      <c r="D812" s="200"/>
      <c r="E812" s="201"/>
      <c r="F812" s="100"/>
      <c r="G812" s="100"/>
      <c r="H812" s="100"/>
      <c r="I812" s="100"/>
      <c r="J812" s="100"/>
      <c r="K812" s="100"/>
      <c r="L812" s="100"/>
      <c r="M812" s="100"/>
      <c r="N812" s="100"/>
      <c r="O812" s="100"/>
      <c r="P812" s="100"/>
      <c r="Q812" s="100"/>
      <c r="R812" s="100"/>
      <c r="S812" s="100"/>
      <c r="T812" s="100"/>
      <c r="U812" s="100"/>
      <c r="V812" s="100"/>
      <c r="W812" s="100"/>
    </row>
    <row r="813" spans="1:23" ht="13.5" customHeight="1">
      <c r="A813" s="154">
        <v>21120906</v>
      </c>
      <c r="B813" s="72" t="s">
        <v>479</v>
      </c>
      <c r="C813" s="72">
        <v>30000</v>
      </c>
      <c r="D813" s="200"/>
      <c r="E813" s="201"/>
      <c r="F813" s="100"/>
      <c r="G813" s="100"/>
      <c r="H813" s="100"/>
      <c r="I813" s="100"/>
      <c r="J813" s="100"/>
      <c r="K813" s="100"/>
      <c r="L813" s="100"/>
      <c r="M813" s="100"/>
      <c r="N813" s="100"/>
      <c r="O813" s="100"/>
      <c r="P813" s="100"/>
      <c r="Q813" s="100"/>
      <c r="R813" s="100"/>
      <c r="S813" s="100"/>
      <c r="T813" s="100"/>
      <c r="U813" s="100"/>
      <c r="V813" s="100"/>
      <c r="W813" s="100"/>
    </row>
    <row r="814" spans="1:23" ht="13.5" customHeight="1" thickBot="1">
      <c r="A814" s="154"/>
      <c r="B814" s="72"/>
      <c r="C814" s="72"/>
      <c r="D814" s="200"/>
      <c r="E814" s="201"/>
      <c r="F814" s="100"/>
      <c r="G814" s="100"/>
      <c r="H814" s="100"/>
      <c r="I814" s="100"/>
      <c r="J814" s="100"/>
      <c r="K814" s="100"/>
      <c r="L814" s="100"/>
      <c r="M814" s="100"/>
      <c r="N814" s="100"/>
      <c r="O814" s="100"/>
      <c r="P814" s="100"/>
      <c r="Q814" s="100"/>
      <c r="R814" s="100"/>
      <c r="S814" s="100"/>
      <c r="T814" s="100"/>
      <c r="U814" s="100"/>
      <c r="V814" s="100"/>
      <c r="W814" s="100"/>
    </row>
    <row r="815" spans="1:23" ht="13.5" customHeight="1" thickBot="1">
      <c r="A815" s="1354" t="s">
        <v>4</v>
      </c>
      <c r="B815" s="1281"/>
      <c r="C815" s="220">
        <f>C816+C820+C818</f>
        <v>2333680</v>
      </c>
      <c r="D815" s="200"/>
      <c r="E815" s="201"/>
      <c r="F815" s="100"/>
      <c r="G815" s="100"/>
      <c r="H815" s="100"/>
      <c r="I815" s="100"/>
      <c r="J815" s="100"/>
      <c r="K815" s="100"/>
      <c r="L815" s="100"/>
      <c r="M815" s="100"/>
      <c r="N815" s="100"/>
      <c r="O815" s="100"/>
      <c r="P815" s="100"/>
      <c r="Q815" s="100"/>
      <c r="R815" s="100"/>
      <c r="S815" s="100"/>
      <c r="T815" s="100"/>
      <c r="U815" s="100"/>
      <c r="V815" s="100"/>
      <c r="W815" s="100"/>
    </row>
    <row r="816" spans="1:23" ht="13.5" customHeight="1">
      <c r="A816" s="76">
        <v>211302</v>
      </c>
      <c r="B816" s="76" t="s">
        <v>481</v>
      </c>
      <c r="C816" s="155">
        <f>SUM(C817)</f>
        <v>600000</v>
      </c>
      <c r="D816" s="200"/>
      <c r="E816" s="201"/>
      <c r="F816" s="100"/>
      <c r="G816" s="100"/>
      <c r="H816" s="100"/>
      <c r="I816" s="100"/>
      <c r="J816" s="100"/>
      <c r="K816" s="100"/>
      <c r="L816" s="100"/>
      <c r="M816" s="100"/>
      <c r="N816" s="100"/>
      <c r="O816" s="100"/>
      <c r="P816" s="100"/>
      <c r="Q816" s="100"/>
      <c r="R816" s="100"/>
      <c r="S816" s="100"/>
      <c r="T816" s="100"/>
      <c r="U816" s="100"/>
      <c r="V816" s="100"/>
      <c r="W816" s="100"/>
    </row>
    <row r="817" spans="1:23" ht="13.5" customHeight="1">
      <c r="A817" s="154">
        <v>21130204</v>
      </c>
      <c r="B817" s="72" t="s">
        <v>483</v>
      </c>
      <c r="C817" s="72">
        <v>600000</v>
      </c>
      <c r="D817" s="200"/>
      <c r="E817" s="201"/>
      <c r="F817" s="100"/>
      <c r="G817" s="100"/>
      <c r="H817" s="100"/>
      <c r="I817" s="100"/>
      <c r="J817" s="100"/>
      <c r="K817" s="100"/>
      <c r="L817" s="100"/>
      <c r="M817" s="100"/>
      <c r="N817" s="100"/>
      <c r="O817" s="100"/>
      <c r="P817" s="100"/>
      <c r="Q817" s="100"/>
      <c r="R817" s="100"/>
      <c r="S817" s="100"/>
      <c r="T817" s="100"/>
      <c r="U817" s="100"/>
      <c r="V817" s="100"/>
      <c r="W817" s="100"/>
    </row>
    <row r="818" spans="1:23" ht="13.5" customHeight="1">
      <c r="A818" s="76">
        <v>211305</v>
      </c>
      <c r="B818" s="36" t="s">
        <v>489</v>
      </c>
      <c r="C818" s="36">
        <f>SUM(C819:C819)</f>
        <v>520000</v>
      </c>
      <c r="D818" s="200"/>
      <c r="E818" s="201"/>
      <c r="F818" s="100"/>
      <c r="G818" s="100"/>
      <c r="H818" s="100"/>
      <c r="I818" s="100"/>
      <c r="J818" s="100"/>
      <c r="K818" s="100"/>
      <c r="L818" s="100"/>
      <c r="M818" s="100"/>
      <c r="N818" s="100"/>
      <c r="O818" s="100"/>
      <c r="P818" s="100"/>
      <c r="Q818" s="100"/>
      <c r="R818" s="100"/>
      <c r="S818" s="100"/>
      <c r="T818" s="100"/>
      <c r="U818" s="100"/>
      <c r="V818" s="100"/>
      <c r="W818" s="100"/>
    </row>
    <row r="819" spans="1:23" ht="13.15" customHeight="1">
      <c r="A819" s="154">
        <v>21130502</v>
      </c>
      <c r="B819" s="72" t="s">
        <v>491</v>
      </c>
      <c r="C819" s="72">
        <f>20000+500000</f>
        <v>520000</v>
      </c>
      <c r="D819" s="200"/>
      <c r="E819" s="201"/>
      <c r="F819" s="100"/>
      <c r="G819" s="100"/>
      <c r="H819" s="100"/>
      <c r="I819" s="100"/>
      <c r="J819" s="100"/>
      <c r="K819" s="100"/>
      <c r="L819" s="100"/>
      <c r="M819" s="100"/>
      <c r="N819" s="100"/>
      <c r="O819" s="100"/>
      <c r="P819" s="100"/>
      <c r="Q819" s="100"/>
      <c r="R819" s="100"/>
      <c r="S819" s="100"/>
      <c r="T819" s="100"/>
      <c r="U819" s="100"/>
      <c r="V819" s="100"/>
      <c r="W819" s="100"/>
    </row>
    <row r="820" spans="1:23" ht="13.15" customHeight="1">
      <c r="A820" s="76">
        <v>211309</v>
      </c>
      <c r="B820" s="36" t="s">
        <v>496</v>
      </c>
      <c r="C820" s="36">
        <f>SUM(C821:C823)</f>
        <v>1213680</v>
      </c>
      <c r="D820" s="200"/>
      <c r="E820" s="201"/>
      <c r="F820" s="100"/>
      <c r="G820" s="100"/>
      <c r="H820" s="100"/>
      <c r="I820" s="100"/>
      <c r="J820" s="100"/>
      <c r="K820" s="100"/>
      <c r="L820" s="100"/>
      <c r="M820" s="100"/>
      <c r="N820" s="100"/>
      <c r="O820" s="100"/>
      <c r="P820" s="100"/>
      <c r="Q820" s="100"/>
      <c r="R820" s="100"/>
      <c r="S820" s="100"/>
      <c r="T820" s="100"/>
      <c r="U820" s="100"/>
      <c r="V820" s="100"/>
      <c r="W820" s="100"/>
    </row>
    <row r="821" spans="1:23" ht="13.15" customHeight="1">
      <c r="A821" s="154">
        <v>21130901</v>
      </c>
      <c r="B821" s="72" t="s">
        <v>497</v>
      </c>
      <c r="C821" s="72">
        <f>100000+450000</f>
        <v>550000</v>
      </c>
      <c r="D821" s="200"/>
      <c r="E821" s="201"/>
      <c r="F821" s="100"/>
      <c r="G821" s="100"/>
      <c r="H821" s="100"/>
      <c r="I821" s="100"/>
      <c r="J821" s="100"/>
      <c r="K821" s="100"/>
      <c r="L821" s="100"/>
      <c r="M821" s="100"/>
      <c r="N821" s="100"/>
      <c r="O821" s="100"/>
      <c r="P821" s="100"/>
      <c r="Q821" s="100"/>
      <c r="R821" s="100"/>
      <c r="S821" s="100"/>
      <c r="T821" s="100"/>
      <c r="U821" s="100"/>
      <c r="V821" s="100"/>
      <c r="W821" s="100"/>
    </row>
    <row r="822" spans="1:23" ht="13.15" customHeight="1">
      <c r="A822" s="154">
        <v>21130903</v>
      </c>
      <c r="B822" s="72" t="s">
        <v>498</v>
      </c>
      <c r="C822" s="72">
        <f>50000+13680</f>
        <v>63680</v>
      </c>
      <c r="D822" s="200"/>
      <c r="E822" s="201"/>
      <c r="F822" s="100"/>
      <c r="G822" s="100"/>
      <c r="H822" s="100"/>
      <c r="I822" s="100"/>
      <c r="J822" s="100"/>
      <c r="K822" s="100"/>
      <c r="L822" s="100"/>
      <c r="M822" s="100"/>
      <c r="N822" s="100"/>
      <c r="O822" s="100"/>
      <c r="P822" s="100"/>
      <c r="Q822" s="100"/>
      <c r="R822" s="100"/>
      <c r="S822" s="100"/>
      <c r="T822" s="100"/>
      <c r="U822" s="100"/>
      <c r="V822" s="100"/>
      <c r="W822" s="100"/>
    </row>
    <row r="823" spans="1:23" ht="13.15" customHeight="1">
      <c r="A823" s="154">
        <v>21130908</v>
      </c>
      <c r="B823" s="72" t="s">
        <v>500</v>
      </c>
      <c r="C823" s="72">
        <v>600000</v>
      </c>
      <c r="D823" s="200"/>
      <c r="E823" s="201"/>
      <c r="F823" s="100"/>
      <c r="G823" s="100"/>
      <c r="H823" s="100"/>
      <c r="I823" s="100"/>
      <c r="J823" s="100"/>
      <c r="K823" s="100"/>
      <c r="L823" s="100"/>
      <c r="M823" s="100"/>
      <c r="N823" s="100"/>
      <c r="O823" s="100"/>
      <c r="P823" s="100"/>
      <c r="Q823" s="100"/>
      <c r="R823" s="100"/>
      <c r="S823" s="100"/>
      <c r="T823" s="100"/>
      <c r="U823" s="100"/>
      <c r="V823" s="100"/>
      <c r="W823" s="100"/>
    </row>
    <row r="824" spans="1:23" ht="13.15" customHeight="1" thickBot="1">
      <c r="A824" s="100"/>
      <c r="B824" s="100"/>
      <c r="C824" s="72"/>
      <c r="D824" s="200"/>
      <c r="E824" s="201"/>
      <c r="F824" s="100"/>
      <c r="G824" s="100"/>
      <c r="H824" s="100"/>
      <c r="I824" s="100"/>
      <c r="J824" s="100"/>
      <c r="K824" s="100"/>
      <c r="L824" s="100"/>
      <c r="M824" s="100"/>
      <c r="N824" s="100"/>
      <c r="O824" s="100"/>
      <c r="P824" s="100"/>
      <c r="Q824" s="100"/>
      <c r="R824" s="100"/>
      <c r="S824" s="100"/>
      <c r="T824" s="100"/>
      <c r="U824" s="100"/>
      <c r="V824" s="100"/>
      <c r="W824" s="100"/>
    </row>
    <row r="825" spans="1:23" ht="13.15" customHeight="1" thickBot="1">
      <c r="A825" s="1357" t="s">
        <v>45</v>
      </c>
      <c r="B825" s="1281"/>
      <c r="C825" s="228">
        <f>C826</f>
        <v>275650503.59000003</v>
      </c>
      <c r="D825" s="200"/>
      <c r="E825" s="201"/>
      <c r="F825" s="100"/>
      <c r="G825" s="100"/>
      <c r="H825" s="100"/>
      <c r="I825" s="100"/>
      <c r="J825" s="100"/>
      <c r="K825" s="100"/>
      <c r="L825" s="100"/>
      <c r="M825" s="100"/>
      <c r="N825" s="100"/>
      <c r="O825" s="100"/>
      <c r="P825" s="100"/>
      <c r="Q825" s="100"/>
      <c r="R825" s="100"/>
      <c r="S825" s="100"/>
      <c r="T825" s="100"/>
      <c r="U825" s="100"/>
      <c r="V825" s="100"/>
      <c r="W825" s="100"/>
    </row>
    <row r="826" spans="1:23" ht="13.15" customHeight="1">
      <c r="A826" s="76">
        <v>211402</v>
      </c>
      <c r="B826" s="76" t="s">
        <v>503</v>
      </c>
      <c r="C826" s="155">
        <f>SUM(C827:C830)</f>
        <v>275650503.59000003</v>
      </c>
      <c r="D826" s="200"/>
      <c r="E826" s="201"/>
      <c r="F826" s="100"/>
      <c r="G826" s="100"/>
      <c r="H826" s="100"/>
      <c r="I826" s="100"/>
      <c r="J826" s="100"/>
      <c r="K826" s="100"/>
      <c r="L826" s="100"/>
      <c r="M826" s="100"/>
      <c r="N826" s="100"/>
      <c r="O826" s="100"/>
      <c r="P826" s="100"/>
      <c r="Q826" s="100"/>
      <c r="R826" s="100"/>
      <c r="S826" s="100"/>
      <c r="T826" s="100"/>
      <c r="U826" s="100"/>
      <c r="V826" s="100"/>
      <c r="W826" s="100"/>
    </row>
    <row r="827" spans="1:23" ht="13.15" customHeight="1">
      <c r="A827" s="154">
        <v>21140201</v>
      </c>
      <c r="B827" s="100" t="s">
        <v>652</v>
      </c>
      <c r="C827" s="114">
        <f>8800000+1200000</f>
        <v>10000000</v>
      </c>
      <c r="D827" s="200"/>
      <c r="E827" s="201"/>
      <c r="F827" s="100"/>
      <c r="G827" s="100"/>
      <c r="H827" s="100"/>
      <c r="I827" s="100"/>
      <c r="J827" s="100"/>
      <c r="K827" s="100"/>
      <c r="L827" s="100"/>
      <c r="M827" s="100"/>
      <c r="N827" s="100"/>
      <c r="O827" s="100"/>
      <c r="P827" s="100"/>
      <c r="Q827" s="100"/>
      <c r="R827" s="100"/>
      <c r="S827" s="100"/>
      <c r="T827" s="100"/>
      <c r="U827" s="100"/>
      <c r="V827" s="100"/>
      <c r="W827" s="100"/>
    </row>
    <row r="828" spans="1:23" ht="13.15" customHeight="1">
      <c r="A828" s="154">
        <v>21140203</v>
      </c>
      <c r="B828" s="77" t="s">
        <v>550</v>
      </c>
      <c r="C828" s="72">
        <f>3000000+500000</f>
        <v>3500000</v>
      </c>
      <c r="D828" s="200"/>
      <c r="E828" s="201"/>
      <c r="F828" s="100"/>
      <c r="G828" s="100"/>
      <c r="H828" s="100"/>
      <c r="I828" s="100"/>
      <c r="J828" s="100"/>
      <c r="K828" s="100"/>
      <c r="L828" s="100"/>
      <c r="M828" s="100"/>
      <c r="N828" s="100"/>
      <c r="O828" s="100"/>
      <c r="P828" s="100"/>
      <c r="Q828" s="100"/>
      <c r="R828" s="100"/>
      <c r="S828" s="100"/>
      <c r="T828" s="100"/>
      <c r="U828" s="100"/>
      <c r="V828" s="100"/>
      <c r="W828" s="100"/>
    </row>
    <row r="829" spans="1:23" ht="13.15" customHeight="1">
      <c r="A829" s="154">
        <v>21140208</v>
      </c>
      <c r="B829" s="100" t="s">
        <v>553</v>
      </c>
      <c r="C829" s="72">
        <f>200158500+59492003.59</f>
        <v>259650503.59</v>
      </c>
      <c r="D829" s="200"/>
      <c r="E829" s="201"/>
      <c r="F829" s="100"/>
      <c r="G829" s="100"/>
      <c r="H829" s="100"/>
      <c r="I829" s="100"/>
      <c r="J829" s="100"/>
      <c r="K829" s="100"/>
      <c r="L829" s="100"/>
      <c r="M829" s="100"/>
      <c r="N829" s="100"/>
      <c r="O829" s="100"/>
      <c r="P829" s="100"/>
      <c r="Q829" s="100"/>
      <c r="R829" s="100"/>
      <c r="S829" s="100"/>
      <c r="T829" s="100"/>
      <c r="U829" s="100"/>
      <c r="V829" s="100"/>
      <c r="W829" s="100"/>
    </row>
    <row r="830" spans="1:23" ht="13.15" customHeight="1">
      <c r="A830" s="154">
        <v>21140213</v>
      </c>
      <c r="B830" s="100" t="s">
        <v>504</v>
      </c>
      <c r="C830" s="72">
        <f>2000000+500000</f>
        <v>2500000</v>
      </c>
      <c r="D830" s="200"/>
      <c r="E830" s="201"/>
      <c r="F830" s="100"/>
      <c r="G830" s="100"/>
      <c r="H830" s="100"/>
      <c r="I830" s="100"/>
      <c r="J830" s="100"/>
      <c r="K830" s="100"/>
      <c r="L830" s="100"/>
      <c r="M830" s="100"/>
      <c r="N830" s="100"/>
      <c r="O830" s="100"/>
      <c r="P830" s="100"/>
      <c r="Q830" s="100"/>
      <c r="R830" s="100"/>
      <c r="S830" s="100"/>
      <c r="T830" s="100"/>
      <c r="U830" s="100"/>
      <c r="V830" s="100"/>
      <c r="W830" s="100"/>
    </row>
    <row r="831" spans="1:23" ht="13.15" customHeight="1">
      <c r="A831" s="154"/>
      <c r="B831" s="100"/>
      <c r="C831" s="72"/>
      <c r="D831" s="200"/>
      <c r="E831" s="201"/>
      <c r="F831" s="100"/>
      <c r="G831" s="100"/>
      <c r="H831" s="100"/>
      <c r="I831" s="100"/>
      <c r="J831" s="100"/>
      <c r="K831" s="100"/>
      <c r="L831" s="100"/>
      <c r="M831" s="100"/>
      <c r="N831" s="100"/>
      <c r="O831" s="100"/>
      <c r="P831" s="100"/>
      <c r="Q831" s="100"/>
      <c r="R831" s="100"/>
      <c r="S831" s="100"/>
      <c r="T831" s="100"/>
      <c r="U831" s="100"/>
      <c r="V831" s="100"/>
      <c r="W831" s="100"/>
    </row>
    <row r="832" spans="1:23" ht="13.15" customHeight="1" thickBot="1">
      <c r="A832" s="100"/>
      <c r="B832" s="100"/>
      <c r="C832" s="72"/>
      <c r="D832" s="200"/>
      <c r="E832" s="201"/>
      <c r="F832" s="100"/>
      <c r="G832" s="100"/>
      <c r="H832" s="100"/>
      <c r="I832" s="100"/>
      <c r="J832" s="100"/>
      <c r="K832" s="100"/>
      <c r="L832" s="100"/>
      <c r="M832" s="100"/>
      <c r="N832" s="100"/>
      <c r="O832" s="100"/>
      <c r="P832" s="100"/>
      <c r="Q832" s="100"/>
      <c r="R832" s="100"/>
      <c r="S832" s="100"/>
      <c r="T832" s="100"/>
      <c r="U832" s="100"/>
      <c r="V832" s="100"/>
      <c r="W832" s="100"/>
    </row>
    <row r="833" spans="1:24" ht="12.75" customHeight="1">
      <c r="A833" s="1334" t="s">
        <v>724</v>
      </c>
      <c r="B833" s="1336"/>
      <c r="C833" s="1574" t="s">
        <v>787</v>
      </c>
      <c r="D833" s="270"/>
      <c r="E833" s="4"/>
      <c r="F833" s="4"/>
      <c r="G833" s="4"/>
      <c r="H833" s="4"/>
      <c r="I833" s="4"/>
      <c r="J833" s="4"/>
      <c r="K833" s="4"/>
      <c r="L833" s="4"/>
      <c r="M833" s="4"/>
      <c r="N833" s="4"/>
      <c r="O833" s="4"/>
      <c r="P833" s="4"/>
      <c r="Q833" s="4"/>
      <c r="R833" s="4"/>
      <c r="S833" s="4"/>
      <c r="T833" s="4"/>
      <c r="U833" s="4"/>
      <c r="V833" s="4"/>
      <c r="W833" s="4"/>
      <c r="X833" s="4"/>
    </row>
    <row r="834" spans="1:24" ht="12.75" customHeight="1" thickBot="1">
      <c r="A834" s="1363"/>
      <c r="B834" s="1304"/>
      <c r="C834" s="1575"/>
      <c r="D834" s="270"/>
      <c r="E834" s="4"/>
      <c r="F834" s="4"/>
      <c r="G834" s="4"/>
      <c r="H834" s="4"/>
      <c r="I834" s="4"/>
      <c r="J834" s="4"/>
      <c r="K834" s="4"/>
      <c r="L834" s="4"/>
      <c r="M834" s="4"/>
      <c r="N834" s="4"/>
      <c r="O834" s="4"/>
      <c r="P834" s="4"/>
      <c r="Q834" s="4"/>
      <c r="R834" s="4"/>
      <c r="S834" s="4"/>
      <c r="T834" s="4"/>
      <c r="U834" s="4"/>
      <c r="V834" s="4"/>
      <c r="W834" s="4"/>
      <c r="X834" s="4"/>
    </row>
    <row r="835" spans="1:24" ht="12.75" customHeight="1">
      <c r="A835" s="1122" t="s">
        <v>675</v>
      </c>
      <c r="B835" s="1137"/>
      <c r="C835" s="1124"/>
      <c r="D835" s="270"/>
      <c r="E835" s="5"/>
      <c r="F835" s="4"/>
      <c r="G835" s="4"/>
      <c r="H835" s="4"/>
      <c r="I835" s="4"/>
      <c r="J835" s="4"/>
      <c r="K835" s="4"/>
      <c r="L835" s="4"/>
      <c r="M835" s="4"/>
      <c r="N835" s="4"/>
      <c r="O835" s="4"/>
      <c r="P835" s="4"/>
      <c r="Q835" s="4"/>
      <c r="R835" s="4"/>
      <c r="S835" s="4"/>
      <c r="T835" s="4"/>
      <c r="U835" s="4"/>
      <c r="V835" s="4"/>
      <c r="W835" s="4"/>
      <c r="X835" s="4"/>
    </row>
    <row r="836" spans="1:24" ht="12.75" customHeight="1">
      <c r="A836" s="609" t="s">
        <v>722</v>
      </c>
      <c r="B836" s="808"/>
      <c r="C836" s="1029"/>
      <c r="D836" s="270"/>
      <c r="E836" s="5"/>
      <c r="F836" s="4"/>
      <c r="G836" s="4"/>
      <c r="H836" s="4"/>
      <c r="I836" s="4"/>
      <c r="J836" s="4"/>
      <c r="K836" s="4"/>
      <c r="L836" s="4"/>
      <c r="M836" s="4"/>
      <c r="N836" s="4"/>
      <c r="O836" s="4"/>
      <c r="P836" s="4"/>
      <c r="Q836" s="4"/>
      <c r="R836" s="4"/>
      <c r="S836" s="4"/>
      <c r="T836" s="4"/>
      <c r="U836" s="4"/>
      <c r="V836" s="4"/>
      <c r="W836" s="4"/>
      <c r="X836" s="4"/>
    </row>
    <row r="837" spans="1:24" ht="12.75" customHeight="1">
      <c r="A837" s="609" t="s">
        <v>723</v>
      </c>
      <c r="B837" s="808"/>
      <c r="C837" s="1029"/>
      <c r="D837" s="270"/>
      <c r="E837" s="5"/>
      <c r="F837" s="4"/>
      <c r="G837" s="4"/>
      <c r="H837" s="4"/>
      <c r="I837" s="4"/>
      <c r="J837" s="4"/>
      <c r="K837" s="4"/>
      <c r="L837" s="4"/>
      <c r="M837" s="4"/>
      <c r="N837" s="4"/>
      <c r="O837" s="4"/>
      <c r="P837" s="4"/>
      <c r="Q837" s="4"/>
      <c r="R837" s="4"/>
      <c r="S837" s="4"/>
      <c r="T837" s="4"/>
      <c r="U837" s="4"/>
      <c r="V837" s="4"/>
      <c r="W837" s="4"/>
      <c r="X837" s="4"/>
    </row>
    <row r="838" spans="1:24" ht="12.75" customHeight="1" thickBot="1">
      <c r="A838" s="1125" t="s">
        <v>0</v>
      </c>
      <c r="B838" s="982"/>
      <c r="C838" s="1029"/>
      <c r="D838" s="270"/>
      <c r="E838" s="5"/>
      <c r="F838" s="4"/>
      <c r="G838" s="4"/>
      <c r="H838" s="4"/>
      <c r="I838" s="4"/>
      <c r="J838" s="4"/>
      <c r="K838" s="4"/>
      <c r="L838" s="4"/>
      <c r="M838" s="4"/>
      <c r="N838" s="4"/>
      <c r="O838" s="4"/>
      <c r="P838" s="4"/>
      <c r="Q838" s="4"/>
      <c r="R838" s="4"/>
      <c r="S838" s="4"/>
      <c r="T838" s="4"/>
      <c r="U838" s="4"/>
      <c r="V838" s="4"/>
      <c r="W838" s="4"/>
      <c r="X838" s="4"/>
    </row>
    <row r="839" spans="1:24" ht="12.75" customHeight="1" thickBot="1">
      <c r="A839" s="1171" t="s">
        <v>1</v>
      </c>
      <c r="B839" s="1186"/>
      <c r="C839" s="1033">
        <f>+C841+C866+C887</f>
        <v>25431073.18</v>
      </c>
      <c r="D839" s="270"/>
      <c r="E839" s="5"/>
      <c r="F839" s="4"/>
      <c r="G839" s="4"/>
      <c r="H839" s="4"/>
      <c r="I839" s="4"/>
      <c r="J839" s="4"/>
      <c r="K839" s="4"/>
      <c r="L839" s="4"/>
      <c r="M839" s="4"/>
      <c r="N839" s="4"/>
      <c r="O839" s="4"/>
      <c r="P839" s="4"/>
      <c r="Q839" s="4"/>
      <c r="R839" s="4"/>
      <c r="S839" s="4"/>
      <c r="T839" s="4"/>
      <c r="U839" s="4"/>
      <c r="V839" s="4"/>
      <c r="W839" s="4"/>
      <c r="X839" s="4"/>
    </row>
    <row r="840" spans="1:24" ht="12.75" customHeight="1" thickBot="1">
      <c r="A840" s="21"/>
      <c r="B840" s="21"/>
      <c r="C840" s="26"/>
      <c r="D840" s="181"/>
      <c r="E840" s="1009"/>
      <c r="F840" s="1010"/>
      <c r="G840" s="1010"/>
      <c r="H840" s="1010"/>
      <c r="I840" s="1010"/>
      <c r="J840" s="1010"/>
      <c r="K840" s="1010"/>
      <c r="L840" s="1010"/>
      <c r="M840" s="1010"/>
      <c r="N840" s="1010"/>
      <c r="O840" s="1010"/>
      <c r="P840" s="1010"/>
      <c r="Q840" s="1010"/>
      <c r="R840" s="1010"/>
      <c r="S840" s="1010"/>
      <c r="T840" s="1010"/>
      <c r="U840" s="4"/>
      <c r="V840" s="4"/>
      <c r="W840" s="4"/>
      <c r="X840" s="4"/>
    </row>
    <row r="841" spans="1:24" ht="12.75" customHeight="1" thickBot="1">
      <c r="A841" s="1297" t="s">
        <v>9</v>
      </c>
      <c r="B841" s="1281"/>
      <c r="C841" s="62">
        <f>C842+C844+C847+C851+C857+C860+C849</f>
        <v>8934073.1799999997</v>
      </c>
      <c r="D841" s="270"/>
      <c r="E841" s="4"/>
      <c r="F841" s="4"/>
      <c r="G841" s="4"/>
      <c r="H841" s="4"/>
      <c r="I841" s="4"/>
      <c r="J841" s="4"/>
      <c r="K841" s="4"/>
      <c r="L841" s="4"/>
      <c r="M841" s="4"/>
      <c r="N841" s="4"/>
      <c r="O841" s="4"/>
      <c r="P841" s="4"/>
      <c r="Q841" s="4"/>
      <c r="R841" s="4"/>
      <c r="S841" s="4"/>
      <c r="T841" s="4"/>
      <c r="U841" s="4"/>
      <c r="V841" s="4"/>
      <c r="W841" s="4"/>
      <c r="X841" s="4"/>
    </row>
    <row r="842" spans="1:24" ht="12.75" customHeight="1">
      <c r="A842" s="48">
        <v>211201</v>
      </c>
      <c r="B842" s="48" t="s">
        <v>459</v>
      </c>
      <c r="C842" s="49">
        <f>SUM(C843)</f>
        <v>868000</v>
      </c>
      <c r="D842" s="272"/>
      <c r="E842" s="34"/>
      <c r="F842" s="34"/>
      <c r="G842" s="34"/>
      <c r="H842" s="34"/>
      <c r="I842" s="34"/>
      <c r="J842" s="34"/>
      <c r="K842" s="34"/>
      <c r="L842" s="34"/>
      <c r="M842" s="34"/>
      <c r="N842" s="34"/>
      <c r="O842" s="34"/>
      <c r="P842" s="34"/>
      <c r="Q842" s="34"/>
      <c r="R842" s="34"/>
      <c r="S842" s="34"/>
      <c r="T842" s="34"/>
      <c r="U842" s="34"/>
      <c r="V842" s="34"/>
      <c r="W842" s="34"/>
      <c r="X842" s="34"/>
    </row>
    <row r="843" spans="1:24" ht="13.5" customHeight="1">
      <c r="A843" s="33">
        <v>21120101</v>
      </c>
      <c r="B843" s="23" t="s">
        <v>460</v>
      </c>
      <c r="C843" s="24">
        <v>868000</v>
      </c>
      <c r="D843" s="270"/>
      <c r="E843" s="274"/>
      <c r="F843" s="23"/>
      <c r="G843" s="23"/>
      <c r="H843" s="23"/>
      <c r="I843" s="23"/>
      <c r="J843" s="23"/>
      <c r="K843" s="23"/>
      <c r="L843" s="23"/>
      <c r="M843" s="23"/>
      <c r="N843" s="23"/>
      <c r="O843" s="23"/>
      <c r="P843" s="23"/>
      <c r="Q843" s="23"/>
      <c r="R843" s="23"/>
      <c r="S843" s="23"/>
      <c r="T843" s="23"/>
      <c r="U843" s="23"/>
      <c r="V843" s="23"/>
      <c r="W843" s="23"/>
      <c r="X843" s="23"/>
    </row>
    <row r="844" spans="1:24" ht="13.5" customHeight="1">
      <c r="A844" s="48">
        <v>211203</v>
      </c>
      <c r="B844" s="21" t="s">
        <v>461</v>
      </c>
      <c r="C844" s="26">
        <f>+SUM(C845:C846)</f>
        <v>816000</v>
      </c>
      <c r="D844" s="270"/>
      <c r="E844" s="274"/>
      <c r="F844" s="23"/>
      <c r="G844" s="23"/>
      <c r="H844" s="23"/>
      <c r="I844" s="23"/>
      <c r="J844" s="23"/>
      <c r="K844" s="23"/>
      <c r="L844" s="23"/>
      <c r="M844" s="23"/>
      <c r="N844" s="23"/>
      <c r="O844" s="23"/>
      <c r="P844" s="23"/>
      <c r="Q844" s="23"/>
      <c r="R844" s="23"/>
      <c r="S844" s="23"/>
      <c r="T844" s="23"/>
      <c r="U844" s="23"/>
      <c r="V844" s="23"/>
      <c r="W844" s="23"/>
      <c r="X844" s="23"/>
    </row>
    <row r="845" spans="1:24" ht="13.5" customHeight="1">
      <c r="A845" s="33">
        <v>21120301</v>
      </c>
      <c r="B845" s="13" t="s">
        <v>527</v>
      </c>
      <c r="C845" s="24">
        <v>534000</v>
      </c>
      <c r="D845" s="32"/>
      <c r="E845" s="14"/>
      <c r="F845" s="13"/>
      <c r="G845" s="13"/>
      <c r="H845" s="13"/>
      <c r="I845" s="13"/>
      <c r="J845" s="13"/>
      <c r="K845" s="13"/>
      <c r="L845" s="13"/>
      <c r="M845" s="13"/>
      <c r="N845" s="13"/>
      <c r="O845" s="13"/>
      <c r="P845" s="13"/>
      <c r="Q845" s="13"/>
      <c r="R845" s="13"/>
      <c r="S845" s="13"/>
      <c r="T845" s="13"/>
      <c r="U845" s="13"/>
      <c r="V845" s="13"/>
      <c r="W845" s="13"/>
      <c r="X845" s="13"/>
    </row>
    <row r="846" spans="1:24" ht="12.75" customHeight="1">
      <c r="A846" s="33">
        <v>21120302</v>
      </c>
      <c r="B846" s="23" t="s">
        <v>462</v>
      </c>
      <c r="C846" s="24">
        <v>282000</v>
      </c>
      <c r="D846" s="270"/>
      <c r="E846" s="4"/>
      <c r="F846" s="4"/>
      <c r="G846" s="4"/>
      <c r="H846" s="4"/>
      <c r="I846" s="4"/>
      <c r="J846" s="4"/>
      <c r="K846" s="4"/>
      <c r="L846" s="4"/>
      <c r="M846" s="4"/>
      <c r="N846" s="4"/>
      <c r="O846" s="4"/>
      <c r="P846" s="4"/>
      <c r="Q846" s="4"/>
      <c r="R846" s="4"/>
      <c r="S846" s="4"/>
      <c r="T846" s="4"/>
      <c r="U846" s="4"/>
      <c r="V846" s="4"/>
      <c r="W846" s="4"/>
      <c r="X846" s="4"/>
    </row>
    <row r="847" spans="1:24" ht="12.75" customHeight="1">
      <c r="A847" s="48">
        <v>211204</v>
      </c>
      <c r="B847" s="21" t="s">
        <v>463</v>
      </c>
      <c r="C847" s="26">
        <f>C848</f>
        <v>1313000</v>
      </c>
      <c r="D847" s="270"/>
      <c r="E847" s="4"/>
      <c r="F847" s="4"/>
      <c r="G847" s="4"/>
      <c r="H847" s="4"/>
      <c r="I847" s="4"/>
      <c r="J847" s="4"/>
      <c r="K847" s="4"/>
      <c r="L847" s="4"/>
      <c r="M847" s="4"/>
      <c r="N847" s="4"/>
      <c r="O847" s="4"/>
      <c r="P847" s="4"/>
      <c r="Q847" s="4"/>
      <c r="R847" s="4"/>
      <c r="S847" s="4"/>
      <c r="T847" s="4"/>
      <c r="U847" s="4"/>
      <c r="V847" s="4"/>
      <c r="W847" s="4"/>
      <c r="X847" s="4"/>
    </row>
    <row r="848" spans="1:24" ht="12.75" customHeight="1">
      <c r="A848" s="33">
        <v>21120401</v>
      </c>
      <c r="B848" s="24" t="s">
        <v>464</v>
      </c>
      <c r="C848" s="24">
        <v>1313000</v>
      </c>
      <c r="D848" s="270"/>
      <c r="E848" s="274"/>
      <c r="F848" s="4"/>
      <c r="G848" s="4"/>
      <c r="H848" s="4"/>
      <c r="I848" s="4"/>
      <c r="J848" s="4"/>
      <c r="K848" s="4"/>
      <c r="L848" s="4"/>
      <c r="M848" s="4"/>
      <c r="N848" s="4"/>
      <c r="O848" s="4"/>
      <c r="P848" s="4"/>
      <c r="Q848" s="4"/>
      <c r="R848" s="4"/>
      <c r="S848" s="4"/>
      <c r="T848" s="4"/>
      <c r="U848" s="4"/>
      <c r="V848" s="4"/>
      <c r="W848" s="4"/>
      <c r="X848" s="4"/>
    </row>
    <row r="849" spans="1:24" ht="12.75" customHeight="1">
      <c r="A849" s="48">
        <v>211205</v>
      </c>
      <c r="B849" s="15" t="s">
        <v>465</v>
      </c>
      <c r="C849" s="26">
        <f>C850</f>
        <v>1047573.1800000002</v>
      </c>
      <c r="D849" s="80"/>
      <c r="E849" s="8"/>
      <c r="F849" s="8"/>
      <c r="G849" s="8"/>
      <c r="H849" s="8"/>
      <c r="I849" s="8"/>
      <c r="J849" s="8"/>
      <c r="K849" s="8"/>
      <c r="L849" s="8"/>
      <c r="M849" s="8"/>
      <c r="N849" s="8"/>
      <c r="O849" s="8"/>
      <c r="P849" s="8"/>
      <c r="Q849" s="8"/>
      <c r="R849" s="8"/>
      <c r="S849" s="8"/>
      <c r="T849" s="8"/>
      <c r="U849" s="8"/>
      <c r="V849" s="8"/>
      <c r="W849" s="8"/>
      <c r="X849" s="8"/>
    </row>
    <row r="850" spans="1:24" ht="12.75" customHeight="1">
      <c r="A850" s="33">
        <v>21120501</v>
      </c>
      <c r="B850" s="13" t="s">
        <v>466</v>
      </c>
      <c r="C850" s="14">
        <f>4672000-3124426.82-500000</f>
        <v>1047573.1800000002</v>
      </c>
      <c r="D850" s="80"/>
      <c r="E850" s="8"/>
      <c r="F850" s="8"/>
      <c r="G850" s="8"/>
      <c r="H850" s="8"/>
      <c r="I850" s="8"/>
      <c r="J850" s="8"/>
      <c r="K850" s="8"/>
      <c r="L850" s="8"/>
      <c r="M850" s="8"/>
      <c r="N850" s="8"/>
      <c r="O850" s="8"/>
      <c r="P850" s="8"/>
      <c r="Q850" s="8"/>
      <c r="R850" s="8"/>
      <c r="S850" s="8"/>
      <c r="T850" s="8"/>
      <c r="U850" s="8"/>
      <c r="V850" s="8"/>
      <c r="W850" s="8"/>
      <c r="X850" s="8"/>
    </row>
    <row r="851" spans="1:24" ht="12.75" customHeight="1">
      <c r="A851" s="48">
        <v>211207</v>
      </c>
      <c r="B851" s="828" t="s">
        <v>467</v>
      </c>
      <c r="C851" s="26">
        <f>+SUM(C852:C856)</f>
        <v>1553500</v>
      </c>
      <c r="D851" s="123"/>
      <c r="E851" s="274"/>
      <c r="F851" s="4"/>
      <c r="G851" s="4"/>
      <c r="H851" s="4"/>
      <c r="I851" s="4"/>
      <c r="J851" s="4"/>
      <c r="K851" s="4"/>
      <c r="L851" s="4"/>
      <c r="M851" s="4"/>
      <c r="N851" s="4"/>
      <c r="O851" s="4"/>
      <c r="P851" s="4"/>
      <c r="Q851" s="4"/>
      <c r="R851" s="4"/>
      <c r="S851" s="4"/>
      <c r="T851" s="4"/>
      <c r="U851" s="4"/>
      <c r="V851" s="4"/>
      <c r="W851" s="4"/>
      <c r="X851" s="4"/>
    </row>
    <row r="852" spans="1:24" ht="12.75" customHeight="1">
      <c r="A852" s="33">
        <v>21120702</v>
      </c>
      <c r="B852" s="13" t="s">
        <v>468</v>
      </c>
      <c r="C852" s="24">
        <f>150000+40000</f>
        <v>190000</v>
      </c>
      <c r="D852" s="123"/>
      <c r="E852" s="274"/>
      <c r="F852" s="4"/>
      <c r="G852" s="4"/>
      <c r="H852" s="4"/>
      <c r="I852" s="4"/>
      <c r="J852" s="4"/>
      <c r="K852" s="4"/>
      <c r="L852" s="4"/>
      <c r="M852" s="4"/>
      <c r="N852" s="4"/>
      <c r="O852" s="4"/>
      <c r="P852" s="4"/>
      <c r="Q852" s="4"/>
      <c r="R852" s="4"/>
      <c r="S852" s="4"/>
      <c r="T852" s="4"/>
      <c r="U852" s="4"/>
      <c r="V852" s="4"/>
      <c r="W852" s="4"/>
      <c r="X852" s="4"/>
    </row>
    <row r="853" spans="1:24" ht="12.75" customHeight="1">
      <c r="A853" s="33">
        <v>21120708</v>
      </c>
      <c r="B853" s="13" t="s">
        <v>470</v>
      </c>
      <c r="C853" s="24">
        <f>150000+23000</f>
        <v>173000</v>
      </c>
      <c r="D853" s="123"/>
      <c r="E853" s="274"/>
      <c r="F853" s="4"/>
      <c r="G853" s="4"/>
      <c r="H853" s="4"/>
      <c r="I853" s="4"/>
      <c r="J853" s="4"/>
      <c r="K853" s="4"/>
      <c r="L853" s="4"/>
      <c r="M853" s="4"/>
      <c r="N853" s="4"/>
      <c r="O853" s="4"/>
      <c r="P853" s="4"/>
      <c r="Q853" s="4"/>
      <c r="R853" s="4"/>
      <c r="S853" s="4"/>
      <c r="T853" s="4"/>
      <c r="U853" s="4"/>
      <c r="V853" s="4"/>
      <c r="W853" s="4"/>
      <c r="X853" s="4"/>
    </row>
    <row r="854" spans="1:24" ht="12.75" customHeight="1">
      <c r="A854" s="33">
        <v>21120709</v>
      </c>
      <c r="B854" s="24" t="s">
        <v>471</v>
      </c>
      <c r="C854" s="24">
        <v>45000</v>
      </c>
      <c r="D854" s="8"/>
      <c r="E854" s="8"/>
      <c r="F854" s="8"/>
      <c r="G854" s="8"/>
      <c r="H854" s="8"/>
      <c r="I854" s="8"/>
      <c r="J854" s="8"/>
      <c r="K854" s="8"/>
      <c r="L854" s="8"/>
      <c r="M854" s="8"/>
      <c r="N854" s="8"/>
      <c r="O854" s="8"/>
      <c r="P854" s="8"/>
      <c r="Q854" s="8"/>
      <c r="R854" s="8"/>
      <c r="S854" s="8"/>
      <c r="T854" s="8"/>
      <c r="U854" s="8"/>
      <c r="V854" s="8"/>
      <c r="W854" s="8"/>
      <c r="X854" s="8"/>
    </row>
    <row r="855" spans="1:24" ht="12.75" customHeight="1">
      <c r="A855" s="33">
        <v>21120710</v>
      </c>
      <c r="B855" s="24" t="s">
        <v>472</v>
      </c>
      <c r="C855" s="24">
        <v>120000</v>
      </c>
      <c r="D855" s="8"/>
      <c r="E855" s="8"/>
      <c r="F855" s="8"/>
      <c r="G855" s="8"/>
      <c r="H855" s="8"/>
      <c r="I855" s="8"/>
      <c r="J855" s="8"/>
      <c r="K855" s="8"/>
      <c r="L855" s="8"/>
      <c r="M855" s="8"/>
      <c r="N855" s="8"/>
      <c r="O855" s="8"/>
      <c r="P855" s="8"/>
      <c r="Q855" s="8"/>
      <c r="R855" s="8"/>
      <c r="S855" s="8"/>
      <c r="T855" s="8"/>
      <c r="U855" s="8"/>
      <c r="V855" s="8"/>
      <c r="W855" s="8"/>
      <c r="X855" s="8"/>
    </row>
    <row r="856" spans="1:24" ht="12.75" customHeight="1">
      <c r="A856" s="33">
        <v>21120711</v>
      </c>
      <c r="B856" s="24" t="s">
        <v>473</v>
      </c>
      <c r="C856" s="24">
        <f>1325500-300000</f>
        <v>1025500</v>
      </c>
      <c r="D856" s="8"/>
      <c r="E856" s="8"/>
      <c r="F856" s="8"/>
      <c r="G856" s="8"/>
      <c r="H856" s="8"/>
      <c r="I856" s="8"/>
      <c r="J856" s="8"/>
      <c r="K856" s="8"/>
      <c r="L856" s="8"/>
      <c r="M856" s="8"/>
      <c r="N856" s="8"/>
      <c r="O856" s="8"/>
      <c r="P856" s="8"/>
      <c r="Q856" s="8"/>
      <c r="R856" s="8"/>
      <c r="S856" s="8"/>
      <c r="T856" s="8"/>
      <c r="U856" s="8"/>
      <c r="V856" s="8"/>
      <c r="W856" s="8"/>
      <c r="X856" s="8"/>
    </row>
    <row r="857" spans="1:24" ht="12.75" customHeight="1">
      <c r="A857" s="48">
        <v>211208</v>
      </c>
      <c r="B857" s="26" t="s">
        <v>474</v>
      </c>
      <c r="C857" s="26">
        <f>+SUM(C858:C859)</f>
        <v>409500</v>
      </c>
      <c r="D857" s="123"/>
      <c r="E857" s="274"/>
      <c r="F857" s="4"/>
      <c r="G857" s="4"/>
      <c r="H857" s="4"/>
      <c r="I857" s="4"/>
      <c r="J857" s="4"/>
      <c r="K857" s="4"/>
      <c r="L857" s="4"/>
      <c r="M857" s="4"/>
      <c r="N857" s="4"/>
      <c r="O857" s="4"/>
      <c r="P857" s="4"/>
      <c r="Q857" s="4"/>
      <c r="R857" s="4"/>
      <c r="S857" s="4"/>
      <c r="T857" s="4"/>
      <c r="U857" s="4"/>
      <c r="V857" s="4"/>
      <c r="W857" s="4"/>
      <c r="X857" s="4"/>
    </row>
    <row r="858" spans="1:24" ht="12.75" customHeight="1">
      <c r="A858" s="33">
        <v>21120801</v>
      </c>
      <c r="B858" s="13" t="s">
        <v>475</v>
      </c>
      <c r="C858" s="24">
        <v>119500</v>
      </c>
      <c r="D858" s="8"/>
      <c r="E858" s="8"/>
      <c r="F858" s="8"/>
      <c r="G858" s="8"/>
      <c r="H858" s="8"/>
      <c r="I858" s="8"/>
      <c r="J858" s="8"/>
      <c r="K858" s="8"/>
      <c r="L858" s="8"/>
      <c r="M858" s="8"/>
      <c r="N858" s="8"/>
      <c r="O858" s="8"/>
      <c r="P858" s="8"/>
      <c r="Q858" s="8"/>
      <c r="R858" s="8"/>
      <c r="S858" s="8"/>
      <c r="T858" s="8"/>
      <c r="U858" s="8"/>
      <c r="V858" s="8"/>
      <c r="W858" s="8"/>
      <c r="X858" s="8"/>
    </row>
    <row r="859" spans="1:24" ht="12.75" customHeight="1">
      <c r="A859" s="33">
        <v>21120805</v>
      </c>
      <c r="B859" s="24" t="s">
        <v>476</v>
      </c>
      <c r="C859" s="24">
        <v>290000</v>
      </c>
      <c r="D859" s="123"/>
      <c r="E859" s="274"/>
      <c r="F859" s="4"/>
      <c r="G859" s="4"/>
      <c r="H859" s="4"/>
      <c r="I859" s="4"/>
      <c r="J859" s="4"/>
      <c r="K859" s="4"/>
      <c r="L859" s="4"/>
      <c r="M859" s="4"/>
      <c r="N859" s="4"/>
      <c r="O859" s="4"/>
      <c r="P859" s="4"/>
      <c r="Q859" s="4"/>
      <c r="R859" s="4"/>
      <c r="S859" s="4"/>
      <c r="T859" s="4"/>
      <c r="U859" s="4"/>
      <c r="V859" s="4"/>
      <c r="W859" s="4"/>
      <c r="X859" s="4"/>
    </row>
    <row r="860" spans="1:24" ht="12.75" customHeight="1">
      <c r="A860" s="48">
        <v>211209</v>
      </c>
      <c r="B860" s="26" t="s">
        <v>477</v>
      </c>
      <c r="C860" s="26">
        <f>+SUM(C861:C864)</f>
        <v>2926500</v>
      </c>
      <c r="D860" s="270"/>
      <c r="E860" s="274"/>
      <c r="F860" s="4"/>
      <c r="G860" s="4"/>
      <c r="H860" s="4"/>
      <c r="I860" s="4"/>
      <c r="J860" s="4"/>
      <c r="K860" s="4"/>
      <c r="L860" s="4"/>
      <c r="M860" s="4"/>
      <c r="N860" s="4"/>
      <c r="O860" s="4"/>
      <c r="P860" s="4"/>
      <c r="Q860" s="4"/>
      <c r="R860" s="4"/>
      <c r="S860" s="4"/>
      <c r="T860" s="4"/>
      <c r="U860" s="4"/>
      <c r="V860" s="4"/>
      <c r="W860" s="4"/>
      <c r="X860" s="4"/>
    </row>
    <row r="861" spans="1:24" ht="12.75" customHeight="1">
      <c r="A861" s="33">
        <v>21120901</v>
      </c>
      <c r="B861" s="24" t="s">
        <v>478</v>
      </c>
      <c r="C861" s="24">
        <v>315500</v>
      </c>
      <c r="D861" s="270"/>
      <c r="E861" s="274"/>
      <c r="F861" s="4"/>
      <c r="G861" s="4"/>
      <c r="H861" s="4"/>
      <c r="I861" s="4"/>
      <c r="J861" s="4"/>
      <c r="K861" s="4"/>
      <c r="L861" s="4"/>
      <c r="M861" s="4"/>
      <c r="N861" s="4"/>
      <c r="O861" s="4"/>
      <c r="P861" s="4"/>
      <c r="Q861" s="4"/>
      <c r="R861" s="4"/>
      <c r="S861" s="4"/>
      <c r="T861" s="4"/>
      <c r="U861" s="4"/>
      <c r="V861" s="4"/>
      <c r="W861" s="4"/>
      <c r="X861" s="4"/>
    </row>
    <row r="862" spans="1:24" ht="12.75" customHeight="1">
      <c r="A862" s="33">
        <v>21120905</v>
      </c>
      <c r="B862" s="24" t="s">
        <v>525</v>
      </c>
      <c r="C862" s="24">
        <v>1201500</v>
      </c>
      <c r="D862" s="270"/>
      <c r="E862" s="274"/>
      <c r="F862" s="4"/>
      <c r="G862" s="4"/>
      <c r="H862" s="4"/>
      <c r="I862" s="4"/>
      <c r="J862" s="4"/>
      <c r="K862" s="4"/>
      <c r="L862" s="4"/>
      <c r="M862" s="4"/>
      <c r="N862" s="4"/>
      <c r="O862" s="4"/>
      <c r="P862" s="4"/>
      <c r="Q862" s="4"/>
      <c r="R862" s="4"/>
      <c r="S862" s="4"/>
      <c r="T862" s="4"/>
      <c r="U862" s="4"/>
      <c r="V862" s="4"/>
      <c r="W862" s="4"/>
      <c r="X862" s="4"/>
    </row>
    <row r="863" spans="1:24" ht="12.75" customHeight="1">
      <c r="A863" s="33">
        <v>21120906</v>
      </c>
      <c r="B863" s="24" t="s">
        <v>479</v>
      </c>
      <c r="C863" s="24">
        <v>494000</v>
      </c>
      <c r="D863" s="270"/>
      <c r="E863" s="274"/>
      <c r="F863" s="4"/>
      <c r="G863" s="4"/>
      <c r="H863" s="4"/>
      <c r="I863" s="4"/>
      <c r="J863" s="4"/>
      <c r="K863" s="4"/>
      <c r="L863" s="4"/>
      <c r="M863" s="4"/>
      <c r="N863" s="4"/>
      <c r="O863" s="4"/>
      <c r="P863" s="4"/>
      <c r="Q863" s="4"/>
      <c r="R863" s="4"/>
      <c r="S863" s="4"/>
      <c r="T863" s="4"/>
      <c r="U863" s="4"/>
      <c r="V863" s="4"/>
      <c r="W863" s="4"/>
      <c r="X863" s="4"/>
    </row>
    <row r="864" spans="1:24" ht="13.5" customHeight="1">
      <c r="A864" s="33">
        <v>21120907</v>
      </c>
      <c r="B864" s="13" t="s">
        <v>480</v>
      </c>
      <c r="C864" s="24">
        <v>915500</v>
      </c>
      <c r="D864" s="123"/>
      <c r="E864" s="274"/>
      <c r="F864" s="21"/>
      <c r="G864" s="21"/>
      <c r="H864" s="21"/>
      <c r="I864" s="21"/>
      <c r="J864" s="21"/>
      <c r="K864" s="21"/>
      <c r="L864" s="21"/>
      <c r="M864" s="21"/>
      <c r="N864" s="21"/>
      <c r="O864" s="21"/>
      <c r="P864" s="21"/>
      <c r="Q864" s="21"/>
      <c r="R864" s="21"/>
      <c r="S864" s="21"/>
      <c r="T864" s="21"/>
      <c r="U864" s="21"/>
      <c r="V864" s="21"/>
      <c r="W864" s="21"/>
      <c r="X864" s="21"/>
    </row>
    <row r="865" spans="1:24" ht="12.75" customHeight="1" thickBot="1">
      <c r="A865" s="23"/>
      <c r="B865" s="24"/>
      <c r="C865" s="24"/>
      <c r="D865" s="270"/>
      <c r="E865" s="274"/>
      <c r="F865" s="4"/>
      <c r="G865" s="4"/>
      <c r="H865" s="4"/>
      <c r="I865" s="4"/>
      <c r="J865" s="4"/>
      <c r="K865" s="4"/>
      <c r="L865" s="4"/>
      <c r="M865" s="4"/>
      <c r="N865" s="4"/>
      <c r="O865" s="4"/>
      <c r="P865" s="4"/>
      <c r="Q865" s="4"/>
      <c r="R865" s="4"/>
      <c r="S865" s="4"/>
      <c r="T865" s="4"/>
      <c r="U865" s="4"/>
      <c r="V865" s="4"/>
      <c r="W865" s="4"/>
      <c r="X865" s="4"/>
    </row>
    <row r="866" spans="1:24" ht="12.75" customHeight="1" thickBot="1">
      <c r="A866" s="1298" t="s">
        <v>4</v>
      </c>
      <c r="B866" s="1281"/>
      <c r="C866" s="64">
        <f>C867+C873+C876+C880+C870+C878</f>
        <v>15821000</v>
      </c>
      <c r="D866" s="270"/>
      <c r="E866" s="4"/>
      <c r="F866" s="4"/>
      <c r="G866" s="4"/>
      <c r="H866" s="4"/>
      <c r="I866" s="4"/>
      <c r="J866" s="4"/>
      <c r="K866" s="4"/>
      <c r="L866" s="4"/>
      <c r="M866" s="4"/>
      <c r="N866" s="4"/>
      <c r="O866" s="4"/>
      <c r="P866" s="4"/>
      <c r="Q866" s="4"/>
      <c r="R866" s="4"/>
      <c r="S866" s="4"/>
      <c r="T866" s="4"/>
      <c r="U866" s="4"/>
      <c r="V866" s="4"/>
      <c r="W866" s="4"/>
      <c r="X866" s="4"/>
    </row>
    <row r="867" spans="1:24" ht="12.75" customHeight="1">
      <c r="A867" s="48">
        <v>211302</v>
      </c>
      <c r="B867" s="48" t="s">
        <v>481</v>
      </c>
      <c r="C867" s="49">
        <f>SUM(C868:C869)</f>
        <v>478000</v>
      </c>
      <c r="D867" s="60"/>
      <c r="E867" s="60"/>
      <c r="F867" s="34"/>
      <c r="G867" s="34"/>
      <c r="H867" s="34"/>
      <c r="I867" s="34"/>
      <c r="J867" s="34"/>
      <c r="K867" s="34"/>
      <c r="L867" s="34"/>
      <c r="M867" s="34"/>
      <c r="N867" s="34"/>
      <c r="O867" s="34"/>
      <c r="P867" s="34"/>
      <c r="Q867" s="34"/>
      <c r="R867" s="34"/>
      <c r="S867" s="34"/>
      <c r="T867" s="34"/>
      <c r="U867" s="34"/>
      <c r="V867" s="34"/>
      <c r="W867" s="34"/>
      <c r="X867" s="34"/>
    </row>
    <row r="868" spans="1:24" ht="13.5" customHeight="1">
      <c r="A868" s="33">
        <v>21130202</v>
      </c>
      <c r="B868" s="24" t="s">
        <v>592</v>
      </c>
      <c r="C868" s="24">
        <v>358000</v>
      </c>
      <c r="D868" s="275"/>
      <c r="E868" s="271"/>
      <c r="F868" s="24"/>
      <c r="G868" s="23"/>
      <c r="H868" s="23"/>
      <c r="I868" s="23"/>
      <c r="J868" s="23"/>
      <c r="K868" s="23"/>
      <c r="L868" s="23"/>
      <c r="M868" s="23"/>
      <c r="N868" s="23"/>
      <c r="O868" s="23"/>
      <c r="P868" s="23"/>
      <c r="Q868" s="23"/>
      <c r="R868" s="23"/>
      <c r="S868" s="23"/>
      <c r="T868" s="23"/>
      <c r="U868" s="23"/>
      <c r="V868" s="23"/>
      <c r="W868" s="23"/>
      <c r="X868" s="23"/>
    </row>
    <row r="869" spans="1:24" ht="13.5" customHeight="1">
      <c r="A869" s="33">
        <v>21130204</v>
      </c>
      <c r="B869" s="24" t="s">
        <v>483</v>
      </c>
      <c r="C869" s="24">
        <v>120000</v>
      </c>
      <c r="D869" s="275"/>
      <c r="E869" s="271"/>
      <c r="F869" s="24"/>
      <c r="G869" s="23"/>
      <c r="H869" s="23"/>
      <c r="I869" s="23"/>
      <c r="J869" s="23"/>
      <c r="K869" s="23"/>
      <c r="L869" s="23"/>
      <c r="M869" s="23"/>
      <c r="N869" s="23"/>
      <c r="O869" s="23"/>
      <c r="P869" s="23"/>
      <c r="Q869" s="23"/>
      <c r="R869" s="23"/>
      <c r="S869" s="23"/>
      <c r="T869" s="23"/>
      <c r="U869" s="23"/>
      <c r="V869" s="23"/>
      <c r="W869" s="23"/>
      <c r="X869" s="23"/>
    </row>
    <row r="870" spans="1:24" ht="13.5" customHeight="1">
      <c r="A870" s="48">
        <v>211303</v>
      </c>
      <c r="B870" s="26" t="s">
        <v>484</v>
      </c>
      <c r="C870" s="26">
        <f>SUM(C871:C872)</f>
        <v>1190000</v>
      </c>
      <c r="D870" s="275"/>
      <c r="E870" s="271"/>
      <c r="F870" s="24"/>
      <c r="G870" s="23"/>
      <c r="H870" s="23"/>
      <c r="I870" s="23"/>
      <c r="J870" s="23"/>
      <c r="K870" s="23"/>
      <c r="L870" s="23"/>
      <c r="M870" s="23"/>
      <c r="N870" s="23"/>
      <c r="O870" s="23"/>
      <c r="P870" s="23"/>
      <c r="Q870" s="23"/>
      <c r="R870" s="23"/>
      <c r="S870" s="23"/>
      <c r="T870" s="23"/>
      <c r="U870" s="23"/>
      <c r="V870" s="23"/>
      <c r="W870" s="23"/>
      <c r="X870" s="23"/>
    </row>
    <row r="871" spans="1:24" ht="13.5" customHeight="1">
      <c r="A871" s="40">
        <v>21130306</v>
      </c>
      <c r="B871" s="13" t="s">
        <v>487</v>
      </c>
      <c r="C871" s="14">
        <v>174500</v>
      </c>
      <c r="D871" s="8"/>
      <c r="E871" s="14"/>
      <c r="F871" s="30"/>
      <c r="G871" s="30"/>
      <c r="H871" s="8"/>
      <c r="I871" s="8"/>
      <c r="J871" s="8"/>
      <c r="K871" s="8"/>
      <c r="L871" s="8"/>
      <c r="M871" s="8"/>
      <c r="N871" s="8"/>
      <c r="O871" s="8"/>
      <c r="P871" s="8"/>
      <c r="Q871" s="8"/>
      <c r="R871" s="8"/>
      <c r="S871" s="8"/>
      <c r="T871" s="8"/>
      <c r="U871" s="8"/>
      <c r="V871" s="8"/>
      <c r="W871" s="8"/>
      <c r="X871" s="8"/>
    </row>
    <row r="872" spans="1:24" ht="13.5" customHeight="1">
      <c r="A872" s="33">
        <v>21130307</v>
      </c>
      <c r="B872" s="23" t="s">
        <v>488</v>
      </c>
      <c r="C872" s="24">
        <v>1015500</v>
      </c>
      <c r="D872" s="272"/>
      <c r="E872" s="23"/>
      <c r="F872" s="24"/>
      <c r="G872" s="23"/>
      <c r="H872" s="23"/>
      <c r="I872" s="23"/>
      <c r="J872" s="23"/>
      <c r="K872" s="23"/>
      <c r="L872" s="23"/>
      <c r="M872" s="23"/>
      <c r="N872" s="23"/>
      <c r="O872" s="23"/>
      <c r="P872" s="23"/>
      <c r="Q872" s="23"/>
      <c r="R872" s="23"/>
      <c r="S872" s="23"/>
      <c r="T872" s="23"/>
      <c r="U872" s="23"/>
      <c r="V872" s="23"/>
      <c r="W872" s="23"/>
      <c r="X872" s="23"/>
    </row>
    <row r="873" spans="1:24" ht="13.5" customHeight="1">
      <c r="A873" s="48">
        <v>211305</v>
      </c>
      <c r="B873" s="26" t="s">
        <v>489</v>
      </c>
      <c r="C873" s="26">
        <f>SUM(C874:C875)</f>
        <v>3233500</v>
      </c>
      <c r="D873" s="276"/>
      <c r="E873" s="271"/>
      <c r="F873" s="24"/>
      <c r="G873" s="23"/>
      <c r="H873" s="23"/>
      <c r="I873" s="23"/>
      <c r="J873" s="23"/>
      <c r="K873" s="23"/>
      <c r="L873" s="23"/>
      <c r="M873" s="23"/>
      <c r="N873" s="23"/>
      <c r="O873" s="23"/>
      <c r="P873" s="23"/>
      <c r="Q873" s="23"/>
      <c r="R873" s="23"/>
      <c r="S873" s="23"/>
      <c r="T873" s="23"/>
      <c r="U873" s="23"/>
      <c r="V873" s="23"/>
      <c r="W873" s="23"/>
      <c r="X873" s="23"/>
    </row>
    <row r="874" spans="1:24" ht="13.5" customHeight="1">
      <c r="A874" s="33">
        <v>21130501</v>
      </c>
      <c r="B874" s="13" t="s">
        <v>490</v>
      </c>
      <c r="C874" s="24">
        <v>215000</v>
      </c>
      <c r="D874" s="275"/>
      <c r="E874" s="23"/>
      <c r="F874" s="24"/>
      <c r="G874" s="23"/>
      <c r="H874" s="23"/>
      <c r="I874" s="23"/>
      <c r="J874" s="23"/>
      <c r="K874" s="23"/>
      <c r="L874" s="23"/>
      <c r="M874" s="23"/>
      <c r="N874" s="23"/>
      <c r="O874" s="23"/>
      <c r="P874" s="23"/>
      <c r="Q874" s="23"/>
      <c r="R874" s="23"/>
      <c r="S874" s="23"/>
      <c r="T874" s="23"/>
      <c r="U874" s="23"/>
      <c r="V874" s="23"/>
      <c r="W874" s="23"/>
      <c r="X874" s="23"/>
    </row>
    <row r="875" spans="1:24" ht="13.5" customHeight="1">
      <c r="A875" s="33">
        <v>21130502</v>
      </c>
      <c r="B875" s="23" t="s">
        <v>491</v>
      </c>
      <c r="C875" s="24">
        <f>3018500</f>
        <v>3018500</v>
      </c>
      <c r="D875" s="275"/>
      <c r="E875" s="23"/>
      <c r="F875" s="24"/>
      <c r="G875" s="23"/>
      <c r="H875" s="23"/>
      <c r="I875" s="23"/>
      <c r="J875" s="23"/>
      <c r="K875" s="23"/>
      <c r="L875" s="23"/>
      <c r="M875" s="23"/>
      <c r="N875" s="23"/>
      <c r="O875" s="23"/>
      <c r="P875" s="23"/>
      <c r="Q875" s="23"/>
      <c r="R875" s="23"/>
      <c r="S875" s="23"/>
      <c r="T875" s="23"/>
      <c r="U875" s="23"/>
      <c r="V875" s="23"/>
      <c r="W875" s="23"/>
      <c r="X875" s="23"/>
    </row>
    <row r="876" spans="1:24" ht="13.5" customHeight="1">
      <c r="A876" s="48">
        <v>211306</v>
      </c>
      <c r="B876" s="21" t="s">
        <v>492</v>
      </c>
      <c r="C876" s="26">
        <f>C877</f>
        <v>460000</v>
      </c>
      <c r="D876" s="275"/>
      <c r="E876" s="271"/>
      <c r="F876" s="24"/>
      <c r="G876" s="23"/>
      <c r="H876" s="23"/>
      <c r="I876" s="23"/>
      <c r="J876" s="23"/>
      <c r="K876" s="23"/>
      <c r="L876" s="23"/>
      <c r="M876" s="23"/>
      <c r="N876" s="23"/>
      <c r="O876" s="23"/>
      <c r="P876" s="23"/>
      <c r="Q876" s="23"/>
      <c r="R876" s="23"/>
      <c r="S876" s="23"/>
      <c r="T876" s="23"/>
      <c r="U876" s="23"/>
      <c r="V876" s="23"/>
      <c r="W876" s="23"/>
      <c r="X876" s="23"/>
    </row>
    <row r="877" spans="1:24" ht="13.5" customHeight="1">
      <c r="A877" s="33">
        <v>21130604</v>
      </c>
      <c r="B877" s="23" t="s">
        <v>539</v>
      </c>
      <c r="C877" s="24">
        <v>460000</v>
      </c>
      <c r="D877" s="123"/>
      <c r="E877" s="123"/>
      <c r="F877" s="23"/>
      <c r="G877" s="23"/>
      <c r="H877" s="23"/>
      <c r="I877" s="23"/>
      <c r="J877" s="23"/>
      <c r="K877" s="23"/>
      <c r="L877" s="23"/>
      <c r="M877" s="23"/>
      <c r="N877" s="23"/>
      <c r="O877" s="23"/>
      <c r="P877" s="23"/>
      <c r="Q877" s="23"/>
      <c r="R877" s="23"/>
      <c r="S877" s="23"/>
      <c r="T877" s="23"/>
      <c r="U877" s="23"/>
      <c r="V877" s="23"/>
      <c r="W877" s="23"/>
      <c r="X877" s="23"/>
    </row>
    <row r="878" spans="1:24" ht="13.5" customHeight="1">
      <c r="A878" s="48">
        <v>211307</v>
      </c>
      <c r="B878" s="21" t="s">
        <v>494</v>
      </c>
      <c r="C878" s="26">
        <f>C879</f>
        <v>267000</v>
      </c>
      <c r="D878" s="272"/>
      <c r="E878" s="23"/>
      <c r="F878" s="24"/>
      <c r="G878" s="23"/>
      <c r="H878" s="23"/>
      <c r="I878" s="23"/>
      <c r="J878" s="23"/>
      <c r="K878" s="23"/>
      <c r="L878" s="23"/>
      <c r="M878" s="23"/>
      <c r="N878" s="23"/>
      <c r="O878" s="23"/>
      <c r="P878" s="23"/>
      <c r="Q878" s="23"/>
      <c r="R878" s="23"/>
      <c r="S878" s="23"/>
      <c r="T878" s="23"/>
      <c r="U878" s="23"/>
      <c r="V878" s="23"/>
      <c r="W878" s="23"/>
      <c r="X878" s="23"/>
    </row>
    <row r="879" spans="1:24" ht="13.5" customHeight="1">
      <c r="A879" s="33">
        <v>21130701</v>
      </c>
      <c r="B879" s="23" t="s">
        <v>495</v>
      </c>
      <c r="C879" s="24">
        <v>267000</v>
      </c>
      <c r="D879" s="272"/>
      <c r="E879" s="23"/>
      <c r="F879" s="24"/>
      <c r="G879" s="23"/>
      <c r="H879" s="23"/>
      <c r="I879" s="23"/>
      <c r="J879" s="23"/>
      <c r="K879" s="23"/>
      <c r="L879" s="23"/>
      <c r="M879" s="23"/>
      <c r="N879" s="23"/>
      <c r="O879" s="23"/>
      <c r="P879" s="23"/>
      <c r="Q879" s="23"/>
      <c r="R879" s="23"/>
      <c r="S879" s="23"/>
      <c r="T879" s="23"/>
      <c r="U879" s="23"/>
      <c r="V879" s="23"/>
      <c r="W879" s="23"/>
      <c r="X879" s="23"/>
    </row>
    <row r="880" spans="1:24" ht="13.5" customHeight="1">
      <c r="A880" s="48">
        <v>211309</v>
      </c>
      <c r="B880" s="26" t="s">
        <v>496</v>
      </c>
      <c r="C880" s="26">
        <f>+SUM(C881:C884)</f>
        <v>10192500</v>
      </c>
      <c r="D880" s="123"/>
      <c r="E880" s="23"/>
      <c r="F880" s="24"/>
      <c r="G880" s="23"/>
      <c r="H880" s="23"/>
      <c r="I880" s="23"/>
      <c r="J880" s="23"/>
      <c r="K880" s="23"/>
      <c r="L880" s="23"/>
      <c r="M880" s="23"/>
      <c r="N880" s="23"/>
      <c r="O880" s="23"/>
      <c r="P880" s="23"/>
      <c r="Q880" s="23"/>
      <c r="R880" s="23"/>
      <c r="S880" s="23"/>
      <c r="T880" s="23"/>
      <c r="U880" s="23"/>
      <c r="V880" s="23"/>
      <c r="W880" s="23"/>
      <c r="X880" s="23"/>
    </row>
    <row r="881" spans="1:24" ht="13.5" customHeight="1">
      <c r="A881" s="33">
        <v>21130901</v>
      </c>
      <c r="B881" s="24" t="s">
        <v>497</v>
      </c>
      <c r="C881" s="24">
        <v>8000000</v>
      </c>
      <c r="D881" s="275"/>
      <c r="E881" s="123"/>
      <c r="F881" s="23"/>
      <c r="G881" s="23"/>
      <c r="H881" s="23"/>
      <c r="I881" s="23"/>
      <c r="J881" s="23"/>
      <c r="K881" s="23"/>
      <c r="L881" s="23"/>
      <c r="M881" s="23"/>
      <c r="N881" s="23"/>
      <c r="O881" s="23"/>
      <c r="P881" s="23"/>
      <c r="Q881" s="23"/>
      <c r="R881" s="23"/>
      <c r="S881" s="23"/>
      <c r="T881" s="23"/>
      <c r="U881" s="23"/>
      <c r="V881" s="23"/>
      <c r="W881" s="23"/>
      <c r="X881" s="23"/>
    </row>
    <row r="882" spans="1:24" ht="13.5" customHeight="1">
      <c r="A882" s="33">
        <v>21130903</v>
      </c>
      <c r="B882" s="24" t="s">
        <v>498</v>
      </c>
      <c r="C882" s="24">
        <v>900000</v>
      </c>
      <c r="D882" s="272"/>
      <c r="E882" s="123"/>
      <c r="F882" s="23"/>
      <c r="G882" s="23"/>
      <c r="H882" s="23"/>
      <c r="I882" s="21"/>
      <c r="J882" s="21"/>
      <c r="K882" s="21"/>
      <c r="L882" s="21"/>
      <c r="M882" s="21"/>
      <c r="N882" s="21"/>
      <c r="O882" s="21"/>
      <c r="P882" s="21"/>
      <c r="Q882" s="21"/>
      <c r="R882" s="21"/>
      <c r="S882" s="21"/>
      <c r="T882" s="21"/>
      <c r="U882" s="21"/>
      <c r="V882" s="21"/>
      <c r="W882" s="21"/>
      <c r="X882" s="21"/>
    </row>
    <row r="883" spans="1:24" ht="13.5" customHeight="1">
      <c r="A883" s="33">
        <v>21130906</v>
      </c>
      <c r="B883" s="13" t="s">
        <v>499</v>
      </c>
      <c r="C883" s="24">
        <v>1200000</v>
      </c>
      <c r="D883" s="123"/>
      <c r="E883" s="123"/>
      <c r="F883" s="21"/>
      <c r="G883" s="21"/>
      <c r="H883" s="21"/>
      <c r="I883" s="23"/>
      <c r="J883" s="23"/>
      <c r="K883" s="23"/>
      <c r="L883" s="23"/>
      <c r="M883" s="23"/>
      <c r="N883" s="23"/>
      <c r="O883" s="23"/>
      <c r="P883" s="23"/>
      <c r="Q883" s="23"/>
      <c r="R883" s="23"/>
      <c r="S883" s="23"/>
      <c r="T883" s="23"/>
      <c r="U883" s="23"/>
      <c r="V883" s="23"/>
      <c r="W883" s="23"/>
      <c r="X883" s="23"/>
    </row>
    <row r="884" spans="1:24" ht="13.5" customHeight="1">
      <c r="A884" s="33">
        <v>21130908</v>
      </c>
      <c r="B884" s="24" t="s">
        <v>500</v>
      </c>
      <c r="C884" s="24">
        <v>92500</v>
      </c>
      <c r="D884" s="123"/>
      <c r="E884" s="123"/>
      <c r="F884" s="23"/>
      <c r="G884" s="23"/>
      <c r="H884" s="24"/>
      <c r="I884" s="23"/>
      <c r="J884" s="23"/>
      <c r="K884" s="23"/>
      <c r="L884" s="23"/>
      <c r="M884" s="23"/>
      <c r="N884" s="23"/>
      <c r="O884" s="23"/>
      <c r="P884" s="23"/>
      <c r="Q884" s="23"/>
      <c r="R884" s="23"/>
      <c r="S884" s="23"/>
      <c r="T884" s="23"/>
      <c r="U884" s="23"/>
      <c r="V884" s="23"/>
      <c r="W884" s="23"/>
      <c r="X884" s="23"/>
    </row>
    <row r="885" spans="1:24" ht="13.5" customHeight="1">
      <c r="A885" s="23"/>
      <c r="B885" s="24"/>
      <c r="C885" s="24"/>
      <c r="D885" s="270"/>
      <c r="E885" s="89"/>
      <c r="F885" s="23"/>
      <c r="G885" s="23"/>
      <c r="H885" s="24"/>
      <c r="I885" s="23"/>
      <c r="J885" s="23"/>
      <c r="K885" s="23"/>
      <c r="L885" s="23"/>
      <c r="M885" s="23"/>
      <c r="N885" s="23"/>
      <c r="O885" s="23"/>
      <c r="P885" s="23"/>
      <c r="Q885" s="23"/>
      <c r="R885" s="23"/>
      <c r="S885" s="23"/>
      <c r="T885" s="23"/>
      <c r="U885" s="23"/>
      <c r="V885" s="23"/>
      <c r="W885" s="23"/>
      <c r="X885" s="23"/>
    </row>
    <row r="886" spans="1:24" ht="12.75" customHeight="1" thickBot="1">
      <c r="A886" s="23"/>
      <c r="B886" s="23"/>
      <c r="C886" s="24"/>
      <c r="D886" s="270"/>
      <c r="E886" s="4"/>
      <c r="F886" s="4"/>
      <c r="G886" s="4"/>
      <c r="H886" s="4"/>
      <c r="I886" s="4"/>
      <c r="J886" s="4"/>
      <c r="K886" s="4"/>
      <c r="L886" s="4"/>
      <c r="M886" s="4"/>
      <c r="N886" s="4"/>
      <c r="O886" s="4"/>
      <c r="P886" s="4"/>
      <c r="Q886" s="4"/>
      <c r="R886" s="4"/>
      <c r="S886" s="4"/>
      <c r="T886" s="4"/>
      <c r="U886" s="4"/>
      <c r="V886" s="4"/>
      <c r="W886" s="4"/>
      <c r="X886" s="4"/>
    </row>
    <row r="887" spans="1:24" ht="12.75" customHeight="1" thickBot="1">
      <c r="A887" s="1299" t="s">
        <v>48</v>
      </c>
      <c r="B887" s="1281"/>
      <c r="C887" s="125">
        <f>C888+C892</f>
        <v>676000</v>
      </c>
      <c r="D887" s="270"/>
      <c r="E887" s="4"/>
      <c r="F887" s="4"/>
      <c r="G887" s="4"/>
      <c r="H887" s="4"/>
      <c r="I887" s="4"/>
      <c r="J887" s="4"/>
      <c r="K887" s="4"/>
      <c r="L887" s="4"/>
      <c r="M887" s="4"/>
      <c r="N887" s="4"/>
      <c r="O887" s="4"/>
      <c r="P887" s="4"/>
      <c r="Q887" s="4"/>
      <c r="R887" s="4"/>
      <c r="S887" s="4"/>
      <c r="T887" s="4"/>
      <c r="U887" s="4"/>
      <c r="V887" s="4"/>
      <c r="W887" s="4"/>
      <c r="X887" s="4"/>
    </row>
    <row r="888" spans="1:24" ht="12.75" customHeight="1">
      <c r="A888" s="48">
        <v>221104</v>
      </c>
      <c r="B888" s="827" t="s">
        <v>510</v>
      </c>
      <c r="C888" s="49">
        <f>SUM(C889:C891)</f>
        <v>631000</v>
      </c>
      <c r="D888" s="272"/>
      <c r="E888" s="34"/>
      <c r="F888" s="34"/>
      <c r="G888" s="34"/>
      <c r="H888" s="34"/>
      <c r="I888" s="34"/>
      <c r="J888" s="34"/>
      <c r="K888" s="34"/>
      <c r="L888" s="34"/>
      <c r="M888" s="34"/>
      <c r="N888" s="34"/>
      <c r="O888" s="34"/>
      <c r="P888" s="34"/>
      <c r="Q888" s="34"/>
      <c r="R888" s="34"/>
      <c r="S888" s="34"/>
      <c r="T888" s="34"/>
      <c r="U888" s="34"/>
      <c r="V888" s="34"/>
      <c r="W888" s="34"/>
      <c r="X888" s="34"/>
    </row>
    <row r="889" spans="1:24" ht="12.75" customHeight="1">
      <c r="A889" s="33">
        <v>22110401</v>
      </c>
      <c r="B889" s="23" t="s">
        <v>511</v>
      </c>
      <c r="C889" s="24">
        <v>180000</v>
      </c>
      <c r="D889" s="270"/>
      <c r="E889" s="274"/>
      <c r="F889" s="4"/>
      <c r="G889" s="4"/>
      <c r="H889" s="4"/>
      <c r="I889" s="4"/>
      <c r="J889" s="4"/>
      <c r="K889" s="4"/>
      <c r="L889" s="4"/>
      <c r="M889" s="4"/>
      <c r="N889" s="4"/>
      <c r="O889" s="4"/>
      <c r="P889" s="4"/>
      <c r="Q889" s="4"/>
      <c r="R889" s="4"/>
      <c r="S889" s="4"/>
      <c r="T889" s="4"/>
      <c r="U889" s="4"/>
      <c r="V889" s="4"/>
      <c r="W889" s="4"/>
      <c r="X889" s="4"/>
    </row>
    <row r="890" spans="1:24" ht="12.75" customHeight="1">
      <c r="A890" s="33">
        <v>22110404</v>
      </c>
      <c r="B890" s="23" t="s">
        <v>512</v>
      </c>
      <c r="C890" s="24">
        <v>29000</v>
      </c>
      <c r="D890" s="270"/>
      <c r="E890" s="274"/>
      <c r="F890" s="4"/>
      <c r="G890" s="4"/>
      <c r="H890" s="4"/>
      <c r="I890" s="4"/>
      <c r="J890" s="4"/>
      <c r="K890" s="4"/>
      <c r="L890" s="4"/>
      <c r="M890" s="4"/>
      <c r="N890" s="4"/>
      <c r="O890" s="4"/>
      <c r="P890" s="4"/>
      <c r="Q890" s="4"/>
      <c r="R890" s="4"/>
      <c r="S890" s="4"/>
      <c r="T890" s="4"/>
      <c r="U890" s="4"/>
      <c r="V890" s="4"/>
      <c r="W890" s="4"/>
      <c r="X890" s="4"/>
    </row>
    <row r="891" spans="1:24" ht="13.5" customHeight="1">
      <c r="A891" s="33">
        <v>22110409</v>
      </c>
      <c r="B891" s="24" t="s">
        <v>513</v>
      </c>
      <c r="C891" s="24">
        <v>422000</v>
      </c>
      <c r="D891" s="40"/>
      <c r="E891" s="14"/>
      <c r="F891" s="13"/>
      <c r="G891" s="13"/>
      <c r="H891" s="13"/>
      <c r="I891" s="13"/>
      <c r="J891" s="13"/>
      <c r="K891" s="13"/>
      <c r="L891" s="13"/>
      <c r="M891" s="13"/>
      <c r="N891" s="13"/>
      <c r="O891" s="13"/>
      <c r="P891" s="13"/>
      <c r="Q891" s="13"/>
      <c r="R891" s="13"/>
      <c r="S891" s="13"/>
      <c r="T891" s="13"/>
      <c r="U891" s="13"/>
      <c r="V891" s="13"/>
      <c r="W891" s="13"/>
      <c r="X891" s="13"/>
    </row>
    <row r="892" spans="1:24" ht="12.75" customHeight="1">
      <c r="A892" s="48">
        <v>221107</v>
      </c>
      <c r="B892" s="26" t="s">
        <v>514</v>
      </c>
      <c r="C892" s="26">
        <f>C893</f>
        <v>45000</v>
      </c>
      <c r="D892" s="270"/>
      <c r="E892" s="274"/>
      <c r="F892" s="4"/>
      <c r="G892" s="4"/>
      <c r="H892" s="4"/>
      <c r="I892" s="4"/>
      <c r="J892" s="4"/>
      <c r="K892" s="4"/>
      <c r="L892" s="4"/>
      <c r="M892" s="4"/>
      <c r="N892" s="4"/>
      <c r="O892" s="4"/>
      <c r="P892" s="4"/>
      <c r="Q892" s="4"/>
      <c r="R892" s="4"/>
      <c r="S892" s="4"/>
      <c r="T892" s="4"/>
      <c r="U892" s="4"/>
      <c r="V892" s="4"/>
      <c r="W892" s="4"/>
      <c r="X892" s="4"/>
    </row>
    <row r="893" spans="1:24" ht="12.75" customHeight="1">
      <c r="A893" s="33">
        <v>22110702</v>
      </c>
      <c r="B893" s="23" t="s">
        <v>515</v>
      </c>
      <c r="C893" s="24">
        <v>45000</v>
      </c>
      <c r="D893" s="270"/>
      <c r="E893" s="274"/>
      <c r="F893" s="4"/>
      <c r="G893" s="4"/>
      <c r="H893" s="4"/>
      <c r="I893" s="4"/>
      <c r="J893" s="4"/>
      <c r="K893" s="4"/>
      <c r="L893" s="4"/>
      <c r="M893" s="4"/>
      <c r="N893" s="4"/>
      <c r="O893" s="4"/>
      <c r="P893" s="4"/>
      <c r="Q893" s="4"/>
      <c r="R893" s="4"/>
      <c r="S893" s="4"/>
      <c r="T893" s="4"/>
      <c r="U893" s="4"/>
      <c r="V893" s="4"/>
      <c r="W893" s="4"/>
      <c r="X893" s="4"/>
    </row>
    <row r="894" spans="1:24" ht="12.75" customHeight="1">
      <c r="A894" s="33"/>
      <c r="B894" s="24"/>
      <c r="C894" s="24"/>
      <c r="D894" s="270"/>
      <c r="E894" s="274"/>
      <c r="F894" s="4"/>
      <c r="G894" s="4"/>
      <c r="H894" s="4"/>
      <c r="I894" s="4"/>
      <c r="J894" s="4"/>
      <c r="K894" s="4"/>
      <c r="L894" s="4"/>
      <c r="M894" s="4"/>
      <c r="N894" s="4"/>
      <c r="O894" s="4"/>
      <c r="P894" s="4"/>
      <c r="Q894" s="4"/>
      <c r="R894" s="4"/>
      <c r="S894" s="4"/>
      <c r="T894" s="4"/>
      <c r="U894" s="4"/>
      <c r="V894" s="4"/>
      <c r="W894" s="4"/>
      <c r="X894" s="4"/>
    </row>
    <row r="895" spans="1:24" ht="13.5" customHeight="1" thickBot="1">
      <c r="A895" s="198"/>
      <c r="B895" s="198"/>
      <c r="C895" s="196"/>
      <c r="D895" s="199"/>
      <c r="E895" s="197"/>
      <c r="F895" s="198"/>
      <c r="G895" s="198"/>
      <c r="H895" s="198"/>
      <c r="I895" s="198"/>
      <c r="J895" s="198"/>
      <c r="K895" s="198"/>
      <c r="L895" s="198"/>
      <c r="M895" s="198"/>
      <c r="N895" s="198"/>
      <c r="O895" s="198"/>
      <c r="P895" s="198"/>
      <c r="Q895" s="198"/>
      <c r="R895" s="198"/>
      <c r="S895" s="198"/>
      <c r="T895" s="198"/>
      <c r="U895" s="198"/>
      <c r="V895" s="198"/>
      <c r="W895" s="198"/>
    </row>
    <row r="896" spans="1:24" ht="13.5" customHeight="1">
      <c r="A896" s="1340" t="s">
        <v>758</v>
      </c>
      <c r="B896" s="1341"/>
      <c r="C896" s="1481" t="s">
        <v>788</v>
      </c>
      <c r="D896" s="211"/>
      <c r="E896" s="238"/>
      <c r="F896" s="238"/>
      <c r="G896" s="238"/>
      <c r="H896" s="238"/>
      <c r="I896" s="238"/>
      <c r="J896" s="239"/>
      <c r="K896" s="239"/>
      <c r="L896" s="239"/>
      <c r="M896" s="239"/>
      <c r="N896" s="239"/>
      <c r="O896" s="239"/>
      <c r="P896" s="239"/>
      <c r="Q896" s="239"/>
      <c r="R896" s="239"/>
      <c r="S896" s="239"/>
      <c r="T896" s="239"/>
      <c r="U896" s="239"/>
      <c r="V896" s="239"/>
      <c r="W896" s="239"/>
    </row>
    <row r="897" spans="1:24" ht="13.5" customHeight="1" thickBot="1">
      <c r="A897" s="1342"/>
      <c r="B897" s="1343"/>
      <c r="C897" s="1482"/>
      <c r="D897" s="211"/>
      <c r="E897" s="238"/>
      <c r="F897" s="238"/>
      <c r="G897" s="238"/>
      <c r="H897" s="238"/>
      <c r="I897" s="238"/>
      <c r="J897" s="239"/>
      <c r="K897" s="239"/>
      <c r="L897" s="239"/>
      <c r="M897" s="239"/>
      <c r="N897" s="239"/>
      <c r="O897" s="239"/>
      <c r="P897" s="239"/>
      <c r="Q897" s="239"/>
      <c r="R897" s="239"/>
      <c r="S897" s="239"/>
      <c r="T897" s="239"/>
      <c r="U897" s="239"/>
      <c r="V897" s="239"/>
      <c r="W897" s="239"/>
    </row>
    <row r="898" spans="1:24" ht="13.5" customHeight="1">
      <c r="A898" s="609" t="s">
        <v>671</v>
      </c>
      <c r="B898" s="612"/>
      <c r="C898" s="626"/>
      <c r="D898" s="211"/>
      <c r="E898" s="238"/>
      <c r="F898" s="238"/>
      <c r="G898" s="238"/>
      <c r="H898" s="238"/>
      <c r="I898" s="238"/>
      <c r="J898" s="239"/>
      <c r="K898" s="239"/>
      <c r="L898" s="239"/>
      <c r="M898" s="239"/>
      <c r="N898" s="239"/>
      <c r="O898" s="239"/>
      <c r="P898" s="239"/>
      <c r="Q898" s="239"/>
      <c r="R898" s="239"/>
      <c r="S898" s="239"/>
      <c r="T898" s="239"/>
      <c r="U898" s="239"/>
      <c r="V898" s="239"/>
      <c r="W898" s="239"/>
    </row>
    <row r="899" spans="1:24" ht="13.5" customHeight="1">
      <c r="A899" s="609" t="s">
        <v>722</v>
      </c>
      <c r="B899" s="612"/>
      <c r="C899" s="626"/>
      <c r="D899" s="211"/>
      <c r="E899" s="238"/>
      <c r="F899" s="238"/>
      <c r="G899" s="238"/>
      <c r="H899" s="238"/>
      <c r="I899" s="238"/>
      <c r="J899" s="239"/>
      <c r="K899" s="239"/>
      <c r="L899" s="239"/>
      <c r="M899" s="239"/>
      <c r="N899" s="239"/>
      <c r="O899" s="239"/>
      <c r="P899" s="239"/>
      <c r="Q899" s="239"/>
      <c r="R899" s="239"/>
      <c r="S899" s="239"/>
      <c r="T899" s="239"/>
      <c r="U899" s="239"/>
      <c r="V899" s="239"/>
      <c r="W899" s="239"/>
    </row>
    <row r="900" spans="1:24" ht="13.5" customHeight="1">
      <c r="A900" s="609" t="s">
        <v>723</v>
      </c>
      <c r="B900" s="612"/>
      <c r="C900" s="626"/>
      <c r="D900" s="211"/>
      <c r="E900" s="238"/>
      <c r="F900" s="238"/>
      <c r="G900" s="238"/>
      <c r="H900" s="238"/>
      <c r="I900" s="238"/>
      <c r="J900" s="239"/>
      <c r="K900" s="239"/>
      <c r="L900" s="239"/>
      <c r="M900" s="239"/>
      <c r="N900" s="239"/>
      <c r="O900" s="239"/>
      <c r="P900" s="239"/>
      <c r="Q900" s="239"/>
      <c r="R900" s="239"/>
      <c r="S900" s="239"/>
      <c r="T900" s="239"/>
      <c r="U900" s="239"/>
      <c r="V900" s="239"/>
      <c r="W900" s="239"/>
    </row>
    <row r="901" spans="1:24" ht="13.5" customHeight="1" thickBot="1">
      <c r="A901" s="609" t="s">
        <v>0</v>
      </c>
      <c r="B901" s="613"/>
      <c r="C901" s="1217"/>
      <c r="D901" s="211"/>
      <c r="E901" s="238"/>
      <c r="F901" s="238"/>
      <c r="G901" s="238"/>
      <c r="H901" s="238"/>
      <c r="I901" s="238"/>
      <c r="J901" s="239"/>
      <c r="K901" s="239"/>
      <c r="L901" s="239"/>
      <c r="M901" s="239"/>
      <c r="N901" s="239"/>
      <c r="O901" s="239"/>
      <c r="P901" s="239"/>
      <c r="Q901" s="239"/>
      <c r="R901" s="239"/>
      <c r="S901" s="239"/>
      <c r="T901" s="239"/>
      <c r="U901" s="239"/>
      <c r="V901" s="239"/>
      <c r="W901" s="239"/>
    </row>
    <row r="902" spans="1:24" ht="13.5" customHeight="1" thickBot="1">
      <c r="A902" s="627" t="s">
        <v>1</v>
      </c>
      <c r="B902" s="628"/>
      <c r="C902" s="637">
        <f>+C904+C916+C928+C943</f>
        <v>16181000</v>
      </c>
      <c r="D902" s="240"/>
      <c r="E902" s="238"/>
      <c r="F902" s="238"/>
      <c r="G902" s="238"/>
      <c r="H902" s="238"/>
      <c r="I902" s="238"/>
      <c r="J902" s="239"/>
      <c r="K902" s="239"/>
      <c r="L902" s="239"/>
      <c r="M902" s="239"/>
      <c r="N902" s="239"/>
      <c r="O902" s="239"/>
      <c r="P902" s="239"/>
      <c r="Q902" s="239"/>
      <c r="R902" s="239"/>
      <c r="S902" s="239"/>
      <c r="T902" s="239"/>
      <c r="U902" s="239"/>
      <c r="V902" s="239"/>
      <c r="W902" s="239"/>
    </row>
    <row r="903" spans="1:24" ht="13.5" customHeight="1" thickBot="1">
      <c r="A903" s="75"/>
      <c r="B903" s="75"/>
      <c r="C903" s="36"/>
      <c r="D903" s="211"/>
      <c r="E903" s="238"/>
      <c r="F903" s="238"/>
      <c r="G903" s="238"/>
      <c r="H903" s="238"/>
      <c r="I903" s="238"/>
      <c r="J903" s="239"/>
      <c r="K903" s="239"/>
      <c r="L903" s="239"/>
      <c r="M903" s="239"/>
      <c r="N903" s="239"/>
      <c r="O903" s="239"/>
      <c r="P903" s="239"/>
      <c r="Q903" s="239"/>
      <c r="R903" s="239"/>
      <c r="S903" s="239"/>
      <c r="T903" s="239"/>
      <c r="U903" s="239"/>
      <c r="V903" s="239"/>
      <c r="W903" s="239"/>
    </row>
    <row r="904" spans="1:24" ht="13.5" customHeight="1" thickBot="1">
      <c r="A904" s="1356" t="s">
        <v>9</v>
      </c>
      <c r="B904" s="1281"/>
      <c r="C904" s="212">
        <f>+C905+C907+C909+C911</f>
        <v>1290000</v>
      </c>
      <c r="D904" s="211"/>
      <c r="E904" s="238"/>
      <c r="F904" s="238"/>
      <c r="G904" s="238"/>
      <c r="H904" s="238"/>
      <c r="I904" s="238"/>
      <c r="J904" s="239"/>
      <c r="K904" s="239"/>
      <c r="L904" s="239"/>
      <c r="M904" s="239"/>
      <c r="N904" s="239"/>
      <c r="O904" s="239"/>
      <c r="P904" s="239"/>
      <c r="Q904" s="239"/>
      <c r="R904" s="239"/>
      <c r="S904" s="239"/>
      <c r="T904" s="239"/>
      <c r="U904" s="239"/>
      <c r="V904" s="239"/>
      <c r="W904" s="239"/>
    </row>
    <row r="905" spans="1:24" ht="13.5" customHeight="1">
      <c r="A905" s="76">
        <v>211201</v>
      </c>
      <c r="B905" s="241" t="s">
        <v>459</v>
      </c>
      <c r="C905" s="36">
        <f>SUM(C906)</f>
        <v>210000</v>
      </c>
      <c r="D905" s="242"/>
      <c r="E905" s="224"/>
      <c r="F905" s="77"/>
      <c r="G905" s="224"/>
      <c r="H905" s="77"/>
      <c r="I905" s="77"/>
      <c r="J905" s="77"/>
      <c r="K905" s="77"/>
      <c r="L905" s="77"/>
      <c r="M905" s="77"/>
      <c r="N905" s="77"/>
      <c r="O905" s="77"/>
      <c r="P905" s="77"/>
      <c r="Q905" s="77"/>
      <c r="R905" s="77"/>
      <c r="S905" s="77"/>
      <c r="T905" s="77"/>
      <c r="U905" s="77"/>
      <c r="V905" s="77"/>
      <c r="W905" s="77"/>
    </row>
    <row r="906" spans="1:24" ht="13.5" customHeight="1">
      <c r="A906" s="154">
        <v>21120101</v>
      </c>
      <c r="B906" s="77" t="s">
        <v>460</v>
      </c>
      <c r="C906" s="72">
        <f>150000+60000</f>
        <v>210000</v>
      </c>
      <c r="D906" s="117"/>
      <c r="E906" s="224"/>
      <c r="F906" s="77"/>
      <c r="G906" s="77"/>
      <c r="H906" s="77"/>
      <c r="I906" s="77"/>
      <c r="J906" s="77"/>
      <c r="K906" s="77"/>
      <c r="L906" s="77"/>
      <c r="M906" s="77"/>
      <c r="N906" s="77"/>
      <c r="O906" s="77"/>
      <c r="P906" s="77"/>
      <c r="Q906" s="77"/>
      <c r="R906" s="77"/>
      <c r="S906" s="77"/>
      <c r="T906" s="77"/>
      <c r="U906" s="77"/>
      <c r="V906" s="77"/>
      <c r="W906" s="77"/>
    </row>
    <row r="907" spans="1:24" ht="13.5" customHeight="1">
      <c r="A907" s="76">
        <v>211203</v>
      </c>
      <c r="B907" s="217" t="s">
        <v>461</v>
      </c>
      <c r="C907" s="36">
        <f>SUM(C908)</f>
        <v>60000</v>
      </c>
      <c r="D907" s="117"/>
      <c r="E907" s="224"/>
      <c r="F907" s="77"/>
      <c r="G907" s="77"/>
      <c r="H907" s="77"/>
      <c r="I907" s="77"/>
      <c r="J907" s="77"/>
      <c r="K907" s="77"/>
      <c r="L907" s="77"/>
      <c r="M907" s="77"/>
      <c r="N907" s="77"/>
      <c r="O907" s="77"/>
      <c r="P907" s="77"/>
      <c r="Q907" s="77"/>
      <c r="R907" s="77"/>
      <c r="S907" s="77"/>
      <c r="T907" s="77"/>
      <c r="U907" s="77"/>
      <c r="V907" s="77"/>
      <c r="W907" s="77"/>
    </row>
    <row r="908" spans="1:24" ht="13.5" customHeight="1">
      <c r="A908" s="154">
        <v>21120302</v>
      </c>
      <c r="B908" s="77" t="s">
        <v>462</v>
      </c>
      <c r="C908" s="72">
        <v>60000</v>
      </c>
      <c r="D908" s="117"/>
      <c r="E908" s="224"/>
      <c r="F908" s="77"/>
      <c r="G908" s="77"/>
      <c r="H908" s="77"/>
      <c r="I908" s="77"/>
      <c r="J908" s="77"/>
      <c r="K908" s="77"/>
      <c r="L908" s="77"/>
      <c r="M908" s="77"/>
      <c r="N908" s="77"/>
      <c r="O908" s="77"/>
      <c r="P908" s="77"/>
      <c r="Q908" s="77"/>
      <c r="R908" s="77"/>
      <c r="S908" s="77"/>
      <c r="T908" s="77"/>
      <c r="U908" s="77"/>
      <c r="V908" s="77"/>
      <c r="W908" s="77"/>
    </row>
    <row r="909" spans="1:24" ht="13.5" customHeight="1">
      <c r="A909" s="76">
        <v>211204</v>
      </c>
      <c r="B909" s="217" t="s">
        <v>463</v>
      </c>
      <c r="C909" s="36">
        <f>SUM(C910)</f>
        <v>330000</v>
      </c>
      <c r="D909" s="114"/>
      <c r="E909" s="224"/>
      <c r="F909" s="77"/>
      <c r="G909" s="77"/>
      <c r="H909" s="77"/>
      <c r="I909" s="77"/>
      <c r="J909" s="77"/>
      <c r="K909" s="77"/>
      <c r="L909" s="77"/>
      <c r="M909" s="77"/>
      <c r="N909" s="77"/>
      <c r="O909" s="77"/>
      <c r="P909" s="77"/>
      <c r="Q909" s="77"/>
      <c r="R909" s="77"/>
      <c r="S909" s="77"/>
      <c r="T909" s="77"/>
      <c r="U909" s="77"/>
      <c r="V909" s="77"/>
      <c r="W909" s="77"/>
    </row>
    <row r="910" spans="1:24" ht="13.5" customHeight="1">
      <c r="A910" s="154">
        <v>21120401</v>
      </c>
      <c r="B910" s="72" t="s">
        <v>464</v>
      </c>
      <c r="C910" s="72">
        <f>250000+80000</f>
        <v>330000</v>
      </c>
      <c r="D910" s="117"/>
      <c r="E910" s="224"/>
      <c r="F910" s="77"/>
      <c r="G910" s="77"/>
      <c r="H910" s="77"/>
      <c r="I910" s="77"/>
      <c r="J910" s="77"/>
      <c r="K910" s="77"/>
      <c r="L910" s="77"/>
      <c r="M910" s="77"/>
      <c r="N910" s="77"/>
      <c r="O910" s="77"/>
      <c r="P910" s="77"/>
      <c r="Q910" s="77"/>
      <c r="R910" s="77"/>
      <c r="S910" s="77"/>
      <c r="T910" s="77"/>
      <c r="U910" s="77"/>
      <c r="V910" s="77"/>
      <c r="W910" s="77"/>
    </row>
    <row r="911" spans="1:24" ht="13.5" customHeight="1">
      <c r="A911" s="48">
        <v>211209</v>
      </c>
      <c r="B911" s="26" t="s">
        <v>477</v>
      </c>
      <c r="C911" s="36">
        <f>C912+C913+C914</f>
        <v>690000</v>
      </c>
      <c r="D911" s="117"/>
      <c r="E911" s="224"/>
      <c r="F911" s="77"/>
      <c r="G911" s="77"/>
      <c r="H911" s="77"/>
      <c r="I911" s="77"/>
      <c r="J911" s="77"/>
      <c r="K911" s="77"/>
      <c r="L911" s="77"/>
      <c r="M911" s="77"/>
      <c r="N911" s="77"/>
      <c r="O911" s="77"/>
      <c r="P911" s="77"/>
      <c r="Q911" s="77"/>
      <c r="R911" s="77"/>
      <c r="S911" s="77"/>
      <c r="T911" s="77"/>
      <c r="U911" s="77"/>
      <c r="V911" s="77"/>
      <c r="W911" s="77"/>
    </row>
    <row r="912" spans="1:24" ht="13.5" customHeight="1">
      <c r="A912" s="33">
        <v>21120901</v>
      </c>
      <c r="B912" s="24" t="s">
        <v>478</v>
      </c>
      <c r="C912" s="24">
        <v>30000</v>
      </c>
      <c r="D912" s="37"/>
      <c r="E912" s="38"/>
      <c r="F912" s="38"/>
      <c r="G912" s="39"/>
      <c r="H912" s="38"/>
      <c r="I912" s="38"/>
      <c r="J912" s="38"/>
      <c r="K912" s="38"/>
      <c r="L912" s="38"/>
      <c r="M912" s="38"/>
      <c r="N912" s="38"/>
      <c r="O912" s="38"/>
      <c r="P912" s="38"/>
      <c r="Q912" s="38"/>
      <c r="R912" s="38"/>
      <c r="S912" s="38"/>
      <c r="T912" s="38"/>
      <c r="U912" s="38"/>
      <c r="V912" s="38"/>
      <c r="W912" s="38"/>
      <c r="X912" s="38"/>
    </row>
    <row r="913" spans="1:23" ht="13.5" customHeight="1">
      <c r="A913" s="154">
        <v>21120906</v>
      </c>
      <c r="B913" s="72" t="s">
        <v>479</v>
      </c>
      <c r="C913" s="224">
        <f>1000000+40000-400000</f>
        <v>640000</v>
      </c>
      <c r="D913" s="225"/>
      <c r="E913" s="225"/>
      <c r="F913" s="225"/>
      <c r="G913" s="218"/>
      <c r="H913" s="218"/>
      <c r="I913" s="218"/>
      <c r="J913" s="218"/>
      <c r="K913" s="218"/>
      <c r="L913" s="218"/>
      <c r="M913" s="218"/>
      <c r="N913" s="218"/>
      <c r="O913" s="218"/>
      <c r="P913" s="218"/>
      <c r="Q913" s="218"/>
      <c r="R913" s="218"/>
      <c r="S913" s="218"/>
      <c r="T913" s="218"/>
      <c r="U913" s="218"/>
      <c r="V913" s="218"/>
      <c r="W913" s="218"/>
    </row>
    <row r="914" spans="1:23" ht="13.5" customHeight="1">
      <c r="A914" s="154">
        <v>21120907</v>
      </c>
      <c r="B914" s="77" t="s">
        <v>480</v>
      </c>
      <c r="C914" s="72">
        <v>20000</v>
      </c>
      <c r="D914" s="216"/>
      <c r="E914" s="204"/>
      <c r="F914" s="75"/>
      <c r="G914" s="75"/>
      <c r="H914" s="75"/>
      <c r="I914" s="75"/>
      <c r="J914" s="75"/>
      <c r="K914" s="75"/>
      <c r="L914" s="75"/>
      <c r="M914" s="75"/>
      <c r="N914" s="75"/>
      <c r="O914" s="75"/>
      <c r="P914" s="75"/>
      <c r="Q914" s="75"/>
      <c r="R914" s="75"/>
      <c r="S914" s="75"/>
      <c r="T914" s="75"/>
      <c r="U914" s="75"/>
      <c r="V914" s="75"/>
      <c r="W914" s="75"/>
    </row>
    <row r="915" spans="1:23" ht="13.5" customHeight="1" thickBot="1">
      <c r="A915" s="100"/>
      <c r="B915" s="72"/>
      <c r="C915" s="72"/>
      <c r="D915" s="114"/>
      <c r="E915" s="36"/>
      <c r="F915" s="243"/>
      <c r="G915" s="77"/>
      <c r="H915" s="77"/>
      <c r="I915" s="77"/>
      <c r="J915" s="77"/>
      <c r="K915" s="77"/>
      <c r="L915" s="77"/>
      <c r="M915" s="77"/>
      <c r="N915" s="77"/>
      <c r="O915" s="77"/>
      <c r="P915" s="77"/>
      <c r="Q915" s="77"/>
      <c r="R915" s="77"/>
      <c r="S915" s="77"/>
      <c r="T915" s="77"/>
      <c r="U915" s="77"/>
      <c r="V915" s="77"/>
      <c r="W915" s="77"/>
    </row>
    <row r="916" spans="1:23" ht="13.5" customHeight="1" thickBot="1">
      <c r="A916" s="1354" t="s">
        <v>4</v>
      </c>
      <c r="B916" s="1281"/>
      <c r="C916" s="220">
        <f>C917+C919+C921+C923</f>
        <v>3470000</v>
      </c>
      <c r="D916" s="114"/>
      <c r="E916" s="36"/>
      <c r="F916" s="225"/>
      <c r="G916" s="77"/>
      <c r="H916" s="77"/>
      <c r="I916" s="77"/>
      <c r="J916" s="77"/>
      <c r="K916" s="77"/>
      <c r="L916" s="77"/>
      <c r="M916" s="77"/>
      <c r="N916" s="77"/>
      <c r="O916" s="77"/>
      <c r="P916" s="77"/>
      <c r="Q916" s="77"/>
      <c r="R916" s="77"/>
      <c r="S916" s="77"/>
      <c r="T916" s="77"/>
      <c r="U916" s="77"/>
      <c r="V916" s="77"/>
      <c r="W916" s="77"/>
    </row>
    <row r="917" spans="1:23" ht="13.5" customHeight="1">
      <c r="A917" s="76">
        <v>211302</v>
      </c>
      <c r="B917" s="76" t="s">
        <v>481</v>
      </c>
      <c r="C917" s="36">
        <f>SUM(C918)</f>
        <v>40000</v>
      </c>
      <c r="D917" s="114"/>
      <c r="E917" s="36"/>
      <c r="F917" s="225"/>
      <c r="G917" s="77"/>
      <c r="H917" s="77"/>
      <c r="I917" s="77"/>
      <c r="J917" s="77"/>
      <c r="K917" s="77"/>
      <c r="L917" s="77"/>
      <c r="M917" s="77"/>
      <c r="N917" s="77"/>
      <c r="O917" s="77"/>
      <c r="P917" s="77"/>
      <c r="Q917" s="77"/>
      <c r="R917" s="77"/>
      <c r="S917" s="77"/>
      <c r="T917" s="77"/>
      <c r="U917" s="77"/>
      <c r="V917" s="77"/>
      <c r="W917" s="77"/>
    </row>
    <row r="918" spans="1:23" ht="13.5" customHeight="1">
      <c r="A918" s="154">
        <v>21130204</v>
      </c>
      <c r="B918" s="72" t="s">
        <v>483</v>
      </c>
      <c r="C918" s="72">
        <v>40000</v>
      </c>
      <c r="D918" s="117"/>
      <c r="E918" s="36"/>
      <c r="F918" s="242"/>
      <c r="G918" s="77"/>
      <c r="H918" s="77"/>
      <c r="I918" s="77"/>
      <c r="J918" s="77"/>
      <c r="K918" s="77"/>
      <c r="L918" s="77"/>
      <c r="M918" s="77"/>
      <c r="N918" s="77"/>
      <c r="O918" s="77"/>
      <c r="P918" s="77"/>
      <c r="Q918" s="77"/>
      <c r="R918" s="77"/>
      <c r="S918" s="77"/>
      <c r="T918" s="77"/>
      <c r="U918" s="77"/>
      <c r="V918" s="77"/>
      <c r="W918" s="77"/>
    </row>
    <row r="919" spans="1:23" ht="13.5" customHeight="1">
      <c r="A919" s="241">
        <v>211303</v>
      </c>
      <c r="B919" s="234" t="s">
        <v>484</v>
      </c>
      <c r="C919" s="36">
        <f>SUM(C920)</f>
        <v>40000</v>
      </c>
      <c r="D919" s="114"/>
      <c r="E919" s="36"/>
      <c r="F919" s="242"/>
      <c r="G919" s="77"/>
      <c r="H919" s="77"/>
      <c r="I919" s="77"/>
      <c r="J919" s="77"/>
      <c r="K919" s="77"/>
      <c r="L919" s="77"/>
      <c r="M919" s="77"/>
      <c r="N919" s="77"/>
      <c r="O919" s="77"/>
      <c r="P919" s="77"/>
      <c r="Q919" s="77"/>
      <c r="R919" s="77"/>
      <c r="S919" s="77"/>
      <c r="T919" s="77"/>
      <c r="U919" s="77"/>
      <c r="V919" s="77"/>
      <c r="W919" s="77"/>
    </row>
    <row r="920" spans="1:23" ht="13.5" customHeight="1">
      <c r="A920" s="233">
        <v>21130307</v>
      </c>
      <c r="B920" s="77" t="s">
        <v>488</v>
      </c>
      <c r="C920" s="72">
        <v>40000</v>
      </c>
      <c r="D920" s="77"/>
      <c r="E920" s="36"/>
      <c r="F920" s="242"/>
      <c r="G920" s="77"/>
      <c r="H920" s="77"/>
      <c r="I920" s="77"/>
      <c r="J920" s="77"/>
      <c r="K920" s="77"/>
      <c r="L920" s="77"/>
      <c r="M920" s="77"/>
      <c r="N920" s="77"/>
      <c r="O920" s="77"/>
      <c r="P920" s="77"/>
      <c r="Q920" s="77"/>
      <c r="R920" s="77"/>
      <c r="S920" s="77"/>
      <c r="T920" s="77"/>
      <c r="U920" s="77"/>
      <c r="V920" s="77"/>
      <c r="W920" s="77"/>
    </row>
    <row r="921" spans="1:23" ht="13.5" customHeight="1">
      <c r="A921" s="241">
        <v>211305</v>
      </c>
      <c r="B921" s="217" t="s">
        <v>489</v>
      </c>
      <c r="C921" s="36">
        <f>SUM(C922)</f>
        <v>2350000</v>
      </c>
      <c r="D921" s="114"/>
      <c r="E921" s="36"/>
      <c r="F921" s="242"/>
      <c r="G921" s="77"/>
      <c r="H921" s="77"/>
      <c r="I921" s="77"/>
      <c r="J921" s="77"/>
      <c r="K921" s="77"/>
      <c r="L921" s="77"/>
      <c r="M921" s="77"/>
      <c r="N921" s="77"/>
      <c r="O921" s="77"/>
      <c r="P921" s="77"/>
      <c r="Q921" s="77"/>
      <c r="R921" s="77"/>
      <c r="S921" s="77"/>
      <c r="T921" s="77"/>
      <c r="U921" s="77"/>
      <c r="V921" s="77"/>
      <c r="W921" s="77"/>
    </row>
    <row r="922" spans="1:23" ht="13.5" customHeight="1">
      <c r="A922" s="154">
        <v>21130502</v>
      </c>
      <c r="B922" s="72" t="s">
        <v>491</v>
      </c>
      <c r="C922" s="72">
        <f>300000+50000+2000000</f>
        <v>2350000</v>
      </c>
      <c r="D922" s="117"/>
      <c r="E922" s="36"/>
      <c r="F922" s="242"/>
      <c r="G922" s="77"/>
      <c r="H922" s="77"/>
      <c r="I922" s="77"/>
      <c r="J922" s="77"/>
      <c r="K922" s="77"/>
      <c r="L922" s="77"/>
      <c r="M922" s="77"/>
      <c r="N922" s="77"/>
      <c r="O922" s="77"/>
      <c r="P922" s="77"/>
      <c r="Q922" s="77"/>
      <c r="R922" s="77"/>
      <c r="S922" s="77"/>
      <c r="T922" s="77"/>
      <c r="U922" s="77"/>
      <c r="V922" s="77"/>
      <c r="W922" s="77"/>
    </row>
    <row r="923" spans="1:23" ht="13.5" customHeight="1">
      <c r="A923" s="76">
        <v>211309</v>
      </c>
      <c r="B923" s="36" t="s">
        <v>496</v>
      </c>
      <c r="C923" s="36">
        <f>SUM(C924:C926)</f>
        <v>1040000</v>
      </c>
      <c r="D923" s="114"/>
      <c r="E923" s="36"/>
      <c r="F923" s="242"/>
      <c r="G923" s="77"/>
      <c r="H923" s="77"/>
      <c r="I923" s="77"/>
      <c r="J923" s="77"/>
      <c r="K923" s="77"/>
      <c r="L923" s="77"/>
      <c r="M923" s="77"/>
      <c r="N923" s="77"/>
      <c r="O923" s="77"/>
      <c r="P923" s="77"/>
      <c r="Q923" s="77"/>
      <c r="R923" s="77"/>
      <c r="S923" s="77"/>
      <c r="T923" s="77"/>
      <c r="U923" s="77"/>
      <c r="V923" s="77"/>
      <c r="W923" s="77"/>
    </row>
    <row r="924" spans="1:23" ht="13.5" customHeight="1">
      <c r="A924" s="154">
        <v>21130901</v>
      </c>
      <c r="B924" s="72" t="s">
        <v>497</v>
      </c>
      <c r="C924" s="72">
        <f>200000+30000+200000</f>
        <v>430000</v>
      </c>
      <c r="D924" s="117"/>
      <c r="E924" s="36"/>
      <c r="F924" s="77"/>
      <c r="G924" s="77"/>
      <c r="H924" s="224"/>
      <c r="I924" s="77"/>
      <c r="J924" s="77"/>
      <c r="K924" s="77"/>
      <c r="L924" s="77"/>
      <c r="M924" s="77"/>
      <c r="N924" s="77"/>
      <c r="O924" s="77"/>
      <c r="P924" s="77"/>
      <c r="Q924" s="77"/>
      <c r="R924" s="77"/>
      <c r="S924" s="77"/>
      <c r="T924" s="77"/>
      <c r="U924" s="77"/>
      <c r="V924" s="77"/>
      <c r="W924" s="77"/>
    </row>
    <row r="925" spans="1:23" ht="13.5" customHeight="1">
      <c r="A925" s="233">
        <v>21130906</v>
      </c>
      <c r="B925" s="77" t="s">
        <v>499</v>
      </c>
      <c r="C925" s="224">
        <v>530000</v>
      </c>
      <c r="D925" s="225"/>
      <c r="E925" s="225"/>
      <c r="F925" s="218"/>
      <c r="G925" s="218"/>
      <c r="H925" s="218"/>
      <c r="I925" s="218"/>
      <c r="J925" s="218"/>
      <c r="K925" s="218"/>
      <c r="L925" s="218"/>
      <c r="M925" s="218"/>
      <c r="N925" s="218"/>
      <c r="O925" s="218"/>
      <c r="P925" s="218"/>
      <c r="Q925" s="218"/>
      <c r="R925" s="218"/>
      <c r="S925" s="218"/>
      <c r="T925" s="218"/>
      <c r="U925" s="218"/>
      <c r="V925" s="218"/>
      <c r="W925" s="218"/>
    </row>
    <row r="926" spans="1:23" ht="13.5" customHeight="1">
      <c r="A926" s="154">
        <v>21130908</v>
      </c>
      <c r="B926" s="72" t="s">
        <v>500</v>
      </c>
      <c r="C926" s="72">
        <v>80000</v>
      </c>
      <c r="D926" s="242"/>
      <c r="E926" s="224"/>
      <c r="F926" s="77"/>
      <c r="G926" s="77"/>
      <c r="H926" s="77"/>
      <c r="I926" s="77"/>
      <c r="J926" s="77"/>
      <c r="K926" s="77"/>
      <c r="L926" s="77"/>
      <c r="M926" s="77"/>
      <c r="N926" s="77"/>
      <c r="O926" s="77"/>
      <c r="P926" s="77"/>
      <c r="Q926" s="77"/>
      <c r="R926" s="77"/>
      <c r="S926" s="77"/>
      <c r="T926" s="77"/>
      <c r="U926" s="77"/>
      <c r="V926" s="77"/>
      <c r="W926" s="77"/>
    </row>
    <row r="927" spans="1:23" ht="13.5" customHeight="1" thickBot="1">
      <c r="A927" s="100"/>
      <c r="B927" s="72"/>
      <c r="C927" s="72"/>
      <c r="D927" s="242"/>
      <c r="E927" s="224"/>
      <c r="F927" s="77"/>
      <c r="G927" s="77"/>
      <c r="H927" s="77"/>
      <c r="I927" s="77"/>
      <c r="J927" s="77"/>
      <c r="K927" s="77"/>
      <c r="L927" s="77"/>
      <c r="M927" s="77"/>
      <c r="N927" s="77"/>
      <c r="O927" s="77"/>
      <c r="P927" s="77"/>
      <c r="Q927" s="77"/>
      <c r="R927" s="77"/>
      <c r="S927" s="77"/>
      <c r="T927" s="77"/>
      <c r="U927" s="77"/>
      <c r="V927" s="77"/>
      <c r="W927" s="77"/>
    </row>
    <row r="928" spans="1:23" ht="13.5" customHeight="1" thickBot="1">
      <c r="A928" s="1355" t="s">
        <v>48</v>
      </c>
      <c r="B928" s="1281"/>
      <c r="C928" s="232">
        <f>+C929+C933</f>
        <v>1220000</v>
      </c>
      <c r="D928" s="242"/>
      <c r="E928" s="224"/>
      <c r="F928" s="77"/>
      <c r="G928" s="77"/>
      <c r="H928" s="77"/>
      <c r="I928" s="77"/>
      <c r="J928" s="77"/>
      <c r="K928" s="77"/>
      <c r="L928" s="77"/>
      <c r="M928" s="77"/>
      <c r="N928" s="77"/>
      <c r="O928" s="77"/>
      <c r="P928" s="77"/>
      <c r="Q928" s="77"/>
      <c r="R928" s="77"/>
      <c r="S928" s="77"/>
      <c r="T928" s="77"/>
      <c r="U928" s="77"/>
      <c r="V928" s="77"/>
      <c r="W928" s="77"/>
    </row>
    <row r="929" spans="1:24" ht="13.5" customHeight="1">
      <c r="A929" s="76">
        <v>221104</v>
      </c>
      <c r="B929" s="849" t="s">
        <v>510</v>
      </c>
      <c r="C929" s="36">
        <f>SUM(C930:C932)</f>
        <v>450000</v>
      </c>
      <c r="D929" s="242"/>
      <c r="E929" s="224"/>
      <c r="F929" s="77"/>
      <c r="G929" s="77"/>
      <c r="H929" s="77"/>
      <c r="I929" s="77"/>
      <c r="J929" s="77"/>
      <c r="K929" s="77"/>
      <c r="L929" s="77"/>
      <c r="M929" s="77"/>
      <c r="N929" s="77"/>
      <c r="O929" s="77"/>
      <c r="P929" s="77"/>
      <c r="Q929" s="77"/>
      <c r="R929" s="77"/>
      <c r="S929" s="77"/>
      <c r="T929" s="77"/>
      <c r="U929" s="77"/>
      <c r="V929" s="77"/>
      <c r="W929" s="77"/>
    </row>
    <row r="930" spans="1:24" ht="13.5" customHeight="1">
      <c r="A930" s="154">
        <v>22110401</v>
      </c>
      <c r="B930" s="72" t="s">
        <v>511</v>
      </c>
      <c r="C930" s="72">
        <v>110000</v>
      </c>
      <c r="D930" s="242"/>
      <c r="E930" s="224"/>
      <c r="F930" s="77"/>
      <c r="G930" s="77"/>
      <c r="H930" s="77"/>
      <c r="I930" s="77"/>
      <c r="J930" s="77"/>
      <c r="K930" s="77"/>
      <c r="L930" s="77"/>
      <c r="M930" s="77"/>
      <c r="N930" s="77"/>
      <c r="O930" s="77"/>
      <c r="P930" s="77"/>
      <c r="Q930" s="77"/>
      <c r="R930" s="77"/>
      <c r="S930" s="77"/>
      <c r="T930" s="77"/>
      <c r="U930" s="77"/>
      <c r="V930" s="77"/>
      <c r="W930" s="77"/>
    </row>
    <row r="931" spans="1:24" ht="13.5" customHeight="1">
      <c r="A931" s="154">
        <v>22110404</v>
      </c>
      <c r="B931" s="72" t="s">
        <v>512</v>
      </c>
      <c r="C931" s="72">
        <f>150000+20000</f>
        <v>170000</v>
      </c>
      <c r="D931" s="225"/>
      <c r="E931" s="235"/>
      <c r="F931" s="77"/>
      <c r="G931" s="77"/>
      <c r="H931" s="77"/>
      <c r="I931" s="77"/>
      <c r="J931" s="77"/>
      <c r="K931" s="77"/>
      <c r="L931" s="77"/>
      <c r="M931" s="77"/>
      <c r="N931" s="77"/>
      <c r="O931" s="77"/>
      <c r="P931" s="77"/>
      <c r="Q931" s="77"/>
      <c r="R931" s="77"/>
      <c r="S931" s="77"/>
      <c r="T931" s="77"/>
      <c r="U931" s="77"/>
      <c r="V931" s="77"/>
      <c r="W931" s="77"/>
    </row>
    <row r="932" spans="1:24" ht="13.5" customHeight="1">
      <c r="A932" s="154">
        <v>22110409</v>
      </c>
      <c r="B932" s="72" t="s">
        <v>513</v>
      </c>
      <c r="C932" s="72">
        <f>150000+20000</f>
        <v>170000</v>
      </c>
      <c r="D932" s="233"/>
      <c r="E932" s="224"/>
      <c r="F932" s="77"/>
      <c r="G932" s="77"/>
      <c r="H932" s="77"/>
      <c r="I932" s="77"/>
      <c r="J932" s="77"/>
      <c r="K932" s="77"/>
      <c r="L932" s="77"/>
      <c r="M932" s="77"/>
      <c r="N932" s="77"/>
      <c r="O932" s="77"/>
      <c r="P932" s="77"/>
      <c r="Q932" s="77"/>
      <c r="R932" s="77"/>
      <c r="S932" s="77"/>
      <c r="T932" s="77"/>
      <c r="U932" s="77"/>
      <c r="V932" s="77"/>
      <c r="W932" s="77"/>
    </row>
    <row r="933" spans="1:24" ht="13.5" customHeight="1">
      <c r="A933" s="76">
        <v>221107</v>
      </c>
      <c r="B933" s="36" t="s">
        <v>514</v>
      </c>
      <c r="C933" s="36">
        <f>SUM(C934)</f>
        <v>770000</v>
      </c>
      <c r="D933" s="242"/>
      <c r="E933" s="224"/>
      <c r="F933" s="77"/>
      <c r="G933" s="77"/>
      <c r="H933" s="77"/>
      <c r="I933" s="77"/>
      <c r="J933" s="77"/>
      <c r="K933" s="77"/>
      <c r="L933" s="77"/>
      <c r="M933" s="77"/>
      <c r="N933" s="77"/>
      <c r="O933" s="77"/>
      <c r="P933" s="77"/>
      <c r="Q933" s="77"/>
      <c r="R933" s="77"/>
      <c r="S933" s="77"/>
      <c r="T933" s="77"/>
      <c r="U933" s="77"/>
      <c r="V933" s="77"/>
      <c r="W933" s="77"/>
    </row>
    <row r="934" spans="1:24" ht="13.5" customHeight="1">
      <c r="A934" s="154">
        <v>22110702</v>
      </c>
      <c r="B934" s="72" t="s">
        <v>515</v>
      </c>
      <c r="C934" s="72">
        <f>1000000+70000-300000</f>
        <v>770000</v>
      </c>
      <c r="D934" s="242"/>
      <c r="E934" s="224"/>
      <c r="F934" s="77"/>
      <c r="G934" s="77"/>
      <c r="H934" s="77"/>
      <c r="I934" s="77"/>
      <c r="J934" s="77"/>
      <c r="K934" s="77"/>
      <c r="L934" s="77"/>
      <c r="M934" s="77"/>
      <c r="N934" s="77"/>
      <c r="O934" s="77"/>
      <c r="P934" s="77"/>
      <c r="Q934" s="77"/>
      <c r="R934" s="77"/>
      <c r="S934" s="77"/>
      <c r="T934" s="77"/>
      <c r="U934" s="77"/>
      <c r="V934" s="77"/>
      <c r="W934" s="77"/>
    </row>
    <row r="935" spans="1:24" ht="13.5" customHeight="1">
      <c r="A935" s="154"/>
      <c r="B935" s="72"/>
      <c r="C935" s="72"/>
      <c r="D935" s="242"/>
      <c r="E935" s="224"/>
      <c r="F935" s="77"/>
      <c r="G935" s="77"/>
      <c r="H935" s="77"/>
      <c r="I935" s="77"/>
      <c r="J935" s="77"/>
      <c r="K935" s="77"/>
      <c r="L935" s="77"/>
      <c r="M935" s="77"/>
      <c r="N935" s="77"/>
      <c r="O935" s="77"/>
      <c r="P935" s="77"/>
      <c r="Q935" s="77"/>
      <c r="R935" s="77"/>
      <c r="S935" s="77"/>
      <c r="T935" s="77"/>
      <c r="U935" s="77"/>
      <c r="V935" s="77"/>
      <c r="W935" s="77"/>
    </row>
    <row r="936" spans="1:24" ht="12.75" customHeight="1" thickBot="1">
      <c r="A936" s="23"/>
      <c r="B936" s="24"/>
      <c r="C936" s="24"/>
      <c r="D936" s="270"/>
      <c r="E936" s="274"/>
      <c r="F936" s="4"/>
      <c r="G936" s="4"/>
      <c r="H936" s="4"/>
      <c r="I936" s="4"/>
      <c r="J936" s="4"/>
      <c r="K936" s="4"/>
      <c r="L936" s="4"/>
      <c r="M936" s="4"/>
      <c r="N936" s="4"/>
      <c r="O936" s="4"/>
      <c r="P936" s="4"/>
      <c r="Q936" s="4"/>
      <c r="R936" s="4"/>
      <c r="S936" s="4"/>
      <c r="T936" s="4"/>
      <c r="U936" s="4"/>
      <c r="V936" s="4"/>
      <c r="W936" s="4"/>
      <c r="X936" s="4"/>
    </row>
    <row r="937" spans="1:24" ht="12.75" customHeight="1">
      <c r="A937" s="1334" t="s">
        <v>907</v>
      </c>
      <c r="B937" s="1352"/>
      <c r="C937" s="1483" t="s">
        <v>908</v>
      </c>
      <c r="D937" s="272"/>
      <c r="E937" s="274"/>
      <c r="F937" s="4"/>
      <c r="G937" s="4"/>
      <c r="H937" s="4"/>
      <c r="I937" s="4"/>
      <c r="J937" s="4"/>
      <c r="K937" s="4"/>
      <c r="L937" s="4"/>
      <c r="M937" s="4"/>
      <c r="N937" s="4"/>
      <c r="O937" s="4"/>
      <c r="P937" s="4"/>
      <c r="Q937" s="4"/>
      <c r="R937" s="4"/>
      <c r="S937" s="4"/>
      <c r="T937" s="4"/>
      <c r="U937" s="4"/>
      <c r="V937" s="4"/>
      <c r="W937" s="4"/>
      <c r="X937" s="4"/>
    </row>
    <row r="938" spans="1:24" ht="12.75" customHeight="1" thickBot="1">
      <c r="A938" s="1078"/>
      <c r="B938" s="1081"/>
      <c r="C938" s="1484"/>
      <c r="D938" s="270"/>
      <c r="E938" s="274"/>
      <c r="F938" s="4"/>
      <c r="G938" s="4"/>
      <c r="H938" s="4"/>
      <c r="I938" s="4"/>
      <c r="J938" s="4"/>
      <c r="K938" s="4"/>
      <c r="L938" s="4"/>
      <c r="M938" s="4"/>
      <c r="N938" s="4"/>
      <c r="O938" s="4"/>
      <c r="P938" s="4"/>
      <c r="Q938" s="4"/>
      <c r="R938" s="4"/>
      <c r="S938" s="4"/>
      <c r="T938" s="4"/>
      <c r="U938" s="4"/>
      <c r="V938" s="4"/>
      <c r="W938" s="4"/>
      <c r="X938" s="4"/>
    </row>
    <row r="939" spans="1:24" ht="13.9" customHeight="1">
      <c r="A939" s="1028" t="s">
        <v>675</v>
      </c>
      <c r="B939" s="808"/>
      <c r="C939" s="1029"/>
      <c r="D939" s="270"/>
      <c r="E939" s="274"/>
      <c r="F939" s="4"/>
      <c r="G939" s="4"/>
      <c r="H939" s="4"/>
      <c r="I939" s="4"/>
      <c r="J939" s="4"/>
      <c r="K939" s="4"/>
      <c r="L939" s="4"/>
      <c r="M939" s="4"/>
      <c r="N939" s="4"/>
      <c r="O939" s="4"/>
      <c r="P939" s="4"/>
      <c r="Q939" s="4"/>
      <c r="R939" s="4"/>
      <c r="S939" s="4"/>
      <c r="T939" s="4"/>
      <c r="U939" s="4"/>
      <c r="V939" s="4"/>
      <c r="W939" s="4"/>
      <c r="X939" s="4"/>
    </row>
    <row r="940" spans="1:24" ht="12.75" customHeight="1">
      <c r="A940" s="609" t="s">
        <v>722</v>
      </c>
      <c r="B940" s="808"/>
      <c r="C940" s="1029"/>
      <c r="D940" s="270"/>
      <c r="E940" s="274"/>
      <c r="F940" s="4"/>
      <c r="G940" s="4"/>
      <c r="H940" s="4"/>
      <c r="I940" s="4"/>
      <c r="J940" s="4"/>
      <c r="K940" s="4"/>
      <c r="L940" s="4"/>
      <c r="M940" s="4"/>
      <c r="N940" s="4"/>
      <c r="O940" s="4"/>
      <c r="P940" s="4"/>
      <c r="Q940" s="4"/>
      <c r="R940" s="4"/>
      <c r="S940" s="4"/>
      <c r="T940" s="4"/>
      <c r="U940" s="4"/>
      <c r="V940" s="4"/>
      <c r="W940" s="4"/>
      <c r="X940" s="4"/>
    </row>
    <row r="941" spans="1:24" ht="12.75" customHeight="1">
      <c r="A941" s="609" t="s">
        <v>723</v>
      </c>
      <c r="B941" s="808"/>
      <c r="C941" s="1029"/>
      <c r="D941" s="270"/>
      <c r="E941" s="274"/>
      <c r="F941" s="4"/>
      <c r="G941" s="4"/>
      <c r="H941" s="4"/>
      <c r="I941" s="4"/>
      <c r="J941" s="4"/>
      <c r="K941" s="4"/>
      <c r="L941" s="4"/>
      <c r="M941" s="4"/>
      <c r="N941" s="4"/>
      <c r="O941" s="4"/>
      <c r="P941" s="4"/>
      <c r="Q941" s="4"/>
      <c r="R941" s="4"/>
      <c r="S941" s="4"/>
      <c r="T941" s="4"/>
      <c r="U941" s="4"/>
      <c r="V941" s="4"/>
      <c r="W941" s="4"/>
      <c r="X941" s="4"/>
    </row>
    <row r="942" spans="1:24" ht="12.75" customHeight="1" thickBot="1">
      <c r="A942" s="1028" t="s">
        <v>0</v>
      </c>
      <c r="B942" s="808"/>
      <c r="C942" s="1029"/>
      <c r="D942" s="270"/>
      <c r="E942" s="274"/>
      <c r="F942" s="4"/>
      <c r="G942" s="4"/>
      <c r="H942" s="4"/>
      <c r="I942" s="4"/>
      <c r="J942" s="4"/>
      <c r="K942" s="4"/>
      <c r="L942" s="4"/>
      <c r="M942" s="4"/>
      <c r="N942" s="4"/>
      <c r="O942" s="4"/>
      <c r="P942" s="4"/>
      <c r="Q942" s="4"/>
      <c r="R942" s="4"/>
      <c r="S942" s="4"/>
      <c r="T942" s="4"/>
      <c r="U942" s="4"/>
      <c r="V942" s="4"/>
      <c r="W942" s="4"/>
      <c r="X942" s="4"/>
    </row>
    <row r="943" spans="1:24" ht="12.75" customHeight="1" thickBot="1">
      <c r="A943" s="1083" t="s">
        <v>66</v>
      </c>
      <c r="B943" s="1084"/>
      <c r="C943" s="1033">
        <f>+C945+C962</f>
        <v>10201000</v>
      </c>
      <c r="D943" s="270"/>
      <c r="E943" s="3"/>
      <c r="F943" s="4"/>
      <c r="G943" s="4"/>
      <c r="H943" s="4"/>
      <c r="I943" s="4"/>
      <c r="J943" s="4"/>
      <c r="K943" s="4"/>
      <c r="L943" s="4"/>
      <c r="M943" s="4"/>
      <c r="N943" s="4"/>
      <c r="O943" s="4"/>
      <c r="P943" s="4"/>
      <c r="Q943" s="4"/>
      <c r="R943" s="4"/>
      <c r="S943" s="4"/>
      <c r="T943" s="4"/>
      <c r="U943" s="4"/>
      <c r="V943" s="4"/>
      <c r="W943" s="4"/>
      <c r="X943" s="4"/>
    </row>
    <row r="944" spans="1:24" ht="12.75" customHeight="1" thickBot="1">
      <c r="A944" s="1079"/>
      <c r="B944" s="1079"/>
      <c r="C944" s="970"/>
      <c r="D944" s="270"/>
      <c r="E944" s="274"/>
      <c r="F944" s="4"/>
      <c r="G944" s="4"/>
      <c r="H944" s="4"/>
      <c r="I944" s="4"/>
      <c r="J944" s="4"/>
      <c r="K944" s="4"/>
      <c r="L944" s="4"/>
      <c r="M944" s="4"/>
      <c r="N944" s="4"/>
      <c r="O944" s="4"/>
      <c r="P944" s="4"/>
      <c r="Q944" s="4"/>
      <c r="R944" s="4"/>
      <c r="S944" s="4"/>
      <c r="T944" s="4"/>
      <c r="U944" s="4"/>
      <c r="V944" s="4"/>
      <c r="W944" s="4"/>
      <c r="X944" s="4"/>
    </row>
    <row r="945" spans="1:24" ht="12.75" customHeight="1" thickBot="1">
      <c r="A945" s="1297" t="s">
        <v>9</v>
      </c>
      <c r="B945" s="1281"/>
      <c r="C945" s="1042">
        <f>C946+C950+C952+C955+C957+C948</f>
        <v>1440000</v>
      </c>
      <c r="D945" s="270"/>
      <c r="E945" s="274"/>
      <c r="F945" s="4"/>
      <c r="G945" s="4"/>
      <c r="H945" s="4"/>
      <c r="I945" s="4"/>
      <c r="J945" s="4"/>
      <c r="K945" s="4"/>
      <c r="L945" s="4"/>
      <c r="M945" s="4"/>
      <c r="N945" s="4"/>
      <c r="O945" s="4"/>
      <c r="P945" s="4"/>
      <c r="Q945" s="4"/>
      <c r="R945" s="4"/>
      <c r="S945" s="4"/>
      <c r="T945" s="4"/>
      <c r="U945" s="4"/>
      <c r="V945" s="4"/>
      <c r="W945" s="4"/>
      <c r="X945" s="4"/>
    </row>
    <row r="946" spans="1:24" ht="12.75" customHeight="1">
      <c r="A946" s="48">
        <v>211201</v>
      </c>
      <c r="B946" s="48" t="s">
        <v>459</v>
      </c>
      <c r="C946" s="49">
        <f>SUM(C947)</f>
        <v>46000</v>
      </c>
      <c r="D946" s="270"/>
      <c r="E946" s="274"/>
      <c r="F946" s="4"/>
      <c r="G946" s="4"/>
      <c r="H946" s="4"/>
      <c r="I946" s="4"/>
      <c r="J946" s="4"/>
      <c r="K946" s="4"/>
      <c r="L946" s="4"/>
      <c r="M946" s="4"/>
      <c r="N946" s="4"/>
      <c r="O946" s="4"/>
      <c r="P946" s="4"/>
      <c r="Q946" s="4"/>
      <c r="R946" s="4"/>
      <c r="S946" s="4"/>
      <c r="T946" s="4"/>
      <c r="U946" s="4"/>
      <c r="V946" s="4"/>
      <c r="W946" s="4"/>
      <c r="X946" s="4"/>
    </row>
    <row r="947" spans="1:24" ht="12.75" customHeight="1">
      <c r="A947" s="33">
        <v>21120101</v>
      </c>
      <c r="B947" s="23" t="s">
        <v>460</v>
      </c>
      <c r="C947" s="24">
        <v>46000</v>
      </c>
      <c r="D947" s="270"/>
      <c r="E947" s="274"/>
      <c r="F947" s="4"/>
      <c r="G947" s="4"/>
      <c r="H947" s="4"/>
      <c r="I947" s="4"/>
      <c r="J947" s="4"/>
      <c r="K947" s="4"/>
      <c r="L947" s="4"/>
      <c r="M947" s="4"/>
      <c r="N947" s="4"/>
      <c r="O947" s="4"/>
      <c r="P947" s="4"/>
      <c r="Q947" s="4"/>
      <c r="R947" s="4"/>
      <c r="S947" s="4"/>
      <c r="T947" s="4"/>
      <c r="U947" s="4"/>
      <c r="V947" s="4"/>
      <c r="W947" s="4"/>
      <c r="X947" s="4"/>
    </row>
    <row r="948" spans="1:24" ht="12.75" customHeight="1">
      <c r="A948" s="48">
        <v>211202</v>
      </c>
      <c r="B948" s="15" t="s">
        <v>529</v>
      </c>
      <c r="C948" s="26">
        <v>250000</v>
      </c>
      <c r="D948" s="270"/>
      <c r="E948" s="274"/>
      <c r="F948" s="4"/>
      <c r="G948" s="4"/>
      <c r="H948" s="4"/>
      <c r="I948" s="4"/>
      <c r="J948" s="4"/>
      <c r="K948" s="4"/>
      <c r="L948" s="4"/>
      <c r="M948" s="4"/>
      <c r="N948" s="4"/>
      <c r="O948" s="4"/>
      <c r="P948" s="4"/>
      <c r="Q948" s="4"/>
      <c r="R948" s="4"/>
      <c r="S948" s="4"/>
      <c r="T948" s="4"/>
      <c r="U948" s="4"/>
      <c r="V948" s="4"/>
      <c r="W948" s="4"/>
      <c r="X948" s="4"/>
    </row>
    <row r="949" spans="1:24" ht="12.75" customHeight="1">
      <c r="A949" s="33">
        <v>21120202</v>
      </c>
      <c r="B949" s="13" t="s">
        <v>530</v>
      </c>
      <c r="C949" s="24">
        <v>250000</v>
      </c>
      <c r="D949" s="270"/>
      <c r="E949" s="274"/>
      <c r="F949" s="4"/>
      <c r="G949" s="4"/>
      <c r="H949" s="4"/>
      <c r="I949" s="4"/>
      <c r="J949" s="4"/>
      <c r="K949" s="4"/>
      <c r="L949" s="4"/>
      <c r="M949" s="4"/>
      <c r="N949" s="4"/>
      <c r="O949" s="4"/>
      <c r="P949" s="4"/>
      <c r="Q949" s="4"/>
      <c r="R949" s="4"/>
      <c r="S949" s="4"/>
      <c r="T949" s="4"/>
      <c r="U949" s="4"/>
      <c r="V949" s="4"/>
      <c r="W949" s="4"/>
      <c r="X949" s="4"/>
    </row>
    <row r="950" spans="1:24" ht="12.75" customHeight="1">
      <c r="A950" s="48">
        <v>211203</v>
      </c>
      <c r="B950" s="21" t="s">
        <v>461</v>
      </c>
      <c r="C950" s="26">
        <v>105000</v>
      </c>
      <c r="D950" s="270"/>
      <c r="E950" s="274"/>
      <c r="F950" s="4"/>
      <c r="G950" s="4"/>
      <c r="H950" s="4"/>
      <c r="I950" s="4"/>
      <c r="J950" s="4"/>
      <c r="K950" s="4"/>
      <c r="L950" s="4"/>
      <c r="M950" s="4"/>
      <c r="N950" s="4"/>
      <c r="O950" s="4"/>
      <c r="P950" s="4"/>
      <c r="Q950" s="4"/>
      <c r="R950" s="4"/>
      <c r="S950" s="4"/>
      <c r="T950" s="4"/>
      <c r="U950" s="4"/>
      <c r="V950" s="4"/>
      <c r="W950" s="4"/>
      <c r="X950" s="4"/>
    </row>
    <row r="951" spans="1:24" ht="12.75" customHeight="1">
      <c r="A951" s="33">
        <v>21120302</v>
      </c>
      <c r="B951" s="23" t="s">
        <v>462</v>
      </c>
      <c r="C951" s="24">
        <v>105000</v>
      </c>
      <c r="D951" s="270"/>
      <c r="E951" s="274"/>
      <c r="F951" s="4"/>
      <c r="G951" s="4"/>
      <c r="H951" s="4"/>
      <c r="I951" s="4"/>
      <c r="J951" s="4"/>
      <c r="K951" s="4"/>
      <c r="L951" s="4"/>
      <c r="M951" s="4"/>
      <c r="N951" s="4"/>
      <c r="O951" s="4"/>
      <c r="P951" s="4"/>
      <c r="Q951" s="4"/>
      <c r="R951" s="4"/>
      <c r="S951" s="4"/>
      <c r="T951" s="4"/>
      <c r="U951" s="4"/>
      <c r="V951" s="4"/>
      <c r="W951" s="4"/>
      <c r="X951" s="4"/>
    </row>
    <row r="952" spans="1:24" ht="12.75" customHeight="1">
      <c r="A952" s="48">
        <v>211204</v>
      </c>
      <c r="B952" s="21" t="s">
        <v>463</v>
      </c>
      <c r="C952" s="26">
        <f>+SUM(C953:C954)</f>
        <v>275500</v>
      </c>
      <c r="D952" s="270"/>
      <c r="E952" s="274"/>
      <c r="F952" s="4"/>
      <c r="G952" s="4"/>
      <c r="H952" s="4"/>
      <c r="I952" s="4"/>
      <c r="J952" s="4"/>
      <c r="K952" s="4"/>
      <c r="L952" s="4"/>
      <c r="M952" s="4"/>
      <c r="N952" s="4"/>
      <c r="O952" s="4"/>
      <c r="P952" s="4"/>
      <c r="Q952" s="4"/>
      <c r="R952" s="4"/>
      <c r="S952" s="4"/>
      <c r="T952" s="4"/>
      <c r="U952" s="4"/>
      <c r="V952" s="4"/>
      <c r="W952" s="4"/>
      <c r="X952" s="4"/>
    </row>
    <row r="953" spans="1:24" ht="12.75" customHeight="1">
      <c r="A953" s="33">
        <v>21120401</v>
      </c>
      <c r="B953" s="24" t="s">
        <v>464</v>
      </c>
      <c r="C953" s="24">
        <v>230500</v>
      </c>
      <c r="D953" s="270"/>
      <c r="E953" s="274"/>
      <c r="F953" s="4"/>
      <c r="G953" s="4"/>
      <c r="H953" s="4"/>
      <c r="I953" s="4"/>
      <c r="J953" s="4"/>
      <c r="K953" s="4"/>
      <c r="L953" s="4"/>
      <c r="M953" s="4"/>
      <c r="N953" s="4"/>
      <c r="O953" s="4"/>
      <c r="P953" s="4"/>
      <c r="Q953" s="4"/>
      <c r="R953" s="4"/>
      <c r="S953" s="4"/>
      <c r="T953" s="4"/>
      <c r="U953" s="4"/>
      <c r="V953" s="4"/>
      <c r="W953" s="4"/>
      <c r="X953" s="4"/>
    </row>
    <row r="954" spans="1:24" ht="12.75" customHeight="1">
      <c r="A954" s="33">
        <v>21120403</v>
      </c>
      <c r="B954" s="23" t="s">
        <v>656</v>
      </c>
      <c r="C954" s="24">
        <v>45000</v>
      </c>
      <c r="D954" s="123"/>
      <c r="E954" s="274"/>
      <c r="F954" s="4"/>
      <c r="G954" s="291"/>
      <c r="H954" s="4"/>
      <c r="I954" s="4"/>
      <c r="J954" s="4"/>
      <c r="K954" s="4"/>
      <c r="L954" s="4"/>
      <c r="M954" s="4"/>
      <c r="N954" s="4"/>
      <c r="O954" s="4"/>
      <c r="P954" s="4"/>
      <c r="Q954" s="4"/>
      <c r="R954" s="4"/>
      <c r="S954" s="4"/>
      <c r="T954" s="4"/>
      <c r="U954" s="4"/>
      <c r="V954" s="4"/>
      <c r="W954" s="4"/>
      <c r="X954" s="4"/>
    </row>
    <row r="955" spans="1:24" ht="12.75" customHeight="1">
      <c r="A955" s="48">
        <v>211208</v>
      </c>
      <c r="B955" s="26" t="s">
        <v>474</v>
      </c>
      <c r="C955" s="26">
        <v>100000</v>
      </c>
      <c r="D955" s="270"/>
      <c r="E955" s="274"/>
      <c r="F955" s="4"/>
      <c r="G955" s="4"/>
      <c r="H955" s="4"/>
      <c r="I955" s="4"/>
      <c r="J955" s="4"/>
      <c r="K955" s="4"/>
      <c r="L955" s="4"/>
      <c r="M955" s="4"/>
      <c r="N955" s="4"/>
      <c r="O955" s="4"/>
      <c r="P955" s="4"/>
      <c r="Q955" s="4"/>
      <c r="R955" s="4"/>
      <c r="S955" s="4"/>
      <c r="T955" s="4"/>
      <c r="U955" s="4"/>
      <c r="V955" s="4"/>
      <c r="W955" s="4"/>
      <c r="X955" s="4"/>
    </row>
    <row r="956" spans="1:24" ht="12.75" customHeight="1">
      <c r="A956" s="33">
        <v>21120805</v>
      </c>
      <c r="B956" s="24" t="s">
        <v>476</v>
      </c>
      <c r="C956" s="24">
        <v>100000</v>
      </c>
      <c r="D956" s="270"/>
      <c r="E956" s="274"/>
      <c r="F956" s="4"/>
      <c r="G956" s="4"/>
      <c r="H956" s="4"/>
      <c r="I956" s="4"/>
      <c r="J956" s="4"/>
      <c r="K956" s="4"/>
      <c r="L956" s="4"/>
      <c r="M956" s="4"/>
      <c r="N956" s="4"/>
      <c r="O956" s="4"/>
      <c r="P956" s="4"/>
      <c r="Q956" s="4"/>
      <c r="R956" s="4"/>
      <c r="S956" s="4"/>
      <c r="T956" s="4"/>
      <c r="U956" s="4"/>
      <c r="V956" s="4"/>
      <c r="W956" s="4"/>
      <c r="X956" s="4"/>
    </row>
    <row r="957" spans="1:24" ht="12.75" customHeight="1">
      <c r="A957" s="48">
        <v>211209</v>
      </c>
      <c r="B957" s="26" t="s">
        <v>477</v>
      </c>
      <c r="C957" s="26">
        <f>+SUM(C958:C960)</f>
        <v>663500</v>
      </c>
      <c r="D957" s="270"/>
      <c r="E957" s="274"/>
      <c r="F957" s="4"/>
      <c r="G957" s="4"/>
      <c r="H957" s="4"/>
      <c r="I957" s="4"/>
      <c r="J957" s="4"/>
      <c r="K957" s="4"/>
      <c r="L957" s="4"/>
      <c r="M957" s="4"/>
      <c r="N957" s="4"/>
      <c r="O957" s="4"/>
      <c r="P957" s="4"/>
      <c r="Q957" s="4"/>
      <c r="R957" s="4"/>
      <c r="S957" s="4"/>
      <c r="T957" s="4"/>
      <c r="U957" s="4"/>
      <c r="V957" s="4"/>
      <c r="W957" s="4"/>
      <c r="X957" s="4"/>
    </row>
    <row r="958" spans="1:24" ht="12.75" customHeight="1">
      <c r="A958" s="33">
        <v>21120905</v>
      </c>
      <c r="B958" s="24" t="s">
        <v>525</v>
      </c>
      <c r="C958" s="24">
        <v>150000</v>
      </c>
      <c r="D958" s="270"/>
      <c r="E958" s="274"/>
      <c r="F958" s="4"/>
      <c r="G958" s="4"/>
      <c r="H958" s="4"/>
      <c r="I958" s="4"/>
      <c r="J958" s="4"/>
      <c r="K958" s="4"/>
      <c r="L958" s="4"/>
      <c r="M958" s="4"/>
      <c r="N958" s="4"/>
      <c r="O958" s="4"/>
      <c r="P958" s="4"/>
      <c r="Q958" s="4"/>
      <c r="R958" s="4"/>
      <c r="S958" s="4"/>
      <c r="T958" s="4"/>
      <c r="U958" s="4"/>
      <c r="V958" s="4"/>
      <c r="W958" s="4"/>
      <c r="X958" s="4"/>
    </row>
    <row r="959" spans="1:24" ht="12.75" customHeight="1">
      <c r="A959" s="33">
        <v>21120906</v>
      </c>
      <c r="B959" s="24" t="s">
        <v>479</v>
      </c>
      <c r="C959" s="24">
        <v>26000</v>
      </c>
      <c r="D959" s="270"/>
      <c r="E959" s="274"/>
      <c r="F959" s="4"/>
      <c r="G959" s="4"/>
      <c r="H959" s="4"/>
      <c r="I959" s="4"/>
      <c r="J959" s="4"/>
      <c r="K959" s="4"/>
      <c r="L959" s="4"/>
      <c r="M959" s="4"/>
      <c r="N959" s="4"/>
      <c r="O959" s="4"/>
      <c r="P959" s="4"/>
      <c r="Q959" s="4"/>
      <c r="R959" s="4"/>
      <c r="S959" s="4"/>
      <c r="T959" s="4"/>
      <c r="U959" s="4"/>
      <c r="V959" s="4"/>
      <c r="W959" s="4"/>
      <c r="X959" s="4"/>
    </row>
    <row r="960" spans="1:24" ht="13.5" customHeight="1">
      <c r="A960" s="33">
        <v>21120907</v>
      </c>
      <c r="B960" s="13" t="s">
        <v>480</v>
      </c>
      <c r="C960" s="24">
        <v>487500</v>
      </c>
      <c r="D960" s="123"/>
      <c r="E960" s="274"/>
      <c r="F960" s="21"/>
      <c r="G960" s="21"/>
      <c r="H960" s="21"/>
      <c r="I960" s="21"/>
      <c r="J960" s="21"/>
      <c r="K960" s="21"/>
      <c r="L960" s="21"/>
      <c r="M960" s="21"/>
      <c r="N960" s="21"/>
      <c r="O960" s="21"/>
      <c r="P960" s="21"/>
      <c r="Q960" s="21"/>
      <c r="R960" s="21"/>
      <c r="S960" s="21"/>
      <c r="T960" s="21"/>
      <c r="U960" s="21"/>
      <c r="V960" s="21"/>
      <c r="W960" s="21"/>
      <c r="X960" s="21"/>
    </row>
    <row r="961" spans="1:24" ht="12.75" customHeight="1" thickBot="1">
      <c r="A961" s="23"/>
      <c r="B961" s="24"/>
      <c r="C961" s="24"/>
      <c r="D961" s="270"/>
      <c r="E961" s="274"/>
      <c r="F961" s="4"/>
      <c r="G961" s="4"/>
      <c r="H961" s="4"/>
      <c r="I961" s="4"/>
      <c r="J961" s="4"/>
      <c r="K961" s="4"/>
      <c r="L961" s="4"/>
      <c r="M961" s="4"/>
      <c r="N961" s="4"/>
      <c r="O961" s="4"/>
      <c r="P961" s="4"/>
      <c r="Q961" s="4"/>
      <c r="R961" s="4"/>
      <c r="S961" s="4"/>
      <c r="T961" s="4"/>
      <c r="U961" s="4"/>
      <c r="V961" s="4"/>
      <c r="W961" s="4"/>
      <c r="X961" s="4"/>
    </row>
    <row r="962" spans="1:24" ht="12.75" customHeight="1" thickBot="1">
      <c r="A962" s="1298" t="s">
        <v>4</v>
      </c>
      <c r="B962" s="1281"/>
      <c r="C962" s="64">
        <f>C963+C967+C969+C973+C965+C971</f>
        <v>8761000</v>
      </c>
      <c r="D962" s="270"/>
      <c r="E962" s="274"/>
      <c r="F962" s="4"/>
      <c r="G962" s="4"/>
      <c r="H962" s="4"/>
      <c r="I962" s="4"/>
      <c r="J962" s="4"/>
      <c r="K962" s="4"/>
      <c r="L962" s="4"/>
      <c r="M962" s="4"/>
      <c r="N962" s="4"/>
      <c r="O962" s="4"/>
      <c r="P962" s="4"/>
      <c r="Q962" s="4"/>
      <c r="R962" s="4"/>
      <c r="S962" s="4"/>
      <c r="T962" s="4"/>
      <c r="U962" s="4"/>
      <c r="V962" s="4"/>
      <c r="W962" s="4"/>
      <c r="X962" s="4"/>
    </row>
    <row r="963" spans="1:24" ht="12.75" customHeight="1">
      <c r="A963" s="48">
        <v>211302</v>
      </c>
      <c r="B963" s="48" t="s">
        <v>481</v>
      </c>
      <c r="C963" s="49">
        <f>SUM(C964)</f>
        <v>550000</v>
      </c>
      <c r="D963" s="270"/>
      <c r="E963" s="274"/>
      <c r="F963" s="4"/>
      <c r="G963" s="4"/>
      <c r="H963" s="4"/>
      <c r="I963" s="4"/>
      <c r="J963" s="4"/>
      <c r="K963" s="4"/>
      <c r="L963" s="4"/>
      <c r="M963" s="4"/>
      <c r="N963" s="4"/>
      <c r="O963" s="4"/>
      <c r="P963" s="4"/>
      <c r="Q963" s="4"/>
      <c r="R963" s="4"/>
      <c r="S963" s="4"/>
      <c r="T963" s="4"/>
      <c r="U963" s="4"/>
      <c r="V963" s="4"/>
      <c r="W963" s="4"/>
      <c r="X963" s="4"/>
    </row>
    <row r="964" spans="1:24" ht="12.75" customHeight="1">
      <c r="A964" s="33">
        <v>21130204</v>
      </c>
      <c r="B964" s="24" t="s">
        <v>483</v>
      </c>
      <c r="C964" s="24">
        <v>550000</v>
      </c>
      <c r="D964" s="270"/>
      <c r="E964" s="274"/>
      <c r="F964" s="4"/>
      <c r="G964" s="4"/>
      <c r="H964" s="4"/>
      <c r="I964" s="4"/>
      <c r="J964" s="4"/>
      <c r="K964" s="4"/>
      <c r="L964" s="4"/>
      <c r="M964" s="4"/>
      <c r="N964" s="4"/>
      <c r="O964" s="4"/>
      <c r="P964" s="4"/>
      <c r="Q964" s="4"/>
      <c r="R964" s="4"/>
      <c r="S964" s="4"/>
      <c r="T964" s="4"/>
      <c r="U964" s="4"/>
      <c r="V964" s="4"/>
      <c r="W964" s="4"/>
      <c r="X964" s="4"/>
    </row>
    <row r="965" spans="1:24" ht="12.75" customHeight="1">
      <c r="A965" s="48">
        <v>211303</v>
      </c>
      <c r="B965" s="26" t="s">
        <v>484</v>
      </c>
      <c r="C965" s="26">
        <v>60000</v>
      </c>
      <c r="D965" s="270"/>
      <c r="E965" s="274"/>
      <c r="F965" s="4"/>
      <c r="G965" s="4"/>
      <c r="H965" s="4"/>
      <c r="I965" s="4"/>
      <c r="J965" s="4"/>
      <c r="K965" s="4"/>
      <c r="L965" s="4"/>
      <c r="M965" s="4"/>
      <c r="N965" s="4"/>
      <c r="O965" s="4"/>
      <c r="P965" s="4"/>
      <c r="Q965" s="4"/>
      <c r="R965" s="4"/>
      <c r="S965" s="4"/>
      <c r="T965" s="4"/>
      <c r="U965" s="4"/>
      <c r="V965" s="4"/>
      <c r="W965" s="4"/>
      <c r="X965" s="4"/>
    </row>
    <row r="966" spans="1:24" ht="12.75" customHeight="1">
      <c r="A966" s="33">
        <v>21130307</v>
      </c>
      <c r="B966" s="23" t="s">
        <v>488</v>
      </c>
      <c r="C966" s="24">
        <v>60000</v>
      </c>
      <c r="D966" s="270"/>
      <c r="E966" s="274"/>
      <c r="F966" s="4"/>
      <c r="G966" s="4"/>
      <c r="H966" s="4"/>
      <c r="I966" s="4"/>
      <c r="J966" s="4"/>
      <c r="K966" s="4"/>
      <c r="L966" s="4"/>
      <c r="M966" s="4"/>
      <c r="N966" s="4"/>
      <c r="O966" s="4"/>
      <c r="P966" s="4"/>
      <c r="Q966" s="4"/>
      <c r="R966" s="4"/>
      <c r="S966" s="4"/>
      <c r="T966" s="4"/>
      <c r="U966" s="4"/>
      <c r="V966" s="4"/>
      <c r="W966" s="4"/>
      <c r="X966" s="4"/>
    </row>
    <row r="967" spans="1:24" ht="12.75" customHeight="1">
      <c r="A967" s="48">
        <v>211305</v>
      </c>
      <c r="B967" s="26" t="s">
        <v>489</v>
      </c>
      <c r="C967" s="26">
        <v>1698000</v>
      </c>
      <c r="D967" s="270"/>
      <c r="E967" s="274"/>
      <c r="F967" s="4"/>
      <c r="G967" s="4"/>
      <c r="H967" s="4"/>
      <c r="I967" s="4"/>
      <c r="J967" s="4"/>
      <c r="K967" s="4"/>
      <c r="L967" s="4"/>
      <c r="M967" s="4"/>
      <c r="N967" s="4"/>
      <c r="O967" s="4"/>
      <c r="P967" s="4"/>
      <c r="Q967" s="4"/>
      <c r="R967" s="4"/>
      <c r="S967" s="4"/>
      <c r="T967" s="4"/>
      <c r="U967" s="4"/>
      <c r="V967" s="4"/>
      <c r="W967" s="4"/>
      <c r="X967" s="4"/>
    </row>
    <row r="968" spans="1:24" ht="12.75" customHeight="1">
      <c r="A968" s="33">
        <v>21130502</v>
      </c>
      <c r="B968" s="23" t="s">
        <v>491</v>
      </c>
      <c r="C968" s="24">
        <v>1698000</v>
      </c>
      <c r="D968" s="270"/>
      <c r="E968" s="274"/>
      <c r="F968" s="4"/>
      <c r="G968" s="4"/>
      <c r="H968" s="4"/>
      <c r="I968" s="4"/>
      <c r="J968" s="4"/>
      <c r="K968" s="4"/>
      <c r="L968" s="4"/>
      <c r="M968" s="4"/>
      <c r="N968" s="4"/>
      <c r="O968" s="4"/>
      <c r="P968" s="4"/>
      <c r="Q968" s="4"/>
      <c r="R968" s="4"/>
      <c r="S968" s="4"/>
      <c r="T968" s="4"/>
      <c r="U968" s="4"/>
      <c r="V968" s="4"/>
      <c r="W968" s="4"/>
      <c r="X968" s="4"/>
    </row>
    <row r="969" spans="1:24" ht="12.75" customHeight="1">
      <c r="A969" s="48">
        <v>211306</v>
      </c>
      <c r="B969" s="21" t="s">
        <v>492</v>
      </c>
      <c r="C969" s="26">
        <v>21000</v>
      </c>
      <c r="D969" s="270"/>
      <c r="E969" s="274"/>
      <c r="F969" s="4"/>
      <c r="G969" s="4"/>
      <c r="H969" s="4"/>
      <c r="I969" s="4"/>
      <c r="J969" s="4"/>
      <c r="K969" s="4"/>
      <c r="L969" s="4"/>
      <c r="M969" s="4"/>
      <c r="N969" s="4"/>
      <c r="O969" s="4"/>
      <c r="P969" s="4"/>
      <c r="Q969" s="4"/>
      <c r="R969" s="4"/>
      <c r="S969" s="4"/>
      <c r="T969" s="4"/>
      <c r="U969" s="4"/>
      <c r="V969" s="4"/>
      <c r="W969" s="4"/>
      <c r="X969" s="4"/>
    </row>
    <row r="970" spans="1:24" ht="12.75" customHeight="1">
      <c r="A970" s="33">
        <v>21130604</v>
      </c>
      <c r="B970" s="23" t="s">
        <v>539</v>
      </c>
      <c r="C970" s="24">
        <v>21000</v>
      </c>
      <c r="D970" s="270"/>
      <c r="E970" s="274"/>
      <c r="F970" s="4"/>
      <c r="G970" s="4"/>
      <c r="H970" s="4"/>
      <c r="I970" s="4"/>
      <c r="J970" s="4"/>
      <c r="K970" s="4"/>
      <c r="L970" s="4"/>
      <c r="M970" s="4"/>
      <c r="N970" s="4"/>
      <c r="O970" s="4"/>
      <c r="P970" s="4"/>
      <c r="Q970" s="4"/>
      <c r="R970" s="4"/>
      <c r="S970" s="4"/>
      <c r="T970" s="4"/>
      <c r="U970" s="4"/>
      <c r="V970" s="4"/>
      <c r="W970" s="4"/>
      <c r="X970" s="4"/>
    </row>
    <row r="971" spans="1:24" ht="12.75" customHeight="1">
      <c r="A971" s="48">
        <v>211307</v>
      </c>
      <c r="B971" s="21" t="s">
        <v>494</v>
      </c>
      <c r="C971" s="26">
        <v>36000</v>
      </c>
      <c r="D971" s="270"/>
      <c r="E971" s="274"/>
      <c r="F971" s="4"/>
      <c r="G971" s="4"/>
      <c r="H971" s="4"/>
      <c r="I971" s="4"/>
      <c r="J971" s="4"/>
      <c r="K971" s="4"/>
      <c r="L971" s="4"/>
      <c r="M971" s="4"/>
      <c r="N971" s="4"/>
      <c r="O971" s="4"/>
      <c r="P971" s="4"/>
      <c r="Q971" s="4"/>
      <c r="R971" s="4"/>
      <c r="S971" s="4"/>
      <c r="T971" s="4"/>
      <c r="U971" s="4"/>
      <c r="V971" s="4"/>
      <c r="W971" s="4"/>
      <c r="X971" s="4"/>
    </row>
    <row r="972" spans="1:24" ht="12.75" customHeight="1">
      <c r="A972" s="33">
        <v>21130701</v>
      </c>
      <c r="B972" s="23" t="s">
        <v>495</v>
      </c>
      <c r="C972" s="24">
        <v>36000</v>
      </c>
      <c r="D972" s="270"/>
      <c r="E972" s="274"/>
      <c r="F972" s="4"/>
      <c r="G972" s="4"/>
      <c r="H972" s="4"/>
      <c r="I972" s="4"/>
      <c r="J972" s="4"/>
      <c r="K972" s="4"/>
      <c r="L972" s="4"/>
      <c r="M972" s="4"/>
      <c r="N972" s="4"/>
      <c r="O972" s="4"/>
      <c r="P972" s="4"/>
      <c r="Q972" s="4"/>
      <c r="R972" s="4"/>
      <c r="S972" s="4"/>
      <c r="T972" s="4"/>
      <c r="U972" s="4"/>
      <c r="V972" s="4"/>
      <c r="W972" s="4"/>
      <c r="X972" s="4"/>
    </row>
    <row r="973" spans="1:24" ht="12.75" customHeight="1">
      <c r="A973" s="48">
        <v>211309</v>
      </c>
      <c r="B973" s="26" t="s">
        <v>496</v>
      </c>
      <c r="C973" s="26">
        <f>+SUM(C974:C978)</f>
        <v>6396000</v>
      </c>
      <c r="D973" s="270"/>
      <c r="E973" s="274"/>
      <c r="F973" s="4"/>
      <c r="G973" s="4"/>
      <c r="H973" s="4"/>
      <c r="I973" s="4"/>
      <c r="J973" s="4"/>
      <c r="K973" s="4"/>
      <c r="L973" s="4"/>
      <c r="M973" s="4"/>
      <c r="N973" s="4"/>
      <c r="O973" s="4"/>
      <c r="P973" s="4"/>
      <c r="Q973" s="4"/>
      <c r="R973" s="4"/>
      <c r="S973" s="4"/>
      <c r="T973" s="4"/>
      <c r="U973" s="4"/>
      <c r="V973" s="4"/>
      <c r="W973" s="4"/>
      <c r="X973" s="4"/>
    </row>
    <row r="974" spans="1:24" ht="12.75" customHeight="1">
      <c r="A974" s="33">
        <v>21130901</v>
      </c>
      <c r="B974" s="24" t="s">
        <v>497</v>
      </c>
      <c r="C974" s="24">
        <v>3650000</v>
      </c>
      <c r="D974" s="270"/>
      <c r="E974" s="274"/>
      <c r="F974" s="4"/>
      <c r="G974" s="4"/>
      <c r="H974" s="4"/>
      <c r="I974" s="4"/>
      <c r="J974" s="4"/>
      <c r="K974" s="4"/>
      <c r="L974" s="4"/>
      <c r="M974" s="4"/>
      <c r="N974" s="4"/>
      <c r="O974" s="4"/>
      <c r="P974" s="4"/>
      <c r="Q974" s="4"/>
      <c r="R974" s="4"/>
      <c r="S974" s="4"/>
      <c r="T974" s="4"/>
      <c r="U974" s="4"/>
      <c r="V974" s="4"/>
      <c r="W974" s="4"/>
      <c r="X974" s="4"/>
    </row>
    <row r="975" spans="1:24" ht="12.75" customHeight="1">
      <c r="A975" s="33">
        <v>21130903</v>
      </c>
      <c r="B975" s="24" t="s">
        <v>498</v>
      </c>
      <c r="C975" s="24">
        <v>16000</v>
      </c>
      <c r="D975" s="270"/>
      <c r="E975" s="274"/>
      <c r="F975" s="4"/>
      <c r="G975" s="4"/>
      <c r="H975" s="4"/>
      <c r="I975" s="4"/>
      <c r="J975" s="4"/>
      <c r="K975" s="4"/>
      <c r="L975" s="4"/>
      <c r="M975" s="4"/>
      <c r="N975" s="4"/>
      <c r="O975" s="4"/>
      <c r="P975" s="4"/>
      <c r="Q975" s="4"/>
      <c r="R975" s="4"/>
      <c r="S975" s="4"/>
      <c r="T975" s="4"/>
      <c r="U975" s="4"/>
      <c r="V975" s="4"/>
      <c r="W975" s="4"/>
      <c r="X975" s="4"/>
    </row>
    <row r="976" spans="1:24" ht="13.5" customHeight="1">
      <c r="A976" s="33">
        <v>21130905</v>
      </c>
      <c r="B976" s="23" t="s">
        <v>532</v>
      </c>
      <c r="C976" s="24">
        <v>45000</v>
      </c>
      <c r="D976" s="89"/>
      <c r="E976" s="123"/>
      <c r="F976" s="21"/>
      <c r="G976" s="21"/>
      <c r="H976" s="21"/>
      <c r="I976" s="21"/>
      <c r="J976" s="21"/>
      <c r="K976" s="21"/>
      <c r="L976" s="21"/>
      <c r="M976" s="21"/>
      <c r="N976" s="21"/>
      <c r="O976" s="21"/>
      <c r="P976" s="21"/>
      <c r="Q976" s="21"/>
      <c r="R976" s="21"/>
      <c r="S976" s="21"/>
      <c r="T976" s="21"/>
      <c r="U976" s="21"/>
      <c r="V976" s="21"/>
      <c r="W976" s="21"/>
      <c r="X976" s="21"/>
    </row>
    <row r="977" spans="1:24" ht="13.5" customHeight="1">
      <c r="A977" s="33">
        <v>21130906</v>
      </c>
      <c r="B977" s="13" t="s">
        <v>499</v>
      </c>
      <c r="C977" s="24">
        <f>1500000+385000</f>
        <v>1885000</v>
      </c>
      <c r="D977" s="123"/>
      <c r="E977" s="123"/>
      <c r="F977" s="21"/>
      <c r="G977" s="21"/>
      <c r="H977" s="21"/>
      <c r="I977" s="23"/>
      <c r="J977" s="23"/>
      <c r="K977" s="23"/>
      <c r="L977" s="23"/>
      <c r="M977" s="23"/>
      <c r="N977" s="23"/>
      <c r="O977" s="23"/>
      <c r="P977" s="23"/>
      <c r="Q977" s="23"/>
      <c r="R977" s="23"/>
      <c r="S977" s="23"/>
      <c r="T977" s="23"/>
      <c r="U977" s="23"/>
      <c r="V977" s="23"/>
      <c r="W977" s="23"/>
      <c r="X977" s="23"/>
    </row>
    <row r="978" spans="1:24" ht="12.75" customHeight="1">
      <c r="A978" s="33">
        <v>21130908</v>
      </c>
      <c r="B978" s="24" t="s">
        <v>500</v>
      </c>
      <c r="C978" s="24">
        <v>800000</v>
      </c>
      <c r="D978" s="270"/>
      <c r="E978" s="274"/>
      <c r="F978" s="4"/>
      <c r="G978" s="4"/>
      <c r="H978" s="4"/>
      <c r="I978" s="4"/>
      <c r="J978" s="4"/>
      <c r="K978" s="4"/>
      <c r="L978" s="4"/>
      <c r="M978" s="4"/>
      <c r="N978" s="4"/>
      <c r="O978" s="4"/>
      <c r="P978" s="4"/>
      <c r="Q978" s="4"/>
      <c r="R978" s="4"/>
      <c r="S978" s="4"/>
      <c r="T978" s="4"/>
      <c r="U978" s="4"/>
      <c r="V978" s="4"/>
      <c r="W978" s="4"/>
      <c r="X978" s="4"/>
    </row>
    <row r="979" spans="1:24" ht="12.75" customHeight="1" thickBot="1">
      <c r="A979" s="23"/>
      <c r="B979" s="23"/>
      <c r="C979" s="24"/>
      <c r="D979" s="270"/>
      <c r="E979" s="274"/>
      <c r="F979" s="4"/>
      <c r="G979" s="4"/>
      <c r="H979" s="4"/>
      <c r="I979" s="4"/>
      <c r="J979" s="4"/>
      <c r="K979" s="4"/>
      <c r="L979" s="4"/>
      <c r="M979" s="4"/>
      <c r="N979" s="4"/>
      <c r="O979" s="4"/>
      <c r="P979" s="4"/>
      <c r="Q979" s="4"/>
      <c r="R979" s="4"/>
      <c r="S979" s="4"/>
      <c r="T979" s="4"/>
      <c r="U979" s="4"/>
      <c r="V979" s="4"/>
      <c r="W979" s="4"/>
      <c r="X979" s="4"/>
    </row>
    <row r="980" spans="1:24" ht="12.75" customHeight="1">
      <c r="A980" s="1334" t="s">
        <v>909</v>
      </c>
      <c r="B980" s="1336"/>
      <c r="C980" s="1485" t="s">
        <v>789</v>
      </c>
      <c r="D980" s="270"/>
      <c r="E980" s="4"/>
      <c r="F980" s="4"/>
      <c r="G980" s="4"/>
      <c r="H980" s="4"/>
      <c r="I980" s="4"/>
      <c r="J980" s="4"/>
      <c r="K980" s="4"/>
      <c r="L980" s="4"/>
      <c r="M980" s="4"/>
      <c r="N980" s="4"/>
      <c r="O980" s="4"/>
      <c r="P980" s="4"/>
      <c r="Q980" s="4"/>
      <c r="R980" s="4"/>
      <c r="S980" s="4"/>
      <c r="T980" s="4"/>
      <c r="U980" s="4"/>
      <c r="V980" s="4"/>
      <c r="W980" s="4"/>
      <c r="X980" s="4"/>
    </row>
    <row r="981" spans="1:24" ht="12.75" customHeight="1" thickBot="1">
      <c r="A981" s="1337"/>
      <c r="B981" s="1338"/>
      <c r="C981" s="1486"/>
      <c r="D981" s="270"/>
      <c r="E981" s="4"/>
      <c r="F981" s="4"/>
      <c r="G981" s="4"/>
      <c r="H981" s="4"/>
      <c r="I981" s="4"/>
      <c r="J981" s="4"/>
      <c r="K981" s="4"/>
      <c r="L981" s="4"/>
      <c r="M981" s="4"/>
      <c r="N981" s="4"/>
      <c r="O981" s="4"/>
      <c r="P981" s="4"/>
      <c r="Q981" s="4"/>
      <c r="R981" s="4"/>
      <c r="S981" s="4"/>
      <c r="T981" s="4"/>
      <c r="U981" s="4"/>
      <c r="V981" s="4"/>
      <c r="W981" s="4"/>
      <c r="X981" s="4"/>
    </row>
    <row r="982" spans="1:24" ht="12.75" customHeight="1">
      <c r="A982" s="1028" t="s">
        <v>675</v>
      </c>
      <c r="B982" s="808"/>
      <c r="C982" s="1029"/>
      <c r="D982" s="270"/>
      <c r="E982" s="4"/>
      <c r="F982" s="4"/>
      <c r="G982" s="4"/>
      <c r="H982" s="4"/>
      <c r="I982" s="4"/>
      <c r="J982" s="4"/>
      <c r="K982" s="4"/>
      <c r="L982" s="4"/>
      <c r="M982" s="4"/>
      <c r="N982" s="4"/>
      <c r="O982" s="4"/>
      <c r="P982" s="4"/>
      <c r="Q982" s="4"/>
      <c r="R982" s="4"/>
      <c r="S982" s="4"/>
      <c r="T982" s="4"/>
      <c r="U982" s="4"/>
      <c r="V982" s="4"/>
      <c r="W982" s="4"/>
      <c r="X982" s="4"/>
    </row>
    <row r="983" spans="1:24" ht="12.75" customHeight="1">
      <c r="A983" s="609" t="s">
        <v>722</v>
      </c>
      <c r="B983" s="808"/>
      <c r="C983" s="1029"/>
      <c r="D983" s="270"/>
      <c r="E983" s="4"/>
      <c r="F983" s="4"/>
      <c r="G983" s="4"/>
      <c r="H983" s="4"/>
      <c r="I983" s="4"/>
      <c r="J983" s="4"/>
      <c r="K983" s="4"/>
      <c r="L983" s="4"/>
      <c r="M983" s="4"/>
      <c r="N983" s="4"/>
      <c r="O983" s="4"/>
      <c r="P983" s="4"/>
      <c r="Q983" s="4"/>
      <c r="R983" s="4"/>
      <c r="S983" s="4"/>
      <c r="T983" s="4"/>
      <c r="U983" s="4"/>
      <c r="V983" s="4"/>
      <c r="W983" s="4"/>
      <c r="X983" s="4"/>
    </row>
    <row r="984" spans="1:24" ht="12.75" customHeight="1">
      <c r="A984" s="609" t="s">
        <v>723</v>
      </c>
      <c r="B984" s="808"/>
      <c r="C984" s="1029"/>
      <c r="D984" s="270"/>
      <c r="E984" s="4"/>
      <c r="F984" s="4"/>
      <c r="G984" s="4"/>
      <c r="H984" s="4"/>
      <c r="I984" s="4"/>
      <c r="J984" s="4"/>
      <c r="K984" s="4"/>
      <c r="L984" s="4"/>
      <c r="M984" s="4"/>
      <c r="N984" s="4"/>
      <c r="O984" s="4"/>
      <c r="P984" s="4"/>
      <c r="Q984" s="4"/>
      <c r="R984" s="4"/>
      <c r="S984" s="4"/>
      <c r="T984" s="4"/>
      <c r="U984" s="4"/>
      <c r="V984" s="4"/>
      <c r="W984" s="4"/>
      <c r="X984" s="4"/>
    </row>
    <row r="985" spans="1:24" ht="12.75" customHeight="1" thickBot="1">
      <c r="A985" s="1125" t="s">
        <v>0</v>
      </c>
      <c r="B985" s="982"/>
      <c r="C985" s="1029"/>
      <c r="D985" s="270"/>
      <c r="E985" s="4"/>
      <c r="F985" s="4"/>
      <c r="G985" s="4"/>
      <c r="H985" s="4"/>
      <c r="I985" s="4"/>
      <c r="J985" s="4"/>
      <c r="K985" s="4"/>
      <c r="L985" s="4"/>
      <c r="M985" s="4"/>
      <c r="N985" s="4"/>
      <c r="O985" s="4"/>
      <c r="P985" s="4"/>
      <c r="Q985" s="4"/>
      <c r="R985" s="4"/>
      <c r="S985" s="4"/>
      <c r="T985" s="4"/>
      <c r="U985" s="4"/>
      <c r="V985" s="4"/>
      <c r="W985" s="4"/>
      <c r="X985" s="4"/>
    </row>
    <row r="986" spans="1:24" ht="14.25" thickBot="1">
      <c r="A986" s="1171" t="s">
        <v>1</v>
      </c>
      <c r="B986" s="1186"/>
      <c r="C986" s="1033">
        <f>C988+C1013+C1031+C1042+C1112</f>
        <v>132110970</v>
      </c>
      <c r="D986" s="270"/>
      <c r="E986" s="3"/>
      <c r="F986" s="4"/>
      <c r="G986" s="4"/>
      <c r="H986" s="4"/>
      <c r="I986" s="4"/>
      <c r="J986" s="4"/>
      <c r="K986" s="4"/>
      <c r="L986" s="4"/>
      <c r="M986" s="4"/>
      <c r="N986" s="4"/>
      <c r="O986" s="4"/>
      <c r="P986" s="4"/>
      <c r="Q986" s="4"/>
      <c r="R986" s="4"/>
      <c r="S986" s="4"/>
      <c r="T986" s="4"/>
      <c r="U986" s="4"/>
      <c r="V986" s="4"/>
      <c r="W986" s="4"/>
      <c r="X986" s="4"/>
    </row>
    <row r="987" spans="1:24" ht="12.75" customHeight="1" thickBot="1">
      <c r="A987" s="177"/>
      <c r="B987" s="4"/>
      <c r="C987" s="3"/>
      <c r="D987" s="181"/>
      <c r="E987" s="4"/>
      <c r="F987" s="4"/>
      <c r="G987" s="4"/>
      <c r="H987" s="4"/>
      <c r="I987" s="4"/>
      <c r="J987" s="4"/>
      <c r="K987" s="4"/>
      <c r="L987" s="4"/>
      <c r="M987" s="4"/>
      <c r="N987" s="4"/>
      <c r="O987" s="4"/>
      <c r="P987" s="4"/>
      <c r="Q987" s="4"/>
      <c r="R987" s="4"/>
      <c r="S987" s="4"/>
      <c r="T987" s="4"/>
      <c r="U987" s="4"/>
      <c r="V987" s="4"/>
      <c r="W987" s="4"/>
      <c r="X987" s="4"/>
    </row>
    <row r="988" spans="1:24" ht="12.75" customHeight="1" thickBot="1">
      <c r="A988" s="1297" t="s">
        <v>9</v>
      </c>
      <c r="B988" s="1281"/>
      <c r="C988" s="62">
        <f>C989+C996+C991+C993+C998+C1008+C1005</f>
        <v>2035000</v>
      </c>
      <c r="D988" s="89"/>
      <c r="E988" s="4"/>
      <c r="F988" s="4"/>
      <c r="G988" s="4"/>
      <c r="H988" s="4"/>
      <c r="I988" s="4"/>
      <c r="J988" s="4"/>
      <c r="K988" s="4"/>
      <c r="L988" s="4"/>
      <c r="M988" s="4"/>
      <c r="N988" s="4"/>
      <c r="O988" s="4"/>
      <c r="P988" s="4"/>
      <c r="Q988" s="4"/>
      <c r="R988" s="4"/>
      <c r="S988" s="4"/>
      <c r="T988" s="4"/>
      <c r="U988" s="4"/>
      <c r="V988" s="4"/>
      <c r="W988" s="4"/>
      <c r="X988" s="4"/>
    </row>
    <row r="989" spans="1:24" ht="12.75" customHeight="1">
      <c r="A989" s="48">
        <v>211201</v>
      </c>
      <c r="B989" s="48" t="s">
        <v>459</v>
      </c>
      <c r="C989" s="49">
        <f>SUM(C990)</f>
        <v>278500</v>
      </c>
      <c r="D989" s="272"/>
      <c r="E989" s="34"/>
      <c r="F989" s="34"/>
      <c r="G989" s="34"/>
      <c r="H989" s="4"/>
      <c r="I989" s="4"/>
      <c r="J989" s="4"/>
      <c r="K989" s="4"/>
      <c r="L989" s="4"/>
      <c r="M989" s="4"/>
      <c r="N989" s="4"/>
      <c r="O989" s="4"/>
      <c r="P989" s="4"/>
      <c r="Q989" s="4"/>
      <c r="R989" s="4"/>
      <c r="S989" s="4"/>
      <c r="T989" s="4"/>
      <c r="U989" s="4"/>
      <c r="V989" s="4"/>
      <c r="W989" s="4"/>
      <c r="X989" s="4"/>
    </row>
    <row r="990" spans="1:24" ht="12.75" customHeight="1">
      <c r="A990" s="33">
        <v>21120101</v>
      </c>
      <c r="B990" s="23" t="s">
        <v>460</v>
      </c>
      <c r="C990" s="24">
        <v>278500</v>
      </c>
      <c r="D990" s="270"/>
      <c r="E990" s="274"/>
      <c r="F990" s="23"/>
      <c r="G990" s="23"/>
      <c r="H990" s="4"/>
      <c r="I990" s="4"/>
      <c r="J990" s="4"/>
      <c r="K990" s="4"/>
      <c r="L990" s="4"/>
      <c r="M990" s="4"/>
      <c r="N990" s="4"/>
      <c r="O990" s="4"/>
      <c r="P990" s="4"/>
      <c r="Q990" s="4"/>
      <c r="R990" s="4"/>
      <c r="S990" s="4"/>
      <c r="T990" s="4"/>
      <c r="U990" s="4"/>
      <c r="V990" s="4"/>
      <c r="W990" s="4"/>
      <c r="X990" s="4"/>
    </row>
    <row r="991" spans="1:24" ht="12.75" customHeight="1">
      <c r="A991" s="48">
        <v>211203</v>
      </c>
      <c r="B991" s="21" t="s">
        <v>461</v>
      </c>
      <c r="C991" s="26">
        <f>C992</f>
        <v>800000</v>
      </c>
      <c r="D991" s="277"/>
      <c r="E991" s="274"/>
      <c r="F991" s="23"/>
      <c r="G991" s="23"/>
      <c r="H991" s="4"/>
      <c r="I991" s="4"/>
      <c r="J991" s="4"/>
      <c r="K991" s="4"/>
      <c r="L991" s="4"/>
      <c r="M991" s="4"/>
      <c r="N991" s="4"/>
      <c r="O991" s="4"/>
      <c r="P991" s="4"/>
      <c r="Q991" s="4"/>
      <c r="R991" s="4"/>
      <c r="S991" s="4"/>
      <c r="T991" s="4"/>
      <c r="U991" s="4"/>
      <c r="V991" s="4"/>
      <c r="W991" s="4"/>
      <c r="X991" s="4"/>
    </row>
    <row r="992" spans="1:24" ht="12.75" customHeight="1">
      <c r="A992" s="33">
        <v>21120302</v>
      </c>
      <c r="B992" s="23" t="s">
        <v>462</v>
      </c>
      <c r="C992" s="24">
        <v>800000</v>
      </c>
      <c r="D992" s="270"/>
      <c r="E992" s="4"/>
      <c r="F992" s="4"/>
      <c r="G992" s="4"/>
      <c r="H992" s="4"/>
      <c r="I992" s="4"/>
      <c r="J992" s="4"/>
      <c r="K992" s="4"/>
      <c r="L992" s="4"/>
      <c r="M992" s="4"/>
      <c r="N992" s="4"/>
      <c r="O992" s="4"/>
      <c r="P992" s="4"/>
      <c r="Q992" s="4"/>
      <c r="R992" s="4"/>
      <c r="S992" s="4"/>
      <c r="T992" s="4"/>
      <c r="U992" s="4"/>
      <c r="V992" s="4"/>
      <c r="W992" s="4"/>
      <c r="X992" s="4"/>
    </row>
    <row r="993" spans="1:24" ht="12.75" customHeight="1">
      <c r="A993" s="48">
        <v>211204</v>
      </c>
      <c r="B993" s="21" t="s">
        <v>463</v>
      </c>
      <c r="C993" s="26">
        <f>+SUM(C994:C995)</f>
        <v>465000</v>
      </c>
      <c r="D993" s="270"/>
      <c r="E993" s="4"/>
      <c r="F993" s="4"/>
      <c r="G993" s="4"/>
      <c r="H993" s="4"/>
      <c r="I993" s="4"/>
      <c r="J993" s="4"/>
      <c r="K993" s="4"/>
      <c r="L993" s="4"/>
      <c r="M993" s="4"/>
      <c r="N993" s="4"/>
      <c r="O993" s="4"/>
      <c r="P993" s="4"/>
      <c r="Q993" s="4"/>
      <c r="R993" s="4"/>
      <c r="S993" s="4"/>
      <c r="T993" s="4"/>
      <c r="U993" s="4"/>
      <c r="V993" s="4"/>
      <c r="W993" s="4"/>
      <c r="X993" s="4"/>
    </row>
    <row r="994" spans="1:24" ht="12.75" customHeight="1">
      <c r="A994" s="33">
        <v>21120401</v>
      </c>
      <c r="B994" s="24" t="s">
        <v>464</v>
      </c>
      <c r="C994" s="24">
        <v>150000</v>
      </c>
      <c r="D994" s="270"/>
      <c r="E994" s="274"/>
      <c r="F994" s="4"/>
      <c r="G994" s="4"/>
      <c r="H994" s="4"/>
      <c r="I994" s="4"/>
      <c r="J994" s="4"/>
      <c r="K994" s="4"/>
      <c r="L994" s="4"/>
      <c r="M994" s="4"/>
      <c r="N994" s="4"/>
      <c r="O994" s="4"/>
      <c r="P994" s="4"/>
      <c r="Q994" s="4"/>
      <c r="R994" s="4"/>
      <c r="S994" s="4"/>
      <c r="T994" s="4"/>
      <c r="U994" s="4"/>
      <c r="V994" s="4"/>
      <c r="W994" s="4"/>
      <c r="X994" s="4"/>
    </row>
    <row r="995" spans="1:24" ht="12.75" customHeight="1">
      <c r="A995" s="33">
        <v>21120402</v>
      </c>
      <c r="B995" s="13" t="s">
        <v>649</v>
      </c>
      <c r="C995" s="24">
        <v>315000</v>
      </c>
      <c r="D995" s="270"/>
      <c r="E995" s="274"/>
      <c r="F995" s="4"/>
      <c r="G995" s="4"/>
      <c r="H995" s="4"/>
      <c r="I995" s="4"/>
      <c r="J995" s="4"/>
      <c r="K995" s="4"/>
      <c r="L995" s="4"/>
      <c r="M995" s="4"/>
      <c r="N995" s="4"/>
      <c r="O995" s="4"/>
      <c r="P995" s="4"/>
      <c r="Q995" s="4"/>
      <c r="R995" s="4"/>
      <c r="S995" s="4"/>
      <c r="T995" s="4"/>
      <c r="U995" s="4"/>
      <c r="V995" s="4"/>
      <c r="W995" s="4"/>
      <c r="X995" s="4"/>
    </row>
    <row r="996" spans="1:24" ht="12.75" customHeight="1">
      <c r="A996" s="48">
        <v>211205</v>
      </c>
      <c r="B996" s="26" t="s">
        <v>465</v>
      </c>
      <c r="C996" s="26">
        <f>C997</f>
        <v>22000</v>
      </c>
      <c r="D996" s="33"/>
      <c r="E996" s="24"/>
      <c r="F996" s="23"/>
      <c r="G996" s="63"/>
      <c r="H996" s="4"/>
      <c r="I996" s="4"/>
      <c r="J996" s="4"/>
      <c r="K996" s="4"/>
      <c r="L996" s="4"/>
      <c r="M996" s="4"/>
      <c r="N996" s="4"/>
      <c r="O996" s="4"/>
      <c r="P996" s="4"/>
      <c r="Q996" s="4"/>
      <c r="R996" s="4"/>
      <c r="S996" s="4"/>
      <c r="T996" s="4"/>
      <c r="U996" s="4"/>
      <c r="V996" s="4"/>
      <c r="W996" s="4"/>
      <c r="X996" s="4"/>
    </row>
    <row r="997" spans="1:24" ht="12.75" customHeight="1">
      <c r="A997" s="33">
        <v>21120502</v>
      </c>
      <c r="B997" s="23" t="s">
        <v>580</v>
      </c>
      <c r="C997" s="24">
        <v>22000</v>
      </c>
      <c r="D997" s="45"/>
      <c r="E997" s="45"/>
      <c r="F997" s="45"/>
      <c r="G997" s="63"/>
      <c r="H997" s="4"/>
      <c r="I997" s="4"/>
      <c r="J997" s="4"/>
      <c r="K997" s="4"/>
      <c r="L997" s="4"/>
      <c r="M997" s="4"/>
      <c r="N997" s="4"/>
      <c r="O997" s="4"/>
      <c r="P997" s="4"/>
      <c r="Q997" s="4"/>
      <c r="R997" s="4"/>
      <c r="S997" s="4"/>
      <c r="T997" s="4"/>
      <c r="U997" s="4"/>
      <c r="V997" s="4"/>
      <c r="W997" s="4"/>
      <c r="X997" s="4"/>
    </row>
    <row r="998" spans="1:24" ht="12.75" customHeight="1">
      <c r="A998" s="48">
        <v>211207</v>
      </c>
      <c r="B998" s="26" t="s">
        <v>467</v>
      </c>
      <c r="C998" s="26">
        <f>+SUM(C999:C1004)</f>
        <v>285500</v>
      </c>
      <c r="D998" s="270"/>
      <c r="E998" s="274"/>
      <c r="F998" s="4"/>
      <c r="G998" s="4"/>
      <c r="H998" s="4"/>
      <c r="I998" s="4"/>
      <c r="J998" s="4"/>
      <c r="K998" s="4"/>
      <c r="L998" s="4"/>
      <c r="M998" s="4"/>
      <c r="N998" s="4"/>
      <c r="O998" s="4"/>
      <c r="P998" s="4"/>
      <c r="Q998" s="4"/>
      <c r="R998" s="4"/>
      <c r="S998" s="4"/>
      <c r="T998" s="4"/>
      <c r="U998" s="4"/>
      <c r="V998" s="4"/>
      <c r="W998" s="4"/>
      <c r="X998" s="4"/>
    </row>
    <row r="999" spans="1:24" ht="12.75" customHeight="1">
      <c r="A999" s="33">
        <v>21120702</v>
      </c>
      <c r="B999" s="24" t="s">
        <v>468</v>
      </c>
      <c r="C999" s="24">
        <v>68000</v>
      </c>
      <c r="D999" s="270"/>
      <c r="E999" s="274"/>
      <c r="F999" s="4"/>
      <c r="G999" s="4"/>
      <c r="H999" s="4"/>
      <c r="I999" s="4"/>
      <c r="J999" s="4"/>
      <c r="K999" s="4"/>
      <c r="L999" s="4"/>
      <c r="M999" s="4"/>
      <c r="N999" s="4"/>
      <c r="O999" s="4"/>
      <c r="P999" s="4"/>
      <c r="Q999" s="4"/>
      <c r="R999" s="4"/>
      <c r="S999" s="4"/>
      <c r="T999" s="4"/>
      <c r="U999" s="4"/>
      <c r="V999" s="4"/>
      <c r="W999" s="4"/>
      <c r="X999" s="4"/>
    </row>
    <row r="1000" spans="1:24" ht="12.75" customHeight="1">
      <c r="A1000" s="33">
        <v>21120707</v>
      </c>
      <c r="B1000" s="13" t="s">
        <v>516</v>
      </c>
      <c r="C1000" s="24">
        <v>100000</v>
      </c>
      <c r="D1000" s="270"/>
      <c r="E1000" s="274"/>
      <c r="F1000" s="4"/>
      <c r="G1000" s="4"/>
      <c r="H1000" s="4"/>
      <c r="I1000" s="4"/>
      <c r="J1000" s="4"/>
      <c r="K1000" s="4"/>
      <c r="L1000" s="4"/>
      <c r="M1000" s="4"/>
      <c r="N1000" s="4"/>
      <c r="O1000" s="4"/>
      <c r="P1000" s="4"/>
      <c r="Q1000" s="4"/>
      <c r="R1000" s="4"/>
      <c r="S1000" s="4"/>
      <c r="T1000" s="4"/>
      <c r="U1000" s="4"/>
      <c r="V1000" s="4"/>
      <c r="W1000" s="4"/>
      <c r="X1000" s="4"/>
    </row>
    <row r="1001" spans="1:24" ht="12.75" customHeight="1">
      <c r="A1001" s="33">
        <v>21120708</v>
      </c>
      <c r="B1001" s="13" t="s">
        <v>470</v>
      </c>
      <c r="C1001" s="24">
        <v>17000</v>
      </c>
      <c r="D1001" s="270"/>
      <c r="E1001" s="274"/>
      <c r="F1001" s="4"/>
      <c r="G1001" s="4"/>
      <c r="H1001" s="4"/>
      <c r="I1001" s="4"/>
      <c r="J1001" s="4"/>
      <c r="K1001" s="4"/>
      <c r="L1001" s="4"/>
      <c r="M1001" s="4"/>
      <c r="N1001" s="4"/>
      <c r="O1001" s="4"/>
      <c r="P1001" s="4"/>
      <c r="Q1001" s="4"/>
      <c r="R1001" s="4"/>
      <c r="S1001" s="4"/>
      <c r="T1001" s="4"/>
      <c r="U1001" s="4"/>
      <c r="V1001" s="4"/>
      <c r="W1001" s="4"/>
      <c r="X1001" s="4"/>
    </row>
    <row r="1002" spans="1:24" ht="12.75" customHeight="1">
      <c r="A1002" s="33">
        <v>21120709</v>
      </c>
      <c r="B1002" s="24" t="s">
        <v>471</v>
      </c>
      <c r="C1002" s="24">
        <v>27500</v>
      </c>
      <c r="D1002" s="8"/>
      <c r="E1002" s="8"/>
      <c r="F1002" s="8"/>
      <c r="G1002" s="8"/>
      <c r="H1002" s="8"/>
      <c r="I1002" s="8"/>
      <c r="J1002" s="8"/>
      <c r="K1002" s="8"/>
      <c r="L1002" s="8"/>
      <c r="M1002" s="8"/>
      <c r="N1002" s="8"/>
      <c r="O1002" s="8"/>
      <c r="P1002" s="8"/>
      <c r="Q1002" s="8"/>
      <c r="R1002" s="8"/>
      <c r="S1002" s="8"/>
      <c r="T1002" s="8"/>
      <c r="U1002" s="8"/>
      <c r="V1002" s="8"/>
      <c r="W1002" s="8"/>
      <c r="X1002" s="8"/>
    </row>
    <row r="1003" spans="1:24" ht="12.75" customHeight="1">
      <c r="A1003" s="33">
        <v>21120710</v>
      </c>
      <c r="B1003" s="24" t="s">
        <v>472</v>
      </c>
      <c r="C1003" s="24">
        <v>55000</v>
      </c>
      <c r="D1003" s="8"/>
      <c r="E1003" s="8"/>
      <c r="F1003" s="8"/>
      <c r="G1003" s="8"/>
      <c r="H1003" s="8"/>
      <c r="I1003" s="8"/>
      <c r="J1003" s="8"/>
      <c r="K1003" s="8"/>
      <c r="L1003" s="8"/>
      <c r="M1003" s="8"/>
      <c r="N1003" s="8"/>
      <c r="O1003" s="8"/>
      <c r="P1003" s="8"/>
      <c r="Q1003" s="8"/>
      <c r="R1003" s="8"/>
      <c r="S1003" s="8"/>
      <c r="T1003" s="8"/>
      <c r="U1003" s="8"/>
      <c r="V1003" s="8"/>
      <c r="W1003" s="8"/>
      <c r="X1003" s="8"/>
    </row>
    <row r="1004" spans="1:24" ht="12.75" customHeight="1">
      <c r="A1004" s="33">
        <v>21120711</v>
      </c>
      <c r="B1004" s="24" t="s">
        <v>473</v>
      </c>
      <c r="C1004" s="24">
        <v>18000</v>
      </c>
      <c r="D1004" s="8"/>
      <c r="E1004" s="8"/>
      <c r="F1004" s="8"/>
      <c r="G1004" s="8"/>
      <c r="H1004" s="8"/>
      <c r="I1004" s="8"/>
      <c r="J1004" s="8"/>
      <c r="K1004" s="8"/>
      <c r="L1004" s="8"/>
      <c r="M1004" s="8"/>
      <c r="N1004" s="8"/>
      <c r="O1004" s="8"/>
      <c r="P1004" s="8"/>
      <c r="Q1004" s="8"/>
      <c r="R1004" s="8"/>
      <c r="S1004" s="8"/>
      <c r="T1004" s="8"/>
      <c r="U1004" s="8"/>
      <c r="V1004" s="8"/>
      <c r="W1004" s="8"/>
      <c r="X1004" s="8"/>
    </row>
    <row r="1005" spans="1:24" ht="13.5" customHeight="1">
      <c r="A1005" s="48">
        <v>211208</v>
      </c>
      <c r="B1005" s="26" t="s">
        <v>474</v>
      </c>
      <c r="C1005" s="26">
        <f>+SUM(C1006:C1007)</f>
        <v>103000</v>
      </c>
      <c r="D1005" s="4"/>
      <c r="E1005" s="34"/>
      <c r="F1005" s="35"/>
      <c r="G1005" s="23"/>
      <c r="H1005" s="23"/>
      <c r="I1005" s="23"/>
      <c r="J1005" s="23"/>
      <c r="K1005" s="23"/>
      <c r="L1005" s="23"/>
      <c r="M1005" s="23"/>
      <c r="N1005" s="23"/>
      <c r="O1005" s="23"/>
      <c r="P1005" s="23"/>
      <c r="Q1005" s="23"/>
      <c r="R1005" s="23"/>
      <c r="S1005" s="23"/>
      <c r="T1005" s="23"/>
      <c r="U1005" s="23"/>
      <c r="V1005" s="23"/>
      <c r="W1005" s="23"/>
      <c r="X1005" s="23"/>
    </row>
    <row r="1006" spans="1:24" ht="12.75" customHeight="1">
      <c r="A1006" s="33">
        <v>21120801</v>
      </c>
      <c r="B1006" s="13" t="s">
        <v>475</v>
      </c>
      <c r="C1006" s="24">
        <v>41000</v>
      </c>
      <c r="D1006" s="8"/>
      <c r="E1006" s="8"/>
      <c r="F1006" s="8"/>
      <c r="G1006" s="8"/>
      <c r="H1006" s="8"/>
      <c r="I1006" s="8"/>
      <c r="J1006" s="8"/>
      <c r="K1006" s="8"/>
      <c r="L1006" s="8"/>
      <c r="M1006" s="8"/>
      <c r="N1006" s="8"/>
      <c r="O1006" s="8"/>
      <c r="P1006" s="8"/>
      <c r="Q1006" s="8"/>
      <c r="R1006" s="8"/>
      <c r="S1006" s="8"/>
      <c r="T1006" s="8"/>
      <c r="U1006" s="8"/>
      <c r="V1006" s="8"/>
      <c r="W1006" s="8"/>
      <c r="X1006" s="8"/>
    </row>
    <row r="1007" spans="1:24" ht="13.5" customHeight="1">
      <c r="A1007" s="33">
        <v>21120805</v>
      </c>
      <c r="B1007" s="24" t="s">
        <v>476</v>
      </c>
      <c r="C1007" s="24">
        <v>62000</v>
      </c>
      <c r="D1007" s="4"/>
      <c r="E1007" s="34"/>
      <c r="F1007" s="35"/>
      <c r="G1007" s="23"/>
      <c r="H1007" s="23"/>
      <c r="I1007" s="23"/>
      <c r="J1007" s="23"/>
      <c r="K1007" s="23"/>
      <c r="L1007" s="23"/>
      <c r="M1007" s="23"/>
      <c r="N1007" s="23"/>
      <c r="O1007" s="23"/>
      <c r="P1007" s="23"/>
      <c r="Q1007" s="23"/>
      <c r="R1007" s="23"/>
      <c r="S1007" s="23"/>
      <c r="T1007" s="23"/>
      <c r="U1007" s="23"/>
      <c r="V1007" s="23"/>
      <c r="W1007" s="23"/>
      <c r="X1007" s="23"/>
    </row>
    <row r="1008" spans="1:24" ht="12.75" customHeight="1">
      <c r="A1008" s="48">
        <v>211209</v>
      </c>
      <c r="B1008" s="26" t="s">
        <v>477</v>
      </c>
      <c r="C1008" s="26">
        <f>+SUM(C1009:C1011)</f>
        <v>81000</v>
      </c>
      <c r="D1008" s="270"/>
      <c r="E1008" s="274"/>
      <c r="F1008" s="4"/>
      <c r="G1008" s="4"/>
      <c r="H1008" s="4"/>
      <c r="I1008" s="4"/>
      <c r="J1008" s="4"/>
      <c r="K1008" s="4"/>
      <c r="L1008" s="4"/>
      <c r="M1008" s="4"/>
      <c r="N1008" s="4"/>
      <c r="O1008" s="4"/>
      <c r="P1008" s="4"/>
      <c r="Q1008" s="4"/>
      <c r="R1008" s="4"/>
      <c r="S1008" s="4"/>
      <c r="T1008" s="4"/>
      <c r="U1008" s="4"/>
      <c r="V1008" s="4"/>
      <c r="W1008" s="4"/>
      <c r="X1008" s="4"/>
    </row>
    <row r="1009" spans="1:24" ht="13.5" customHeight="1">
      <c r="A1009" s="33">
        <v>21120901</v>
      </c>
      <c r="B1009" s="13" t="s">
        <v>478</v>
      </c>
      <c r="C1009" s="24">
        <v>28000</v>
      </c>
      <c r="D1009" s="33"/>
      <c r="E1009" s="27"/>
      <c r="F1009" s="13"/>
      <c r="G1009" s="13"/>
      <c r="H1009" s="13"/>
      <c r="I1009" s="13"/>
      <c r="J1009" s="13"/>
      <c r="K1009" s="13"/>
      <c r="L1009" s="13"/>
      <c r="M1009" s="13"/>
      <c r="N1009" s="13"/>
      <c r="O1009" s="13"/>
      <c r="P1009" s="13"/>
      <c r="Q1009" s="13"/>
      <c r="R1009" s="13"/>
      <c r="S1009" s="13"/>
      <c r="T1009" s="13"/>
      <c r="U1009" s="13"/>
      <c r="V1009" s="13"/>
      <c r="W1009" s="13"/>
      <c r="X1009" s="13"/>
    </row>
    <row r="1010" spans="1:24" ht="12.75" customHeight="1">
      <c r="A1010" s="33">
        <v>21120905</v>
      </c>
      <c r="B1010" s="24" t="s">
        <v>525</v>
      </c>
      <c r="C1010" s="24">
        <v>8500</v>
      </c>
      <c r="D1010" s="270"/>
      <c r="E1010" s="274"/>
      <c r="F1010" s="4"/>
      <c r="G1010" s="4"/>
      <c r="H1010" s="4"/>
      <c r="I1010" s="4"/>
      <c r="J1010" s="4"/>
      <c r="K1010" s="4"/>
      <c r="L1010" s="4"/>
      <c r="M1010" s="4"/>
      <c r="N1010" s="4"/>
      <c r="O1010" s="4"/>
      <c r="P1010" s="4"/>
      <c r="Q1010" s="4"/>
      <c r="R1010" s="4"/>
      <c r="S1010" s="4"/>
      <c r="T1010" s="4"/>
      <c r="U1010" s="4"/>
      <c r="V1010" s="4"/>
      <c r="W1010" s="4"/>
      <c r="X1010" s="4"/>
    </row>
    <row r="1011" spans="1:24" ht="12.75" customHeight="1">
      <c r="A1011" s="33">
        <v>21120906</v>
      </c>
      <c r="B1011" s="24" t="s">
        <v>479</v>
      </c>
      <c r="C1011" s="24">
        <v>44500</v>
      </c>
      <c r="D1011" s="270"/>
      <c r="E1011" s="274"/>
      <c r="F1011" s="4"/>
      <c r="G1011" s="4"/>
      <c r="H1011" s="4"/>
      <c r="I1011" s="4"/>
      <c r="J1011" s="4"/>
      <c r="K1011" s="4"/>
      <c r="L1011" s="4"/>
      <c r="M1011" s="4"/>
      <c r="N1011" s="4"/>
      <c r="O1011" s="4"/>
      <c r="P1011" s="4"/>
      <c r="Q1011" s="4"/>
      <c r="R1011" s="4"/>
      <c r="S1011" s="4"/>
      <c r="T1011" s="4"/>
      <c r="U1011" s="4"/>
      <c r="V1011" s="4"/>
      <c r="W1011" s="4"/>
      <c r="X1011" s="4"/>
    </row>
    <row r="1012" spans="1:24" ht="12.75" customHeight="1" thickBot="1">
      <c r="A1012" s="33"/>
      <c r="B1012" s="24"/>
      <c r="C1012" s="24"/>
      <c r="D1012" s="270"/>
      <c r="E1012" s="274"/>
      <c r="F1012" s="4"/>
      <c r="G1012" s="4"/>
      <c r="H1012" s="4"/>
      <c r="I1012" s="4"/>
      <c r="J1012" s="4"/>
      <c r="K1012" s="4"/>
      <c r="L1012" s="4"/>
      <c r="M1012" s="4"/>
      <c r="N1012" s="4"/>
      <c r="O1012" s="4"/>
      <c r="P1012" s="4"/>
      <c r="Q1012" s="4"/>
      <c r="R1012" s="4"/>
      <c r="S1012" s="4"/>
      <c r="T1012" s="4"/>
      <c r="U1012" s="4"/>
      <c r="V1012" s="4"/>
      <c r="W1012" s="4"/>
      <c r="X1012" s="4"/>
    </row>
    <row r="1013" spans="1:24" ht="12.75" customHeight="1" thickBot="1">
      <c r="A1013" s="1298" t="s">
        <v>4</v>
      </c>
      <c r="B1013" s="1281"/>
      <c r="C1013" s="64">
        <f>+C1019+C1016+C1023+C1025+C1014</f>
        <v>17689000</v>
      </c>
      <c r="D1013" s="270"/>
      <c r="E1013" s="4"/>
      <c r="F1013" s="4"/>
      <c r="G1013" s="4"/>
      <c r="H1013" s="4"/>
      <c r="I1013" s="4"/>
      <c r="J1013" s="4"/>
      <c r="K1013" s="4"/>
      <c r="L1013" s="4"/>
      <c r="M1013" s="4"/>
      <c r="N1013" s="4"/>
      <c r="O1013" s="4"/>
      <c r="P1013" s="4"/>
      <c r="Q1013" s="4"/>
      <c r="R1013" s="4"/>
      <c r="S1013" s="4"/>
      <c r="T1013" s="4"/>
      <c r="U1013" s="4"/>
      <c r="V1013" s="4"/>
      <c r="W1013" s="4"/>
      <c r="X1013" s="4"/>
    </row>
    <row r="1014" spans="1:24" ht="12.75" customHeight="1">
      <c r="A1014" s="48">
        <v>211302</v>
      </c>
      <c r="B1014" s="48" t="s">
        <v>481</v>
      </c>
      <c r="C1014" s="49">
        <f>SUM(C1015)</f>
        <v>40500</v>
      </c>
      <c r="D1014" s="272"/>
      <c r="E1014" s="34"/>
      <c r="F1014" s="34"/>
      <c r="G1014" s="34"/>
      <c r="H1014" s="4"/>
      <c r="I1014" s="4"/>
      <c r="J1014" s="4"/>
      <c r="K1014" s="4"/>
      <c r="L1014" s="4"/>
      <c r="M1014" s="4"/>
      <c r="N1014" s="4"/>
      <c r="O1014" s="4"/>
      <c r="P1014" s="4"/>
      <c r="Q1014" s="4"/>
      <c r="R1014" s="4"/>
      <c r="S1014" s="4"/>
      <c r="T1014" s="4"/>
      <c r="U1014" s="4"/>
      <c r="V1014" s="4"/>
      <c r="W1014" s="4"/>
      <c r="X1014" s="4"/>
    </row>
    <row r="1015" spans="1:24" ht="12.75" customHeight="1">
      <c r="A1015" s="33">
        <v>21130204</v>
      </c>
      <c r="B1015" s="24" t="s">
        <v>483</v>
      </c>
      <c r="C1015" s="24">
        <v>40500</v>
      </c>
      <c r="D1015" s="275"/>
      <c r="E1015" s="89"/>
      <c r="F1015" s="24"/>
      <c r="G1015" s="23"/>
      <c r="H1015" s="4"/>
      <c r="I1015" s="4"/>
      <c r="J1015" s="4"/>
      <c r="K1015" s="4"/>
      <c r="L1015" s="4"/>
      <c r="M1015" s="4"/>
      <c r="N1015" s="4"/>
      <c r="O1015" s="4"/>
      <c r="P1015" s="4"/>
      <c r="Q1015" s="4"/>
      <c r="R1015" s="4"/>
      <c r="S1015" s="4"/>
      <c r="T1015" s="4"/>
      <c r="U1015" s="4"/>
      <c r="V1015" s="4"/>
      <c r="W1015" s="4"/>
      <c r="X1015" s="4"/>
    </row>
    <row r="1016" spans="1:24" ht="12.75" customHeight="1">
      <c r="A1016" s="48">
        <v>211303</v>
      </c>
      <c r="B1016" s="26" t="s">
        <v>484</v>
      </c>
      <c r="C1016" s="26">
        <f>SUM(C1017:C1018)</f>
        <v>71000</v>
      </c>
      <c r="D1016" s="123"/>
      <c r="E1016" s="89"/>
      <c r="F1016" s="24"/>
      <c r="G1016" s="23"/>
      <c r="H1016" s="4"/>
      <c r="I1016" s="4"/>
      <c r="J1016" s="4"/>
      <c r="K1016" s="4"/>
      <c r="L1016" s="4"/>
      <c r="M1016" s="4"/>
      <c r="N1016" s="4"/>
      <c r="O1016" s="4"/>
      <c r="P1016" s="4"/>
      <c r="Q1016" s="4"/>
      <c r="R1016" s="4"/>
      <c r="S1016" s="4"/>
      <c r="T1016" s="4"/>
      <c r="U1016" s="4"/>
      <c r="V1016" s="4"/>
      <c r="W1016" s="4"/>
      <c r="X1016" s="4"/>
    </row>
    <row r="1017" spans="1:24" ht="13.5" customHeight="1">
      <c r="A1017" s="33">
        <v>21130301</v>
      </c>
      <c r="B1017" s="23" t="s">
        <v>485</v>
      </c>
      <c r="C1017" s="24">
        <v>60000</v>
      </c>
      <c r="D1017" s="273"/>
      <c r="E1017" s="89"/>
      <c r="F1017" s="24"/>
      <c r="G1017" s="23"/>
      <c r="H1017" s="4"/>
      <c r="I1017" s="4"/>
      <c r="J1017" s="4"/>
      <c r="K1017" s="4"/>
      <c r="L1017" s="4"/>
      <c r="M1017" s="4"/>
      <c r="N1017" s="4"/>
      <c r="O1017" s="4"/>
      <c r="P1017" s="4"/>
      <c r="Q1017" s="4"/>
      <c r="R1017" s="4"/>
      <c r="S1017" s="4"/>
      <c r="T1017" s="4"/>
      <c r="U1017" s="4"/>
      <c r="V1017" s="4"/>
      <c r="W1017" s="4"/>
      <c r="X1017" s="4"/>
    </row>
    <row r="1018" spans="1:24" ht="13.5" customHeight="1">
      <c r="A1018" s="33">
        <v>21130307</v>
      </c>
      <c r="B1018" s="23" t="s">
        <v>488</v>
      </c>
      <c r="C1018" s="24">
        <v>11000</v>
      </c>
      <c r="D1018" s="123"/>
      <c r="E1018" s="89"/>
      <c r="F1018" s="24"/>
      <c r="G1018" s="23"/>
      <c r="H1018" s="4"/>
      <c r="I1018" s="4"/>
      <c r="J1018" s="4"/>
      <c r="K1018" s="4"/>
      <c r="L1018" s="4"/>
      <c r="M1018" s="4"/>
      <c r="N1018" s="4"/>
      <c r="O1018" s="4"/>
      <c r="P1018" s="4"/>
      <c r="Q1018" s="4"/>
      <c r="R1018" s="4"/>
      <c r="S1018" s="4"/>
      <c r="T1018" s="4"/>
      <c r="U1018" s="4"/>
      <c r="V1018" s="4"/>
      <c r="W1018" s="4"/>
      <c r="X1018" s="4"/>
    </row>
    <row r="1019" spans="1:24" ht="12.75" customHeight="1">
      <c r="A1019" s="48">
        <v>211305</v>
      </c>
      <c r="B1019" s="26" t="s">
        <v>489</v>
      </c>
      <c r="C1019" s="26">
        <f>+SUM(C1020:C1022)</f>
        <v>11640000</v>
      </c>
      <c r="D1019" s="275"/>
      <c r="E1019" s="89"/>
      <c r="F1019" s="24"/>
      <c r="G1019" s="23"/>
      <c r="H1019" s="4"/>
      <c r="I1019" s="4"/>
      <c r="J1019" s="4"/>
      <c r="K1019" s="4"/>
      <c r="L1019" s="4"/>
      <c r="M1019" s="4"/>
      <c r="N1019" s="4"/>
      <c r="O1019" s="4"/>
      <c r="P1019" s="4"/>
      <c r="Q1019" s="4"/>
      <c r="R1019" s="4"/>
      <c r="S1019" s="4"/>
      <c r="T1019" s="4"/>
      <c r="U1019" s="4"/>
      <c r="V1019" s="4"/>
      <c r="W1019" s="4"/>
      <c r="X1019" s="4"/>
    </row>
    <row r="1020" spans="1:24" ht="12.75" customHeight="1">
      <c r="A1020" s="33">
        <v>21130501</v>
      </c>
      <c r="B1020" s="13" t="s">
        <v>490</v>
      </c>
      <c r="C1020" s="24">
        <v>57000</v>
      </c>
      <c r="D1020" s="123"/>
      <c r="E1020" s="89"/>
      <c r="F1020" s="24"/>
      <c r="G1020" s="23"/>
      <c r="H1020" s="4"/>
      <c r="I1020" s="4"/>
      <c r="J1020" s="4"/>
      <c r="K1020" s="4"/>
      <c r="L1020" s="4"/>
      <c r="M1020" s="4"/>
      <c r="N1020" s="4"/>
      <c r="O1020" s="4"/>
      <c r="P1020" s="4"/>
      <c r="Q1020" s="4"/>
      <c r="R1020" s="4"/>
      <c r="S1020" s="4"/>
      <c r="T1020" s="4"/>
      <c r="U1020" s="4"/>
      <c r="V1020" s="4"/>
      <c r="W1020" s="4"/>
      <c r="X1020" s="4"/>
    </row>
    <row r="1021" spans="1:24" ht="12.75" customHeight="1">
      <c r="A1021" s="33">
        <v>21130502</v>
      </c>
      <c r="B1021" s="23" t="s">
        <v>491</v>
      </c>
      <c r="C1021" s="24">
        <f>11144000-150000</f>
        <v>10994000</v>
      </c>
      <c r="D1021" s="123"/>
      <c r="E1021" s="89"/>
      <c r="F1021" s="24"/>
      <c r="G1021" s="23"/>
      <c r="H1021" s="4"/>
      <c r="I1021" s="4"/>
      <c r="J1021" s="4"/>
      <c r="K1021" s="4"/>
      <c r="L1021" s="4"/>
      <c r="M1021" s="4"/>
      <c r="N1021" s="4"/>
      <c r="O1021" s="4"/>
      <c r="P1021" s="4"/>
      <c r="Q1021" s="4"/>
      <c r="R1021" s="4"/>
      <c r="S1021" s="4"/>
      <c r="T1021" s="4"/>
      <c r="U1021" s="4"/>
      <c r="V1021" s="4"/>
      <c r="W1021" s="4"/>
      <c r="X1021" s="4"/>
    </row>
    <row r="1022" spans="1:24" ht="13.5" customHeight="1">
      <c r="A1022" s="33">
        <v>21130505</v>
      </c>
      <c r="B1022" s="13" t="s">
        <v>651</v>
      </c>
      <c r="C1022" s="24">
        <v>589000</v>
      </c>
      <c r="D1022" s="123"/>
      <c r="E1022" s="89"/>
      <c r="F1022" s="23"/>
      <c r="G1022" s="23"/>
      <c r="H1022" s="24"/>
      <c r="I1022" s="23"/>
      <c r="J1022" s="23"/>
      <c r="K1022" s="23"/>
      <c r="L1022" s="23"/>
      <c r="M1022" s="23"/>
      <c r="N1022" s="23"/>
      <c r="O1022" s="23"/>
      <c r="P1022" s="23"/>
      <c r="Q1022" s="23"/>
      <c r="R1022" s="23"/>
      <c r="S1022" s="23"/>
      <c r="T1022" s="23"/>
      <c r="U1022" s="23"/>
      <c r="V1022" s="23"/>
      <c r="W1022" s="23"/>
      <c r="X1022" s="23"/>
    </row>
    <row r="1023" spans="1:24" ht="12.75" customHeight="1">
      <c r="A1023" s="48">
        <v>211306</v>
      </c>
      <c r="B1023" s="21" t="s">
        <v>492</v>
      </c>
      <c r="C1023" s="26">
        <f>C1024</f>
        <v>124000</v>
      </c>
      <c r="D1023" s="123"/>
      <c r="E1023" s="89"/>
      <c r="F1023" s="24"/>
      <c r="G1023" s="23"/>
      <c r="H1023" s="4"/>
      <c r="I1023" s="4"/>
      <c r="J1023" s="4"/>
      <c r="K1023" s="4"/>
      <c r="L1023" s="4"/>
      <c r="M1023" s="4"/>
      <c r="N1023" s="4"/>
      <c r="O1023" s="4"/>
      <c r="P1023" s="4"/>
      <c r="Q1023" s="4"/>
      <c r="R1023" s="4"/>
      <c r="S1023" s="4"/>
      <c r="T1023" s="4"/>
      <c r="U1023" s="4"/>
      <c r="V1023" s="4"/>
      <c r="W1023" s="4"/>
      <c r="X1023" s="4"/>
    </row>
    <row r="1024" spans="1:24" ht="12.75" customHeight="1">
      <c r="A1024" s="33">
        <v>21130604</v>
      </c>
      <c r="B1024" s="23" t="s">
        <v>539</v>
      </c>
      <c r="C1024" s="24">
        <v>124000</v>
      </c>
      <c r="D1024" s="123"/>
      <c r="E1024" s="89"/>
      <c r="F1024" s="23"/>
      <c r="G1024" s="23"/>
      <c r="H1024" s="4"/>
      <c r="I1024" s="4"/>
      <c r="J1024" s="4"/>
      <c r="K1024" s="4"/>
      <c r="L1024" s="4"/>
      <c r="M1024" s="4"/>
      <c r="N1024" s="4"/>
      <c r="O1024" s="4"/>
      <c r="P1024" s="4"/>
      <c r="Q1024" s="4"/>
      <c r="R1024" s="4"/>
      <c r="S1024" s="4"/>
      <c r="T1024" s="4"/>
      <c r="U1024" s="4"/>
      <c r="V1024" s="4"/>
      <c r="W1024" s="4"/>
      <c r="X1024" s="4"/>
    </row>
    <row r="1025" spans="1:24" ht="12.75" customHeight="1">
      <c r="A1025" s="48">
        <v>211309</v>
      </c>
      <c r="B1025" s="26" t="s">
        <v>496</v>
      </c>
      <c r="C1025" s="26">
        <f>+SUM(C1026:C1029)</f>
        <v>5813500</v>
      </c>
      <c r="D1025" s="275"/>
      <c r="E1025" s="89"/>
      <c r="F1025" s="23"/>
      <c r="G1025" s="23"/>
      <c r="H1025" s="4"/>
      <c r="I1025" s="4"/>
      <c r="J1025" s="4"/>
      <c r="K1025" s="4"/>
      <c r="L1025" s="4"/>
      <c r="M1025" s="4"/>
      <c r="N1025" s="4"/>
      <c r="O1025" s="4"/>
      <c r="P1025" s="4"/>
      <c r="Q1025" s="4"/>
      <c r="R1025" s="4"/>
      <c r="S1025" s="4"/>
      <c r="T1025" s="4"/>
      <c r="U1025" s="4"/>
      <c r="V1025" s="4"/>
      <c r="W1025" s="4"/>
      <c r="X1025" s="4"/>
    </row>
    <row r="1026" spans="1:24" ht="12.75" customHeight="1">
      <c r="A1026" s="33">
        <v>21130901</v>
      </c>
      <c r="B1026" s="24" t="s">
        <v>497</v>
      </c>
      <c r="C1026" s="24">
        <v>5600000</v>
      </c>
      <c r="D1026" s="272"/>
      <c r="E1026" s="279"/>
      <c r="F1026" s="23"/>
      <c r="G1026" s="23"/>
      <c r="H1026" s="4"/>
      <c r="I1026" s="4"/>
      <c r="J1026" s="4"/>
      <c r="K1026" s="4"/>
      <c r="L1026" s="4"/>
      <c r="M1026" s="4"/>
      <c r="N1026" s="4"/>
      <c r="O1026" s="4"/>
      <c r="P1026" s="4"/>
      <c r="Q1026" s="4"/>
      <c r="R1026" s="4"/>
      <c r="S1026" s="4"/>
      <c r="T1026" s="4"/>
      <c r="U1026" s="4"/>
      <c r="V1026" s="4"/>
      <c r="W1026" s="4"/>
      <c r="X1026" s="4"/>
    </row>
    <row r="1027" spans="1:24" ht="12.75" customHeight="1">
      <c r="A1027" s="33">
        <v>21130903</v>
      </c>
      <c r="B1027" s="24" t="s">
        <v>498</v>
      </c>
      <c r="C1027" s="24">
        <v>100000</v>
      </c>
      <c r="D1027" s="123"/>
      <c r="E1027" s="280"/>
      <c r="F1027" s="23"/>
      <c r="G1027" s="23"/>
      <c r="H1027" s="4"/>
      <c r="I1027" s="4"/>
      <c r="J1027" s="4"/>
      <c r="K1027" s="4"/>
      <c r="L1027" s="4"/>
      <c r="M1027" s="4"/>
      <c r="N1027" s="4"/>
      <c r="O1027" s="4"/>
      <c r="P1027" s="4"/>
      <c r="Q1027" s="4"/>
      <c r="R1027" s="4"/>
      <c r="S1027" s="4"/>
      <c r="T1027" s="4"/>
      <c r="U1027" s="4"/>
      <c r="V1027" s="4"/>
      <c r="W1027" s="4"/>
      <c r="X1027" s="4"/>
    </row>
    <row r="1028" spans="1:24" ht="12.75" customHeight="1">
      <c r="A1028" s="33">
        <v>21130906</v>
      </c>
      <c r="B1028" s="23" t="s">
        <v>499</v>
      </c>
      <c r="C1028" s="24">
        <v>63500</v>
      </c>
      <c r="D1028" s="23"/>
      <c r="E1028" s="280"/>
      <c r="F1028" s="23"/>
      <c r="G1028" s="23"/>
      <c r="H1028" s="4"/>
      <c r="I1028" s="4"/>
      <c r="J1028" s="4"/>
      <c r="K1028" s="4"/>
      <c r="L1028" s="4"/>
      <c r="M1028" s="4"/>
      <c r="N1028" s="4"/>
      <c r="O1028" s="4"/>
      <c r="P1028" s="4"/>
      <c r="Q1028" s="4"/>
      <c r="R1028" s="4"/>
      <c r="S1028" s="4"/>
      <c r="T1028" s="4"/>
      <c r="U1028" s="4"/>
      <c r="V1028" s="4"/>
      <c r="W1028" s="4"/>
      <c r="X1028" s="4"/>
    </row>
    <row r="1029" spans="1:24" ht="12.75" customHeight="1">
      <c r="A1029" s="33">
        <v>21130908</v>
      </c>
      <c r="B1029" s="24" t="s">
        <v>500</v>
      </c>
      <c r="C1029" s="24">
        <v>50000</v>
      </c>
      <c r="D1029" s="275"/>
      <c r="E1029" s="280"/>
      <c r="F1029" s="23"/>
      <c r="G1029" s="23"/>
      <c r="H1029" s="4"/>
      <c r="I1029" s="4"/>
      <c r="J1029" s="4"/>
      <c r="K1029" s="4"/>
      <c r="L1029" s="4"/>
      <c r="M1029" s="4"/>
      <c r="N1029" s="4"/>
      <c r="O1029" s="4"/>
      <c r="P1029" s="4"/>
      <c r="Q1029" s="4"/>
      <c r="R1029" s="4"/>
      <c r="S1029" s="4"/>
      <c r="T1029" s="4"/>
      <c r="U1029" s="4"/>
      <c r="V1029" s="4"/>
      <c r="W1029" s="4"/>
      <c r="X1029" s="4"/>
    </row>
    <row r="1030" spans="1:24" ht="12.75" customHeight="1" thickBot="1">
      <c r="A1030" s="33"/>
      <c r="B1030" s="24"/>
      <c r="C1030" s="24"/>
      <c r="D1030" s="279"/>
      <c r="E1030" s="280"/>
      <c r="F1030" s="23"/>
      <c r="G1030" s="23"/>
      <c r="H1030" s="4"/>
      <c r="I1030" s="4"/>
      <c r="J1030" s="4"/>
      <c r="K1030" s="4"/>
      <c r="L1030" s="4"/>
      <c r="M1030" s="4"/>
      <c r="N1030" s="4"/>
      <c r="O1030" s="4"/>
      <c r="P1030" s="4"/>
      <c r="Q1030" s="4"/>
      <c r="R1030" s="4"/>
      <c r="S1030" s="4"/>
      <c r="T1030" s="4"/>
      <c r="U1030" s="4"/>
      <c r="V1030" s="4"/>
      <c r="W1030" s="4"/>
      <c r="X1030" s="4"/>
    </row>
    <row r="1031" spans="1:24" ht="12.75" customHeight="1" thickBot="1">
      <c r="A1031" s="1287" t="s">
        <v>45</v>
      </c>
      <c r="B1031" s="1281"/>
      <c r="C1031" s="47">
        <f>C1032</f>
        <v>500000</v>
      </c>
      <c r="D1031" s="270"/>
      <c r="E1031" s="281"/>
      <c r="F1031" s="4"/>
      <c r="G1031" s="4"/>
      <c r="H1031" s="4"/>
      <c r="I1031" s="4"/>
      <c r="J1031" s="4"/>
      <c r="K1031" s="4"/>
      <c r="L1031" s="4"/>
      <c r="M1031" s="4"/>
      <c r="N1031" s="4"/>
      <c r="O1031" s="4"/>
      <c r="P1031" s="4"/>
      <c r="Q1031" s="4"/>
      <c r="R1031" s="4"/>
      <c r="S1031" s="4"/>
      <c r="T1031" s="4"/>
      <c r="U1031" s="4"/>
      <c r="V1031" s="4"/>
      <c r="W1031" s="4"/>
      <c r="X1031" s="4"/>
    </row>
    <row r="1032" spans="1:24" ht="12.75" customHeight="1">
      <c r="A1032" s="48">
        <v>22402</v>
      </c>
      <c r="B1032" s="48" t="s">
        <v>503</v>
      </c>
      <c r="C1032" s="49">
        <f>SUM(C1033)</f>
        <v>500000</v>
      </c>
      <c r="D1032" s="272"/>
      <c r="E1032" s="282"/>
      <c r="F1032" s="34"/>
      <c r="G1032" s="34"/>
      <c r="H1032" s="4"/>
      <c r="I1032" s="4"/>
      <c r="J1032" s="4"/>
      <c r="K1032" s="4"/>
      <c r="L1032" s="4"/>
      <c r="M1032" s="4"/>
      <c r="N1032" s="4"/>
      <c r="O1032" s="4"/>
      <c r="P1032" s="4"/>
      <c r="Q1032" s="4"/>
      <c r="R1032" s="4"/>
      <c r="S1032" s="4"/>
      <c r="T1032" s="4"/>
      <c r="U1032" s="4"/>
      <c r="V1032" s="4"/>
      <c r="W1032" s="4"/>
      <c r="X1032" s="4"/>
    </row>
    <row r="1033" spans="1:24" ht="12.75" customHeight="1">
      <c r="A1033" s="33">
        <v>2240213</v>
      </c>
      <c r="B1033" s="23" t="s">
        <v>504</v>
      </c>
      <c r="C1033" s="24">
        <v>500000</v>
      </c>
      <c r="D1033" s="270"/>
      <c r="E1033" s="281"/>
      <c r="F1033" s="4"/>
      <c r="G1033" s="4"/>
      <c r="H1033" s="4"/>
      <c r="I1033" s="4"/>
      <c r="J1033" s="4"/>
      <c r="K1033" s="4"/>
      <c r="L1033" s="4"/>
      <c r="M1033" s="4"/>
      <c r="N1033" s="4"/>
      <c r="O1033" s="4"/>
      <c r="P1033" s="4"/>
      <c r="Q1033" s="4"/>
      <c r="R1033" s="4"/>
      <c r="S1033" s="4"/>
      <c r="T1033" s="4"/>
      <c r="U1033" s="4"/>
      <c r="V1033" s="4"/>
      <c r="W1033" s="4"/>
      <c r="X1033" s="4"/>
    </row>
    <row r="1034" spans="1:24" ht="12.75" customHeight="1">
      <c r="A1034" s="33"/>
      <c r="B1034" s="23"/>
      <c r="C1034" s="24"/>
      <c r="D1034" s="270"/>
      <c r="E1034" s="281"/>
      <c r="F1034" s="4"/>
      <c r="G1034" s="4"/>
      <c r="H1034" s="4"/>
      <c r="I1034" s="4"/>
      <c r="J1034" s="4"/>
      <c r="K1034" s="4"/>
      <c r="L1034" s="4"/>
      <c r="M1034" s="4"/>
      <c r="N1034" s="4"/>
      <c r="O1034" s="4"/>
      <c r="P1034" s="4"/>
      <c r="Q1034" s="4"/>
      <c r="R1034" s="4"/>
      <c r="S1034" s="4"/>
      <c r="T1034" s="4"/>
      <c r="U1034" s="4"/>
      <c r="V1034" s="4"/>
      <c r="W1034" s="4"/>
      <c r="X1034" s="4"/>
    </row>
    <row r="1035" spans="1:24" ht="12.75" customHeight="1" thickBot="1">
      <c r="A1035" s="33"/>
      <c r="B1035" s="23"/>
      <c r="C1035" s="24"/>
      <c r="D1035" s="270"/>
      <c r="E1035" s="281"/>
      <c r="F1035" s="4"/>
      <c r="G1035" s="4"/>
      <c r="H1035" s="4"/>
      <c r="I1035" s="4"/>
      <c r="J1035" s="4"/>
      <c r="K1035" s="4"/>
      <c r="L1035" s="4"/>
      <c r="M1035" s="4"/>
      <c r="N1035" s="4"/>
      <c r="O1035" s="4"/>
      <c r="P1035" s="4"/>
      <c r="Q1035" s="4"/>
      <c r="R1035" s="4"/>
      <c r="S1035" s="4"/>
      <c r="T1035" s="4"/>
      <c r="U1035" s="4"/>
      <c r="V1035" s="4"/>
      <c r="W1035" s="4"/>
      <c r="X1035" s="4"/>
    </row>
    <row r="1036" spans="1:24" ht="12.75" customHeight="1">
      <c r="A1036" s="1334" t="s">
        <v>910</v>
      </c>
      <c r="B1036" s="1336"/>
      <c r="C1036" s="1161" t="s">
        <v>922</v>
      </c>
      <c r="D1036" s="270"/>
      <c r="E1036" s="274"/>
      <c r="F1036" s="4"/>
      <c r="G1036" s="4"/>
      <c r="H1036" s="4"/>
      <c r="I1036" s="4"/>
      <c r="J1036" s="4"/>
      <c r="K1036" s="4"/>
      <c r="L1036" s="4"/>
      <c r="M1036" s="4"/>
      <c r="N1036" s="4"/>
      <c r="O1036" s="4"/>
      <c r="P1036" s="4"/>
      <c r="Q1036" s="4"/>
      <c r="R1036" s="4"/>
      <c r="S1036" s="4"/>
      <c r="T1036" s="4"/>
      <c r="U1036" s="4"/>
      <c r="V1036" s="4"/>
      <c r="W1036" s="4"/>
      <c r="X1036" s="4"/>
    </row>
    <row r="1037" spans="1:24" ht="12.75" customHeight="1" thickBot="1">
      <c r="A1037" s="1363"/>
      <c r="B1037" s="1304"/>
      <c r="C1037" s="1490"/>
      <c r="D1037" s="270"/>
      <c r="E1037" s="274"/>
      <c r="F1037" s="4"/>
      <c r="G1037" s="4"/>
      <c r="H1037" s="4"/>
      <c r="I1037" s="4"/>
      <c r="J1037" s="4"/>
      <c r="K1037" s="4"/>
      <c r="L1037" s="4"/>
      <c r="M1037" s="4"/>
      <c r="N1037" s="4"/>
      <c r="O1037" s="4"/>
      <c r="P1037" s="4"/>
      <c r="Q1037" s="4"/>
      <c r="R1037" s="4"/>
      <c r="S1037" s="4"/>
      <c r="T1037" s="4"/>
      <c r="U1037" s="4"/>
      <c r="V1037" s="4"/>
      <c r="W1037" s="4"/>
      <c r="X1037" s="4"/>
    </row>
    <row r="1038" spans="1:24" ht="12.75" customHeight="1">
      <c r="A1038" s="1028" t="s">
        <v>675</v>
      </c>
      <c r="B1038" s="808"/>
      <c r="C1038" s="1029"/>
      <c r="D1038" s="270"/>
      <c r="E1038" s="274"/>
      <c r="F1038" s="4"/>
      <c r="G1038" s="4"/>
      <c r="H1038" s="4"/>
      <c r="I1038" s="4"/>
      <c r="J1038" s="4"/>
      <c r="K1038" s="4"/>
      <c r="L1038" s="4"/>
      <c r="M1038" s="4"/>
      <c r="N1038" s="4"/>
      <c r="O1038" s="4"/>
      <c r="P1038" s="4"/>
      <c r="Q1038" s="4"/>
      <c r="R1038" s="4"/>
      <c r="S1038" s="4"/>
      <c r="T1038" s="4"/>
      <c r="U1038" s="4"/>
      <c r="V1038" s="4"/>
      <c r="W1038" s="4"/>
      <c r="X1038" s="4"/>
    </row>
    <row r="1039" spans="1:24" ht="12.75" customHeight="1">
      <c r="A1039" s="609" t="s">
        <v>722</v>
      </c>
      <c r="B1039" s="808"/>
      <c r="C1039" s="1029"/>
      <c r="D1039" s="270"/>
      <c r="E1039" s="274"/>
      <c r="F1039" s="4"/>
      <c r="G1039" s="4"/>
      <c r="H1039" s="4"/>
      <c r="I1039" s="4"/>
      <c r="J1039" s="4"/>
      <c r="K1039" s="4"/>
      <c r="L1039" s="4"/>
      <c r="M1039" s="4"/>
      <c r="N1039" s="4"/>
      <c r="O1039" s="4"/>
      <c r="P1039" s="4"/>
      <c r="Q1039" s="4"/>
      <c r="R1039" s="4"/>
      <c r="S1039" s="4"/>
      <c r="T1039" s="4"/>
      <c r="U1039" s="4"/>
      <c r="V1039" s="4"/>
      <c r="W1039" s="4"/>
      <c r="X1039" s="4"/>
    </row>
    <row r="1040" spans="1:24" ht="12.75" customHeight="1">
      <c r="A1040" s="609" t="s">
        <v>723</v>
      </c>
      <c r="B1040" s="808"/>
      <c r="C1040" s="1029"/>
      <c r="D1040" s="270"/>
      <c r="E1040" s="274"/>
      <c r="F1040" s="4"/>
      <c r="G1040" s="4"/>
      <c r="H1040" s="4"/>
      <c r="I1040" s="4"/>
      <c r="J1040" s="4"/>
      <c r="K1040" s="4"/>
      <c r="L1040" s="4"/>
      <c r="M1040" s="4"/>
      <c r="N1040" s="4"/>
      <c r="O1040" s="4"/>
      <c r="P1040" s="4"/>
      <c r="Q1040" s="4"/>
      <c r="R1040" s="4"/>
      <c r="S1040" s="4"/>
      <c r="T1040" s="4"/>
      <c r="U1040" s="4"/>
      <c r="V1040" s="4"/>
      <c r="W1040" s="4"/>
      <c r="X1040" s="4"/>
    </row>
    <row r="1041" spans="1:24" ht="12.75" customHeight="1" thickBot="1">
      <c r="A1041" s="1125" t="s">
        <v>0</v>
      </c>
      <c r="B1041" s="982"/>
      <c r="C1041" s="1029"/>
      <c r="D1041" s="270"/>
      <c r="E1041" s="274"/>
      <c r="F1041" s="4"/>
      <c r="G1041" s="4"/>
      <c r="H1041" s="4"/>
      <c r="I1041" s="4"/>
      <c r="J1041" s="4"/>
      <c r="K1041" s="4"/>
      <c r="L1041" s="4"/>
      <c r="M1041" s="4"/>
      <c r="N1041" s="4"/>
      <c r="O1041" s="4"/>
      <c r="P1041" s="4"/>
      <c r="Q1041" s="4"/>
      <c r="R1041" s="4"/>
      <c r="S1041" s="4"/>
      <c r="T1041" s="4"/>
      <c r="U1041" s="4"/>
      <c r="V1041" s="4"/>
      <c r="W1041" s="4"/>
      <c r="X1041" s="4"/>
    </row>
    <row r="1042" spans="1:24" ht="12.75" customHeight="1" thickBot="1">
      <c r="A1042" s="1171" t="s">
        <v>66</v>
      </c>
      <c r="B1042" s="1186"/>
      <c r="C1042" s="1033">
        <f>C1045+C1068+C1086+C1096</f>
        <v>35816470</v>
      </c>
      <c r="D1042" s="270"/>
      <c r="E1042" s="274"/>
      <c r="F1042" s="4"/>
      <c r="G1042" s="4"/>
      <c r="H1042" s="4"/>
      <c r="I1042" s="4"/>
      <c r="J1042" s="4"/>
      <c r="K1042" s="4"/>
      <c r="L1042" s="4"/>
      <c r="M1042" s="4"/>
      <c r="N1042" s="4"/>
      <c r="O1042" s="4"/>
      <c r="P1042" s="4"/>
      <c r="Q1042" s="4"/>
      <c r="R1042" s="4"/>
      <c r="S1042" s="4"/>
      <c r="T1042" s="4"/>
      <c r="U1042" s="4"/>
      <c r="V1042" s="4"/>
      <c r="W1042" s="4"/>
      <c r="X1042" s="4"/>
    </row>
    <row r="1043" spans="1:24" ht="12.75" customHeight="1">
      <c r="A1043" s="23"/>
      <c r="B1043" s="24"/>
      <c r="C1043" s="24"/>
      <c r="D1043" s="270"/>
      <c r="E1043" s="274"/>
      <c r="F1043" s="4"/>
      <c r="G1043" s="4"/>
      <c r="H1043" s="4"/>
      <c r="I1043" s="4"/>
      <c r="J1043" s="4"/>
      <c r="K1043" s="4"/>
      <c r="L1043" s="4"/>
      <c r="M1043" s="4"/>
      <c r="N1043" s="4"/>
      <c r="O1043" s="4"/>
      <c r="P1043" s="4"/>
      <c r="Q1043" s="4"/>
      <c r="R1043" s="4"/>
      <c r="S1043" s="4"/>
      <c r="T1043" s="4"/>
      <c r="U1043" s="4"/>
      <c r="V1043" s="4"/>
      <c r="W1043" s="4"/>
      <c r="X1043" s="4"/>
    </row>
    <row r="1044" spans="1:24" ht="12.75" customHeight="1" thickBot="1">
      <c r="A1044" s="177"/>
      <c r="B1044" s="4"/>
      <c r="C1044" s="3"/>
      <c r="D1044" s="181"/>
      <c r="E1044" s="4"/>
      <c r="F1044" s="4"/>
      <c r="G1044" s="4"/>
      <c r="H1044" s="4"/>
      <c r="I1044" s="4"/>
      <c r="J1044" s="4"/>
      <c r="K1044" s="4"/>
      <c r="L1044" s="4"/>
      <c r="M1044" s="4"/>
      <c r="N1044" s="4"/>
      <c r="O1044" s="4"/>
      <c r="P1044" s="4"/>
      <c r="Q1044" s="4"/>
      <c r="R1044" s="4"/>
      <c r="S1044" s="4"/>
      <c r="T1044" s="4"/>
      <c r="U1044" s="4"/>
      <c r="V1044" s="4"/>
      <c r="W1044" s="4"/>
      <c r="X1044" s="4"/>
    </row>
    <row r="1045" spans="1:24" ht="12.75" customHeight="1" thickBot="1">
      <c r="A1045" s="1297" t="s">
        <v>9</v>
      </c>
      <c r="B1045" s="1281"/>
      <c r="C1045" s="62">
        <f>C1046+C1048+C1050+C1052+C1063+C1056+C1061</f>
        <v>5158500</v>
      </c>
      <c r="D1045" s="89"/>
      <c r="E1045" s="4"/>
      <c r="F1045" s="4"/>
      <c r="G1045" s="4"/>
      <c r="H1045" s="4"/>
      <c r="I1045" s="4"/>
      <c r="J1045" s="4"/>
      <c r="K1045" s="4"/>
      <c r="L1045" s="4"/>
      <c r="M1045" s="4"/>
      <c r="N1045" s="4"/>
      <c r="O1045" s="4"/>
      <c r="P1045" s="4"/>
      <c r="Q1045" s="4"/>
      <c r="R1045" s="4"/>
      <c r="S1045" s="4"/>
      <c r="T1045" s="4"/>
      <c r="U1045" s="4"/>
      <c r="V1045" s="4"/>
      <c r="W1045" s="4"/>
      <c r="X1045" s="4"/>
    </row>
    <row r="1046" spans="1:24" ht="12.75" customHeight="1">
      <c r="A1046" s="48">
        <v>211201</v>
      </c>
      <c r="B1046" s="48" t="s">
        <v>459</v>
      </c>
      <c r="C1046" s="49">
        <f>SUM(C1047)</f>
        <v>600000</v>
      </c>
      <c r="D1046" s="272"/>
      <c r="E1046" s="34"/>
      <c r="F1046" s="34"/>
      <c r="G1046" s="34"/>
      <c r="H1046" s="34"/>
      <c r="I1046" s="34"/>
      <c r="J1046" s="34"/>
      <c r="K1046" s="34"/>
      <c r="L1046" s="34"/>
      <c r="M1046" s="34"/>
      <c r="N1046" s="34"/>
      <c r="O1046" s="34"/>
      <c r="P1046" s="34"/>
      <c r="Q1046" s="34"/>
      <c r="R1046" s="34"/>
      <c r="S1046" s="34"/>
      <c r="T1046" s="34"/>
      <c r="U1046" s="34"/>
      <c r="V1046" s="34"/>
      <c r="W1046" s="34"/>
      <c r="X1046" s="34"/>
    </row>
    <row r="1047" spans="1:24" ht="13.5" customHeight="1">
      <c r="A1047" s="33">
        <v>21120101</v>
      </c>
      <c r="B1047" s="23" t="s">
        <v>460</v>
      </c>
      <c r="C1047" s="24">
        <v>600000</v>
      </c>
      <c r="D1047" s="270"/>
      <c r="E1047" s="274"/>
      <c r="F1047" s="23"/>
      <c r="G1047" s="23"/>
      <c r="H1047" s="23"/>
      <c r="I1047" s="23"/>
      <c r="J1047" s="23"/>
      <c r="K1047" s="23"/>
      <c r="L1047" s="23"/>
      <c r="M1047" s="23"/>
      <c r="N1047" s="23"/>
      <c r="O1047" s="23"/>
      <c r="P1047" s="23"/>
      <c r="Q1047" s="23"/>
      <c r="R1047" s="23"/>
      <c r="S1047" s="23"/>
      <c r="T1047" s="23"/>
      <c r="U1047" s="23"/>
      <c r="V1047" s="23"/>
      <c r="W1047" s="23"/>
      <c r="X1047" s="23"/>
    </row>
    <row r="1048" spans="1:24" ht="12.75" customHeight="1">
      <c r="A1048" s="48">
        <v>211202</v>
      </c>
      <c r="B1048" s="48" t="s">
        <v>529</v>
      </c>
      <c r="C1048" s="26">
        <f>C1049</f>
        <v>113500</v>
      </c>
      <c r="D1048" s="274"/>
      <c r="E1048" s="4"/>
      <c r="F1048" s="4"/>
      <c r="G1048" s="4"/>
      <c r="H1048" s="4"/>
      <c r="I1048" s="4"/>
      <c r="J1048" s="4"/>
      <c r="K1048" s="4"/>
      <c r="L1048" s="4"/>
      <c r="M1048" s="4"/>
      <c r="N1048" s="4"/>
      <c r="O1048" s="4"/>
      <c r="P1048" s="4"/>
      <c r="Q1048" s="4"/>
      <c r="R1048" s="4"/>
      <c r="S1048" s="4"/>
      <c r="T1048" s="4"/>
      <c r="U1048" s="4"/>
      <c r="V1048" s="4"/>
      <c r="W1048" s="4"/>
      <c r="X1048" s="4"/>
    </row>
    <row r="1049" spans="1:24" ht="12.75" customHeight="1">
      <c r="A1049" s="33">
        <v>21120201</v>
      </c>
      <c r="B1049" s="13" t="s">
        <v>540</v>
      </c>
      <c r="C1049" s="24">
        <v>113500</v>
      </c>
      <c r="D1049" s="32"/>
      <c r="E1049" s="274"/>
      <c r="F1049" s="270"/>
      <c r="G1049" s="4"/>
      <c r="H1049" s="4"/>
      <c r="I1049" s="4"/>
      <c r="J1049" s="4"/>
      <c r="K1049" s="4"/>
      <c r="L1049" s="4"/>
      <c r="M1049" s="4"/>
      <c r="N1049" s="4"/>
      <c r="O1049" s="4"/>
      <c r="P1049" s="4"/>
      <c r="Q1049" s="4"/>
      <c r="R1049" s="4"/>
      <c r="S1049" s="4"/>
      <c r="T1049" s="4"/>
      <c r="U1049" s="4"/>
      <c r="V1049" s="4"/>
      <c r="W1049" s="4"/>
      <c r="X1049" s="4"/>
    </row>
    <row r="1050" spans="1:24" ht="13.5" customHeight="1">
      <c r="A1050" s="48">
        <v>211203</v>
      </c>
      <c r="B1050" s="21" t="s">
        <v>461</v>
      </c>
      <c r="C1050" s="26">
        <f>C1051</f>
        <v>1300000</v>
      </c>
      <c r="D1050" s="273"/>
      <c r="E1050" s="123"/>
      <c r="F1050" s="270"/>
      <c r="G1050" s="274"/>
      <c r="H1050" s="23"/>
      <c r="I1050" s="23"/>
      <c r="J1050" s="23"/>
      <c r="K1050" s="23"/>
      <c r="L1050" s="23"/>
      <c r="M1050" s="23"/>
      <c r="N1050" s="23"/>
      <c r="O1050" s="23"/>
      <c r="P1050" s="23"/>
      <c r="Q1050" s="23"/>
      <c r="R1050" s="23"/>
      <c r="S1050" s="23"/>
      <c r="T1050" s="23"/>
      <c r="U1050" s="23"/>
      <c r="V1050" s="23"/>
      <c r="W1050" s="23"/>
      <c r="X1050" s="23"/>
    </row>
    <row r="1051" spans="1:24" ht="12.75" customHeight="1">
      <c r="A1051" s="33">
        <v>211203023</v>
      </c>
      <c r="B1051" s="23" t="s">
        <v>462</v>
      </c>
      <c r="C1051" s="24">
        <v>1300000</v>
      </c>
      <c r="D1051" s="273"/>
      <c r="E1051" s="123"/>
      <c r="F1051" s="270"/>
      <c r="G1051" s="4"/>
      <c r="H1051" s="4"/>
      <c r="I1051" s="4"/>
      <c r="J1051" s="4"/>
      <c r="K1051" s="4"/>
      <c r="L1051" s="4"/>
      <c r="M1051" s="4"/>
      <c r="N1051" s="4"/>
      <c r="O1051" s="4"/>
      <c r="P1051" s="4"/>
      <c r="Q1051" s="4"/>
      <c r="R1051" s="4"/>
      <c r="S1051" s="4"/>
      <c r="T1051" s="4"/>
      <c r="U1051" s="4"/>
      <c r="V1051" s="4"/>
      <c r="W1051" s="4"/>
      <c r="X1051" s="4"/>
    </row>
    <row r="1052" spans="1:24" ht="13.5" customHeight="1">
      <c r="A1052" s="48">
        <v>211204</v>
      </c>
      <c r="B1052" s="21" t="s">
        <v>463</v>
      </c>
      <c r="C1052" s="26">
        <f>+SUM(C1053:C1055)</f>
        <v>2280000</v>
      </c>
      <c r="D1052" s="273"/>
      <c r="E1052" s="123"/>
      <c r="F1052" s="270"/>
      <c r="G1052" s="274"/>
      <c r="H1052" s="23"/>
      <c r="I1052" s="23"/>
      <c r="J1052" s="23"/>
      <c r="K1052" s="23"/>
      <c r="L1052" s="23"/>
      <c r="M1052" s="23"/>
      <c r="N1052" s="23"/>
      <c r="O1052" s="23"/>
      <c r="P1052" s="23"/>
      <c r="Q1052" s="23"/>
      <c r="R1052" s="23"/>
      <c r="S1052" s="23"/>
      <c r="T1052" s="23"/>
      <c r="U1052" s="23"/>
      <c r="V1052" s="23"/>
      <c r="W1052" s="23"/>
      <c r="X1052" s="23"/>
    </row>
    <row r="1053" spans="1:24" ht="12.75" customHeight="1">
      <c r="A1053" s="33">
        <v>21120401</v>
      </c>
      <c r="B1053" s="24" t="s">
        <v>464</v>
      </c>
      <c r="C1053" s="24">
        <v>856500</v>
      </c>
      <c r="D1053" s="278"/>
      <c r="E1053" s="123"/>
      <c r="F1053" s="270"/>
      <c r="G1053" s="274"/>
      <c r="H1053" s="4"/>
      <c r="I1053" s="4"/>
      <c r="J1053" s="4"/>
      <c r="K1053" s="4"/>
      <c r="L1053" s="4"/>
      <c r="M1053" s="4"/>
      <c r="N1053" s="4"/>
      <c r="O1053" s="4"/>
      <c r="P1053" s="4"/>
      <c r="Q1053" s="4"/>
      <c r="R1053" s="4"/>
      <c r="S1053" s="4"/>
      <c r="T1053" s="4"/>
      <c r="U1053" s="4"/>
      <c r="V1053" s="4"/>
      <c r="W1053" s="4"/>
      <c r="X1053" s="4"/>
    </row>
    <row r="1054" spans="1:24" ht="12.75" customHeight="1">
      <c r="A1054" s="33">
        <v>21120402</v>
      </c>
      <c r="B1054" s="13" t="s">
        <v>649</v>
      </c>
      <c r="C1054" s="24">
        <f>500000+396500</f>
        <v>896500</v>
      </c>
      <c r="D1054" s="278"/>
      <c r="E1054" s="123"/>
      <c r="F1054" s="270"/>
      <c r="G1054" s="274"/>
      <c r="H1054" s="4"/>
      <c r="I1054" s="4"/>
      <c r="J1054" s="4"/>
      <c r="K1054" s="4"/>
      <c r="L1054" s="4"/>
      <c r="M1054" s="4"/>
      <c r="N1054" s="4"/>
      <c r="O1054" s="4"/>
      <c r="P1054" s="4"/>
      <c r="Q1054" s="4"/>
      <c r="R1054" s="4"/>
      <c r="S1054" s="4"/>
      <c r="T1054" s="4"/>
      <c r="U1054" s="4"/>
      <c r="V1054" s="4"/>
      <c r="W1054" s="4"/>
      <c r="X1054" s="4"/>
    </row>
    <row r="1055" spans="1:24" ht="12.75" customHeight="1">
      <c r="A1055" s="33">
        <v>21120403</v>
      </c>
      <c r="B1055" s="13" t="s">
        <v>656</v>
      </c>
      <c r="C1055" s="24">
        <v>527000</v>
      </c>
      <c r="D1055" s="278"/>
      <c r="E1055" s="123"/>
      <c r="F1055" s="270"/>
      <c r="G1055" s="274"/>
      <c r="H1055" s="4"/>
      <c r="I1055" s="4"/>
      <c r="J1055" s="4"/>
      <c r="K1055" s="4"/>
      <c r="L1055" s="4"/>
      <c r="M1055" s="4"/>
      <c r="N1055" s="4"/>
      <c r="O1055" s="4"/>
      <c r="P1055" s="4"/>
      <c r="Q1055" s="4"/>
      <c r="R1055" s="4"/>
      <c r="S1055" s="4"/>
      <c r="T1055" s="4"/>
      <c r="U1055" s="4"/>
      <c r="V1055" s="4"/>
      <c r="W1055" s="4"/>
      <c r="X1055" s="4"/>
    </row>
    <row r="1056" spans="1:24" ht="12.75" customHeight="1">
      <c r="A1056" s="48">
        <v>211207</v>
      </c>
      <c r="B1056" s="828" t="s">
        <v>467</v>
      </c>
      <c r="C1056" s="26">
        <f>+SUM(C1057:C1060)</f>
        <v>374000</v>
      </c>
      <c r="D1056" s="123"/>
      <c r="E1056" s="274"/>
      <c r="F1056" s="4"/>
      <c r="G1056" s="4"/>
      <c r="H1056" s="4"/>
      <c r="I1056" s="4"/>
      <c r="J1056" s="4"/>
      <c r="K1056" s="4"/>
      <c r="L1056" s="4"/>
      <c r="M1056" s="4"/>
      <c r="N1056" s="4"/>
      <c r="O1056" s="4"/>
      <c r="P1056" s="4"/>
      <c r="Q1056" s="4"/>
      <c r="R1056" s="4"/>
      <c r="S1056" s="4"/>
      <c r="T1056" s="4"/>
      <c r="U1056" s="4"/>
      <c r="V1056" s="4"/>
      <c r="W1056" s="4"/>
      <c r="X1056" s="4"/>
    </row>
    <row r="1057" spans="1:24" ht="12.75" customHeight="1">
      <c r="A1057" s="33">
        <v>21120702</v>
      </c>
      <c r="B1057" s="13" t="s">
        <v>468</v>
      </c>
      <c r="C1057" s="24">
        <f>244000+19000</f>
        <v>263000</v>
      </c>
      <c r="D1057" s="123"/>
      <c r="E1057" s="274"/>
      <c r="F1057" s="4"/>
      <c r="G1057" s="4"/>
      <c r="H1057" s="4"/>
      <c r="I1057" s="4"/>
      <c r="J1057" s="4"/>
      <c r="K1057" s="4"/>
      <c r="L1057" s="4"/>
      <c r="M1057" s="4"/>
      <c r="N1057" s="4"/>
      <c r="O1057" s="4"/>
      <c r="P1057" s="4"/>
      <c r="Q1057" s="4"/>
      <c r="R1057" s="4"/>
      <c r="S1057" s="4"/>
      <c r="T1057" s="4"/>
      <c r="U1057" s="4"/>
      <c r="V1057" s="4"/>
      <c r="W1057" s="4"/>
      <c r="X1057" s="4"/>
    </row>
    <row r="1058" spans="1:24" ht="12.75" customHeight="1">
      <c r="A1058" s="33">
        <v>21120708</v>
      </c>
      <c r="B1058" s="13" t="s">
        <v>470</v>
      </c>
      <c r="C1058" s="24">
        <f>34500+19000</f>
        <v>53500</v>
      </c>
      <c r="D1058" s="123"/>
      <c r="E1058" s="274"/>
      <c r="F1058" s="4"/>
      <c r="G1058" s="4"/>
      <c r="H1058" s="4"/>
      <c r="I1058" s="4"/>
      <c r="J1058" s="4"/>
      <c r="K1058" s="4"/>
      <c r="L1058" s="4"/>
      <c r="M1058" s="4"/>
      <c r="N1058" s="4"/>
      <c r="O1058" s="4"/>
      <c r="P1058" s="4"/>
      <c r="Q1058" s="4"/>
      <c r="R1058" s="4"/>
      <c r="S1058" s="4"/>
      <c r="T1058" s="4"/>
      <c r="U1058" s="4"/>
      <c r="V1058" s="4"/>
      <c r="W1058" s="4"/>
      <c r="X1058" s="4"/>
    </row>
    <row r="1059" spans="1:24" ht="12.75" customHeight="1">
      <c r="A1059" s="33">
        <v>21120709</v>
      </c>
      <c r="B1059" s="24" t="s">
        <v>471</v>
      </c>
      <c r="C1059" s="24">
        <v>40000</v>
      </c>
      <c r="D1059" s="8"/>
      <c r="E1059" s="8"/>
      <c r="F1059" s="8"/>
      <c r="G1059" s="8"/>
      <c r="H1059" s="8"/>
      <c r="I1059" s="8"/>
      <c r="J1059" s="8"/>
      <c r="K1059" s="8"/>
      <c r="L1059" s="8"/>
      <c r="M1059" s="8"/>
      <c r="N1059" s="8"/>
      <c r="O1059" s="8"/>
      <c r="P1059" s="8"/>
      <c r="Q1059" s="8"/>
      <c r="R1059" s="8"/>
      <c r="S1059" s="8"/>
      <c r="T1059" s="8"/>
      <c r="U1059" s="8"/>
      <c r="V1059" s="8"/>
      <c r="W1059" s="8"/>
      <c r="X1059" s="8"/>
    </row>
    <row r="1060" spans="1:24" ht="12.75" customHeight="1">
      <c r="A1060" s="33">
        <v>21120711</v>
      </c>
      <c r="B1060" s="24" t="s">
        <v>473</v>
      </c>
      <c r="C1060" s="24">
        <v>17500</v>
      </c>
      <c r="D1060" s="8"/>
      <c r="E1060" s="8"/>
      <c r="F1060" s="8"/>
      <c r="G1060" s="8"/>
      <c r="H1060" s="8"/>
      <c r="I1060" s="8"/>
      <c r="J1060" s="8"/>
      <c r="K1060" s="8"/>
      <c r="L1060" s="8"/>
      <c r="M1060" s="8"/>
      <c r="N1060" s="8"/>
      <c r="O1060" s="8"/>
      <c r="P1060" s="8"/>
      <c r="Q1060" s="8"/>
      <c r="R1060" s="8"/>
      <c r="S1060" s="8"/>
      <c r="T1060" s="8"/>
      <c r="U1060" s="8"/>
      <c r="V1060" s="8"/>
      <c r="W1060" s="8"/>
      <c r="X1060" s="8"/>
    </row>
    <row r="1061" spans="1:24" ht="12.75" customHeight="1">
      <c r="A1061" s="48">
        <v>211208</v>
      </c>
      <c r="B1061" s="26" t="s">
        <v>474</v>
      </c>
      <c r="C1061" s="26">
        <f>+SUM(C1062:C1062)</f>
        <v>36000</v>
      </c>
      <c r="D1061" s="123"/>
      <c r="E1061" s="274"/>
      <c r="F1061" s="4"/>
      <c r="G1061" s="4"/>
      <c r="H1061" s="4"/>
      <c r="I1061" s="4"/>
      <c r="J1061" s="4"/>
      <c r="K1061" s="4"/>
      <c r="L1061" s="4"/>
      <c r="M1061" s="4"/>
      <c r="N1061" s="4"/>
      <c r="O1061" s="4"/>
      <c r="P1061" s="4"/>
      <c r="Q1061" s="4"/>
      <c r="R1061" s="4"/>
      <c r="S1061" s="4"/>
      <c r="T1061" s="4"/>
      <c r="U1061" s="4"/>
      <c r="V1061" s="4"/>
      <c r="W1061" s="4"/>
      <c r="X1061" s="4"/>
    </row>
    <row r="1062" spans="1:24" ht="12.75" customHeight="1">
      <c r="A1062" s="33">
        <v>21120805</v>
      </c>
      <c r="B1062" s="24" t="s">
        <v>476</v>
      </c>
      <c r="C1062" s="24">
        <v>36000</v>
      </c>
      <c r="D1062" s="123"/>
      <c r="E1062" s="274"/>
      <c r="F1062" s="4"/>
      <c r="G1062" s="4"/>
      <c r="H1062" s="4"/>
      <c r="I1062" s="4"/>
      <c r="J1062" s="4"/>
      <c r="K1062" s="4"/>
      <c r="L1062" s="4"/>
      <c r="M1062" s="4"/>
      <c r="N1062" s="4"/>
      <c r="O1062" s="4"/>
      <c r="P1062" s="4"/>
      <c r="Q1062" s="4"/>
      <c r="R1062" s="4"/>
      <c r="S1062" s="4"/>
      <c r="T1062" s="4"/>
      <c r="U1062" s="4"/>
      <c r="V1062" s="4"/>
      <c r="W1062" s="4"/>
      <c r="X1062" s="4"/>
    </row>
    <row r="1063" spans="1:24" ht="12.75" customHeight="1">
      <c r="A1063" s="48">
        <v>211209</v>
      </c>
      <c r="B1063" s="26" t="s">
        <v>477</v>
      </c>
      <c r="C1063" s="26">
        <f>+SUM(C1064:C1066)</f>
        <v>455000</v>
      </c>
      <c r="D1063" s="273"/>
      <c r="E1063" s="123"/>
      <c r="F1063" s="270"/>
      <c r="G1063" s="274"/>
      <c r="H1063" s="4"/>
      <c r="I1063" s="4"/>
      <c r="J1063" s="4"/>
      <c r="K1063" s="4"/>
      <c r="L1063" s="4"/>
      <c r="M1063" s="4"/>
      <c r="N1063" s="4"/>
      <c r="O1063" s="4"/>
      <c r="P1063" s="4"/>
      <c r="Q1063" s="4"/>
      <c r="R1063" s="4"/>
      <c r="S1063" s="4"/>
      <c r="T1063" s="4"/>
      <c r="U1063" s="4"/>
      <c r="V1063" s="4"/>
      <c r="W1063" s="4"/>
      <c r="X1063" s="4"/>
    </row>
    <row r="1064" spans="1:24" ht="12.75" customHeight="1">
      <c r="A1064" s="33">
        <v>21120905</v>
      </c>
      <c r="B1064" s="24" t="s">
        <v>525</v>
      </c>
      <c r="C1064" s="24">
        <v>37000</v>
      </c>
      <c r="D1064" s="273"/>
      <c r="E1064" s="123"/>
      <c r="F1064" s="270"/>
      <c r="G1064" s="274"/>
      <c r="H1064" s="4"/>
      <c r="I1064" s="4"/>
      <c r="J1064" s="4"/>
      <c r="K1064" s="4"/>
      <c r="L1064" s="4"/>
      <c r="M1064" s="4"/>
      <c r="N1064" s="4"/>
      <c r="O1064" s="4"/>
      <c r="P1064" s="4"/>
      <c r="Q1064" s="4"/>
      <c r="R1064" s="4"/>
      <c r="S1064" s="4"/>
      <c r="T1064" s="4"/>
      <c r="U1064" s="4"/>
      <c r="V1064" s="4"/>
      <c r="W1064" s="4"/>
      <c r="X1064" s="4"/>
    </row>
    <row r="1065" spans="1:24" ht="12.75" customHeight="1">
      <c r="A1065" s="33">
        <v>21120906</v>
      </c>
      <c r="B1065" s="24" t="s">
        <v>479</v>
      </c>
      <c r="C1065" s="24">
        <v>68000</v>
      </c>
      <c r="D1065" s="273"/>
      <c r="E1065" s="123"/>
      <c r="F1065" s="270"/>
      <c r="G1065" s="274"/>
      <c r="H1065" s="4"/>
      <c r="I1065" s="4"/>
      <c r="J1065" s="4"/>
      <c r="K1065" s="4"/>
      <c r="L1065" s="4"/>
      <c r="M1065" s="4"/>
      <c r="N1065" s="4"/>
      <c r="O1065" s="4"/>
      <c r="P1065" s="4"/>
      <c r="Q1065" s="4"/>
      <c r="R1065" s="4"/>
      <c r="S1065" s="4"/>
      <c r="T1065" s="4"/>
      <c r="U1065" s="4"/>
      <c r="V1065" s="4"/>
      <c r="W1065" s="4"/>
      <c r="X1065" s="4"/>
    </row>
    <row r="1066" spans="1:24" ht="13.5" customHeight="1">
      <c r="A1066" s="33">
        <v>21120907</v>
      </c>
      <c r="B1066" s="13" t="s">
        <v>480</v>
      </c>
      <c r="C1066" s="24">
        <v>350000</v>
      </c>
      <c r="D1066" s="123"/>
      <c r="E1066" s="274"/>
      <c r="F1066" s="21"/>
      <c r="G1066" s="21"/>
      <c r="H1066" s="21"/>
      <c r="I1066" s="21"/>
      <c r="J1066" s="21"/>
      <c r="K1066" s="21"/>
      <c r="L1066" s="21"/>
      <c r="M1066" s="21"/>
      <c r="N1066" s="21"/>
      <c r="O1066" s="21"/>
      <c r="P1066" s="21"/>
      <c r="Q1066" s="21"/>
      <c r="R1066" s="21"/>
      <c r="S1066" s="21"/>
      <c r="T1066" s="21"/>
      <c r="U1066" s="21"/>
      <c r="V1066" s="21"/>
      <c r="W1066" s="21"/>
      <c r="X1066" s="21"/>
    </row>
    <row r="1067" spans="1:24" ht="12.75" customHeight="1" thickBot="1">
      <c r="A1067" s="23"/>
      <c r="B1067" s="24"/>
      <c r="C1067" s="24"/>
      <c r="D1067" s="273"/>
      <c r="E1067" s="123"/>
      <c r="F1067" s="270"/>
      <c r="G1067" s="274"/>
      <c r="H1067" s="4"/>
      <c r="I1067" s="4"/>
      <c r="J1067" s="4"/>
      <c r="K1067" s="4"/>
      <c r="L1067" s="4"/>
      <c r="M1067" s="4"/>
      <c r="N1067" s="4"/>
      <c r="O1067" s="4"/>
      <c r="P1067" s="4"/>
      <c r="Q1067" s="4"/>
      <c r="R1067" s="4"/>
      <c r="S1067" s="4"/>
      <c r="T1067" s="4"/>
      <c r="U1067" s="4"/>
      <c r="V1067" s="4"/>
      <c r="W1067" s="4"/>
      <c r="X1067" s="4"/>
    </row>
    <row r="1068" spans="1:24" ht="12.75" customHeight="1" thickBot="1">
      <c r="A1068" s="1298" t="s">
        <v>4</v>
      </c>
      <c r="B1068" s="1281"/>
      <c r="C1068" s="64">
        <f>C1069+C1071+C1073+C1077+C1079</f>
        <v>26292500</v>
      </c>
      <c r="D1068" s="32"/>
      <c r="E1068" s="3"/>
      <c r="F1068" s="270"/>
      <c r="G1068" s="4"/>
      <c r="H1068" s="4"/>
      <c r="I1068" s="4"/>
      <c r="J1068" s="4"/>
      <c r="K1068" s="4"/>
      <c r="L1068" s="4"/>
      <c r="M1068" s="4"/>
      <c r="N1068" s="4"/>
      <c r="O1068" s="4"/>
      <c r="P1068" s="4"/>
      <c r="Q1068" s="4"/>
      <c r="R1068" s="4"/>
      <c r="S1068" s="4"/>
      <c r="T1068" s="4"/>
      <c r="U1068" s="4"/>
      <c r="V1068" s="4"/>
      <c r="W1068" s="4"/>
      <c r="X1068" s="4"/>
    </row>
    <row r="1069" spans="1:24" ht="12.75" customHeight="1">
      <c r="A1069" s="48">
        <v>211302</v>
      </c>
      <c r="B1069" s="48" t="s">
        <v>481</v>
      </c>
      <c r="C1069" s="49">
        <f>SUM(C1070)</f>
        <v>90000</v>
      </c>
      <c r="D1069" s="60"/>
      <c r="E1069" s="60"/>
      <c r="F1069" s="272"/>
      <c r="G1069" s="34"/>
      <c r="H1069" s="34"/>
      <c r="I1069" s="34"/>
      <c r="J1069" s="34"/>
      <c r="K1069" s="34"/>
      <c r="L1069" s="34"/>
      <c r="M1069" s="34"/>
      <c r="N1069" s="34"/>
      <c r="O1069" s="34"/>
      <c r="P1069" s="34"/>
      <c r="Q1069" s="34"/>
      <c r="R1069" s="34"/>
      <c r="S1069" s="34"/>
      <c r="T1069" s="34"/>
      <c r="U1069" s="34"/>
      <c r="V1069" s="34"/>
      <c r="W1069" s="34"/>
      <c r="X1069" s="34"/>
    </row>
    <row r="1070" spans="1:24" ht="13.5" customHeight="1">
      <c r="A1070" s="33">
        <v>21130204</v>
      </c>
      <c r="B1070" s="24" t="s">
        <v>483</v>
      </c>
      <c r="C1070" s="24">
        <v>90000</v>
      </c>
      <c r="D1070" s="123"/>
      <c r="E1070" s="123"/>
      <c r="F1070" s="270"/>
      <c r="G1070" s="89"/>
      <c r="H1070" s="24"/>
      <c r="I1070" s="23"/>
      <c r="J1070" s="23"/>
      <c r="K1070" s="23"/>
      <c r="L1070" s="23"/>
      <c r="M1070" s="23"/>
      <c r="N1070" s="23"/>
      <c r="O1070" s="23"/>
      <c r="P1070" s="23"/>
      <c r="Q1070" s="23"/>
      <c r="R1070" s="23"/>
      <c r="S1070" s="23"/>
      <c r="T1070" s="23"/>
      <c r="U1070" s="23"/>
      <c r="V1070" s="23"/>
      <c r="W1070" s="23"/>
      <c r="X1070" s="23"/>
    </row>
    <row r="1071" spans="1:24" ht="13.5" customHeight="1">
      <c r="A1071" s="48">
        <v>211303</v>
      </c>
      <c r="B1071" s="26" t="s">
        <v>484</v>
      </c>
      <c r="C1071" s="26">
        <f>C1072</f>
        <v>90000</v>
      </c>
      <c r="D1071" s="123"/>
      <c r="E1071" s="123"/>
      <c r="F1071" s="270"/>
      <c r="G1071" s="89"/>
      <c r="H1071" s="24"/>
      <c r="I1071" s="23"/>
      <c r="J1071" s="23"/>
      <c r="K1071" s="23"/>
      <c r="L1071" s="23"/>
      <c r="M1071" s="23"/>
      <c r="N1071" s="23"/>
      <c r="O1071" s="23"/>
      <c r="P1071" s="23"/>
      <c r="Q1071" s="23"/>
      <c r="R1071" s="23"/>
      <c r="S1071" s="23"/>
      <c r="T1071" s="23"/>
      <c r="U1071" s="23"/>
      <c r="V1071" s="23"/>
      <c r="W1071" s="23"/>
      <c r="X1071" s="23"/>
    </row>
    <row r="1072" spans="1:24" ht="13.5" customHeight="1">
      <c r="A1072" s="33">
        <v>21130307</v>
      </c>
      <c r="B1072" s="23" t="s">
        <v>488</v>
      </c>
      <c r="C1072" s="24">
        <v>90000</v>
      </c>
      <c r="D1072" s="123"/>
      <c r="E1072" s="123"/>
      <c r="F1072" s="270"/>
      <c r="G1072" s="89"/>
      <c r="H1072" s="24"/>
      <c r="I1072" s="23"/>
      <c r="J1072" s="23"/>
      <c r="K1072" s="23"/>
      <c r="L1072" s="23"/>
      <c r="M1072" s="23"/>
      <c r="N1072" s="23"/>
      <c r="O1072" s="23"/>
      <c r="P1072" s="23"/>
      <c r="Q1072" s="23"/>
      <c r="R1072" s="23"/>
      <c r="S1072" s="23"/>
      <c r="T1072" s="23"/>
      <c r="U1072" s="23"/>
      <c r="V1072" s="23"/>
      <c r="W1072" s="23"/>
      <c r="X1072" s="23"/>
    </row>
    <row r="1073" spans="1:24" ht="13.5" customHeight="1">
      <c r="A1073" s="48">
        <v>211305</v>
      </c>
      <c r="B1073" s="26" t="s">
        <v>489</v>
      </c>
      <c r="C1073" s="26">
        <f>+SUM(C1074:C1076)</f>
        <v>22191000</v>
      </c>
      <c r="D1073" s="123"/>
      <c r="E1073" s="123"/>
      <c r="F1073" s="270"/>
      <c r="G1073" s="89"/>
      <c r="H1073" s="24"/>
      <c r="I1073" s="23"/>
      <c r="J1073" s="23"/>
      <c r="K1073" s="23"/>
      <c r="L1073" s="23"/>
      <c r="M1073" s="23"/>
      <c r="N1073" s="23"/>
      <c r="O1073" s="23"/>
      <c r="P1073" s="23"/>
      <c r="Q1073" s="23"/>
      <c r="R1073" s="23"/>
      <c r="S1073" s="23"/>
      <c r="T1073" s="23"/>
      <c r="U1073" s="23"/>
      <c r="V1073" s="23"/>
      <c r="W1073" s="23"/>
      <c r="X1073" s="23"/>
    </row>
    <row r="1074" spans="1:24" ht="13.5" customHeight="1">
      <c r="A1074" s="33">
        <v>21130501</v>
      </c>
      <c r="B1074" s="13" t="s">
        <v>490</v>
      </c>
      <c r="C1074" s="24">
        <v>107500</v>
      </c>
      <c r="D1074" s="123"/>
      <c r="E1074" s="123"/>
      <c r="F1074" s="270"/>
      <c r="G1074" s="89"/>
      <c r="H1074" s="24"/>
      <c r="I1074" s="23"/>
      <c r="J1074" s="23"/>
      <c r="K1074" s="23"/>
      <c r="L1074" s="23"/>
      <c r="M1074" s="23"/>
      <c r="N1074" s="23"/>
      <c r="O1074" s="23"/>
      <c r="P1074" s="23"/>
      <c r="Q1074" s="23"/>
      <c r="R1074" s="23"/>
      <c r="S1074" s="23"/>
      <c r="T1074" s="23"/>
      <c r="U1074" s="23"/>
      <c r="V1074" s="23"/>
      <c r="W1074" s="23"/>
      <c r="X1074" s="23"/>
    </row>
    <row r="1075" spans="1:24" ht="13.5" customHeight="1">
      <c r="A1075" s="33">
        <v>21130502</v>
      </c>
      <c r="B1075" s="23" t="s">
        <v>491</v>
      </c>
      <c r="C1075" s="24">
        <f>-100000+20183500</f>
        <v>20083500</v>
      </c>
      <c r="D1075" s="275"/>
      <c r="E1075" s="123"/>
      <c r="F1075" s="23"/>
      <c r="G1075" s="89"/>
      <c r="H1075" s="24"/>
      <c r="I1075" s="23"/>
      <c r="J1075" s="23"/>
      <c r="K1075" s="23"/>
      <c r="L1075" s="23"/>
      <c r="M1075" s="23"/>
      <c r="N1075" s="23"/>
      <c r="O1075" s="23"/>
      <c r="P1075" s="23"/>
      <c r="Q1075" s="23"/>
      <c r="R1075" s="23"/>
      <c r="S1075" s="23"/>
      <c r="T1075" s="23"/>
      <c r="U1075" s="23"/>
      <c r="V1075" s="23"/>
      <c r="W1075" s="23"/>
      <c r="X1075" s="23"/>
    </row>
    <row r="1076" spans="1:24" ht="13.5" customHeight="1">
      <c r="A1076" s="33">
        <v>21130505</v>
      </c>
      <c r="B1076" s="13" t="s">
        <v>651</v>
      </c>
      <c r="C1076" s="24">
        <v>2000000</v>
      </c>
      <c r="D1076" s="275"/>
      <c r="E1076" s="123"/>
      <c r="F1076" s="23"/>
      <c r="G1076" s="89"/>
      <c r="H1076" s="24"/>
      <c r="I1076" s="23"/>
      <c r="J1076" s="23"/>
      <c r="K1076" s="23"/>
      <c r="L1076" s="23"/>
      <c r="M1076" s="23"/>
      <c r="N1076" s="23"/>
      <c r="O1076" s="23"/>
      <c r="P1076" s="23"/>
      <c r="Q1076" s="23"/>
      <c r="R1076" s="23"/>
      <c r="S1076" s="23"/>
      <c r="T1076" s="23"/>
      <c r="U1076" s="23"/>
      <c r="V1076" s="23"/>
      <c r="W1076" s="23"/>
      <c r="X1076" s="23"/>
    </row>
    <row r="1077" spans="1:24" ht="13.5" customHeight="1">
      <c r="A1077" s="48">
        <v>211306</v>
      </c>
      <c r="B1077" s="21" t="s">
        <v>492</v>
      </c>
      <c r="C1077" s="26">
        <f>C1078</f>
        <v>290000</v>
      </c>
      <c r="D1077" s="123"/>
      <c r="E1077" s="275"/>
      <c r="F1077" s="270"/>
      <c r="G1077" s="89"/>
      <c r="H1077" s="24"/>
      <c r="I1077" s="23"/>
      <c r="J1077" s="23"/>
      <c r="K1077" s="23"/>
      <c r="L1077" s="23"/>
      <c r="M1077" s="23"/>
      <c r="N1077" s="23"/>
      <c r="O1077" s="23"/>
      <c r="P1077" s="23"/>
      <c r="Q1077" s="23"/>
      <c r="R1077" s="23"/>
      <c r="S1077" s="23"/>
      <c r="T1077" s="23"/>
      <c r="U1077" s="23"/>
      <c r="V1077" s="23"/>
      <c r="W1077" s="23"/>
      <c r="X1077" s="23"/>
    </row>
    <row r="1078" spans="1:24" ht="13.5" customHeight="1">
      <c r="A1078" s="33">
        <v>21130604</v>
      </c>
      <c r="B1078" s="23" t="s">
        <v>539</v>
      </c>
      <c r="C1078" s="24">
        <v>290000</v>
      </c>
      <c r="D1078" s="123"/>
      <c r="E1078" s="123"/>
      <c r="F1078" s="270"/>
      <c r="G1078" s="89"/>
      <c r="H1078" s="23"/>
      <c r="I1078" s="23"/>
      <c r="J1078" s="23"/>
      <c r="K1078" s="23"/>
      <c r="L1078" s="23"/>
      <c r="M1078" s="23"/>
      <c r="N1078" s="23"/>
      <c r="O1078" s="23"/>
      <c r="P1078" s="23"/>
      <c r="Q1078" s="23"/>
      <c r="R1078" s="23"/>
      <c r="S1078" s="23"/>
      <c r="T1078" s="23"/>
      <c r="U1078" s="23"/>
      <c r="V1078" s="23"/>
      <c r="W1078" s="23"/>
      <c r="X1078" s="23"/>
    </row>
    <row r="1079" spans="1:24" ht="13.5" customHeight="1">
      <c r="A1079" s="48">
        <v>211309</v>
      </c>
      <c r="B1079" s="26" t="s">
        <v>496</v>
      </c>
      <c r="C1079" s="26">
        <f>+SUM(C1080:C1084)</f>
        <v>3631500</v>
      </c>
      <c r="D1079" s="123"/>
      <c r="E1079" s="123"/>
      <c r="F1079" s="270"/>
      <c r="G1079" s="89"/>
      <c r="H1079" s="23"/>
      <c r="I1079" s="23"/>
      <c r="J1079" s="23"/>
      <c r="K1079" s="23"/>
      <c r="L1079" s="23"/>
      <c r="M1079" s="23"/>
      <c r="N1079" s="23"/>
      <c r="O1079" s="23"/>
      <c r="P1079" s="23"/>
      <c r="Q1079" s="23"/>
      <c r="R1079" s="23"/>
      <c r="S1079" s="23"/>
      <c r="T1079" s="23"/>
      <c r="U1079" s="23"/>
      <c r="V1079" s="23"/>
      <c r="W1079" s="23"/>
      <c r="X1079" s="23"/>
    </row>
    <row r="1080" spans="1:24" ht="13.5" customHeight="1">
      <c r="A1080" s="33">
        <v>21130901</v>
      </c>
      <c r="B1080" s="24" t="s">
        <v>497</v>
      </c>
      <c r="C1080" s="24">
        <v>3187000</v>
      </c>
      <c r="D1080" s="275"/>
      <c r="E1080" s="272"/>
      <c r="F1080" s="23"/>
      <c r="G1080" s="89"/>
      <c r="H1080" s="23"/>
      <c r="I1080" s="23"/>
      <c r="J1080" s="23"/>
      <c r="K1080" s="23"/>
      <c r="L1080" s="23"/>
      <c r="M1080" s="23"/>
      <c r="N1080" s="23"/>
      <c r="O1080" s="23"/>
      <c r="P1080" s="23"/>
      <c r="Q1080" s="23"/>
      <c r="R1080" s="23"/>
      <c r="S1080" s="23"/>
      <c r="T1080" s="23"/>
      <c r="U1080" s="23"/>
      <c r="V1080" s="23"/>
      <c r="W1080" s="23"/>
      <c r="X1080" s="23"/>
    </row>
    <row r="1081" spans="1:24" ht="13.5" customHeight="1">
      <c r="A1081" s="33">
        <v>21130903</v>
      </c>
      <c r="B1081" s="24" t="s">
        <v>498</v>
      </c>
      <c r="C1081" s="24">
        <v>9500</v>
      </c>
      <c r="D1081" s="123"/>
      <c r="E1081" s="123"/>
      <c r="F1081" s="270"/>
      <c r="G1081" s="89"/>
      <c r="H1081" s="23"/>
      <c r="I1081" s="23"/>
      <c r="J1081" s="23"/>
      <c r="K1081" s="23"/>
      <c r="L1081" s="23"/>
      <c r="M1081" s="23"/>
      <c r="N1081" s="23"/>
      <c r="O1081" s="23"/>
      <c r="P1081" s="23"/>
      <c r="Q1081" s="23"/>
      <c r="R1081" s="23"/>
      <c r="S1081" s="23"/>
      <c r="T1081" s="23"/>
      <c r="U1081" s="23"/>
      <c r="V1081" s="23"/>
      <c r="W1081" s="23"/>
      <c r="X1081" s="23"/>
    </row>
    <row r="1082" spans="1:24" ht="13.5" customHeight="1">
      <c r="A1082" s="33">
        <v>21130905</v>
      </c>
      <c r="B1082" s="24" t="s">
        <v>532</v>
      </c>
      <c r="C1082" s="24">
        <v>29500</v>
      </c>
      <c r="D1082" s="275"/>
      <c r="E1082" s="123"/>
      <c r="F1082" s="270"/>
      <c r="G1082" s="23"/>
      <c r="H1082" s="23"/>
      <c r="I1082" s="23"/>
      <c r="J1082" s="23"/>
      <c r="K1082" s="23"/>
      <c r="L1082" s="23"/>
      <c r="M1082" s="23"/>
      <c r="N1082" s="23"/>
      <c r="O1082" s="23"/>
      <c r="P1082" s="23"/>
      <c r="Q1082" s="23"/>
      <c r="R1082" s="23"/>
      <c r="S1082" s="23"/>
      <c r="T1082" s="23"/>
      <c r="U1082" s="23"/>
      <c r="V1082" s="23"/>
      <c r="W1082" s="23"/>
      <c r="X1082" s="23"/>
    </row>
    <row r="1083" spans="1:24" ht="13.5" customHeight="1">
      <c r="A1083" s="33">
        <v>21130906</v>
      </c>
      <c r="B1083" s="23" t="s">
        <v>499</v>
      </c>
      <c r="C1083" s="24">
        <v>105500</v>
      </c>
      <c r="D1083" s="275"/>
      <c r="E1083" s="123"/>
      <c r="F1083" s="270"/>
      <c r="G1083" s="89"/>
      <c r="H1083" s="23"/>
      <c r="I1083" s="23"/>
      <c r="J1083" s="23"/>
      <c r="K1083" s="23"/>
      <c r="L1083" s="23"/>
      <c r="M1083" s="23"/>
      <c r="N1083" s="23"/>
      <c r="O1083" s="23"/>
      <c r="P1083" s="23"/>
      <c r="Q1083" s="23"/>
      <c r="R1083" s="23"/>
      <c r="S1083" s="23"/>
      <c r="T1083" s="23"/>
      <c r="U1083" s="23"/>
      <c r="V1083" s="23"/>
      <c r="W1083" s="23"/>
      <c r="X1083" s="23"/>
    </row>
    <row r="1084" spans="1:24" ht="13.5" customHeight="1">
      <c r="A1084" s="33">
        <v>21130908</v>
      </c>
      <c r="B1084" s="24" t="s">
        <v>500</v>
      </c>
      <c r="C1084" s="24">
        <v>300000</v>
      </c>
      <c r="D1084" s="275"/>
      <c r="E1084" s="123"/>
      <c r="F1084" s="270"/>
      <c r="G1084" s="89"/>
      <c r="H1084" s="23"/>
      <c r="I1084" s="23"/>
      <c r="J1084" s="24"/>
      <c r="K1084" s="23"/>
      <c r="L1084" s="23"/>
      <c r="M1084" s="23"/>
      <c r="N1084" s="23"/>
      <c r="O1084" s="23"/>
      <c r="P1084" s="23"/>
      <c r="Q1084" s="23"/>
      <c r="R1084" s="23"/>
      <c r="S1084" s="23"/>
      <c r="T1084" s="23"/>
      <c r="U1084" s="23"/>
      <c r="V1084" s="23"/>
      <c r="W1084" s="23"/>
      <c r="X1084" s="23"/>
    </row>
    <row r="1085" spans="1:24" ht="13.5" customHeight="1" thickBot="1">
      <c r="A1085" s="23"/>
      <c r="B1085" s="24"/>
      <c r="C1085" s="24"/>
      <c r="D1085" s="23"/>
      <c r="E1085" s="123"/>
      <c r="F1085" s="270"/>
      <c r="G1085" s="89"/>
      <c r="H1085" s="23"/>
      <c r="I1085" s="23"/>
      <c r="J1085" s="23"/>
      <c r="K1085" s="23"/>
      <c r="L1085" s="23"/>
      <c r="M1085" s="23"/>
      <c r="N1085" s="23"/>
      <c r="O1085" s="23"/>
      <c r="P1085" s="23"/>
      <c r="Q1085" s="23"/>
      <c r="R1085" s="23"/>
      <c r="S1085" s="23"/>
      <c r="T1085" s="23"/>
      <c r="U1085" s="23"/>
      <c r="V1085" s="23"/>
      <c r="W1085" s="23"/>
      <c r="X1085" s="23"/>
    </row>
    <row r="1086" spans="1:24" ht="12.75" customHeight="1" thickBot="1">
      <c r="A1086" s="1287" t="s">
        <v>45</v>
      </c>
      <c r="B1086" s="1281"/>
      <c r="C1086" s="47">
        <f>SUM(C1087+C1089)</f>
        <v>4219380</v>
      </c>
      <c r="D1086" s="3"/>
      <c r="E1086" s="3"/>
      <c r="F1086" s="270"/>
      <c r="G1086" s="4"/>
      <c r="H1086" s="4"/>
      <c r="I1086" s="4"/>
      <c r="J1086" s="4"/>
      <c r="K1086" s="4"/>
      <c r="L1086" s="4"/>
      <c r="M1086" s="4"/>
      <c r="N1086" s="4"/>
      <c r="O1086" s="4"/>
      <c r="P1086" s="4"/>
      <c r="Q1086" s="4"/>
      <c r="R1086" s="4"/>
      <c r="S1086" s="4"/>
      <c r="T1086" s="4"/>
      <c r="U1086" s="4"/>
      <c r="V1086" s="4"/>
      <c r="W1086" s="4"/>
      <c r="X1086" s="4"/>
    </row>
    <row r="1087" spans="1:24" ht="12.75" customHeight="1">
      <c r="A1087" s="48">
        <v>211401</v>
      </c>
      <c r="B1087" s="48" t="s">
        <v>501</v>
      </c>
      <c r="C1087" s="26">
        <f>C1088</f>
        <v>500000</v>
      </c>
      <c r="D1087" s="3"/>
      <c r="E1087" s="3"/>
      <c r="F1087" s="270"/>
      <c r="G1087" s="4"/>
      <c r="H1087" s="4"/>
      <c r="I1087" s="4"/>
      <c r="J1087" s="4"/>
      <c r="K1087" s="4"/>
      <c r="L1087" s="4"/>
      <c r="M1087" s="4"/>
      <c r="N1087" s="4"/>
      <c r="O1087" s="4"/>
      <c r="P1087" s="4"/>
      <c r="Q1087" s="4"/>
      <c r="R1087" s="4"/>
      <c r="S1087" s="4"/>
      <c r="T1087" s="4"/>
      <c r="U1087" s="4"/>
      <c r="V1087" s="4"/>
      <c r="W1087" s="4"/>
      <c r="X1087" s="4"/>
    </row>
    <row r="1088" spans="1:24" ht="12.75" customHeight="1">
      <c r="A1088" s="33">
        <v>21140109</v>
      </c>
      <c r="B1088" s="13" t="s">
        <v>549</v>
      </c>
      <c r="C1088" s="24">
        <v>500000</v>
      </c>
      <c r="D1088" s="3"/>
      <c r="E1088" s="3"/>
      <c r="F1088" s="270"/>
      <c r="G1088" s="4"/>
      <c r="H1088" s="4"/>
      <c r="I1088" s="4"/>
      <c r="J1088" s="4"/>
      <c r="K1088" s="4"/>
      <c r="L1088" s="4"/>
      <c r="M1088" s="4"/>
      <c r="N1088" s="4"/>
      <c r="O1088" s="4"/>
      <c r="P1088" s="4"/>
      <c r="Q1088" s="4"/>
      <c r="R1088" s="4"/>
      <c r="S1088" s="4"/>
      <c r="T1088" s="4"/>
      <c r="U1088" s="4"/>
      <c r="V1088" s="4"/>
      <c r="W1088" s="4"/>
      <c r="X1088" s="4"/>
    </row>
    <row r="1089" spans="1:24" ht="12.75" customHeight="1">
      <c r="A1089" s="48">
        <v>211402</v>
      </c>
      <c r="B1089" s="48" t="s">
        <v>503</v>
      </c>
      <c r="C1089" s="49">
        <f>SUM(C1090:C1094)</f>
        <v>3719380</v>
      </c>
      <c r="D1089" s="187"/>
      <c r="E1089" s="60"/>
      <c r="F1089" s="272"/>
      <c r="G1089" s="34"/>
      <c r="H1089" s="34"/>
      <c r="I1089" s="34"/>
      <c r="J1089" s="34"/>
      <c r="K1089" s="34"/>
      <c r="L1089" s="34"/>
      <c r="M1089" s="34"/>
      <c r="N1089" s="34"/>
      <c r="O1089" s="34"/>
      <c r="P1089" s="34"/>
      <c r="Q1089" s="34"/>
      <c r="R1089" s="34"/>
      <c r="S1089" s="34"/>
      <c r="T1089" s="34"/>
      <c r="U1089" s="34"/>
      <c r="V1089" s="34"/>
      <c r="W1089" s="34"/>
      <c r="X1089" s="34"/>
    </row>
    <row r="1090" spans="1:24" ht="12.75" customHeight="1">
      <c r="A1090" s="33">
        <v>21140201</v>
      </c>
      <c r="B1090" s="33" t="s">
        <v>652</v>
      </c>
      <c r="C1090" s="25">
        <v>500000</v>
      </c>
      <c r="D1090" s="187"/>
      <c r="E1090" s="60"/>
      <c r="F1090" s="272"/>
      <c r="G1090" s="34"/>
      <c r="H1090" s="34"/>
      <c r="I1090" s="34"/>
      <c r="J1090" s="34"/>
      <c r="K1090" s="34"/>
      <c r="L1090" s="34"/>
      <c r="M1090" s="34"/>
      <c r="N1090" s="34"/>
      <c r="O1090" s="34"/>
      <c r="P1090" s="34"/>
      <c r="Q1090" s="34"/>
      <c r="R1090" s="34"/>
      <c r="S1090" s="34"/>
      <c r="T1090" s="34"/>
      <c r="U1090" s="34"/>
      <c r="V1090" s="34"/>
      <c r="W1090" s="34"/>
      <c r="X1090" s="34"/>
    </row>
    <row r="1091" spans="1:24" ht="12.75" customHeight="1">
      <c r="A1091" s="33">
        <v>21140202</v>
      </c>
      <c r="B1091" s="23" t="s">
        <v>666</v>
      </c>
      <c r="C1091" s="24">
        <v>1000000</v>
      </c>
      <c r="D1091" s="180"/>
      <c r="E1091" s="3"/>
      <c r="F1091" s="270"/>
      <c r="G1091" s="4"/>
      <c r="H1091" s="4"/>
      <c r="I1091" s="4"/>
      <c r="J1091" s="4"/>
      <c r="K1091" s="4"/>
      <c r="L1091" s="4"/>
      <c r="M1091" s="4"/>
      <c r="N1091" s="4"/>
      <c r="O1091" s="4"/>
      <c r="P1091" s="4"/>
      <c r="Q1091" s="4"/>
      <c r="R1091" s="4"/>
      <c r="S1091" s="4"/>
      <c r="T1091" s="4"/>
      <c r="U1091" s="4"/>
      <c r="V1091" s="4"/>
      <c r="W1091" s="4"/>
      <c r="X1091" s="4"/>
    </row>
    <row r="1092" spans="1:24" ht="12.75" customHeight="1">
      <c r="A1092" s="33">
        <v>21140203</v>
      </c>
      <c r="B1092" s="13" t="s">
        <v>550</v>
      </c>
      <c r="C1092" s="24">
        <v>219380</v>
      </c>
      <c r="D1092" s="180"/>
      <c r="E1092" s="3"/>
      <c r="F1092" s="270"/>
      <c r="G1092" s="4"/>
      <c r="H1092" s="4"/>
      <c r="I1092" s="4"/>
      <c r="J1092" s="4"/>
      <c r="K1092" s="4"/>
      <c r="L1092" s="4"/>
      <c r="M1092" s="4"/>
      <c r="N1092" s="4"/>
      <c r="O1092" s="4"/>
      <c r="P1092" s="4"/>
      <c r="Q1092" s="4"/>
      <c r="R1092" s="4"/>
      <c r="S1092" s="4"/>
      <c r="T1092" s="4"/>
      <c r="U1092" s="4"/>
      <c r="V1092" s="4"/>
      <c r="W1092" s="4"/>
      <c r="X1092" s="4"/>
    </row>
    <row r="1093" spans="1:24" ht="12.75" customHeight="1">
      <c r="A1093" s="33">
        <v>21140204</v>
      </c>
      <c r="B1093" s="23" t="s">
        <v>556</v>
      </c>
      <c r="C1093" s="24">
        <v>1000000</v>
      </c>
      <c r="D1093" s="180"/>
      <c r="E1093" s="3"/>
      <c r="F1093" s="270"/>
      <c r="G1093" s="4"/>
      <c r="H1093" s="4"/>
      <c r="I1093" s="4"/>
      <c r="J1093" s="4"/>
      <c r="K1093" s="4"/>
      <c r="L1093" s="4"/>
      <c r="M1093" s="4"/>
      <c r="N1093" s="4"/>
      <c r="O1093" s="4"/>
      <c r="P1093" s="4"/>
      <c r="Q1093" s="4"/>
      <c r="R1093" s="4"/>
      <c r="S1093" s="4"/>
      <c r="T1093" s="4"/>
      <c r="U1093" s="4"/>
      <c r="V1093" s="4"/>
      <c r="W1093" s="4"/>
      <c r="X1093" s="4"/>
    </row>
    <row r="1094" spans="1:24" ht="12.75" customHeight="1">
      <c r="A1094" s="33">
        <v>21140213</v>
      </c>
      <c r="B1094" s="23" t="s">
        <v>504</v>
      </c>
      <c r="C1094" s="24">
        <v>1000000</v>
      </c>
      <c r="D1094" s="180"/>
      <c r="E1094" s="3"/>
      <c r="F1094" s="270"/>
      <c r="G1094" s="4"/>
      <c r="H1094" s="4"/>
      <c r="I1094" s="4"/>
      <c r="J1094" s="4"/>
      <c r="K1094" s="4"/>
      <c r="L1094" s="4"/>
      <c r="M1094" s="4"/>
      <c r="N1094" s="4"/>
      <c r="O1094" s="4"/>
      <c r="P1094" s="4"/>
      <c r="Q1094" s="4"/>
      <c r="R1094" s="4"/>
      <c r="S1094" s="4"/>
      <c r="T1094" s="4"/>
      <c r="U1094" s="4"/>
      <c r="V1094" s="4"/>
      <c r="W1094" s="4"/>
      <c r="X1094" s="4"/>
    </row>
    <row r="1095" spans="1:24" ht="12.75" customHeight="1" thickBot="1">
      <c r="A1095" s="33"/>
      <c r="B1095" s="23"/>
      <c r="C1095" s="24"/>
      <c r="D1095" s="2"/>
      <c r="E1095" s="3"/>
      <c r="F1095" s="270"/>
      <c r="G1095" s="4"/>
      <c r="H1095" s="4"/>
      <c r="I1095" s="4"/>
      <c r="J1095" s="4"/>
      <c r="K1095" s="4"/>
      <c r="L1095" s="4"/>
      <c r="M1095" s="4"/>
      <c r="N1095" s="4"/>
      <c r="O1095" s="4"/>
      <c r="P1095" s="4"/>
      <c r="Q1095" s="4"/>
      <c r="R1095" s="4"/>
      <c r="S1095" s="4"/>
      <c r="T1095" s="4"/>
      <c r="U1095" s="4"/>
      <c r="V1095" s="4"/>
      <c r="W1095" s="4"/>
      <c r="X1095" s="4"/>
    </row>
    <row r="1096" spans="1:24" ht="12.75" customHeight="1" thickBot="1">
      <c r="A1096" s="1299" t="s">
        <v>48</v>
      </c>
      <c r="B1096" s="1281"/>
      <c r="C1096" s="125">
        <f>C1097+C1102</f>
        <v>146090</v>
      </c>
      <c r="D1096" s="270"/>
      <c r="E1096" s="4"/>
      <c r="F1096" s="4"/>
      <c r="G1096" s="4"/>
      <c r="H1096" s="4"/>
      <c r="I1096" s="4"/>
      <c r="J1096" s="4"/>
      <c r="K1096" s="4"/>
      <c r="L1096" s="4"/>
      <c r="M1096" s="4"/>
      <c r="N1096" s="4"/>
      <c r="O1096" s="4"/>
      <c r="P1096" s="4"/>
      <c r="Q1096" s="4"/>
      <c r="R1096" s="4"/>
      <c r="S1096" s="4"/>
      <c r="T1096" s="4"/>
      <c r="U1096" s="4"/>
      <c r="V1096" s="4"/>
      <c r="W1096" s="4"/>
      <c r="X1096" s="4"/>
    </row>
    <row r="1097" spans="1:24" ht="12.75" customHeight="1">
      <c r="A1097" s="48">
        <v>221104</v>
      </c>
      <c r="B1097" s="827" t="s">
        <v>510</v>
      </c>
      <c r="C1097" s="49">
        <f>SUM(C1098:C1101)</f>
        <v>135850</v>
      </c>
      <c r="D1097" s="272"/>
      <c r="E1097" s="34"/>
      <c r="F1097" s="34"/>
      <c r="G1097" s="34"/>
      <c r="H1097" s="34"/>
      <c r="I1097" s="34"/>
      <c r="J1097" s="34"/>
      <c r="K1097" s="34"/>
      <c r="L1097" s="34"/>
      <c r="M1097" s="34"/>
      <c r="N1097" s="34"/>
      <c r="O1097" s="34"/>
      <c r="P1097" s="34"/>
      <c r="Q1097" s="34"/>
      <c r="R1097" s="34"/>
      <c r="S1097" s="34"/>
      <c r="T1097" s="34"/>
      <c r="U1097" s="34"/>
      <c r="V1097" s="34"/>
      <c r="W1097" s="34"/>
      <c r="X1097" s="34"/>
    </row>
    <row r="1098" spans="1:24" ht="12.75" customHeight="1">
      <c r="A1098" s="33">
        <v>22110401</v>
      </c>
      <c r="B1098" s="23" t="s">
        <v>511</v>
      </c>
      <c r="C1098" s="24">
        <v>53640</v>
      </c>
      <c r="D1098" s="270"/>
      <c r="E1098" s="274"/>
      <c r="F1098" s="4"/>
      <c r="G1098" s="4"/>
      <c r="H1098" s="4"/>
      <c r="I1098" s="4"/>
      <c r="J1098" s="4"/>
      <c r="K1098" s="4"/>
      <c r="L1098" s="4"/>
      <c r="M1098" s="4"/>
      <c r="N1098" s="4"/>
      <c r="O1098" s="4"/>
      <c r="P1098" s="4"/>
      <c r="Q1098" s="4"/>
      <c r="R1098" s="4"/>
      <c r="S1098" s="4"/>
      <c r="T1098" s="4"/>
      <c r="U1098" s="4"/>
      <c r="V1098" s="4"/>
      <c r="W1098" s="4"/>
      <c r="X1098" s="4"/>
    </row>
    <row r="1099" spans="1:24" ht="12.75" customHeight="1">
      <c r="A1099" s="33">
        <v>22110402</v>
      </c>
      <c r="B1099" s="13" t="s">
        <v>661</v>
      </c>
      <c r="C1099" s="24">
        <v>27600</v>
      </c>
      <c r="D1099" s="270"/>
      <c r="E1099" s="274"/>
      <c r="F1099" s="4"/>
      <c r="G1099" s="4"/>
      <c r="H1099" s="4"/>
      <c r="I1099" s="4"/>
      <c r="J1099" s="4"/>
      <c r="K1099" s="4"/>
      <c r="L1099" s="4"/>
      <c r="M1099" s="4"/>
      <c r="N1099" s="4"/>
      <c r="O1099" s="4"/>
      <c r="P1099" s="4"/>
      <c r="Q1099" s="4"/>
      <c r="R1099" s="4"/>
      <c r="S1099" s="4"/>
      <c r="T1099" s="4"/>
      <c r="U1099" s="4"/>
      <c r="V1099" s="4"/>
      <c r="W1099" s="4"/>
      <c r="X1099" s="4"/>
    </row>
    <row r="1100" spans="1:24" ht="12.75" customHeight="1">
      <c r="A1100" s="33">
        <v>22110404</v>
      </c>
      <c r="B1100" s="23" t="s">
        <v>512</v>
      </c>
      <c r="C1100" s="24">
        <v>23360</v>
      </c>
      <c r="D1100" s="270"/>
      <c r="E1100" s="274"/>
      <c r="F1100" s="4"/>
      <c r="G1100" s="4"/>
      <c r="H1100" s="4"/>
      <c r="I1100" s="4"/>
      <c r="J1100" s="4"/>
      <c r="K1100" s="4"/>
      <c r="L1100" s="4"/>
      <c r="M1100" s="4"/>
      <c r="N1100" s="4"/>
      <c r="O1100" s="4"/>
      <c r="P1100" s="4"/>
      <c r="Q1100" s="4"/>
      <c r="R1100" s="4"/>
      <c r="S1100" s="4"/>
      <c r="T1100" s="4"/>
      <c r="U1100" s="4"/>
      <c r="V1100" s="4"/>
      <c r="W1100" s="4"/>
      <c r="X1100" s="4"/>
    </row>
    <row r="1101" spans="1:24" ht="13.5" customHeight="1">
      <c r="A1101" s="33">
        <v>22110409</v>
      </c>
      <c r="B1101" s="24" t="s">
        <v>513</v>
      </c>
      <c r="C1101" s="24">
        <v>31250</v>
      </c>
      <c r="D1101" s="40"/>
      <c r="E1101" s="14"/>
      <c r="F1101" s="13"/>
      <c r="G1101" s="13"/>
      <c r="H1101" s="13"/>
      <c r="I1101" s="13"/>
      <c r="J1101" s="13"/>
      <c r="K1101" s="13"/>
      <c r="L1101" s="13"/>
      <c r="M1101" s="13"/>
      <c r="N1101" s="13"/>
      <c r="O1101" s="13"/>
      <c r="P1101" s="13"/>
      <c r="Q1101" s="13"/>
      <c r="R1101" s="13"/>
      <c r="S1101" s="13"/>
      <c r="T1101" s="13"/>
      <c r="U1101" s="13"/>
      <c r="V1101" s="13"/>
      <c r="W1101" s="13"/>
      <c r="X1101" s="13"/>
    </row>
    <row r="1102" spans="1:24" ht="12.75" customHeight="1">
      <c r="A1102" s="48">
        <v>221107</v>
      </c>
      <c r="B1102" s="26" t="s">
        <v>514</v>
      </c>
      <c r="C1102" s="26">
        <f>SUM(C1103)</f>
        <v>10240</v>
      </c>
      <c r="D1102" s="270"/>
      <c r="E1102" s="274"/>
      <c r="F1102" s="4"/>
      <c r="G1102" s="4"/>
      <c r="H1102" s="4"/>
      <c r="I1102" s="4"/>
      <c r="J1102" s="4"/>
      <c r="K1102" s="4"/>
      <c r="L1102" s="4"/>
      <c r="M1102" s="4"/>
      <c r="N1102" s="4"/>
      <c r="O1102" s="4"/>
      <c r="P1102" s="4"/>
      <c r="Q1102" s="4"/>
      <c r="R1102" s="4"/>
      <c r="S1102" s="4"/>
      <c r="T1102" s="4"/>
      <c r="U1102" s="4"/>
      <c r="V1102" s="4"/>
      <c r="W1102" s="4"/>
      <c r="X1102" s="4"/>
    </row>
    <row r="1103" spans="1:24" ht="12.75" customHeight="1">
      <c r="A1103" s="33">
        <v>22110702</v>
      </c>
      <c r="B1103" s="24" t="s">
        <v>515</v>
      </c>
      <c r="C1103" s="24">
        <v>10240</v>
      </c>
      <c r="D1103" s="270"/>
      <c r="E1103" s="274"/>
      <c r="F1103" s="4"/>
      <c r="G1103" s="4"/>
      <c r="H1103" s="4"/>
      <c r="I1103" s="4"/>
      <c r="J1103" s="4"/>
      <c r="K1103" s="4"/>
      <c r="L1103" s="4"/>
      <c r="M1103" s="4"/>
      <c r="N1103" s="4"/>
      <c r="O1103" s="4"/>
      <c r="P1103" s="4"/>
      <c r="Q1103" s="4"/>
      <c r="R1103" s="4"/>
      <c r="S1103" s="4"/>
      <c r="T1103" s="4"/>
      <c r="U1103" s="4"/>
      <c r="V1103" s="4"/>
      <c r="W1103" s="4"/>
      <c r="X1103" s="4"/>
    </row>
    <row r="1104" spans="1:24" ht="12.75" customHeight="1">
      <c r="A1104" s="33"/>
      <c r="B1104" s="24"/>
      <c r="C1104" s="24"/>
      <c r="D1104" s="270"/>
      <c r="E1104" s="274"/>
      <c r="F1104" s="4"/>
      <c r="G1104" s="4"/>
      <c r="H1104" s="4"/>
      <c r="I1104" s="4"/>
      <c r="J1104" s="4"/>
      <c r="K1104" s="4"/>
      <c r="L1104" s="4"/>
      <c r="M1104" s="4"/>
      <c r="N1104" s="4"/>
      <c r="O1104" s="4"/>
      <c r="P1104" s="4"/>
      <c r="Q1104" s="4"/>
      <c r="R1104" s="4"/>
      <c r="S1104" s="4"/>
      <c r="T1104" s="4"/>
      <c r="U1104" s="4"/>
      <c r="V1104" s="4"/>
      <c r="W1104" s="4"/>
      <c r="X1104" s="4"/>
    </row>
    <row r="1105" spans="1:24" ht="12.75" customHeight="1" thickBot="1">
      <c r="A1105" s="23"/>
      <c r="B1105" s="24"/>
      <c r="C1105" s="24"/>
      <c r="D1105" s="270"/>
      <c r="E1105" s="274"/>
      <c r="F1105" s="4"/>
      <c r="G1105" s="4"/>
      <c r="H1105" s="4"/>
      <c r="I1105" s="4"/>
      <c r="J1105" s="4"/>
      <c r="K1105" s="4"/>
      <c r="L1105" s="4"/>
      <c r="M1105" s="4"/>
      <c r="N1105" s="4"/>
      <c r="O1105" s="4"/>
      <c r="P1105" s="4"/>
      <c r="Q1105" s="4"/>
      <c r="R1105" s="4"/>
      <c r="S1105" s="4"/>
      <c r="T1105" s="4"/>
      <c r="U1105" s="4"/>
      <c r="V1105" s="4"/>
      <c r="W1105" s="4"/>
      <c r="X1105" s="4"/>
    </row>
    <row r="1106" spans="1:24" ht="12.75" customHeight="1">
      <c r="A1106" s="1334" t="s">
        <v>911</v>
      </c>
      <c r="B1106" s="1336"/>
      <c r="C1106" s="1161" t="s">
        <v>923</v>
      </c>
      <c r="D1106" s="270"/>
      <c r="E1106" s="4"/>
      <c r="F1106" s="4"/>
      <c r="G1106" s="4"/>
      <c r="H1106" s="4"/>
      <c r="I1106" s="4"/>
      <c r="J1106" s="4"/>
      <c r="K1106" s="4"/>
      <c r="L1106" s="4"/>
      <c r="M1106" s="4"/>
      <c r="N1106" s="4"/>
      <c r="O1106" s="4"/>
      <c r="P1106" s="4"/>
      <c r="Q1106" s="4"/>
      <c r="R1106" s="4"/>
      <c r="S1106" s="4"/>
      <c r="T1106" s="4"/>
      <c r="U1106" s="4"/>
      <c r="V1106" s="4"/>
      <c r="W1106" s="4"/>
      <c r="X1106" s="4"/>
    </row>
    <row r="1107" spans="1:24" ht="12.75" customHeight="1" thickBot="1">
      <c r="A1107" s="1337"/>
      <c r="B1107" s="1338"/>
      <c r="C1107" s="1491"/>
      <c r="D1107" s="270"/>
      <c r="E1107" s="4"/>
      <c r="F1107" s="4"/>
      <c r="G1107" s="4"/>
      <c r="H1107" s="4"/>
      <c r="I1107" s="4"/>
      <c r="J1107" s="4"/>
      <c r="K1107" s="4"/>
      <c r="L1107" s="4"/>
      <c r="M1107" s="4"/>
      <c r="N1107" s="4"/>
      <c r="O1107" s="4"/>
      <c r="P1107" s="4"/>
      <c r="Q1107" s="4"/>
      <c r="R1107" s="4"/>
      <c r="S1107" s="4"/>
      <c r="T1107" s="4"/>
      <c r="U1107" s="4"/>
      <c r="V1107" s="4"/>
      <c r="W1107" s="4"/>
      <c r="X1107" s="4"/>
    </row>
    <row r="1108" spans="1:24" ht="12.75" customHeight="1">
      <c r="A1108" s="1028" t="s">
        <v>675</v>
      </c>
      <c r="B1108" s="808"/>
      <c r="C1108" s="1080"/>
      <c r="D1108" s="270"/>
      <c r="E1108" s="274"/>
      <c r="F1108" s="4"/>
      <c r="G1108" s="4"/>
      <c r="H1108" s="4"/>
      <c r="I1108" s="4"/>
      <c r="J1108" s="4"/>
      <c r="K1108" s="4"/>
      <c r="L1108" s="4"/>
      <c r="M1108" s="4"/>
      <c r="N1108" s="4"/>
      <c r="O1108" s="4"/>
      <c r="P1108" s="4"/>
      <c r="Q1108" s="4"/>
      <c r="R1108" s="4"/>
      <c r="S1108" s="4"/>
      <c r="T1108" s="4"/>
      <c r="U1108" s="4"/>
      <c r="V1108" s="4"/>
      <c r="W1108" s="4"/>
      <c r="X1108" s="4"/>
    </row>
    <row r="1109" spans="1:24" ht="12.75" customHeight="1">
      <c r="A1109" s="609" t="s">
        <v>722</v>
      </c>
      <c r="B1109" s="808"/>
      <c r="C1109" s="1080"/>
      <c r="D1109" s="270"/>
      <c r="E1109" s="274"/>
      <c r="F1109" s="4"/>
      <c r="G1109" s="4"/>
      <c r="H1109" s="4"/>
      <c r="I1109" s="4"/>
      <c r="J1109" s="4"/>
      <c r="K1109" s="4"/>
      <c r="L1109" s="4"/>
      <c r="M1109" s="4"/>
      <c r="N1109" s="4"/>
      <c r="O1109" s="4"/>
      <c r="P1109" s="4"/>
      <c r="Q1109" s="4"/>
      <c r="R1109" s="4"/>
      <c r="S1109" s="4"/>
      <c r="T1109" s="4"/>
      <c r="U1109" s="4"/>
      <c r="V1109" s="4"/>
      <c r="W1109" s="4"/>
      <c r="X1109" s="4"/>
    </row>
    <row r="1110" spans="1:24" ht="12.75" customHeight="1">
      <c r="A1110" s="609" t="s">
        <v>723</v>
      </c>
      <c r="B1110" s="808"/>
      <c r="C1110" s="1080"/>
      <c r="D1110" s="270"/>
      <c r="E1110" s="274"/>
      <c r="F1110" s="4"/>
      <c r="G1110" s="4"/>
      <c r="H1110" s="4"/>
      <c r="I1110" s="4"/>
      <c r="J1110" s="4"/>
      <c r="K1110" s="4"/>
      <c r="L1110" s="4"/>
      <c r="M1110" s="4"/>
      <c r="N1110" s="4"/>
      <c r="O1110" s="4"/>
      <c r="P1110" s="4"/>
      <c r="Q1110" s="4"/>
      <c r="R1110" s="4"/>
      <c r="S1110" s="4"/>
      <c r="T1110" s="4"/>
      <c r="U1110" s="4"/>
      <c r="V1110" s="4"/>
      <c r="W1110" s="4"/>
      <c r="X1110" s="4"/>
    </row>
    <row r="1111" spans="1:24" ht="12.75" customHeight="1" thickBot="1">
      <c r="A1111" s="1125" t="s">
        <v>0</v>
      </c>
      <c r="B1111" s="982"/>
      <c r="C1111" s="1080"/>
      <c r="D1111" s="270"/>
      <c r="E1111" s="274"/>
      <c r="F1111" s="4"/>
      <c r="G1111" s="4"/>
      <c r="H1111" s="4"/>
      <c r="I1111" s="4"/>
      <c r="J1111" s="4"/>
      <c r="K1111" s="4"/>
      <c r="L1111" s="4"/>
      <c r="M1111" s="4"/>
      <c r="N1111" s="4"/>
      <c r="O1111" s="4"/>
      <c r="P1111" s="4"/>
      <c r="Q1111" s="4"/>
      <c r="R1111" s="4"/>
      <c r="S1111" s="4"/>
      <c r="T1111" s="4"/>
      <c r="U1111" s="4"/>
      <c r="V1111" s="4"/>
      <c r="W1111" s="4"/>
      <c r="X1111" s="4"/>
    </row>
    <row r="1112" spans="1:24" ht="12.75" customHeight="1" thickBot="1">
      <c r="A1112" s="1171" t="s">
        <v>66</v>
      </c>
      <c r="B1112" s="1186"/>
      <c r="C1112" s="1033">
        <f>+C1114+C1131+C1145</f>
        <v>76070500</v>
      </c>
      <c r="D1112" s="270"/>
      <c r="E1112" s="3"/>
      <c r="F1112" s="4"/>
      <c r="G1112" s="4"/>
      <c r="H1112" s="4"/>
      <c r="I1112" s="4"/>
      <c r="J1112" s="4"/>
      <c r="K1112" s="4"/>
      <c r="L1112" s="4"/>
      <c r="M1112" s="4"/>
      <c r="N1112" s="4"/>
      <c r="O1112" s="4"/>
      <c r="P1112" s="4"/>
      <c r="Q1112" s="4"/>
      <c r="R1112" s="4"/>
      <c r="S1112" s="4"/>
      <c r="T1112" s="4"/>
      <c r="U1112" s="4"/>
      <c r="V1112" s="4"/>
      <c r="W1112" s="4"/>
      <c r="X1112" s="4"/>
    </row>
    <row r="1113" spans="1:24" ht="12.75" customHeight="1" thickBot="1">
      <c r="A1113" s="21"/>
      <c r="B1113" s="21"/>
      <c r="C1113" s="26"/>
      <c r="D1113" s="270"/>
      <c r="E1113" s="274"/>
      <c r="F1113" s="4"/>
      <c r="G1113" s="4"/>
      <c r="H1113" s="4"/>
      <c r="I1113" s="4"/>
      <c r="J1113" s="4"/>
      <c r="K1113" s="4"/>
      <c r="L1113" s="4"/>
      <c r="M1113" s="4"/>
      <c r="N1113" s="4"/>
      <c r="O1113" s="4"/>
      <c r="P1113" s="4"/>
      <c r="Q1113" s="4"/>
      <c r="R1113" s="4"/>
      <c r="S1113" s="4"/>
      <c r="T1113" s="4"/>
      <c r="U1113" s="4"/>
      <c r="V1113" s="4"/>
      <c r="W1113" s="4"/>
      <c r="X1113" s="4"/>
    </row>
    <row r="1114" spans="1:24" ht="12.75" customHeight="1" thickBot="1">
      <c r="A1114" s="1297" t="s">
        <v>9</v>
      </c>
      <c r="B1114" s="1281"/>
      <c r="C1114" s="62">
        <f>C1115+C1119+C1121+C1124+C1126+C1117</f>
        <v>47859000</v>
      </c>
      <c r="D1114" s="270"/>
      <c r="E1114" s="274"/>
      <c r="F1114" s="4"/>
      <c r="G1114" s="4"/>
      <c r="H1114" s="4"/>
      <c r="I1114" s="4"/>
      <c r="J1114" s="4"/>
      <c r="K1114" s="4"/>
      <c r="L1114" s="4"/>
      <c r="M1114" s="4"/>
      <c r="N1114" s="4"/>
      <c r="O1114" s="4"/>
      <c r="P1114" s="4"/>
      <c r="Q1114" s="4"/>
      <c r="R1114" s="4"/>
      <c r="S1114" s="4"/>
      <c r="T1114" s="4"/>
      <c r="U1114" s="4"/>
      <c r="V1114" s="4"/>
      <c r="W1114" s="4"/>
      <c r="X1114" s="4"/>
    </row>
    <row r="1115" spans="1:24" ht="12.75" customHeight="1">
      <c r="A1115" s="48">
        <v>211201</v>
      </c>
      <c r="B1115" s="48" t="s">
        <v>459</v>
      </c>
      <c r="C1115" s="49">
        <f>SUM(C1116)</f>
        <v>350000</v>
      </c>
      <c r="D1115" s="270"/>
      <c r="E1115" s="274"/>
      <c r="F1115" s="4"/>
      <c r="G1115" s="4"/>
      <c r="H1115" s="4"/>
      <c r="I1115" s="4"/>
      <c r="J1115" s="4"/>
      <c r="K1115" s="4"/>
      <c r="L1115" s="4"/>
      <c r="M1115" s="4"/>
      <c r="N1115" s="4"/>
      <c r="O1115" s="4"/>
      <c r="P1115" s="4"/>
      <c r="Q1115" s="4"/>
      <c r="R1115" s="4"/>
      <c r="S1115" s="4"/>
      <c r="T1115" s="4"/>
      <c r="U1115" s="4"/>
      <c r="V1115" s="4"/>
      <c r="W1115" s="4"/>
      <c r="X1115" s="4"/>
    </row>
    <row r="1116" spans="1:24" ht="12.75" customHeight="1">
      <c r="A1116" s="33">
        <v>2112010</v>
      </c>
      <c r="B1116" s="23" t="s">
        <v>460</v>
      </c>
      <c r="C1116" s="24">
        <v>350000</v>
      </c>
      <c r="D1116" s="270"/>
      <c r="E1116" s="274"/>
      <c r="F1116" s="4"/>
      <c r="G1116" s="4"/>
      <c r="H1116" s="4"/>
      <c r="I1116" s="4"/>
      <c r="J1116" s="4"/>
      <c r="K1116" s="4"/>
      <c r="L1116" s="4"/>
      <c r="M1116" s="4"/>
      <c r="N1116" s="4"/>
      <c r="O1116" s="4"/>
      <c r="P1116" s="4"/>
      <c r="Q1116" s="4"/>
      <c r="R1116" s="4"/>
      <c r="S1116" s="4"/>
      <c r="T1116" s="4"/>
      <c r="U1116" s="4"/>
      <c r="V1116" s="4"/>
      <c r="W1116" s="4"/>
      <c r="X1116" s="4"/>
    </row>
    <row r="1117" spans="1:24" ht="12.75" customHeight="1">
      <c r="A1117" s="48">
        <v>211202</v>
      </c>
      <c r="B1117" s="15" t="s">
        <v>529</v>
      </c>
      <c r="C1117" s="26">
        <f>C1118</f>
        <v>45000</v>
      </c>
      <c r="D1117" s="270"/>
      <c r="E1117" s="274"/>
      <c r="F1117" s="4"/>
      <c r="G1117" s="4"/>
      <c r="H1117" s="4"/>
      <c r="I1117" s="4"/>
      <c r="J1117" s="4"/>
      <c r="K1117" s="4"/>
      <c r="L1117" s="4"/>
      <c r="M1117" s="4"/>
      <c r="N1117" s="4"/>
      <c r="O1117" s="4"/>
      <c r="P1117" s="4"/>
      <c r="Q1117" s="4"/>
      <c r="R1117" s="4"/>
      <c r="S1117" s="4"/>
      <c r="T1117" s="4"/>
      <c r="U1117" s="4"/>
      <c r="V1117" s="4"/>
      <c r="W1117" s="4"/>
      <c r="X1117" s="4"/>
    </row>
    <row r="1118" spans="1:24" ht="12.75" customHeight="1">
      <c r="A1118" s="33">
        <v>21120202</v>
      </c>
      <c r="B1118" s="13" t="s">
        <v>530</v>
      </c>
      <c r="C1118" s="24">
        <v>45000</v>
      </c>
      <c r="D1118" s="270"/>
      <c r="E1118" s="274"/>
      <c r="F1118" s="4"/>
      <c r="G1118" s="4"/>
      <c r="H1118" s="4"/>
      <c r="I1118" s="4"/>
      <c r="J1118" s="4"/>
      <c r="K1118" s="4"/>
      <c r="L1118" s="4"/>
      <c r="M1118" s="4"/>
      <c r="N1118" s="4"/>
      <c r="O1118" s="4"/>
      <c r="P1118" s="4"/>
      <c r="Q1118" s="4"/>
      <c r="R1118" s="4"/>
      <c r="S1118" s="4"/>
      <c r="T1118" s="4"/>
      <c r="U1118" s="4"/>
      <c r="V1118" s="4"/>
      <c r="W1118" s="4"/>
      <c r="X1118" s="4"/>
    </row>
    <row r="1119" spans="1:24" ht="12.75" customHeight="1">
      <c r="A1119" s="48">
        <v>211203</v>
      </c>
      <c r="B1119" s="21" t="s">
        <v>461</v>
      </c>
      <c r="C1119" s="26">
        <f>C1120</f>
        <v>120000</v>
      </c>
      <c r="D1119" s="270"/>
      <c r="E1119" s="274"/>
      <c r="F1119" s="4"/>
      <c r="G1119" s="4"/>
      <c r="H1119" s="4"/>
      <c r="I1119" s="4"/>
      <c r="J1119" s="4"/>
      <c r="K1119" s="4"/>
      <c r="L1119" s="4"/>
      <c r="M1119" s="4"/>
      <c r="N1119" s="4"/>
      <c r="O1119" s="4"/>
      <c r="P1119" s="4"/>
      <c r="Q1119" s="4"/>
      <c r="R1119" s="4"/>
      <c r="S1119" s="4"/>
      <c r="T1119" s="4"/>
      <c r="U1119" s="4"/>
      <c r="V1119" s="4"/>
      <c r="W1119" s="4"/>
      <c r="X1119" s="4"/>
    </row>
    <row r="1120" spans="1:24" ht="12.75" customHeight="1">
      <c r="A1120" s="33">
        <v>21120302</v>
      </c>
      <c r="B1120" s="23" t="s">
        <v>462</v>
      </c>
      <c r="C1120" s="24">
        <v>120000</v>
      </c>
      <c r="D1120" s="270"/>
      <c r="E1120" s="274"/>
      <c r="F1120" s="4"/>
      <c r="G1120" s="4"/>
      <c r="H1120" s="4"/>
      <c r="I1120" s="4"/>
      <c r="J1120" s="4"/>
      <c r="K1120" s="4"/>
      <c r="L1120" s="4"/>
      <c r="M1120" s="4"/>
      <c r="N1120" s="4"/>
      <c r="O1120" s="4"/>
      <c r="P1120" s="4"/>
      <c r="Q1120" s="4"/>
      <c r="R1120" s="4"/>
      <c r="S1120" s="4"/>
      <c r="T1120" s="4"/>
      <c r="U1120" s="4"/>
      <c r="V1120" s="4"/>
      <c r="W1120" s="4"/>
      <c r="X1120" s="4"/>
    </row>
    <row r="1121" spans="1:24" ht="12.75" customHeight="1">
      <c r="A1121" s="48">
        <v>211204</v>
      </c>
      <c r="B1121" s="21" t="s">
        <v>463</v>
      </c>
      <c r="C1121" s="26">
        <f>+SUM(C1122:C1123)</f>
        <v>46328000</v>
      </c>
      <c r="D1121" s="270"/>
      <c r="E1121" s="274"/>
      <c r="F1121" s="4"/>
      <c r="G1121" s="4"/>
      <c r="H1121" s="4"/>
      <c r="I1121" s="4"/>
      <c r="J1121" s="4"/>
      <c r="K1121" s="4"/>
      <c r="L1121" s="4"/>
      <c r="M1121" s="4"/>
      <c r="N1121" s="4"/>
      <c r="O1121" s="4"/>
      <c r="P1121" s="4"/>
      <c r="Q1121" s="4"/>
      <c r="R1121" s="4"/>
      <c r="S1121" s="4"/>
      <c r="T1121" s="4"/>
      <c r="U1121" s="4"/>
      <c r="V1121" s="4"/>
      <c r="W1121" s="4"/>
      <c r="X1121" s="4"/>
    </row>
    <row r="1122" spans="1:24" ht="12.75" customHeight="1">
      <c r="A1122" s="33">
        <v>21120401</v>
      </c>
      <c r="B1122" s="24" t="s">
        <v>464</v>
      </c>
      <c r="C1122" s="24">
        <f>49478000-6050000</f>
        <v>43428000</v>
      </c>
      <c r="D1122" s="270"/>
      <c r="E1122" s="274"/>
      <c r="F1122" s="4"/>
      <c r="G1122" s="4"/>
      <c r="H1122" s="4"/>
      <c r="I1122" s="4"/>
      <c r="J1122" s="4"/>
      <c r="K1122" s="4"/>
      <c r="L1122" s="4"/>
      <c r="M1122" s="4"/>
      <c r="N1122" s="4"/>
      <c r="O1122" s="4"/>
      <c r="P1122" s="4"/>
      <c r="Q1122" s="4"/>
      <c r="R1122" s="4"/>
      <c r="S1122" s="4"/>
      <c r="T1122" s="4"/>
      <c r="U1122" s="4"/>
      <c r="V1122" s="4"/>
      <c r="W1122" s="4"/>
      <c r="X1122" s="4"/>
    </row>
    <row r="1123" spans="1:24" ht="12.75" customHeight="1">
      <c r="A1123" s="33">
        <v>21120403</v>
      </c>
      <c r="B1123" s="23" t="s">
        <v>656</v>
      </c>
      <c r="C1123" s="24">
        <v>2900000</v>
      </c>
      <c r="D1123" s="123"/>
      <c r="E1123" s="274"/>
      <c r="F1123" s="4"/>
      <c r="G1123" s="291"/>
      <c r="H1123" s="4"/>
      <c r="I1123" s="4"/>
      <c r="J1123" s="4"/>
      <c r="K1123" s="4"/>
      <c r="L1123" s="4"/>
      <c r="M1123" s="4"/>
      <c r="N1123" s="4"/>
      <c r="O1123" s="4"/>
      <c r="P1123" s="4"/>
      <c r="Q1123" s="4"/>
      <c r="R1123" s="4"/>
      <c r="S1123" s="4"/>
      <c r="T1123" s="4"/>
      <c r="U1123" s="4"/>
      <c r="V1123" s="4"/>
      <c r="W1123" s="4"/>
      <c r="X1123" s="4"/>
    </row>
    <row r="1124" spans="1:24" ht="12.75" customHeight="1">
      <c r="A1124" s="48">
        <v>211208</v>
      </c>
      <c r="B1124" s="26" t="s">
        <v>474</v>
      </c>
      <c r="C1124" s="26">
        <f>C1125</f>
        <v>80000</v>
      </c>
      <c r="D1124" s="270"/>
      <c r="E1124" s="274"/>
      <c r="F1124" s="4"/>
      <c r="G1124" s="4"/>
      <c r="H1124" s="4"/>
      <c r="I1124" s="4"/>
      <c r="J1124" s="4"/>
      <c r="K1124" s="4"/>
      <c r="L1124" s="4"/>
      <c r="M1124" s="4"/>
      <c r="N1124" s="4"/>
      <c r="O1124" s="4"/>
      <c r="P1124" s="4"/>
      <c r="Q1124" s="4"/>
      <c r="R1124" s="4"/>
      <c r="S1124" s="4"/>
      <c r="T1124" s="4"/>
      <c r="U1124" s="4"/>
      <c r="V1124" s="4"/>
      <c r="W1124" s="4"/>
      <c r="X1124" s="4"/>
    </row>
    <row r="1125" spans="1:24" ht="12.75" customHeight="1">
      <c r="A1125" s="33">
        <v>21120805</v>
      </c>
      <c r="B1125" s="24" t="s">
        <v>476</v>
      </c>
      <c r="C1125" s="24">
        <v>80000</v>
      </c>
      <c r="D1125" s="270"/>
      <c r="E1125" s="274"/>
      <c r="F1125" s="4"/>
      <c r="G1125" s="4"/>
      <c r="H1125" s="4"/>
      <c r="I1125" s="4"/>
      <c r="J1125" s="4"/>
      <c r="K1125" s="4"/>
      <c r="L1125" s="4"/>
      <c r="M1125" s="4"/>
      <c r="N1125" s="4"/>
      <c r="O1125" s="4"/>
      <c r="P1125" s="4"/>
      <c r="Q1125" s="4"/>
      <c r="R1125" s="4"/>
      <c r="S1125" s="4"/>
      <c r="T1125" s="4"/>
      <c r="U1125" s="4"/>
      <c r="V1125" s="4"/>
      <c r="W1125" s="4"/>
      <c r="X1125" s="4"/>
    </row>
    <row r="1126" spans="1:24" ht="12.75" customHeight="1">
      <c r="A1126" s="48">
        <v>211209</v>
      </c>
      <c r="B1126" s="26" t="s">
        <v>477</v>
      </c>
      <c r="C1126" s="26">
        <f>SUM(C1127:C1129)</f>
        <v>936000</v>
      </c>
      <c r="D1126" s="270"/>
      <c r="E1126" s="274"/>
      <c r="F1126" s="4"/>
      <c r="G1126" s="4"/>
      <c r="H1126" s="4"/>
      <c r="I1126" s="4"/>
      <c r="J1126" s="4"/>
      <c r="K1126" s="4"/>
      <c r="L1126" s="4"/>
      <c r="M1126" s="4"/>
      <c r="N1126" s="4"/>
      <c r="O1126" s="4"/>
      <c r="P1126" s="4"/>
      <c r="Q1126" s="4"/>
      <c r="R1126" s="4"/>
      <c r="S1126" s="4"/>
      <c r="T1126" s="4"/>
      <c r="U1126" s="4"/>
      <c r="V1126" s="4"/>
      <c r="W1126" s="4"/>
      <c r="X1126" s="4"/>
    </row>
    <row r="1127" spans="1:24" ht="12.75" customHeight="1">
      <c r="A1127" s="33">
        <v>21120905</v>
      </c>
      <c r="B1127" s="24" t="s">
        <v>525</v>
      </c>
      <c r="C1127" s="24">
        <v>160000</v>
      </c>
      <c r="D1127" s="270"/>
      <c r="E1127" s="274"/>
      <c r="F1127" s="4"/>
      <c r="G1127" s="4"/>
      <c r="H1127" s="4"/>
      <c r="I1127" s="4"/>
      <c r="J1127" s="4"/>
      <c r="K1127" s="4"/>
      <c r="L1127" s="4"/>
      <c r="M1127" s="4"/>
      <c r="N1127" s="4"/>
      <c r="O1127" s="4"/>
      <c r="P1127" s="4"/>
      <c r="Q1127" s="4"/>
      <c r="R1127" s="4"/>
      <c r="S1127" s="4"/>
      <c r="T1127" s="4"/>
      <c r="U1127" s="4"/>
      <c r="V1127" s="4"/>
      <c r="W1127" s="4"/>
      <c r="X1127" s="4"/>
    </row>
    <row r="1128" spans="1:24" ht="12.75" customHeight="1">
      <c r="A1128" s="33">
        <v>21120906</v>
      </c>
      <c r="B1128" s="24" t="s">
        <v>479</v>
      </c>
      <c r="C1128" s="24">
        <f>350000+26000</f>
        <v>376000</v>
      </c>
      <c r="D1128" s="270"/>
      <c r="E1128" s="274"/>
      <c r="F1128" s="4"/>
      <c r="G1128" s="4"/>
      <c r="H1128" s="4"/>
      <c r="I1128" s="4"/>
      <c r="J1128" s="4"/>
      <c r="K1128" s="4"/>
      <c r="L1128" s="4"/>
      <c r="M1128" s="4"/>
      <c r="N1128" s="4"/>
      <c r="O1128" s="4"/>
      <c r="P1128" s="4"/>
      <c r="Q1128" s="4"/>
      <c r="R1128" s="4"/>
      <c r="S1128" s="4"/>
      <c r="T1128" s="4"/>
      <c r="U1128" s="4"/>
      <c r="V1128" s="4"/>
      <c r="W1128" s="4"/>
      <c r="X1128" s="4"/>
    </row>
    <row r="1129" spans="1:24" ht="13.5" customHeight="1">
      <c r="A1129" s="33">
        <v>21120907</v>
      </c>
      <c r="B1129" s="13" t="s">
        <v>480</v>
      </c>
      <c r="C1129" s="24">
        <v>400000</v>
      </c>
      <c r="D1129" s="123"/>
      <c r="E1129" s="274"/>
      <c r="F1129" s="21"/>
      <c r="G1129" s="21"/>
      <c r="H1129" s="21"/>
      <c r="I1129" s="21"/>
      <c r="J1129" s="21"/>
      <c r="K1129" s="21"/>
      <c r="L1129" s="21"/>
      <c r="M1129" s="21"/>
      <c r="N1129" s="21"/>
      <c r="O1129" s="21"/>
      <c r="P1129" s="21"/>
      <c r="Q1129" s="21"/>
      <c r="R1129" s="21"/>
      <c r="S1129" s="21"/>
      <c r="T1129" s="21"/>
      <c r="U1129" s="21"/>
      <c r="V1129" s="21"/>
      <c r="W1129" s="21"/>
      <c r="X1129" s="21"/>
    </row>
    <row r="1130" spans="1:24" ht="12.75" customHeight="1" thickBot="1">
      <c r="A1130" s="33"/>
      <c r="B1130" s="24"/>
      <c r="C1130" s="24"/>
      <c r="D1130" s="270"/>
      <c r="E1130" s="274"/>
      <c r="F1130" s="4"/>
      <c r="G1130" s="4"/>
      <c r="H1130" s="4"/>
      <c r="I1130" s="4"/>
      <c r="J1130" s="4"/>
      <c r="K1130" s="4"/>
      <c r="L1130" s="4"/>
      <c r="M1130" s="4"/>
      <c r="N1130" s="4"/>
      <c r="O1130" s="4"/>
      <c r="P1130" s="4"/>
      <c r="Q1130" s="4"/>
      <c r="R1130" s="4"/>
      <c r="S1130" s="4"/>
      <c r="T1130" s="4"/>
      <c r="U1130" s="4"/>
      <c r="V1130" s="4"/>
      <c r="W1130" s="4"/>
      <c r="X1130" s="4"/>
    </row>
    <row r="1131" spans="1:24" ht="12.75" customHeight="1" thickBot="1">
      <c r="A1131" s="1298" t="s">
        <v>4</v>
      </c>
      <c r="B1131" s="1281"/>
      <c r="C1131" s="64">
        <f>C1132+C1136+C1138+C1134</f>
        <v>28106500</v>
      </c>
      <c r="D1131" s="270"/>
      <c r="E1131" s="274"/>
      <c r="F1131" s="4"/>
      <c r="G1131" s="4"/>
      <c r="H1131" s="4"/>
      <c r="I1131" s="4"/>
      <c r="J1131" s="4"/>
      <c r="K1131" s="4"/>
      <c r="L1131" s="4"/>
      <c r="M1131" s="4"/>
      <c r="N1131" s="4"/>
      <c r="O1131" s="4"/>
      <c r="P1131" s="4"/>
      <c r="Q1131" s="4"/>
      <c r="R1131" s="4"/>
      <c r="S1131" s="4"/>
      <c r="T1131" s="4"/>
      <c r="U1131" s="4"/>
      <c r="V1131" s="4"/>
      <c r="W1131" s="4"/>
      <c r="X1131" s="4"/>
    </row>
    <row r="1132" spans="1:24" ht="12.75" customHeight="1">
      <c r="A1132" s="48">
        <v>211302</v>
      </c>
      <c r="B1132" s="48" t="s">
        <v>481</v>
      </c>
      <c r="C1132" s="49">
        <f>SUM(C1133)</f>
        <v>20000</v>
      </c>
      <c r="D1132" s="270"/>
      <c r="E1132" s="274"/>
      <c r="F1132" s="4"/>
      <c r="G1132" s="4"/>
      <c r="H1132" s="4"/>
      <c r="I1132" s="4"/>
      <c r="J1132" s="4"/>
      <c r="K1132" s="4"/>
      <c r="L1132" s="4"/>
      <c r="M1132" s="4"/>
      <c r="N1132" s="4"/>
      <c r="O1132" s="4"/>
      <c r="P1132" s="4"/>
      <c r="Q1132" s="4"/>
      <c r="R1132" s="4"/>
      <c r="S1132" s="4"/>
      <c r="T1132" s="4"/>
      <c r="U1132" s="4"/>
      <c r="V1132" s="4"/>
      <c r="W1132" s="4"/>
      <c r="X1132" s="4"/>
    </row>
    <row r="1133" spans="1:24" ht="12.75" customHeight="1">
      <c r="A1133" s="33">
        <v>21130204</v>
      </c>
      <c r="B1133" s="24" t="s">
        <v>483</v>
      </c>
      <c r="C1133" s="24">
        <v>20000</v>
      </c>
      <c r="D1133" s="270"/>
      <c r="E1133" s="274"/>
      <c r="F1133" s="4"/>
      <c r="G1133" s="4"/>
      <c r="H1133" s="4"/>
      <c r="I1133" s="4"/>
      <c r="J1133" s="4"/>
      <c r="K1133" s="4"/>
      <c r="L1133" s="4"/>
      <c r="M1133" s="4"/>
      <c r="N1133" s="4"/>
      <c r="O1133" s="4"/>
      <c r="P1133" s="4"/>
      <c r="Q1133" s="4"/>
      <c r="R1133" s="4"/>
      <c r="S1133" s="4"/>
      <c r="T1133" s="4"/>
      <c r="U1133" s="4"/>
      <c r="V1133" s="4"/>
      <c r="W1133" s="4"/>
      <c r="X1133" s="4"/>
    </row>
    <row r="1134" spans="1:24" ht="12.75" customHeight="1">
      <c r="A1134" s="48">
        <v>211303</v>
      </c>
      <c r="B1134" s="26" t="s">
        <v>484</v>
      </c>
      <c r="C1134" s="26">
        <f>C1135</f>
        <v>25000</v>
      </c>
      <c r="D1134" s="270"/>
      <c r="E1134" s="274"/>
      <c r="F1134" s="4"/>
      <c r="G1134" s="4"/>
      <c r="H1134" s="4"/>
      <c r="I1134" s="4"/>
      <c r="J1134" s="4"/>
      <c r="K1134" s="4"/>
      <c r="L1134" s="4"/>
      <c r="M1134" s="4"/>
      <c r="N1134" s="4"/>
      <c r="O1134" s="4"/>
      <c r="P1134" s="4"/>
      <c r="Q1134" s="4"/>
      <c r="R1134" s="4"/>
      <c r="S1134" s="4"/>
      <c r="T1134" s="4"/>
      <c r="U1134" s="4"/>
      <c r="V1134" s="4"/>
      <c r="W1134" s="4"/>
      <c r="X1134" s="4"/>
    </row>
    <row r="1135" spans="1:24" ht="12.75" customHeight="1">
      <c r="A1135" s="33">
        <v>21130307</v>
      </c>
      <c r="B1135" s="23" t="s">
        <v>488</v>
      </c>
      <c r="C1135" s="24">
        <v>25000</v>
      </c>
      <c r="D1135" s="270"/>
      <c r="E1135" s="274"/>
      <c r="F1135" s="4"/>
      <c r="G1135" s="4"/>
      <c r="H1135" s="4"/>
      <c r="I1135" s="4"/>
      <c r="J1135" s="4"/>
      <c r="K1135" s="4"/>
      <c r="L1135" s="4"/>
      <c r="M1135" s="4"/>
      <c r="N1135" s="4"/>
      <c r="O1135" s="4"/>
      <c r="P1135" s="4"/>
      <c r="Q1135" s="4"/>
      <c r="R1135" s="4"/>
      <c r="S1135" s="4"/>
      <c r="T1135" s="4"/>
      <c r="U1135" s="4"/>
      <c r="V1135" s="4"/>
      <c r="W1135" s="4"/>
      <c r="X1135" s="4"/>
    </row>
    <row r="1136" spans="1:24" ht="12.75" customHeight="1">
      <c r="A1136" s="48">
        <v>211305</v>
      </c>
      <c r="B1136" s="26" t="s">
        <v>489</v>
      </c>
      <c r="C1136" s="26">
        <f>C1137</f>
        <v>6257000</v>
      </c>
      <c r="D1136" s="270"/>
      <c r="E1136" s="274"/>
      <c r="F1136" s="4"/>
      <c r="G1136" s="4"/>
      <c r="H1136" s="4"/>
      <c r="I1136" s="4"/>
      <c r="J1136" s="4"/>
      <c r="K1136" s="4"/>
      <c r="L1136" s="4"/>
      <c r="M1136" s="4"/>
      <c r="N1136" s="4"/>
      <c r="O1136" s="4"/>
      <c r="P1136" s="4"/>
      <c r="Q1136" s="4"/>
      <c r="R1136" s="4"/>
      <c r="S1136" s="4"/>
      <c r="T1136" s="4"/>
      <c r="U1136" s="4"/>
      <c r="V1136" s="4"/>
      <c r="W1136" s="4"/>
      <c r="X1136" s="4"/>
    </row>
    <row r="1137" spans="1:24" ht="12.75" customHeight="1">
      <c r="A1137" s="33">
        <v>21130502</v>
      </c>
      <c r="B1137" s="23" t="s">
        <v>491</v>
      </c>
      <c r="C1137" s="24">
        <v>6257000</v>
      </c>
      <c r="D1137" s="270"/>
      <c r="E1137" s="274"/>
      <c r="F1137" s="4"/>
      <c r="G1137" s="4"/>
      <c r="H1137" s="4"/>
      <c r="I1137" s="4"/>
      <c r="J1137" s="4"/>
      <c r="K1137" s="4"/>
      <c r="L1137" s="4"/>
      <c r="M1137" s="4"/>
      <c r="N1137" s="4"/>
      <c r="O1137" s="4"/>
      <c r="P1137" s="4"/>
      <c r="Q1137" s="4"/>
      <c r="R1137" s="4"/>
      <c r="S1137" s="4"/>
      <c r="T1137" s="4"/>
      <c r="U1137" s="4"/>
      <c r="V1137" s="4"/>
      <c r="W1137" s="4"/>
      <c r="X1137" s="4"/>
    </row>
    <row r="1138" spans="1:24" ht="12.75" customHeight="1">
      <c r="A1138" s="48">
        <v>211309</v>
      </c>
      <c r="B1138" s="26" t="s">
        <v>496</v>
      </c>
      <c r="C1138" s="26">
        <f>+SUM(C1139:C1143)</f>
        <v>21804500</v>
      </c>
      <c r="D1138" s="270"/>
      <c r="E1138" s="274"/>
      <c r="F1138" s="4"/>
      <c r="G1138" s="4"/>
      <c r="H1138" s="4"/>
      <c r="I1138" s="4"/>
      <c r="J1138" s="4"/>
      <c r="K1138" s="4"/>
      <c r="L1138" s="4"/>
      <c r="M1138" s="4"/>
      <c r="N1138" s="4"/>
      <c r="O1138" s="4"/>
      <c r="P1138" s="4"/>
      <c r="Q1138" s="4"/>
      <c r="R1138" s="4"/>
      <c r="S1138" s="4"/>
      <c r="T1138" s="4"/>
      <c r="U1138" s="4"/>
      <c r="V1138" s="4"/>
      <c r="W1138" s="4"/>
      <c r="X1138" s="4"/>
    </row>
    <row r="1139" spans="1:24" ht="12.75" customHeight="1">
      <c r="A1139" s="33">
        <v>21130901</v>
      </c>
      <c r="B1139" s="24" t="s">
        <v>497</v>
      </c>
      <c r="C1139" s="24">
        <v>20819000</v>
      </c>
      <c r="D1139" s="270"/>
      <c r="E1139" s="274"/>
      <c r="F1139" s="4"/>
      <c r="G1139" s="4"/>
      <c r="H1139" s="4"/>
      <c r="I1139" s="4"/>
      <c r="J1139" s="4"/>
      <c r="K1139" s="4"/>
      <c r="L1139" s="4"/>
      <c r="M1139" s="4"/>
      <c r="N1139" s="4"/>
      <c r="O1139" s="4"/>
      <c r="P1139" s="4"/>
      <c r="Q1139" s="4"/>
      <c r="R1139" s="4"/>
      <c r="S1139" s="4"/>
      <c r="T1139" s="4"/>
      <c r="U1139" s="4"/>
      <c r="V1139" s="4"/>
      <c r="W1139" s="4"/>
      <c r="X1139" s="4"/>
    </row>
    <row r="1140" spans="1:24" ht="12.75" customHeight="1">
      <c r="A1140" s="33">
        <v>21130903</v>
      </c>
      <c r="B1140" s="24" t="s">
        <v>498</v>
      </c>
      <c r="C1140" s="24">
        <v>16000</v>
      </c>
      <c r="D1140" s="270"/>
      <c r="E1140" s="274"/>
      <c r="F1140" s="4"/>
      <c r="G1140" s="4"/>
      <c r="H1140" s="4"/>
      <c r="I1140" s="4"/>
      <c r="J1140" s="4"/>
      <c r="K1140" s="4"/>
      <c r="L1140" s="4"/>
      <c r="M1140" s="4"/>
      <c r="N1140" s="4"/>
      <c r="O1140" s="4"/>
      <c r="P1140" s="4"/>
      <c r="Q1140" s="4"/>
      <c r="R1140" s="4"/>
      <c r="S1140" s="4"/>
      <c r="T1140" s="4"/>
      <c r="U1140" s="4"/>
      <c r="V1140" s="4"/>
      <c r="W1140" s="4"/>
      <c r="X1140" s="4"/>
    </row>
    <row r="1141" spans="1:24" ht="13.5" customHeight="1">
      <c r="A1141" s="33">
        <v>21130905</v>
      </c>
      <c r="B1141" s="23" t="s">
        <v>532</v>
      </c>
      <c r="C1141" s="24">
        <v>40000</v>
      </c>
      <c r="D1141" s="89"/>
      <c r="E1141" s="123"/>
      <c r="F1141" s="21"/>
      <c r="G1141" s="21"/>
      <c r="H1141" s="21"/>
      <c r="I1141" s="21"/>
      <c r="J1141" s="21"/>
      <c r="K1141" s="21"/>
      <c r="L1141" s="21"/>
      <c r="M1141" s="21"/>
      <c r="N1141" s="21"/>
      <c r="O1141" s="21"/>
      <c r="P1141" s="21"/>
      <c r="Q1141" s="21"/>
      <c r="R1141" s="21"/>
      <c r="S1141" s="21"/>
      <c r="T1141" s="21"/>
      <c r="U1141" s="21"/>
      <c r="V1141" s="21"/>
      <c r="W1141" s="21"/>
      <c r="X1141" s="21"/>
    </row>
    <row r="1142" spans="1:24" ht="13.5" customHeight="1">
      <c r="A1142" s="33">
        <v>21130906</v>
      </c>
      <c r="B1142" s="13" t="s">
        <v>499</v>
      </c>
      <c r="C1142" s="24">
        <v>769500</v>
      </c>
      <c r="D1142" s="123"/>
      <c r="E1142" s="123"/>
      <c r="F1142" s="21"/>
      <c r="G1142" s="21"/>
      <c r="H1142" s="21"/>
      <c r="I1142" s="23"/>
      <c r="J1142" s="23"/>
      <c r="K1142" s="23"/>
      <c r="L1142" s="23"/>
      <c r="M1142" s="23"/>
      <c r="N1142" s="23"/>
      <c r="O1142" s="23"/>
      <c r="P1142" s="23"/>
      <c r="Q1142" s="23"/>
      <c r="R1142" s="23"/>
      <c r="S1142" s="23"/>
      <c r="T1142" s="23"/>
      <c r="U1142" s="23"/>
      <c r="V1142" s="23"/>
      <c r="W1142" s="23"/>
      <c r="X1142" s="23"/>
    </row>
    <row r="1143" spans="1:24" ht="12.75" customHeight="1">
      <c r="A1143" s="33">
        <v>21130908</v>
      </c>
      <c r="B1143" s="24" t="s">
        <v>500</v>
      </c>
      <c r="C1143" s="24">
        <v>160000</v>
      </c>
      <c r="D1143" s="270"/>
      <c r="E1143" s="274"/>
      <c r="F1143" s="4"/>
      <c r="G1143" s="4"/>
      <c r="H1143" s="4"/>
      <c r="I1143" s="4"/>
      <c r="J1143" s="4"/>
      <c r="K1143" s="4"/>
      <c r="L1143" s="4"/>
      <c r="M1143" s="4"/>
      <c r="N1143" s="4"/>
      <c r="O1143" s="4"/>
      <c r="P1143" s="4"/>
      <c r="Q1143" s="4"/>
      <c r="R1143" s="4"/>
      <c r="S1143" s="4"/>
      <c r="T1143" s="4"/>
      <c r="U1143" s="4"/>
      <c r="V1143" s="4"/>
      <c r="W1143" s="4"/>
      <c r="X1143" s="4"/>
    </row>
    <row r="1144" spans="1:24" ht="12.75" customHeight="1" thickBot="1">
      <c r="A1144" s="23"/>
      <c r="B1144" s="23"/>
      <c r="C1144" s="24"/>
      <c r="D1144" s="270"/>
      <c r="E1144" s="274"/>
      <c r="F1144" s="4"/>
      <c r="G1144" s="4"/>
      <c r="H1144" s="4"/>
      <c r="I1144" s="4"/>
      <c r="J1144" s="4"/>
      <c r="K1144" s="4"/>
      <c r="L1144" s="4"/>
      <c r="M1144" s="4"/>
      <c r="N1144" s="4"/>
      <c r="O1144" s="4"/>
      <c r="P1144" s="4"/>
      <c r="Q1144" s="4"/>
      <c r="R1144" s="4"/>
      <c r="S1144" s="4"/>
      <c r="T1144" s="4"/>
      <c r="U1144" s="4"/>
      <c r="V1144" s="4"/>
      <c r="W1144" s="4"/>
      <c r="X1144" s="4"/>
    </row>
    <row r="1145" spans="1:24" ht="12.75" customHeight="1" thickBot="1">
      <c r="A1145" s="1299" t="s">
        <v>48</v>
      </c>
      <c r="B1145" s="1281"/>
      <c r="C1145" s="125">
        <f>C1146+C1150</f>
        <v>105000</v>
      </c>
      <c r="D1145" s="270"/>
      <c r="E1145" s="274"/>
      <c r="F1145" s="4"/>
      <c r="G1145" s="4"/>
      <c r="H1145" s="4"/>
      <c r="I1145" s="4"/>
      <c r="J1145" s="4"/>
      <c r="K1145" s="4"/>
      <c r="L1145" s="4"/>
      <c r="M1145" s="4"/>
      <c r="N1145" s="4"/>
      <c r="O1145" s="4"/>
      <c r="P1145" s="4"/>
      <c r="Q1145" s="4"/>
      <c r="R1145" s="4"/>
      <c r="S1145" s="4"/>
      <c r="T1145" s="4"/>
      <c r="U1145" s="4"/>
      <c r="V1145" s="4"/>
      <c r="W1145" s="4"/>
      <c r="X1145" s="4"/>
    </row>
    <row r="1146" spans="1:24" ht="12.75" customHeight="1">
      <c r="A1146" s="48">
        <v>221104</v>
      </c>
      <c r="B1146" s="827" t="s">
        <v>510</v>
      </c>
      <c r="C1146" s="49">
        <f>SUM(C1147:C1149)</f>
        <v>55000</v>
      </c>
      <c r="D1146" s="270"/>
      <c r="E1146" s="274"/>
      <c r="F1146" s="4"/>
      <c r="G1146" s="4"/>
      <c r="H1146" s="4"/>
      <c r="I1146" s="4"/>
      <c r="J1146" s="4"/>
      <c r="K1146" s="4"/>
      <c r="L1146" s="4"/>
      <c r="M1146" s="4"/>
      <c r="N1146" s="4"/>
      <c r="O1146" s="4"/>
      <c r="P1146" s="4"/>
      <c r="Q1146" s="4"/>
      <c r="R1146" s="4"/>
      <c r="S1146" s="4"/>
      <c r="T1146" s="4"/>
      <c r="U1146" s="4"/>
      <c r="V1146" s="4"/>
      <c r="W1146" s="4"/>
      <c r="X1146" s="4"/>
    </row>
    <row r="1147" spans="1:24" ht="12.75" customHeight="1">
      <c r="A1147" s="33">
        <v>22110401</v>
      </c>
      <c r="B1147" s="23" t="s">
        <v>511</v>
      </c>
      <c r="C1147" s="24">
        <v>20000</v>
      </c>
      <c r="D1147" s="270"/>
      <c r="E1147" s="274"/>
      <c r="F1147" s="4"/>
      <c r="G1147" s="4"/>
      <c r="H1147" s="4"/>
      <c r="I1147" s="4"/>
      <c r="J1147" s="4"/>
      <c r="K1147" s="4"/>
      <c r="L1147" s="4"/>
      <c r="M1147" s="4"/>
      <c r="N1147" s="4"/>
      <c r="O1147" s="4"/>
      <c r="P1147" s="4"/>
      <c r="Q1147" s="4"/>
      <c r="R1147" s="4"/>
      <c r="S1147" s="4"/>
      <c r="T1147" s="4"/>
      <c r="U1147" s="4"/>
      <c r="V1147" s="4"/>
      <c r="W1147" s="4"/>
      <c r="X1147" s="4"/>
    </row>
    <row r="1148" spans="1:24" ht="12.75" customHeight="1">
      <c r="A1148" s="33">
        <v>22110404</v>
      </c>
      <c r="B1148" s="23" t="s">
        <v>512</v>
      </c>
      <c r="C1148" s="24">
        <v>20000</v>
      </c>
      <c r="D1148" s="270"/>
      <c r="E1148" s="274"/>
      <c r="F1148" s="4"/>
      <c r="G1148" s="4"/>
      <c r="H1148" s="4"/>
      <c r="I1148" s="4"/>
      <c r="J1148" s="4"/>
      <c r="K1148" s="4"/>
      <c r="L1148" s="4"/>
      <c r="M1148" s="4"/>
      <c r="N1148" s="4"/>
      <c r="O1148" s="4"/>
      <c r="P1148" s="4"/>
      <c r="Q1148" s="4"/>
      <c r="R1148" s="4"/>
      <c r="S1148" s="4"/>
      <c r="T1148" s="4"/>
      <c r="U1148" s="4"/>
      <c r="V1148" s="4"/>
      <c r="W1148" s="4"/>
      <c r="X1148" s="4"/>
    </row>
    <row r="1149" spans="1:24" ht="13.5" customHeight="1">
      <c r="A1149" s="33">
        <v>22110409</v>
      </c>
      <c r="B1149" s="24" t="s">
        <v>513</v>
      </c>
      <c r="C1149" s="24">
        <v>15000</v>
      </c>
      <c r="D1149" s="40"/>
      <c r="E1149" s="14"/>
      <c r="F1149" s="13"/>
      <c r="G1149" s="13"/>
      <c r="H1149" s="13"/>
      <c r="I1149" s="13"/>
      <c r="J1149" s="13"/>
      <c r="K1149" s="13"/>
      <c r="L1149" s="13"/>
      <c r="M1149" s="13"/>
      <c r="N1149" s="13"/>
      <c r="O1149" s="13"/>
      <c r="P1149" s="13"/>
      <c r="Q1149" s="13"/>
      <c r="R1149" s="13"/>
      <c r="S1149" s="13"/>
      <c r="T1149" s="13"/>
      <c r="U1149" s="13"/>
      <c r="V1149" s="13"/>
      <c r="W1149" s="13"/>
      <c r="X1149" s="13"/>
    </row>
    <row r="1150" spans="1:24" ht="12.75" customHeight="1">
      <c r="A1150" s="48">
        <v>221107</v>
      </c>
      <c r="B1150" s="26" t="s">
        <v>514</v>
      </c>
      <c r="C1150" s="26">
        <f>SUM(C1151)</f>
        <v>50000</v>
      </c>
      <c r="D1150" s="270"/>
      <c r="E1150" s="274"/>
      <c r="F1150" s="4"/>
      <c r="G1150" s="4"/>
      <c r="H1150" s="4"/>
      <c r="I1150" s="4"/>
      <c r="J1150" s="4"/>
      <c r="K1150" s="4"/>
      <c r="L1150" s="4"/>
      <c r="M1150" s="4"/>
      <c r="N1150" s="4"/>
      <c r="O1150" s="4"/>
      <c r="P1150" s="4"/>
      <c r="Q1150" s="4"/>
      <c r="R1150" s="4"/>
      <c r="S1150" s="4"/>
      <c r="T1150" s="4"/>
      <c r="U1150" s="4"/>
      <c r="V1150" s="4"/>
      <c r="W1150" s="4"/>
      <c r="X1150" s="4"/>
    </row>
    <row r="1151" spans="1:24" ht="12.75" customHeight="1">
      <c r="A1151" s="33">
        <v>22110702</v>
      </c>
      <c r="B1151" s="24" t="s">
        <v>515</v>
      </c>
      <c r="C1151" s="24">
        <v>50000</v>
      </c>
      <c r="D1151" s="270"/>
      <c r="E1151" s="274"/>
      <c r="F1151" s="4"/>
      <c r="G1151" s="4"/>
      <c r="H1151" s="4"/>
      <c r="I1151" s="4"/>
      <c r="J1151" s="4"/>
      <c r="K1151" s="4"/>
      <c r="L1151" s="4"/>
      <c r="M1151" s="4"/>
      <c r="N1151" s="4"/>
      <c r="O1151" s="4"/>
      <c r="P1151" s="4"/>
      <c r="Q1151" s="4"/>
      <c r="R1151" s="4"/>
      <c r="S1151" s="4"/>
      <c r="T1151" s="4"/>
      <c r="U1151" s="4"/>
      <c r="V1151" s="4"/>
      <c r="W1151" s="4"/>
      <c r="X1151" s="4"/>
    </row>
    <row r="1152" spans="1:24" ht="12.75" customHeight="1">
      <c r="A1152" s="23"/>
      <c r="B1152" s="24"/>
      <c r="C1152" s="24"/>
      <c r="D1152" s="270"/>
      <c r="E1152" s="274"/>
      <c r="F1152" s="4"/>
      <c r="G1152" s="4"/>
      <c r="H1152" s="4"/>
      <c r="I1152" s="4"/>
      <c r="J1152" s="4"/>
      <c r="K1152" s="4"/>
      <c r="L1152" s="4"/>
      <c r="M1152" s="4"/>
      <c r="N1152" s="4"/>
      <c r="O1152" s="4"/>
      <c r="P1152" s="4"/>
      <c r="Q1152" s="4"/>
      <c r="R1152" s="4"/>
      <c r="S1152" s="4"/>
      <c r="T1152" s="4"/>
      <c r="U1152" s="4"/>
      <c r="V1152" s="4"/>
      <c r="W1152" s="4"/>
      <c r="X1152" s="4"/>
    </row>
    <row r="1153" spans="1:24" ht="12.75" customHeight="1" thickBot="1">
      <c r="A1153" s="23"/>
      <c r="B1153" s="24"/>
      <c r="C1153" s="24"/>
      <c r="D1153" s="270"/>
      <c r="E1153" s="274"/>
      <c r="F1153" s="4"/>
      <c r="G1153" s="4"/>
      <c r="H1153" s="4"/>
      <c r="I1153" s="4"/>
      <c r="J1153" s="4"/>
      <c r="K1153" s="4"/>
      <c r="L1153" s="4"/>
      <c r="M1153" s="4"/>
      <c r="N1153" s="4"/>
      <c r="O1153" s="4"/>
      <c r="P1153" s="4"/>
      <c r="Q1153" s="4"/>
      <c r="R1153" s="4"/>
      <c r="S1153" s="4"/>
      <c r="T1153" s="4"/>
      <c r="U1153" s="4"/>
      <c r="V1153" s="4"/>
      <c r="W1153" s="4"/>
      <c r="X1153" s="4"/>
    </row>
    <row r="1154" spans="1:24" ht="12.75" customHeight="1">
      <c r="A1154" s="1334" t="s">
        <v>912</v>
      </c>
      <c r="B1154" s="1336"/>
      <c r="C1154" s="1161" t="s">
        <v>790</v>
      </c>
      <c r="D1154" s="270"/>
      <c r="E1154" s="4"/>
      <c r="F1154" s="4"/>
      <c r="G1154" s="4"/>
      <c r="H1154" s="4"/>
      <c r="I1154" s="4"/>
      <c r="J1154" s="4"/>
      <c r="K1154" s="4"/>
      <c r="L1154" s="4"/>
      <c r="M1154" s="4"/>
      <c r="N1154" s="4"/>
      <c r="O1154" s="4"/>
      <c r="P1154" s="4"/>
      <c r="Q1154" s="4"/>
      <c r="R1154" s="4"/>
      <c r="S1154" s="4"/>
      <c r="T1154" s="4"/>
      <c r="U1154" s="4"/>
      <c r="V1154" s="4"/>
      <c r="W1154" s="4"/>
      <c r="X1154" s="4"/>
    </row>
    <row r="1155" spans="1:24" ht="12.75" customHeight="1" thickBot="1">
      <c r="A1155" s="1337"/>
      <c r="B1155" s="1338"/>
      <c r="C1155" s="1491"/>
      <c r="D1155" s="270"/>
      <c r="E1155" s="4"/>
      <c r="F1155" s="4"/>
      <c r="G1155" s="4"/>
      <c r="H1155" s="4"/>
      <c r="I1155" s="4"/>
      <c r="J1155" s="4"/>
      <c r="K1155" s="4"/>
      <c r="L1155" s="4"/>
      <c r="M1155" s="4"/>
      <c r="N1155" s="4"/>
      <c r="O1155" s="4"/>
      <c r="P1155" s="4"/>
      <c r="Q1155" s="4"/>
      <c r="R1155" s="4"/>
      <c r="S1155" s="4"/>
      <c r="T1155" s="4"/>
      <c r="U1155" s="4"/>
      <c r="V1155" s="4"/>
      <c r="W1155" s="4"/>
      <c r="X1155" s="4"/>
    </row>
    <row r="1156" spans="1:24" ht="12.75" customHeight="1">
      <c r="A1156" s="1028" t="s">
        <v>675</v>
      </c>
      <c r="B1156" s="808"/>
      <c r="C1156" s="1029"/>
      <c r="D1156" s="270"/>
      <c r="E1156" s="274"/>
      <c r="F1156" s="4"/>
      <c r="G1156" s="4"/>
      <c r="H1156" s="4"/>
      <c r="I1156" s="4"/>
      <c r="J1156" s="4"/>
      <c r="K1156" s="4"/>
      <c r="L1156" s="4"/>
      <c r="M1156" s="4"/>
      <c r="N1156" s="4"/>
      <c r="O1156" s="4"/>
      <c r="P1156" s="4"/>
      <c r="Q1156" s="4"/>
      <c r="R1156" s="4"/>
      <c r="S1156" s="4"/>
      <c r="T1156" s="4"/>
      <c r="U1156" s="4"/>
      <c r="V1156" s="4"/>
      <c r="W1156" s="4"/>
      <c r="X1156" s="4"/>
    </row>
    <row r="1157" spans="1:24" ht="12.75" customHeight="1">
      <c r="A1157" s="609" t="s">
        <v>722</v>
      </c>
      <c r="B1157" s="808"/>
      <c r="C1157" s="1029"/>
      <c r="D1157" s="270"/>
      <c r="E1157" s="274"/>
      <c r="F1157" s="4"/>
      <c r="G1157" s="4"/>
      <c r="H1157" s="4"/>
      <c r="I1157" s="4"/>
      <c r="J1157" s="4"/>
      <c r="K1157" s="4"/>
      <c r="L1157" s="4"/>
      <c r="M1157" s="4"/>
      <c r="N1157" s="4"/>
      <c r="O1157" s="4"/>
      <c r="P1157" s="4"/>
      <c r="Q1157" s="4"/>
      <c r="R1157" s="4"/>
      <c r="S1157" s="4"/>
      <c r="T1157" s="4"/>
      <c r="U1157" s="4"/>
      <c r="V1157" s="4"/>
      <c r="W1157" s="4"/>
      <c r="X1157" s="4"/>
    </row>
    <row r="1158" spans="1:24" ht="12.75" customHeight="1">
      <c r="A1158" s="609" t="s">
        <v>723</v>
      </c>
      <c r="B1158" s="808"/>
      <c r="C1158" s="1029"/>
      <c r="D1158" s="270"/>
      <c r="E1158" s="274"/>
      <c r="F1158" s="4"/>
      <c r="G1158" s="4"/>
      <c r="H1158" s="4"/>
      <c r="I1158" s="4"/>
      <c r="J1158" s="4"/>
      <c r="K1158" s="4"/>
      <c r="L1158" s="4"/>
      <c r="M1158" s="4"/>
      <c r="N1158" s="4"/>
      <c r="O1158" s="4"/>
      <c r="P1158" s="4"/>
      <c r="Q1158" s="4"/>
      <c r="R1158" s="4"/>
      <c r="S1158" s="4"/>
      <c r="T1158" s="4"/>
      <c r="U1158" s="4"/>
      <c r="V1158" s="4"/>
      <c r="W1158" s="4"/>
      <c r="X1158" s="4"/>
    </row>
    <row r="1159" spans="1:24" ht="12.75" customHeight="1" thickBot="1">
      <c r="A1159" s="1125" t="s">
        <v>0</v>
      </c>
      <c r="B1159" s="982"/>
      <c r="C1159" s="1101"/>
      <c r="D1159" s="270"/>
      <c r="E1159" s="274"/>
      <c r="F1159" s="4"/>
      <c r="G1159" s="4"/>
      <c r="H1159" s="4"/>
      <c r="I1159" s="4"/>
      <c r="J1159" s="4"/>
      <c r="K1159" s="4"/>
      <c r="L1159" s="4"/>
      <c r="M1159" s="4"/>
      <c r="N1159" s="4"/>
      <c r="O1159" s="4"/>
      <c r="P1159" s="4"/>
      <c r="Q1159" s="4"/>
      <c r="R1159" s="4"/>
      <c r="S1159" s="4"/>
      <c r="T1159" s="4"/>
      <c r="U1159" s="4"/>
      <c r="V1159" s="4"/>
      <c r="W1159" s="4"/>
      <c r="X1159" s="4"/>
    </row>
    <row r="1160" spans="1:24" ht="12.75" customHeight="1" thickBot="1">
      <c r="A1160" s="1171" t="s">
        <v>1</v>
      </c>
      <c r="B1160" s="1186"/>
      <c r="C1160" s="1173">
        <f>C1162+C1177+C1191</f>
        <v>12288500</v>
      </c>
      <c r="D1160" s="270"/>
      <c r="E1160" s="3"/>
      <c r="F1160" s="4"/>
      <c r="G1160" s="4"/>
      <c r="H1160" s="4"/>
      <c r="I1160" s="4"/>
      <c r="J1160" s="4"/>
      <c r="K1160" s="4"/>
      <c r="L1160" s="4"/>
      <c r="M1160" s="4"/>
      <c r="N1160" s="4"/>
      <c r="O1160" s="4"/>
      <c r="P1160" s="4"/>
      <c r="Q1160" s="4"/>
      <c r="R1160" s="4"/>
      <c r="S1160" s="4"/>
      <c r="T1160" s="4"/>
      <c r="U1160" s="4"/>
      <c r="V1160" s="4"/>
      <c r="W1160" s="4"/>
      <c r="X1160" s="4"/>
    </row>
    <row r="1161" spans="1:24" ht="12.75" customHeight="1" thickBot="1">
      <c r="A1161" s="23"/>
      <c r="B1161" s="24"/>
      <c r="C1161" s="24"/>
      <c r="D1161" s="270"/>
      <c r="E1161" s="274"/>
      <c r="F1161" s="4"/>
      <c r="G1161" s="4"/>
      <c r="H1161" s="4"/>
      <c r="I1161" s="4"/>
      <c r="J1161" s="4"/>
      <c r="K1161" s="4"/>
      <c r="L1161" s="4"/>
      <c r="M1161" s="4"/>
      <c r="N1161" s="4"/>
      <c r="O1161" s="4"/>
      <c r="P1161" s="4"/>
      <c r="Q1161" s="4"/>
      <c r="R1161" s="4"/>
      <c r="S1161" s="4"/>
      <c r="T1161" s="4"/>
      <c r="U1161" s="4"/>
      <c r="V1161" s="4"/>
      <c r="W1161" s="4"/>
      <c r="X1161" s="4"/>
    </row>
    <row r="1162" spans="1:24" ht="12.75" customHeight="1" thickBot="1">
      <c r="A1162" s="1297" t="s">
        <v>9</v>
      </c>
      <c r="B1162" s="1281"/>
      <c r="C1162" s="62">
        <f>C1163+C1165+C1167+C1169+C1171+C1173</f>
        <v>3165500</v>
      </c>
      <c r="D1162" s="89"/>
      <c r="E1162" s="34"/>
      <c r="F1162" s="4"/>
      <c r="G1162" s="4"/>
      <c r="H1162" s="4"/>
      <c r="I1162" s="4"/>
      <c r="J1162" s="4"/>
      <c r="K1162" s="4"/>
      <c r="L1162" s="4"/>
      <c r="M1162" s="4"/>
      <c r="N1162" s="4"/>
      <c r="O1162" s="4"/>
      <c r="P1162" s="4"/>
      <c r="Q1162" s="4"/>
      <c r="R1162" s="4"/>
      <c r="S1162" s="4"/>
      <c r="T1162" s="4"/>
      <c r="U1162" s="4"/>
      <c r="V1162" s="4"/>
      <c r="W1162" s="4"/>
      <c r="X1162" s="4"/>
    </row>
    <row r="1163" spans="1:24" ht="12.75" customHeight="1">
      <c r="A1163" s="48">
        <v>211201</v>
      </c>
      <c r="B1163" s="48" t="s">
        <v>459</v>
      </c>
      <c r="C1163" s="49">
        <f>SUM(C1164)</f>
        <v>530000</v>
      </c>
      <c r="D1163" s="272"/>
      <c r="E1163" s="274"/>
      <c r="F1163" s="34"/>
      <c r="G1163" s="34"/>
      <c r="H1163" s="34"/>
      <c r="I1163" s="34"/>
      <c r="J1163" s="34"/>
      <c r="K1163" s="34"/>
      <c r="L1163" s="34"/>
      <c r="M1163" s="34"/>
      <c r="N1163" s="34"/>
      <c r="O1163" s="34"/>
      <c r="P1163" s="34"/>
      <c r="Q1163" s="34"/>
      <c r="R1163" s="34"/>
      <c r="S1163" s="34"/>
      <c r="T1163" s="34"/>
      <c r="U1163" s="34"/>
      <c r="V1163" s="34"/>
      <c r="W1163" s="34"/>
      <c r="X1163" s="34"/>
    </row>
    <row r="1164" spans="1:24" ht="13.5" customHeight="1">
      <c r="A1164" s="33">
        <v>21120101</v>
      </c>
      <c r="B1164" s="23" t="s">
        <v>460</v>
      </c>
      <c r="C1164" s="24">
        <f>500000+30000</f>
        <v>530000</v>
      </c>
      <c r="D1164" s="270"/>
      <c r="E1164" s="4"/>
      <c r="F1164" s="23"/>
      <c r="G1164" s="23"/>
      <c r="H1164" s="23"/>
      <c r="I1164" s="23"/>
      <c r="J1164" s="23"/>
      <c r="K1164" s="23"/>
      <c r="L1164" s="23"/>
      <c r="M1164" s="23"/>
      <c r="N1164" s="23"/>
      <c r="O1164" s="23"/>
      <c r="P1164" s="23"/>
      <c r="Q1164" s="23"/>
      <c r="R1164" s="23"/>
      <c r="S1164" s="23"/>
      <c r="T1164" s="23"/>
      <c r="U1164" s="23"/>
      <c r="V1164" s="23"/>
      <c r="W1164" s="23"/>
      <c r="X1164" s="23"/>
    </row>
    <row r="1165" spans="1:24" ht="12.75" customHeight="1">
      <c r="A1165" s="48">
        <v>211202</v>
      </c>
      <c r="B1165" s="15" t="s">
        <v>529</v>
      </c>
      <c r="C1165" s="26">
        <f>SUM(C1166)</f>
        <v>525000</v>
      </c>
      <c r="D1165" s="89"/>
      <c r="E1165" s="4"/>
      <c r="F1165" s="4"/>
      <c r="G1165" s="4"/>
      <c r="H1165" s="4"/>
      <c r="I1165" s="4"/>
      <c r="J1165" s="4"/>
      <c r="K1165" s="4"/>
      <c r="L1165" s="4"/>
      <c r="M1165" s="4"/>
      <c r="N1165" s="4"/>
      <c r="O1165" s="4"/>
      <c r="P1165" s="4"/>
      <c r="Q1165" s="4"/>
      <c r="R1165" s="4"/>
      <c r="S1165" s="4"/>
      <c r="T1165" s="4"/>
      <c r="U1165" s="4"/>
      <c r="V1165" s="4"/>
      <c r="W1165" s="4"/>
      <c r="X1165" s="4"/>
    </row>
    <row r="1166" spans="1:24" ht="12.75" customHeight="1">
      <c r="A1166" s="33">
        <v>21120202</v>
      </c>
      <c r="B1166" s="33" t="s">
        <v>530</v>
      </c>
      <c r="C1166" s="24">
        <f>500000+25000</f>
        <v>525000</v>
      </c>
      <c r="D1166" s="89"/>
      <c r="E1166" s="274"/>
      <c r="F1166" s="4"/>
      <c r="G1166" s="4"/>
      <c r="H1166" s="4"/>
      <c r="I1166" s="4"/>
      <c r="J1166" s="4"/>
      <c r="K1166" s="4"/>
      <c r="L1166" s="4"/>
      <c r="M1166" s="4"/>
      <c r="N1166" s="4"/>
      <c r="O1166" s="4"/>
      <c r="P1166" s="4"/>
      <c r="Q1166" s="4"/>
      <c r="R1166" s="4"/>
      <c r="S1166" s="4"/>
      <c r="T1166" s="4"/>
      <c r="U1166" s="4"/>
      <c r="V1166" s="4"/>
      <c r="W1166" s="4"/>
      <c r="X1166" s="4"/>
    </row>
    <row r="1167" spans="1:24" ht="13.5" customHeight="1">
      <c r="A1167" s="48">
        <v>211203</v>
      </c>
      <c r="B1167" s="21" t="s">
        <v>461</v>
      </c>
      <c r="C1167" s="26">
        <f>SUM(C1168)</f>
        <v>1050000</v>
      </c>
      <c r="D1167" s="277"/>
      <c r="E1167" s="4"/>
      <c r="F1167" s="23"/>
      <c r="G1167" s="23"/>
      <c r="H1167" s="23"/>
      <c r="I1167" s="23"/>
      <c r="J1167" s="23"/>
      <c r="K1167" s="23"/>
      <c r="L1167" s="23"/>
      <c r="M1167" s="23"/>
      <c r="N1167" s="23"/>
      <c r="O1167" s="23"/>
      <c r="P1167" s="23"/>
      <c r="Q1167" s="23"/>
      <c r="R1167" s="23"/>
      <c r="S1167" s="23"/>
      <c r="T1167" s="23"/>
      <c r="U1167" s="23"/>
      <c r="V1167" s="23"/>
      <c r="W1167" s="23"/>
      <c r="X1167" s="23"/>
    </row>
    <row r="1168" spans="1:24" ht="12.75" customHeight="1">
      <c r="A1168" s="33">
        <v>21120302</v>
      </c>
      <c r="B1168" s="23" t="s">
        <v>462</v>
      </c>
      <c r="C1168" s="24">
        <f>1000000+50000</f>
        <v>1050000</v>
      </c>
      <c r="D1168" s="270"/>
      <c r="E1168" s="4"/>
      <c r="F1168" s="4"/>
      <c r="G1168" s="4"/>
      <c r="H1168" s="4"/>
      <c r="I1168" s="4"/>
      <c r="J1168" s="4"/>
      <c r="K1168" s="4"/>
      <c r="L1168" s="4"/>
      <c r="M1168" s="4"/>
      <c r="N1168" s="4"/>
      <c r="O1168" s="4"/>
      <c r="P1168" s="4"/>
      <c r="Q1168" s="4"/>
      <c r="R1168" s="4"/>
      <c r="S1168" s="4"/>
      <c r="T1168" s="4"/>
      <c r="U1168" s="4"/>
      <c r="V1168" s="4"/>
      <c r="W1168" s="4"/>
      <c r="X1168" s="4"/>
    </row>
    <row r="1169" spans="1:24" ht="12.75" customHeight="1">
      <c r="A1169" s="48">
        <v>211204</v>
      </c>
      <c r="B1169" s="21" t="s">
        <v>463</v>
      </c>
      <c r="C1169" s="26">
        <f>SUM(C1170)</f>
        <v>620000</v>
      </c>
      <c r="D1169" s="270"/>
      <c r="E1169" s="274"/>
      <c r="F1169" s="4"/>
      <c r="G1169" s="4"/>
      <c r="H1169" s="4"/>
      <c r="I1169" s="4"/>
      <c r="J1169" s="4"/>
      <c r="K1169" s="4"/>
      <c r="L1169" s="4"/>
      <c r="M1169" s="4"/>
      <c r="N1169" s="4"/>
      <c r="O1169" s="4"/>
      <c r="P1169" s="4"/>
      <c r="Q1169" s="4"/>
      <c r="R1169" s="4"/>
      <c r="S1169" s="4"/>
      <c r="T1169" s="4"/>
      <c r="U1169" s="4"/>
      <c r="V1169" s="4"/>
      <c r="W1169" s="4"/>
      <c r="X1169" s="4"/>
    </row>
    <row r="1170" spans="1:24" ht="12.75" customHeight="1">
      <c r="A1170" s="33">
        <v>21120401</v>
      </c>
      <c r="B1170" s="24" t="s">
        <v>464</v>
      </c>
      <c r="C1170" s="24">
        <f>600000+20000</f>
        <v>620000</v>
      </c>
      <c r="D1170" s="270"/>
      <c r="E1170" s="274"/>
      <c r="F1170" s="4"/>
      <c r="G1170" s="4"/>
      <c r="H1170" s="4"/>
      <c r="I1170" s="4"/>
      <c r="J1170" s="4"/>
      <c r="K1170" s="4"/>
      <c r="L1170" s="4"/>
      <c r="M1170" s="4"/>
      <c r="N1170" s="4"/>
      <c r="O1170" s="4"/>
      <c r="P1170" s="4"/>
      <c r="Q1170" s="4"/>
      <c r="R1170" s="4"/>
      <c r="S1170" s="4"/>
      <c r="T1170" s="4"/>
      <c r="U1170" s="4"/>
      <c r="V1170" s="4"/>
      <c r="W1170" s="4"/>
      <c r="X1170" s="4"/>
    </row>
    <row r="1171" spans="1:24" ht="12.75" customHeight="1">
      <c r="A1171" s="48">
        <v>211208</v>
      </c>
      <c r="B1171" s="26" t="s">
        <v>474</v>
      </c>
      <c r="C1171" s="26">
        <f>SUM(C1172)</f>
        <v>308000</v>
      </c>
      <c r="D1171" s="270"/>
      <c r="E1171" s="274"/>
      <c r="F1171" s="4"/>
      <c r="G1171" s="4"/>
      <c r="H1171" s="4"/>
      <c r="I1171" s="4"/>
      <c r="J1171" s="4"/>
      <c r="K1171" s="4"/>
      <c r="L1171" s="4"/>
      <c r="M1171" s="4"/>
      <c r="N1171" s="4"/>
      <c r="O1171" s="4"/>
      <c r="P1171" s="4"/>
      <c r="Q1171" s="4"/>
      <c r="R1171" s="4"/>
      <c r="S1171" s="4"/>
      <c r="T1171" s="4"/>
      <c r="U1171" s="4"/>
      <c r="V1171" s="4"/>
      <c r="W1171" s="4"/>
      <c r="X1171" s="4"/>
    </row>
    <row r="1172" spans="1:24" ht="12.75" customHeight="1">
      <c r="A1172" s="33">
        <v>21120805</v>
      </c>
      <c r="B1172" s="24" t="s">
        <v>476</v>
      </c>
      <c r="C1172" s="24">
        <f>300000+8000</f>
        <v>308000</v>
      </c>
      <c r="D1172" s="270"/>
      <c r="E1172" s="274"/>
      <c r="F1172" s="4"/>
      <c r="G1172" s="4"/>
      <c r="H1172" s="4"/>
      <c r="I1172" s="4"/>
      <c r="J1172" s="4"/>
      <c r="K1172" s="4"/>
      <c r="L1172" s="4"/>
      <c r="M1172" s="4"/>
      <c r="N1172" s="4"/>
      <c r="O1172" s="4"/>
      <c r="P1172" s="4"/>
      <c r="Q1172" s="4"/>
      <c r="R1172" s="4"/>
      <c r="S1172" s="4"/>
      <c r="T1172" s="4"/>
      <c r="U1172" s="4"/>
      <c r="V1172" s="4"/>
      <c r="W1172" s="4"/>
      <c r="X1172" s="4"/>
    </row>
    <row r="1173" spans="1:24" ht="12.75" customHeight="1">
      <c r="A1173" s="48">
        <v>211209</v>
      </c>
      <c r="B1173" s="26" t="s">
        <v>477</v>
      </c>
      <c r="C1173" s="26">
        <f>SUM(C1174:C1175)</f>
        <v>132500</v>
      </c>
      <c r="D1173" s="270"/>
      <c r="E1173" s="274"/>
      <c r="F1173" s="4"/>
      <c r="G1173" s="4"/>
      <c r="H1173" s="4"/>
      <c r="I1173" s="4"/>
      <c r="J1173" s="4"/>
      <c r="K1173" s="4"/>
      <c r="L1173" s="4"/>
      <c r="M1173" s="4"/>
      <c r="N1173" s="4"/>
      <c r="O1173" s="4"/>
      <c r="P1173" s="4"/>
      <c r="Q1173" s="4"/>
      <c r="R1173" s="4"/>
      <c r="S1173" s="4"/>
      <c r="T1173" s="4"/>
      <c r="U1173" s="4"/>
      <c r="V1173" s="4"/>
      <c r="W1173" s="4"/>
      <c r="X1173" s="4"/>
    </row>
    <row r="1174" spans="1:24" ht="12.75" customHeight="1">
      <c r="A1174" s="33">
        <v>21120905</v>
      </c>
      <c r="B1174" s="24" t="s">
        <v>525</v>
      </c>
      <c r="C1174" s="24">
        <f>50000+12500</f>
        <v>62500</v>
      </c>
      <c r="D1174" s="270"/>
      <c r="E1174" s="274"/>
      <c r="F1174" s="4"/>
      <c r="G1174" s="4"/>
      <c r="H1174" s="4"/>
      <c r="I1174" s="4"/>
      <c r="J1174" s="4"/>
      <c r="K1174" s="4"/>
      <c r="L1174" s="4"/>
      <c r="M1174" s="4"/>
      <c r="N1174" s="4"/>
      <c r="O1174" s="4"/>
      <c r="P1174" s="4"/>
      <c r="Q1174" s="4"/>
      <c r="R1174" s="4"/>
      <c r="S1174" s="4"/>
      <c r="T1174" s="4"/>
      <c r="U1174" s="4"/>
      <c r="V1174" s="4"/>
      <c r="W1174" s="4"/>
      <c r="X1174" s="4"/>
    </row>
    <row r="1175" spans="1:24" ht="12.75" customHeight="1">
      <c r="A1175" s="33">
        <v>21120906</v>
      </c>
      <c r="B1175" s="24" t="s">
        <v>479</v>
      </c>
      <c r="C1175" s="24">
        <f>50000+20000</f>
        <v>70000</v>
      </c>
      <c r="D1175" s="270"/>
      <c r="E1175" s="274"/>
      <c r="F1175" s="4"/>
      <c r="G1175" s="4"/>
      <c r="H1175" s="4"/>
      <c r="I1175" s="4"/>
      <c r="J1175" s="4"/>
      <c r="K1175" s="4"/>
      <c r="L1175" s="4"/>
      <c r="M1175" s="4"/>
      <c r="N1175" s="4"/>
      <c r="O1175" s="4"/>
      <c r="P1175" s="4"/>
      <c r="Q1175" s="4"/>
      <c r="R1175" s="4"/>
      <c r="S1175" s="4"/>
      <c r="T1175" s="4"/>
      <c r="U1175" s="4"/>
      <c r="V1175" s="4"/>
      <c r="W1175" s="4"/>
      <c r="X1175" s="4"/>
    </row>
    <row r="1176" spans="1:24" ht="12.75" customHeight="1" thickBot="1">
      <c r="A1176" s="23"/>
      <c r="B1176" s="24"/>
      <c r="C1176" s="24"/>
      <c r="D1176" s="270"/>
      <c r="E1176" s="4"/>
      <c r="F1176" s="4"/>
      <c r="G1176" s="4"/>
      <c r="H1176" s="4"/>
      <c r="I1176" s="4"/>
      <c r="J1176" s="4"/>
      <c r="K1176" s="4"/>
      <c r="L1176" s="4"/>
      <c r="M1176" s="4"/>
      <c r="N1176" s="4"/>
      <c r="O1176" s="4"/>
      <c r="P1176" s="4"/>
      <c r="Q1176" s="4"/>
      <c r="R1176" s="4"/>
      <c r="S1176" s="4"/>
      <c r="T1176" s="4"/>
      <c r="U1176" s="4"/>
      <c r="V1176" s="4"/>
      <c r="W1176" s="4"/>
      <c r="X1176" s="4"/>
    </row>
    <row r="1177" spans="1:24" ht="12.75" customHeight="1" thickBot="1">
      <c r="A1177" s="1298" t="s">
        <v>4</v>
      </c>
      <c r="B1177" s="1281"/>
      <c r="C1177" s="64">
        <f>C1178+C1180+C1182+C1184</f>
        <v>9073000</v>
      </c>
      <c r="D1177" s="270"/>
      <c r="E1177" s="34"/>
      <c r="F1177" s="4"/>
      <c r="G1177" s="4"/>
      <c r="H1177" s="4"/>
      <c r="I1177" s="4"/>
      <c r="J1177" s="4"/>
      <c r="K1177" s="4"/>
      <c r="L1177" s="4"/>
      <c r="M1177" s="4"/>
      <c r="N1177" s="4"/>
      <c r="O1177" s="4"/>
      <c r="P1177" s="4"/>
      <c r="Q1177" s="4"/>
      <c r="R1177" s="4"/>
      <c r="S1177" s="4"/>
      <c r="T1177" s="4"/>
      <c r="U1177" s="4"/>
      <c r="V1177" s="4"/>
      <c r="W1177" s="4"/>
      <c r="X1177" s="4"/>
    </row>
    <row r="1178" spans="1:24" ht="12.75" customHeight="1">
      <c r="A1178" s="48">
        <v>211302</v>
      </c>
      <c r="B1178" s="48" t="s">
        <v>481</v>
      </c>
      <c r="C1178" s="49">
        <f>SUM(C1179)</f>
        <v>2018000</v>
      </c>
      <c r="D1178" s="272"/>
      <c r="E1178" s="89"/>
      <c r="F1178" s="34"/>
      <c r="G1178" s="34"/>
      <c r="H1178" s="34"/>
      <c r="I1178" s="34"/>
      <c r="J1178" s="34"/>
      <c r="K1178" s="34"/>
      <c r="L1178" s="34"/>
      <c r="M1178" s="34"/>
      <c r="N1178" s="34"/>
      <c r="O1178" s="34"/>
      <c r="P1178" s="34"/>
      <c r="Q1178" s="34"/>
      <c r="R1178" s="34"/>
      <c r="S1178" s="34"/>
      <c r="T1178" s="34"/>
      <c r="U1178" s="34"/>
      <c r="V1178" s="34"/>
      <c r="W1178" s="34"/>
      <c r="X1178" s="34"/>
    </row>
    <row r="1179" spans="1:24" ht="13.5" customHeight="1">
      <c r="A1179" s="33">
        <v>21130204</v>
      </c>
      <c r="B1179" s="24" t="s">
        <v>483</v>
      </c>
      <c r="C1179" s="24">
        <f>2000000+18000</f>
        <v>2018000</v>
      </c>
      <c r="D1179" s="270"/>
      <c r="E1179" s="89"/>
      <c r="F1179" s="24"/>
      <c r="G1179" s="23"/>
      <c r="H1179" s="23"/>
      <c r="I1179" s="23"/>
      <c r="J1179" s="23"/>
      <c r="K1179" s="23"/>
      <c r="L1179" s="23"/>
      <c r="M1179" s="23"/>
      <c r="N1179" s="23"/>
      <c r="O1179" s="23"/>
      <c r="P1179" s="23"/>
      <c r="Q1179" s="23"/>
      <c r="R1179" s="23"/>
      <c r="S1179" s="23"/>
      <c r="T1179" s="23"/>
      <c r="U1179" s="23"/>
      <c r="V1179" s="23"/>
      <c r="W1179" s="23"/>
      <c r="X1179" s="23"/>
    </row>
    <row r="1180" spans="1:24" ht="13.5" customHeight="1">
      <c r="A1180" s="48">
        <v>211303</v>
      </c>
      <c r="B1180" s="26" t="s">
        <v>484</v>
      </c>
      <c r="C1180" s="26">
        <f>SUM(C1181)</f>
        <v>520000</v>
      </c>
      <c r="D1180" s="270"/>
      <c r="E1180" s="89"/>
      <c r="F1180" s="24"/>
      <c r="G1180" s="23"/>
      <c r="H1180" s="23"/>
      <c r="I1180" s="23"/>
      <c r="J1180" s="23"/>
      <c r="K1180" s="23"/>
      <c r="L1180" s="23"/>
      <c r="M1180" s="23"/>
      <c r="N1180" s="23"/>
      <c r="O1180" s="23"/>
      <c r="P1180" s="23"/>
      <c r="Q1180" s="23"/>
      <c r="R1180" s="23"/>
      <c r="S1180" s="23"/>
      <c r="T1180" s="23"/>
      <c r="U1180" s="23"/>
      <c r="V1180" s="23"/>
      <c r="W1180" s="23"/>
      <c r="X1180" s="23"/>
    </row>
    <row r="1181" spans="1:24" ht="13.5" customHeight="1">
      <c r="A1181" s="33">
        <v>21130307</v>
      </c>
      <c r="B1181" s="23" t="s">
        <v>488</v>
      </c>
      <c r="C1181" s="24">
        <f>500000+20000</f>
        <v>520000</v>
      </c>
      <c r="D1181" s="270"/>
      <c r="E1181" s="89"/>
      <c r="F1181" s="24"/>
      <c r="G1181" s="23"/>
      <c r="H1181" s="23"/>
      <c r="I1181" s="23"/>
      <c r="J1181" s="23"/>
      <c r="K1181" s="23"/>
      <c r="L1181" s="23"/>
      <c r="M1181" s="23"/>
      <c r="N1181" s="23"/>
      <c r="O1181" s="23"/>
      <c r="P1181" s="23"/>
      <c r="Q1181" s="23"/>
      <c r="R1181" s="23"/>
      <c r="S1181" s="23"/>
      <c r="T1181" s="23"/>
      <c r="U1181" s="23"/>
      <c r="V1181" s="23"/>
      <c r="W1181" s="23"/>
      <c r="X1181" s="23"/>
    </row>
    <row r="1182" spans="1:24" ht="13.5" customHeight="1">
      <c r="A1182" s="48">
        <v>211305</v>
      </c>
      <c r="B1182" s="26" t="s">
        <v>489</v>
      </c>
      <c r="C1182" s="26">
        <f>SUM(C1183)</f>
        <v>3080000</v>
      </c>
      <c r="D1182" s="270"/>
      <c r="E1182" s="89"/>
      <c r="F1182" s="24"/>
      <c r="G1182" s="23"/>
      <c r="H1182" s="23"/>
      <c r="I1182" s="23"/>
      <c r="J1182" s="23"/>
      <c r="K1182" s="23"/>
      <c r="L1182" s="23"/>
      <c r="M1182" s="23"/>
      <c r="N1182" s="23"/>
      <c r="O1182" s="23"/>
      <c r="P1182" s="23"/>
      <c r="Q1182" s="23"/>
      <c r="R1182" s="23"/>
      <c r="S1182" s="23"/>
      <c r="T1182" s="23"/>
      <c r="U1182" s="23"/>
      <c r="V1182" s="23"/>
      <c r="W1182" s="23"/>
      <c r="X1182" s="23"/>
    </row>
    <row r="1183" spans="1:24" ht="13.5" customHeight="1">
      <c r="A1183" s="33">
        <v>21130502</v>
      </c>
      <c r="B1183" s="23" t="s">
        <v>491</v>
      </c>
      <c r="C1183" s="24">
        <f>3000000+80000</f>
        <v>3080000</v>
      </c>
      <c r="D1183" s="276"/>
      <c r="E1183" s="270"/>
      <c r="F1183" s="89"/>
      <c r="G1183" s="23"/>
      <c r="H1183" s="23"/>
      <c r="I1183" s="23"/>
      <c r="J1183" s="23"/>
      <c r="K1183" s="23"/>
      <c r="L1183" s="23"/>
      <c r="M1183" s="23"/>
      <c r="N1183" s="23"/>
      <c r="O1183" s="23"/>
      <c r="P1183" s="23"/>
      <c r="Q1183" s="23"/>
      <c r="R1183" s="23"/>
      <c r="S1183" s="23"/>
      <c r="T1183" s="23"/>
      <c r="U1183" s="23"/>
      <c r="V1183" s="23"/>
      <c r="W1183" s="23"/>
      <c r="X1183" s="23"/>
    </row>
    <row r="1184" spans="1:24" ht="13.5" customHeight="1">
      <c r="A1184" s="48">
        <v>211309</v>
      </c>
      <c r="B1184" s="26" t="s">
        <v>496</v>
      </c>
      <c r="C1184" s="26">
        <f>SUM(C1185:C1189)</f>
        <v>3455000</v>
      </c>
      <c r="D1184" s="276"/>
      <c r="E1184" s="270"/>
      <c r="F1184" s="89"/>
      <c r="G1184" s="23"/>
      <c r="H1184" s="23"/>
      <c r="I1184" s="23"/>
      <c r="J1184" s="23"/>
      <c r="K1184" s="23"/>
      <c r="L1184" s="23"/>
      <c r="M1184" s="23"/>
      <c r="N1184" s="23"/>
      <c r="O1184" s="23"/>
      <c r="P1184" s="23"/>
      <c r="Q1184" s="23"/>
      <c r="R1184" s="23"/>
      <c r="S1184" s="23"/>
      <c r="T1184" s="23"/>
      <c r="U1184" s="23"/>
      <c r="V1184" s="23"/>
      <c r="W1184" s="23"/>
      <c r="X1184" s="23"/>
    </row>
    <row r="1185" spans="1:24" ht="13.5" customHeight="1">
      <c r="A1185" s="33">
        <v>21130901</v>
      </c>
      <c r="B1185" s="24" t="s">
        <v>497</v>
      </c>
      <c r="C1185" s="24">
        <v>2200000</v>
      </c>
      <c r="D1185" s="272"/>
      <c r="E1185" s="89"/>
      <c r="F1185" s="89"/>
      <c r="G1185" s="23"/>
      <c r="H1185" s="23"/>
      <c r="I1185" s="23"/>
      <c r="J1185" s="23"/>
      <c r="K1185" s="23"/>
      <c r="L1185" s="23"/>
      <c r="M1185" s="23"/>
      <c r="N1185" s="23"/>
      <c r="O1185" s="23"/>
      <c r="P1185" s="23"/>
      <c r="Q1185" s="23"/>
      <c r="R1185" s="23"/>
      <c r="S1185" s="23"/>
      <c r="T1185" s="23"/>
      <c r="U1185" s="23"/>
      <c r="V1185" s="23"/>
      <c r="W1185" s="23"/>
      <c r="X1185" s="23"/>
    </row>
    <row r="1186" spans="1:24" ht="13.5" customHeight="1">
      <c r="A1186" s="33">
        <v>21130903</v>
      </c>
      <c r="B1186" s="24" t="s">
        <v>498</v>
      </c>
      <c r="C1186" s="24">
        <v>50000</v>
      </c>
      <c r="D1186" s="270"/>
      <c r="E1186" s="89"/>
      <c r="F1186" s="23"/>
      <c r="G1186" s="23"/>
      <c r="H1186" s="23"/>
      <c r="I1186" s="21"/>
      <c r="J1186" s="21"/>
      <c r="K1186" s="21"/>
      <c r="L1186" s="21"/>
      <c r="M1186" s="21"/>
      <c r="N1186" s="21"/>
      <c r="O1186" s="21"/>
      <c r="P1186" s="21"/>
      <c r="Q1186" s="21"/>
      <c r="R1186" s="21"/>
      <c r="S1186" s="21"/>
      <c r="T1186" s="21"/>
      <c r="U1186" s="21"/>
      <c r="V1186" s="21"/>
      <c r="W1186" s="21"/>
      <c r="X1186" s="21"/>
    </row>
    <row r="1187" spans="1:24" ht="13.5" customHeight="1">
      <c r="A1187" s="33">
        <v>21130905</v>
      </c>
      <c r="B1187" s="13" t="s">
        <v>532</v>
      </c>
      <c r="C1187" s="24">
        <v>235000</v>
      </c>
      <c r="D1187" s="270"/>
      <c r="E1187" s="123"/>
      <c r="F1187" s="23"/>
      <c r="G1187" s="23"/>
      <c r="H1187" s="23"/>
      <c r="I1187" s="21"/>
      <c r="J1187" s="21"/>
      <c r="K1187" s="21"/>
      <c r="L1187" s="21"/>
      <c r="M1187" s="21"/>
      <c r="N1187" s="21"/>
      <c r="O1187" s="21"/>
      <c r="P1187" s="21"/>
      <c r="Q1187" s="21"/>
      <c r="R1187" s="21"/>
      <c r="S1187" s="21"/>
      <c r="T1187" s="21"/>
      <c r="U1187" s="21"/>
      <c r="V1187" s="21"/>
      <c r="W1187" s="21"/>
      <c r="X1187" s="21"/>
    </row>
    <row r="1188" spans="1:24" ht="13.5" customHeight="1">
      <c r="A1188" s="33">
        <v>21130906</v>
      </c>
      <c r="B1188" s="23" t="s">
        <v>499</v>
      </c>
      <c r="C1188" s="24">
        <v>390000</v>
      </c>
      <c r="D1188" s="23"/>
      <c r="E1188" s="89"/>
      <c r="F1188" s="23"/>
      <c r="G1188" s="23"/>
      <c r="H1188" s="23"/>
      <c r="I1188" s="23"/>
      <c r="J1188" s="23"/>
      <c r="K1188" s="23"/>
      <c r="L1188" s="23"/>
      <c r="M1188" s="23"/>
      <c r="N1188" s="23"/>
      <c r="O1188" s="23"/>
      <c r="P1188" s="23"/>
      <c r="Q1188" s="23"/>
      <c r="R1188" s="23"/>
      <c r="S1188" s="23"/>
      <c r="T1188" s="23"/>
      <c r="U1188" s="23"/>
      <c r="V1188" s="23"/>
      <c r="W1188" s="23"/>
      <c r="X1188" s="23"/>
    </row>
    <row r="1189" spans="1:24" ht="13.5" customHeight="1">
      <c r="A1189" s="33">
        <v>21130908</v>
      </c>
      <c r="B1189" s="24" t="s">
        <v>500</v>
      </c>
      <c r="C1189" s="24">
        <v>580000</v>
      </c>
      <c r="D1189" s="270"/>
      <c r="E1189" s="89"/>
      <c r="F1189" s="23"/>
      <c r="G1189" s="23"/>
      <c r="H1189" s="24"/>
      <c r="I1189" s="23"/>
      <c r="J1189" s="23"/>
      <c r="K1189" s="23"/>
      <c r="L1189" s="23"/>
      <c r="M1189" s="23"/>
      <c r="N1189" s="23"/>
      <c r="O1189" s="23"/>
      <c r="P1189" s="23"/>
      <c r="Q1189" s="23"/>
      <c r="R1189" s="23"/>
      <c r="S1189" s="23"/>
      <c r="T1189" s="23"/>
      <c r="U1189" s="23"/>
      <c r="V1189" s="23"/>
      <c r="W1189" s="23"/>
      <c r="X1189" s="23"/>
    </row>
    <row r="1190" spans="1:24" ht="13.5" customHeight="1" thickBot="1">
      <c r="A1190" s="23"/>
      <c r="B1190" s="24"/>
      <c r="C1190" s="24"/>
      <c r="D1190" s="270"/>
      <c r="E1190" s="4"/>
      <c r="F1190" s="23"/>
      <c r="G1190" s="23"/>
      <c r="H1190" s="23"/>
      <c r="I1190" s="23"/>
      <c r="J1190" s="23"/>
      <c r="K1190" s="23"/>
      <c r="L1190" s="23"/>
      <c r="M1190" s="23"/>
      <c r="N1190" s="23"/>
      <c r="O1190" s="23"/>
      <c r="P1190" s="23"/>
      <c r="Q1190" s="23"/>
      <c r="R1190" s="23"/>
      <c r="S1190" s="23"/>
      <c r="T1190" s="23"/>
      <c r="U1190" s="23"/>
      <c r="V1190" s="23"/>
      <c r="W1190" s="23"/>
      <c r="X1190" s="23"/>
    </row>
    <row r="1191" spans="1:24" ht="12.75" customHeight="1" thickBot="1">
      <c r="A1191" s="1299" t="s">
        <v>48</v>
      </c>
      <c r="B1191" s="1281"/>
      <c r="C1191" s="125">
        <f>C1192</f>
        <v>50000</v>
      </c>
      <c r="D1191" s="270"/>
      <c r="E1191" s="34"/>
      <c r="F1191" s="4"/>
      <c r="G1191" s="4"/>
      <c r="H1191" s="4"/>
      <c r="I1191" s="4"/>
      <c r="J1191" s="4"/>
      <c r="K1191" s="4"/>
      <c r="L1191" s="4"/>
      <c r="M1191" s="4"/>
      <c r="N1191" s="4"/>
      <c r="O1191" s="4"/>
      <c r="P1191" s="4"/>
      <c r="Q1191" s="4"/>
      <c r="R1191" s="4"/>
      <c r="S1191" s="4"/>
      <c r="T1191" s="4"/>
      <c r="U1191" s="4"/>
      <c r="V1191" s="4"/>
      <c r="W1191" s="4"/>
      <c r="X1191" s="4"/>
    </row>
    <row r="1192" spans="1:24" ht="12.75" customHeight="1">
      <c r="A1192" s="48">
        <v>221107</v>
      </c>
      <c r="B1192" s="26" t="s">
        <v>514</v>
      </c>
      <c r="C1192" s="49">
        <f>SUM(C1193)</f>
        <v>50000</v>
      </c>
      <c r="D1192" s="272"/>
      <c r="E1192" s="274"/>
      <c r="F1192" s="34"/>
      <c r="G1192" s="34"/>
      <c r="H1192" s="34"/>
      <c r="I1192" s="34"/>
      <c r="J1192" s="34"/>
      <c r="K1192" s="34"/>
      <c r="L1192" s="34"/>
      <c r="M1192" s="34"/>
      <c r="N1192" s="34"/>
      <c r="O1192" s="34"/>
      <c r="P1192" s="34"/>
      <c r="Q1192" s="34"/>
      <c r="R1192" s="34"/>
      <c r="S1192" s="34"/>
      <c r="T1192" s="34"/>
      <c r="U1192" s="34"/>
      <c r="V1192" s="34"/>
      <c r="W1192" s="34"/>
      <c r="X1192" s="34"/>
    </row>
    <row r="1193" spans="1:24" ht="12.75" customHeight="1">
      <c r="A1193" s="33">
        <v>22110702</v>
      </c>
      <c r="B1193" s="24" t="s">
        <v>515</v>
      </c>
      <c r="C1193" s="24">
        <v>50000</v>
      </c>
      <c r="D1193" s="270"/>
      <c r="E1193" s="4"/>
      <c r="F1193" s="4"/>
      <c r="G1193" s="4"/>
      <c r="H1193" s="4"/>
      <c r="I1193" s="4"/>
      <c r="J1193" s="4"/>
      <c r="K1193" s="4"/>
      <c r="L1193" s="4"/>
      <c r="M1193" s="4"/>
      <c r="N1193" s="4"/>
      <c r="O1193" s="4"/>
      <c r="P1193" s="4"/>
      <c r="Q1193" s="4"/>
      <c r="R1193" s="4"/>
      <c r="S1193" s="4"/>
      <c r="T1193" s="4"/>
      <c r="U1193" s="4"/>
      <c r="V1193" s="4"/>
      <c r="W1193" s="4"/>
      <c r="X1193" s="4"/>
    </row>
    <row r="1194" spans="1:24" ht="12.75" customHeight="1">
      <c r="A1194" s="33"/>
      <c r="B1194" s="24"/>
      <c r="C1194" s="24"/>
      <c r="D1194" s="270"/>
      <c r="E1194" s="4"/>
      <c r="F1194" s="4"/>
      <c r="G1194" s="4"/>
      <c r="H1194" s="4"/>
      <c r="I1194" s="4"/>
      <c r="J1194" s="4"/>
      <c r="K1194" s="4"/>
      <c r="L1194" s="4"/>
      <c r="M1194" s="4"/>
      <c r="N1194" s="4"/>
      <c r="O1194" s="4"/>
      <c r="P1194" s="4"/>
      <c r="Q1194" s="4"/>
      <c r="R1194" s="4"/>
      <c r="S1194" s="4"/>
      <c r="T1194" s="4"/>
      <c r="U1194" s="4"/>
      <c r="V1194" s="4"/>
      <c r="W1194" s="4"/>
      <c r="X1194" s="4"/>
    </row>
    <row r="1195" spans="1:24" ht="13.5" customHeight="1" thickBot="1">
      <c r="A1195" s="23"/>
      <c r="B1195" s="23"/>
      <c r="C1195" s="24"/>
      <c r="D1195" s="61"/>
      <c r="E1195" s="89"/>
      <c r="F1195" s="23"/>
      <c r="G1195" s="23"/>
      <c r="H1195" s="23"/>
      <c r="I1195" s="23"/>
      <c r="J1195" s="23"/>
      <c r="K1195" s="23"/>
      <c r="L1195" s="23"/>
      <c r="M1195" s="23"/>
      <c r="N1195" s="23"/>
      <c r="O1195" s="23"/>
      <c r="P1195" s="23"/>
      <c r="Q1195" s="23"/>
      <c r="R1195" s="23"/>
      <c r="S1195" s="23"/>
      <c r="T1195" s="23"/>
      <c r="U1195" s="23"/>
      <c r="V1195" s="23"/>
      <c r="W1195" s="23"/>
      <c r="X1195" s="23"/>
    </row>
    <row r="1196" spans="1:24" ht="12.75" customHeight="1">
      <c r="A1196" s="1334" t="s">
        <v>913</v>
      </c>
      <c r="B1196" s="1336"/>
      <c r="C1196" s="1161" t="s">
        <v>791</v>
      </c>
      <c r="D1196" s="270"/>
      <c r="E1196" s="4"/>
      <c r="F1196" s="4"/>
      <c r="G1196" s="4"/>
      <c r="H1196" s="4"/>
      <c r="I1196" s="4"/>
      <c r="J1196" s="4"/>
      <c r="K1196" s="4"/>
      <c r="L1196" s="4"/>
      <c r="M1196" s="4"/>
      <c r="N1196" s="4"/>
      <c r="O1196" s="4"/>
      <c r="P1196" s="4"/>
      <c r="Q1196" s="4"/>
      <c r="R1196" s="4"/>
      <c r="S1196" s="4"/>
      <c r="T1196" s="4"/>
      <c r="U1196" s="4"/>
      <c r="V1196" s="4"/>
      <c r="W1196" s="4"/>
      <c r="X1196" s="4"/>
    </row>
    <row r="1197" spans="1:24" ht="12.75" customHeight="1" thickBot="1">
      <c r="A1197" s="1337"/>
      <c r="B1197" s="1338"/>
      <c r="C1197" s="1490"/>
      <c r="D1197" s="270"/>
      <c r="E1197" s="4"/>
      <c r="F1197" s="4"/>
      <c r="G1197" s="4"/>
      <c r="H1197" s="4"/>
      <c r="I1197" s="4"/>
      <c r="J1197" s="4"/>
      <c r="K1197" s="4"/>
      <c r="L1197" s="4"/>
      <c r="M1197" s="4"/>
      <c r="N1197" s="4"/>
      <c r="O1197" s="4"/>
      <c r="P1197" s="4"/>
      <c r="Q1197" s="4"/>
      <c r="R1197" s="4"/>
      <c r="S1197" s="4"/>
      <c r="T1197" s="4"/>
      <c r="U1197" s="4"/>
      <c r="V1197" s="4"/>
      <c r="W1197" s="4"/>
      <c r="X1197" s="4"/>
    </row>
    <row r="1198" spans="1:24" ht="12.75" customHeight="1">
      <c r="A1198" s="1028" t="s">
        <v>675</v>
      </c>
      <c r="B1198" s="1492"/>
      <c r="C1198" s="1493"/>
      <c r="D1198" s="270"/>
      <c r="E1198" s="274"/>
      <c r="F1198" s="4"/>
      <c r="G1198" s="4"/>
      <c r="H1198" s="4"/>
      <c r="I1198" s="4"/>
      <c r="J1198" s="4"/>
      <c r="K1198" s="4"/>
      <c r="L1198" s="4"/>
      <c r="M1198" s="4"/>
      <c r="N1198" s="4"/>
      <c r="O1198" s="4"/>
      <c r="P1198" s="4"/>
      <c r="Q1198" s="4"/>
      <c r="R1198" s="4"/>
      <c r="S1198" s="4"/>
      <c r="T1198" s="4"/>
      <c r="U1198" s="4"/>
      <c r="V1198" s="4"/>
      <c r="W1198" s="4"/>
      <c r="X1198" s="4"/>
    </row>
    <row r="1199" spans="1:24" ht="12.75" customHeight="1">
      <c r="A1199" s="609" t="s">
        <v>722</v>
      </c>
      <c r="B1199" s="1492"/>
      <c r="C1199" s="1493"/>
      <c r="D1199" s="270"/>
      <c r="E1199" s="274"/>
      <c r="F1199" s="4"/>
      <c r="G1199" s="4"/>
      <c r="H1199" s="4"/>
      <c r="I1199" s="4"/>
      <c r="J1199" s="4"/>
      <c r="K1199" s="4"/>
      <c r="L1199" s="4"/>
      <c r="M1199" s="4"/>
      <c r="N1199" s="4"/>
      <c r="O1199" s="4"/>
      <c r="P1199" s="4"/>
      <c r="Q1199" s="4"/>
      <c r="R1199" s="4"/>
      <c r="S1199" s="4"/>
      <c r="T1199" s="4"/>
      <c r="U1199" s="4"/>
      <c r="V1199" s="4"/>
      <c r="W1199" s="4"/>
      <c r="X1199" s="4"/>
    </row>
    <row r="1200" spans="1:24" ht="12.75" customHeight="1">
      <c r="A1200" s="609" t="s">
        <v>723</v>
      </c>
      <c r="B1200" s="808"/>
      <c r="C1200" s="1029"/>
      <c r="D1200" s="270"/>
      <c r="E1200" s="4"/>
      <c r="F1200" s="4"/>
      <c r="G1200" s="4"/>
      <c r="H1200" s="4"/>
      <c r="I1200" s="4"/>
      <c r="J1200" s="4"/>
      <c r="K1200" s="4"/>
      <c r="L1200" s="4"/>
      <c r="M1200" s="4"/>
      <c r="N1200" s="4"/>
      <c r="O1200" s="4"/>
      <c r="P1200" s="4"/>
      <c r="Q1200" s="4"/>
      <c r="R1200" s="4"/>
      <c r="S1200" s="4"/>
      <c r="T1200" s="4"/>
      <c r="U1200" s="4"/>
      <c r="V1200" s="4"/>
      <c r="W1200" s="4"/>
      <c r="X1200" s="4"/>
    </row>
    <row r="1201" spans="1:24" ht="12.75" customHeight="1" thickBot="1">
      <c r="A1201" s="1125" t="s">
        <v>0</v>
      </c>
      <c r="B1201" s="982"/>
      <c r="C1201" s="1029"/>
      <c r="D1201" s="270"/>
      <c r="E1201" s="4"/>
      <c r="F1201" s="4"/>
      <c r="G1201" s="4"/>
      <c r="H1201" s="4"/>
      <c r="I1201" s="4"/>
      <c r="J1201" s="4"/>
      <c r="K1201" s="4"/>
      <c r="L1201" s="4"/>
      <c r="M1201" s="4"/>
      <c r="N1201" s="4"/>
      <c r="O1201" s="4"/>
      <c r="P1201" s="4"/>
      <c r="Q1201" s="4"/>
      <c r="R1201" s="4"/>
      <c r="S1201" s="4"/>
      <c r="T1201" s="4"/>
      <c r="U1201" s="4"/>
      <c r="V1201" s="4"/>
      <c r="W1201" s="4"/>
      <c r="X1201" s="4"/>
    </row>
    <row r="1202" spans="1:24" ht="12.75" customHeight="1" thickBot="1">
      <c r="A1202" s="1171" t="s">
        <v>1</v>
      </c>
      <c r="B1202" s="1186"/>
      <c r="C1202" s="1033">
        <f>C1204+C1234+C1253</f>
        <v>409073000</v>
      </c>
      <c r="D1202" s="270"/>
      <c r="E1202" s="3"/>
      <c r="F1202" s="4"/>
      <c r="G1202" s="4"/>
      <c r="H1202" s="4"/>
      <c r="I1202" s="4"/>
      <c r="J1202" s="4"/>
      <c r="K1202" s="4"/>
      <c r="L1202" s="4"/>
      <c r="M1202" s="4"/>
      <c r="N1202" s="4"/>
      <c r="O1202" s="4"/>
      <c r="P1202" s="4"/>
      <c r="Q1202" s="4"/>
      <c r="R1202" s="4"/>
      <c r="S1202" s="4"/>
      <c r="T1202" s="4"/>
      <c r="U1202" s="4"/>
      <c r="V1202" s="4"/>
      <c r="W1202" s="4"/>
      <c r="X1202" s="4"/>
    </row>
    <row r="1203" spans="1:24" ht="12.75" customHeight="1" thickBot="1">
      <c r="A1203" s="23"/>
      <c r="B1203" s="24"/>
      <c r="C1203" s="24"/>
      <c r="D1203" s="270"/>
      <c r="E1203" s="274"/>
      <c r="F1203" s="4"/>
      <c r="G1203" s="4"/>
      <c r="H1203" s="4"/>
      <c r="I1203" s="4"/>
      <c r="J1203" s="4"/>
      <c r="K1203" s="4"/>
      <c r="L1203" s="4"/>
      <c r="M1203" s="4"/>
      <c r="N1203" s="4"/>
      <c r="O1203" s="4"/>
      <c r="P1203" s="4"/>
      <c r="Q1203" s="4"/>
      <c r="R1203" s="4"/>
      <c r="S1203" s="4"/>
      <c r="T1203" s="4"/>
      <c r="U1203" s="4"/>
      <c r="V1203" s="4"/>
      <c r="W1203" s="4"/>
      <c r="X1203" s="4"/>
    </row>
    <row r="1204" spans="1:24" ht="13.5" customHeight="1" thickBot="1">
      <c r="A1204" s="1297" t="s">
        <v>9</v>
      </c>
      <c r="B1204" s="1281"/>
      <c r="C1204" s="62">
        <f>C1205+C1207+C1210+C1212+C1224+C1227+C1218+C1216</f>
        <v>138396000</v>
      </c>
      <c r="D1204" s="61"/>
      <c r="E1204" s="21"/>
      <c r="F1204" s="21"/>
      <c r="G1204" s="21"/>
      <c r="H1204" s="21"/>
      <c r="I1204" s="21"/>
      <c r="J1204" s="21"/>
      <c r="K1204" s="21"/>
      <c r="L1204" s="21"/>
      <c r="M1204" s="21"/>
      <c r="N1204" s="21"/>
      <c r="O1204" s="21"/>
      <c r="P1204" s="21"/>
      <c r="Q1204" s="21"/>
      <c r="R1204" s="21"/>
      <c r="S1204" s="21"/>
      <c r="T1204" s="21"/>
      <c r="U1204" s="21"/>
      <c r="V1204" s="21"/>
      <c r="W1204" s="21"/>
      <c r="X1204" s="21"/>
    </row>
    <row r="1205" spans="1:24" ht="13.5" customHeight="1">
      <c r="A1205" s="48">
        <v>211201</v>
      </c>
      <c r="B1205" s="48" t="s">
        <v>459</v>
      </c>
      <c r="C1205" s="49">
        <f>SUM(C1206)</f>
        <v>101291500</v>
      </c>
      <c r="D1205" s="61"/>
      <c r="E1205" s="33"/>
      <c r="F1205" s="23"/>
      <c r="G1205" s="33"/>
      <c r="H1205" s="33"/>
      <c r="I1205" s="33"/>
      <c r="J1205" s="33"/>
      <c r="K1205" s="33"/>
      <c r="L1205" s="33"/>
      <c r="M1205" s="33"/>
      <c r="N1205" s="33"/>
      <c r="O1205" s="33"/>
      <c r="P1205" s="33"/>
      <c r="Q1205" s="33"/>
      <c r="R1205" s="33"/>
      <c r="S1205" s="33"/>
      <c r="T1205" s="33"/>
      <c r="U1205" s="33"/>
      <c r="V1205" s="33"/>
      <c r="W1205" s="33"/>
      <c r="X1205" s="33"/>
    </row>
    <row r="1206" spans="1:24" ht="13.5" customHeight="1">
      <c r="A1206" s="33">
        <v>21120101</v>
      </c>
      <c r="B1206" s="23" t="s">
        <v>460</v>
      </c>
      <c r="C1206" s="24">
        <v>101291500</v>
      </c>
      <c r="D1206" s="23"/>
      <c r="E1206" s="23"/>
      <c r="F1206" s="4"/>
      <c r="G1206" s="23"/>
      <c r="H1206" s="23"/>
      <c r="I1206" s="23"/>
      <c r="J1206" s="23"/>
      <c r="K1206" s="23"/>
      <c r="L1206" s="23"/>
      <c r="M1206" s="23"/>
      <c r="N1206" s="23"/>
      <c r="O1206" s="23"/>
      <c r="P1206" s="23"/>
      <c r="Q1206" s="23"/>
      <c r="R1206" s="23"/>
      <c r="S1206" s="23"/>
      <c r="T1206" s="23"/>
      <c r="U1206" s="23"/>
      <c r="V1206" s="23"/>
      <c r="W1206" s="23"/>
      <c r="X1206" s="23"/>
    </row>
    <row r="1207" spans="1:24" ht="13.5" customHeight="1">
      <c r="A1207" s="48">
        <v>211202</v>
      </c>
      <c r="B1207" s="21" t="s">
        <v>529</v>
      </c>
      <c r="C1207" s="26">
        <f>SUM(C1208:C1209)</f>
        <v>1272500</v>
      </c>
      <c r="D1207" s="23"/>
      <c r="E1207" s="23"/>
      <c r="F1207" s="4"/>
      <c r="G1207" s="23"/>
      <c r="H1207" s="23"/>
      <c r="I1207" s="23"/>
      <c r="J1207" s="23"/>
      <c r="K1207" s="23"/>
      <c r="L1207" s="23"/>
      <c r="M1207" s="23"/>
      <c r="N1207" s="23"/>
      <c r="O1207" s="23"/>
      <c r="P1207" s="23"/>
      <c r="Q1207" s="23"/>
      <c r="R1207" s="23"/>
      <c r="S1207" s="23"/>
      <c r="T1207" s="23"/>
      <c r="U1207" s="23"/>
      <c r="V1207" s="23"/>
      <c r="W1207" s="23"/>
      <c r="X1207" s="23"/>
    </row>
    <row r="1208" spans="1:24" ht="13.5" customHeight="1">
      <c r="A1208" s="33">
        <v>21120201</v>
      </c>
      <c r="B1208" s="23" t="s">
        <v>540</v>
      </c>
      <c r="C1208" s="24">
        <v>521000</v>
      </c>
      <c r="D1208" s="23"/>
      <c r="E1208" s="23"/>
      <c r="F1208" s="4"/>
      <c r="G1208" s="23"/>
      <c r="H1208" s="23"/>
      <c r="I1208" s="23"/>
      <c r="J1208" s="23"/>
      <c r="K1208" s="23"/>
      <c r="L1208" s="23"/>
      <c r="M1208" s="23"/>
      <c r="N1208" s="23"/>
      <c r="O1208" s="23"/>
      <c r="P1208" s="23"/>
      <c r="Q1208" s="23"/>
      <c r="R1208" s="23"/>
      <c r="S1208" s="23"/>
      <c r="T1208" s="23"/>
      <c r="U1208" s="23"/>
      <c r="V1208" s="23"/>
      <c r="W1208" s="23"/>
      <c r="X1208" s="23"/>
    </row>
    <row r="1209" spans="1:24" ht="13.5" customHeight="1">
      <c r="A1209" s="33">
        <v>21120202</v>
      </c>
      <c r="B1209" s="13" t="s">
        <v>530</v>
      </c>
      <c r="C1209" s="24">
        <v>751500</v>
      </c>
      <c r="D1209" s="23"/>
      <c r="E1209" s="23"/>
      <c r="F1209" s="4"/>
      <c r="G1209" s="23"/>
      <c r="H1209" s="23"/>
      <c r="I1209" s="23"/>
      <c r="J1209" s="23"/>
      <c r="K1209" s="23"/>
      <c r="L1209" s="23"/>
      <c r="M1209" s="23"/>
      <c r="N1209" s="23"/>
      <c r="O1209" s="23"/>
      <c r="P1209" s="23"/>
      <c r="Q1209" s="23"/>
      <c r="R1209" s="23"/>
      <c r="S1209" s="23"/>
      <c r="T1209" s="23"/>
      <c r="U1209" s="23"/>
      <c r="V1209" s="23"/>
      <c r="W1209" s="23"/>
      <c r="X1209" s="23"/>
    </row>
    <row r="1210" spans="1:24" ht="13.5" customHeight="1">
      <c r="A1210" s="48">
        <v>211203</v>
      </c>
      <c r="B1210" s="21" t="s">
        <v>461</v>
      </c>
      <c r="C1210" s="26">
        <v>24000</v>
      </c>
      <c r="D1210" s="23"/>
      <c r="E1210" s="23"/>
      <c r="F1210" s="4"/>
      <c r="G1210" s="23"/>
      <c r="H1210" s="23"/>
      <c r="I1210" s="23"/>
      <c r="J1210" s="23"/>
      <c r="K1210" s="23"/>
      <c r="L1210" s="23"/>
      <c r="M1210" s="23"/>
      <c r="N1210" s="23"/>
      <c r="O1210" s="23"/>
      <c r="P1210" s="23"/>
      <c r="Q1210" s="23"/>
      <c r="R1210" s="23"/>
      <c r="S1210" s="23"/>
      <c r="T1210" s="23"/>
      <c r="U1210" s="23"/>
      <c r="V1210" s="23"/>
      <c r="W1210" s="23"/>
      <c r="X1210" s="23"/>
    </row>
    <row r="1211" spans="1:24" ht="12.75" customHeight="1">
      <c r="A1211" s="33">
        <v>21120302</v>
      </c>
      <c r="B1211" s="23" t="s">
        <v>462</v>
      </c>
      <c r="C1211" s="24">
        <v>24000</v>
      </c>
      <c r="D1211" s="4"/>
      <c r="E1211" s="4"/>
      <c r="F1211" s="4"/>
      <c r="G1211" s="4"/>
      <c r="H1211" s="4"/>
      <c r="I1211" s="4"/>
      <c r="J1211" s="4"/>
      <c r="K1211" s="4"/>
      <c r="L1211" s="4"/>
      <c r="M1211" s="4"/>
      <c r="N1211" s="4"/>
      <c r="O1211" s="4"/>
      <c r="P1211" s="4"/>
      <c r="Q1211" s="4"/>
      <c r="R1211" s="4"/>
      <c r="S1211" s="4"/>
      <c r="T1211" s="4"/>
      <c r="U1211" s="4"/>
      <c r="V1211" s="4"/>
      <c r="W1211" s="4"/>
      <c r="X1211" s="4"/>
    </row>
    <row r="1212" spans="1:24" ht="12.75" customHeight="1">
      <c r="A1212" s="48">
        <v>211204</v>
      </c>
      <c r="B1212" s="21" t="s">
        <v>463</v>
      </c>
      <c r="C1212" s="26">
        <f>+SUM(C1213:C1215)</f>
        <v>14538500</v>
      </c>
      <c r="D1212" s="4"/>
      <c r="E1212" s="4"/>
      <c r="F1212" s="4"/>
      <c r="G1212" s="4"/>
      <c r="H1212" s="4"/>
      <c r="I1212" s="4"/>
      <c r="J1212" s="4"/>
      <c r="K1212" s="4"/>
      <c r="L1212" s="4"/>
      <c r="M1212" s="4"/>
      <c r="N1212" s="4"/>
      <c r="O1212" s="4"/>
      <c r="P1212" s="4"/>
      <c r="Q1212" s="4"/>
      <c r="R1212" s="4"/>
      <c r="S1212" s="4"/>
      <c r="T1212" s="4"/>
      <c r="U1212" s="4"/>
      <c r="V1212" s="4"/>
      <c r="W1212" s="4"/>
      <c r="X1212" s="4"/>
    </row>
    <row r="1213" spans="1:24" ht="12.75" customHeight="1">
      <c r="A1213" s="33">
        <v>21120401</v>
      </c>
      <c r="B1213" s="24" t="s">
        <v>464</v>
      </c>
      <c r="C1213" s="24">
        <v>1731000</v>
      </c>
      <c r="D1213" s="270"/>
      <c r="E1213" s="274"/>
      <c r="F1213" s="4"/>
      <c r="G1213" s="4"/>
      <c r="H1213" s="4"/>
      <c r="I1213" s="4"/>
      <c r="J1213" s="4"/>
      <c r="K1213" s="4"/>
      <c r="L1213" s="4"/>
      <c r="M1213" s="4"/>
      <c r="N1213" s="4"/>
      <c r="O1213" s="4"/>
      <c r="P1213" s="4"/>
      <c r="Q1213" s="4"/>
      <c r="R1213" s="4"/>
      <c r="S1213" s="4"/>
      <c r="T1213" s="4"/>
      <c r="U1213" s="4"/>
      <c r="V1213" s="4"/>
      <c r="W1213" s="4"/>
      <c r="X1213" s="4"/>
    </row>
    <row r="1214" spans="1:24" ht="12.75" customHeight="1">
      <c r="A1214" s="33">
        <v>21120402</v>
      </c>
      <c r="B1214" s="24" t="s">
        <v>649</v>
      </c>
      <c r="C1214" s="24">
        <v>12272500</v>
      </c>
      <c r="D1214" s="4"/>
      <c r="E1214" s="4"/>
      <c r="F1214" s="4"/>
      <c r="G1214" s="4"/>
      <c r="H1214" s="4"/>
      <c r="I1214" s="4"/>
      <c r="J1214" s="4"/>
      <c r="K1214" s="4"/>
      <c r="L1214" s="4"/>
      <c r="M1214" s="4"/>
      <c r="N1214" s="4"/>
      <c r="O1214" s="4"/>
      <c r="P1214" s="4"/>
      <c r="Q1214" s="4"/>
      <c r="R1214" s="4"/>
      <c r="S1214" s="4"/>
      <c r="T1214" s="4"/>
      <c r="U1214" s="4"/>
      <c r="V1214" s="4"/>
      <c r="W1214" s="4"/>
      <c r="X1214" s="4"/>
    </row>
    <row r="1215" spans="1:24" ht="12.75" customHeight="1">
      <c r="A1215" s="33">
        <v>21120403</v>
      </c>
      <c r="B1215" s="23" t="s">
        <v>656</v>
      </c>
      <c r="C1215" s="24">
        <v>535000</v>
      </c>
      <c r="D1215" s="123"/>
      <c r="E1215" s="274"/>
      <c r="F1215" s="4"/>
      <c r="G1215" s="291"/>
      <c r="H1215" s="4"/>
      <c r="I1215" s="4"/>
      <c r="J1215" s="4"/>
      <c r="K1215" s="4"/>
      <c r="L1215" s="4"/>
      <c r="M1215" s="4"/>
      <c r="N1215" s="4"/>
      <c r="O1215" s="4"/>
      <c r="P1215" s="4"/>
      <c r="Q1215" s="4"/>
      <c r="R1215" s="4"/>
      <c r="S1215" s="4"/>
      <c r="T1215" s="4"/>
      <c r="U1215" s="4"/>
      <c r="V1215" s="4"/>
      <c r="W1215" s="4"/>
      <c r="X1215" s="4"/>
    </row>
    <row r="1216" spans="1:24" ht="13.5" customHeight="1">
      <c r="A1216" s="48">
        <v>211205</v>
      </c>
      <c r="B1216" s="26" t="s">
        <v>465</v>
      </c>
      <c r="C1216" s="26">
        <v>181000</v>
      </c>
      <c r="D1216" s="26"/>
      <c r="E1216" s="38"/>
      <c r="F1216" s="38"/>
      <c r="G1216" s="39"/>
      <c r="H1216" s="38"/>
      <c r="I1216" s="38"/>
      <c r="J1216" s="38"/>
      <c r="K1216" s="38"/>
      <c r="L1216" s="38"/>
      <c r="M1216" s="38"/>
      <c r="N1216" s="38"/>
      <c r="O1216" s="38"/>
      <c r="P1216" s="38"/>
      <c r="Q1216" s="38"/>
      <c r="R1216" s="38"/>
      <c r="S1216" s="38"/>
      <c r="T1216" s="38"/>
      <c r="U1216" s="38"/>
      <c r="V1216" s="38"/>
      <c r="W1216" s="38"/>
      <c r="X1216" s="38"/>
    </row>
    <row r="1217" spans="1:24" ht="13.5" customHeight="1">
      <c r="A1217" s="33">
        <v>21120503</v>
      </c>
      <c r="B1217" s="24" t="s">
        <v>572</v>
      </c>
      <c r="C1217" s="24">
        <v>181000</v>
      </c>
      <c r="D1217" s="26"/>
      <c r="E1217" s="38"/>
      <c r="F1217" s="38"/>
      <c r="G1217" s="39"/>
      <c r="H1217" s="38"/>
      <c r="I1217" s="38"/>
      <c r="J1217" s="38"/>
      <c r="K1217" s="38"/>
      <c r="L1217" s="38"/>
      <c r="M1217" s="38"/>
      <c r="N1217" s="38"/>
      <c r="O1217" s="38"/>
      <c r="P1217" s="38"/>
      <c r="Q1217" s="38"/>
      <c r="R1217" s="38"/>
      <c r="S1217" s="38"/>
      <c r="T1217" s="38"/>
      <c r="U1217" s="38"/>
      <c r="V1217" s="38"/>
      <c r="W1217" s="38"/>
      <c r="X1217" s="38"/>
    </row>
    <row r="1218" spans="1:24" ht="12.75" customHeight="1">
      <c r="A1218" s="48">
        <v>211207</v>
      </c>
      <c r="B1218" s="828" t="s">
        <v>467</v>
      </c>
      <c r="C1218" s="26">
        <f>+SUM(C1219:C1223)</f>
        <v>2541000</v>
      </c>
      <c r="D1218" s="123"/>
      <c r="E1218" s="274"/>
      <c r="F1218" s="4"/>
      <c r="G1218" s="4"/>
      <c r="H1218" s="4"/>
      <c r="I1218" s="4"/>
      <c r="J1218" s="4"/>
      <c r="K1218" s="4"/>
      <c r="L1218" s="4"/>
      <c r="M1218" s="4"/>
      <c r="N1218" s="4"/>
      <c r="O1218" s="4"/>
      <c r="P1218" s="4"/>
      <c r="Q1218" s="4"/>
      <c r="R1218" s="4"/>
      <c r="S1218" s="4"/>
      <c r="T1218" s="4"/>
      <c r="U1218" s="4"/>
      <c r="V1218" s="4"/>
      <c r="W1218" s="4"/>
      <c r="X1218" s="4"/>
    </row>
    <row r="1219" spans="1:24" ht="12.75" customHeight="1">
      <c r="A1219" s="33">
        <v>21120702</v>
      </c>
      <c r="B1219" s="13" t="s">
        <v>468</v>
      </c>
      <c r="C1219" s="24">
        <v>290000</v>
      </c>
      <c r="D1219" s="123"/>
      <c r="E1219" s="274"/>
      <c r="F1219" s="4"/>
      <c r="G1219" s="4"/>
      <c r="H1219" s="4"/>
      <c r="I1219" s="4"/>
      <c r="J1219" s="4"/>
      <c r="K1219" s="4"/>
      <c r="L1219" s="4"/>
      <c r="M1219" s="4"/>
      <c r="N1219" s="4"/>
      <c r="O1219" s="4"/>
      <c r="P1219" s="4"/>
      <c r="Q1219" s="4"/>
      <c r="R1219" s="4"/>
      <c r="S1219" s="4"/>
      <c r="T1219" s="4"/>
      <c r="U1219" s="4"/>
      <c r="V1219" s="4"/>
      <c r="W1219" s="4"/>
      <c r="X1219" s="4"/>
    </row>
    <row r="1220" spans="1:24" ht="12.75" customHeight="1">
      <c r="A1220" s="33">
        <v>21120708</v>
      </c>
      <c r="B1220" s="13" t="s">
        <v>470</v>
      </c>
      <c r="C1220" s="24">
        <v>340000</v>
      </c>
      <c r="D1220" s="123"/>
      <c r="E1220" s="274"/>
      <c r="F1220" s="4"/>
      <c r="G1220" s="4"/>
      <c r="H1220" s="4"/>
      <c r="I1220" s="4"/>
      <c r="J1220" s="4"/>
      <c r="K1220" s="4"/>
      <c r="L1220" s="4"/>
      <c r="M1220" s="4"/>
      <c r="N1220" s="4"/>
      <c r="O1220" s="4"/>
      <c r="P1220" s="4"/>
      <c r="Q1220" s="4"/>
      <c r="R1220" s="4"/>
      <c r="S1220" s="4"/>
      <c r="T1220" s="4"/>
      <c r="U1220" s="4"/>
      <c r="V1220" s="4"/>
      <c r="W1220" s="4"/>
      <c r="X1220" s="4"/>
    </row>
    <row r="1221" spans="1:24" ht="12.75" customHeight="1">
      <c r="A1221" s="33">
        <v>21120709</v>
      </c>
      <c r="B1221" s="24" t="s">
        <v>471</v>
      </c>
      <c r="C1221" s="24">
        <v>530000</v>
      </c>
      <c r="D1221" s="8"/>
      <c r="E1221" s="8"/>
      <c r="F1221" s="8"/>
      <c r="G1221" s="8"/>
      <c r="H1221" s="8"/>
      <c r="I1221" s="8"/>
      <c r="J1221" s="8"/>
      <c r="K1221" s="8"/>
      <c r="L1221" s="8"/>
      <c r="M1221" s="8"/>
      <c r="N1221" s="8"/>
      <c r="O1221" s="8"/>
      <c r="P1221" s="8"/>
      <c r="Q1221" s="8"/>
      <c r="R1221" s="8"/>
      <c r="S1221" s="8"/>
      <c r="T1221" s="8"/>
      <c r="U1221" s="8"/>
      <c r="V1221" s="8"/>
      <c r="W1221" s="8"/>
      <c r="X1221" s="8"/>
    </row>
    <row r="1222" spans="1:24" ht="12.75" customHeight="1">
      <c r="A1222" s="33">
        <v>21120710</v>
      </c>
      <c r="B1222" s="24" t="s">
        <v>472</v>
      </c>
      <c r="C1222" s="24">
        <v>512000</v>
      </c>
      <c r="D1222" s="8"/>
      <c r="E1222" s="8"/>
      <c r="F1222" s="8"/>
      <c r="G1222" s="8"/>
      <c r="H1222" s="8"/>
      <c r="I1222" s="8"/>
      <c r="J1222" s="8"/>
      <c r="K1222" s="8"/>
      <c r="L1222" s="8"/>
      <c r="M1222" s="8"/>
      <c r="N1222" s="8"/>
      <c r="O1222" s="8"/>
      <c r="P1222" s="8"/>
      <c r="Q1222" s="8"/>
      <c r="R1222" s="8"/>
      <c r="S1222" s="8"/>
      <c r="T1222" s="8"/>
      <c r="U1222" s="8"/>
      <c r="V1222" s="8"/>
      <c r="W1222" s="8"/>
      <c r="X1222" s="8"/>
    </row>
    <row r="1223" spans="1:24" ht="12.75" customHeight="1">
      <c r="A1223" s="33">
        <v>21120711</v>
      </c>
      <c r="B1223" s="24" t="s">
        <v>473</v>
      </c>
      <c r="C1223" s="24">
        <v>869000</v>
      </c>
      <c r="D1223" s="8"/>
      <c r="E1223" s="8"/>
      <c r="F1223" s="8"/>
      <c r="G1223" s="8"/>
      <c r="H1223" s="8"/>
      <c r="I1223" s="8"/>
      <c r="J1223" s="8"/>
      <c r="K1223" s="8"/>
      <c r="L1223" s="8"/>
      <c r="M1223" s="8"/>
      <c r="N1223" s="8"/>
      <c r="O1223" s="8"/>
      <c r="P1223" s="8"/>
      <c r="Q1223" s="8"/>
      <c r="R1223" s="8"/>
      <c r="S1223" s="8"/>
      <c r="T1223" s="8"/>
      <c r="U1223" s="8"/>
      <c r="V1223" s="8"/>
      <c r="W1223" s="8"/>
      <c r="X1223" s="8"/>
    </row>
    <row r="1224" spans="1:24" ht="12.75" customHeight="1">
      <c r="A1224" s="48">
        <v>211208</v>
      </c>
      <c r="B1224" s="26" t="s">
        <v>474</v>
      </c>
      <c r="C1224" s="26">
        <f>+SUM(C1225:C1226)</f>
        <v>2893500</v>
      </c>
      <c r="D1224" s="4"/>
      <c r="E1224" s="4"/>
      <c r="F1224" s="4"/>
      <c r="G1224" s="4"/>
      <c r="H1224" s="4"/>
      <c r="I1224" s="4"/>
      <c r="J1224" s="4"/>
      <c r="K1224" s="4"/>
      <c r="L1224" s="4"/>
      <c r="M1224" s="4"/>
      <c r="N1224" s="4"/>
      <c r="O1224" s="4"/>
      <c r="P1224" s="4"/>
      <c r="Q1224" s="4"/>
      <c r="R1224" s="4"/>
      <c r="S1224" s="4"/>
      <c r="T1224" s="4"/>
      <c r="U1224" s="4"/>
      <c r="V1224" s="4"/>
      <c r="W1224" s="4"/>
      <c r="X1224" s="4"/>
    </row>
    <row r="1225" spans="1:24" ht="12.75" customHeight="1">
      <c r="A1225" s="33">
        <v>21120801</v>
      </c>
      <c r="B1225" s="13" t="s">
        <v>475</v>
      </c>
      <c r="C1225" s="24">
        <v>619500</v>
      </c>
      <c r="D1225" s="8"/>
      <c r="E1225" s="8"/>
      <c r="F1225" s="8"/>
      <c r="G1225" s="8"/>
      <c r="H1225" s="8"/>
      <c r="I1225" s="8"/>
      <c r="J1225" s="8"/>
      <c r="K1225" s="8"/>
      <c r="L1225" s="8"/>
      <c r="M1225" s="8"/>
      <c r="N1225" s="8"/>
      <c r="O1225" s="8"/>
      <c r="P1225" s="8"/>
      <c r="Q1225" s="8"/>
      <c r="R1225" s="8"/>
      <c r="S1225" s="8"/>
      <c r="T1225" s="8"/>
      <c r="U1225" s="8"/>
      <c r="V1225" s="8"/>
      <c r="W1225" s="8"/>
      <c r="X1225" s="8"/>
    </row>
    <row r="1226" spans="1:24" ht="12.75" customHeight="1">
      <c r="A1226" s="33">
        <v>21120805</v>
      </c>
      <c r="B1226" s="24" t="s">
        <v>476</v>
      </c>
      <c r="C1226" s="24">
        <f>-500000+2774000</f>
        <v>2274000</v>
      </c>
      <c r="D1226" s="4"/>
      <c r="E1226" s="4"/>
      <c r="F1226" s="23"/>
      <c r="G1226" s="4"/>
      <c r="H1226" s="4"/>
      <c r="I1226" s="4"/>
      <c r="J1226" s="4"/>
      <c r="K1226" s="4"/>
      <c r="L1226" s="4"/>
      <c r="M1226" s="4"/>
      <c r="N1226" s="4"/>
      <c r="O1226" s="4"/>
      <c r="P1226" s="4"/>
      <c r="Q1226" s="4"/>
      <c r="R1226" s="4"/>
      <c r="S1226" s="4"/>
      <c r="T1226" s="4"/>
      <c r="U1226" s="4"/>
      <c r="V1226" s="4"/>
      <c r="W1226" s="4"/>
      <c r="X1226" s="4"/>
    </row>
    <row r="1227" spans="1:24" ht="12.75" customHeight="1">
      <c r="A1227" s="48">
        <v>211209</v>
      </c>
      <c r="B1227" s="26" t="s">
        <v>477</v>
      </c>
      <c r="C1227" s="26">
        <f>+SUM(C1228:C1232)</f>
        <v>15654000</v>
      </c>
      <c r="D1227" s="4"/>
      <c r="E1227" s="4"/>
      <c r="F1227" s="23"/>
      <c r="G1227" s="4"/>
      <c r="H1227" s="4"/>
      <c r="I1227" s="4"/>
      <c r="J1227" s="4"/>
      <c r="K1227" s="4"/>
      <c r="L1227" s="4"/>
      <c r="M1227" s="4"/>
      <c r="N1227" s="4"/>
      <c r="O1227" s="4"/>
      <c r="P1227" s="4"/>
      <c r="Q1227" s="4"/>
      <c r="R1227" s="4"/>
      <c r="S1227" s="4"/>
      <c r="T1227" s="4"/>
      <c r="U1227" s="4"/>
      <c r="V1227" s="4"/>
      <c r="W1227" s="4"/>
      <c r="X1227" s="4"/>
    </row>
    <row r="1228" spans="1:24" ht="12.75" customHeight="1">
      <c r="A1228" s="33">
        <v>21120901</v>
      </c>
      <c r="B1228" s="24" t="s">
        <v>478</v>
      </c>
      <c r="C1228" s="24">
        <v>11985000</v>
      </c>
      <c r="D1228" s="4"/>
      <c r="E1228" s="4"/>
      <c r="F1228" s="4"/>
      <c r="G1228" s="4"/>
      <c r="H1228" s="4"/>
      <c r="I1228" s="4"/>
      <c r="J1228" s="4"/>
      <c r="K1228" s="4"/>
      <c r="L1228" s="4"/>
      <c r="M1228" s="4"/>
      <c r="N1228" s="4"/>
      <c r="O1228" s="4"/>
      <c r="P1228" s="4"/>
      <c r="Q1228" s="4"/>
      <c r="R1228" s="4"/>
      <c r="S1228" s="4"/>
      <c r="T1228" s="4"/>
      <c r="U1228" s="4"/>
      <c r="V1228" s="4"/>
      <c r="W1228" s="4"/>
      <c r="X1228" s="4"/>
    </row>
    <row r="1229" spans="1:24" ht="12.75" customHeight="1">
      <c r="A1229" s="33">
        <v>21120902</v>
      </c>
      <c r="B1229" s="24" t="s">
        <v>584</v>
      </c>
      <c r="C1229" s="24">
        <v>1092500</v>
      </c>
      <c r="D1229" s="4"/>
      <c r="E1229" s="4"/>
      <c r="F1229" s="21"/>
      <c r="G1229" s="4"/>
      <c r="H1229" s="4"/>
      <c r="I1229" s="4"/>
      <c r="J1229" s="4"/>
      <c r="K1229" s="4"/>
      <c r="L1229" s="4"/>
      <c r="M1229" s="4"/>
      <c r="N1229" s="4"/>
      <c r="O1229" s="4"/>
      <c r="P1229" s="4"/>
      <c r="Q1229" s="4"/>
      <c r="R1229" s="4"/>
      <c r="S1229" s="4"/>
      <c r="T1229" s="4"/>
      <c r="U1229" s="4"/>
      <c r="V1229" s="4"/>
      <c r="W1229" s="4"/>
      <c r="X1229" s="4"/>
    </row>
    <row r="1230" spans="1:24" ht="12.75" customHeight="1">
      <c r="A1230" s="33">
        <v>21120905</v>
      </c>
      <c r="B1230" s="24" t="s">
        <v>525</v>
      </c>
      <c r="C1230" s="24">
        <v>312000</v>
      </c>
      <c r="D1230" s="4"/>
      <c r="E1230" s="4"/>
      <c r="F1230" s="23"/>
      <c r="G1230" s="4"/>
      <c r="H1230" s="4"/>
      <c r="I1230" s="4"/>
      <c r="J1230" s="4"/>
      <c r="K1230" s="4"/>
      <c r="L1230" s="4"/>
      <c r="M1230" s="4"/>
      <c r="N1230" s="4"/>
      <c r="O1230" s="4"/>
      <c r="P1230" s="4"/>
      <c r="Q1230" s="4"/>
      <c r="R1230" s="4"/>
      <c r="S1230" s="4"/>
      <c r="T1230" s="4"/>
      <c r="U1230" s="4"/>
      <c r="V1230" s="4"/>
      <c r="W1230" s="4"/>
      <c r="X1230" s="4"/>
    </row>
    <row r="1231" spans="1:24" ht="12.75" customHeight="1">
      <c r="A1231" s="33">
        <v>21120906</v>
      </c>
      <c r="B1231" s="24" t="s">
        <v>479</v>
      </c>
      <c r="C1231" s="24">
        <v>1666500</v>
      </c>
      <c r="D1231" s="4"/>
      <c r="E1231" s="4"/>
      <c r="F1231" s="23"/>
      <c r="G1231" s="4"/>
      <c r="H1231" s="4"/>
      <c r="I1231" s="4"/>
      <c r="J1231" s="4"/>
      <c r="K1231" s="4"/>
      <c r="L1231" s="4"/>
      <c r="M1231" s="4"/>
      <c r="N1231" s="4"/>
      <c r="O1231" s="4"/>
      <c r="P1231" s="4"/>
      <c r="Q1231" s="4"/>
      <c r="R1231" s="4"/>
      <c r="S1231" s="4"/>
      <c r="T1231" s="4"/>
      <c r="U1231" s="4"/>
      <c r="V1231" s="4"/>
      <c r="W1231" s="4"/>
      <c r="X1231" s="4"/>
    </row>
    <row r="1232" spans="1:24" ht="13.5" customHeight="1">
      <c r="A1232" s="33">
        <v>21120907</v>
      </c>
      <c r="B1232" s="13" t="s">
        <v>480</v>
      </c>
      <c r="C1232" s="24">
        <v>598000</v>
      </c>
      <c r="D1232" s="123"/>
      <c r="E1232" s="274"/>
      <c r="F1232" s="21"/>
      <c r="G1232" s="21"/>
      <c r="H1232" s="21"/>
      <c r="I1232" s="21"/>
      <c r="J1232" s="21"/>
      <c r="K1232" s="21"/>
      <c r="L1232" s="21"/>
      <c r="M1232" s="21"/>
      <c r="N1232" s="21"/>
      <c r="O1232" s="21"/>
      <c r="P1232" s="21"/>
      <c r="Q1232" s="21"/>
      <c r="R1232" s="21"/>
      <c r="S1232" s="21"/>
      <c r="T1232" s="21"/>
      <c r="U1232" s="21"/>
      <c r="V1232" s="21"/>
      <c r="W1232" s="21"/>
      <c r="X1232" s="21"/>
    </row>
    <row r="1233" spans="1:24" ht="12.75" customHeight="1" thickBot="1">
      <c r="A1233" s="23"/>
      <c r="B1233" s="24"/>
      <c r="C1233" s="24"/>
      <c r="D1233" s="4"/>
      <c r="E1233" s="4"/>
      <c r="F1233" s="23"/>
      <c r="G1233" s="4"/>
      <c r="H1233" s="4"/>
      <c r="I1233" s="4"/>
      <c r="J1233" s="4"/>
      <c r="K1233" s="4"/>
      <c r="L1233" s="4"/>
      <c r="M1233" s="4"/>
      <c r="N1233" s="4"/>
      <c r="O1233" s="4"/>
      <c r="P1233" s="4"/>
      <c r="Q1233" s="4"/>
      <c r="R1233" s="4"/>
      <c r="S1233" s="4"/>
      <c r="T1233" s="4"/>
      <c r="U1233" s="4"/>
      <c r="V1233" s="4"/>
      <c r="W1233" s="4"/>
      <c r="X1233" s="4"/>
    </row>
    <row r="1234" spans="1:24" ht="13.5" customHeight="1" thickBot="1">
      <c r="A1234" s="1298" t="s">
        <v>4</v>
      </c>
      <c r="B1234" s="1281"/>
      <c r="C1234" s="64">
        <f>C1235+C1238+C1242+C1245+C1247</f>
        <v>265062500</v>
      </c>
      <c r="D1234" s="21"/>
      <c r="E1234" s="21"/>
      <c r="F1234" s="23"/>
      <c r="G1234" s="21"/>
      <c r="H1234" s="21"/>
      <c r="I1234" s="21"/>
      <c r="J1234" s="21"/>
      <c r="K1234" s="21"/>
      <c r="L1234" s="21"/>
      <c r="M1234" s="21"/>
      <c r="N1234" s="21"/>
      <c r="O1234" s="21"/>
      <c r="P1234" s="21"/>
      <c r="Q1234" s="21"/>
      <c r="R1234" s="21"/>
      <c r="S1234" s="21"/>
      <c r="T1234" s="21"/>
      <c r="U1234" s="21"/>
      <c r="V1234" s="21"/>
      <c r="W1234" s="21"/>
      <c r="X1234" s="21"/>
    </row>
    <row r="1235" spans="1:24" ht="13.5" customHeight="1">
      <c r="A1235" s="48">
        <v>211302</v>
      </c>
      <c r="B1235" s="48" t="s">
        <v>481</v>
      </c>
      <c r="C1235" s="49">
        <f>+SUM(C1236:C1237)</f>
        <v>3784500</v>
      </c>
      <c r="D1235" s="33"/>
      <c r="E1235" s="33"/>
      <c r="F1235" s="33"/>
      <c r="G1235" s="33"/>
      <c r="H1235" s="33"/>
      <c r="I1235" s="33"/>
      <c r="J1235" s="33"/>
      <c r="K1235" s="33"/>
      <c r="L1235" s="33"/>
      <c r="M1235" s="33"/>
      <c r="N1235" s="33"/>
      <c r="O1235" s="33"/>
      <c r="P1235" s="33"/>
      <c r="Q1235" s="33"/>
      <c r="R1235" s="33"/>
      <c r="S1235" s="33"/>
      <c r="T1235" s="33"/>
      <c r="U1235" s="33"/>
      <c r="V1235" s="33"/>
      <c r="W1235" s="33"/>
      <c r="X1235" s="33"/>
    </row>
    <row r="1236" spans="1:24" ht="13.5" customHeight="1">
      <c r="A1236" s="33">
        <v>21130202</v>
      </c>
      <c r="B1236" s="24" t="s">
        <v>592</v>
      </c>
      <c r="C1236" s="24">
        <v>86000</v>
      </c>
      <c r="D1236" s="275"/>
      <c r="E1236" s="271"/>
      <c r="F1236" s="24"/>
      <c r="G1236" s="23"/>
      <c r="H1236" s="23"/>
      <c r="I1236" s="23"/>
      <c r="J1236" s="23"/>
      <c r="K1236" s="23"/>
      <c r="L1236" s="23"/>
      <c r="M1236" s="23"/>
      <c r="N1236" s="23"/>
      <c r="O1236" s="23"/>
      <c r="P1236" s="23"/>
      <c r="Q1236" s="23"/>
      <c r="R1236" s="23"/>
      <c r="S1236" s="23"/>
      <c r="T1236" s="23"/>
      <c r="U1236" s="23"/>
      <c r="V1236" s="23"/>
      <c r="W1236" s="23"/>
      <c r="X1236" s="23"/>
    </row>
    <row r="1237" spans="1:24" ht="13.5" customHeight="1">
      <c r="A1237" s="33">
        <v>21130204</v>
      </c>
      <c r="B1237" s="24" t="s">
        <v>483</v>
      </c>
      <c r="C1237" s="24">
        <v>3698500</v>
      </c>
      <c r="D1237" s="23"/>
      <c r="E1237" s="23"/>
      <c r="F1237" s="23"/>
      <c r="G1237" s="23"/>
      <c r="H1237" s="23"/>
      <c r="I1237" s="23"/>
      <c r="J1237" s="23"/>
      <c r="K1237" s="23"/>
      <c r="L1237" s="23"/>
      <c r="M1237" s="23"/>
      <c r="N1237" s="23"/>
      <c r="O1237" s="23"/>
      <c r="P1237" s="23"/>
      <c r="Q1237" s="23"/>
      <c r="R1237" s="23"/>
      <c r="S1237" s="23"/>
      <c r="T1237" s="23"/>
      <c r="U1237" s="23"/>
      <c r="V1237" s="23"/>
      <c r="W1237" s="23"/>
      <c r="X1237" s="23"/>
    </row>
    <row r="1238" spans="1:24" ht="13.5" customHeight="1">
      <c r="A1238" s="48">
        <v>21130300</v>
      </c>
      <c r="B1238" s="26" t="s">
        <v>484</v>
      </c>
      <c r="C1238" s="26">
        <f>+SUM(C1239:C1241)</f>
        <v>2924000</v>
      </c>
      <c r="D1238" s="23"/>
      <c r="E1238" s="23"/>
      <c r="F1238" s="23"/>
      <c r="G1238" s="23"/>
      <c r="H1238" s="23"/>
      <c r="I1238" s="23"/>
      <c r="J1238" s="23"/>
      <c r="K1238" s="23"/>
      <c r="L1238" s="23"/>
      <c r="M1238" s="23"/>
      <c r="N1238" s="23"/>
      <c r="O1238" s="23"/>
      <c r="P1238" s="23"/>
      <c r="Q1238" s="23"/>
      <c r="R1238" s="23"/>
      <c r="S1238" s="23"/>
      <c r="T1238" s="23"/>
      <c r="U1238" s="23"/>
      <c r="V1238" s="23"/>
      <c r="W1238" s="23"/>
      <c r="X1238" s="23"/>
    </row>
    <row r="1239" spans="1:24" ht="13.5" customHeight="1">
      <c r="A1239" s="33">
        <v>21130301</v>
      </c>
      <c r="B1239" s="13" t="s">
        <v>485</v>
      </c>
      <c r="C1239" s="24">
        <v>250000</v>
      </c>
      <c r="D1239" s="23"/>
      <c r="E1239" s="23"/>
      <c r="F1239" s="23"/>
      <c r="G1239" s="23"/>
      <c r="H1239" s="23"/>
      <c r="I1239" s="23"/>
      <c r="J1239" s="23"/>
      <c r="K1239" s="23"/>
      <c r="L1239" s="23"/>
      <c r="M1239" s="23"/>
      <c r="N1239" s="23"/>
      <c r="O1239" s="23"/>
      <c r="P1239" s="23"/>
      <c r="Q1239" s="23"/>
      <c r="R1239" s="23"/>
      <c r="S1239" s="23"/>
      <c r="T1239" s="23"/>
      <c r="U1239" s="23"/>
      <c r="V1239" s="23"/>
      <c r="W1239" s="23"/>
      <c r="X1239" s="23"/>
    </row>
    <row r="1240" spans="1:24" ht="13.5" customHeight="1">
      <c r="A1240" s="40">
        <v>21130306</v>
      </c>
      <c r="B1240" s="13" t="s">
        <v>487</v>
      </c>
      <c r="C1240" s="14">
        <v>350000</v>
      </c>
      <c r="D1240" s="8"/>
      <c r="E1240" s="14"/>
      <c r="F1240" s="30"/>
      <c r="G1240" s="30"/>
      <c r="H1240" s="8"/>
      <c r="I1240" s="8"/>
      <c r="J1240" s="8"/>
      <c r="K1240" s="8"/>
      <c r="L1240" s="8"/>
      <c r="M1240" s="8"/>
      <c r="N1240" s="8"/>
      <c r="O1240" s="8"/>
      <c r="P1240" s="8"/>
      <c r="Q1240" s="8"/>
      <c r="R1240" s="8"/>
      <c r="S1240" s="8"/>
      <c r="T1240" s="8"/>
      <c r="U1240" s="8"/>
      <c r="V1240" s="8"/>
      <c r="W1240" s="8"/>
      <c r="X1240" s="8"/>
    </row>
    <row r="1241" spans="1:24" ht="13.5" customHeight="1">
      <c r="A1241" s="33">
        <v>21130307</v>
      </c>
      <c r="B1241" s="23" t="s">
        <v>488</v>
      </c>
      <c r="C1241" s="24">
        <v>2324000</v>
      </c>
      <c r="D1241" s="23"/>
      <c r="E1241" s="23"/>
      <c r="F1241" s="23"/>
      <c r="G1241" s="23"/>
      <c r="H1241" s="23"/>
      <c r="I1241" s="23"/>
      <c r="J1241" s="23"/>
      <c r="K1241" s="23"/>
      <c r="L1241" s="23"/>
      <c r="M1241" s="23"/>
      <c r="N1241" s="23"/>
      <c r="O1241" s="23"/>
      <c r="P1241" s="23"/>
      <c r="Q1241" s="23"/>
      <c r="R1241" s="23"/>
      <c r="S1241" s="23"/>
      <c r="T1241" s="23"/>
      <c r="U1241" s="23"/>
      <c r="V1241" s="23"/>
      <c r="W1241" s="23"/>
      <c r="X1241" s="23"/>
    </row>
    <row r="1242" spans="1:24" ht="13.5" customHeight="1">
      <c r="A1242" s="48">
        <v>211305</v>
      </c>
      <c r="B1242" s="26" t="s">
        <v>489</v>
      </c>
      <c r="C1242" s="26">
        <f>+SUM(C1243:C1244)</f>
        <v>136743000</v>
      </c>
      <c r="D1242" s="23"/>
      <c r="E1242" s="23"/>
      <c r="F1242" s="23"/>
      <c r="G1242" s="23"/>
      <c r="H1242" s="23"/>
      <c r="I1242" s="23"/>
      <c r="J1242" s="23"/>
      <c r="K1242" s="23"/>
      <c r="L1242" s="23"/>
      <c r="M1242" s="23"/>
      <c r="N1242" s="23"/>
      <c r="O1242" s="23"/>
      <c r="P1242" s="23"/>
      <c r="Q1242" s="23"/>
      <c r="R1242" s="23"/>
      <c r="S1242" s="23"/>
      <c r="T1242" s="23"/>
      <c r="U1242" s="23"/>
      <c r="V1242" s="23"/>
      <c r="W1242" s="23"/>
      <c r="X1242" s="23"/>
    </row>
    <row r="1243" spans="1:24" ht="13.5" customHeight="1">
      <c r="A1243" s="33">
        <v>21130501</v>
      </c>
      <c r="B1243" s="23" t="s">
        <v>490</v>
      </c>
      <c r="C1243" s="24">
        <v>420000</v>
      </c>
      <c r="D1243" s="23"/>
      <c r="E1243" s="23"/>
      <c r="F1243" s="23"/>
      <c r="G1243" s="23"/>
      <c r="H1243" s="23"/>
      <c r="I1243" s="23"/>
      <c r="J1243" s="23"/>
      <c r="K1243" s="23"/>
      <c r="L1243" s="23"/>
      <c r="M1243" s="23"/>
      <c r="N1243" s="23"/>
      <c r="O1243" s="23"/>
      <c r="P1243" s="23"/>
      <c r="Q1243" s="23"/>
      <c r="R1243" s="23"/>
      <c r="S1243" s="23"/>
      <c r="T1243" s="23"/>
      <c r="U1243" s="23"/>
      <c r="V1243" s="23"/>
      <c r="W1243" s="23"/>
      <c r="X1243" s="23"/>
    </row>
    <row r="1244" spans="1:24" ht="13.5" customHeight="1">
      <c r="A1244" s="33">
        <v>21130502</v>
      </c>
      <c r="B1244" s="24" t="s">
        <v>491</v>
      </c>
      <c r="C1244" s="24">
        <f>-400000+136723000</f>
        <v>136323000</v>
      </c>
      <c r="D1244" s="23"/>
      <c r="E1244" s="23"/>
      <c r="F1244" s="90"/>
      <c r="G1244" s="123"/>
      <c r="H1244" s="3"/>
      <c r="I1244" s="109"/>
      <c r="J1244" s="23"/>
      <c r="K1244" s="23"/>
      <c r="L1244" s="23"/>
      <c r="M1244" s="23"/>
      <c r="N1244" s="23"/>
      <c r="O1244" s="23"/>
      <c r="P1244" s="23"/>
      <c r="Q1244" s="23"/>
      <c r="R1244" s="23"/>
      <c r="S1244" s="23"/>
      <c r="T1244" s="23"/>
      <c r="U1244" s="23"/>
      <c r="V1244" s="23"/>
      <c r="W1244" s="23"/>
      <c r="X1244" s="23"/>
    </row>
    <row r="1245" spans="1:24" ht="13.5" customHeight="1">
      <c r="A1245" s="48">
        <v>211306</v>
      </c>
      <c r="B1245" s="26" t="s">
        <v>492</v>
      </c>
      <c r="C1245" s="26">
        <v>7519500</v>
      </c>
      <c r="D1245" s="23"/>
      <c r="E1245" s="23"/>
      <c r="F1245" s="123"/>
      <c r="G1245" s="23"/>
      <c r="H1245" s="23"/>
      <c r="I1245" s="23"/>
      <c r="J1245" s="23"/>
      <c r="K1245" s="23"/>
      <c r="L1245" s="23"/>
      <c r="M1245" s="23"/>
      <c r="N1245" s="23"/>
      <c r="O1245" s="23"/>
      <c r="P1245" s="23"/>
      <c r="Q1245" s="23"/>
      <c r="R1245" s="23"/>
      <c r="S1245" s="23"/>
      <c r="T1245" s="23"/>
      <c r="U1245" s="23"/>
      <c r="V1245" s="23"/>
      <c r="W1245" s="23"/>
      <c r="X1245" s="23"/>
    </row>
    <row r="1246" spans="1:24" ht="13.5" customHeight="1">
      <c r="A1246" s="33">
        <v>21130604</v>
      </c>
      <c r="B1246" s="23" t="s">
        <v>539</v>
      </c>
      <c r="C1246" s="24">
        <v>7519500</v>
      </c>
      <c r="D1246" s="23"/>
      <c r="E1246" s="23"/>
      <c r="F1246" s="183"/>
      <c r="G1246" s="4"/>
      <c r="H1246" s="23"/>
      <c r="I1246" s="4"/>
      <c r="J1246" s="4"/>
      <c r="K1246" s="4"/>
      <c r="L1246" s="4"/>
      <c r="M1246" s="4"/>
      <c r="N1246" s="4"/>
      <c r="O1246" s="4"/>
      <c r="P1246" s="4"/>
      <c r="Q1246" s="4"/>
      <c r="R1246" s="4"/>
      <c r="S1246" s="4"/>
      <c r="T1246" s="4"/>
      <c r="U1246" s="4"/>
      <c r="V1246" s="4"/>
      <c r="W1246" s="4"/>
      <c r="X1246" s="23"/>
    </row>
    <row r="1247" spans="1:24" ht="13.5" customHeight="1">
      <c r="A1247" s="48">
        <v>211309</v>
      </c>
      <c r="B1247" s="26" t="s">
        <v>496</v>
      </c>
      <c r="C1247" s="26">
        <f>+SUM(C1248:C1251)</f>
        <v>114091500</v>
      </c>
      <c r="D1247" s="23"/>
      <c r="E1247" s="23"/>
      <c r="F1247" s="182"/>
      <c r="G1247" s="89"/>
      <c r="H1247" s="23"/>
      <c r="I1247" s="4"/>
      <c r="J1247" s="4"/>
      <c r="K1247" s="4"/>
      <c r="L1247" s="4"/>
      <c r="M1247" s="4"/>
      <c r="N1247" s="4"/>
      <c r="O1247" s="4"/>
      <c r="P1247" s="4"/>
      <c r="Q1247" s="4"/>
      <c r="R1247" s="4"/>
      <c r="S1247" s="4"/>
      <c r="T1247" s="4"/>
      <c r="U1247" s="4"/>
      <c r="V1247" s="4"/>
      <c r="W1247" s="4"/>
      <c r="X1247" s="23"/>
    </row>
    <row r="1248" spans="1:24" ht="13.5" customHeight="1">
      <c r="A1248" s="33">
        <v>21130901</v>
      </c>
      <c r="B1248" s="32" t="s">
        <v>497</v>
      </c>
      <c r="C1248" s="24">
        <v>113531000</v>
      </c>
      <c r="D1248" s="23"/>
      <c r="E1248" s="23"/>
      <c r="F1248" s="183"/>
      <c r="G1248" s="23"/>
      <c r="H1248" s="123"/>
      <c r="I1248" s="89"/>
      <c r="J1248" s="23"/>
      <c r="K1248" s="23"/>
      <c r="L1248" s="23"/>
      <c r="M1248" s="23"/>
      <c r="N1248" s="23"/>
      <c r="O1248" s="23"/>
      <c r="P1248" s="23"/>
      <c r="Q1248" s="23"/>
      <c r="R1248" s="23"/>
      <c r="S1248" s="23"/>
      <c r="T1248" s="23"/>
      <c r="U1248" s="23"/>
      <c r="V1248" s="23"/>
      <c r="W1248" s="23"/>
      <c r="X1248" s="23"/>
    </row>
    <row r="1249" spans="1:24" ht="13.5" customHeight="1">
      <c r="A1249" s="33">
        <v>21130903</v>
      </c>
      <c r="B1249" s="24" t="s">
        <v>498</v>
      </c>
      <c r="C1249" s="24">
        <v>40000</v>
      </c>
      <c r="D1249" s="23"/>
      <c r="E1249" s="23"/>
      <c r="F1249" s="23"/>
      <c r="G1249" s="23"/>
      <c r="H1249" s="23"/>
      <c r="I1249" s="23"/>
      <c r="J1249" s="23"/>
      <c r="K1249" s="23"/>
      <c r="L1249" s="23"/>
      <c r="M1249" s="23"/>
      <c r="N1249" s="23"/>
      <c r="O1249" s="23"/>
      <c r="P1249" s="23"/>
      <c r="Q1249" s="23"/>
      <c r="R1249" s="23"/>
      <c r="S1249" s="23"/>
      <c r="T1249" s="23"/>
      <c r="U1249" s="23"/>
      <c r="V1249" s="23"/>
      <c r="W1249" s="23"/>
      <c r="X1249" s="23"/>
    </row>
    <row r="1250" spans="1:24" ht="13.5" customHeight="1">
      <c r="A1250" s="33">
        <v>21130906</v>
      </c>
      <c r="B1250" s="23" t="s">
        <v>499</v>
      </c>
      <c r="C1250" s="24">
        <v>202000</v>
      </c>
      <c r="D1250" s="21"/>
      <c r="E1250" s="21"/>
      <c r="F1250" s="182"/>
      <c r="G1250" s="123"/>
      <c r="H1250" s="123"/>
      <c r="I1250" s="89"/>
      <c r="J1250" s="21"/>
      <c r="K1250" s="21"/>
      <c r="L1250" s="21"/>
      <c r="M1250" s="21"/>
      <c r="N1250" s="21"/>
      <c r="O1250" s="21"/>
      <c r="P1250" s="21"/>
      <c r="Q1250" s="21"/>
      <c r="R1250" s="21"/>
      <c r="S1250" s="21"/>
      <c r="T1250" s="21"/>
      <c r="U1250" s="21"/>
      <c r="V1250" s="21"/>
      <c r="W1250" s="21"/>
      <c r="X1250" s="21"/>
    </row>
    <row r="1251" spans="1:24" ht="13.5" customHeight="1">
      <c r="A1251" s="33">
        <v>21130908</v>
      </c>
      <c r="B1251" s="24" t="s">
        <v>500</v>
      </c>
      <c r="C1251" s="24">
        <v>318500</v>
      </c>
      <c r="D1251" s="23"/>
      <c r="E1251" s="23"/>
      <c r="F1251" s="275"/>
      <c r="G1251" s="123"/>
      <c r="H1251" s="123"/>
      <c r="I1251" s="89"/>
      <c r="J1251" s="23"/>
      <c r="K1251" s="23"/>
      <c r="L1251" s="23"/>
      <c r="M1251" s="23"/>
      <c r="N1251" s="23"/>
      <c r="O1251" s="23"/>
      <c r="P1251" s="23"/>
      <c r="Q1251" s="23"/>
      <c r="R1251" s="23"/>
      <c r="S1251" s="23"/>
      <c r="T1251" s="23"/>
      <c r="U1251" s="23"/>
      <c r="V1251" s="23"/>
      <c r="W1251" s="23"/>
      <c r="X1251" s="23"/>
    </row>
    <row r="1252" spans="1:24" ht="13.5" customHeight="1" thickBot="1">
      <c r="A1252" s="33"/>
      <c r="B1252" s="24"/>
      <c r="C1252" s="24"/>
      <c r="D1252" s="23"/>
      <c r="E1252" s="23"/>
      <c r="F1252" s="4"/>
      <c r="G1252" s="4"/>
      <c r="H1252" s="3"/>
      <c r="I1252" s="3"/>
      <c r="J1252" s="3"/>
      <c r="K1252" s="4"/>
      <c r="L1252" s="4"/>
      <c r="M1252" s="23"/>
      <c r="N1252" s="23"/>
      <c r="O1252" s="23"/>
      <c r="P1252" s="23"/>
      <c r="Q1252" s="23"/>
      <c r="R1252" s="23"/>
      <c r="S1252" s="23"/>
      <c r="T1252" s="23"/>
      <c r="U1252" s="23"/>
      <c r="V1252" s="23"/>
      <c r="W1252" s="23"/>
      <c r="X1252" s="23"/>
    </row>
    <row r="1253" spans="1:24" ht="13.5" customHeight="1" thickBot="1">
      <c r="A1253" s="1299" t="s">
        <v>48</v>
      </c>
      <c r="B1253" s="1281"/>
      <c r="C1253" s="65">
        <f>C1254+C1259</f>
        <v>5614500</v>
      </c>
      <c r="D1253" s="21"/>
      <c r="E1253" s="21"/>
      <c r="F1253" s="4"/>
      <c r="G1253" s="4"/>
      <c r="H1253" s="3"/>
      <c r="I1253" s="3"/>
      <c r="J1253" s="3"/>
      <c r="K1253" s="4"/>
      <c r="L1253" s="4"/>
      <c r="M1253" s="21"/>
      <c r="N1253" s="21"/>
      <c r="O1253" s="21"/>
      <c r="P1253" s="21"/>
      <c r="Q1253" s="21"/>
      <c r="R1253" s="21"/>
      <c r="S1253" s="21"/>
      <c r="T1253" s="21"/>
      <c r="U1253" s="21"/>
      <c r="V1253" s="21"/>
      <c r="W1253" s="21"/>
      <c r="X1253" s="21"/>
    </row>
    <row r="1254" spans="1:24" ht="13.5" customHeight="1">
      <c r="A1254" s="48">
        <v>221104</v>
      </c>
      <c r="B1254" s="827" t="s">
        <v>510</v>
      </c>
      <c r="C1254" s="49">
        <f>SUM(C1255:C1258)</f>
        <v>5552500</v>
      </c>
      <c r="D1254" s="272"/>
      <c r="E1254" s="90"/>
      <c r="F1254" s="4"/>
      <c r="G1254" s="4"/>
      <c r="H1254" s="3"/>
      <c r="I1254" s="3"/>
      <c r="J1254" s="3"/>
      <c r="K1254" s="4"/>
      <c r="L1254" s="4"/>
      <c r="M1254" s="33"/>
      <c r="N1254" s="33"/>
      <c r="O1254" s="33"/>
      <c r="P1254" s="33"/>
      <c r="Q1254" s="33"/>
      <c r="R1254" s="33"/>
      <c r="S1254" s="33"/>
      <c r="T1254" s="33"/>
      <c r="U1254" s="33"/>
      <c r="V1254" s="33"/>
      <c r="W1254" s="33"/>
      <c r="X1254" s="33"/>
    </row>
    <row r="1255" spans="1:24" ht="12.75" customHeight="1">
      <c r="A1255" s="33">
        <v>22110401</v>
      </c>
      <c r="B1255" s="23" t="s">
        <v>511</v>
      </c>
      <c r="C1255" s="24">
        <v>3677500</v>
      </c>
      <c r="D1255" s="123"/>
      <c r="E1255" s="274"/>
      <c r="F1255" s="4"/>
      <c r="G1255" s="4"/>
      <c r="H1255" s="3"/>
      <c r="I1255" s="3"/>
      <c r="J1255" s="3"/>
      <c r="K1255" s="4"/>
      <c r="L1255" s="4"/>
      <c r="M1255" s="4"/>
      <c r="N1255" s="4"/>
      <c r="O1255" s="4"/>
      <c r="P1255" s="4"/>
      <c r="Q1255" s="4"/>
      <c r="R1255" s="4"/>
      <c r="S1255" s="4"/>
      <c r="T1255" s="4"/>
      <c r="U1255" s="4"/>
      <c r="V1255" s="4"/>
      <c r="W1255" s="4"/>
      <c r="X1255" s="4"/>
    </row>
    <row r="1256" spans="1:24" ht="12.75" customHeight="1">
      <c r="A1256" s="33">
        <v>22110402</v>
      </c>
      <c r="B1256" s="13" t="s">
        <v>661</v>
      </c>
      <c r="C1256" s="24">
        <v>50000</v>
      </c>
      <c r="D1256" s="123"/>
      <c r="E1256" s="274"/>
      <c r="F1256" s="4"/>
      <c r="G1256" s="4"/>
      <c r="H1256" s="3"/>
      <c r="I1256" s="3"/>
      <c r="J1256" s="4"/>
      <c r="K1256" s="4"/>
      <c r="L1256" s="4"/>
      <c r="M1256" s="4"/>
      <c r="N1256" s="4"/>
      <c r="O1256" s="4"/>
      <c r="P1256" s="4"/>
      <c r="Q1256" s="4"/>
      <c r="R1256" s="4"/>
      <c r="S1256" s="4"/>
      <c r="T1256" s="4"/>
      <c r="U1256" s="4"/>
      <c r="V1256" s="4"/>
      <c r="W1256" s="4"/>
      <c r="X1256" s="4"/>
    </row>
    <row r="1257" spans="1:24" ht="12.75" customHeight="1">
      <c r="A1257" s="33">
        <v>22110404</v>
      </c>
      <c r="B1257" s="23" t="s">
        <v>512</v>
      </c>
      <c r="C1257" s="24">
        <v>40000</v>
      </c>
      <c r="D1257" s="123"/>
      <c r="E1257" s="274"/>
      <c r="F1257" s="4"/>
      <c r="G1257" s="4"/>
      <c r="H1257" s="3"/>
      <c r="I1257" s="3"/>
      <c r="J1257" s="4"/>
      <c r="K1257" s="4"/>
      <c r="L1257" s="4"/>
      <c r="M1257" s="4"/>
      <c r="N1257" s="4"/>
      <c r="O1257" s="4"/>
      <c r="P1257" s="4"/>
      <c r="Q1257" s="4"/>
      <c r="R1257" s="4"/>
      <c r="S1257" s="4"/>
      <c r="T1257" s="4"/>
      <c r="U1257" s="4"/>
      <c r="V1257" s="4"/>
      <c r="W1257" s="4"/>
      <c r="X1257" s="4"/>
    </row>
    <row r="1258" spans="1:24" ht="13.5" customHeight="1">
      <c r="A1258" s="33">
        <v>22110409</v>
      </c>
      <c r="B1258" s="24" t="s">
        <v>513</v>
      </c>
      <c r="C1258" s="24">
        <v>1785000</v>
      </c>
      <c r="D1258" s="40"/>
      <c r="E1258" s="14"/>
      <c r="F1258" s="13"/>
      <c r="G1258" s="13"/>
      <c r="H1258" s="13"/>
      <c r="I1258" s="13"/>
      <c r="J1258" s="13"/>
      <c r="K1258" s="13"/>
      <c r="L1258" s="13"/>
      <c r="M1258" s="13"/>
      <c r="N1258" s="13"/>
      <c r="O1258" s="13"/>
      <c r="P1258" s="13"/>
      <c r="Q1258" s="13"/>
      <c r="R1258" s="13"/>
      <c r="S1258" s="13"/>
      <c r="T1258" s="13"/>
      <c r="U1258" s="13"/>
      <c r="V1258" s="13"/>
      <c r="W1258" s="13"/>
      <c r="X1258" s="13"/>
    </row>
    <row r="1259" spans="1:24" ht="12.75" customHeight="1">
      <c r="A1259" s="48">
        <v>221107</v>
      </c>
      <c r="B1259" s="26" t="s">
        <v>514</v>
      </c>
      <c r="C1259" s="26">
        <f>C1260</f>
        <v>62000</v>
      </c>
      <c r="D1259" s="123"/>
      <c r="E1259" s="274"/>
      <c r="F1259" s="4"/>
      <c r="G1259" s="4"/>
      <c r="H1259" s="3"/>
      <c r="I1259" s="3"/>
      <c r="J1259" s="3"/>
      <c r="K1259" s="4"/>
      <c r="L1259" s="4"/>
      <c r="M1259" s="4"/>
      <c r="N1259" s="4"/>
      <c r="O1259" s="4"/>
      <c r="P1259" s="4"/>
      <c r="Q1259" s="4"/>
      <c r="R1259" s="4"/>
      <c r="S1259" s="4"/>
      <c r="T1259" s="4"/>
      <c r="U1259" s="4"/>
      <c r="V1259" s="4"/>
      <c r="W1259" s="4"/>
      <c r="X1259" s="4"/>
    </row>
    <row r="1260" spans="1:24" ht="12.75" customHeight="1">
      <c r="A1260" s="33">
        <v>22110702</v>
      </c>
      <c r="B1260" s="24" t="s">
        <v>515</v>
      </c>
      <c r="C1260" s="24">
        <v>62000</v>
      </c>
      <c r="D1260" s="123"/>
      <c r="E1260" s="274"/>
      <c r="F1260" s="4"/>
      <c r="G1260" s="4"/>
      <c r="H1260" s="3"/>
      <c r="I1260" s="3"/>
      <c r="J1260" s="3"/>
      <c r="K1260" s="4"/>
      <c r="L1260" s="4"/>
      <c r="M1260" s="4"/>
      <c r="N1260" s="4"/>
      <c r="O1260" s="4"/>
      <c r="P1260" s="4"/>
      <c r="Q1260" s="4"/>
      <c r="R1260" s="4"/>
      <c r="S1260" s="4"/>
      <c r="T1260" s="4"/>
      <c r="U1260" s="4"/>
      <c r="V1260" s="4"/>
      <c r="W1260" s="4"/>
      <c r="X1260" s="4"/>
    </row>
    <row r="1261" spans="1:24" ht="12.75" customHeight="1">
      <c r="A1261" s="33"/>
      <c r="B1261" s="24"/>
      <c r="C1261" s="24"/>
      <c r="D1261" s="270"/>
      <c r="E1261" s="274"/>
      <c r="F1261" s="4"/>
      <c r="G1261" s="4"/>
      <c r="H1261" s="4"/>
      <c r="I1261" s="4"/>
      <c r="J1261" s="4"/>
      <c r="K1261" s="4"/>
      <c r="L1261" s="4"/>
      <c r="M1261" s="4"/>
      <c r="N1261" s="4"/>
      <c r="O1261" s="4"/>
      <c r="P1261" s="4"/>
      <c r="Q1261" s="4"/>
      <c r="R1261" s="4"/>
      <c r="S1261" s="4"/>
      <c r="T1261" s="4"/>
      <c r="U1261" s="4"/>
      <c r="V1261" s="4"/>
      <c r="W1261" s="4"/>
      <c r="X1261" s="4"/>
    </row>
    <row r="1262" spans="1:24" ht="12.75" customHeight="1" thickBot="1">
      <c r="A1262" s="23"/>
      <c r="B1262" s="24"/>
      <c r="C1262" s="24"/>
      <c r="D1262" s="270"/>
      <c r="E1262" s="281"/>
      <c r="F1262" s="4"/>
      <c r="G1262" s="4"/>
      <c r="H1262" s="4"/>
      <c r="I1262" s="4"/>
      <c r="J1262" s="4"/>
      <c r="K1262" s="4"/>
      <c r="L1262" s="4"/>
      <c r="M1262" s="4"/>
      <c r="N1262" s="4"/>
      <c r="O1262" s="4"/>
      <c r="P1262" s="4"/>
      <c r="Q1262" s="4"/>
      <c r="R1262" s="4"/>
      <c r="S1262" s="4"/>
      <c r="T1262" s="4"/>
      <c r="U1262" s="4"/>
      <c r="V1262" s="4"/>
      <c r="W1262" s="4"/>
      <c r="X1262" s="4"/>
    </row>
    <row r="1263" spans="1:24" ht="12.75" customHeight="1">
      <c r="A1263" s="1334" t="s">
        <v>914</v>
      </c>
      <c r="B1263" s="1336"/>
      <c r="C1263" s="1161" t="s">
        <v>792</v>
      </c>
      <c r="D1263" s="284"/>
      <c r="E1263" s="4"/>
      <c r="F1263" s="4"/>
      <c r="G1263" s="4"/>
      <c r="H1263" s="4"/>
      <c r="I1263" s="4"/>
      <c r="J1263" s="4"/>
      <c r="K1263" s="4"/>
      <c r="L1263" s="4"/>
      <c r="M1263" s="4"/>
      <c r="N1263" s="4"/>
      <c r="O1263" s="4"/>
      <c r="P1263" s="4"/>
      <c r="Q1263" s="4"/>
      <c r="R1263" s="4"/>
      <c r="S1263" s="4"/>
      <c r="T1263" s="4"/>
      <c r="U1263" s="4"/>
      <c r="V1263" s="4"/>
      <c r="W1263" s="4"/>
      <c r="X1263" s="4"/>
    </row>
    <row r="1264" spans="1:24" ht="12.75" customHeight="1" thickBot="1">
      <c r="A1264" s="1363"/>
      <c r="B1264" s="1304"/>
      <c r="C1264" s="1490"/>
      <c r="D1264" s="270"/>
      <c r="E1264" s="4"/>
      <c r="F1264" s="4"/>
      <c r="G1264" s="4"/>
      <c r="H1264" s="4"/>
      <c r="I1264" s="4"/>
      <c r="J1264" s="4"/>
      <c r="K1264" s="4"/>
      <c r="L1264" s="4"/>
      <c r="M1264" s="4"/>
      <c r="N1264" s="4"/>
      <c r="O1264" s="4"/>
      <c r="P1264" s="4"/>
      <c r="Q1264" s="4"/>
      <c r="R1264" s="4"/>
      <c r="S1264" s="4"/>
      <c r="T1264" s="4"/>
      <c r="U1264" s="4"/>
      <c r="V1264" s="4"/>
      <c r="W1264" s="4"/>
      <c r="X1264" s="4"/>
    </row>
    <row r="1265" spans="1:24" ht="12.75" customHeight="1">
      <c r="A1265" s="1028" t="s">
        <v>675</v>
      </c>
      <c r="B1265" s="808"/>
      <c r="C1265" s="1029"/>
      <c r="D1265" s="270"/>
      <c r="E1265" s="4"/>
      <c r="F1265" s="4"/>
      <c r="G1265" s="4"/>
      <c r="H1265" s="4"/>
      <c r="I1265" s="4"/>
      <c r="J1265" s="4"/>
      <c r="K1265" s="4"/>
      <c r="L1265" s="4"/>
      <c r="M1265" s="4"/>
      <c r="N1265" s="4"/>
      <c r="O1265" s="4"/>
      <c r="P1265" s="4"/>
      <c r="Q1265" s="4"/>
      <c r="R1265" s="4"/>
      <c r="S1265" s="4"/>
      <c r="T1265" s="4"/>
      <c r="U1265" s="4"/>
      <c r="V1265" s="4"/>
      <c r="W1265" s="4"/>
      <c r="X1265" s="4"/>
    </row>
    <row r="1266" spans="1:24" ht="14.25" customHeight="1">
      <c r="A1266" s="609" t="s">
        <v>722</v>
      </c>
      <c r="B1266" s="808"/>
      <c r="C1266" s="1029"/>
      <c r="D1266" s="270"/>
      <c r="E1266" s="4"/>
      <c r="F1266" s="4"/>
      <c r="G1266" s="4"/>
      <c r="H1266" s="4"/>
      <c r="I1266" s="4"/>
      <c r="J1266" s="4"/>
      <c r="K1266" s="4"/>
      <c r="L1266" s="4"/>
      <c r="M1266" s="4"/>
      <c r="N1266" s="4"/>
      <c r="O1266" s="4"/>
      <c r="P1266" s="4"/>
      <c r="Q1266" s="4"/>
      <c r="R1266" s="4"/>
      <c r="S1266" s="4"/>
      <c r="T1266" s="4"/>
      <c r="U1266" s="4"/>
      <c r="V1266" s="4"/>
      <c r="W1266" s="4"/>
      <c r="X1266" s="4"/>
    </row>
    <row r="1267" spans="1:24" ht="12.75" customHeight="1">
      <c r="A1267" s="609" t="s">
        <v>723</v>
      </c>
      <c r="B1267" s="808"/>
      <c r="C1267" s="1029"/>
      <c r="D1267" s="270"/>
      <c r="E1267" s="4"/>
      <c r="F1267" s="4"/>
      <c r="G1267" s="4"/>
      <c r="H1267" s="4"/>
      <c r="I1267" s="4"/>
      <c r="J1267" s="4"/>
      <c r="K1267" s="4"/>
      <c r="L1267" s="4"/>
      <c r="M1267" s="4"/>
      <c r="N1267" s="4"/>
      <c r="O1267" s="4"/>
      <c r="P1267" s="4"/>
      <c r="Q1267" s="4"/>
      <c r="R1267" s="4"/>
      <c r="S1267" s="4"/>
      <c r="T1267" s="4"/>
      <c r="U1267" s="4"/>
      <c r="V1267" s="4"/>
      <c r="W1267" s="4"/>
      <c r="X1267" s="4"/>
    </row>
    <row r="1268" spans="1:24" ht="12.75" customHeight="1" thickBot="1">
      <c r="A1268" s="1125" t="s">
        <v>0</v>
      </c>
      <c r="B1268" s="982"/>
      <c r="C1268" s="1101"/>
      <c r="D1268" s="270"/>
      <c r="E1268" s="4"/>
      <c r="F1268" s="4"/>
      <c r="G1268" s="4"/>
      <c r="H1268" s="4"/>
      <c r="I1268" s="4"/>
      <c r="J1268" s="4"/>
      <c r="K1268" s="4"/>
      <c r="L1268" s="4"/>
      <c r="M1268" s="4"/>
      <c r="N1268" s="4"/>
      <c r="O1268" s="4"/>
      <c r="P1268" s="4"/>
      <c r="Q1268" s="4"/>
      <c r="R1268" s="4"/>
      <c r="S1268" s="4"/>
      <c r="T1268" s="4"/>
      <c r="U1268" s="4"/>
      <c r="V1268" s="4"/>
      <c r="W1268" s="4"/>
      <c r="X1268" s="4"/>
    </row>
    <row r="1269" spans="1:24" ht="12.75" customHeight="1" thickBot="1">
      <c r="A1269" s="1171" t="s">
        <v>1</v>
      </c>
      <c r="B1269" s="1186"/>
      <c r="C1269" s="1173">
        <f>C1271+C1296+C1315</f>
        <v>37582000</v>
      </c>
      <c r="D1269" s="270"/>
      <c r="E1269" s="3"/>
      <c r="F1269" s="3"/>
      <c r="G1269" s="4"/>
      <c r="H1269" s="4"/>
      <c r="I1269" s="4"/>
      <c r="J1269" s="4"/>
      <c r="K1269" s="4"/>
      <c r="L1269" s="4"/>
      <c r="M1269" s="4"/>
      <c r="N1269" s="4"/>
      <c r="O1269" s="4"/>
      <c r="P1269" s="4"/>
      <c r="Q1269" s="4"/>
      <c r="R1269" s="4"/>
      <c r="S1269" s="4"/>
      <c r="T1269" s="4"/>
      <c r="U1269" s="4"/>
      <c r="V1269" s="4"/>
      <c r="W1269" s="4"/>
      <c r="X1269" s="4"/>
    </row>
    <row r="1270" spans="1:24" ht="12.75" customHeight="1" thickBot="1">
      <c r="A1270" s="1494"/>
      <c r="B1270" s="1495"/>
      <c r="C1270" s="1496"/>
      <c r="D1270" s="270"/>
      <c r="E1270" s="3"/>
      <c r="F1270" s="3"/>
      <c r="G1270" s="4"/>
      <c r="H1270" s="4"/>
      <c r="I1270" s="4"/>
      <c r="J1270" s="4"/>
      <c r="K1270" s="4"/>
      <c r="L1270" s="4"/>
      <c r="M1270" s="4"/>
      <c r="N1270" s="4"/>
      <c r="O1270" s="4"/>
      <c r="P1270" s="4"/>
      <c r="Q1270" s="4"/>
      <c r="R1270" s="4"/>
      <c r="S1270" s="4"/>
      <c r="T1270" s="4"/>
      <c r="U1270" s="4"/>
      <c r="V1270" s="4"/>
      <c r="W1270" s="4"/>
      <c r="X1270" s="4"/>
    </row>
    <row r="1271" spans="1:24" ht="12.75" customHeight="1" thickBot="1">
      <c r="A1271" s="1297" t="s">
        <v>9</v>
      </c>
      <c r="B1271" s="1281"/>
      <c r="C1271" s="62">
        <f>C1272+C1274+C1276+C1278+C1281+C1287+C1290</f>
        <v>5965500</v>
      </c>
      <c r="D1271" s="89"/>
      <c r="E1271" s="4"/>
      <c r="F1271" s="4"/>
      <c r="G1271" s="4"/>
      <c r="H1271" s="4"/>
      <c r="I1271" s="4"/>
      <c r="J1271" s="4"/>
      <c r="K1271" s="4"/>
      <c r="L1271" s="4"/>
      <c r="M1271" s="4"/>
      <c r="N1271" s="4"/>
      <c r="O1271" s="4"/>
      <c r="P1271" s="4"/>
      <c r="Q1271" s="4"/>
      <c r="R1271" s="4"/>
      <c r="S1271" s="4"/>
      <c r="T1271" s="4"/>
      <c r="U1271" s="4"/>
      <c r="V1271" s="4"/>
      <c r="W1271" s="4"/>
      <c r="X1271" s="4"/>
    </row>
    <row r="1272" spans="1:24" ht="12.75" customHeight="1">
      <c r="A1272" s="48">
        <v>211201</v>
      </c>
      <c r="B1272" s="48" t="s">
        <v>459</v>
      </c>
      <c r="C1272" s="49">
        <f>SUM(C1273)</f>
        <v>704000</v>
      </c>
      <c r="D1272" s="272"/>
      <c r="E1272" s="34"/>
      <c r="F1272" s="34"/>
      <c r="G1272" s="34"/>
      <c r="H1272" s="34"/>
      <c r="I1272" s="34"/>
      <c r="J1272" s="34"/>
      <c r="K1272" s="34"/>
      <c r="L1272" s="34"/>
      <c r="M1272" s="34"/>
      <c r="N1272" s="34"/>
      <c r="O1272" s="34"/>
      <c r="P1272" s="34"/>
      <c r="Q1272" s="34"/>
      <c r="R1272" s="34"/>
      <c r="S1272" s="34"/>
      <c r="T1272" s="34"/>
      <c r="U1272" s="34"/>
      <c r="V1272" s="34"/>
      <c r="W1272" s="34"/>
      <c r="X1272" s="34"/>
    </row>
    <row r="1273" spans="1:24" ht="13.5" customHeight="1">
      <c r="A1273" s="33">
        <v>21120101</v>
      </c>
      <c r="B1273" s="23" t="s">
        <v>460</v>
      </c>
      <c r="C1273" s="24">
        <v>704000</v>
      </c>
      <c r="D1273" s="270"/>
      <c r="E1273" s="274"/>
      <c r="F1273" s="23"/>
      <c r="G1273" s="23"/>
      <c r="H1273" s="23"/>
      <c r="I1273" s="23"/>
      <c r="J1273" s="23"/>
      <c r="K1273" s="23"/>
      <c r="L1273" s="23"/>
      <c r="M1273" s="23"/>
      <c r="N1273" s="23"/>
      <c r="O1273" s="23"/>
      <c r="P1273" s="23"/>
      <c r="Q1273" s="23"/>
      <c r="R1273" s="23"/>
      <c r="S1273" s="23"/>
      <c r="T1273" s="23"/>
      <c r="U1273" s="23"/>
      <c r="V1273" s="23"/>
      <c r="W1273" s="23"/>
      <c r="X1273" s="23"/>
    </row>
    <row r="1274" spans="1:24" ht="13.5" customHeight="1">
      <c r="A1274" s="48">
        <v>211202</v>
      </c>
      <c r="B1274" s="15" t="s">
        <v>529</v>
      </c>
      <c r="C1274" s="26">
        <f>C1275</f>
        <v>40000</v>
      </c>
      <c r="D1274" s="272"/>
      <c r="E1274" s="274"/>
      <c r="F1274" s="23"/>
      <c r="G1274" s="23"/>
      <c r="H1274" s="23"/>
      <c r="I1274" s="23"/>
      <c r="J1274" s="23"/>
      <c r="K1274" s="23"/>
      <c r="L1274" s="23"/>
      <c r="M1274" s="23"/>
      <c r="N1274" s="23"/>
      <c r="O1274" s="23"/>
      <c r="P1274" s="23"/>
      <c r="Q1274" s="23"/>
      <c r="R1274" s="23"/>
      <c r="S1274" s="23"/>
      <c r="T1274" s="23"/>
      <c r="U1274" s="23"/>
      <c r="V1274" s="23"/>
      <c r="W1274" s="23"/>
      <c r="X1274" s="23"/>
    </row>
    <row r="1275" spans="1:24" ht="13.5" customHeight="1">
      <c r="A1275" s="33">
        <v>21120201</v>
      </c>
      <c r="B1275" s="13" t="s">
        <v>540</v>
      </c>
      <c r="C1275" s="24">
        <v>40000</v>
      </c>
      <c r="D1275" s="272"/>
      <c r="E1275" s="274"/>
      <c r="F1275" s="23"/>
      <c r="G1275" s="23"/>
      <c r="H1275" s="23"/>
      <c r="I1275" s="23"/>
      <c r="J1275" s="23"/>
      <c r="K1275" s="23"/>
      <c r="L1275" s="23"/>
      <c r="M1275" s="23"/>
      <c r="N1275" s="23"/>
      <c r="O1275" s="23"/>
      <c r="P1275" s="23"/>
      <c r="Q1275" s="23"/>
      <c r="R1275" s="23"/>
      <c r="S1275" s="23"/>
      <c r="T1275" s="23"/>
      <c r="U1275" s="23"/>
      <c r="V1275" s="23"/>
      <c r="W1275" s="23"/>
      <c r="X1275" s="23"/>
    </row>
    <row r="1276" spans="1:24" ht="12.75" customHeight="1">
      <c r="A1276" s="48">
        <v>211203</v>
      </c>
      <c r="B1276" s="21" t="s">
        <v>461</v>
      </c>
      <c r="C1276" s="49">
        <f>C1277</f>
        <v>767000</v>
      </c>
      <c r="D1276" s="274"/>
      <c r="E1276" s="34"/>
      <c r="F1276" s="34"/>
      <c r="G1276" s="34"/>
      <c r="H1276" s="34"/>
      <c r="I1276" s="34"/>
      <c r="J1276" s="34"/>
      <c r="K1276" s="34"/>
      <c r="L1276" s="34"/>
      <c r="M1276" s="34"/>
      <c r="N1276" s="34"/>
      <c r="O1276" s="34"/>
      <c r="P1276" s="34"/>
      <c r="Q1276" s="34"/>
      <c r="R1276" s="34"/>
      <c r="S1276" s="34"/>
      <c r="T1276" s="34"/>
      <c r="U1276" s="34"/>
      <c r="V1276" s="34"/>
      <c r="W1276" s="34"/>
      <c r="X1276" s="34"/>
    </row>
    <row r="1277" spans="1:24" ht="12.75" customHeight="1">
      <c r="A1277" s="33">
        <v>21120302</v>
      </c>
      <c r="B1277" s="23" t="s">
        <v>462</v>
      </c>
      <c r="C1277" s="24">
        <v>767000</v>
      </c>
      <c r="D1277" s="123"/>
      <c r="E1277" s="4"/>
      <c r="F1277" s="4"/>
      <c r="G1277" s="4"/>
      <c r="H1277" s="4"/>
      <c r="I1277" s="4"/>
      <c r="J1277" s="4"/>
      <c r="K1277" s="4"/>
      <c r="L1277" s="4"/>
      <c r="M1277" s="4"/>
      <c r="N1277" s="4"/>
      <c r="O1277" s="4"/>
      <c r="P1277" s="4"/>
      <c r="Q1277" s="4"/>
      <c r="R1277" s="4"/>
      <c r="S1277" s="4"/>
      <c r="T1277" s="4"/>
      <c r="U1277" s="4"/>
      <c r="V1277" s="4"/>
      <c r="W1277" s="4"/>
      <c r="X1277" s="4"/>
    </row>
    <row r="1278" spans="1:24" ht="12.75" customHeight="1">
      <c r="A1278" s="48">
        <v>211204</v>
      </c>
      <c r="B1278" s="21" t="s">
        <v>463</v>
      </c>
      <c r="C1278" s="26">
        <f>+SUM(C1279:C1280)</f>
        <v>565500</v>
      </c>
      <c r="D1278" s="270"/>
      <c r="E1278" s="4"/>
      <c r="F1278" s="4"/>
      <c r="G1278" s="4"/>
      <c r="H1278" s="4"/>
      <c r="I1278" s="4"/>
      <c r="J1278" s="4"/>
      <c r="K1278" s="4"/>
      <c r="L1278" s="4"/>
      <c r="M1278" s="4"/>
      <c r="N1278" s="4"/>
      <c r="O1278" s="4"/>
      <c r="P1278" s="4"/>
      <c r="Q1278" s="4"/>
      <c r="R1278" s="4"/>
      <c r="S1278" s="4"/>
      <c r="T1278" s="4"/>
      <c r="U1278" s="4"/>
      <c r="V1278" s="4"/>
      <c r="W1278" s="4"/>
      <c r="X1278" s="4"/>
    </row>
    <row r="1279" spans="1:24" ht="12.75" customHeight="1">
      <c r="A1279" s="33">
        <v>21120401</v>
      </c>
      <c r="B1279" s="24" t="s">
        <v>464</v>
      </c>
      <c r="C1279" s="24">
        <v>475500</v>
      </c>
      <c r="D1279" s="270"/>
      <c r="E1279" s="274"/>
      <c r="F1279" s="4"/>
      <c r="G1279" s="4"/>
      <c r="H1279" s="4"/>
      <c r="I1279" s="4"/>
      <c r="J1279" s="4"/>
      <c r="K1279" s="4"/>
      <c r="L1279" s="4"/>
      <c r="M1279" s="4"/>
      <c r="N1279" s="4"/>
      <c r="O1279" s="4"/>
      <c r="P1279" s="4"/>
      <c r="Q1279" s="4"/>
      <c r="R1279" s="4"/>
      <c r="S1279" s="4"/>
      <c r="T1279" s="4"/>
      <c r="U1279" s="4"/>
      <c r="V1279" s="4"/>
      <c r="W1279" s="4"/>
      <c r="X1279" s="4"/>
    </row>
    <row r="1280" spans="1:24" ht="12.75" customHeight="1">
      <c r="A1280" s="33">
        <v>21120403</v>
      </c>
      <c r="B1280" s="13" t="s">
        <v>656</v>
      </c>
      <c r="C1280" s="24">
        <v>90000</v>
      </c>
      <c r="D1280" s="270"/>
      <c r="E1280" s="274"/>
      <c r="F1280" s="4"/>
      <c r="G1280" s="4"/>
      <c r="H1280" s="4"/>
      <c r="I1280" s="4"/>
      <c r="J1280" s="4"/>
      <c r="K1280" s="4"/>
      <c r="L1280" s="4"/>
      <c r="M1280" s="4"/>
      <c r="N1280" s="4"/>
      <c r="O1280" s="4"/>
      <c r="P1280" s="4"/>
      <c r="Q1280" s="4"/>
      <c r="R1280" s="4"/>
      <c r="S1280" s="4"/>
      <c r="T1280" s="4"/>
      <c r="U1280" s="4"/>
      <c r="V1280" s="4"/>
      <c r="W1280" s="4"/>
      <c r="X1280" s="4"/>
    </row>
    <row r="1281" spans="1:24" ht="12.75" customHeight="1">
      <c r="A1281" s="48">
        <v>211207</v>
      </c>
      <c r="B1281" s="603" t="s">
        <v>467</v>
      </c>
      <c r="C1281" s="26">
        <f>+SUM(C1282:C1286)</f>
        <v>2007000</v>
      </c>
      <c r="D1281" s="270"/>
      <c r="E1281" s="274"/>
      <c r="F1281" s="4"/>
      <c r="G1281" s="4"/>
      <c r="H1281" s="4"/>
      <c r="I1281" s="4"/>
      <c r="J1281" s="4"/>
      <c r="K1281" s="4"/>
      <c r="L1281" s="4"/>
      <c r="M1281" s="4"/>
      <c r="N1281" s="4"/>
      <c r="O1281" s="4"/>
      <c r="P1281" s="4"/>
      <c r="Q1281" s="4"/>
      <c r="R1281" s="4"/>
      <c r="S1281" s="4"/>
      <c r="T1281" s="4"/>
      <c r="U1281" s="4"/>
      <c r="V1281" s="4"/>
      <c r="W1281" s="4"/>
      <c r="X1281" s="4"/>
    </row>
    <row r="1282" spans="1:24" ht="12.75" customHeight="1">
      <c r="A1282" s="33">
        <v>21120702</v>
      </c>
      <c r="B1282" s="24" t="s">
        <v>468</v>
      </c>
      <c r="C1282" s="24">
        <v>1469000</v>
      </c>
      <c r="D1282" s="270"/>
      <c r="E1282" s="274"/>
      <c r="F1282" s="4"/>
      <c r="G1282" s="4"/>
      <c r="H1282" s="4"/>
      <c r="I1282" s="4"/>
      <c r="J1282" s="4"/>
      <c r="K1282" s="4"/>
      <c r="L1282" s="4"/>
      <c r="M1282" s="4"/>
      <c r="N1282" s="4"/>
      <c r="O1282" s="4"/>
      <c r="P1282" s="4"/>
      <c r="Q1282" s="4"/>
      <c r="R1282" s="4"/>
      <c r="S1282" s="4"/>
      <c r="T1282" s="4"/>
      <c r="U1282" s="4"/>
      <c r="V1282" s="4"/>
      <c r="W1282" s="4"/>
      <c r="X1282" s="4"/>
    </row>
    <row r="1283" spans="1:24" ht="12.75" customHeight="1">
      <c r="A1283" s="33">
        <v>21120706</v>
      </c>
      <c r="B1283" s="13" t="s">
        <v>542</v>
      </c>
      <c r="C1283" s="24">
        <v>60000</v>
      </c>
      <c r="D1283" s="270"/>
      <c r="E1283" s="274"/>
      <c r="F1283" s="4"/>
      <c r="G1283" s="4"/>
      <c r="H1283" s="4"/>
      <c r="I1283" s="4"/>
      <c r="J1283" s="4"/>
      <c r="K1283" s="4"/>
      <c r="L1283" s="4"/>
      <c r="M1283" s="4"/>
      <c r="N1283" s="4"/>
      <c r="O1283" s="4"/>
      <c r="P1283" s="4"/>
      <c r="Q1283" s="4"/>
      <c r="R1283" s="4"/>
      <c r="S1283" s="4"/>
      <c r="T1283" s="4"/>
      <c r="U1283" s="4"/>
      <c r="V1283" s="4"/>
      <c r="W1283" s="4"/>
      <c r="X1283" s="4"/>
    </row>
    <row r="1284" spans="1:24" ht="12.75" customHeight="1">
      <c r="A1284" s="33">
        <v>21120707</v>
      </c>
      <c r="B1284" s="13" t="s">
        <v>516</v>
      </c>
      <c r="C1284" s="24">
        <v>120000</v>
      </c>
      <c r="D1284" s="13"/>
      <c r="E1284" s="13"/>
      <c r="F1284" s="13"/>
      <c r="G1284" s="13"/>
      <c r="H1284" s="13"/>
      <c r="I1284" s="13"/>
      <c r="J1284" s="13"/>
      <c r="K1284" s="13"/>
      <c r="L1284" s="13"/>
      <c r="M1284" s="13"/>
      <c r="N1284" s="13"/>
      <c r="O1284" s="13"/>
      <c r="P1284" s="13"/>
      <c r="Q1284" s="13"/>
      <c r="R1284" s="13"/>
      <c r="S1284" s="13"/>
      <c r="T1284" s="13"/>
      <c r="U1284" s="13"/>
      <c r="V1284" s="13"/>
      <c r="W1284" s="13"/>
      <c r="X1284" s="4"/>
    </row>
    <row r="1285" spans="1:24" ht="12.75" customHeight="1">
      <c r="A1285" s="33">
        <v>21120709</v>
      </c>
      <c r="B1285" s="24" t="s">
        <v>471</v>
      </c>
      <c r="C1285" s="24">
        <v>15000</v>
      </c>
      <c r="D1285" s="8"/>
      <c r="E1285" s="8"/>
      <c r="F1285" s="8"/>
      <c r="G1285" s="8"/>
      <c r="H1285" s="8"/>
      <c r="I1285" s="8"/>
      <c r="J1285" s="8"/>
      <c r="K1285" s="8"/>
      <c r="L1285" s="8"/>
      <c r="M1285" s="8"/>
      <c r="N1285" s="8"/>
      <c r="O1285" s="8"/>
      <c r="P1285" s="8"/>
      <c r="Q1285" s="8"/>
      <c r="R1285" s="8"/>
      <c r="S1285" s="8"/>
      <c r="T1285" s="8"/>
      <c r="U1285" s="8"/>
      <c r="V1285" s="8"/>
      <c r="W1285" s="8"/>
      <c r="X1285" s="8"/>
    </row>
    <row r="1286" spans="1:24" ht="12.75" customHeight="1">
      <c r="A1286" s="33">
        <v>21120710</v>
      </c>
      <c r="B1286" s="24" t="s">
        <v>472</v>
      </c>
      <c r="C1286" s="24">
        <v>343000</v>
      </c>
      <c r="D1286" s="8"/>
      <c r="E1286" s="8"/>
      <c r="F1286" s="8"/>
      <c r="G1286" s="8"/>
      <c r="H1286" s="8"/>
      <c r="I1286" s="8"/>
      <c r="J1286" s="8"/>
      <c r="K1286" s="8"/>
      <c r="L1286" s="8"/>
      <c r="M1286" s="8"/>
      <c r="N1286" s="8"/>
      <c r="O1286" s="8"/>
      <c r="P1286" s="8"/>
      <c r="Q1286" s="8"/>
      <c r="R1286" s="8"/>
      <c r="S1286" s="8"/>
      <c r="T1286" s="8"/>
      <c r="U1286" s="8"/>
      <c r="V1286" s="8"/>
      <c r="W1286" s="8"/>
      <c r="X1286" s="8"/>
    </row>
    <row r="1287" spans="1:24" ht="12.75" customHeight="1">
      <c r="A1287" s="48">
        <v>211208</v>
      </c>
      <c r="B1287" s="26" t="s">
        <v>474</v>
      </c>
      <c r="C1287" s="26">
        <f>+SUM(C1288:C1289)</f>
        <v>1060000</v>
      </c>
      <c r="D1287" s="270"/>
      <c r="E1287" s="274"/>
      <c r="F1287" s="4"/>
      <c r="G1287" s="4"/>
      <c r="H1287" s="4"/>
      <c r="I1287" s="4"/>
      <c r="J1287" s="4"/>
      <c r="K1287" s="4"/>
      <c r="L1287" s="4"/>
      <c r="M1287" s="4"/>
      <c r="N1287" s="4"/>
      <c r="O1287" s="4"/>
      <c r="P1287" s="4"/>
      <c r="Q1287" s="4"/>
      <c r="R1287" s="4"/>
      <c r="S1287" s="4"/>
      <c r="T1287" s="4"/>
      <c r="U1287" s="4"/>
      <c r="V1287" s="4"/>
      <c r="W1287" s="4"/>
      <c r="X1287" s="4"/>
    </row>
    <row r="1288" spans="1:24" ht="12.75" customHeight="1">
      <c r="A1288" s="33">
        <v>21120803</v>
      </c>
      <c r="B1288" s="24" t="s">
        <v>517</v>
      </c>
      <c r="C1288" s="24">
        <v>908500</v>
      </c>
      <c r="D1288" s="270"/>
      <c r="E1288" s="274"/>
      <c r="F1288" s="4"/>
      <c r="G1288" s="4"/>
      <c r="H1288" s="4"/>
      <c r="I1288" s="4"/>
      <c r="J1288" s="4"/>
      <c r="K1288" s="4"/>
      <c r="L1288" s="4"/>
      <c r="M1288" s="4"/>
      <c r="N1288" s="4"/>
      <c r="O1288" s="4"/>
      <c r="P1288" s="4"/>
      <c r="Q1288" s="4"/>
      <c r="R1288" s="4"/>
      <c r="S1288" s="4"/>
      <c r="T1288" s="4"/>
      <c r="U1288" s="4"/>
      <c r="V1288" s="4"/>
      <c r="W1288" s="4"/>
      <c r="X1288" s="4"/>
    </row>
    <row r="1289" spans="1:24" ht="12.75" customHeight="1">
      <c r="A1289" s="33">
        <v>21120805</v>
      </c>
      <c r="B1289" s="24" t="s">
        <v>476</v>
      </c>
      <c r="C1289" s="24">
        <v>151500</v>
      </c>
      <c r="D1289" s="270"/>
      <c r="E1289" s="274"/>
      <c r="F1289" s="4"/>
      <c r="G1289" s="4"/>
      <c r="H1289" s="4"/>
      <c r="I1289" s="4"/>
      <c r="J1289" s="4"/>
      <c r="K1289" s="4"/>
      <c r="L1289" s="4"/>
      <c r="M1289" s="4"/>
      <c r="N1289" s="4"/>
      <c r="O1289" s="4"/>
      <c r="P1289" s="4"/>
      <c r="Q1289" s="4"/>
      <c r="R1289" s="4"/>
      <c r="S1289" s="4"/>
      <c r="T1289" s="4"/>
      <c r="U1289" s="4"/>
      <c r="V1289" s="4"/>
      <c r="W1289" s="4"/>
      <c r="X1289" s="4"/>
    </row>
    <row r="1290" spans="1:24" ht="12.75" customHeight="1">
      <c r="A1290" s="48">
        <v>211209</v>
      </c>
      <c r="B1290" s="26" t="s">
        <v>477</v>
      </c>
      <c r="C1290" s="26">
        <f>+SUM(C1291:C1294)</f>
        <v>822000</v>
      </c>
      <c r="D1290" s="270"/>
      <c r="E1290" s="274"/>
      <c r="F1290" s="4"/>
      <c r="G1290" s="4"/>
      <c r="H1290" s="4"/>
      <c r="I1290" s="4"/>
      <c r="J1290" s="4"/>
      <c r="K1290" s="4"/>
      <c r="L1290" s="4"/>
      <c r="M1290" s="4"/>
      <c r="N1290" s="4"/>
      <c r="O1290" s="4"/>
      <c r="P1290" s="4"/>
      <c r="Q1290" s="4"/>
      <c r="R1290" s="4"/>
      <c r="S1290" s="4"/>
      <c r="T1290" s="4"/>
      <c r="U1290" s="4"/>
      <c r="V1290" s="4"/>
      <c r="W1290" s="4"/>
      <c r="X1290" s="4"/>
    </row>
    <row r="1291" spans="1:24" ht="12.75" customHeight="1">
      <c r="A1291" s="33">
        <v>21120901</v>
      </c>
      <c r="B1291" s="24" t="s">
        <v>478</v>
      </c>
      <c r="C1291" s="24">
        <v>7000</v>
      </c>
      <c r="D1291" s="270"/>
      <c r="E1291" s="274"/>
      <c r="F1291" s="4"/>
      <c r="G1291" s="4"/>
      <c r="H1291" s="4"/>
      <c r="I1291" s="4"/>
      <c r="J1291" s="4"/>
      <c r="K1291" s="4"/>
      <c r="L1291" s="4"/>
      <c r="M1291" s="4"/>
      <c r="N1291" s="4"/>
      <c r="O1291" s="4"/>
      <c r="P1291" s="4"/>
      <c r="Q1291" s="4"/>
      <c r="R1291" s="4"/>
      <c r="S1291" s="4"/>
      <c r="T1291" s="4"/>
      <c r="U1291" s="4"/>
      <c r="V1291" s="4"/>
      <c r="W1291" s="4"/>
      <c r="X1291" s="4"/>
    </row>
    <row r="1292" spans="1:24" ht="12.75" customHeight="1">
      <c r="A1292" s="33">
        <v>21120905</v>
      </c>
      <c r="B1292" s="24" t="s">
        <v>525</v>
      </c>
      <c r="C1292" s="24">
        <v>5000</v>
      </c>
      <c r="D1292" s="270"/>
      <c r="E1292" s="274"/>
      <c r="F1292" s="4"/>
      <c r="G1292" s="4"/>
      <c r="H1292" s="4"/>
      <c r="I1292" s="4"/>
      <c r="J1292" s="4"/>
      <c r="K1292" s="4"/>
      <c r="L1292" s="4"/>
      <c r="M1292" s="4"/>
      <c r="N1292" s="4"/>
      <c r="O1292" s="4"/>
      <c r="P1292" s="4"/>
      <c r="Q1292" s="4"/>
      <c r="R1292" s="4"/>
      <c r="S1292" s="4"/>
      <c r="T1292" s="4"/>
      <c r="U1292" s="4"/>
      <c r="V1292" s="4"/>
      <c r="W1292" s="4"/>
      <c r="X1292" s="4"/>
    </row>
    <row r="1293" spans="1:24" ht="12.75" customHeight="1">
      <c r="A1293" s="33">
        <v>21120906</v>
      </c>
      <c r="B1293" s="24" t="s">
        <v>479</v>
      </c>
      <c r="C1293" s="24">
        <v>60000</v>
      </c>
      <c r="D1293" s="270"/>
      <c r="E1293" s="274"/>
      <c r="F1293" s="4"/>
      <c r="G1293" s="4"/>
      <c r="H1293" s="4"/>
      <c r="I1293" s="4"/>
      <c r="J1293" s="4"/>
      <c r="K1293" s="4"/>
      <c r="L1293" s="4"/>
      <c r="M1293" s="4"/>
      <c r="N1293" s="4"/>
      <c r="O1293" s="4"/>
      <c r="P1293" s="4"/>
      <c r="Q1293" s="4"/>
      <c r="R1293" s="4"/>
      <c r="S1293" s="4"/>
      <c r="T1293" s="4"/>
      <c r="U1293" s="4"/>
      <c r="V1293" s="4"/>
      <c r="W1293" s="4"/>
      <c r="X1293" s="4"/>
    </row>
    <row r="1294" spans="1:24" ht="12.75" customHeight="1">
      <c r="A1294" s="33">
        <v>21120907</v>
      </c>
      <c r="B1294" s="13" t="s">
        <v>480</v>
      </c>
      <c r="C1294" s="24">
        <v>750000</v>
      </c>
      <c r="D1294" s="270"/>
      <c r="E1294" s="274"/>
      <c r="F1294" s="4"/>
      <c r="G1294" s="4"/>
      <c r="H1294" s="4"/>
      <c r="I1294" s="4"/>
      <c r="J1294" s="4"/>
      <c r="K1294" s="4"/>
      <c r="L1294" s="4"/>
      <c r="M1294" s="4"/>
      <c r="N1294" s="4"/>
      <c r="O1294" s="4"/>
      <c r="P1294" s="4"/>
      <c r="Q1294" s="4"/>
      <c r="R1294" s="4"/>
      <c r="S1294" s="4"/>
      <c r="T1294" s="4"/>
      <c r="U1294" s="4"/>
      <c r="V1294" s="4"/>
      <c r="W1294" s="4"/>
      <c r="X1294" s="4"/>
    </row>
    <row r="1295" spans="1:24" ht="12.75" customHeight="1" thickBot="1">
      <c r="A1295" s="23"/>
      <c r="B1295" s="24"/>
      <c r="C1295" s="24"/>
      <c r="D1295" s="270"/>
      <c r="E1295" s="274"/>
      <c r="F1295" s="4"/>
      <c r="G1295" s="4"/>
      <c r="H1295" s="4"/>
      <c r="I1295" s="4"/>
      <c r="J1295" s="4"/>
      <c r="K1295" s="4"/>
      <c r="L1295" s="4"/>
      <c r="M1295" s="4"/>
      <c r="N1295" s="4"/>
      <c r="O1295" s="4"/>
      <c r="P1295" s="4"/>
      <c r="Q1295" s="4"/>
      <c r="R1295" s="4"/>
      <c r="S1295" s="4"/>
      <c r="T1295" s="4"/>
      <c r="U1295" s="4"/>
      <c r="V1295" s="4"/>
      <c r="W1295" s="4"/>
      <c r="X1295" s="4"/>
    </row>
    <row r="1296" spans="1:24" ht="12.75" customHeight="1" thickBot="1">
      <c r="A1296" s="1298" t="s">
        <v>4</v>
      </c>
      <c r="B1296" s="1281"/>
      <c r="C1296" s="64">
        <f>C1297+C1299+C1303+C1307+C1309</f>
        <v>26966500</v>
      </c>
      <c r="D1296" s="270"/>
      <c r="E1296" s="4"/>
      <c r="F1296" s="4"/>
      <c r="G1296" s="4"/>
      <c r="H1296" s="4"/>
      <c r="I1296" s="4"/>
      <c r="J1296" s="4"/>
      <c r="K1296" s="4"/>
      <c r="L1296" s="4"/>
      <c r="M1296" s="4"/>
      <c r="N1296" s="4"/>
      <c r="O1296" s="4"/>
      <c r="P1296" s="4"/>
      <c r="Q1296" s="4"/>
      <c r="R1296" s="4"/>
      <c r="S1296" s="4"/>
      <c r="T1296" s="4"/>
      <c r="U1296" s="4"/>
      <c r="V1296" s="4"/>
      <c r="W1296" s="4"/>
      <c r="X1296" s="4"/>
    </row>
    <row r="1297" spans="1:24" ht="12.75" customHeight="1">
      <c r="A1297" s="48">
        <v>211302</v>
      </c>
      <c r="B1297" s="48" t="s">
        <v>481</v>
      </c>
      <c r="C1297" s="49">
        <f>SUM(C1298)</f>
        <v>295000</v>
      </c>
      <c r="D1297" s="272"/>
      <c r="E1297" s="34"/>
      <c r="F1297" s="34"/>
      <c r="G1297" s="34"/>
      <c r="H1297" s="34"/>
      <c r="I1297" s="34"/>
      <c r="J1297" s="34"/>
      <c r="K1297" s="34"/>
      <c r="L1297" s="34"/>
      <c r="M1297" s="34"/>
      <c r="N1297" s="34"/>
      <c r="O1297" s="34"/>
      <c r="P1297" s="34"/>
      <c r="Q1297" s="34"/>
      <c r="R1297" s="34"/>
      <c r="S1297" s="34"/>
      <c r="T1297" s="34"/>
      <c r="U1297" s="34"/>
      <c r="V1297" s="34"/>
      <c r="W1297" s="34"/>
      <c r="X1297" s="34"/>
    </row>
    <row r="1298" spans="1:24" ht="13.5" customHeight="1">
      <c r="A1298" s="33">
        <v>21130204</v>
      </c>
      <c r="B1298" s="24" t="s">
        <v>483</v>
      </c>
      <c r="C1298" s="24">
        <v>295000</v>
      </c>
      <c r="D1298" s="270"/>
      <c r="E1298" s="89"/>
      <c r="F1298" s="24"/>
      <c r="G1298" s="23"/>
      <c r="H1298" s="23"/>
      <c r="I1298" s="23"/>
      <c r="J1298" s="23"/>
      <c r="K1298" s="23"/>
      <c r="L1298" s="23"/>
      <c r="M1298" s="23"/>
      <c r="N1298" s="23"/>
      <c r="O1298" s="23"/>
      <c r="P1298" s="23"/>
      <c r="Q1298" s="23"/>
      <c r="R1298" s="23"/>
      <c r="S1298" s="23"/>
      <c r="T1298" s="23"/>
      <c r="U1298" s="23"/>
      <c r="V1298" s="23"/>
      <c r="W1298" s="23"/>
      <c r="X1298" s="23"/>
    </row>
    <row r="1299" spans="1:24" ht="13.5" customHeight="1">
      <c r="A1299" s="48">
        <v>211303</v>
      </c>
      <c r="B1299" s="26" t="s">
        <v>484</v>
      </c>
      <c r="C1299" s="26">
        <f>+SUM(C1300:C1302)</f>
        <v>6413500</v>
      </c>
      <c r="D1299" s="270"/>
      <c r="E1299" s="89"/>
      <c r="F1299" s="24"/>
      <c r="G1299" s="23"/>
      <c r="H1299" s="23"/>
      <c r="I1299" s="23"/>
      <c r="J1299" s="23"/>
      <c r="K1299" s="23"/>
      <c r="L1299" s="23"/>
      <c r="M1299" s="23"/>
      <c r="N1299" s="23"/>
      <c r="O1299" s="23"/>
      <c r="P1299" s="23"/>
      <c r="Q1299" s="23"/>
      <c r="R1299" s="23"/>
      <c r="S1299" s="23"/>
      <c r="T1299" s="23"/>
      <c r="U1299" s="23"/>
      <c r="V1299" s="23"/>
      <c r="W1299" s="23"/>
      <c r="X1299" s="23"/>
    </row>
    <row r="1300" spans="1:24" ht="13.5" customHeight="1">
      <c r="A1300" s="33">
        <v>21130301</v>
      </c>
      <c r="B1300" s="23" t="s">
        <v>485</v>
      </c>
      <c r="C1300" s="24">
        <v>4859500</v>
      </c>
      <c r="D1300" s="273"/>
      <c r="E1300" s="89"/>
      <c r="F1300" s="24"/>
      <c r="G1300" s="23"/>
      <c r="H1300" s="23"/>
      <c r="I1300" s="23"/>
      <c r="J1300" s="23"/>
      <c r="K1300" s="23"/>
      <c r="L1300" s="23"/>
      <c r="M1300" s="23"/>
      <c r="N1300" s="23"/>
      <c r="O1300" s="23"/>
      <c r="P1300" s="23"/>
      <c r="Q1300" s="23"/>
      <c r="R1300" s="23"/>
      <c r="S1300" s="23"/>
      <c r="T1300" s="23"/>
      <c r="U1300" s="23"/>
      <c r="V1300" s="23"/>
      <c r="W1300" s="23"/>
      <c r="X1300" s="23"/>
    </row>
    <row r="1301" spans="1:24" ht="13.5" customHeight="1">
      <c r="A1301" s="33">
        <v>21130306</v>
      </c>
      <c r="B1301" s="23" t="s">
        <v>487</v>
      </c>
      <c r="C1301" s="72">
        <v>60000</v>
      </c>
      <c r="D1301" s="117"/>
      <c r="E1301" s="35"/>
      <c r="F1301" s="35"/>
      <c r="G1301" s="126"/>
      <c r="H1301" s="35"/>
      <c r="I1301" s="35"/>
      <c r="J1301" s="35"/>
      <c r="K1301" s="35"/>
      <c r="L1301" s="35"/>
      <c r="M1301" s="35"/>
      <c r="N1301" s="35"/>
      <c r="O1301" s="35"/>
      <c r="P1301" s="35"/>
      <c r="Q1301" s="35"/>
      <c r="R1301" s="35"/>
      <c r="S1301" s="35"/>
      <c r="T1301" s="35"/>
      <c r="U1301" s="35"/>
      <c r="V1301" s="35"/>
      <c r="W1301" s="35"/>
      <c r="X1301" s="35"/>
    </row>
    <row r="1302" spans="1:24" ht="13.5" customHeight="1">
      <c r="A1302" s="33">
        <v>21130307</v>
      </c>
      <c r="B1302" s="23" t="s">
        <v>488</v>
      </c>
      <c r="C1302" s="24">
        <v>1494000</v>
      </c>
      <c r="D1302" s="123"/>
      <c r="E1302" s="89"/>
      <c r="F1302" s="24"/>
      <c r="G1302" s="23"/>
      <c r="H1302" s="23"/>
      <c r="I1302" s="23"/>
      <c r="J1302" s="23"/>
      <c r="K1302" s="23"/>
      <c r="L1302" s="23"/>
      <c r="M1302" s="23"/>
      <c r="N1302" s="23"/>
      <c r="O1302" s="23"/>
      <c r="P1302" s="23"/>
      <c r="Q1302" s="23"/>
      <c r="R1302" s="23"/>
      <c r="S1302" s="23"/>
      <c r="T1302" s="23"/>
      <c r="U1302" s="23"/>
      <c r="V1302" s="23"/>
      <c r="W1302" s="23"/>
      <c r="X1302" s="23"/>
    </row>
    <row r="1303" spans="1:24" ht="13.5" customHeight="1">
      <c r="A1303" s="48">
        <v>211305</v>
      </c>
      <c r="B1303" s="26" t="s">
        <v>489</v>
      </c>
      <c r="C1303" s="26">
        <f>+SUM(C1304:C1306)</f>
        <v>5738000</v>
      </c>
      <c r="D1303" s="123"/>
      <c r="E1303" s="89"/>
      <c r="F1303" s="24"/>
      <c r="G1303" s="23"/>
      <c r="H1303" s="23"/>
      <c r="I1303" s="23"/>
      <c r="J1303" s="23"/>
      <c r="K1303" s="23"/>
      <c r="L1303" s="23"/>
      <c r="M1303" s="23"/>
      <c r="N1303" s="23"/>
      <c r="O1303" s="23"/>
      <c r="P1303" s="23"/>
      <c r="Q1303" s="23"/>
      <c r="R1303" s="23"/>
      <c r="S1303" s="23"/>
      <c r="T1303" s="23"/>
      <c r="U1303" s="23"/>
      <c r="V1303" s="23"/>
      <c r="W1303" s="23"/>
      <c r="X1303" s="23"/>
    </row>
    <row r="1304" spans="1:24" ht="13.5" customHeight="1">
      <c r="A1304" s="33">
        <v>21130501</v>
      </c>
      <c r="B1304" s="13" t="s">
        <v>490</v>
      </c>
      <c r="C1304" s="24">
        <v>18000</v>
      </c>
      <c r="D1304" s="123"/>
      <c r="E1304" s="89"/>
      <c r="F1304" s="24"/>
      <c r="G1304" s="23"/>
      <c r="H1304" s="23"/>
      <c r="I1304" s="23"/>
      <c r="J1304" s="23"/>
      <c r="K1304" s="23"/>
      <c r="L1304" s="23"/>
      <c r="M1304" s="23"/>
      <c r="N1304" s="23"/>
      <c r="O1304" s="23"/>
      <c r="P1304" s="23"/>
      <c r="Q1304" s="23"/>
      <c r="R1304" s="23"/>
      <c r="S1304" s="23"/>
      <c r="T1304" s="23"/>
      <c r="U1304" s="23"/>
      <c r="V1304" s="23"/>
      <c r="W1304" s="23"/>
      <c r="X1304" s="23"/>
    </row>
    <row r="1305" spans="1:24" ht="13.5" customHeight="1">
      <c r="A1305" s="33">
        <v>21130502</v>
      </c>
      <c r="B1305" s="23" t="s">
        <v>491</v>
      </c>
      <c r="C1305" s="24">
        <v>3262000</v>
      </c>
      <c r="D1305" s="275"/>
      <c r="E1305" s="89"/>
      <c r="F1305" s="24"/>
      <c r="G1305" s="23"/>
      <c r="H1305" s="23"/>
      <c r="I1305" s="23"/>
      <c r="J1305" s="23"/>
      <c r="K1305" s="23"/>
      <c r="L1305" s="23"/>
      <c r="M1305" s="23"/>
      <c r="N1305" s="23"/>
      <c r="O1305" s="23"/>
      <c r="P1305" s="23"/>
      <c r="Q1305" s="23"/>
      <c r="R1305" s="23"/>
      <c r="S1305" s="23"/>
      <c r="T1305" s="23"/>
      <c r="U1305" s="23"/>
      <c r="V1305" s="23"/>
      <c r="W1305" s="23"/>
      <c r="X1305" s="23"/>
    </row>
    <row r="1306" spans="1:24" ht="13.5" customHeight="1">
      <c r="A1306" s="33">
        <v>21130505</v>
      </c>
      <c r="B1306" s="13" t="s">
        <v>651</v>
      </c>
      <c r="C1306" s="24">
        <v>2458000</v>
      </c>
      <c r="D1306" s="123"/>
      <c r="E1306" s="89"/>
      <c r="F1306" s="23"/>
      <c r="G1306" s="23"/>
      <c r="H1306" s="24"/>
      <c r="I1306" s="23"/>
      <c r="J1306" s="23"/>
      <c r="K1306" s="23"/>
      <c r="L1306" s="23"/>
      <c r="M1306" s="23"/>
      <c r="N1306" s="23"/>
      <c r="O1306" s="23"/>
      <c r="P1306" s="23"/>
      <c r="Q1306" s="23"/>
      <c r="R1306" s="23"/>
      <c r="S1306" s="23"/>
      <c r="T1306" s="23"/>
      <c r="U1306" s="23"/>
      <c r="V1306" s="23"/>
      <c r="W1306" s="23"/>
      <c r="X1306" s="23"/>
    </row>
    <row r="1307" spans="1:24" ht="13.5" customHeight="1">
      <c r="A1307" s="48">
        <v>211306</v>
      </c>
      <c r="B1307" s="21" t="s">
        <v>492</v>
      </c>
      <c r="C1307" s="26">
        <f>C1308</f>
        <v>465500</v>
      </c>
      <c r="D1307" s="275"/>
      <c r="E1307" s="89"/>
      <c r="F1307" s="24"/>
      <c r="G1307" s="23"/>
      <c r="H1307" s="23"/>
      <c r="I1307" s="23"/>
      <c r="J1307" s="23"/>
      <c r="K1307" s="23"/>
      <c r="L1307" s="23"/>
      <c r="M1307" s="23"/>
      <c r="N1307" s="23"/>
      <c r="O1307" s="23"/>
      <c r="P1307" s="23"/>
      <c r="Q1307" s="23"/>
      <c r="R1307" s="23"/>
      <c r="S1307" s="23"/>
      <c r="T1307" s="23"/>
      <c r="U1307" s="23"/>
      <c r="V1307" s="23"/>
      <c r="W1307" s="23"/>
      <c r="X1307" s="23"/>
    </row>
    <row r="1308" spans="1:24" ht="13.5" customHeight="1">
      <c r="A1308" s="33">
        <v>21130604</v>
      </c>
      <c r="B1308" s="23" t="s">
        <v>539</v>
      </c>
      <c r="C1308" s="24">
        <v>465500</v>
      </c>
      <c r="D1308" s="123"/>
      <c r="E1308" s="89"/>
      <c r="F1308" s="23"/>
      <c r="G1308" s="23"/>
      <c r="H1308" s="23"/>
      <c r="I1308" s="23"/>
      <c r="J1308" s="23"/>
      <c r="K1308" s="23"/>
      <c r="L1308" s="23"/>
      <c r="M1308" s="23"/>
      <c r="N1308" s="23"/>
      <c r="O1308" s="23"/>
      <c r="P1308" s="23"/>
      <c r="Q1308" s="23"/>
      <c r="R1308" s="23"/>
      <c r="S1308" s="23"/>
      <c r="T1308" s="23"/>
      <c r="U1308" s="23"/>
      <c r="V1308" s="23"/>
      <c r="W1308" s="23"/>
      <c r="X1308" s="23"/>
    </row>
    <row r="1309" spans="1:24" ht="13.5" customHeight="1">
      <c r="A1309" s="48">
        <v>211309</v>
      </c>
      <c r="B1309" s="26" t="s">
        <v>496</v>
      </c>
      <c r="C1309" s="26">
        <f>SUM(C1310:C1313)</f>
        <v>14054500</v>
      </c>
      <c r="D1309" s="123"/>
      <c r="E1309" s="89"/>
      <c r="F1309" s="23"/>
      <c r="G1309" s="23"/>
      <c r="H1309" s="23"/>
      <c r="I1309" s="23"/>
      <c r="J1309" s="23"/>
      <c r="K1309" s="23"/>
      <c r="L1309" s="23"/>
      <c r="M1309" s="23"/>
      <c r="N1309" s="23"/>
      <c r="O1309" s="23"/>
      <c r="P1309" s="23"/>
      <c r="Q1309" s="23"/>
      <c r="R1309" s="23"/>
      <c r="S1309" s="23"/>
      <c r="T1309" s="23"/>
      <c r="U1309" s="23"/>
      <c r="V1309" s="23"/>
      <c r="W1309" s="23"/>
      <c r="X1309" s="23"/>
    </row>
    <row r="1310" spans="1:24" ht="13.5" customHeight="1">
      <c r="A1310" s="33">
        <v>21130901</v>
      </c>
      <c r="B1310" s="24" t="s">
        <v>497</v>
      </c>
      <c r="C1310" s="24">
        <v>12497500</v>
      </c>
      <c r="D1310" s="275"/>
      <c r="E1310" s="89"/>
      <c r="F1310" s="23"/>
      <c r="G1310" s="23"/>
      <c r="H1310" s="23"/>
      <c r="I1310" s="23"/>
      <c r="J1310" s="23"/>
      <c r="K1310" s="23"/>
      <c r="L1310" s="23"/>
      <c r="M1310" s="23"/>
      <c r="N1310" s="23"/>
      <c r="O1310" s="23"/>
      <c r="P1310" s="23"/>
      <c r="Q1310" s="23"/>
      <c r="R1310" s="23"/>
      <c r="S1310" s="23"/>
      <c r="T1310" s="23"/>
      <c r="U1310" s="23"/>
      <c r="V1310" s="23"/>
      <c r="W1310" s="23"/>
      <c r="X1310" s="23"/>
    </row>
    <row r="1311" spans="1:24" ht="13.5" customHeight="1">
      <c r="A1311" s="33">
        <v>21130903</v>
      </c>
      <c r="B1311" s="24" t="s">
        <v>498</v>
      </c>
      <c r="C1311" s="24">
        <v>20000</v>
      </c>
      <c r="D1311" s="123"/>
      <c r="E1311" s="89"/>
      <c r="F1311" s="23"/>
      <c r="G1311" s="23"/>
      <c r="H1311" s="23"/>
      <c r="I1311" s="21"/>
      <c r="J1311" s="21"/>
      <c r="K1311" s="21"/>
      <c r="L1311" s="21"/>
      <c r="M1311" s="21"/>
      <c r="N1311" s="21"/>
      <c r="O1311" s="21"/>
      <c r="P1311" s="21"/>
      <c r="Q1311" s="21"/>
      <c r="R1311" s="21"/>
      <c r="S1311" s="21"/>
      <c r="T1311" s="21"/>
      <c r="U1311" s="21"/>
      <c r="V1311" s="21"/>
      <c r="W1311" s="21"/>
      <c r="X1311" s="21"/>
    </row>
    <row r="1312" spans="1:24" ht="13.5" customHeight="1">
      <c r="A1312" s="33">
        <v>21130906</v>
      </c>
      <c r="B1312" s="23" t="s">
        <v>499</v>
      </c>
      <c r="C1312" s="24">
        <v>329500</v>
      </c>
      <c r="D1312" s="123"/>
      <c r="E1312" s="89"/>
      <c r="F1312" s="21"/>
      <c r="G1312" s="21"/>
      <c r="H1312" s="21"/>
      <c r="I1312" s="23"/>
      <c r="J1312" s="23"/>
      <c r="K1312" s="23"/>
      <c r="L1312" s="23"/>
      <c r="M1312" s="23"/>
      <c r="N1312" s="23"/>
      <c r="O1312" s="23"/>
      <c r="P1312" s="23"/>
      <c r="Q1312" s="23"/>
      <c r="R1312" s="23"/>
      <c r="S1312" s="23"/>
      <c r="T1312" s="23"/>
      <c r="U1312" s="23"/>
      <c r="V1312" s="23"/>
      <c r="W1312" s="23"/>
      <c r="X1312" s="23"/>
    </row>
    <row r="1313" spans="1:24" ht="13.5" customHeight="1">
      <c r="A1313" s="33">
        <v>21130908</v>
      </c>
      <c r="B1313" s="24" t="s">
        <v>500</v>
      </c>
      <c r="C1313" s="24">
        <v>1207500</v>
      </c>
      <c r="D1313" s="270"/>
      <c r="E1313" s="89"/>
      <c r="F1313" s="23"/>
      <c r="G1313" s="23"/>
      <c r="H1313" s="24"/>
      <c r="I1313" s="23"/>
      <c r="J1313" s="23"/>
      <c r="K1313" s="23"/>
      <c r="L1313" s="23"/>
      <c r="M1313" s="23"/>
      <c r="N1313" s="23"/>
      <c r="O1313" s="23"/>
      <c r="P1313" s="23"/>
      <c r="Q1313" s="23"/>
      <c r="R1313" s="23"/>
      <c r="S1313" s="23"/>
      <c r="T1313" s="23"/>
      <c r="U1313" s="23"/>
      <c r="V1313" s="23"/>
      <c r="W1313" s="23"/>
      <c r="X1313" s="23"/>
    </row>
    <row r="1314" spans="1:24" ht="13.5" customHeight="1" thickBot="1">
      <c r="A1314" s="23"/>
      <c r="B1314" s="24"/>
      <c r="C1314" s="24"/>
      <c r="D1314" s="270"/>
      <c r="E1314" s="89"/>
      <c r="F1314" s="23"/>
      <c r="G1314" s="23"/>
      <c r="H1314" s="23"/>
      <c r="I1314" s="23"/>
      <c r="J1314" s="23"/>
      <c r="K1314" s="23"/>
      <c r="L1314" s="23"/>
      <c r="M1314" s="23"/>
      <c r="N1314" s="23"/>
      <c r="O1314" s="23"/>
      <c r="P1314" s="23"/>
      <c r="Q1314" s="23"/>
      <c r="R1314" s="23"/>
      <c r="S1314" s="23"/>
      <c r="T1314" s="23"/>
      <c r="U1314" s="23"/>
      <c r="V1314" s="23"/>
      <c r="W1314" s="23"/>
      <c r="X1314" s="23"/>
    </row>
    <row r="1315" spans="1:24" ht="12.75" customHeight="1" thickBot="1">
      <c r="A1315" s="1299" t="s">
        <v>48</v>
      </c>
      <c r="B1315" s="1281"/>
      <c r="C1315" s="125">
        <f>C1316+C1321</f>
        <v>4650000</v>
      </c>
      <c r="D1315" s="270"/>
      <c r="E1315" s="4"/>
      <c r="F1315" s="4"/>
      <c r="G1315" s="4"/>
      <c r="H1315" s="4"/>
      <c r="I1315" s="4"/>
      <c r="J1315" s="4"/>
      <c r="K1315" s="4"/>
      <c r="L1315" s="4"/>
      <c r="M1315" s="4"/>
      <c r="N1315" s="4"/>
      <c r="O1315" s="4"/>
      <c r="P1315" s="4"/>
      <c r="Q1315" s="4"/>
      <c r="R1315" s="4"/>
      <c r="S1315" s="4"/>
      <c r="T1315" s="4"/>
      <c r="U1315" s="4"/>
      <c r="V1315" s="4"/>
      <c r="W1315" s="4"/>
      <c r="X1315" s="4"/>
    </row>
    <row r="1316" spans="1:24" ht="12.75" customHeight="1">
      <c r="A1316" s="48">
        <v>221104</v>
      </c>
      <c r="B1316" s="48" t="s">
        <v>510</v>
      </c>
      <c r="C1316" s="49">
        <f>SUM(C1317:C1320)</f>
        <v>3400000</v>
      </c>
      <c r="D1316" s="272"/>
      <c r="E1316" s="34"/>
      <c r="F1316" s="34"/>
      <c r="G1316" s="34"/>
      <c r="H1316" s="34"/>
      <c r="I1316" s="34"/>
      <c r="J1316" s="34"/>
      <c r="K1316" s="34"/>
      <c r="L1316" s="34"/>
      <c r="M1316" s="34"/>
      <c r="N1316" s="34"/>
      <c r="O1316" s="34"/>
      <c r="P1316" s="34"/>
      <c r="Q1316" s="34"/>
      <c r="R1316" s="34"/>
      <c r="S1316" s="34"/>
      <c r="T1316" s="34"/>
      <c r="U1316" s="34"/>
      <c r="V1316" s="34"/>
      <c r="W1316" s="34"/>
      <c r="X1316" s="34"/>
    </row>
    <row r="1317" spans="1:24" ht="12.75" customHeight="1">
      <c r="A1317" s="33">
        <v>22110401</v>
      </c>
      <c r="B1317" s="23" t="s">
        <v>511</v>
      </c>
      <c r="C1317" s="25">
        <v>2000000</v>
      </c>
      <c r="D1317" s="60"/>
      <c r="E1317" s="34"/>
      <c r="F1317" s="34"/>
      <c r="G1317" s="34"/>
      <c r="H1317" s="34"/>
      <c r="I1317" s="34"/>
      <c r="J1317" s="34"/>
      <c r="K1317" s="34"/>
      <c r="L1317" s="34"/>
      <c r="M1317" s="34"/>
      <c r="N1317" s="34"/>
      <c r="O1317" s="34"/>
      <c r="P1317" s="34"/>
      <c r="Q1317" s="34"/>
      <c r="R1317" s="34"/>
      <c r="S1317" s="34"/>
      <c r="T1317" s="34"/>
      <c r="U1317" s="34"/>
      <c r="V1317" s="34"/>
      <c r="W1317" s="34"/>
      <c r="X1317" s="34"/>
    </row>
    <row r="1318" spans="1:24" ht="12.75" customHeight="1">
      <c r="A1318" s="33">
        <v>22110402</v>
      </c>
      <c r="B1318" s="13" t="s">
        <v>661</v>
      </c>
      <c r="C1318" s="24">
        <v>90000</v>
      </c>
      <c r="D1318" s="272"/>
      <c r="E1318" s="274"/>
      <c r="F1318" s="4"/>
      <c r="G1318" s="4"/>
      <c r="H1318" s="4"/>
      <c r="I1318" s="4"/>
      <c r="J1318" s="4"/>
      <c r="K1318" s="4"/>
      <c r="L1318" s="4"/>
      <c r="M1318" s="4"/>
      <c r="N1318" s="4"/>
      <c r="O1318" s="4"/>
      <c r="P1318" s="4"/>
      <c r="Q1318" s="4"/>
      <c r="R1318" s="4"/>
      <c r="S1318" s="4"/>
      <c r="T1318" s="4"/>
      <c r="U1318" s="4"/>
      <c r="V1318" s="4"/>
      <c r="W1318" s="4"/>
      <c r="X1318" s="4"/>
    </row>
    <row r="1319" spans="1:24" ht="12.75" customHeight="1">
      <c r="A1319" s="33">
        <v>22110404</v>
      </c>
      <c r="B1319" s="23" t="s">
        <v>512</v>
      </c>
      <c r="C1319" s="24">
        <v>1250000</v>
      </c>
      <c r="D1319" s="285"/>
      <c r="E1319" s="286"/>
      <c r="F1319" s="4"/>
      <c r="G1319" s="4"/>
      <c r="H1319" s="4"/>
      <c r="I1319" s="4"/>
      <c r="J1319" s="4"/>
      <c r="K1319" s="4"/>
      <c r="L1319" s="4"/>
      <c r="M1319" s="4"/>
      <c r="N1319" s="4"/>
      <c r="O1319" s="4"/>
      <c r="P1319" s="4"/>
      <c r="Q1319" s="4"/>
      <c r="R1319" s="4"/>
      <c r="S1319" s="4"/>
      <c r="T1319" s="4"/>
      <c r="U1319" s="4"/>
      <c r="V1319" s="4"/>
      <c r="W1319" s="4"/>
      <c r="X1319" s="4"/>
    </row>
    <row r="1320" spans="1:24" ht="13.5" customHeight="1">
      <c r="A1320" s="33">
        <v>22110409</v>
      </c>
      <c r="B1320" s="24" t="s">
        <v>513</v>
      </c>
      <c r="C1320" s="24">
        <v>60000</v>
      </c>
      <c r="D1320" s="40"/>
      <c r="E1320" s="14"/>
      <c r="F1320" s="13"/>
      <c r="G1320" s="13"/>
      <c r="H1320" s="13"/>
      <c r="I1320" s="13"/>
      <c r="J1320" s="13"/>
      <c r="K1320" s="13"/>
      <c r="L1320" s="13"/>
      <c r="M1320" s="13"/>
      <c r="N1320" s="13"/>
      <c r="O1320" s="13"/>
      <c r="P1320" s="13"/>
      <c r="Q1320" s="13"/>
      <c r="R1320" s="13"/>
      <c r="S1320" s="13"/>
      <c r="T1320" s="13"/>
      <c r="U1320" s="13"/>
      <c r="V1320" s="13"/>
      <c r="W1320" s="13"/>
      <c r="X1320" s="13"/>
    </row>
    <row r="1321" spans="1:24" ht="12.75" customHeight="1">
      <c r="A1321" s="48">
        <v>221107</v>
      </c>
      <c r="B1321" s="26" t="s">
        <v>514</v>
      </c>
      <c r="C1321" s="26">
        <f>SUM(C1322)</f>
        <v>1250000</v>
      </c>
      <c r="D1321" s="270"/>
      <c r="E1321" s="274"/>
      <c r="F1321" s="4"/>
      <c r="G1321" s="4"/>
      <c r="H1321" s="4"/>
      <c r="I1321" s="4"/>
      <c r="J1321" s="4"/>
      <c r="K1321" s="4"/>
      <c r="L1321" s="4"/>
      <c r="M1321" s="4"/>
      <c r="N1321" s="4"/>
      <c r="O1321" s="4"/>
      <c r="P1321" s="4"/>
      <c r="Q1321" s="4"/>
      <c r="R1321" s="4"/>
      <c r="S1321" s="4"/>
      <c r="T1321" s="4"/>
      <c r="U1321" s="4"/>
      <c r="V1321" s="4"/>
      <c r="W1321" s="4"/>
      <c r="X1321" s="4"/>
    </row>
    <row r="1322" spans="1:24" ht="12.75" customHeight="1">
      <c r="A1322" s="33">
        <v>22110702</v>
      </c>
      <c r="B1322" s="24" t="s">
        <v>515</v>
      </c>
      <c r="C1322" s="24">
        <v>1250000</v>
      </c>
      <c r="D1322" s="270"/>
      <c r="E1322" s="274"/>
      <c r="F1322" s="4"/>
      <c r="G1322" s="4"/>
      <c r="H1322" s="4"/>
      <c r="I1322" s="4"/>
      <c r="J1322" s="4"/>
      <c r="K1322" s="4"/>
      <c r="L1322" s="4"/>
      <c r="M1322" s="4"/>
      <c r="N1322" s="4"/>
      <c r="O1322" s="4"/>
      <c r="P1322" s="4"/>
      <c r="Q1322" s="4"/>
      <c r="R1322" s="4"/>
      <c r="S1322" s="4"/>
      <c r="T1322" s="4"/>
      <c r="U1322" s="4"/>
      <c r="V1322" s="4"/>
      <c r="W1322" s="4"/>
      <c r="X1322" s="4"/>
    </row>
    <row r="1323" spans="1:24" ht="12.75" customHeight="1" thickBot="1">
      <c r="A1323" s="23"/>
      <c r="B1323" s="24"/>
      <c r="C1323" s="24"/>
      <c r="D1323" s="270"/>
      <c r="E1323" s="274"/>
      <c r="F1323" s="4"/>
      <c r="G1323" s="4"/>
      <c r="H1323" s="4"/>
      <c r="I1323" s="4"/>
      <c r="J1323" s="4"/>
      <c r="K1323" s="4"/>
      <c r="L1323" s="4"/>
      <c r="M1323" s="4"/>
      <c r="N1323" s="4"/>
      <c r="O1323" s="4"/>
      <c r="P1323" s="4"/>
      <c r="Q1323" s="4"/>
      <c r="R1323" s="4"/>
      <c r="S1323" s="4"/>
      <c r="T1323" s="4"/>
      <c r="U1323" s="4"/>
      <c r="V1323" s="4"/>
      <c r="W1323" s="4"/>
      <c r="X1323" s="4"/>
    </row>
    <row r="1324" spans="1:24" ht="12.75" customHeight="1">
      <c r="A1324" s="1300" t="s">
        <v>915</v>
      </c>
      <c r="B1324" s="1301"/>
      <c r="C1324" s="1487" t="s">
        <v>793</v>
      </c>
      <c r="D1324" s="284"/>
      <c r="E1324" s="4"/>
      <c r="F1324" s="4"/>
      <c r="G1324" s="4"/>
      <c r="H1324" s="4"/>
      <c r="I1324" s="4"/>
      <c r="J1324" s="4"/>
      <c r="K1324" s="4"/>
      <c r="L1324" s="4"/>
      <c r="M1324" s="4"/>
      <c r="N1324" s="4"/>
      <c r="O1324" s="4"/>
      <c r="P1324" s="4"/>
      <c r="Q1324" s="4"/>
      <c r="R1324" s="4"/>
      <c r="S1324" s="4"/>
      <c r="T1324" s="4"/>
      <c r="U1324" s="4"/>
      <c r="V1324" s="4"/>
      <c r="W1324" s="4"/>
      <c r="X1324" s="4"/>
    </row>
    <row r="1325" spans="1:24" ht="12.75" customHeight="1" thickBot="1">
      <c r="A1325" s="1302"/>
      <c r="B1325" s="1304"/>
      <c r="C1325" s="1488"/>
      <c r="D1325" s="270"/>
      <c r="E1325" s="4"/>
      <c r="F1325" s="4"/>
      <c r="G1325" s="4"/>
      <c r="H1325" s="4"/>
      <c r="I1325" s="4"/>
      <c r="J1325" s="4"/>
      <c r="K1325" s="4"/>
      <c r="L1325" s="4"/>
      <c r="M1325" s="4"/>
      <c r="N1325" s="4"/>
      <c r="O1325" s="4"/>
      <c r="P1325" s="4"/>
      <c r="Q1325" s="4"/>
      <c r="R1325" s="4"/>
      <c r="S1325" s="4"/>
      <c r="T1325" s="4"/>
      <c r="U1325" s="4"/>
      <c r="V1325" s="4"/>
      <c r="W1325" s="4"/>
      <c r="X1325" s="4"/>
    </row>
    <row r="1326" spans="1:24" ht="12.75" customHeight="1">
      <c r="A1326" s="53" t="s">
        <v>675</v>
      </c>
      <c r="B1326" s="23"/>
      <c r="C1326" s="24"/>
      <c r="D1326" s="270"/>
      <c r="E1326" s="4"/>
      <c r="F1326" s="4"/>
      <c r="G1326" s="4"/>
      <c r="H1326" s="4"/>
      <c r="I1326" s="4"/>
      <c r="J1326" s="4"/>
      <c r="K1326" s="4"/>
      <c r="L1326" s="4"/>
      <c r="M1326" s="4"/>
      <c r="N1326" s="4"/>
      <c r="O1326" s="4"/>
      <c r="P1326" s="4"/>
      <c r="Q1326" s="4"/>
      <c r="R1326" s="4"/>
      <c r="S1326" s="4"/>
      <c r="T1326" s="4"/>
      <c r="U1326" s="4"/>
      <c r="V1326" s="4"/>
      <c r="W1326" s="4"/>
      <c r="X1326" s="4"/>
    </row>
    <row r="1327" spans="1:24" ht="14.25" customHeight="1">
      <c r="A1327" s="609" t="s">
        <v>722</v>
      </c>
      <c r="B1327" s="23"/>
      <c r="C1327" s="24"/>
      <c r="D1327" s="270"/>
      <c r="E1327" s="4"/>
      <c r="F1327" s="4"/>
      <c r="G1327" s="4"/>
      <c r="H1327" s="4"/>
      <c r="I1327" s="4"/>
      <c r="J1327" s="4"/>
      <c r="K1327" s="4"/>
      <c r="L1327" s="4"/>
      <c r="M1327" s="4"/>
      <c r="N1327" s="4"/>
      <c r="O1327" s="4"/>
      <c r="P1327" s="4"/>
      <c r="Q1327" s="4"/>
      <c r="R1327" s="4"/>
      <c r="S1327" s="4"/>
      <c r="T1327" s="4"/>
      <c r="U1327" s="4"/>
      <c r="V1327" s="4"/>
      <c r="W1327" s="4"/>
      <c r="X1327" s="4"/>
    </row>
    <row r="1328" spans="1:24" ht="12.75" customHeight="1">
      <c r="A1328" s="609" t="s">
        <v>723</v>
      </c>
      <c r="B1328" s="23"/>
      <c r="C1328" s="24"/>
      <c r="D1328" s="270"/>
      <c r="E1328" s="4"/>
      <c r="F1328" s="4"/>
      <c r="G1328" s="4"/>
      <c r="H1328" s="4"/>
      <c r="I1328" s="4"/>
      <c r="J1328" s="4"/>
      <c r="K1328" s="4"/>
      <c r="L1328" s="4"/>
      <c r="M1328" s="4"/>
      <c r="N1328" s="4"/>
      <c r="O1328" s="4"/>
      <c r="P1328" s="4"/>
      <c r="Q1328" s="4"/>
      <c r="R1328" s="4"/>
      <c r="S1328" s="4"/>
      <c r="T1328" s="4"/>
      <c r="U1328" s="4"/>
      <c r="V1328" s="4"/>
      <c r="W1328" s="4"/>
      <c r="X1328" s="4"/>
    </row>
    <row r="1329" spans="1:24" ht="12.75" customHeight="1" thickBot="1">
      <c r="A1329" s="54" t="s">
        <v>0</v>
      </c>
      <c r="B1329" s="55"/>
      <c r="C1329" s="56"/>
      <c r="D1329" s="270"/>
      <c r="E1329" s="4"/>
      <c r="F1329" s="4"/>
      <c r="G1329" s="4"/>
      <c r="H1329" s="4"/>
      <c r="I1329" s="4"/>
      <c r="J1329" s="4"/>
      <c r="K1329" s="4"/>
      <c r="L1329" s="4"/>
      <c r="M1329" s="4"/>
      <c r="N1329" s="4"/>
      <c r="O1329" s="4"/>
      <c r="P1329" s="4"/>
      <c r="Q1329" s="4"/>
      <c r="R1329" s="4"/>
      <c r="S1329" s="4"/>
      <c r="T1329" s="4"/>
      <c r="U1329" s="4"/>
      <c r="V1329" s="4"/>
      <c r="W1329" s="4"/>
      <c r="X1329" s="4"/>
    </row>
    <row r="1330" spans="1:24" ht="12.75" customHeight="1" thickBot="1">
      <c r="A1330" s="57" t="s">
        <v>1</v>
      </c>
      <c r="B1330" s="58"/>
      <c r="C1330" s="59">
        <f>C1332+C1360+C1383</f>
        <v>41260000</v>
      </c>
      <c r="D1330" s="270"/>
      <c r="E1330" s="3"/>
      <c r="F1330" s="3"/>
      <c r="G1330" s="4"/>
      <c r="H1330" s="4"/>
      <c r="I1330" s="4"/>
      <c r="J1330" s="4"/>
      <c r="K1330" s="4"/>
      <c r="L1330" s="4"/>
      <c r="M1330" s="4"/>
      <c r="N1330" s="4"/>
      <c r="O1330" s="4"/>
      <c r="P1330" s="4"/>
      <c r="Q1330" s="4"/>
      <c r="R1330" s="4"/>
      <c r="S1330" s="4"/>
      <c r="T1330" s="4"/>
      <c r="U1330" s="4"/>
      <c r="V1330" s="4"/>
      <c r="W1330" s="4"/>
      <c r="X1330" s="4"/>
    </row>
    <row r="1331" spans="1:24" ht="12.75" customHeight="1" thickBot="1">
      <c r="A1331" s="21"/>
      <c r="B1331" s="21"/>
      <c r="C1331" s="26"/>
      <c r="D1331" s="181"/>
      <c r="E1331" s="23"/>
      <c r="F1331" s="23"/>
      <c r="G1331" s="23"/>
      <c r="H1331" s="23"/>
      <c r="I1331" s="23"/>
      <c r="J1331" s="23"/>
      <c r="K1331" s="23"/>
      <c r="L1331" s="23"/>
      <c r="M1331" s="23"/>
      <c r="N1331" s="23"/>
      <c r="O1331" s="23"/>
      <c r="P1331" s="23"/>
      <c r="Q1331" s="23"/>
      <c r="R1331" s="23"/>
      <c r="S1331" s="23"/>
      <c r="T1331" s="23"/>
      <c r="U1331" s="23"/>
      <c r="V1331" s="23"/>
      <c r="W1331" s="23"/>
      <c r="X1331" s="23"/>
    </row>
    <row r="1332" spans="1:24" ht="12.75" customHeight="1" thickBot="1">
      <c r="A1332" s="1297" t="s">
        <v>9</v>
      </c>
      <c r="B1332" s="1281"/>
      <c r="C1332" s="62">
        <f>C1333+C1335+C1338+C1341+C1343+C1350+C1353</f>
        <v>6354000</v>
      </c>
      <c r="D1332" s="89"/>
      <c r="E1332" s="4"/>
      <c r="F1332" s="4"/>
      <c r="G1332" s="4"/>
      <c r="H1332" s="4"/>
      <c r="I1332" s="4"/>
      <c r="J1332" s="4"/>
      <c r="K1332" s="4"/>
      <c r="L1332" s="4"/>
      <c r="M1332" s="4"/>
      <c r="N1332" s="4"/>
      <c r="O1332" s="4"/>
      <c r="P1332" s="4"/>
      <c r="Q1332" s="4"/>
      <c r="R1332" s="4"/>
      <c r="S1332" s="4"/>
      <c r="T1332" s="4"/>
      <c r="U1332" s="4"/>
      <c r="V1332" s="4"/>
      <c r="W1332" s="4"/>
      <c r="X1332" s="4"/>
    </row>
    <row r="1333" spans="1:24" ht="12.75" customHeight="1">
      <c r="A1333" s="48">
        <v>211201</v>
      </c>
      <c r="B1333" s="48" t="s">
        <v>459</v>
      </c>
      <c r="C1333" s="49">
        <f>SUM(C1334)</f>
        <v>925500</v>
      </c>
      <c r="D1333" s="272"/>
      <c r="E1333" s="34"/>
      <c r="F1333" s="34"/>
      <c r="G1333" s="34"/>
      <c r="H1333" s="34"/>
      <c r="I1333" s="34"/>
      <c r="J1333" s="34"/>
      <c r="K1333" s="34"/>
      <c r="L1333" s="34"/>
      <c r="M1333" s="34"/>
      <c r="N1333" s="34"/>
      <c r="O1333" s="34"/>
      <c r="P1333" s="34"/>
      <c r="Q1333" s="34"/>
      <c r="R1333" s="34"/>
      <c r="S1333" s="34"/>
      <c r="T1333" s="34"/>
      <c r="U1333" s="34"/>
      <c r="V1333" s="34"/>
      <c r="W1333" s="34"/>
      <c r="X1333" s="34"/>
    </row>
    <row r="1334" spans="1:24" ht="12.75" customHeight="1">
      <c r="A1334" s="33">
        <v>21120101</v>
      </c>
      <c r="B1334" s="23" t="s">
        <v>460</v>
      </c>
      <c r="C1334" s="24">
        <v>925500</v>
      </c>
      <c r="D1334" s="270"/>
      <c r="E1334" s="274"/>
      <c r="F1334" s="23"/>
      <c r="G1334" s="23"/>
      <c r="H1334" s="23"/>
      <c r="I1334" s="23"/>
      <c r="J1334" s="23"/>
      <c r="K1334" s="23"/>
      <c r="L1334" s="23"/>
      <c r="M1334" s="23"/>
      <c r="N1334" s="23"/>
      <c r="O1334" s="23"/>
      <c r="P1334" s="23"/>
      <c r="Q1334" s="23"/>
      <c r="R1334" s="23"/>
      <c r="S1334" s="23"/>
      <c r="T1334" s="23"/>
      <c r="U1334" s="23"/>
      <c r="V1334" s="23"/>
      <c r="W1334" s="23"/>
      <c r="X1334" s="23"/>
    </row>
    <row r="1335" spans="1:24" ht="12.75" customHeight="1">
      <c r="A1335" s="48">
        <v>211203</v>
      </c>
      <c r="B1335" s="21" t="s">
        <v>461</v>
      </c>
      <c r="C1335" s="49">
        <f>SUM(C1336:C1337)</f>
        <v>1267000</v>
      </c>
      <c r="D1335" s="274"/>
      <c r="E1335" s="34"/>
      <c r="F1335" s="34"/>
      <c r="G1335" s="34"/>
      <c r="H1335" s="34"/>
      <c r="I1335" s="34"/>
      <c r="J1335" s="34"/>
      <c r="K1335" s="34"/>
      <c r="L1335" s="34"/>
      <c r="M1335" s="34"/>
      <c r="N1335" s="34"/>
      <c r="O1335" s="34"/>
      <c r="P1335" s="34"/>
      <c r="Q1335" s="34"/>
      <c r="R1335" s="34"/>
      <c r="S1335" s="34"/>
      <c r="T1335" s="34"/>
      <c r="U1335" s="34"/>
      <c r="V1335" s="34"/>
      <c r="W1335" s="34"/>
      <c r="X1335" s="34"/>
    </row>
    <row r="1336" spans="1:24" ht="12.75" customHeight="1">
      <c r="A1336" s="33">
        <v>21120301</v>
      </c>
      <c r="B1336" s="13" t="s">
        <v>527</v>
      </c>
      <c r="C1336" s="25">
        <v>600000</v>
      </c>
      <c r="D1336" s="274"/>
      <c r="E1336" s="34"/>
      <c r="F1336" s="34"/>
      <c r="G1336" s="34"/>
      <c r="H1336" s="34"/>
      <c r="I1336" s="34"/>
      <c r="J1336" s="34"/>
      <c r="K1336" s="34"/>
      <c r="L1336" s="34"/>
      <c r="M1336" s="34"/>
      <c r="N1336" s="34"/>
      <c r="O1336" s="34"/>
      <c r="P1336" s="34"/>
      <c r="Q1336" s="34"/>
      <c r="R1336" s="34"/>
      <c r="S1336" s="34"/>
      <c r="T1336" s="34"/>
      <c r="U1336" s="34"/>
      <c r="V1336" s="34"/>
      <c r="W1336" s="34"/>
      <c r="X1336" s="34"/>
    </row>
    <row r="1337" spans="1:24" ht="12.75" customHeight="1">
      <c r="A1337" s="33">
        <v>21120302</v>
      </c>
      <c r="B1337" s="23" t="s">
        <v>462</v>
      </c>
      <c r="C1337" s="24">
        <v>667000</v>
      </c>
      <c r="D1337" s="270"/>
      <c r="E1337" s="4"/>
      <c r="F1337" s="4"/>
      <c r="G1337" s="4"/>
      <c r="H1337" s="4"/>
      <c r="I1337" s="4"/>
      <c r="J1337" s="4"/>
      <c r="K1337" s="4"/>
      <c r="L1337" s="4"/>
      <c r="M1337" s="4"/>
      <c r="N1337" s="4"/>
      <c r="O1337" s="4"/>
      <c r="P1337" s="4"/>
      <c r="Q1337" s="4"/>
      <c r="R1337" s="4"/>
      <c r="S1337" s="4"/>
      <c r="T1337" s="4"/>
      <c r="U1337" s="4"/>
      <c r="V1337" s="4"/>
      <c r="W1337" s="4"/>
      <c r="X1337" s="4"/>
    </row>
    <row r="1338" spans="1:24" ht="12.75" customHeight="1">
      <c r="A1338" s="48">
        <v>211204</v>
      </c>
      <c r="B1338" s="21" t="s">
        <v>463</v>
      </c>
      <c r="C1338" s="26">
        <f>+SUM(C1339:C1340)</f>
        <v>2381000</v>
      </c>
      <c r="D1338" s="270"/>
      <c r="E1338" s="4"/>
      <c r="F1338" s="4"/>
      <c r="G1338" s="4"/>
      <c r="H1338" s="4"/>
      <c r="I1338" s="4"/>
      <c r="J1338" s="4"/>
      <c r="K1338" s="4"/>
      <c r="L1338" s="4"/>
      <c r="M1338" s="4"/>
      <c r="N1338" s="4"/>
      <c r="O1338" s="4"/>
      <c r="P1338" s="4"/>
      <c r="Q1338" s="4"/>
      <c r="R1338" s="4"/>
      <c r="S1338" s="4"/>
      <c r="T1338" s="4"/>
      <c r="U1338" s="4"/>
      <c r="V1338" s="4"/>
      <c r="W1338" s="4"/>
      <c r="X1338" s="4"/>
    </row>
    <row r="1339" spans="1:24" ht="12.75" customHeight="1">
      <c r="A1339" s="33">
        <v>21120401</v>
      </c>
      <c r="B1339" s="24" t="s">
        <v>464</v>
      </c>
      <c r="C1339" s="24">
        <f>2399500-600000</f>
        <v>1799500</v>
      </c>
      <c r="D1339" s="270"/>
      <c r="E1339" s="274"/>
      <c r="F1339" s="4"/>
      <c r="G1339" s="4"/>
      <c r="H1339" s="4"/>
      <c r="I1339" s="4"/>
      <c r="J1339" s="4"/>
      <c r="K1339" s="4"/>
      <c r="L1339" s="4"/>
      <c r="M1339" s="4"/>
      <c r="N1339" s="4"/>
      <c r="O1339" s="4"/>
      <c r="P1339" s="4"/>
      <c r="Q1339" s="4"/>
      <c r="R1339" s="4"/>
      <c r="S1339" s="4"/>
      <c r="T1339" s="4"/>
      <c r="U1339" s="4"/>
      <c r="V1339" s="4"/>
      <c r="W1339" s="4"/>
      <c r="X1339" s="4"/>
    </row>
    <row r="1340" spans="1:24" ht="12.75" customHeight="1">
      <c r="A1340" s="33">
        <v>21120402</v>
      </c>
      <c r="B1340" s="13" t="s">
        <v>649</v>
      </c>
      <c r="C1340" s="24">
        <v>581500</v>
      </c>
      <c r="D1340" s="270"/>
      <c r="E1340" s="274"/>
      <c r="F1340" s="4"/>
      <c r="G1340" s="4"/>
      <c r="H1340" s="4"/>
      <c r="I1340" s="4"/>
      <c r="J1340" s="4"/>
      <c r="K1340" s="4"/>
      <c r="L1340" s="4"/>
      <c r="M1340" s="4"/>
      <c r="N1340" s="4"/>
      <c r="O1340" s="4"/>
      <c r="P1340" s="4"/>
      <c r="Q1340" s="4"/>
      <c r="R1340" s="4"/>
      <c r="S1340" s="4"/>
      <c r="T1340" s="4"/>
      <c r="U1340" s="4"/>
      <c r="V1340" s="4"/>
      <c r="W1340" s="4"/>
      <c r="X1340" s="4"/>
    </row>
    <row r="1341" spans="1:24" ht="12.75" customHeight="1">
      <c r="A1341" s="48">
        <v>2112050</v>
      </c>
      <c r="B1341" s="26" t="s">
        <v>465</v>
      </c>
      <c r="C1341" s="26">
        <f>C1342</f>
        <v>515500</v>
      </c>
      <c r="D1341" s="270"/>
      <c r="E1341" s="274"/>
      <c r="F1341" s="4"/>
      <c r="G1341" s="4"/>
      <c r="H1341" s="4"/>
      <c r="I1341" s="4"/>
      <c r="J1341" s="4"/>
      <c r="K1341" s="4"/>
      <c r="L1341" s="4"/>
      <c r="M1341" s="4"/>
      <c r="N1341" s="4"/>
      <c r="O1341" s="4"/>
      <c r="P1341" s="4"/>
      <c r="Q1341" s="4"/>
      <c r="R1341" s="4"/>
      <c r="S1341" s="4"/>
      <c r="T1341" s="4"/>
      <c r="U1341" s="4"/>
      <c r="V1341" s="4"/>
      <c r="W1341" s="4"/>
      <c r="X1341" s="4"/>
    </row>
    <row r="1342" spans="1:24" ht="12.75" customHeight="1">
      <c r="A1342" s="33">
        <v>21120501</v>
      </c>
      <c r="B1342" s="23" t="s">
        <v>466</v>
      </c>
      <c r="C1342" s="24">
        <v>515500</v>
      </c>
      <c r="D1342" s="270"/>
      <c r="E1342" s="274"/>
      <c r="F1342" s="4"/>
      <c r="G1342" s="4"/>
      <c r="H1342" s="4"/>
      <c r="I1342" s="4"/>
      <c r="J1342" s="4"/>
      <c r="K1342" s="4"/>
      <c r="L1342" s="4"/>
      <c r="M1342" s="4"/>
      <c r="N1342" s="4"/>
      <c r="O1342" s="4"/>
      <c r="P1342" s="4"/>
      <c r="Q1342" s="4"/>
      <c r="R1342" s="4"/>
      <c r="S1342" s="4"/>
      <c r="T1342" s="4"/>
      <c r="U1342" s="4"/>
      <c r="V1342" s="4"/>
      <c r="W1342" s="4"/>
      <c r="X1342" s="4"/>
    </row>
    <row r="1343" spans="1:24" ht="12.75" customHeight="1">
      <c r="A1343" s="48">
        <v>211207</v>
      </c>
      <c r="B1343" s="603" t="s">
        <v>467</v>
      </c>
      <c r="C1343" s="26">
        <f>+SUM(C1344:C1349)</f>
        <v>312500</v>
      </c>
      <c r="D1343" s="270"/>
      <c r="E1343" s="274"/>
      <c r="F1343" s="4"/>
      <c r="G1343" s="4"/>
      <c r="H1343" s="4"/>
      <c r="I1343" s="4"/>
      <c r="J1343" s="4"/>
      <c r="K1343" s="4"/>
      <c r="L1343" s="4"/>
      <c r="M1343" s="4"/>
      <c r="N1343" s="4"/>
      <c r="O1343" s="4"/>
      <c r="P1343" s="4"/>
      <c r="Q1343" s="4"/>
      <c r="R1343" s="4"/>
      <c r="S1343" s="4"/>
      <c r="T1343" s="4"/>
      <c r="U1343" s="4"/>
      <c r="V1343" s="4"/>
      <c r="W1343" s="4"/>
      <c r="X1343" s="4"/>
    </row>
    <row r="1344" spans="1:24" ht="12.75" customHeight="1">
      <c r="A1344" s="33">
        <v>21120701</v>
      </c>
      <c r="B1344" s="24" t="s">
        <v>541</v>
      </c>
      <c r="C1344" s="24">
        <v>15000</v>
      </c>
      <c r="D1344" s="270"/>
      <c r="E1344" s="274"/>
      <c r="F1344" s="4"/>
      <c r="G1344" s="4"/>
      <c r="H1344" s="4"/>
      <c r="I1344" s="4"/>
      <c r="J1344" s="4"/>
      <c r="K1344" s="4"/>
      <c r="L1344" s="4"/>
      <c r="M1344" s="4"/>
      <c r="N1344" s="4"/>
      <c r="O1344" s="4"/>
      <c r="P1344" s="4"/>
      <c r="Q1344" s="4"/>
      <c r="R1344" s="4"/>
      <c r="S1344" s="4"/>
      <c r="T1344" s="4"/>
      <c r="U1344" s="4"/>
      <c r="V1344" s="4"/>
      <c r="W1344" s="4"/>
      <c r="X1344" s="4"/>
    </row>
    <row r="1345" spans="1:24" ht="12.75" customHeight="1">
      <c r="A1345" s="33">
        <v>21120702</v>
      </c>
      <c r="B1345" s="24" t="s">
        <v>468</v>
      </c>
      <c r="C1345" s="24">
        <v>94000</v>
      </c>
      <c r="D1345" s="270"/>
      <c r="E1345" s="274"/>
      <c r="F1345" s="4"/>
      <c r="G1345" s="4"/>
      <c r="H1345" s="4"/>
      <c r="I1345" s="4"/>
      <c r="J1345" s="4"/>
      <c r="K1345" s="4"/>
      <c r="L1345" s="4"/>
      <c r="M1345" s="4"/>
      <c r="N1345" s="4"/>
      <c r="O1345" s="4"/>
      <c r="P1345" s="4"/>
      <c r="Q1345" s="4"/>
      <c r="R1345" s="4"/>
      <c r="S1345" s="4"/>
      <c r="T1345" s="4"/>
      <c r="U1345" s="4"/>
      <c r="V1345" s="4"/>
      <c r="W1345" s="4"/>
      <c r="X1345" s="4"/>
    </row>
    <row r="1346" spans="1:24" ht="12.75" customHeight="1">
      <c r="A1346" s="33">
        <v>21120704</v>
      </c>
      <c r="B1346" s="23" t="s">
        <v>469</v>
      </c>
      <c r="C1346" s="24">
        <v>60000</v>
      </c>
      <c r="D1346" s="270"/>
      <c r="E1346" s="274"/>
      <c r="F1346" s="4"/>
      <c r="G1346" s="4"/>
      <c r="H1346" s="4"/>
      <c r="I1346" s="4"/>
      <c r="J1346" s="4"/>
      <c r="K1346" s="4"/>
      <c r="L1346" s="4"/>
      <c r="M1346" s="4"/>
      <c r="N1346" s="4"/>
      <c r="O1346" s="4"/>
      <c r="P1346" s="4"/>
      <c r="Q1346" s="4"/>
      <c r="R1346" s="4"/>
      <c r="S1346" s="4"/>
      <c r="T1346" s="4"/>
      <c r="U1346" s="4"/>
      <c r="V1346" s="4"/>
      <c r="W1346" s="4"/>
      <c r="X1346" s="4"/>
    </row>
    <row r="1347" spans="1:24" ht="12.75" customHeight="1">
      <c r="A1347" s="33">
        <v>21120708</v>
      </c>
      <c r="B1347" s="13" t="s">
        <v>470</v>
      </c>
      <c r="C1347" s="24">
        <v>60500</v>
      </c>
      <c r="D1347" s="270"/>
      <c r="E1347" s="274"/>
      <c r="F1347" s="4"/>
      <c r="G1347" s="4"/>
      <c r="H1347" s="4"/>
      <c r="I1347" s="4"/>
      <c r="J1347" s="4"/>
      <c r="K1347" s="4"/>
      <c r="L1347" s="4"/>
      <c r="M1347" s="4"/>
      <c r="N1347" s="4"/>
      <c r="O1347" s="4"/>
      <c r="P1347" s="4"/>
      <c r="Q1347" s="4"/>
      <c r="R1347" s="4"/>
      <c r="S1347" s="4"/>
      <c r="T1347" s="4"/>
      <c r="U1347" s="4"/>
      <c r="V1347" s="4"/>
      <c r="W1347" s="4"/>
      <c r="X1347" s="4"/>
    </row>
    <row r="1348" spans="1:24" ht="12.75" customHeight="1">
      <c r="A1348" s="33">
        <v>21120709</v>
      </c>
      <c r="B1348" s="24" t="s">
        <v>471</v>
      </c>
      <c r="C1348" s="24">
        <v>22500</v>
      </c>
      <c r="D1348" s="8"/>
      <c r="E1348" s="8"/>
      <c r="F1348" s="8"/>
      <c r="G1348" s="8"/>
      <c r="H1348" s="8"/>
      <c r="I1348" s="8"/>
      <c r="J1348" s="8"/>
      <c r="K1348" s="8"/>
      <c r="L1348" s="8"/>
      <c r="M1348" s="8"/>
      <c r="N1348" s="8"/>
      <c r="O1348" s="8"/>
      <c r="P1348" s="8"/>
      <c r="Q1348" s="8"/>
      <c r="R1348" s="8"/>
      <c r="S1348" s="8"/>
      <c r="T1348" s="8"/>
      <c r="U1348" s="8"/>
      <c r="V1348" s="8"/>
      <c r="W1348" s="8"/>
      <c r="X1348" s="8"/>
    </row>
    <row r="1349" spans="1:24" ht="12.75" customHeight="1">
      <c r="A1349" s="33">
        <v>21120710</v>
      </c>
      <c r="B1349" s="24" t="s">
        <v>472</v>
      </c>
      <c r="C1349" s="24">
        <v>60500</v>
      </c>
      <c r="D1349" s="8"/>
      <c r="E1349" s="8"/>
      <c r="F1349" s="8"/>
      <c r="G1349" s="8"/>
      <c r="H1349" s="8"/>
      <c r="I1349" s="8"/>
      <c r="J1349" s="8"/>
      <c r="K1349" s="8"/>
      <c r="L1349" s="8"/>
      <c r="M1349" s="8"/>
      <c r="N1349" s="8"/>
      <c r="O1349" s="8"/>
      <c r="P1349" s="8"/>
      <c r="Q1349" s="8"/>
      <c r="R1349" s="8"/>
      <c r="S1349" s="8"/>
      <c r="T1349" s="8"/>
      <c r="U1349" s="8"/>
      <c r="V1349" s="8"/>
      <c r="W1349" s="8"/>
      <c r="X1349" s="8"/>
    </row>
    <row r="1350" spans="1:24" ht="12.75" customHeight="1">
      <c r="A1350" s="48">
        <v>211208</v>
      </c>
      <c r="B1350" s="26" t="s">
        <v>474</v>
      </c>
      <c r="C1350" s="26">
        <f>+SUM(C1351:C1352)</f>
        <v>529500</v>
      </c>
      <c r="D1350" s="270"/>
      <c r="E1350" s="274"/>
      <c r="F1350" s="4"/>
      <c r="G1350" s="4"/>
      <c r="H1350" s="4"/>
      <c r="I1350" s="4"/>
      <c r="J1350" s="4"/>
      <c r="K1350" s="4"/>
      <c r="L1350" s="4"/>
      <c r="M1350" s="4"/>
      <c r="N1350" s="4"/>
      <c r="O1350" s="4"/>
      <c r="P1350" s="4"/>
      <c r="Q1350" s="4"/>
      <c r="R1350" s="4"/>
      <c r="S1350" s="4"/>
      <c r="T1350" s="4"/>
      <c r="U1350" s="4"/>
      <c r="V1350" s="4"/>
      <c r="W1350" s="4"/>
      <c r="X1350" s="4"/>
    </row>
    <row r="1351" spans="1:24" ht="12.75" customHeight="1">
      <c r="A1351" s="33">
        <v>21120801</v>
      </c>
      <c r="B1351" s="24" t="s">
        <v>475</v>
      </c>
      <c r="C1351" s="24">
        <v>100000</v>
      </c>
      <c r="D1351" s="270"/>
      <c r="E1351" s="274"/>
      <c r="F1351" s="4"/>
      <c r="G1351" s="4"/>
      <c r="H1351" s="4"/>
      <c r="I1351" s="4"/>
      <c r="J1351" s="4"/>
      <c r="K1351" s="4"/>
      <c r="L1351" s="4"/>
      <c r="M1351" s="4"/>
      <c r="N1351" s="4"/>
      <c r="O1351" s="4"/>
      <c r="P1351" s="4"/>
      <c r="Q1351" s="4"/>
      <c r="R1351" s="4"/>
      <c r="S1351" s="4"/>
      <c r="T1351" s="4"/>
      <c r="U1351" s="4"/>
      <c r="V1351" s="4"/>
      <c r="W1351" s="4"/>
      <c r="X1351" s="4"/>
    </row>
    <row r="1352" spans="1:24" ht="12.75" customHeight="1">
      <c r="A1352" s="33">
        <v>21120805</v>
      </c>
      <c r="B1352" s="24" t="s">
        <v>476</v>
      </c>
      <c r="C1352" s="24">
        <v>429500</v>
      </c>
      <c r="D1352" s="270"/>
      <c r="E1352" s="274"/>
      <c r="F1352" s="4"/>
      <c r="G1352" s="4"/>
      <c r="H1352" s="4"/>
      <c r="I1352" s="4"/>
      <c r="J1352" s="4"/>
      <c r="K1352" s="4"/>
      <c r="L1352" s="4"/>
      <c r="M1352" s="4"/>
      <c r="N1352" s="4"/>
      <c r="O1352" s="4"/>
      <c r="P1352" s="4"/>
      <c r="Q1352" s="4"/>
      <c r="R1352" s="4"/>
      <c r="S1352" s="4"/>
      <c r="T1352" s="4"/>
      <c r="U1352" s="4"/>
      <c r="V1352" s="4"/>
      <c r="W1352" s="4"/>
      <c r="X1352" s="4"/>
    </row>
    <row r="1353" spans="1:24" ht="12.75" customHeight="1">
      <c r="A1353" s="48">
        <v>211209</v>
      </c>
      <c r="B1353" s="26" t="s">
        <v>477</v>
      </c>
      <c r="C1353" s="26">
        <f>+SUM(C1354:C1358)</f>
        <v>423000</v>
      </c>
      <c r="D1353" s="270"/>
      <c r="E1353" s="274"/>
      <c r="F1353" s="4"/>
      <c r="G1353" s="4"/>
      <c r="H1353" s="4"/>
      <c r="I1353" s="4"/>
      <c r="J1353" s="4"/>
      <c r="K1353" s="4"/>
      <c r="L1353" s="4"/>
      <c r="M1353" s="4"/>
      <c r="N1353" s="4"/>
      <c r="O1353" s="4"/>
      <c r="P1353" s="4"/>
      <c r="Q1353" s="4"/>
      <c r="R1353" s="4"/>
      <c r="S1353" s="4"/>
      <c r="T1353" s="4"/>
      <c r="U1353" s="4"/>
      <c r="V1353" s="4"/>
      <c r="W1353" s="4"/>
      <c r="X1353" s="4"/>
    </row>
    <row r="1354" spans="1:24" ht="12.75" customHeight="1">
      <c r="A1354" s="33">
        <v>21120901</v>
      </c>
      <c r="B1354" s="24" t="s">
        <v>478</v>
      </c>
      <c r="C1354" s="24">
        <v>235500</v>
      </c>
      <c r="D1354" s="270"/>
      <c r="E1354" s="274"/>
      <c r="F1354" s="4"/>
      <c r="G1354" s="4"/>
      <c r="H1354" s="4"/>
      <c r="I1354" s="4"/>
      <c r="J1354" s="4"/>
      <c r="K1354" s="4"/>
      <c r="L1354" s="4"/>
      <c r="M1354" s="4"/>
      <c r="N1354" s="4"/>
      <c r="O1354" s="4"/>
      <c r="P1354" s="4"/>
      <c r="Q1354" s="4"/>
      <c r="R1354" s="4"/>
      <c r="S1354" s="4"/>
      <c r="T1354" s="4"/>
      <c r="U1354" s="4"/>
      <c r="V1354" s="4"/>
      <c r="W1354" s="4"/>
      <c r="X1354" s="4"/>
    </row>
    <row r="1355" spans="1:24" ht="12.75" customHeight="1">
      <c r="A1355" s="33">
        <v>21120903</v>
      </c>
      <c r="B1355" s="24" t="s">
        <v>569</v>
      </c>
      <c r="C1355" s="24">
        <v>21000</v>
      </c>
      <c r="D1355" s="270"/>
      <c r="E1355" s="274"/>
      <c r="F1355" s="4"/>
      <c r="G1355" s="4"/>
      <c r="H1355" s="4"/>
      <c r="I1355" s="4"/>
      <c r="J1355" s="4"/>
      <c r="K1355" s="4"/>
      <c r="L1355" s="4"/>
      <c r="M1355" s="4"/>
      <c r="N1355" s="4"/>
      <c r="O1355" s="4"/>
      <c r="P1355" s="4"/>
      <c r="Q1355" s="4"/>
      <c r="R1355" s="4"/>
      <c r="S1355" s="4"/>
      <c r="T1355" s="4"/>
      <c r="U1355" s="4"/>
      <c r="V1355" s="4"/>
      <c r="W1355" s="4"/>
      <c r="X1355" s="4"/>
    </row>
    <row r="1356" spans="1:24" ht="12.75" customHeight="1">
      <c r="A1356" s="33">
        <v>21120905</v>
      </c>
      <c r="B1356" s="24" t="s">
        <v>525</v>
      </c>
      <c r="C1356" s="24">
        <v>20000</v>
      </c>
      <c r="D1356" s="270"/>
      <c r="E1356" s="274"/>
      <c r="F1356" s="4"/>
      <c r="G1356" s="4"/>
      <c r="H1356" s="4"/>
      <c r="I1356" s="4"/>
      <c r="J1356" s="4"/>
      <c r="K1356" s="4"/>
      <c r="L1356" s="4"/>
      <c r="M1356" s="4"/>
      <c r="N1356" s="4"/>
      <c r="O1356" s="4"/>
      <c r="P1356" s="4"/>
      <c r="Q1356" s="4"/>
      <c r="R1356" s="4"/>
      <c r="S1356" s="4"/>
      <c r="T1356" s="4"/>
      <c r="U1356" s="4"/>
      <c r="V1356" s="4"/>
      <c r="W1356" s="4"/>
      <c r="X1356" s="4"/>
    </row>
    <row r="1357" spans="1:24" ht="12.75" customHeight="1">
      <c r="A1357" s="33">
        <v>21120906</v>
      </c>
      <c r="B1357" s="24" t="s">
        <v>479</v>
      </c>
      <c r="C1357" s="24">
        <v>54000</v>
      </c>
      <c r="D1357" s="270"/>
      <c r="E1357" s="274"/>
      <c r="F1357" s="4"/>
      <c r="G1357" s="4"/>
      <c r="H1357" s="4"/>
      <c r="I1357" s="4"/>
      <c r="J1357" s="4"/>
      <c r="K1357" s="4"/>
      <c r="L1357" s="4"/>
      <c r="M1357" s="4"/>
      <c r="N1357" s="4"/>
      <c r="O1357" s="4"/>
      <c r="P1357" s="4"/>
      <c r="Q1357" s="4"/>
      <c r="R1357" s="4"/>
      <c r="S1357" s="4"/>
      <c r="T1357" s="4"/>
      <c r="U1357" s="4"/>
      <c r="V1357" s="4"/>
      <c r="W1357" s="4"/>
      <c r="X1357" s="4"/>
    </row>
    <row r="1358" spans="1:24" ht="12.75" customHeight="1">
      <c r="A1358" s="33">
        <v>21120907</v>
      </c>
      <c r="B1358" s="13" t="s">
        <v>480</v>
      </c>
      <c r="C1358" s="24">
        <v>92500</v>
      </c>
      <c r="D1358" s="270"/>
      <c r="E1358" s="274"/>
      <c r="F1358" s="4"/>
      <c r="G1358" s="4"/>
      <c r="H1358" s="4"/>
      <c r="I1358" s="4"/>
      <c r="J1358" s="4"/>
      <c r="K1358" s="4"/>
      <c r="L1358" s="4"/>
      <c r="M1358" s="4"/>
      <c r="N1358" s="4"/>
      <c r="O1358" s="4"/>
      <c r="P1358" s="4"/>
      <c r="Q1358" s="4"/>
      <c r="R1358" s="4"/>
      <c r="S1358" s="4"/>
      <c r="T1358" s="4"/>
      <c r="U1358" s="4"/>
      <c r="V1358" s="4"/>
      <c r="W1358" s="4"/>
      <c r="X1358" s="4"/>
    </row>
    <row r="1359" spans="1:24" ht="12.75" customHeight="1" thickBot="1">
      <c r="A1359" s="23"/>
      <c r="B1359" s="24"/>
      <c r="C1359" s="24"/>
      <c r="D1359" s="270"/>
      <c r="E1359" s="274"/>
      <c r="F1359" s="4"/>
      <c r="G1359" s="4"/>
      <c r="H1359" s="4"/>
      <c r="I1359" s="4"/>
      <c r="J1359" s="4"/>
      <c r="K1359" s="4"/>
      <c r="L1359" s="4"/>
      <c r="M1359" s="4"/>
      <c r="N1359" s="4"/>
      <c r="O1359" s="4"/>
      <c r="P1359" s="4"/>
      <c r="Q1359" s="4"/>
      <c r="R1359" s="4"/>
      <c r="S1359" s="4"/>
      <c r="T1359" s="4"/>
      <c r="U1359" s="4"/>
      <c r="V1359" s="4"/>
      <c r="W1359" s="4"/>
      <c r="X1359" s="4"/>
    </row>
    <row r="1360" spans="1:24" ht="12.75" customHeight="1" thickBot="1">
      <c r="A1360" s="1298" t="s">
        <v>4</v>
      </c>
      <c r="B1360" s="1281"/>
      <c r="C1360" s="64">
        <f>+C1363+C1369+C1373+C1376+C1361</f>
        <v>32706000</v>
      </c>
      <c r="D1360" s="270"/>
      <c r="E1360" s="3"/>
      <c r="F1360" s="4"/>
      <c r="G1360" s="4"/>
      <c r="H1360" s="4"/>
      <c r="I1360" s="4"/>
      <c r="J1360" s="4"/>
      <c r="K1360" s="4"/>
      <c r="L1360" s="4"/>
      <c r="M1360" s="4"/>
      <c r="N1360" s="4"/>
      <c r="O1360" s="4"/>
      <c r="P1360" s="4"/>
      <c r="Q1360" s="4"/>
      <c r="R1360" s="4"/>
      <c r="S1360" s="4"/>
      <c r="T1360" s="4"/>
      <c r="U1360" s="4"/>
      <c r="V1360" s="4"/>
      <c r="W1360" s="4"/>
      <c r="X1360" s="4"/>
    </row>
    <row r="1361" spans="1:24" ht="12.75" customHeight="1">
      <c r="A1361" s="48">
        <v>211302</v>
      </c>
      <c r="B1361" s="48" t="s">
        <v>481</v>
      </c>
      <c r="C1361" s="49">
        <f>SUM(C1362)</f>
        <v>491500</v>
      </c>
      <c r="D1361" s="272"/>
      <c r="E1361" s="60"/>
      <c r="F1361" s="34"/>
      <c r="G1361" s="34"/>
      <c r="H1361" s="34"/>
      <c r="I1361" s="34"/>
      <c r="J1361" s="34"/>
      <c r="K1361" s="34"/>
      <c r="L1361" s="34"/>
      <c r="M1361" s="34"/>
      <c r="N1361" s="34"/>
      <c r="O1361" s="34"/>
      <c r="P1361" s="34"/>
      <c r="Q1361" s="34"/>
      <c r="R1361" s="34"/>
      <c r="S1361" s="34"/>
      <c r="T1361" s="34"/>
      <c r="U1361" s="34"/>
      <c r="V1361" s="34"/>
      <c r="W1361" s="34"/>
      <c r="X1361" s="34"/>
    </row>
    <row r="1362" spans="1:24" ht="12.75" customHeight="1">
      <c r="A1362" s="33">
        <v>21130204</v>
      </c>
      <c r="B1362" s="24" t="s">
        <v>483</v>
      </c>
      <c r="C1362" s="24">
        <v>491500</v>
      </c>
      <c r="D1362" s="270"/>
      <c r="E1362" s="89"/>
      <c r="F1362" s="24"/>
      <c r="G1362" s="23"/>
      <c r="H1362" s="23"/>
      <c r="I1362" s="23"/>
      <c r="J1362" s="23"/>
      <c r="K1362" s="23"/>
      <c r="L1362" s="23"/>
      <c r="M1362" s="23"/>
      <c r="N1362" s="23"/>
      <c r="O1362" s="23"/>
      <c r="P1362" s="23"/>
      <c r="Q1362" s="23"/>
      <c r="R1362" s="23"/>
      <c r="S1362" s="23"/>
      <c r="T1362" s="23"/>
      <c r="U1362" s="23"/>
      <c r="V1362" s="23"/>
      <c r="W1362" s="23"/>
      <c r="X1362" s="23"/>
    </row>
    <row r="1363" spans="1:24" ht="12.75" customHeight="1">
      <c r="A1363" s="48">
        <v>211303</v>
      </c>
      <c r="B1363" s="26" t="s">
        <v>484</v>
      </c>
      <c r="C1363" s="26">
        <f>+SUM(C1364:C1368)</f>
        <v>7337000</v>
      </c>
      <c r="D1363" s="270"/>
      <c r="E1363" s="89"/>
      <c r="F1363" s="24"/>
      <c r="G1363" s="23"/>
      <c r="H1363" s="23"/>
      <c r="I1363" s="23"/>
      <c r="J1363" s="23"/>
      <c r="K1363" s="23"/>
      <c r="L1363" s="23"/>
      <c r="M1363" s="23"/>
      <c r="N1363" s="23"/>
      <c r="O1363" s="23"/>
      <c r="P1363" s="23"/>
      <c r="Q1363" s="23"/>
      <c r="R1363" s="23"/>
      <c r="S1363" s="23"/>
      <c r="T1363" s="23"/>
      <c r="U1363" s="23"/>
      <c r="V1363" s="23"/>
      <c r="W1363" s="23"/>
      <c r="X1363" s="23"/>
    </row>
    <row r="1364" spans="1:24" ht="12.75" customHeight="1">
      <c r="A1364" s="33">
        <v>21130301</v>
      </c>
      <c r="B1364" s="23" t="s">
        <v>485</v>
      </c>
      <c r="C1364" s="24">
        <v>5356500</v>
      </c>
      <c r="D1364" s="273"/>
      <c r="E1364" s="89"/>
      <c r="F1364" s="24"/>
      <c r="G1364" s="23"/>
      <c r="H1364" s="23"/>
      <c r="I1364" s="23"/>
      <c r="J1364" s="23"/>
      <c r="K1364" s="23"/>
      <c r="L1364" s="23"/>
      <c r="M1364" s="23"/>
      <c r="N1364" s="23"/>
      <c r="O1364" s="23"/>
      <c r="P1364" s="23"/>
      <c r="Q1364" s="23"/>
      <c r="R1364" s="23"/>
      <c r="S1364" s="23"/>
      <c r="T1364" s="23"/>
      <c r="U1364" s="23"/>
      <c r="V1364" s="23"/>
      <c r="W1364" s="23"/>
      <c r="X1364" s="23"/>
    </row>
    <row r="1365" spans="1:24" ht="12.75" customHeight="1">
      <c r="A1365" s="33">
        <v>21130302</v>
      </c>
      <c r="B1365" s="13" t="s">
        <v>520</v>
      </c>
      <c r="C1365" s="24">
        <v>415000</v>
      </c>
      <c r="D1365" s="273"/>
      <c r="E1365" s="89"/>
      <c r="F1365" s="24"/>
      <c r="G1365" s="23"/>
      <c r="H1365" s="23"/>
      <c r="I1365" s="23"/>
      <c r="J1365" s="23"/>
      <c r="K1365" s="23"/>
      <c r="L1365" s="23"/>
      <c r="M1365" s="23"/>
      <c r="N1365" s="23"/>
      <c r="O1365" s="23"/>
      <c r="P1365" s="23"/>
      <c r="Q1365" s="23"/>
      <c r="R1365" s="23"/>
      <c r="S1365" s="23"/>
      <c r="T1365" s="23"/>
      <c r="U1365" s="23"/>
      <c r="V1365" s="23"/>
      <c r="W1365" s="23"/>
      <c r="X1365" s="23"/>
    </row>
    <row r="1366" spans="1:24" ht="12.75" customHeight="1">
      <c r="A1366" s="33">
        <v>21130304</v>
      </c>
      <c r="B1366" s="23" t="s">
        <v>486</v>
      </c>
      <c r="C1366" s="24">
        <v>20000</v>
      </c>
      <c r="D1366" s="273"/>
      <c r="E1366" s="89"/>
      <c r="F1366" s="24"/>
      <c r="G1366" s="23"/>
      <c r="H1366" s="23"/>
      <c r="I1366" s="23"/>
      <c r="J1366" s="23"/>
      <c r="K1366" s="23"/>
      <c r="L1366" s="23"/>
      <c r="M1366" s="23"/>
      <c r="N1366" s="23"/>
      <c r="O1366" s="23"/>
      <c r="P1366" s="23"/>
      <c r="Q1366" s="23"/>
      <c r="R1366" s="23"/>
      <c r="S1366" s="23"/>
      <c r="T1366" s="23"/>
      <c r="U1366" s="23"/>
      <c r="V1366" s="23"/>
      <c r="W1366" s="23"/>
      <c r="X1366" s="23"/>
    </row>
    <row r="1367" spans="1:24" ht="12.75" customHeight="1">
      <c r="A1367" s="33">
        <v>21130306</v>
      </c>
      <c r="B1367" s="23" t="s">
        <v>487</v>
      </c>
      <c r="C1367" s="24">
        <v>66000</v>
      </c>
      <c r="D1367" s="273"/>
      <c r="E1367" s="89"/>
      <c r="F1367" s="24"/>
      <c r="G1367" s="23"/>
      <c r="H1367" s="23"/>
      <c r="I1367" s="23"/>
      <c r="J1367" s="23"/>
      <c r="K1367" s="23"/>
      <c r="L1367" s="23"/>
      <c r="M1367" s="23"/>
      <c r="N1367" s="23"/>
      <c r="O1367" s="23"/>
      <c r="P1367" s="23"/>
      <c r="Q1367" s="23"/>
      <c r="R1367" s="23"/>
      <c r="S1367" s="23"/>
      <c r="T1367" s="23"/>
      <c r="U1367" s="23"/>
      <c r="V1367" s="23"/>
      <c r="W1367" s="23"/>
      <c r="X1367" s="23"/>
    </row>
    <row r="1368" spans="1:24" ht="12.75" customHeight="1">
      <c r="A1368" s="33">
        <v>21130307</v>
      </c>
      <c r="B1368" s="23" t="s">
        <v>488</v>
      </c>
      <c r="C1368" s="24">
        <v>1479500</v>
      </c>
      <c r="D1368" s="272"/>
      <c r="E1368" s="89"/>
      <c r="F1368" s="24"/>
      <c r="G1368" s="23"/>
      <c r="H1368" s="23"/>
      <c r="I1368" s="23"/>
      <c r="J1368" s="23"/>
      <c r="K1368" s="23"/>
      <c r="L1368" s="23"/>
      <c r="M1368" s="23"/>
      <c r="N1368" s="23"/>
      <c r="O1368" s="23"/>
      <c r="P1368" s="23"/>
      <c r="Q1368" s="23"/>
      <c r="R1368" s="23"/>
      <c r="S1368" s="23"/>
      <c r="T1368" s="23"/>
      <c r="U1368" s="23"/>
      <c r="V1368" s="23"/>
      <c r="W1368" s="23"/>
      <c r="X1368" s="23"/>
    </row>
    <row r="1369" spans="1:24" ht="12.75" customHeight="1">
      <c r="A1369" s="48">
        <v>211305</v>
      </c>
      <c r="B1369" s="26" t="s">
        <v>489</v>
      </c>
      <c r="C1369" s="26">
        <f>+SUM(C1370:C1372)</f>
        <v>10836000</v>
      </c>
      <c r="D1369" s="123"/>
      <c r="E1369" s="89"/>
      <c r="F1369" s="24"/>
      <c r="G1369" s="23"/>
      <c r="H1369" s="23"/>
      <c r="I1369" s="23"/>
      <c r="J1369" s="23"/>
      <c r="K1369" s="23"/>
      <c r="L1369" s="23"/>
      <c r="M1369" s="23"/>
      <c r="N1369" s="23"/>
      <c r="O1369" s="23"/>
      <c r="P1369" s="23"/>
      <c r="Q1369" s="23"/>
      <c r="R1369" s="23"/>
      <c r="S1369" s="23"/>
      <c r="T1369" s="23"/>
      <c r="U1369" s="23"/>
      <c r="V1369" s="23"/>
      <c r="W1369" s="23"/>
      <c r="X1369" s="23"/>
    </row>
    <row r="1370" spans="1:24" ht="12.75" customHeight="1">
      <c r="A1370" s="33">
        <v>21130501</v>
      </c>
      <c r="B1370" s="13" t="s">
        <v>490</v>
      </c>
      <c r="C1370" s="24">
        <v>8000</v>
      </c>
      <c r="D1370" s="123"/>
      <c r="E1370" s="89"/>
      <c r="F1370" s="24"/>
      <c r="G1370" s="23"/>
      <c r="H1370" s="23"/>
      <c r="I1370" s="23"/>
      <c r="J1370" s="23"/>
      <c r="K1370" s="23"/>
      <c r="L1370" s="23"/>
      <c r="M1370" s="23"/>
      <c r="N1370" s="23"/>
      <c r="O1370" s="23"/>
      <c r="P1370" s="23"/>
      <c r="Q1370" s="23"/>
      <c r="R1370" s="23"/>
      <c r="S1370" s="23"/>
      <c r="T1370" s="23"/>
      <c r="U1370" s="23"/>
      <c r="V1370" s="23"/>
      <c r="W1370" s="23"/>
      <c r="X1370" s="23"/>
    </row>
    <row r="1371" spans="1:24" ht="12.75" customHeight="1">
      <c r="A1371" s="33">
        <v>21130502</v>
      </c>
      <c r="B1371" s="23" t="s">
        <v>491</v>
      </c>
      <c r="C1371" s="24">
        <v>10093500</v>
      </c>
      <c r="D1371" s="123"/>
      <c r="E1371" s="89"/>
      <c r="F1371" s="24"/>
      <c r="G1371" s="23"/>
      <c r="H1371" s="23"/>
      <c r="I1371" s="23"/>
      <c r="J1371" s="23"/>
      <c r="K1371" s="23"/>
      <c r="L1371" s="23"/>
      <c r="M1371" s="23"/>
      <c r="N1371" s="23"/>
      <c r="O1371" s="23"/>
      <c r="P1371" s="23"/>
      <c r="Q1371" s="23"/>
      <c r="R1371" s="23"/>
      <c r="S1371" s="23"/>
      <c r="T1371" s="23"/>
      <c r="U1371" s="23"/>
      <c r="V1371" s="23"/>
      <c r="W1371" s="23"/>
      <c r="X1371" s="23"/>
    </row>
    <row r="1372" spans="1:24" ht="12.75" customHeight="1">
      <c r="A1372" s="33">
        <v>21130505</v>
      </c>
      <c r="B1372" s="13" t="s">
        <v>651</v>
      </c>
      <c r="C1372" s="24">
        <v>734500</v>
      </c>
      <c r="D1372" s="123"/>
      <c r="E1372" s="89"/>
      <c r="F1372" s="23"/>
      <c r="G1372" s="23"/>
      <c r="H1372" s="24"/>
      <c r="I1372" s="23"/>
      <c r="J1372" s="23"/>
      <c r="K1372" s="23"/>
      <c r="L1372" s="23"/>
      <c r="M1372" s="23"/>
      <c r="N1372" s="23"/>
      <c r="O1372" s="23"/>
      <c r="P1372" s="23"/>
      <c r="Q1372" s="23"/>
      <c r="R1372" s="23"/>
      <c r="S1372" s="23"/>
      <c r="T1372" s="23"/>
      <c r="U1372" s="23"/>
      <c r="V1372" s="23"/>
      <c r="W1372" s="23"/>
      <c r="X1372" s="23"/>
    </row>
    <row r="1373" spans="1:24" ht="12.75" customHeight="1">
      <c r="A1373" s="48">
        <v>211306</v>
      </c>
      <c r="B1373" s="21" t="s">
        <v>492</v>
      </c>
      <c r="C1373" s="26">
        <f>+SUM(C1374:C1375)</f>
        <v>816000</v>
      </c>
      <c r="D1373" s="123"/>
      <c r="E1373" s="89"/>
      <c r="F1373" s="24"/>
      <c r="G1373" s="23"/>
      <c r="H1373" s="23"/>
      <c r="I1373" s="23"/>
      <c r="J1373" s="23"/>
      <c r="K1373" s="23"/>
      <c r="L1373" s="23"/>
      <c r="M1373" s="23"/>
      <c r="N1373" s="23"/>
      <c r="O1373" s="23"/>
      <c r="P1373" s="23"/>
      <c r="Q1373" s="23"/>
      <c r="R1373" s="23"/>
      <c r="S1373" s="23"/>
      <c r="T1373" s="23"/>
      <c r="U1373" s="23"/>
      <c r="V1373" s="23"/>
      <c r="W1373" s="23"/>
      <c r="X1373" s="23"/>
    </row>
    <row r="1374" spans="1:24" ht="12.75" customHeight="1">
      <c r="A1374" s="33">
        <v>21130603</v>
      </c>
      <c r="B1374" s="23" t="s">
        <v>535</v>
      </c>
      <c r="C1374" s="24">
        <v>317000</v>
      </c>
      <c r="D1374" s="123"/>
      <c r="E1374" s="89"/>
      <c r="F1374" s="23"/>
      <c r="G1374" s="23"/>
      <c r="H1374" s="23"/>
      <c r="I1374" s="23"/>
      <c r="J1374" s="23"/>
      <c r="K1374" s="23"/>
      <c r="L1374" s="23"/>
      <c r="M1374" s="23"/>
      <c r="N1374" s="23"/>
      <c r="O1374" s="23"/>
      <c r="P1374" s="23"/>
      <c r="Q1374" s="23"/>
      <c r="R1374" s="23"/>
      <c r="S1374" s="23"/>
      <c r="T1374" s="23"/>
      <c r="U1374" s="23"/>
      <c r="V1374" s="23"/>
      <c r="W1374" s="23"/>
      <c r="X1374" s="23"/>
    </row>
    <row r="1375" spans="1:24" ht="12.75" customHeight="1">
      <c r="A1375" s="33">
        <v>21130604</v>
      </c>
      <c r="B1375" s="23" t="s">
        <v>539</v>
      </c>
      <c r="C1375" s="24">
        <v>499000</v>
      </c>
      <c r="D1375" s="272"/>
      <c r="E1375" s="89"/>
      <c r="F1375" s="23"/>
      <c r="G1375" s="23"/>
      <c r="H1375" s="23"/>
      <c r="I1375" s="23"/>
      <c r="J1375" s="23"/>
      <c r="K1375" s="23"/>
      <c r="L1375" s="23"/>
      <c r="M1375" s="23"/>
      <c r="N1375" s="23"/>
      <c r="O1375" s="23"/>
      <c r="P1375" s="23"/>
      <c r="Q1375" s="23"/>
      <c r="R1375" s="23"/>
      <c r="S1375" s="23"/>
      <c r="T1375" s="23"/>
      <c r="U1375" s="23"/>
      <c r="V1375" s="23"/>
      <c r="W1375" s="23"/>
      <c r="X1375" s="23"/>
    </row>
    <row r="1376" spans="1:24" ht="12.75" customHeight="1">
      <c r="A1376" s="48">
        <v>211309</v>
      </c>
      <c r="B1376" s="26" t="s">
        <v>496</v>
      </c>
      <c r="C1376" s="26">
        <f>+SUM(C1377:C1381)</f>
        <v>13225500</v>
      </c>
      <c r="D1376" s="123"/>
      <c r="E1376" s="89"/>
      <c r="F1376" s="23"/>
      <c r="G1376" s="23"/>
      <c r="H1376" s="23"/>
      <c r="I1376" s="23"/>
      <c r="J1376" s="23"/>
      <c r="K1376" s="23"/>
      <c r="L1376" s="23"/>
      <c r="M1376" s="23"/>
      <c r="N1376" s="23"/>
      <c r="O1376" s="23"/>
      <c r="P1376" s="23"/>
      <c r="Q1376" s="23"/>
      <c r="R1376" s="23"/>
      <c r="S1376" s="23"/>
      <c r="T1376" s="23"/>
      <c r="U1376" s="23"/>
      <c r="V1376" s="23"/>
      <c r="W1376" s="23"/>
      <c r="X1376" s="23"/>
    </row>
    <row r="1377" spans="1:24" ht="12.75" customHeight="1">
      <c r="A1377" s="33">
        <v>21130901</v>
      </c>
      <c r="B1377" s="24" t="s">
        <v>497</v>
      </c>
      <c r="C1377" s="24">
        <v>12500000</v>
      </c>
      <c r="D1377" s="275"/>
      <c r="E1377" s="89"/>
      <c r="F1377" s="23"/>
      <c r="G1377" s="23"/>
      <c r="H1377" s="23"/>
      <c r="I1377" s="23"/>
      <c r="J1377" s="23"/>
      <c r="K1377" s="23"/>
      <c r="L1377" s="23"/>
      <c r="M1377" s="23"/>
      <c r="N1377" s="23"/>
      <c r="O1377" s="23"/>
      <c r="P1377" s="23"/>
      <c r="Q1377" s="23"/>
      <c r="R1377" s="23"/>
      <c r="S1377" s="23"/>
      <c r="T1377" s="23"/>
      <c r="U1377" s="23"/>
      <c r="V1377" s="23"/>
      <c r="W1377" s="23"/>
      <c r="X1377" s="23"/>
    </row>
    <row r="1378" spans="1:24" ht="12.75" customHeight="1">
      <c r="A1378" s="33">
        <v>21130903</v>
      </c>
      <c r="B1378" s="24" t="s">
        <v>498</v>
      </c>
      <c r="C1378" s="24">
        <v>155000</v>
      </c>
      <c r="D1378" s="23"/>
      <c r="E1378" s="89"/>
      <c r="F1378" s="23"/>
      <c r="G1378" s="23"/>
      <c r="H1378" s="23"/>
      <c r="I1378" s="23"/>
      <c r="J1378" s="23"/>
      <c r="K1378" s="23"/>
      <c r="L1378" s="23"/>
      <c r="M1378" s="23"/>
      <c r="N1378" s="23"/>
      <c r="O1378" s="23"/>
      <c r="P1378" s="23"/>
      <c r="Q1378" s="23"/>
      <c r="R1378" s="23"/>
      <c r="S1378" s="23"/>
      <c r="T1378" s="23"/>
      <c r="U1378" s="23"/>
      <c r="V1378" s="23"/>
      <c r="W1378" s="23"/>
      <c r="X1378" s="23"/>
    </row>
    <row r="1379" spans="1:24" ht="12.75" customHeight="1">
      <c r="A1379" s="33">
        <v>21130905</v>
      </c>
      <c r="B1379" s="13" t="s">
        <v>532</v>
      </c>
      <c r="C1379" s="24">
        <v>46000</v>
      </c>
      <c r="D1379" s="23"/>
      <c r="E1379" s="89"/>
      <c r="F1379" s="23"/>
      <c r="G1379" s="23"/>
      <c r="H1379" s="23"/>
      <c r="I1379" s="23"/>
      <c r="J1379" s="23"/>
      <c r="K1379" s="23"/>
      <c r="L1379" s="23"/>
      <c r="M1379" s="23"/>
      <c r="N1379" s="23"/>
      <c r="O1379" s="23"/>
      <c r="P1379" s="23"/>
      <c r="Q1379" s="23"/>
      <c r="R1379" s="23"/>
      <c r="S1379" s="23"/>
      <c r="T1379" s="23"/>
      <c r="U1379" s="23"/>
      <c r="V1379" s="23"/>
      <c r="W1379" s="23"/>
      <c r="X1379" s="23"/>
    </row>
    <row r="1380" spans="1:24" ht="12.75" customHeight="1">
      <c r="A1380" s="33">
        <v>21130906</v>
      </c>
      <c r="B1380" s="23" t="s">
        <v>499</v>
      </c>
      <c r="C1380" s="24">
        <v>158500</v>
      </c>
      <c r="D1380" s="23"/>
      <c r="E1380" s="89"/>
      <c r="F1380" s="23"/>
      <c r="G1380" s="23"/>
      <c r="H1380" s="23"/>
      <c r="I1380" s="23"/>
      <c r="J1380" s="23"/>
      <c r="K1380" s="23"/>
      <c r="L1380" s="23"/>
      <c r="M1380" s="23"/>
      <c r="N1380" s="23"/>
      <c r="O1380" s="23"/>
      <c r="P1380" s="23"/>
      <c r="Q1380" s="23"/>
      <c r="R1380" s="23"/>
      <c r="S1380" s="23"/>
      <c r="T1380" s="23"/>
      <c r="U1380" s="23"/>
      <c r="V1380" s="23"/>
      <c r="W1380" s="23"/>
      <c r="X1380" s="23"/>
    </row>
    <row r="1381" spans="1:24" ht="12.75" customHeight="1">
      <c r="A1381" s="33">
        <v>21130908</v>
      </c>
      <c r="B1381" s="24" t="s">
        <v>500</v>
      </c>
      <c r="C1381" s="24">
        <v>366000</v>
      </c>
      <c r="D1381" s="270"/>
      <c r="E1381" s="89"/>
      <c r="F1381" s="23"/>
      <c r="G1381" s="23"/>
      <c r="H1381" s="24"/>
      <c r="I1381" s="23"/>
      <c r="J1381" s="23"/>
      <c r="K1381" s="23"/>
      <c r="L1381" s="23"/>
      <c r="M1381" s="23"/>
      <c r="N1381" s="23"/>
      <c r="O1381" s="23"/>
      <c r="P1381" s="23"/>
      <c r="Q1381" s="23"/>
      <c r="R1381" s="23"/>
      <c r="S1381" s="23"/>
      <c r="T1381" s="23"/>
      <c r="U1381" s="23"/>
      <c r="V1381" s="23"/>
      <c r="W1381" s="23"/>
      <c r="X1381" s="23"/>
    </row>
    <row r="1382" spans="1:24" ht="13.5" customHeight="1" thickBot="1">
      <c r="A1382" s="23"/>
      <c r="B1382" s="24"/>
      <c r="C1382" s="24"/>
      <c r="D1382" s="270"/>
      <c r="E1382" s="89"/>
      <c r="F1382" s="23"/>
      <c r="G1382" s="23"/>
      <c r="H1382" s="23"/>
      <c r="I1382" s="23"/>
      <c r="J1382" s="23"/>
      <c r="K1382" s="23"/>
      <c r="L1382" s="23"/>
      <c r="M1382" s="23"/>
      <c r="N1382" s="23"/>
      <c r="O1382" s="23"/>
      <c r="P1382" s="23"/>
      <c r="Q1382" s="23"/>
      <c r="R1382" s="23"/>
      <c r="S1382" s="23"/>
      <c r="T1382" s="23"/>
      <c r="U1382" s="23"/>
      <c r="V1382" s="23"/>
      <c r="W1382" s="23"/>
      <c r="X1382" s="23"/>
    </row>
    <row r="1383" spans="1:24" ht="12.75" customHeight="1" thickBot="1">
      <c r="A1383" s="1299" t="s">
        <v>48</v>
      </c>
      <c r="B1383" s="1281"/>
      <c r="C1383" s="125">
        <f>C1384+C1388+C1391</f>
        <v>2200000</v>
      </c>
      <c r="D1383" s="270"/>
      <c r="E1383" s="4"/>
      <c r="F1383" s="4"/>
      <c r="G1383" s="4"/>
      <c r="H1383" s="4"/>
      <c r="I1383" s="4"/>
      <c r="J1383" s="4"/>
      <c r="K1383" s="4"/>
      <c r="L1383" s="4"/>
      <c r="M1383" s="4"/>
      <c r="N1383" s="4"/>
      <c r="O1383" s="4"/>
      <c r="P1383" s="4"/>
      <c r="Q1383" s="4"/>
      <c r="R1383" s="4"/>
      <c r="S1383" s="4"/>
      <c r="T1383" s="4"/>
      <c r="U1383" s="4"/>
      <c r="V1383" s="4"/>
      <c r="W1383" s="4"/>
      <c r="X1383" s="4"/>
    </row>
    <row r="1384" spans="1:24" ht="12.75" customHeight="1">
      <c r="A1384" s="48">
        <v>221104</v>
      </c>
      <c r="B1384" s="48" t="s">
        <v>510</v>
      </c>
      <c r="C1384" s="49">
        <f>SUM(C1385:C1387)</f>
        <v>1824000</v>
      </c>
      <c r="D1384" s="272"/>
      <c r="E1384" s="34"/>
      <c r="F1384" s="34"/>
      <c r="G1384" s="34"/>
      <c r="H1384" s="34"/>
      <c r="I1384" s="34"/>
      <c r="J1384" s="34"/>
      <c r="K1384" s="34"/>
      <c r="L1384" s="34"/>
      <c r="M1384" s="34"/>
      <c r="N1384" s="34"/>
      <c r="O1384" s="34"/>
      <c r="P1384" s="34"/>
      <c r="Q1384" s="34"/>
      <c r="R1384" s="34"/>
      <c r="S1384" s="34"/>
      <c r="T1384" s="34"/>
      <c r="U1384" s="34"/>
      <c r="V1384" s="34"/>
      <c r="W1384" s="34"/>
      <c r="X1384" s="34"/>
    </row>
    <row r="1385" spans="1:24" ht="12.75" customHeight="1">
      <c r="A1385" s="33">
        <v>22110401</v>
      </c>
      <c r="B1385" s="23" t="s">
        <v>511</v>
      </c>
      <c r="C1385" s="24">
        <v>1369500</v>
      </c>
      <c r="D1385" s="270"/>
      <c r="E1385" s="274"/>
      <c r="F1385" s="4"/>
      <c r="G1385" s="4"/>
      <c r="H1385" s="4"/>
      <c r="I1385" s="4"/>
      <c r="J1385" s="4"/>
      <c r="K1385" s="4"/>
      <c r="L1385" s="4"/>
      <c r="M1385" s="4"/>
      <c r="N1385" s="4"/>
      <c r="O1385" s="4"/>
      <c r="P1385" s="4"/>
      <c r="Q1385" s="4"/>
      <c r="R1385" s="4"/>
      <c r="S1385" s="4"/>
      <c r="T1385" s="4"/>
      <c r="U1385" s="4"/>
      <c r="V1385" s="4"/>
      <c r="W1385" s="4"/>
      <c r="X1385" s="4"/>
    </row>
    <row r="1386" spans="1:24" ht="12.75" customHeight="1">
      <c r="A1386" s="33">
        <v>22110404</v>
      </c>
      <c r="B1386" s="23" t="s">
        <v>512</v>
      </c>
      <c r="C1386" s="24">
        <v>35500</v>
      </c>
      <c r="D1386" s="270"/>
      <c r="E1386" s="4"/>
      <c r="F1386" s="4"/>
      <c r="G1386" s="4"/>
      <c r="H1386" s="4"/>
      <c r="I1386" s="4"/>
      <c r="J1386" s="4"/>
      <c r="K1386" s="4"/>
      <c r="L1386" s="4"/>
      <c r="M1386" s="4"/>
      <c r="N1386" s="4"/>
      <c r="O1386" s="4"/>
      <c r="P1386" s="4"/>
      <c r="Q1386" s="4"/>
      <c r="R1386" s="4"/>
      <c r="S1386" s="4"/>
      <c r="T1386" s="4"/>
      <c r="U1386" s="4"/>
      <c r="V1386" s="4"/>
      <c r="W1386" s="4"/>
      <c r="X1386" s="4"/>
    </row>
    <row r="1387" spans="1:24" ht="13.5" customHeight="1">
      <c r="A1387" s="33">
        <v>22110409</v>
      </c>
      <c r="B1387" s="24" t="s">
        <v>513</v>
      </c>
      <c r="C1387" s="24">
        <v>419000</v>
      </c>
      <c r="D1387" s="40"/>
      <c r="E1387" s="14"/>
      <c r="F1387" s="13"/>
      <c r="G1387" s="13"/>
      <c r="H1387" s="13"/>
      <c r="I1387" s="13"/>
      <c r="J1387" s="13"/>
      <c r="K1387" s="13"/>
      <c r="L1387" s="13"/>
      <c r="M1387" s="13"/>
      <c r="N1387" s="13"/>
      <c r="O1387" s="13"/>
      <c r="P1387" s="13"/>
      <c r="Q1387" s="13"/>
      <c r="R1387" s="13"/>
      <c r="S1387" s="13"/>
      <c r="T1387" s="13"/>
      <c r="U1387" s="13"/>
      <c r="V1387" s="13"/>
      <c r="W1387" s="13"/>
      <c r="X1387" s="13"/>
    </row>
    <row r="1388" spans="1:24" ht="12.75" customHeight="1">
      <c r="A1388" s="48">
        <v>221106</v>
      </c>
      <c r="B1388" s="21" t="s">
        <v>662</v>
      </c>
      <c r="C1388" s="26">
        <f>SUM(C1389:C1390)</f>
        <v>336000</v>
      </c>
      <c r="D1388" s="270"/>
      <c r="E1388" s="4"/>
      <c r="F1388" s="4"/>
      <c r="G1388" s="4"/>
      <c r="H1388" s="4"/>
      <c r="I1388" s="4"/>
      <c r="J1388" s="4"/>
      <c r="K1388" s="4"/>
      <c r="L1388" s="4"/>
      <c r="M1388" s="4"/>
      <c r="N1388" s="4"/>
      <c r="O1388" s="4"/>
      <c r="P1388" s="4"/>
      <c r="Q1388" s="4"/>
      <c r="R1388" s="4"/>
      <c r="S1388" s="4"/>
      <c r="T1388" s="4"/>
      <c r="U1388" s="4"/>
      <c r="V1388" s="4"/>
      <c r="W1388" s="4"/>
      <c r="X1388" s="4"/>
    </row>
    <row r="1389" spans="1:24" ht="12.75" customHeight="1">
      <c r="A1389" s="33">
        <v>22110601</v>
      </c>
      <c r="B1389" s="23" t="s">
        <v>663</v>
      </c>
      <c r="C1389" s="24">
        <v>300000</v>
      </c>
      <c r="D1389" s="270"/>
      <c r="E1389" s="4"/>
      <c r="F1389" s="4"/>
      <c r="G1389" s="4"/>
      <c r="H1389" s="4"/>
      <c r="I1389" s="4"/>
      <c r="J1389" s="4"/>
      <c r="K1389" s="4"/>
      <c r="L1389" s="4"/>
      <c r="M1389" s="4"/>
      <c r="N1389" s="4"/>
      <c r="O1389" s="4"/>
      <c r="P1389" s="4"/>
      <c r="Q1389" s="4"/>
      <c r="R1389" s="4"/>
      <c r="S1389" s="4"/>
      <c r="T1389" s="4"/>
      <c r="U1389" s="4"/>
      <c r="V1389" s="4"/>
      <c r="W1389" s="4"/>
      <c r="X1389" s="4"/>
    </row>
    <row r="1390" spans="1:24" ht="12.75" customHeight="1">
      <c r="A1390" s="33">
        <v>22110602</v>
      </c>
      <c r="B1390" s="23" t="s">
        <v>664</v>
      </c>
      <c r="C1390" s="24">
        <v>36000</v>
      </c>
      <c r="D1390" s="270"/>
      <c r="E1390" s="4"/>
      <c r="F1390" s="4"/>
      <c r="G1390" s="4"/>
      <c r="H1390" s="4"/>
      <c r="I1390" s="4"/>
      <c r="J1390" s="4"/>
      <c r="K1390" s="4"/>
      <c r="L1390" s="4"/>
      <c r="M1390" s="4"/>
      <c r="N1390" s="4"/>
      <c r="O1390" s="4"/>
      <c r="P1390" s="4"/>
      <c r="Q1390" s="4"/>
      <c r="R1390" s="4"/>
      <c r="S1390" s="4"/>
      <c r="T1390" s="4"/>
      <c r="U1390" s="4"/>
      <c r="V1390" s="4"/>
      <c r="W1390" s="4"/>
      <c r="X1390" s="4"/>
    </row>
    <row r="1391" spans="1:24" ht="12.75" customHeight="1">
      <c r="A1391" s="48">
        <v>221107</v>
      </c>
      <c r="B1391" s="26" t="s">
        <v>514</v>
      </c>
      <c r="C1391" s="26">
        <f>C1392</f>
        <v>40000</v>
      </c>
      <c r="D1391" s="270"/>
      <c r="E1391" s="4"/>
      <c r="F1391" s="4"/>
      <c r="G1391" s="4"/>
      <c r="H1391" s="4"/>
      <c r="I1391" s="4"/>
      <c r="J1391" s="4"/>
      <c r="K1391" s="4"/>
      <c r="L1391" s="4"/>
      <c r="M1391" s="4"/>
      <c r="N1391" s="4"/>
      <c r="O1391" s="4"/>
      <c r="P1391" s="4"/>
      <c r="Q1391" s="4"/>
      <c r="R1391" s="4"/>
      <c r="S1391" s="4"/>
      <c r="T1391" s="4"/>
      <c r="U1391" s="4"/>
      <c r="V1391" s="4"/>
      <c r="W1391" s="4"/>
      <c r="X1391" s="4"/>
    </row>
    <row r="1392" spans="1:24" ht="12.75" customHeight="1">
      <c r="A1392" s="33">
        <v>22110702</v>
      </c>
      <c r="B1392" s="24" t="s">
        <v>515</v>
      </c>
      <c r="C1392" s="24">
        <v>40000</v>
      </c>
      <c r="D1392" s="270"/>
      <c r="E1392" s="274"/>
      <c r="F1392" s="4"/>
      <c r="G1392" s="4"/>
      <c r="H1392" s="4"/>
      <c r="I1392" s="4"/>
      <c r="J1392" s="4"/>
      <c r="K1392" s="4"/>
      <c r="L1392" s="4"/>
      <c r="M1392" s="4"/>
      <c r="N1392" s="4"/>
      <c r="O1392" s="4"/>
      <c r="P1392" s="4"/>
      <c r="Q1392" s="4"/>
      <c r="R1392" s="4"/>
      <c r="S1392" s="4"/>
      <c r="T1392" s="4"/>
      <c r="U1392" s="4"/>
      <c r="V1392" s="4"/>
      <c r="W1392" s="4"/>
      <c r="X1392" s="4"/>
    </row>
    <row r="1393" spans="1:24" ht="13.5" customHeight="1">
      <c r="A1393" s="23"/>
      <c r="B1393" s="24"/>
      <c r="C1393" s="24"/>
      <c r="D1393" s="270"/>
      <c r="E1393" s="89"/>
      <c r="F1393" s="23"/>
      <c r="G1393" s="23"/>
      <c r="H1393" s="24"/>
      <c r="I1393" s="23"/>
      <c r="J1393" s="23"/>
      <c r="K1393" s="23"/>
      <c r="L1393" s="23"/>
      <c r="M1393" s="23"/>
      <c r="N1393" s="23"/>
      <c r="O1393" s="23"/>
      <c r="P1393" s="23"/>
      <c r="Q1393" s="23"/>
      <c r="R1393" s="23"/>
      <c r="S1393" s="23"/>
      <c r="T1393" s="23"/>
      <c r="U1393" s="23"/>
      <c r="V1393" s="23"/>
      <c r="W1393" s="23"/>
      <c r="X1393" s="23"/>
    </row>
    <row r="1394" spans="1:24" ht="12.75" customHeight="1" thickBot="1">
      <c r="A1394" s="177"/>
      <c r="B1394" s="4"/>
      <c r="C1394" s="3"/>
      <c r="D1394" s="181"/>
      <c r="E1394" s="4"/>
      <c r="F1394" s="4"/>
      <c r="G1394" s="4"/>
      <c r="H1394" s="4"/>
      <c r="I1394" s="4"/>
      <c r="J1394" s="4"/>
      <c r="K1394" s="4"/>
      <c r="L1394" s="4"/>
      <c r="M1394" s="4"/>
      <c r="N1394" s="4"/>
      <c r="O1394" s="4"/>
      <c r="P1394" s="4"/>
      <c r="Q1394" s="4"/>
      <c r="R1394" s="4"/>
      <c r="S1394" s="4"/>
      <c r="T1394" s="4"/>
      <c r="U1394" s="4"/>
      <c r="V1394" s="4"/>
      <c r="W1394" s="4"/>
      <c r="X1394" s="4"/>
    </row>
    <row r="1395" spans="1:24" ht="12.75" customHeight="1">
      <c r="A1395" s="1063" t="s">
        <v>123</v>
      </c>
      <c r="B1395" s="985"/>
      <c r="C1395" s="1179" t="s">
        <v>794</v>
      </c>
    </row>
    <row r="1396" spans="1:24" ht="12.75" customHeight="1" thickBot="1">
      <c r="A1396" s="1168"/>
      <c r="B1396" s="981"/>
      <c r="C1396" s="1497"/>
    </row>
    <row r="1397" spans="1:24" ht="12.75" customHeight="1">
      <c r="A1397" s="1122" t="s">
        <v>675</v>
      </c>
      <c r="B1397" s="1137"/>
      <c r="C1397" s="1029"/>
    </row>
    <row r="1398" spans="1:24" ht="12.75" customHeight="1">
      <c r="A1398" s="609" t="s">
        <v>722</v>
      </c>
      <c r="B1398" s="808"/>
      <c r="C1398" s="1029"/>
    </row>
    <row r="1399" spans="1:24" ht="12.75" customHeight="1">
      <c r="A1399" s="609" t="s">
        <v>723</v>
      </c>
      <c r="B1399" s="808"/>
      <c r="C1399" s="1029"/>
    </row>
    <row r="1400" spans="1:24" ht="12.75" customHeight="1" thickBot="1">
      <c r="A1400" s="1125" t="s">
        <v>0</v>
      </c>
      <c r="B1400" s="982"/>
      <c r="C1400" s="1101"/>
    </row>
    <row r="1401" spans="1:24" ht="12.75" customHeight="1" thickBot="1">
      <c r="A1401" s="1171" t="s">
        <v>1</v>
      </c>
      <c r="B1401" s="1186"/>
      <c r="C1401" s="1173">
        <f>+C1403+C1430+C1446</f>
        <v>3503500</v>
      </c>
    </row>
    <row r="1402" spans="1:24" ht="12.75" customHeight="1" thickBot="1">
      <c r="A1402" s="177"/>
      <c r="B1402" s="4"/>
      <c r="C1402" s="3"/>
    </row>
    <row r="1403" spans="1:24" ht="12.75" customHeight="1" thickBot="1">
      <c r="A1403" s="1297" t="s">
        <v>9</v>
      </c>
      <c r="B1403" s="1281"/>
      <c r="C1403" s="62">
        <f>C1404+C1406+C1409+C1411+C1414+C1417+C1421+C1426</f>
        <v>2180500</v>
      </c>
    </row>
    <row r="1404" spans="1:24" ht="12.75" customHeight="1">
      <c r="A1404" s="48">
        <v>211201</v>
      </c>
      <c r="B1404" s="48" t="s">
        <v>459</v>
      </c>
      <c r="C1404" s="49">
        <f>SUM(C1405)</f>
        <v>110000</v>
      </c>
    </row>
    <row r="1405" spans="1:24" ht="12.75" customHeight="1">
      <c r="A1405" s="33">
        <v>21120101</v>
      </c>
      <c r="B1405" s="23" t="s">
        <v>460</v>
      </c>
      <c r="C1405" s="24">
        <v>110000</v>
      </c>
    </row>
    <row r="1406" spans="1:24" ht="12.75" customHeight="1">
      <c r="A1406" s="48">
        <v>211202</v>
      </c>
      <c r="B1406" s="15" t="s">
        <v>529</v>
      </c>
      <c r="C1406" s="26">
        <f>SUM(C1407:C1408)</f>
        <v>194000</v>
      </c>
    </row>
    <row r="1407" spans="1:24" ht="12.75" customHeight="1">
      <c r="A1407" s="33">
        <v>21120201</v>
      </c>
      <c r="B1407" s="13" t="s">
        <v>540</v>
      </c>
      <c r="C1407" s="24">
        <v>110000</v>
      </c>
    </row>
    <row r="1408" spans="1:24" ht="12.75" customHeight="1">
      <c r="A1408" s="33">
        <v>21120202</v>
      </c>
      <c r="B1408" s="13" t="s">
        <v>530</v>
      </c>
      <c r="C1408" s="24">
        <v>84000</v>
      </c>
    </row>
    <row r="1409" spans="1:3" ht="12.75" customHeight="1">
      <c r="A1409" s="48">
        <v>211203</v>
      </c>
      <c r="B1409" s="21" t="s">
        <v>461</v>
      </c>
      <c r="C1409" s="26">
        <f>SUM(C1410)</f>
        <v>90000</v>
      </c>
    </row>
    <row r="1410" spans="1:3" ht="12.75" customHeight="1">
      <c r="A1410" s="33">
        <v>21120302</v>
      </c>
      <c r="B1410" s="23" t="s">
        <v>462</v>
      </c>
      <c r="C1410" s="24">
        <v>90000</v>
      </c>
    </row>
    <row r="1411" spans="1:3" ht="12.75" customHeight="1">
      <c r="A1411" s="48">
        <v>211204</v>
      </c>
      <c r="B1411" s="21" t="s">
        <v>463</v>
      </c>
      <c r="C1411" s="26">
        <f>SUM(C1412:C1413)</f>
        <v>849000</v>
      </c>
    </row>
    <row r="1412" spans="1:3" ht="12.75" customHeight="1">
      <c r="A1412" s="33">
        <v>21120401</v>
      </c>
      <c r="B1412" s="24" t="s">
        <v>464</v>
      </c>
      <c r="C1412" s="24">
        <v>800000</v>
      </c>
    </row>
    <row r="1413" spans="1:3" ht="12.75" customHeight="1">
      <c r="A1413" s="33">
        <v>21120403</v>
      </c>
      <c r="B1413" s="13" t="s">
        <v>656</v>
      </c>
      <c r="C1413" s="24">
        <v>49000</v>
      </c>
    </row>
    <row r="1414" spans="1:3" ht="12.75" customHeight="1">
      <c r="A1414" s="48">
        <v>211205</v>
      </c>
      <c r="B1414" s="15" t="s">
        <v>465</v>
      </c>
      <c r="C1414" s="26">
        <f>SUM(C1415:C1416)</f>
        <v>74000</v>
      </c>
    </row>
    <row r="1415" spans="1:3" ht="12.75" customHeight="1">
      <c r="A1415" s="33">
        <v>21120501</v>
      </c>
      <c r="B1415" s="13" t="s">
        <v>466</v>
      </c>
      <c r="C1415" s="24">
        <v>24000</v>
      </c>
    </row>
    <row r="1416" spans="1:3" ht="12.75" customHeight="1">
      <c r="A1416" s="33">
        <v>21120502</v>
      </c>
      <c r="B1416" s="13" t="s">
        <v>580</v>
      </c>
      <c r="C1416" s="24">
        <v>50000</v>
      </c>
    </row>
    <row r="1417" spans="1:3" ht="12.75" customHeight="1">
      <c r="A1417" s="48">
        <v>211207</v>
      </c>
      <c r="B1417" s="603" t="s">
        <v>467</v>
      </c>
      <c r="C1417" s="26">
        <f>SUM(C1418:C1420)</f>
        <v>325500</v>
      </c>
    </row>
    <row r="1418" spans="1:3" ht="12.75" customHeight="1">
      <c r="A1418" s="33">
        <v>21120702</v>
      </c>
      <c r="B1418" s="24" t="s">
        <v>468</v>
      </c>
      <c r="C1418" s="24">
        <v>17500</v>
      </c>
    </row>
    <row r="1419" spans="1:3" ht="12.75" customHeight="1">
      <c r="A1419" s="33">
        <v>21120706</v>
      </c>
      <c r="B1419" s="13" t="s">
        <v>542</v>
      </c>
      <c r="C1419" s="24">
        <v>140000</v>
      </c>
    </row>
    <row r="1420" spans="1:3" ht="12.75" customHeight="1">
      <c r="A1420" s="33">
        <v>21120707</v>
      </c>
      <c r="B1420" s="13" t="s">
        <v>516</v>
      </c>
      <c r="C1420" s="24">
        <v>168000</v>
      </c>
    </row>
    <row r="1421" spans="1:3" ht="12.75" customHeight="1">
      <c r="A1421" s="48">
        <v>211208</v>
      </c>
      <c r="B1421" s="26" t="s">
        <v>474</v>
      </c>
      <c r="C1421" s="26">
        <f>SUM(C1422:C1425)</f>
        <v>398000</v>
      </c>
    </row>
    <row r="1422" spans="1:3" ht="12.75" customHeight="1">
      <c r="A1422" s="33">
        <v>21120801</v>
      </c>
      <c r="B1422" s="24" t="s">
        <v>475</v>
      </c>
      <c r="C1422" s="24">
        <v>38000</v>
      </c>
    </row>
    <row r="1423" spans="1:3" ht="12.75" customHeight="1">
      <c r="A1423" s="33">
        <v>21120803</v>
      </c>
      <c r="B1423" s="24" t="s">
        <v>517</v>
      </c>
      <c r="C1423" s="24">
        <v>90000</v>
      </c>
    </row>
    <row r="1424" spans="1:3" ht="12.75" customHeight="1">
      <c r="A1424" s="33">
        <v>21120804</v>
      </c>
      <c r="B1424" s="24" t="s">
        <v>590</v>
      </c>
      <c r="C1424" s="24">
        <v>90000</v>
      </c>
    </row>
    <row r="1425" spans="1:3" ht="12.75" customHeight="1">
      <c r="A1425" s="33">
        <v>21120805</v>
      </c>
      <c r="B1425" s="24" t="s">
        <v>476</v>
      </c>
      <c r="C1425" s="24">
        <v>180000</v>
      </c>
    </row>
    <row r="1426" spans="1:3" ht="12.75" customHeight="1">
      <c r="A1426" s="48">
        <v>211209</v>
      </c>
      <c r="B1426" s="26" t="s">
        <v>477</v>
      </c>
      <c r="C1426" s="26">
        <f>SUM(C1427:C1428)</f>
        <v>140000</v>
      </c>
    </row>
    <row r="1427" spans="1:3" ht="12.75" customHeight="1">
      <c r="A1427" s="33">
        <v>21120901</v>
      </c>
      <c r="B1427" s="24" t="s">
        <v>478</v>
      </c>
      <c r="C1427" s="24">
        <v>70000</v>
      </c>
    </row>
    <row r="1428" spans="1:3" ht="12.75" customHeight="1">
      <c r="A1428" s="33">
        <v>21120906</v>
      </c>
      <c r="B1428" s="24" t="s">
        <v>479</v>
      </c>
      <c r="C1428" s="24">
        <v>70000</v>
      </c>
    </row>
    <row r="1429" spans="1:3" ht="12.75" customHeight="1" thickBot="1">
      <c r="A1429" s="23"/>
      <c r="B1429" s="24"/>
      <c r="C1429" s="24"/>
    </row>
    <row r="1430" spans="1:3" ht="12.75" customHeight="1" thickBot="1">
      <c r="A1430" s="1298" t="s">
        <v>4</v>
      </c>
      <c r="B1430" s="1281"/>
      <c r="C1430" s="64">
        <f>+C1431+C1437+C1433+C1439</f>
        <v>558000</v>
      </c>
    </row>
    <row r="1431" spans="1:3" ht="12.75" customHeight="1">
      <c r="A1431" s="48">
        <v>211303</v>
      </c>
      <c r="B1431" s="26" t="s">
        <v>484</v>
      </c>
      <c r="C1431" s="26">
        <f>SUM(C1432)</f>
        <v>35000</v>
      </c>
    </row>
    <row r="1432" spans="1:3" ht="12.75" customHeight="1">
      <c r="A1432" s="33">
        <v>21130307</v>
      </c>
      <c r="B1432" s="23" t="s">
        <v>488</v>
      </c>
      <c r="C1432" s="24">
        <v>35000</v>
      </c>
    </row>
    <row r="1433" spans="1:3" ht="12.75" customHeight="1">
      <c r="A1433" s="48">
        <v>211305</v>
      </c>
      <c r="B1433" s="26" t="s">
        <v>489</v>
      </c>
      <c r="C1433" s="26">
        <f>SUM(C1434:C1436)</f>
        <v>160000</v>
      </c>
    </row>
    <row r="1434" spans="1:3" ht="12.75" customHeight="1">
      <c r="A1434" s="33">
        <v>21130501</v>
      </c>
      <c r="B1434" s="13" t="s">
        <v>490</v>
      </c>
      <c r="C1434" s="24">
        <v>90000</v>
      </c>
    </row>
    <row r="1435" spans="1:3" ht="12.75" customHeight="1">
      <c r="A1435" s="33">
        <v>21130502</v>
      </c>
      <c r="B1435" s="23" t="s">
        <v>491</v>
      </c>
      <c r="C1435" s="24">
        <v>30000</v>
      </c>
    </row>
    <row r="1436" spans="1:3" ht="12.75" customHeight="1">
      <c r="A1436" s="33">
        <v>21130505</v>
      </c>
      <c r="B1436" s="13" t="s">
        <v>651</v>
      </c>
      <c r="C1436" s="24">
        <v>40000</v>
      </c>
    </row>
    <row r="1437" spans="1:3" ht="12.75" customHeight="1">
      <c r="A1437" s="48">
        <v>211306</v>
      </c>
      <c r="B1437" s="21" t="s">
        <v>492</v>
      </c>
      <c r="C1437" s="26">
        <f>SUM(C1438)</f>
        <v>22000</v>
      </c>
    </row>
    <row r="1438" spans="1:3" ht="12.75" customHeight="1">
      <c r="A1438" s="33">
        <v>21130604</v>
      </c>
      <c r="B1438" s="23" t="s">
        <v>539</v>
      </c>
      <c r="C1438" s="24">
        <v>22000</v>
      </c>
    </row>
    <row r="1439" spans="1:3" ht="12.75" customHeight="1">
      <c r="A1439" s="48">
        <v>211309</v>
      </c>
      <c r="B1439" s="26" t="s">
        <v>496</v>
      </c>
      <c r="C1439" s="26">
        <f>SUM(C1440:C1444)</f>
        <v>341000</v>
      </c>
    </row>
    <row r="1440" spans="1:3" ht="12.75" customHeight="1">
      <c r="A1440" s="33">
        <v>21130901</v>
      </c>
      <c r="B1440" s="24" t="s">
        <v>497</v>
      </c>
      <c r="C1440" s="24">
        <v>50000</v>
      </c>
    </row>
    <row r="1441" spans="1:3" ht="12.75" customHeight="1">
      <c r="A1441" s="33">
        <v>21130903</v>
      </c>
      <c r="B1441" s="24" t="s">
        <v>498</v>
      </c>
      <c r="C1441" s="24">
        <v>12000</v>
      </c>
    </row>
    <row r="1442" spans="1:3" ht="12.75" customHeight="1">
      <c r="A1442" s="40">
        <v>21130905</v>
      </c>
      <c r="B1442" s="13" t="s">
        <v>532</v>
      </c>
      <c r="C1442" s="14">
        <v>45000</v>
      </c>
    </row>
    <row r="1443" spans="1:3" ht="12.75" customHeight="1">
      <c r="A1443" s="33">
        <v>21130906</v>
      </c>
      <c r="B1443" s="23" t="s">
        <v>499</v>
      </c>
      <c r="C1443" s="24">
        <v>84000</v>
      </c>
    </row>
    <row r="1444" spans="1:3" ht="12.75" customHeight="1">
      <c r="A1444" s="33">
        <v>21130908</v>
      </c>
      <c r="B1444" s="24" t="s">
        <v>500</v>
      </c>
      <c r="C1444" s="24">
        <v>150000</v>
      </c>
    </row>
    <row r="1445" spans="1:3" ht="12.75" customHeight="1" thickBot="1">
      <c r="A1445" s="23"/>
      <c r="B1445" s="24"/>
      <c r="C1445" s="24"/>
    </row>
    <row r="1446" spans="1:3" ht="12.75" customHeight="1" thickBot="1">
      <c r="A1446" s="1299" t="s">
        <v>48</v>
      </c>
      <c r="B1446" s="1281"/>
      <c r="C1446" s="125">
        <f>+C1447+C1450+C1453</f>
        <v>765000</v>
      </c>
    </row>
    <row r="1447" spans="1:3" ht="12.75" customHeight="1">
      <c r="A1447" s="76">
        <v>221102</v>
      </c>
      <c r="B1447" s="826" t="s">
        <v>543</v>
      </c>
      <c r="C1447" s="49">
        <f>SUM(C1448:C1449)</f>
        <v>530000</v>
      </c>
    </row>
    <row r="1448" spans="1:3" ht="12.75" customHeight="1">
      <c r="A1448" s="154">
        <v>22110204</v>
      </c>
      <c r="B1448" s="100" t="s">
        <v>545</v>
      </c>
      <c r="C1448" s="72">
        <v>350000</v>
      </c>
    </row>
    <row r="1449" spans="1:3" ht="12.75" customHeight="1">
      <c r="A1449" s="154">
        <v>22110205</v>
      </c>
      <c r="B1449" s="100" t="s">
        <v>546</v>
      </c>
      <c r="C1449" s="72">
        <v>180000</v>
      </c>
    </row>
    <row r="1450" spans="1:3" ht="12.75" customHeight="1">
      <c r="A1450" s="48">
        <v>221104</v>
      </c>
      <c r="B1450" s="826" t="s">
        <v>510</v>
      </c>
      <c r="C1450" s="49">
        <f>SUM(C1451:C1452)</f>
        <v>185000</v>
      </c>
    </row>
    <row r="1451" spans="1:3" ht="12.75" customHeight="1">
      <c r="A1451" s="33">
        <v>22110401</v>
      </c>
      <c r="B1451" s="23" t="s">
        <v>511</v>
      </c>
      <c r="C1451" s="24">
        <v>135000</v>
      </c>
    </row>
    <row r="1452" spans="1:3" ht="12.75" customHeight="1">
      <c r="A1452" s="33">
        <v>22110409</v>
      </c>
      <c r="B1452" s="24" t="s">
        <v>513</v>
      </c>
      <c r="C1452" s="24">
        <v>50000</v>
      </c>
    </row>
    <row r="1453" spans="1:3" ht="12.75" customHeight="1">
      <c r="A1453" s="48">
        <v>221107</v>
      </c>
      <c r="B1453" s="26" t="s">
        <v>514</v>
      </c>
      <c r="C1453" s="26">
        <f>SUM(C1454)</f>
        <v>50000</v>
      </c>
    </row>
    <row r="1454" spans="1:3" ht="12.75" customHeight="1">
      <c r="A1454" s="33">
        <v>22110702</v>
      </c>
      <c r="B1454" s="24" t="s">
        <v>515</v>
      </c>
      <c r="C1454" s="24">
        <v>50000</v>
      </c>
    </row>
    <row r="1455" spans="1:3" ht="12.75" customHeight="1">
      <c r="A1455" s="23"/>
      <c r="B1455" s="24"/>
      <c r="C1455" s="24"/>
    </row>
  </sheetData>
  <mergeCells count="122">
    <mergeCell ref="A722:B722"/>
    <mergeCell ref="A737:B737"/>
    <mergeCell ref="A482:B482"/>
    <mergeCell ref="A77:B77"/>
    <mergeCell ref="A94:B94"/>
    <mergeCell ref="A112:B112"/>
    <mergeCell ref="A121:B121"/>
    <mergeCell ref="A128:B128"/>
    <mergeCell ref="A144:B144"/>
    <mergeCell ref="A166:B166"/>
    <mergeCell ref="A351:B351"/>
    <mergeCell ref="A366:B366"/>
    <mergeCell ref="A236:B236"/>
    <mergeCell ref="A230:B230"/>
    <mergeCell ref="A215:B215"/>
    <mergeCell ref="A418:B418"/>
    <mergeCell ref="A433:B433"/>
    <mergeCell ref="A386:B386"/>
    <mergeCell ref="A399:B399"/>
    <mergeCell ref="A298:B298"/>
    <mergeCell ref="A319:B319"/>
    <mergeCell ref="A334:B334"/>
    <mergeCell ref="A268:B268"/>
    <mergeCell ref="A281:B281"/>
    <mergeCell ref="A498:B498"/>
    <mergeCell ref="A410:B411"/>
    <mergeCell ref="A11:B11"/>
    <mergeCell ref="A33:B33"/>
    <mergeCell ref="A54:B54"/>
    <mergeCell ref="A72:B72"/>
    <mergeCell ref="A142:B142"/>
    <mergeCell ref="A178:B178"/>
    <mergeCell ref="A195:B195"/>
    <mergeCell ref="A252:B252"/>
    <mergeCell ref="A378:B379"/>
    <mergeCell ref="A490:B491"/>
    <mergeCell ref="A455:B455"/>
    <mergeCell ref="C698:C699"/>
    <mergeCell ref="A706:B706"/>
    <mergeCell ref="C604:C605"/>
    <mergeCell ref="A566:B566"/>
    <mergeCell ref="A583:B583"/>
    <mergeCell ref="A669:B670"/>
    <mergeCell ref="A677:B677"/>
    <mergeCell ref="A686:B686"/>
    <mergeCell ref="A744:B745"/>
    <mergeCell ref="C744:C745"/>
    <mergeCell ref="A698:B699"/>
    <mergeCell ref="C669:C670"/>
    <mergeCell ref="A612:B612"/>
    <mergeCell ref="A637:B637"/>
    <mergeCell ref="A655:B655"/>
    <mergeCell ref="A659:B659"/>
    <mergeCell ref="C896:C897"/>
    <mergeCell ref="A904:B904"/>
    <mergeCell ref="A841:B841"/>
    <mergeCell ref="A866:B866"/>
    <mergeCell ref="C833:C834"/>
    <mergeCell ref="A887:B887"/>
    <mergeCell ref="A752:B752"/>
    <mergeCell ref="A768:B768"/>
    <mergeCell ref="A784:B784"/>
    <mergeCell ref="A815:B815"/>
    <mergeCell ref="A793:B794"/>
    <mergeCell ref="A825:B825"/>
    <mergeCell ref="A801:B801"/>
    <mergeCell ref="A833:B834"/>
    <mergeCell ref="A896:B897"/>
    <mergeCell ref="C980:C981"/>
    <mergeCell ref="A988:B988"/>
    <mergeCell ref="A1013:B1013"/>
    <mergeCell ref="A962:B962"/>
    <mergeCell ref="C937:C938"/>
    <mergeCell ref="A1036:B1037"/>
    <mergeCell ref="A937:B937"/>
    <mergeCell ref="A1031:B1031"/>
    <mergeCell ref="A945:B945"/>
    <mergeCell ref="A980:B981"/>
    <mergeCell ref="A1253:B1253"/>
    <mergeCell ref="A1315:B1315"/>
    <mergeCell ref="A1045:B1045"/>
    <mergeCell ref="A1068:B1068"/>
    <mergeCell ref="A1086:B1086"/>
    <mergeCell ref="A1096:B1096"/>
    <mergeCell ref="A1162:B1162"/>
    <mergeCell ref="A1177:B1177"/>
    <mergeCell ref="A1234:B1234"/>
    <mergeCell ref="A1114:B1114"/>
    <mergeCell ref="A1131:B1131"/>
    <mergeCell ref="A1145:B1145"/>
    <mergeCell ref="A1106:B1107"/>
    <mergeCell ref="A1154:B1155"/>
    <mergeCell ref="A1196:B1197"/>
    <mergeCell ref="A1263:B1264"/>
    <mergeCell ref="A1446:B1446"/>
    <mergeCell ref="A1296:B1296"/>
    <mergeCell ref="A1383:B1383"/>
    <mergeCell ref="A1430:B1430"/>
    <mergeCell ref="A1332:B1332"/>
    <mergeCell ref="A1360:B1360"/>
    <mergeCell ref="A1271:B1271"/>
    <mergeCell ref="A1324:B1325"/>
    <mergeCell ref="A9:B9"/>
    <mergeCell ref="A3:B4"/>
    <mergeCell ref="A86:B87"/>
    <mergeCell ref="A136:B137"/>
    <mergeCell ref="A244:B245"/>
    <mergeCell ref="A343:B344"/>
    <mergeCell ref="A447:B448"/>
    <mergeCell ref="A558:B559"/>
    <mergeCell ref="A1403:B1403"/>
    <mergeCell ref="A1204:B1204"/>
    <mergeCell ref="A1191:B1191"/>
    <mergeCell ref="A916:B916"/>
    <mergeCell ref="A928:B928"/>
    <mergeCell ref="A526:B527"/>
    <mergeCell ref="A514:B514"/>
    <mergeCell ref="A534:B534"/>
    <mergeCell ref="A548:B548"/>
    <mergeCell ref="A595:B595"/>
    <mergeCell ref="A604:B605"/>
    <mergeCell ref="A471:B471"/>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rowBreaks count="15" manualBreakCount="15">
    <brk id="53" max="2" man="1"/>
    <brk id="107" max="2" man="1"/>
    <brk id="160" max="2" man="1"/>
    <brk id="214" max="2" man="1"/>
    <brk id="267" max="2" man="1"/>
    <brk id="318" max="2" man="1"/>
    <brk id="372" max="2" man="1"/>
    <brk id="425" max="2" man="1"/>
    <brk id="533" max="2" man="1"/>
    <brk id="587" max="2" man="1"/>
    <brk id="751" max="2" man="1"/>
    <brk id="862" max="2" man="1"/>
    <brk id="1148" max="2" man="1"/>
    <brk id="1203" max="2" man="1"/>
    <brk id="1432"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FF33"/>
  </sheetPr>
  <dimension ref="A1:X927"/>
  <sheetViews>
    <sheetView topLeftCell="A589" zoomScaleNormal="100" zoomScaleSheetLayoutView="75" workbookViewId="0">
      <selection activeCell="A447" sqref="A447:A471"/>
    </sheetView>
  </sheetViews>
  <sheetFormatPr baseColWidth="10" defaultColWidth="14.42578125" defaultRowHeight="15" customHeight="1"/>
  <cols>
    <col min="1" max="1" width="10.7109375" customWidth="1"/>
    <col min="2" max="2" width="50.7109375" customWidth="1"/>
    <col min="3" max="3" width="15.7109375" customWidth="1"/>
    <col min="4" max="4" width="18.7109375" customWidth="1"/>
    <col min="5" max="5" width="16.5703125" customWidth="1"/>
    <col min="6" max="6" width="16.28515625" bestFit="1" customWidth="1"/>
    <col min="7" max="7" width="15.5703125" customWidth="1"/>
    <col min="8" max="8" width="17" customWidth="1"/>
    <col min="9" max="9" width="19.5703125" customWidth="1"/>
    <col min="10" max="10" width="18.28515625" customWidth="1"/>
    <col min="11" max="14" width="11.42578125" customWidth="1"/>
    <col min="15" max="24" width="10.7109375" customWidth="1"/>
  </cols>
  <sheetData>
    <row r="1" spans="1:24" ht="15" customHeight="1" thickBot="1">
      <c r="A1" s="1555" t="s">
        <v>978</v>
      </c>
      <c r="B1" s="1556"/>
      <c r="C1" s="1557"/>
    </row>
    <row r="2" spans="1:24" ht="13.5" customHeight="1" thickBot="1">
      <c r="A2" s="134"/>
      <c r="B2" s="135"/>
      <c r="C2" s="136"/>
      <c r="D2" s="137"/>
      <c r="E2" s="138"/>
      <c r="F2" s="138"/>
      <c r="G2" s="139"/>
      <c r="H2" s="138"/>
      <c r="I2" s="138"/>
      <c r="J2" s="138"/>
      <c r="K2" s="138"/>
      <c r="L2" s="138"/>
      <c r="M2" s="138"/>
      <c r="N2" s="138"/>
      <c r="O2" s="138"/>
      <c r="P2" s="138"/>
      <c r="Q2" s="138"/>
      <c r="R2" s="138"/>
      <c r="S2" s="138"/>
      <c r="T2" s="138"/>
      <c r="U2" s="138"/>
      <c r="V2" s="138"/>
      <c r="W2" s="138"/>
      <c r="X2" s="138"/>
    </row>
    <row r="3" spans="1:24" ht="13.5" customHeight="1">
      <c r="A3" s="1383" t="s">
        <v>752</v>
      </c>
      <c r="B3" s="1384"/>
      <c r="C3" s="1153">
        <v>1601</v>
      </c>
      <c r="D3" s="37"/>
      <c r="E3" s="140"/>
      <c r="F3" s="140"/>
      <c r="G3" s="141"/>
      <c r="H3" s="140"/>
      <c r="I3" s="140"/>
      <c r="J3" s="140"/>
      <c r="K3" s="140"/>
      <c r="L3" s="140"/>
      <c r="M3" s="140"/>
      <c r="N3" s="140"/>
      <c r="O3" s="140"/>
      <c r="P3" s="140"/>
      <c r="Q3" s="140"/>
      <c r="R3" s="140"/>
      <c r="S3" s="140"/>
      <c r="T3" s="140"/>
      <c r="U3" s="140"/>
      <c r="V3" s="140"/>
      <c r="W3" s="140"/>
      <c r="X3" s="140"/>
    </row>
    <row r="4" spans="1:24" ht="13.5" customHeight="1" thickBot="1">
      <c r="A4" s="1385"/>
      <c r="B4" s="1386"/>
      <c r="C4" s="1196"/>
      <c r="D4" s="37"/>
      <c r="E4" s="140"/>
      <c r="F4" s="140"/>
      <c r="G4" s="141"/>
      <c r="H4" s="140"/>
      <c r="I4" s="140"/>
      <c r="J4" s="140"/>
      <c r="K4" s="140"/>
      <c r="L4" s="140"/>
      <c r="M4" s="140"/>
      <c r="N4" s="140"/>
      <c r="O4" s="140"/>
      <c r="P4" s="140"/>
      <c r="Q4" s="140"/>
      <c r="R4" s="140"/>
      <c r="S4" s="140"/>
      <c r="T4" s="140"/>
      <c r="U4" s="140"/>
      <c r="V4" s="140"/>
      <c r="W4" s="140"/>
      <c r="X4" s="140"/>
    </row>
    <row r="5" spans="1:24" ht="13.5" customHeight="1">
      <c r="A5" s="609" t="s">
        <v>671</v>
      </c>
      <c r="B5" s="612"/>
      <c r="C5" s="1192"/>
      <c r="D5" s="37"/>
      <c r="E5" s="140"/>
      <c r="F5" s="140"/>
      <c r="G5" s="141"/>
      <c r="H5" s="140"/>
      <c r="I5" s="140"/>
      <c r="J5" s="140"/>
      <c r="K5" s="140"/>
      <c r="L5" s="140"/>
      <c r="M5" s="140"/>
      <c r="N5" s="140"/>
      <c r="O5" s="140"/>
      <c r="P5" s="140"/>
      <c r="Q5" s="140"/>
      <c r="R5" s="140"/>
      <c r="S5" s="140"/>
      <c r="T5" s="140"/>
      <c r="U5" s="140"/>
      <c r="V5" s="140"/>
      <c r="W5" s="140"/>
      <c r="X5" s="140"/>
    </row>
    <row r="6" spans="1:24" ht="13.5" customHeight="1">
      <c r="A6" s="609" t="s">
        <v>753</v>
      </c>
      <c r="B6" s="612"/>
      <c r="C6" s="1193"/>
      <c r="D6" s="37"/>
      <c r="E6" s="140"/>
      <c r="F6" s="140"/>
      <c r="G6" s="141"/>
      <c r="H6" s="140"/>
      <c r="I6" s="140"/>
      <c r="J6" s="140"/>
      <c r="K6" s="140"/>
      <c r="L6" s="140"/>
      <c r="M6" s="140"/>
      <c r="N6" s="140"/>
      <c r="O6" s="140"/>
      <c r="P6" s="140"/>
      <c r="Q6" s="140"/>
      <c r="R6" s="140"/>
      <c r="S6" s="140"/>
      <c r="T6" s="140"/>
      <c r="U6" s="140"/>
      <c r="V6" s="140"/>
      <c r="W6" s="140"/>
      <c r="X6" s="140"/>
    </row>
    <row r="7" spans="1:24" ht="13.5" customHeight="1">
      <c r="A7" s="609" t="s">
        <v>754</v>
      </c>
      <c r="B7" s="612"/>
      <c r="C7" s="1193"/>
      <c r="D7" s="37"/>
      <c r="E7" s="140"/>
      <c r="F7" s="140"/>
      <c r="G7" s="141"/>
      <c r="H7" s="140"/>
      <c r="I7" s="140"/>
      <c r="J7" s="140"/>
      <c r="K7" s="140"/>
      <c r="L7" s="140"/>
      <c r="M7" s="140"/>
      <c r="N7" s="140"/>
      <c r="O7" s="140"/>
      <c r="P7" s="140"/>
      <c r="Q7" s="140"/>
      <c r="R7" s="140"/>
      <c r="S7" s="140"/>
      <c r="T7" s="140"/>
      <c r="U7" s="140"/>
      <c r="V7" s="140"/>
      <c r="W7" s="140"/>
      <c r="X7" s="140"/>
    </row>
    <row r="8" spans="1:24" ht="13.5" customHeight="1" thickBot="1">
      <c r="A8" s="1089" t="s">
        <v>59</v>
      </c>
      <c r="B8" s="613"/>
      <c r="C8" s="1194"/>
      <c r="D8" s="37"/>
      <c r="E8" s="140"/>
      <c r="F8" s="140"/>
      <c r="G8" s="141"/>
      <c r="H8" s="140"/>
      <c r="I8" s="140"/>
      <c r="J8" s="140"/>
      <c r="K8" s="140"/>
      <c r="L8" s="140"/>
      <c r="M8" s="140"/>
      <c r="N8" s="140"/>
      <c r="O8" s="140"/>
      <c r="P8" s="140"/>
      <c r="Q8" s="140"/>
      <c r="R8" s="140"/>
      <c r="S8" s="140"/>
      <c r="T8" s="140"/>
      <c r="U8" s="140"/>
      <c r="V8" s="140"/>
      <c r="W8" s="140"/>
      <c r="X8" s="140"/>
    </row>
    <row r="9" spans="1:24" ht="13.5" customHeight="1" thickBot="1">
      <c r="A9" s="1190" t="s">
        <v>60</v>
      </c>
      <c r="B9" s="1195"/>
      <c r="C9" s="1102">
        <f>(C11+C34+C51+C69)</f>
        <v>2260209444.1775002</v>
      </c>
      <c r="D9" s="37"/>
      <c r="E9" s="140"/>
      <c r="F9" s="140"/>
      <c r="G9" s="141"/>
      <c r="H9" s="140"/>
      <c r="I9" s="140"/>
      <c r="J9" s="140"/>
      <c r="K9" s="140"/>
      <c r="L9" s="140"/>
      <c r="M9" s="140"/>
      <c r="N9" s="140"/>
      <c r="O9" s="140"/>
      <c r="P9" s="140"/>
      <c r="Q9" s="140"/>
      <c r="R9" s="140"/>
      <c r="S9" s="140"/>
      <c r="T9" s="140"/>
      <c r="U9" s="140"/>
      <c r="V9" s="140"/>
      <c r="W9" s="140"/>
      <c r="X9" s="140"/>
    </row>
    <row r="10" spans="1:24" ht="13.5" customHeight="1" thickBot="1">
      <c r="A10" s="100"/>
      <c r="B10" s="100"/>
      <c r="C10" s="72"/>
      <c r="D10" s="13"/>
      <c r="E10" s="986"/>
      <c r="F10" s="986"/>
      <c r="G10" s="986"/>
      <c r="H10" s="986"/>
      <c r="I10" s="35"/>
      <c r="J10" s="35"/>
      <c r="K10" s="35"/>
      <c r="L10" s="35"/>
      <c r="M10" s="35"/>
      <c r="N10" s="35"/>
      <c r="O10" s="35"/>
      <c r="P10" s="35"/>
      <c r="Q10" s="35"/>
      <c r="R10" s="35"/>
      <c r="S10" s="35"/>
      <c r="T10" s="35"/>
      <c r="U10" s="35"/>
      <c r="V10" s="35"/>
      <c r="W10" s="35"/>
      <c r="X10" s="35"/>
    </row>
    <row r="11" spans="1:24" ht="13.5" customHeight="1" thickBot="1">
      <c r="A11" s="1314" t="s">
        <v>2</v>
      </c>
      <c r="B11" s="1416"/>
      <c r="C11" s="1624">
        <f>C12+C19+C26</f>
        <v>2244618444.1775002</v>
      </c>
      <c r="D11" s="1618"/>
      <c r="E11" s="1618"/>
      <c r="F11" s="1618"/>
      <c r="G11" s="1618"/>
      <c r="H11" s="1618"/>
      <c r="I11" s="1618"/>
      <c r="J11" s="1641"/>
      <c r="K11" s="1035"/>
      <c r="L11" s="1035"/>
      <c r="M11" s="1035"/>
      <c r="N11" s="1035"/>
      <c r="O11" s="1035"/>
      <c r="P11" s="144"/>
      <c r="Q11" s="144"/>
      <c r="R11" s="144"/>
      <c r="S11" s="144"/>
      <c r="T11" s="144"/>
      <c r="U11" s="144"/>
      <c r="V11" s="144"/>
      <c r="W11" s="144"/>
      <c r="X11" s="144"/>
    </row>
    <row r="12" spans="1:24" s="831" customFormat="1" ht="13.5" customHeight="1">
      <c r="A12" s="48">
        <v>211101</v>
      </c>
      <c r="B12" s="22" t="s">
        <v>667</v>
      </c>
      <c r="C12" s="970">
        <f>SUM(C13:C18)</f>
        <v>886934503.55000007</v>
      </c>
      <c r="D12" s="1613"/>
      <c r="E12" s="1613"/>
      <c r="F12" s="1613"/>
      <c r="G12" s="1613"/>
      <c r="H12" s="1613"/>
      <c r="I12" s="1613"/>
      <c r="J12" s="1642"/>
      <c r="K12" s="1036"/>
      <c r="L12" s="1036"/>
      <c r="M12" s="1036"/>
      <c r="N12" s="1036"/>
      <c r="O12" s="1036"/>
      <c r="P12" s="38"/>
      <c r="Q12" s="38"/>
      <c r="R12" s="38"/>
      <c r="S12" s="38"/>
      <c r="T12" s="38"/>
      <c r="U12" s="38"/>
      <c r="V12" s="38"/>
      <c r="W12" s="38"/>
      <c r="X12" s="38"/>
    </row>
    <row r="13" spans="1:24" ht="12.75" customHeight="1">
      <c r="A13" s="33">
        <v>21110101</v>
      </c>
      <c r="B13" s="24" t="s">
        <v>810</v>
      </c>
      <c r="C13" s="809">
        <f>71450967.24+608459092.245-0.02</f>
        <v>679910059.46500003</v>
      </c>
      <c r="D13" s="1615"/>
      <c r="E13" s="1615"/>
      <c r="F13" s="1615"/>
      <c r="G13" s="1615"/>
      <c r="H13" s="1615"/>
      <c r="I13" s="1615"/>
      <c r="J13" s="1643"/>
      <c r="K13" s="995"/>
      <c r="L13" s="995"/>
      <c r="M13" s="995"/>
      <c r="N13" s="995"/>
      <c r="O13" s="808"/>
      <c r="P13" s="23"/>
      <c r="Q13" s="23"/>
      <c r="R13" s="23"/>
      <c r="S13" s="23"/>
      <c r="T13" s="23"/>
      <c r="U13" s="23"/>
      <c r="V13" s="23"/>
      <c r="W13" s="23"/>
      <c r="X13" s="23"/>
    </row>
    <row r="14" spans="1:24" ht="12.75" customHeight="1">
      <c r="A14" s="33">
        <v>21110102</v>
      </c>
      <c r="B14" s="24" t="s">
        <v>811</v>
      </c>
      <c r="C14" s="809">
        <f>104295297.54+20743829.2</f>
        <v>125039126.74000001</v>
      </c>
      <c r="D14" s="1615"/>
      <c r="E14" s="1615"/>
      <c r="F14" s="1615"/>
      <c r="G14" s="1615"/>
      <c r="H14" s="1615"/>
      <c r="I14" s="1625"/>
      <c r="J14" s="1625"/>
      <c r="K14" s="1011"/>
      <c r="L14" s="1011"/>
      <c r="M14" s="1011"/>
      <c r="N14" s="1011"/>
      <c r="O14" s="1011"/>
      <c r="P14" s="45"/>
      <c r="Q14" s="45"/>
      <c r="R14" s="45"/>
      <c r="S14" s="45"/>
      <c r="T14" s="45"/>
      <c r="U14" s="45"/>
      <c r="V14" s="45"/>
      <c r="W14" s="45"/>
      <c r="X14" s="45"/>
    </row>
    <row r="15" spans="1:24" ht="12.75" customHeight="1">
      <c r="A15" s="33">
        <v>21110103</v>
      </c>
      <c r="B15" s="24" t="s">
        <v>812</v>
      </c>
      <c r="C15" s="809">
        <v>18731499.344999999</v>
      </c>
      <c r="D15" s="1615"/>
      <c r="E15" s="1615"/>
      <c r="F15" s="1617"/>
      <c r="G15" s="1615"/>
      <c r="H15" s="1615"/>
      <c r="I15" s="1632"/>
      <c r="J15" s="1625"/>
      <c r="K15" s="1011"/>
      <c r="L15" s="1011"/>
      <c r="M15" s="1011"/>
      <c r="N15" s="1011"/>
      <c r="O15" s="1011"/>
      <c r="P15" s="45"/>
      <c r="Q15" s="45"/>
      <c r="R15" s="45"/>
      <c r="S15" s="45"/>
      <c r="T15" s="45"/>
      <c r="U15" s="45"/>
      <c r="V15" s="45"/>
      <c r="W15" s="45"/>
      <c r="X15" s="45"/>
    </row>
    <row r="16" spans="1:24" ht="12.75" customHeight="1">
      <c r="A16" s="33">
        <v>21110104</v>
      </c>
      <c r="B16" s="24" t="s">
        <v>813</v>
      </c>
      <c r="C16" s="809">
        <v>1</v>
      </c>
      <c r="D16" s="1644"/>
      <c r="E16" s="1625"/>
      <c r="F16" s="1625"/>
      <c r="G16" s="1645"/>
      <c r="H16" s="1625"/>
      <c r="I16" s="1625"/>
      <c r="J16" s="1625"/>
      <c r="K16" s="1011"/>
      <c r="L16" s="1011"/>
      <c r="M16" s="1011"/>
      <c r="N16" s="1011"/>
      <c r="O16" s="1011"/>
      <c r="P16" s="45"/>
      <c r="Q16" s="45"/>
      <c r="R16" s="45"/>
      <c r="S16" s="45"/>
      <c r="T16" s="45"/>
      <c r="U16" s="45"/>
      <c r="V16" s="45"/>
      <c r="W16" s="45"/>
      <c r="X16" s="45"/>
    </row>
    <row r="17" spans="1:24" ht="12.75" customHeight="1">
      <c r="A17" s="33">
        <v>21110105</v>
      </c>
      <c r="B17" s="24" t="s">
        <v>814</v>
      </c>
      <c r="C17" s="809">
        <v>8453817</v>
      </c>
      <c r="D17" s="1644"/>
      <c r="E17" s="1627"/>
      <c r="F17" s="1627"/>
      <c r="G17" s="1645"/>
      <c r="H17" s="1627"/>
      <c r="I17" s="1627"/>
      <c r="J17" s="1646"/>
      <c r="K17" s="808"/>
      <c r="L17" s="808"/>
      <c r="M17" s="808"/>
      <c r="N17" s="808"/>
      <c r="O17" s="808"/>
      <c r="P17" s="23"/>
      <c r="Q17" s="23"/>
      <c r="R17" s="23"/>
      <c r="S17" s="23"/>
      <c r="T17" s="23"/>
      <c r="U17" s="23"/>
      <c r="V17" s="23"/>
      <c r="W17" s="23"/>
      <c r="X17" s="23"/>
    </row>
    <row r="18" spans="1:24" ht="12.75" customHeight="1">
      <c r="A18" s="33">
        <v>21110106</v>
      </c>
      <c r="B18" s="24" t="s">
        <v>815</v>
      </c>
      <c r="C18" s="24">
        <f>5800000+6700000+4700000+7000000+8500000+8000000+10900000+2000000+1200000</f>
        <v>54800000</v>
      </c>
      <c r="D18" s="1038"/>
      <c r="E18" s="1011"/>
      <c r="F18" s="1011"/>
      <c r="G18" s="1037"/>
      <c r="H18" s="1011"/>
      <c r="I18" s="1011"/>
      <c r="J18" s="1011"/>
      <c r="K18" s="1011"/>
      <c r="L18" s="1011"/>
      <c r="M18" s="1011"/>
      <c r="N18" s="1011"/>
      <c r="O18" s="1011"/>
      <c r="P18" s="45"/>
      <c r="Q18" s="45"/>
      <c r="R18" s="45"/>
      <c r="S18" s="45"/>
      <c r="T18" s="45"/>
      <c r="U18" s="45"/>
      <c r="V18" s="45"/>
      <c r="W18" s="45"/>
      <c r="X18" s="45"/>
    </row>
    <row r="19" spans="1:24" ht="12.75" customHeight="1">
      <c r="A19" s="48">
        <v>211102</v>
      </c>
      <c r="B19" s="26" t="s">
        <v>668</v>
      </c>
      <c r="C19" s="26">
        <f>SUM(C20:C25)</f>
        <v>657444005.5200001</v>
      </c>
      <c r="D19" s="1038"/>
      <c r="E19" s="1011"/>
      <c r="F19" s="1011"/>
      <c r="G19" s="1037"/>
      <c r="H19" s="1011"/>
      <c r="I19" s="1011"/>
      <c r="J19" s="1011"/>
      <c r="K19" s="1011"/>
      <c r="L19" s="1011"/>
      <c r="M19" s="1011"/>
      <c r="N19" s="1011"/>
      <c r="O19" s="1011"/>
      <c r="P19" s="45"/>
      <c r="Q19" s="45"/>
      <c r="R19" s="45"/>
      <c r="S19" s="45"/>
      <c r="T19" s="45"/>
      <c r="U19" s="45"/>
      <c r="V19" s="45"/>
      <c r="W19" s="45"/>
      <c r="X19" s="45"/>
    </row>
    <row r="20" spans="1:24" ht="12.75" customHeight="1">
      <c r="A20" s="33">
        <v>21110201</v>
      </c>
      <c r="B20" s="24" t="s">
        <v>816</v>
      </c>
      <c r="C20" s="24">
        <f>71450967.24+462534028.2825</f>
        <v>533984995.52250004</v>
      </c>
      <c r="D20" s="1038"/>
      <c r="E20" s="808"/>
      <c r="F20" s="808"/>
      <c r="G20" s="1037"/>
      <c r="H20" s="808"/>
      <c r="I20" s="808"/>
      <c r="J20" s="808"/>
      <c r="K20" s="808"/>
      <c r="L20" s="808"/>
      <c r="M20" s="808"/>
      <c r="N20" s="808"/>
      <c r="O20" s="808"/>
      <c r="P20" s="23"/>
      <c r="Q20" s="23"/>
      <c r="R20" s="23"/>
      <c r="S20" s="23"/>
      <c r="T20" s="23"/>
      <c r="U20" s="23"/>
      <c r="V20" s="23"/>
      <c r="W20" s="23"/>
      <c r="X20" s="23"/>
    </row>
    <row r="21" spans="1:24" ht="12.75" customHeight="1">
      <c r="A21" s="33">
        <v>21110202</v>
      </c>
      <c r="B21" s="24" t="s">
        <v>817</v>
      </c>
      <c r="C21" s="24">
        <f>20743829.2+86244867.105</f>
        <v>106988696.30500001</v>
      </c>
      <c r="D21" s="148"/>
      <c r="E21" s="45"/>
      <c r="F21" s="45"/>
      <c r="G21" s="63"/>
      <c r="H21" s="45"/>
      <c r="I21" s="45"/>
      <c r="J21" s="45"/>
      <c r="K21" s="45"/>
      <c r="L21" s="45"/>
      <c r="M21" s="45"/>
      <c r="N21" s="45"/>
      <c r="O21" s="45"/>
      <c r="P21" s="45"/>
      <c r="Q21" s="45"/>
      <c r="R21" s="45"/>
      <c r="S21" s="45"/>
      <c r="T21" s="45"/>
      <c r="U21" s="45"/>
      <c r="V21" s="45"/>
      <c r="W21" s="45"/>
      <c r="X21" s="45"/>
    </row>
    <row r="22" spans="1:24" ht="12.75" customHeight="1">
      <c r="A22" s="33">
        <v>21110203</v>
      </c>
      <c r="B22" s="24" t="s">
        <v>818</v>
      </c>
      <c r="C22" s="24">
        <v>15265598.692499999</v>
      </c>
      <c r="D22" s="148"/>
      <c r="E22" s="45"/>
      <c r="F22" s="45"/>
      <c r="G22" s="63"/>
      <c r="H22" s="45"/>
      <c r="I22" s="45"/>
      <c r="J22" s="45"/>
      <c r="K22" s="45"/>
      <c r="L22" s="45"/>
      <c r="M22" s="45"/>
      <c r="N22" s="45"/>
      <c r="O22" s="45"/>
      <c r="P22" s="45"/>
      <c r="Q22" s="45"/>
      <c r="R22" s="45"/>
      <c r="S22" s="45"/>
      <c r="T22" s="45"/>
      <c r="U22" s="45"/>
      <c r="V22" s="45"/>
      <c r="W22" s="45"/>
      <c r="X22" s="45"/>
    </row>
    <row r="23" spans="1:24" ht="12.75" customHeight="1">
      <c r="A23" s="33">
        <v>21110204</v>
      </c>
      <c r="B23" s="24" t="s">
        <v>819</v>
      </c>
      <c r="C23" s="24">
        <v>1</v>
      </c>
      <c r="D23" s="148"/>
      <c r="E23" s="45"/>
      <c r="F23" s="45"/>
      <c r="G23" s="63"/>
      <c r="H23" s="45"/>
      <c r="I23" s="45"/>
      <c r="J23" s="45"/>
      <c r="K23" s="45"/>
      <c r="L23" s="45"/>
      <c r="M23" s="45"/>
      <c r="N23" s="45"/>
      <c r="O23" s="45"/>
      <c r="P23" s="45"/>
      <c r="Q23" s="45"/>
      <c r="R23" s="45"/>
      <c r="S23" s="45"/>
      <c r="T23" s="45"/>
      <c r="U23" s="45"/>
      <c r="V23" s="45"/>
      <c r="W23" s="45"/>
      <c r="X23" s="45"/>
    </row>
    <row r="24" spans="1:24" ht="12.75" customHeight="1">
      <c r="A24" s="33">
        <v>21110205</v>
      </c>
      <c r="B24" s="24" t="s">
        <v>820</v>
      </c>
      <c r="C24" s="24">
        <v>1204713</v>
      </c>
      <c r="D24" s="148"/>
      <c r="E24" s="23"/>
      <c r="F24" s="23"/>
      <c r="G24" s="63"/>
      <c r="H24" s="23"/>
      <c r="I24" s="23"/>
      <c r="J24" s="23"/>
      <c r="K24" s="23"/>
      <c r="L24" s="23"/>
      <c r="M24" s="23"/>
      <c r="N24" s="23"/>
      <c r="O24" s="23"/>
      <c r="P24" s="23"/>
      <c r="Q24" s="23"/>
      <c r="R24" s="23"/>
      <c r="S24" s="23"/>
      <c r="T24" s="23"/>
      <c r="U24" s="23"/>
      <c r="V24" s="23"/>
      <c r="W24" s="23"/>
      <c r="X24" s="23"/>
    </row>
    <row r="25" spans="1:24" ht="12.75" customHeight="1">
      <c r="A25" s="33">
        <v>21110206</v>
      </c>
      <c r="B25" s="24" t="s">
        <v>821</v>
      </c>
      <c r="C25" s="24">
        <v>1</v>
      </c>
      <c r="D25" s="146"/>
      <c r="E25" s="45"/>
      <c r="F25" s="45"/>
      <c r="G25" s="63"/>
      <c r="H25" s="45"/>
      <c r="I25" s="45"/>
      <c r="J25" s="45"/>
      <c r="K25" s="45"/>
      <c r="L25" s="45"/>
      <c r="M25" s="45"/>
      <c r="N25" s="45"/>
      <c r="O25" s="45"/>
      <c r="P25" s="45"/>
      <c r="Q25" s="45"/>
      <c r="R25" s="45"/>
      <c r="S25" s="45"/>
      <c r="T25" s="45"/>
      <c r="U25" s="45"/>
      <c r="V25" s="45"/>
      <c r="W25" s="45"/>
      <c r="X25" s="45"/>
    </row>
    <row r="26" spans="1:24" ht="12.75" customHeight="1">
      <c r="A26" s="48">
        <v>211103</v>
      </c>
      <c r="B26" s="26" t="s">
        <v>669</v>
      </c>
      <c r="C26" s="26">
        <f>SUM(C27:C32)</f>
        <v>700239935.10749996</v>
      </c>
      <c r="D26" s="146"/>
      <c r="E26" s="45"/>
      <c r="F26" s="45"/>
      <c r="G26" s="63"/>
      <c r="H26" s="45"/>
      <c r="I26" s="45"/>
      <c r="J26" s="45"/>
      <c r="K26" s="45"/>
      <c r="L26" s="45"/>
      <c r="M26" s="45"/>
      <c r="N26" s="45"/>
      <c r="O26" s="45"/>
      <c r="P26" s="45"/>
      <c r="Q26" s="45"/>
      <c r="R26" s="45"/>
      <c r="S26" s="45"/>
      <c r="T26" s="45"/>
      <c r="U26" s="45"/>
      <c r="V26" s="45"/>
      <c r="W26" s="45"/>
      <c r="X26" s="45"/>
    </row>
    <row r="27" spans="1:24" ht="12.75" customHeight="1">
      <c r="A27" s="33">
        <v>21110301</v>
      </c>
      <c r="B27" s="24" t="s">
        <v>822</v>
      </c>
      <c r="C27" s="24">
        <f>71450967.24+501678474.8925</f>
        <v>573129442.13249993</v>
      </c>
      <c r="D27" s="148"/>
      <c r="E27" s="23"/>
      <c r="F27" s="23"/>
      <c r="G27" s="63"/>
      <c r="H27" s="23"/>
      <c r="I27" s="23"/>
      <c r="J27" s="23"/>
      <c r="K27" s="23"/>
      <c r="L27" s="23"/>
      <c r="M27" s="23"/>
      <c r="N27" s="23"/>
      <c r="O27" s="23"/>
      <c r="P27" s="23"/>
      <c r="Q27" s="23"/>
      <c r="R27" s="23"/>
      <c r="S27" s="23"/>
      <c r="T27" s="23"/>
      <c r="U27" s="23"/>
      <c r="V27" s="23"/>
      <c r="W27" s="23"/>
      <c r="X27" s="23"/>
    </row>
    <row r="28" spans="1:24" ht="12.75" customHeight="1">
      <c r="A28" s="33">
        <v>21110302</v>
      </c>
      <c r="B28" s="24" t="s">
        <v>823</v>
      </c>
      <c r="C28" s="24">
        <f>20743829.2+74897907.77</f>
        <v>95641736.969999999</v>
      </c>
      <c r="D28" s="148"/>
      <c r="E28" s="45"/>
      <c r="F28" s="45"/>
      <c r="G28" s="63"/>
      <c r="H28" s="45"/>
      <c r="I28" s="45"/>
      <c r="J28" s="45"/>
      <c r="K28" s="45"/>
      <c r="L28" s="45"/>
      <c r="M28" s="45"/>
      <c r="N28" s="45"/>
      <c r="O28" s="45"/>
      <c r="P28" s="45"/>
      <c r="Q28" s="45"/>
      <c r="R28" s="45"/>
      <c r="S28" s="45"/>
      <c r="T28" s="45"/>
      <c r="U28" s="45"/>
      <c r="V28" s="45"/>
      <c r="W28" s="45"/>
      <c r="X28" s="45"/>
    </row>
    <row r="29" spans="1:24" ht="12.75" customHeight="1">
      <c r="A29" s="33">
        <v>21110303</v>
      </c>
      <c r="B29" s="24" t="s">
        <v>824</v>
      </c>
      <c r="C29" s="24">
        <v>16849201.004999999</v>
      </c>
      <c r="D29" s="148"/>
      <c r="E29" s="45"/>
      <c r="F29" s="45"/>
      <c r="G29" s="63"/>
      <c r="H29" s="45"/>
      <c r="I29" s="45"/>
      <c r="J29" s="45"/>
      <c r="K29" s="45"/>
      <c r="L29" s="45"/>
      <c r="M29" s="45"/>
      <c r="N29" s="45"/>
      <c r="O29" s="45"/>
      <c r="P29" s="45"/>
      <c r="Q29" s="45"/>
      <c r="R29" s="45"/>
      <c r="S29" s="45"/>
      <c r="T29" s="45"/>
      <c r="U29" s="45"/>
      <c r="V29" s="45"/>
      <c r="W29" s="45"/>
      <c r="X29" s="45"/>
    </row>
    <row r="30" spans="1:24" ht="12.75" customHeight="1">
      <c r="A30" s="33">
        <v>21110304</v>
      </c>
      <c r="B30" s="24" t="s">
        <v>825</v>
      </c>
      <c r="C30" s="24">
        <v>1</v>
      </c>
      <c r="D30" s="148"/>
      <c r="E30" s="45"/>
      <c r="F30" s="45"/>
      <c r="G30" s="63"/>
      <c r="H30" s="45"/>
      <c r="I30" s="45"/>
      <c r="J30" s="45"/>
      <c r="K30" s="45"/>
      <c r="L30" s="45"/>
      <c r="M30" s="45"/>
      <c r="N30" s="45"/>
      <c r="O30" s="45"/>
      <c r="P30" s="45"/>
      <c r="Q30" s="45"/>
      <c r="R30" s="45"/>
      <c r="S30" s="45"/>
      <c r="T30" s="45"/>
      <c r="U30" s="45"/>
      <c r="V30" s="45"/>
      <c r="W30" s="45"/>
      <c r="X30" s="45"/>
    </row>
    <row r="31" spans="1:24" ht="12.75" customHeight="1">
      <c r="A31" s="33">
        <v>21110305</v>
      </c>
      <c r="B31" s="24" t="s">
        <v>826</v>
      </c>
      <c r="C31" s="24">
        <v>14619553</v>
      </c>
      <c r="D31" s="148"/>
      <c r="E31" s="23"/>
      <c r="F31" s="23"/>
      <c r="G31" s="63"/>
      <c r="H31" s="23"/>
      <c r="I31" s="23"/>
      <c r="J31" s="23"/>
      <c r="K31" s="23"/>
      <c r="L31" s="23"/>
      <c r="M31" s="23"/>
      <c r="N31" s="23"/>
      <c r="O31" s="23"/>
      <c r="P31" s="23"/>
      <c r="Q31" s="23"/>
      <c r="R31" s="23"/>
      <c r="S31" s="23"/>
      <c r="T31" s="23"/>
      <c r="U31" s="23"/>
      <c r="V31" s="23"/>
      <c r="W31" s="23"/>
      <c r="X31" s="23"/>
    </row>
    <row r="32" spans="1:24" ht="12.75" customHeight="1">
      <c r="A32" s="33">
        <v>21110306</v>
      </c>
      <c r="B32" s="24" t="s">
        <v>670</v>
      </c>
      <c r="C32" s="24">
        <v>1</v>
      </c>
      <c r="D32" s="146"/>
      <c r="E32" s="45"/>
      <c r="F32" s="45"/>
      <c r="G32" s="63"/>
      <c r="H32" s="45"/>
      <c r="I32" s="45"/>
      <c r="J32" s="45"/>
      <c r="K32" s="45"/>
      <c r="L32" s="45"/>
      <c r="M32" s="45"/>
      <c r="N32" s="45"/>
      <c r="O32" s="45"/>
      <c r="P32" s="45"/>
      <c r="Q32" s="45"/>
      <c r="R32" s="45"/>
      <c r="S32" s="45"/>
      <c r="T32" s="45"/>
      <c r="U32" s="45"/>
      <c r="V32" s="45"/>
      <c r="W32" s="45"/>
      <c r="X32" s="45"/>
    </row>
    <row r="33" spans="1:24" ht="13.5" customHeight="1" thickBot="1">
      <c r="A33" s="45"/>
      <c r="B33" s="45"/>
      <c r="C33" s="24"/>
      <c r="D33" s="37"/>
      <c r="E33" s="149"/>
      <c r="F33" s="149"/>
      <c r="G33" s="147"/>
      <c r="H33" s="149"/>
      <c r="I33" s="149"/>
      <c r="J33" s="150"/>
      <c r="K33" s="150"/>
      <c r="L33" s="150"/>
      <c r="M33" s="150"/>
      <c r="N33" s="150"/>
      <c r="O33" s="150"/>
      <c r="P33" s="150"/>
      <c r="Q33" s="150"/>
      <c r="R33" s="150"/>
      <c r="S33" s="150"/>
      <c r="T33" s="150"/>
      <c r="U33" s="150"/>
      <c r="V33" s="150"/>
      <c r="W33" s="150"/>
      <c r="X33" s="150"/>
    </row>
    <row r="34" spans="1:24" ht="13.5" customHeight="1" thickBot="1">
      <c r="A34" s="1297" t="s">
        <v>9</v>
      </c>
      <c r="B34" s="1281"/>
      <c r="C34" s="62">
        <f>C35+C37+C40+C42+C44+C46</f>
        <v>5780500</v>
      </c>
      <c r="D34" s="152"/>
      <c r="E34" s="151"/>
      <c r="F34" s="151"/>
      <c r="G34" s="153"/>
      <c r="H34" s="151"/>
      <c r="I34" s="151"/>
      <c r="J34" s="151"/>
      <c r="K34" s="151"/>
      <c r="L34" s="151"/>
      <c r="M34" s="151"/>
      <c r="N34" s="151"/>
      <c r="O34" s="151"/>
      <c r="P34" s="151"/>
      <c r="Q34" s="151"/>
      <c r="R34" s="151"/>
      <c r="S34" s="151"/>
      <c r="T34" s="151"/>
      <c r="U34" s="151"/>
      <c r="V34" s="151"/>
      <c r="W34" s="151"/>
      <c r="X34" s="151"/>
    </row>
    <row r="35" spans="1:24" s="831" customFormat="1" ht="13.5" customHeight="1">
      <c r="A35" s="48">
        <v>211201</v>
      </c>
      <c r="B35" s="22" t="s">
        <v>459</v>
      </c>
      <c r="C35" s="26">
        <f>C36</f>
        <v>1309000</v>
      </c>
      <c r="D35" s="37"/>
      <c r="E35" s="171"/>
      <c r="F35" s="171"/>
      <c r="G35" s="172"/>
      <c r="H35" s="171"/>
      <c r="I35" s="171"/>
      <c r="J35" s="38"/>
      <c r="K35" s="38"/>
      <c r="L35" s="38"/>
      <c r="M35" s="38"/>
      <c r="N35" s="38"/>
      <c r="O35" s="38"/>
      <c r="P35" s="38"/>
      <c r="Q35" s="38"/>
      <c r="R35" s="38"/>
      <c r="S35" s="38"/>
      <c r="T35" s="38"/>
      <c r="U35" s="38"/>
      <c r="V35" s="38"/>
      <c r="W35" s="38"/>
      <c r="X35" s="38"/>
    </row>
    <row r="36" spans="1:24" ht="13.5" customHeight="1">
      <c r="A36" s="33">
        <v>21120101</v>
      </c>
      <c r="B36" s="23" t="s">
        <v>460</v>
      </c>
      <c r="C36" s="51">
        <v>1309000</v>
      </c>
      <c r="D36" s="146"/>
      <c r="E36" s="24"/>
      <c r="F36" s="23"/>
      <c r="G36" s="63"/>
      <c r="H36" s="23"/>
      <c r="I36" s="23"/>
      <c r="J36" s="23"/>
      <c r="K36" s="23"/>
      <c r="L36" s="23"/>
      <c r="M36" s="23"/>
      <c r="N36" s="23"/>
      <c r="O36" s="23"/>
      <c r="P36" s="23"/>
      <c r="Q36" s="23"/>
      <c r="R36" s="23"/>
      <c r="S36" s="23"/>
      <c r="T36" s="23"/>
      <c r="U36" s="23"/>
      <c r="V36" s="23"/>
      <c r="W36" s="23"/>
      <c r="X36" s="23"/>
    </row>
    <row r="37" spans="1:24" s="831" customFormat="1" ht="13.5" customHeight="1">
      <c r="A37" s="48">
        <v>211203</v>
      </c>
      <c r="B37" s="21" t="s">
        <v>461</v>
      </c>
      <c r="C37" s="26">
        <f>+SUM(C38:C39)</f>
        <v>633000</v>
      </c>
      <c r="D37" s="37"/>
      <c r="E37" s="26"/>
      <c r="F37" s="21"/>
      <c r="G37" s="832"/>
      <c r="H37" s="21"/>
      <c r="I37" s="21"/>
      <c r="J37" s="21"/>
      <c r="K37" s="21"/>
      <c r="L37" s="21"/>
      <c r="M37" s="21"/>
      <c r="N37" s="21"/>
      <c r="O37" s="21"/>
      <c r="P37" s="21"/>
      <c r="Q37" s="21"/>
      <c r="R37" s="21"/>
      <c r="S37" s="21"/>
      <c r="T37" s="21"/>
      <c r="U37" s="21"/>
      <c r="V37" s="21"/>
      <c r="W37" s="21"/>
      <c r="X37" s="21"/>
    </row>
    <row r="38" spans="1:24" ht="13.5" customHeight="1">
      <c r="A38" s="33">
        <v>21120301</v>
      </c>
      <c r="B38" s="13" t="s">
        <v>527</v>
      </c>
      <c r="C38" s="51">
        <v>330000</v>
      </c>
      <c r="D38" s="32"/>
      <c r="E38" s="14"/>
      <c r="F38" s="13"/>
      <c r="G38" s="13"/>
      <c r="H38" s="13"/>
      <c r="I38" s="13"/>
      <c r="J38" s="13"/>
      <c r="K38" s="13"/>
      <c r="L38" s="13"/>
      <c r="M38" s="13"/>
      <c r="N38" s="13"/>
      <c r="O38" s="13"/>
      <c r="P38" s="13"/>
      <c r="Q38" s="13"/>
      <c r="R38" s="13"/>
      <c r="S38" s="13"/>
      <c r="T38" s="13"/>
      <c r="U38" s="13"/>
      <c r="V38" s="13"/>
      <c r="W38" s="13"/>
      <c r="X38" s="13"/>
    </row>
    <row r="39" spans="1:24" ht="13.5" customHeight="1">
      <c r="A39" s="33">
        <v>21120302</v>
      </c>
      <c r="B39" s="23" t="s">
        <v>462</v>
      </c>
      <c r="C39" s="24">
        <v>303000</v>
      </c>
      <c r="D39" s="146"/>
      <c r="E39" s="24"/>
      <c r="F39" s="23"/>
      <c r="G39" s="63"/>
      <c r="H39" s="23"/>
      <c r="I39" s="23"/>
      <c r="J39" s="23"/>
      <c r="K39" s="23"/>
      <c r="L39" s="23"/>
      <c r="M39" s="23"/>
      <c r="N39" s="23"/>
      <c r="O39" s="23"/>
      <c r="P39" s="23"/>
      <c r="Q39" s="23"/>
      <c r="R39" s="23"/>
      <c r="S39" s="23"/>
      <c r="T39" s="23"/>
      <c r="U39" s="23"/>
      <c r="V39" s="23"/>
      <c r="W39" s="23"/>
      <c r="X39" s="23"/>
    </row>
    <row r="40" spans="1:24" s="831" customFormat="1" ht="13.5" customHeight="1">
      <c r="A40" s="48">
        <v>211204</v>
      </c>
      <c r="B40" s="21" t="s">
        <v>463</v>
      </c>
      <c r="C40" s="26">
        <f>C41</f>
        <v>1350000</v>
      </c>
      <c r="D40" s="37"/>
      <c r="E40" s="26"/>
      <c r="F40" s="21"/>
      <c r="G40" s="832"/>
      <c r="H40" s="21"/>
      <c r="I40" s="21"/>
      <c r="J40" s="21"/>
      <c r="K40" s="21"/>
      <c r="L40" s="21"/>
      <c r="M40" s="21"/>
      <c r="N40" s="21"/>
      <c r="O40" s="21"/>
      <c r="P40" s="21"/>
      <c r="Q40" s="21"/>
      <c r="R40" s="21"/>
      <c r="S40" s="21"/>
      <c r="T40" s="21"/>
      <c r="U40" s="21"/>
      <c r="V40" s="21"/>
      <c r="W40" s="21"/>
      <c r="X40" s="21"/>
    </row>
    <row r="41" spans="1:24" ht="13.5" customHeight="1">
      <c r="A41" s="33">
        <v>21120401</v>
      </c>
      <c r="B41" s="24" t="s">
        <v>464</v>
      </c>
      <c r="C41" s="24">
        <f>1200000+150000</f>
        <v>1350000</v>
      </c>
      <c r="D41" s="148"/>
      <c r="E41" s="24"/>
      <c r="F41" s="23"/>
      <c r="G41" s="63"/>
      <c r="H41" s="23"/>
      <c r="I41" s="23"/>
      <c r="J41" s="23"/>
      <c r="K41" s="23"/>
      <c r="L41" s="23"/>
      <c r="M41" s="23"/>
      <c r="N41" s="23"/>
      <c r="O41" s="23"/>
      <c r="P41" s="23"/>
      <c r="Q41" s="23"/>
      <c r="R41" s="23"/>
      <c r="S41" s="23"/>
      <c r="T41" s="23"/>
      <c r="U41" s="23"/>
      <c r="V41" s="23"/>
      <c r="W41" s="23"/>
      <c r="X41" s="23"/>
    </row>
    <row r="42" spans="1:24" s="831" customFormat="1" ht="13.5" customHeight="1">
      <c r="A42" s="48">
        <v>211207</v>
      </c>
      <c r="B42" s="21" t="s">
        <v>467</v>
      </c>
      <c r="C42" s="26">
        <f>C43</f>
        <v>140000</v>
      </c>
      <c r="D42" s="37"/>
      <c r="E42" s="1"/>
      <c r="F42" s="1"/>
      <c r="G42" s="833"/>
      <c r="H42" s="1"/>
      <c r="I42" s="1"/>
      <c r="J42" s="1"/>
      <c r="K42" s="1"/>
      <c r="L42" s="1"/>
      <c r="M42" s="1"/>
      <c r="N42" s="1"/>
      <c r="O42" s="1"/>
      <c r="P42" s="1"/>
      <c r="Q42" s="1"/>
      <c r="R42" s="1"/>
      <c r="S42" s="1"/>
      <c r="T42" s="1"/>
      <c r="U42" s="1"/>
      <c r="V42" s="1"/>
      <c r="W42" s="1"/>
      <c r="X42" s="1"/>
    </row>
    <row r="43" spans="1:24" ht="13.5" customHeight="1">
      <c r="A43" s="33">
        <v>21120702</v>
      </c>
      <c r="B43" s="24" t="s">
        <v>468</v>
      </c>
      <c r="C43" s="51">
        <f>50000+90000</f>
        <v>140000</v>
      </c>
      <c r="D43" s="148"/>
      <c r="E43" s="23"/>
      <c r="F43" s="23"/>
      <c r="G43" s="63"/>
      <c r="H43" s="23"/>
      <c r="I43" s="23"/>
      <c r="J43" s="23"/>
      <c r="K43" s="23"/>
      <c r="L43" s="23"/>
      <c r="M43" s="23"/>
      <c r="N43" s="23"/>
      <c r="O43" s="23"/>
      <c r="P43" s="23"/>
      <c r="Q43" s="23"/>
      <c r="R43" s="23"/>
      <c r="S43" s="23"/>
      <c r="T43" s="23"/>
      <c r="U43" s="23"/>
      <c r="V43" s="23"/>
      <c r="W43" s="23"/>
      <c r="X43" s="23"/>
    </row>
    <row r="44" spans="1:24" s="831" customFormat="1" ht="13.5" customHeight="1">
      <c r="A44" s="48">
        <v>211208</v>
      </c>
      <c r="B44" s="26" t="s">
        <v>474</v>
      </c>
      <c r="C44" s="26">
        <f>C45</f>
        <v>138500</v>
      </c>
      <c r="D44" s="157"/>
      <c r="E44" s="26"/>
      <c r="F44" s="21"/>
      <c r="G44" s="832"/>
      <c r="H44" s="21"/>
      <c r="I44" s="21"/>
      <c r="J44" s="21"/>
      <c r="K44" s="21"/>
      <c r="L44" s="21"/>
      <c r="M44" s="21"/>
      <c r="N44" s="21"/>
      <c r="O44" s="21"/>
      <c r="P44" s="21"/>
      <c r="Q44" s="21"/>
      <c r="R44" s="21"/>
      <c r="S44" s="21"/>
      <c r="T44" s="21"/>
      <c r="U44" s="21"/>
      <c r="V44" s="21"/>
      <c r="W44" s="21"/>
      <c r="X44" s="21"/>
    </row>
    <row r="45" spans="1:24" ht="13.5" customHeight="1">
      <c r="A45" s="33">
        <v>21120805</v>
      </c>
      <c r="B45" s="24" t="s">
        <v>476</v>
      </c>
      <c r="C45" s="51">
        <v>138500</v>
      </c>
      <c r="D45" s="148"/>
      <c r="E45" s="24"/>
      <c r="F45" s="23"/>
      <c r="G45" s="63"/>
      <c r="H45" s="23"/>
      <c r="I45" s="23"/>
      <c r="J45" s="23"/>
      <c r="K45" s="23"/>
      <c r="L45" s="23"/>
      <c r="M45" s="23"/>
      <c r="N45" s="23"/>
      <c r="O45" s="23"/>
      <c r="P45" s="23"/>
      <c r="Q45" s="23"/>
      <c r="R45" s="23"/>
      <c r="S45" s="23"/>
      <c r="T45" s="23"/>
      <c r="U45" s="23"/>
      <c r="V45" s="23"/>
      <c r="W45" s="23"/>
      <c r="X45" s="23"/>
    </row>
    <row r="46" spans="1:24" s="831" customFormat="1" ht="13.5" customHeight="1">
      <c r="A46" s="48">
        <v>211209</v>
      </c>
      <c r="B46" s="26" t="s">
        <v>477</v>
      </c>
      <c r="C46" s="26">
        <f>SUM(C47:C49)</f>
        <v>2210000</v>
      </c>
      <c r="D46" s="157"/>
      <c r="E46" s="26"/>
      <c r="F46" s="21"/>
      <c r="G46" s="832"/>
      <c r="H46" s="21"/>
      <c r="I46" s="21"/>
      <c r="J46" s="21"/>
      <c r="K46" s="21"/>
      <c r="L46" s="21"/>
      <c r="M46" s="21"/>
      <c r="N46" s="21"/>
      <c r="O46" s="21"/>
      <c r="P46" s="21"/>
      <c r="Q46" s="21"/>
      <c r="R46" s="21"/>
      <c r="S46" s="21"/>
      <c r="T46" s="21"/>
      <c r="U46" s="21"/>
      <c r="V46" s="21"/>
      <c r="W46" s="21"/>
      <c r="X46" s="21"/>
    </row>
    <row r="47" spans="1:24" ht="13.5" customHeight="1">
      <c r="A47" s="33">
        <v>21120901</v>
      </c>
      <c r="B47" s="24" t="s">
        <v>478</v>
      </c>
      <c r="C47" s="51">
        <v>147500</v>
      </c>
      <c r="D47" s="148"/>
      <c r="E47" s="24"/>
      <c r="F47" s="23"/>
      <c r="G47" s="63"/>
      <c r="H47" s="23"/>
      <c r="I47" s="23"/>
      <c r="J47" s="23"/>
      <c r="K47" s="23"/>
      <c r="L47" s="23"/>
      <c r="M47" s="23"/>
      <c r="N47" s="23"/>
      <c r="O47" s="23"/>
      <c r="P47" s="23"/>
      <c r="Q47" s="23"/>
      <c r="R47" s="23"/>
      <c r="S47" s="23"/>
      <c r="T47" s="23"/>
      <c r="U47" s="23"/>
      <c r="V47" s="23"/>
      <c r="W47" s="23"/>
      <c r="X47" s="23"/>
    </row>
    <row r="48" spans="1:24" ht="13.5" customHeight="1">
      <c r="A48" s="33">
        <v>21120905</v>
      </c>
      <c r="B48" s="24" t="s">
        <v>525</v>
      </c>
      <c r="C48" s="51">
        <v>236000</v>
      </c>
      <c r="D48" s="157"/>
      <c r="E48" s="24"/>
      <c r="F48" s="35"/>
      <c r="G48" s="63"/>
      <c r="H48" s="23"/>
      <c r="I48" s="23"/>
      <c r="J48" s="23"/>
      <c r="K48" s="23"/>
      <c r="L48" s="23"/>
      <c r="M48" s="23"/>
      <c r="N48" s="23"/>
      <c r="O48" s="23"/>
      <c r="P48" s="23"/>
      <c r="Q48" s="23"/>
      <c r="R48" s="23"/>
      <c r="S48" s="23"/>
      <c r="T48" s="23"/>
      <c r="U48" s="23"/>
      <c r="V48" s="23"/>
      <c r="W48" s="23"/>
      <c r="X48" s="23"/>
    </row>
    <row r="49" spans="1:24" ht="13.5" customHeight="1">
      <c r="A49" s="33">
        <v>21120906</v>
      </c>
      <c r="B49" s="24" t="s">
        <v>479</v>
      </c>
      <c r="C49" s="51">
        <f>5000000+26500-3200000</f>
        <v>1826500</v>
      </c>
      <c r="D49" s="37"/>
      <c r="E49" s="151"/>
      <c r="F49" s="151"/>
      <c r="G49" s="153"/>
      <c r="H49" s="151"/>
      <c r="I49" s="151"/>
      <c r="J49" s="151"/>
      <c r="K49" s="151"/>
      <c r="L49" s="151"/>
      <c r="M49" s="151"/>
      <c r="N49" s="151"/>
      <c r="O49" s="151"/>
      <c r="P49" s="151"/>
      <c r="Q49" s="151"/>
      <c r="R49" s="151"/>
      <c r="S49" s="151"/>
      <c r="T49" s="151"/>
      <c r="U49" s="151"/>
      <c r="V49" s="151"/>
      <c r="W49" s="151"/>
      <c r="X49" s="151"/>
    </row>
    <row r="50" spans="1:24" ht="13.5" customHeight="1" thickBot="1">
      <c r="A50" s="23"/>
      <c r="B50" s="24"/>
      <c r="C50" s="24"/>
      <c r="D50" s="37"/>
      <c r="E50" s="151"/>
      <c r="F50" s="151"/>
      <c r="G50" s="153"/>
      <c r="H50" s="151"/>
      <c r="I50" s="151"/>
      <c r="J50" s="151"/>
      <c r="K50" s="151"/>
      <c r="L50" s="151"/>
      <c r="M50" s="151"/>
      <c r="N50" s="151"/>
      <c r="O50" s="151"/>
      <c r="P50" s="151"/>
      <c r="Q50" s="151"/>
      <c r="R50" s="151"/>
      <c r="S50" s="151"/>
      <c r="T50" s="151"/>
      <c r="U50" s="151"/>
      <c r="V50" s="151"/>
      <c r="W50" s="151"/>
      <c r="X50" s="151"/>
    </row>
    <row r="51" spans="1:24" ht="13.5" customHeight="1" thickBot="1">
      <c r="A51" s="1298" t="s">
        <v>4</v>
      </c>
      <c r="B51" s="1281"/>
      <c r="C51" s="64">
        <f>C52+C54+C56+C59+C62+C64</f>
        <v>9390500</v>
      </c>
      <c r="D51" s="152"/>
      <c r="E51" s="151"/>
      <c r="F51" s="151"/>
      <c r="G51" s="153"/>
      <c r="H51" s="151"/>
      <c r="I51" s="151"/>
      <c r="J51" s="151"/>
      <c r="K51" s="151"/>
      <c r="L51" s="151"/>
      <c r="M51" s="151"/>
      <c r="N51" s="151"/>
      <c r="O51" s="151"/>
      <c r="P51" s="151"/>
      <c r="Q51" s="151"/>
      <c r="R51" s="151"/>
      <c r="S51" s="151"/>
      <c r="T51" s="151"/>
      <c r="U51" s="151"/>
      <c r="V51" s="151"/>
      <c r="W51" s="151"/>
      <c r="X51" s="151"/>
    </row>
    <row r="52" spans="1:24" s="831" customFormat="1" ht="13.5" customHeight="1">
      <c r="A52" s="48">
        <v>211302</v>
      </c>
      <c r="B52" s="76" t="s">
        <v>481</v>
      </c>
      <c r="C52" s="155">
        <f>C53</f>
        <v>379000</v>
      </c>
      <c r="D52" s="157"/>
      <c r="E52" s="834"/>
      <c r="F52" s="834"/>
      <c r="G52" s="835"/>
      <c r="H52" s="834"/>
      <c r="I52" s="834"/>
      <c r="J52" s="834"/>
      <c r="K52" s="834"/>
      <c r="L52" s="834"/>
      <c r="M52" s="834"/>
      <c r="N52" s="834"/>
      <c r="O52" s="834"/>
      <c r="P52" s="834"/>
      <c r="Q52" s="834"/>
      <c r="R52" s="834"/>
      <c r="S52" s="834"/>
      <c r="T52" s="834"/>
      <c r="U52" s="834"/>
      <c r="V52" s="834"/>
      <c r="W52" s="834"/>
      <c r="X52" s="834"/>
    </row>
    <row r="53" spans="1:24" ht="13.5" customHeight="1">
      <c r="A53" s="33">
        <v>21130204</v>
      </c>
      <c r="B53" s="23" t="s">
        <v>483</v>
      </c>
      <c r="C53" s="51">
        <v>379000</v>
      </c>
      <c r="D53" s="148"/>
      <c r="E53" s="24"/>
      <c r="F53" s="23"/>
      <c r="G53" s="63"/>
      <c r="H53" s="23"/>
      <c r="I53" s="23"/>
      <c r="J53" s="23"/>
      <c r="K53" s="23"/>
      <c r="L53" s="23"/>
      <c r="M53" s="23"/>
      <c r="N53" s="23"/>
      <c r="O53" s="23"/>
      <c r="P53" s="23"/>
      <c r="Q53" s="23"/>
      <c r="R53" s="23"/>
      <c r="S53" s="23"/>
      <c r="T53" s="23"/>
      <c r="U53" s="23"/>
      <c r="V53" s="23"/>
      <c r="W53" s="23"/>
      <c r="X53" s="23"/>
    </row>
    <row r="54" spans="1:24" s="831" customFormat="1" ht="13.5" customHeight="1">
      <c r="A54" s="48">
        <v>211303</v>
      </c>
      <c r="B54" s="21" t="s">
        <v>484</v>
      </c>
      <c r="C54" s="26">
        <f>C55</f>
        <v>156000</v>
      </c>
      <c r="D54" s="157"/>
      <c r="E54" s="26"/>
      <c r="F54" s="21"/>
      <c r="G54" s="832"/>
      <c r="H54" s="21"/>
      <c r="I54" s="21"/>
      <c r="J54" s="21"/>
      <c r="K54" s="21"/>
      <c r="L54" s="21"/>
      <c r="M54" s="21"/>
      <c r="N54" s="21"/>
      <c r="O54" s="21"/>
      <c r="P54" s="21"/>
      <c r="Q54" s="21"/>
      <c r="R54" s="21"/>
      <c r="S54" s="21"/>
      <c r="T54" s="21"/>
      <c r="U54" s="21"/>
      <c r="V54" s="21"/>
      <c r="W54" s="21"/>
      <c r="X54" s="21"/>
    </row>
    <row r="55" spans="1:24" ht="13.5" customHeight="1">
      <c r="A55" s="33">
        <v>21130307</v>
      </c>
      <c r="B55" s="23" t="s">
        <v>488</v>
      </c>
      <c r="C55" s="24">
        <v>156000</v>
      </c>
      <c r="D55" s="146"/>
      <c r="E55" s="4"/>
      <c r="F55" s="4"/>
      <c r="G55" s="156"/>
      <c r="H55" s="4"/>
      <c r="I55" s="4"/>
      <c r="J55" s="4"/>
      <c r="K55" s="4"/>
      <c r="L55" s="4"/>
      <c r="M55" s="4"/>
      <c r="N55" s="4"/>
      <c r="O55" s="4"/>
      <c r="P55" s="4"/>
      <c r="Q55" s="4"/>
      <c r="R55" s="4"/>
      <c r="S55" s="4"/>
      <c r="T55" s="4"/>
      <c r="U55" s="4"/>
      <c r="V55" s="4"/>
      <c r="W55" s="4"/>
      <c r="X55" s="4"/>
    </row>
    <row r="56" spans="1:24" s="831" customFormat="1" ht="13.5" customHeight="1">
      <c r="A56" s="48">
        <v>211305</v>
      </c>
      <c r="B56" s="21" t="s">
        <v>489</v>
      </c>
      <c r="C56" s="26">
        <f>+SUM(C57:C58)</f>
        <v>2083000</v>
      </c>
      <c r="D56" s="37"/>
      <c r="E56" s="1"/>
      <c r="F56" s="1"/>
      <c r="G56" s="833"/>
      <c r="H56" s="1"/>
      <c r="I56" s="1"/>
      <c r="J56" s="1"/>
      <c r="K56" s="1"/>
      <c r="L56" s="1"/>
      <c r="M56" s="1"/>
      <c r="N56" s="1"/>
      <c r="O56" s="1"/>
      <c r="P56" s="1"/>
      <c r="Q56" s="1"/>
      <c r="R56" s="1"/>
      <c r="S56" s="1"/>
      <c r="T56" s="1"/>
      <c r="U56" s="1"/>
      <c r="V56" s="1"/>
      <c r="W56" s="1"/>
      <c r="X56" s="1"/>
    </row>
    <row r="57" spans="1:24" ht="13.5" customHeight="1">
      <c r="A57" s="33">
        <v>21130501</v>
      </c>
      <c r="B57" s="13" t="s">
        <v>490</v>
      </c>
      <c r="C57" s="51">
        <v>70000</v>
      </c>
      <c r="D57" s="146"/>
      <c r="E57" s="4"/>
      <c r="F57" s="4"/>
      <c r="G57" s="156"/>
      <c r="H57" s="4"/>
      <c r="I57" s="4"/>
      <c r="J57" s="4"/>
      <c r="K57" s="4"/>
      <c r="L57" s="4"/>
      <c r="M57" s="4"/>
      <c r="N57" s="4"/>
      <c r="O57" s="4"/>
      <c r="P57" s="4"/>
      <c r="Q57" s="4"/>
      <c r="R57" s="4"/>
      <c r="S57" s="4"/>
      <c r="T57" s="4"/>
      <c r="U57" s="4"/>
      <c r="V57" s="4"/>
      <c r="W57" s="4"/>
      <c r="X57" s="4"/>
    </row>
    <row r="58" spans="1:24" ht="13.5" customHeight="1">
      <c r="A58" s="33">
        <v>21130502</v>
      </c>
      <c r="B58" s="24" t="s">
        <v>491</v>
      </c>
      <c r="C58" s="24">
        <v>2013000</v>
      </c>
      <c r="D58" s="146"/>
      <c r="E58" s="4"/>
      <c r="F58" s="4"/>
      <c r="G58" s="156"/>
      <c r="H58" s="4"/>
      <c r="I58" s="4"/>
      <c r="J58" s="4"/>
      <c r="K58" s="4"/>
      <c r="L58" s="4"/>
      <c r="M58" s="4"/>
      <c r="N58" s="4"/>
      <c r="O58" s="4"/>
      <c r="P58" s="4"/>
      <c r="Q58" s="4"/>
      <c r="R58" s="4"/>
      <c r="S58" s="4"/>
      <c r="T58" s="4"/>
      <c r="U58" s="4"/>
      <c r="V58" s="4"/>
      <c r="W58" s="4"/>
      <c r="X58" s="4"/>
    </row>
    <row r="59" spans="1:24" s="831" customFormat="1" ht="13.5" customHeight="1">
      <c r="A59" s="48">
        <v>211306</v>
      </c>
      <c r="B59" s="26" t="s">
        <v>492</v>
      </c>
      <c r="C59" s="26">
        <f>SUM(C60:C61)</f>
        <v>1394000</v>
      </c>
      <c r="D59" s="37"/>
      <c r="E59" s="1"/>
      <c r="F59" s="1"/>
      <c r="G59" s="833"/>
      <c r="H59" s="1"/>
      <c r="I59" s="1"/>
      <c r="J59" s="1"/>
      <c r="K59" s="1"/>
      <c r="L59" s="1"/>
      <c r="M59" s="1"/>
      <c r="N59" s="1"/>
      <c r="O59" s="1"/>
      <c r="P59" s="1"/>
      <c r="Q59" s="1"/>
      <c r="R59" s="1"/>
      <c r="S59" s="1"/>
      <c r="T59" s="1"/>
      <c r="U59" s="1"/>
      <c r="V59" s="1"/>
      <c r="W59" s="1"/>
      <c r="X59" s="1"/>
    </row>
    <row r="60" spans="1:24" ht="13.5" customHeight="1">
      <c r="A60" s="33">
        <v>21130604</v>
      </c>
      <c r="B60" s="23" t="s">
        <v>539</v>
      </c>
      <c r="C60" s="24">
        <v>335000</v>
      </c>
      <c r="D60" s="146"/>
      <c r="E60" s="4"/>
      <c r="F60" s="4"/>
      <c r="G60" s="156"/>
      <c r="H60" s="4"/>
      <c r="I60" s="4"/>
      <c r="J60" s="4"/>
      <c r="K60" s="4"/>
      <c r="L60" s="4"/>
      <c r="M60" s="4"/>
      <c r="N60" s="4"/>
      <c r="O60" s="4"/>
      <c r="P60" s="4"/>
      <c r="Q60" s="4"/>
      <c r="R60" s="4"/>
      <c r="S60" s="4"/>
      <c r="T60" s="4"/>
      <c r="U60" s="4"/>
      <c r="V60" s="4"/>
      <c r="W60" s="4"/>
      <c r="X60" s="4"/>
    </row>
    <row r="61" spans="1:24" ht="13.5" customHeight="1">
      <c r="A61" s="33">
        <v>21130607</v>
      </c>
      <c r="B61" s="24" t="s">
        <v>493</v>
      </c>
      <c r="C61" s="24">
        <v>1059000</v>
      </c>
      <c r="D61" s="146"/>
      <c r="E61" s="4"/>
      <c r="F61" s="4"/>
      <c r="G61" s="156"/>
      <c r="H61" s="4"/>
      <c r="I61" s="4"/>
      <c r="J61" s="4"/>
      <c r="K61" s="4"/>
      <c r="L61" s="4"/>
      <c r="M61" s="4"/>
      <c r="N61" s="4"/>
      <c r="O61" s="4"/>
      <c r="P61" s="4"/>
      <c r="Q61" s="4"/>
      <c r="R61" s="4"/>
      <c r="S61" s="4"/>
      <c r="T61" s="4"/>
      <c r="U61" s="4"/>
      <c r="V61" s="4"/>
      <c r="W61" s="4"/>
      <c r="X61" s="4"/>
    </row>
    <row r="62" spans="1:24" s="831" customFormat="1" ht="13.5" customHeight="1">
      <c r="A62" s="48">
        <v>211307</v>
      </c>
      <c r="B62" s="21" t="s">
        <v>494</v>
      </c>
      <c r="C62" s="26">
        <f>C63</f>
        <v>508000</v>
      </c>
      <c r="D62" s="37"/>
      <c r="E62" s="1"/>
      <c r="F62" s="1"/>
      <c r="G62" s="833"/>
      <c r="H62" s="1"/>
      <c r="I62" s="1"/>
      <c r="J62" s="1"/>
      <c r="K62" s="1"/>
      <c r="L62" s="1"/>
      <c r="M62" s="1"/>
      <c r="N62" s="1"/>
      <c r="O62" s="1"/>
      <c r="P62" s="1"/>
      <c r="Q62" s="1"/>
      <c r="R62" s="1"/>
      <c r="S62" s="1"/>
      <c r="T62" s="1"/>
      <c r="U62" s="1"/>
      <c r="V62" s="1"/>
      <c r="W62" s="1"/>
      <c r="X62" s="1"/>
    </row>
    <row r="63" spans="1:24" ht="13.5" customHeight="1">
      <c r="A63" s="33">
        <v>21130701</v>
      </c>
      <c r="B63" s="23" t="s">
        <v>495</v>
      </c>
      <c r="C63" s="24">
        <v>508000</v>
      </c>
      <c r="D63" s="146"/>
      <c r="E63" s="4"/>
      <c r="F63" s="4"/>
      <c r="G63" s="156"/>
      <c r="H63" s="4"/>
      <c r="I63" s="4"/>
      <c r="J63" s="4"/>
      <c r="K63" s="4"/>
      <c r="L63" s="4"/>
      <c r="M63" s="4"/>
      <c r="N63" s="4"/>
      <c r="O63" s="4"/>
      <c r="P63" s="4"/>
      <c r="Q63" s="4"/>
      <c r="R63" s="4"/>
      <c r="S63" s="4"/>
      <c r="T63" s="4"/>
      <c r="U63" s="4"/>
      <c r="V63" s="4"/>
      <c r="W63" s="4"/>
      <c r="X63" s="4"/>
    </row>
    <row r="64" spans="1:24" s="831" customFormat="1" ht="13.5" customHeight="1">
      <c r="A64" s="48">
        <v>211309</v>
      </c>
      <c r="B64" s="26" t="s">
        <v>496</v>
      </c>
      <c r="C64" s="26">
        <f>+SUM(C65:C67)</f>
        <v>4870500</v>
      </c>
      <c r="D64" s="37"/>
      <c r="E64" s="1"/>
      <c r="F64" s="1"/>
      <c r="G64" s="833"/>
      <c r="H64" s="1"/>
      <c r="I64" s="1"/>
      <c r="J64" s="1"/>
      <c r="K64" s="1"/>
      <c r="L64" s="1"/>
      <c r="M64" s="1"/>
      <c r="N64" s="1"/>
      <c r="O64" s="1"/>
      <c r="P64" s="1"/>
      <c r="Q64" s="1"/>
      <c r="R64" s="1"/>
      <c r="S64" s="1"/>
      <c r="T64" s="1"/>
      <c r="U64" s="1"/>
      <c r="V64" s="1"/>
      <c r="W64" s="1"/>
      <c r="X64" s="1"/>
    </row>
    <row r="65" spans="1:24" ht="13.5" customHeight="1">
      <c r="A65" s="33">
        <v>21130901</v>
      </c>
      <c r="B65" s="24" t="s">
        <v>497</v>
      </c>
      <c r="C65" s="24">
        <f>3000000+25500</f>
        <v>3025500</v>
      </c>
      <c r="D65" s="148"/>
      <c r="E65" s="24"/>
      <c r="F65" s="24"/>
      <c r="G65" s="63"/>
      <c r="H65" s="23"/>
      <c r="I65" s="23"/>
      <c r="J65" s="4"/>
      <c r="K65" s="4"/>
      <c r="L65" s="4"/>
      <c r="M65" s="4"/>
      <c r="N65" s="4"/>
      <c r="O65" s="4"/>
      <c r="P65" s="4"/>
      <c r="Q65" s="4"/>
      <c r="R65" s="4"/>
      <c r="S65" s="4"/>
      <c r="T65" s="4"/>
      <c r="U65" s="4"/>
      <c r="V65" s="4"/>
      <c r="W65" s="4"/>
      <c r="X65" s="4"/>
    </row>
    <row r="66" spans="1:24" ht="13.5" customHeight="1">
      <c r="A66" s="33">
        <v>21130903</v>
      </c>
      <c r="B66" s="24" t="s">
        <v>498</v>
      </c>
      <c r="C66" s="51">
        <v>693500</v>
      </c>
      <c r="D66" s="146"/>
      <c r="E66" s="4"/>
      <c r="F66" s="4"/>
      <c r="G66" s="156"/>
      <c r="H66" s="4"/>
      <c r="I66" s="4"/>
      <c r="J66" s="4"/>
      <c r="K66" s="4"/>
      <c r="L66" s="4"/>
      <c r="M66" s="4"/>
      <c r="N66" s="4"/>
      <c r="O66" s="4"/>
      <c r="P66" s="4"/>
      <c r="Q66" s="4"/>
      <c r="R66" s="4"/>
      <c r="S66" s="4"/>
      <c r="T66" s="4"/>
      <c r="U66" s="4"/>
      <c r="V66" s="4"/>
      <c r="W66" s="4"/>
      <c r="X66" s="4"/>
    </row>
    <row r="67" spans="1:24" ht="13.5" customHeight="1">
      <c r="A67" s="33">
        <v>21130908</v>
      </c>
      <c r="B67" s="24" t="s">
        <v>500</v>
      </c>
      <c r="C67" s="51">
        <v>1151500</v>
      </c>
      <c r="D67" s="146"/>
      <c r="E67" s="4"/>
      <c r="F67" s="4"/>
      <c r="G67" s="156"/>
      <c r="H67" s="4"/>
      <c r="I67" s="4"/>
      <c r="J67" s="144"/>
      <c r="K67" s="144"/>
      <c r="L67" s="144"/>
      <c r="M67" s="144"/>
      <c r="N67" s="144"/>
      <c r="O67" s="144"/>
      <c r="P67" s="144"/>
      <c r="Q67" s="144"/>
      <c r="R67" s="144"/>
      <c r="S67" s="144"/>
      <c r="T67" s="144"/>
      <c r="U67" s="144"/>
      <c r="V67" s="144"/>
      <c r="W67" s="144"/>
      <c r="X67" s="144"/>
    </row>
    <row r="68" spans="1:24" ht="13.5" customHeight="1" thickBot="1">
      <c r="A68" s="23"/>
      <c r="B68" s="23"/>
      <c r="C68" s="24"/>
      <c r="D68" s="37"/>
      <c r="E68" s="144"/>
      <c r="F68" s="144"/>
      <c r="G68" s="145"/>
      <c r="H68" s="144"/>
      <c r="I68" s="144"/>
      <c r="J68" s="144"/>
      <c r="K68" s="144"/>
      <c r="L68" s="144"/>
      <c r="M68" s="144"/>
      <c r="N68" s="144"/>
      <c r="O68" s="144"/>
      <c r="P68" s="144"/>
      <c r="Q68" s="144"/>
      <c r="R68" s="144"/>
      <c r="S68" s="144"/>
      <c r="T68" s="144"/>
      <c r="U68" s="144"/>
      <c r="V68" s="144"/>
      <c r="W68" s="144"/>
      <c r="X68" s="144"/>
    </row>
    <row r="69" spans="1:24" ht="13.5" customHeight="1" thickBot="1">
      <c r="A69" s="1299" t="s">
        <v>48</v>
      </c>
      <c r="B69" s="1281"/>
      <c r="C69" s="65">
        <f>C70+C73</f>
        <v>420000</v>
      </c>
      <c r="D69" s="152"/>
      <c r="E69" s="151"/>
      <c r="F69" s="151"/>
      <c r="G69" s="153"/>
      <c r="H69" s="151"/>
      <c r="I69" s="151"/>
      <c r="J69" s="151"/>
      <c r="K69" s="151"/>
      <c r="L69" s="151"/>
      <c r="M69" s="151"/>
      <c r="N69" s="151"/>
      <c r="O69" s="151"/>
      <c r="P69" s="151"/>
      <c r="Q69" s="151"/>
      <c r="R69" s="151"/>
      <c r="S69" s="151"/>
      <c r="T69" s="151"/>
      <c r="U69" s="151"/>
      <c r="V69" s="151"/>
      <c r="W69" s="151"/>
      <c r="X69" s="151"/>
    </row>
    <row r="70" spans="1:24" s="831" customFormat="1" ht="13.5" customHeight="1">
      <c r="A70" s="48">
        <v>221104</v>
      </c>
      <c r="B70" s="76" t="s">
        <v>510</v>
      </c>
      <c r="C70" s="155">
        <f>SUM(C71:C72)</f>
        <v>230000</v>
      </c>
      <c r="D70" s="157"/>
      <c r="E70" s="834"/>
      <c r="F70" s="834"/>
      <c r="G70" s="835"/>
      <c r="H70" s="834"/>
      <c r="I70" s="834"/>
      <c r="J70" s="834"/>
      <c r="K70" s="834"/>
      <c r="L70" s="834"/>
      <c r="M70" s="834"/>
      <c r="N70" s="834"/>
      <c r="O70" s="834"/>
      <c r="P70" s="834"/>
      <c r="Q70" s="834"/>
      <c r="R70" s="834"/>
      <c r="S70" s="834"/>
      <c r="T70" s="834"/>
      <c r="U70" s="834"/>
      <c r="V70" s="834"/>
      <c r="W70" s="834"/>
      <c r="X70" s="834"/>
    </row>
    <row r="71" spans="1:24" ht="13.5" customHeight="1">
      <c r="A71" s="33">
        <v>22110401</v>
      </c>
      <c r="B71" s="23" t="s">
        <v>511</v>
      </c>
      <c r="C71" s="51">
        <v>200000</v>
      </c>
      <c r="D71" s="146"/>
      <c r="E71" s="4"/>
      <c r="F71" s="4"/>
      <c r="G71" s="156"/>
      <c r="H71" s="4"/>
      <c r="I71" s="4"/>
      <c r="J71" s="4"/>
      <c r="K71" s="4"/>
      <c r="L71" s="4"/>
      <c r="M71" s="4"/>
      <c r="N71" s="4"/>
      <c r="O71" s="4"/>
      <c r="P71" s="4"/>
      <c r="Q71" s="4"/>
      <c r="R71" s="4"/>
      <c r="S71" s="4"/>
      <c r="T71" s="4"/>
      <c r="U71" s="4"/>
      <c r="V71" s="4"/>
      <c r="W71" s="4"/>
      <c r="X71" s="4"/>
    </row>
    <row r="72" spans="1:24" ht="14.25" customHeight="1">
      <c r="A72" s="33">
        <v>22110404</v>
      </c>
      <c r="B72" s="23" t="s">
        <v>512</v>
      </c>
      <c r="C72" s="51">
        <v>30000</v>
      </c>
      <c r="D72" s="4"/>
      <c r="E72" s="34"/>
      <c r="F72" s="4"/>
      <c r="G72" s="4"/>
      <c r="H72" s="4"/>
      <c r="I72" s="4"/>
      <c r="J72" s="4"/>
      <c r="K72" s="4"/>
      <c r="L72" s="4"/>
      <c r="M72" s="4"/>
      <c r="N72" s="4"/>
      <c r="O72" s="4"/>
      <c r="P72" s="4"/>
      <c r="Q72" s="4"/>
      <c r="R72" s="4"/>
      <c r="S72" s="4"/>
      <c r="T72" s="4"/>
      <c r="U72" s="4"/>
      <c r="V72" s="4"/>
      <c r="W72" s="4"/>
      <c r="X72" s="4"/>
    </row>
    <row r="73" spans="1:24" s="831" customFormat="1" ht="13.5" customHeight="1">
      <c r="A73" s="48">
        <v>221107</v>
      </c>
      <c r="B73" s="26" t="s">
        <v>514</v>
      </c>
      <c r="C73" s="26">
        <f>SUM(C74)</f>
        <v>190000</v>
      </c>
      <c r="D73" s="37"/>
      <c r="E73" s="1"/>
      <c r="F73" s="1"/>
      <c r="G73" s="833"/>
      <c r="H73" s="1"/>
      <c r="I73" s="1"/>
      <c r="J73" s="1"/>
      <c r="K73" s="1"/>
      <c r="L73" s="1"/>
      <c r="M73" s="1"/>
      <c r="N73" s="1"/>
      <c r="O73" s="1"/>
      <c r="P73" s="1"/>
      <c r="Q73" s="1"/>
      <c r="R73" s="1"/>
      <c r="S73" s="1"/>
      <c r="T73" s="1"/>
      <c r="U73" s="1"/>
      <c r="V73" s="1"/>
      <c r="W73" s="1"/>
      <c r="X73" s="1"/>
    </row>
    <row r="74" spans="1:24" ht="13.5" customHeight="1">
      <c r="A74" s="33">
        <v>22110702</v>
      </c>
      <c r="B74" s="24" t="s">
        <v>515</v>
      </c>
      <c r="C74" s="51">
        <v>190000</v>
      </c>
      <c r="D74" s="146"/>
      <c r="E74" s="4"/>
      <c r="F74" s="4"/>
      <c r="G74" s="156"/>
      <c r="H74" s="4"/>
      <c r="I74" s="4"/>
      <c r="J74" s="4"/>
      <c r="K74" s="4"/>
      <c r="L74" s="4"/>
      <c r="M74" s="4"/>
      <c r="N74" s="4"/>
      <c r="O74" s="4"/>
      <c r="P74" s="4"/>
      <c r="Q74" s="4"/>
      <c r="R74" s="4"/>
      <c r="S74" s="4"/>
      <c r="T74" s="4"/>
      <c r="U74" s="4"/>
      <c r="V74" s="4"/>
      <c r="W74" s="4"/>
      <c r="X74" s="4"/>
    </row>
    <row r="75" spans="1:24" ht="13.5" customHeight="1">
      <c r="A75" s="33"/>
      <c r="B75" s="24"/>
      <c r="C75" s="51"/>
      <c r="D75" s="146"/>
      <c r="E75" s="4"/>
      <c r="F75" s="4"/>
      <c r="G75" s="156"/>
      <c r="H75" s="4"/>
      <c r="I75" s="4"/>
      <c r="J75" s="4"/>
      <c r="K75" s="4"/>
      <c r="L75" s="4"/>
      <c r="M75" s="4"/>
      <c r="N75" s="4"/>
      <c r="O75" s="4"/>
      <c r="P75" s="4"/>
      <c r="Q75" s="4"/>
      <c r="R75" s="4"/>
      <c r="S75" s="4"/>
      <c r="T75" s="4"/>
      <c r="U75" s="4"/>
      <c r="V75" s="4"/>
      <c r="W75" s="4"/>
      <c r="X75" s="4"/>
    </row>
    <row r="76" spans="1:24" ht="13.5" customHeight="1" thickBot="1">
      <c r="A76" s="23"/>
      <c r="B76" s="23"/>
      <c r="C76" s="24"/>
      <c r="D76" s="37"/>
      <c r="E76" s="35"/>
      <c r="F76" s="35"/>
      <c r="G76" s="126"/>
      <c r="H76" s="35"/>
      <c r="I76" s="35"/>
      <c r="J76" s="35"/>
      <c r="K76" s="35"/>
      <c r="L76" s="35"/>
      <c r="M76" s="35"/>
      <c r="N76" s="35"/>
      <c r="O76" s="35"/>
      <c r="P76" s="35"/>
      <c r="Q76" s="35"/>
      <c r="R76" s="35"/>
      <c r="S76" s="35"/>
      <c r="T76" s="35"/>
      <c r="U76" s="35"/>
      <c r="V76" s="35"/>
      <c r="W76" s="35"/>
      <c r="X76" s="35"/>
    </row>
    <row r="77" spans="1:24" ht="13.5" customHeight="1">
      <c r="A77" s="1383" t="s">
        <v>924</v>
      </c>
      <c r="B77" s="1387"/>
      <c r="C77" s="1174">
        <v>1602</v>
      </c>
      <c r="E77" s="35"/>
      <c r="F77" s="35"/>
      <c r="G77" s="126"/>
      <c r="H77" s="35"/>
      <c r="I77" s="35"/>
      <c r="J77" s="35"/>
      <c r="K77" s="35"/>
      <c r="L77" s="35"/>
      <c r="M77" s="35"/>
      <c r="N77" s="35"/>
      <c r="O77" s="35"/>
      <c r="P77" s="35"/>
      <c r="Q77" s="35"/>
      <c r="R77" s="35"/>
      <c r="S77" s="35"/>
      <c r="T77" s="35"/>
      <c r="U77" s="35"/>
      <c r="V77" s="35"/>
      <c r="W77" s="35"/>
      <c r="X77" s="35"/>
    </row>
    <row r="78" spans="1:24" ht="13.5" customHeight="1" thickBot="1">
      <c r="A78" s="1388"/>
      <c r="B78" s="1330"/>
      <c r="C78" s="1198"/>
      <c r="D78" s="37"/>
      <c r="E78" s="35"/>
      <c r="F78" s="35"/>
      <c r="G78" s="126"/>
      <c r="H78" s="35"/>
      <c r="I78" s="35"/>
      <c r="J78" s="35"/>
      <c r="K78" s="35"/>
      <c r="L78" s="35"/>
      <c r="M78" s="35"/>
      <c r="N78" s="35"/>
      <c r="O78" s="35"/>
      <c r="P78" s="35"/>
      <c r="Q78" s="35"/>
      <c r="R78" s="35"/>
      <c r="S78" s="35"/>
      <c r="T78" s="35"/>
      <c r="U78" s="35"/>
      <c r="V78" s="35"/>
      <c r="W78" s="35"/>
      <c r="X78" s="35"/>
    </row>
    <row r="79" spans="1:24" ht="13.5" customHeight="1">
      <c r="A79" s="1088" t="s">
        <v>671</v>
      </c>
      <c r="B79" s="612"/>
      <c r="C79" s="626"/>
      <c r="D79" s="37"/>
      <c r="E79" s="35"/>
      <c r="F79" s="35"/>
      <c r="G79" s="126"/>
      <c r="H79" s="35"/>
      <c r="I79" s="35"/>
      <c r="J79" s="35"/>
      <c r="K79" s="35"/>
      <c r="L79" s="35"/>
      <c r="M79" s="35"/>
      <c r="N79" s="35"/>
      <c r="O79" s="35"/>
      <c r="P79" s="35"/>
      <c r="Q79" s="35"/>
      <c r="R79" s="35"/>
      <c r="S79" s="35"/>
      <c r="T79" s="35"/>
      <c r="U79" s="35"/>
      <c r="V79" s="35"/>
      <c r="W79" s="35"/>
      <c r="X79" s="35"/>
    </row>
    <row r="80" spans="1:24" ht="13.5" customHeight="1">
      <c r="A80" s="609" t="s">
        <v>753</v>
      </c>
      <c r="B80" s="612"/>
      <c r="C80" s="626"/>
      <c r="D80" s="37"/>
      <c r="E80" s="35"/>
      <c r="F80" s="35"/>
      <c r="G80" s="126"/>
      <c r="H80" s="35"/>
      <c r="I80" s="35"/>
      <c r="J80" s="35"/>
      <c r="K80" s="35"/>
      <c r="L80" s="35"/>
      <c r="M80" s="35"/>
      <c r="N80" s="35"/>
      <c r="O80" s="35"/>
      <c r="P80" s="35"/>
      <c r="Q80" s="35"/>
      <c r="R80" s="35"/>
      <c r="S80" s="35"/>
      <c r="T80" s="35"/>
      <c r="U80" s="35"/>
      <c r="V80" s="35"/>
      <c r="W80" s="35"/>
      <c r="X80" s="35"/>
    </row>
    <row r="81" spans="1:24" ht="13.5" customHeight="1">
      <c r="A81" s="609" t="s">
        <v>754</v>
      </c>
      <c r="B81" s="612"/>
      <c r="C81" s="626"/>
      <c r="D81" s="37"/>
      <c r="E81" s="35"/>
      <c r="F81" s="35"/>
      <c r="G81" s="126"/>
      <c r="H81" s="35"/>
      <c r="I81" s="35"/>
      <c r="J81" s="35"/>
      <c r="K81" s="35"/>
      <c r="L81" s="35"/>
      <c r="M81" s="35"/>
      <c r="N81" s="35"/>
      <c r="O81" s="35"/>
      <c r="P81" s="35"/>
      <c r="Q81" s="35"/>
      <c r="R81" s="35"/>
      <c r="S81" s="35"/>
      <c r="T81" s="35"/>
      <c r="U81" s="35"/>
      <c r="V81" s="35"/>
      <c r="W81" s="35"/>
      <c r="X81" s="35"/>
    </row>
    <row r="82" spans="1:24" ht="13.5" customHeight="1" thickBot="1">
      <c r="A82" s="1089" t="s">
        <v>59</v>
      </c>
      <c r="B82" s="612"/>
      <c r="C82" s="626"/>
      <c r="D82" s="37"/>
      <c r="E82" s="35"/>
      <c r="F82" s="35"/>
      <c r="G82" s="126"/>
      <c r="H82" s="35"/>
      <c r="I82" s="35"/>
      <c r="J82" s="35"/>
      <c r="K82" s="35"/>
      <c r="L82" s="35"/>
      <c r="M82" s="35"/>
      <c r="N82" s="35"/>
      <c r="O82" s="35"/>
      <c r="P82" s="35"/>
      <c r="Q82" s="35"/>
      <c r="R82" s="35"/>
      <c r="S82" s="35"/>
      <c r="T82" s="35"/>
      <c r="U82" s="35"/>
      <c r="V82" s="35"/>
      <c r="W82" s="35"/>
      <c r="X82" s="35"/>
    </row>
    <row r="83" spans="1:24" ht="13.5" customHeight="1" thickBot="1">
      <c r="A83" s="1171" t="s">
        <v>60</v>
      </c>
      <c r="B83" s="1197"/>
      <c r="C83" s="1082">
        <f>(C85+C96+C112)</f>
        <v>39386500</v>
      </c>
      <c r="D83" s="37"/>
      <c r="E83" s="35"/>
      <c r="F83" s="35"/>
      <c r="G83" s="126"/>
      <c r="H83" s="35"/>
      <c r="I83" s="35"/>
      <c r="J83" s="35"/>
      <c r="K83" s="35"/>
      <c r="L83" s="35"/>
      <c r="M83" s="35"/>
      <c r="N83" s="35"/>
      <c r="O83" s="35"/>
      <c r="P83" s="35"/>
      <c r="Q83" s="35"/>
      <c r="R83" s="35"/>
      <c r="S83" s="35"/>
      <c r="T83" s="35"/>
      <c r="U83" s="35"/>
      <c r="V83" s="35"/>
      <c r="W83" s="35"/>
      <c r="X83" s="35"/>
    </row>
    <row r="84" spans="1:24" ht="13.5" customHeight="1" thickBot="1">
      <c r="A84" s="75"/>
      <c r="B84" s="100"/>
      <c r="C84" s="36"/>
      <c r="D84" s="37"/>
      <c r="E84" s="35"/>
      <c r="F84" s="35"/>
      <c r="G84" s="126"/>
      <c r="H84" s="35"/>
      <c r="I84" s="35"/>
      <c r="J84" s="35"/>
      <c r="K84" s="35"/>
      <c r="L84" s="35"/>
      <c r="M84" s="35"/>
      <c r="N84" s="35"/>
      <c r="O84" s="35"/>
      <c r="P84" s="35"/>
      <c r="Q84" s="35"/>
      <c r="R84" s="35"/>
      <c r="S84" s="35"/>
      <c r="T84" s="35"/>
      <c r="U84" s="35"/>
      <c r="V84" s="35"/>
      <c r="W84" s="35"/>
      <c r="X84" s="35"/>
    </row>
    <row r="85" spans="1:24" ht="13.5" customHeight="1" thickBot="1">
      <c r="A85" s="1297" t="s">
        <v>9</v>
      </c>
      <c r="B85" s="1281"/>
      <c r="C85" s="62">
        <f>(C86+C88+C90+C92)</f>
        <v>5865500</v>
      </c>
      <c r="D85" s="37"/>
      <c r="E85" s="35"/>
      <c r="F85" s="35"/>
      <c r="G85" s="126"/>
      <c r="H85" s="35"/>
      <c r="I85" s="35"/>
      <c r="J85" s="35"/>
      <c r="K85" s="35"/>
      <c r="L85" s="35"/>
      <c r="M85" s="35"/>
      <c r="N85" s="35"/>
      <c r="O85" s="35"/>
      <c r="P85" s="35"/>
      <c r="Q85" s="35"/>
      <c r="R85" s="35"/>
      <c r="S85" s="35"/>
      <c r="T85" s="35"/>
      <c r="U85" s="35"/>
      <c r="V85" s="35"/>
      <c r="W85" s="35"/>
      <c r="X85" s="35"/>
    </row>
    <row r="86" spans="1:24" s="831" customFormat="1" ht="13.5" customHeight="1">
      <c r="A86" s="48">
        <v>211201</v>
      </c>
      <c r="B86" s="76" t="s">
        <v>459</v>
      </c>
      <c r="C86" s="49">
        <f>C87</f>
        <v>412000</v>
      </c>
      <c r="D86" s="37"/>
      <c r="E86" s="38"/>
      <c r="F86" s="38"/>
      <c r="G86" s="39"/>
      <c r="H86" s="38"/>
      <c r="I86" s="38"/>
      <c r="J86" s="38"/>
      <c r="K86" s="38"/>
      <c r="L86" s="38"/>
      <c r="M86" s="38"/>
      <c r="N86" s="38"/>
      <c r="O86" s="38"/>
      <c r="P86" s="38"/>
      <c r="Q86" s="38"/>
      <c r="R86" s="38"/>
      <c r="S86" s="38"/>
      <c r="T86" s="38"/>
      <c r="U86" s="38"/>
      <c r="V86" s="38"/>
      <c r="W86" s="38"/>
      <c r="X86" s="38"/>
    </row>
    <row r="87" spans="1:24" ht="13.5" customHeight="1">
      <c r="A87" s="33">
        <v>21120101</v>
      </c>
      <c r="B87" s="23" t="s">
        <v>460</v>
      </c>
      <c r="C87" s="163">
        <v>412000</v>
      </c>
      <c r="D87" s="37"/>
      <c r="E87" s="35"/>
      <c r="F87" s="35"/>
      <c r="G87" s="126"/>
      <c r="H87" s="35"/>
      <c r="I87" s="35"/>
      <c r="J87" s="35"/>
      <c r="K87" s="35"/>
      <c r="L87" s="35"/>
      <c r="M87" s="35"/>
      <c r="N87" s="35"/>
      <c r="O87" s="35"/>
      <c r="P87" s="35"/>
      <c r="Q87" s="35"/>
      <c r="R87" s="35"/>
      <c r="S87" s="35"/>
      <c r="T87" s="35"/>
      <c r="U87" s="35"/>
      <c r="V87" s="35"/>
      <c r="W87" s="35"/>
      <c r="X87" s="35"/>
    </row>
    <row r="88" spans="1:24" s="831" customFormat="1" ht="13.5" customHeight="1">
      <c r="A88" s="48">
        <v>211204</v>
      </c>
      <c r="B88" s="21" t="s">
        <v>463</v>
      </c>
      <c r="C88" s="26">
        <f>C89</f>
        <v>632500</v>
      </c>
      <c r="D88" s="37"/>
      <c r="E88" s="38"/>
      <c r="F88" s="38"/>
      <c r="G88" s="39"/>
      <c r="H88" s="38"/>
      <c r="I88" s="38"/>
      <c r="J88" s="38"/>
      <c r="K88" s="38"/>
      <c r="L88" s="38"/>
      <c r="M88" s="38"/>
      <c r="N88" s="38"/>
      <c r="O88" s="38"/>
      <c r="P88" s="38"/>
      <c r="Q88" s="38"/>
      <c r="R88" s="38"/>
      <c r="S88" s="38"/>
      <c r="T88" s="38"/>
      <c r="U88" s="38"/>
      <c r="V88" s="38"/>
      <c r="W88" s="38"/>
      <c r="X88" s="38"/>
    </row>
    <row r="89" spans="1:24" ht="13.5" customHeight="1">
      <c r="A89" s="33">
        <v>21120401</v>
      </c>
      <c r="B89" s="24" t="s">
        <v>464</v>
      </c>
      <c r="C89" s="51">
        <v>632500</v>
      </c>
      <c r="D89" s="37"/>
      <c r="E89" s="35"/>
      <c r="F89" s="35"/>
      <c r="G89" s="126"/>
      <c r="H89" s="35"/>
      <c r="I89" s="35"/>
      <c r="J89" s="35"/>
      <c r="K89" s="35"/>
      <c r="L89" s="35"/>
      <c r="M89" s="35"/>
      <c r="N89" s="35"/>
      <c r="O89" s="35"/>
      <c r="P89" s="35"/>
      <c r="Q89" s="35"/>
      <c r="R89" s="35"/>
      <c r="S89" s="35"/>
      <c r="T89" s="35"/>
      <c r="U89" s="35"/>
      <c r="V89" s="35"/>
      <c r="W89" s="35"/>
      <c r="X89" s="35"/>
    </row>
    <row r="90" spans="1:24" s="831" customFormat="1" ht="13.5" customHeight="1">
      <c r="A90" s="48">
        <v>211208</v>
      </c>
      <c r="B90" s="26" t="s">
        <v>474</v>
      </c>
      <c r="C90" s="26">
        <f>C91</f>
        <v>260000</v>
      </c>
      <c r="D90" s="37"/>
      <c r="E90" s="38"/>
      <c r="F90" s="38"/>
      <c r="G90" s="39"/>
      <c r="H90" s="38"/>
      <c r="I90" s="38"/>
      <c r="J90" s="38"/>
      <c r="K90" s="38"/>
      <c r="L90" s="38"/>
      <c r="M90" s="38"/>
      <c r="N90" s="38"/>
      <c r="O90" s="38"/>
      <c r="P90" s="38"/>
      <c r="Q90" s="38"/>
      <c r="R90" s="38"/>
      <c r="S90" s="38"/>
      <c r="T90" s="38"/>
      <c r="U90" s="38"/>
      <c r="V90" s="38"/>
      <c r="W90" s="38"/>
      <c r="X90" s="38"/>
    </row>
    <row r="91" spans="1:24" ht="13.5" customHeight="1">
      <c r="A91" s="33">
        <v>21120805</v>
      </c>
      <c r="B91" s="24" t="s">
        <v>476</v>
      </c>
      <c r="C91" s="51">
        <v>260000</v>
      </c>
      <c r="D91" s="37"/>
      <c r="E91" s="35"/>
      <c r="F91" s="35"/>
      <c r="G91" s="126"/>
      <c r="H91" s="35"/>
      <c r="I91" s="35"/>
      <c r="J91" s="35"/>
      <c r="K91" s="35"/>
      <c r="L91" s="35"/>
      <c r="M91" s="35"/>
      <c r="N91" s="35"/>
      <c r="O91" s="35"/>
      <c r="P91" s="35"/>
      <c r="Q91" s="35"/>
      <c r="R91" s="35"/>
      <c r="S91" s="35"/>
      <c r="T91" s="35"/>
      <c r="U91" s="35"/>
      <c r="V91" s="35"/>
      <c r="W91" s="35"/>
      <c r="X91" s="35"/>
    </row>
    <row r="92" spans="1:24" s="831" customFormat="1" ht="13.5" customHeight="1">
      <c r="A92" s="48">
        <v>211209</v>
      </c>
      <c r="B92" s="26" t="s">
        <v>477</v>
      </c>
      <c r="C92" s="26">
        <f>+SUM(C93:C94)</f>
        <v>4561000</v>
      </c>
      <c r="D92" s="37"/>
      <c r="E92" s="38"/>
      <c r="F92" s="38"/>
      <c r="G92" s="39"/>
      <c r="H92" s="38"/>
      <c r="I92" s="38"/>
      <c r="J92" s="38"/>
      <c r="K92" s="38"/>
      <c r="L92" s="38"/>
      <c r="M92" s="38"/>
      <c r="N92" s="38"/>
      <c r="O92" s="38"/>
      <c r="P92" s="38"/>
      <c r="Q92" s="38"/>
      <c r="R92" s="38"/>
      <c r="S92" s="38"/>
      <c r="T92" s="38"/>
      <c r="U92" s="38"/>
      <c r="V92" s="38"/>
      <c r="W92" s="38"/>
      <c r="X92" s="38"/>
    </row>
    <row r="93" spans="1:24" ht="13.5" customHeight="1">
      <c r="A93" s="33">
        <v>21120901</v>
      </c>
      <c r="B93" s="24" t="s">
        <v>478</v>
      </c>
      <c r="C93" s="51">
        <v>252000</v>
      </c>
      <c r="D93" s="37"/>
      <c r="E93" s="35"/>
      <c r="F93" s="35"/>
      <c r="G93" s="126"/>
      <c r="H93" s="35"/>
      <c r="I93" s="35"/>
      <c r="J93" s="35"/>
      <c r="K93" s="35"/>
      <c r="L93" s="35"/>
      <c r="M93" s="35"/>
      <c r="N93" s="35"/>
      <c r="O93" s="35"/>
      <c r="P93" s="35"/>
      <c r="Q93" s="35"/>
      <c r="R93" s="35"/>
      <c r="S93" s="35"/>
      <c r="T93" s="35"/>
      <c r="U93" s="35"/>
      <c r="V93" s="35"/>
      <c r="W93" s="35"/>
      <c r="X93" s="35"/>
    </row>
    <row r="94" spans="1:24" ht="13.5" customHeight="1">
      <c r="A94" s="33">
        <v>21120906</v>
      </c>
      <c r="B94" s="24" t="s">
        <v>479</v>
      </c>
      <c r="C94" s="51">
        <f>5000000+9000-700000</f>
        <v>4309000</v>
      </c>
      <c r="D94" s="37"/>
      <c r="E94" s="35"/>
      <c r="F94" s="35"/>
      <c r="G94" s="126"/>
      <c r="H94" s="35"/>
      <c r="I94" s="35"/>
      <c r="J94" s="35"/>
      <c r="K94" s="35"/>
      <c r="L94" s="35"/>
      <c r="M94" s="35"/>
      <c r="N94" s="35"/>
      <c r="O94" s="35"/>
      <c r="P94" s="35"/>
      <c r="Q94" s="35"/>
      <c r="R94" s="35"/>
      <c r="S94" s="35"/>
      <c r="T94" s="35"/>
      <c r="U94" s="35"/>
      <c r="V94" s="35"/>
      <c r="W94" s="35"/>
      <c r="X94" s="35"/>
    </row>
    <row r="95" spans="1:24" ht="13.5" customHeight="1" thickBot="1">
      <c r="A95" s="33"/>
      <c r="B95" s="24"/>
      <c r="C95" s="24"/>
      <c r="D95" s="37"/>
      <c r="E95" s="35"/>
      <c r="F95" s="35"/>
      <c r="G95" s="126"/>
      <c r="H95" s="35"/>
      <c r="I95" s="35"/>
      <c r="J95" s="35"/>
      <c r="K95" s="35"/>
      <c r="L95" s="35"/>
      <c r="M95" s="35"/>
      <c r="N95" s="35"/>
      <c r="O95" s="35"/>
      <c r="P95" s="35"/>
      <c r="Q95" s="35"/>
      <c r="R95" s="35"/>
      <c r="S95" s="35"/>
      <c r="T95" s="35"/>
      <c r="U95" s="35"/>
      <c r="V95" s="35"/>
      <c r="W95" s="35"/>
      <c r="X95" s="35"/>
    </row>
    <row r="96" spans="1:24" ht="13.5" customHeight="1" thickBot="1">
      <c r="A96" s="1298" t="s">
        <v>4</v>
      </c>
      <c r="B96" s="1281"/>
      <c r="C96" s="64">
        <f>(C99+C102+C105+C107+C97)</f>
        <v>33271000</v>
      </c>
      <c r="D96" s="37"/>
      <c r="E96" s="35"/>
      <c r="F96" s="35"/>
      <c r="G96" s="126"/>
      <c r="H96" s="35"/>
      <c r="I96" s="35"/>
      <c r="J96" s="35"/>
      <c r="K96" s="35"/>
      <c r="L96" s="35"/>
      <c r="M96" s="35"/>
      <c r="N96" s="35"/>
      <c r="O96" s="35"/>
      <c r="P96" s="35"/>
      <c r="Q96" s="35"/>
      <c r="R96" s="35"/>
      <c r="S96" s="35"/>
      <c r="T96" s="35"/>
      <c r="U96" s="35"/>
      <c r="V96" s="35"/>
      <c r="W96" s="35"/>
      <c r="X96" s="35"/>
    </row>
    <row r="97" spans="1:24" s="831" customFormat="1" ht="13.5" customHeight="1">
      <c r="A97" s="48">
        <v>211302</v>
      </c>
      <c r="B97" s="76" t="s">
        <v>481</v>
      </c>
      <c r="C97" s="155">
        <f>C98</f>
        <v>50000</v>
      </c>
      <c r="D97" s="157"/>
      <c r="E97" s="834"/>
      <c r="F97" s="834"/>
      <c r="G97" s="835"/>
      <c r="H97" s="834"/>
      <c r="I97" s="834"/>
      <c r="J97" s="834"/>
      <c r="K97" s="834"/>
      <c r="L97" s="834"/>
      <c r="M97" s="834"/>
      <c r="N97" s="834"/>
      <c r="O97" s="834"/>
      <c r="P97" s="834"/>
      <c r="Q97" s="834"/>
      <c r="R97" s="834"/>
      <c r="S97" s="834"/>
      <c r="T97" s="834"/>
      <c r="U97" s="834"/>
      <c r="V97" s="834"/>
      <c r="W97" s="834"/>
      <c r="X97" s="834"/>
    </row>
    <row r="98" spans="1:24" ht="13.5" customHeight="1">
      <c r="A98" s="33">
        <v>21130204</v>
      </c>
      <c r="B98" s="23" t="s">
        <v>483</v>
      </c>
      <c r="C98" s="51">
        <v>50000</v>
      </c>
      <c r="D98" s="148"/>
      <c r="E98" s="24"/>
      <c r="F98" s="23"/>
      <c r="G98" s="63"/>
      <c r="H98" s="23"/>
      <c r="I98" s="23"/>
      <c r="J98" s="23"/>
      <c r="K98" s="23"/>
      <c r="L98" s="23"/>
      <c r="M98" s="23"/>
      <c r="N98" s="23"/>
      <c r="O98" s="23"/>
      <c r="P98" s="23"/>
      <c r="Q98" s="23"/>
      <c r="R98" s="23"/>
      <c r="S98" s="23"/>
      <c r="T98" s="23"/>
      <c r="U98" s="23"/>
      <c r="V98" s="23"/>
      <c r="W98" s="23"/>
      <c r="X98" s="23"/>
    </row>
    <row r="99" spans="1:24" s="831" customFormat="1" ht="13.5" customHeight="1">
      <c r="A99" s="48">
        <v>211303</v>
      </c>
      <c r="B99" s="21" t="s">
        <v>484</v>
      </c>
      <c r="C99" s="26">
        <f>+SUM(C100:C101)</f>
        <v>325500</v>
      </c>
      <c r="D99" s="37"/>
      <c r="E99" s="38"/>
      <c r="F99" s="38"/>
      <c r="G99" s="39"/>
      <c r="H99" s="38"/>
      <c r="I99" s="38"/>
      <c r="J99" s="38"/>
      <c r="K99" s="38"/>
      <c r="L99" s="38"/>
      <c r="M99" s="38"/>
      <c r="N99" s="38"/>
      <c r="O99" s="38"/>
      <c r="P99" s="38"/>
      <c r="Q99" s="38"/>
      <c r="R99" s="38"/>
      <c r="S99" s="38"/>
      <c r="T99" s="38"/>
      <c r="U99" s="38"/>
      <c r="V99" s="38"/>
      <c r="W99" s="38"/>
      <c r="X99" s="38"/>
    </row>
    <row r="100" spans="1:24" ht="13.5" customHeight="1">
      <c r="A100" s="33">
        <v>21130304</v>
      </c>
      <c r="B100" s="23" t="s">
        <v>486</v>
      </c>
      <c r="C100" s="51">
        <v>107500</v>
      </c>
      <c r="D100" s="37"/>
      <c r="E100" s="35"/>
      <c r="F100" s="35"/>
      <c r="G100" s="126"/>
      <c r="H100" s="35"/>
      <c r="I100" s="35"/>
      <c r="J100" s="35"/>
      <c r="K100" s="35"/>
      <c r="L100" s="35"/>
      <c r="M100" s="35"/>
      <c r="N100" s="35"/>
      <c r="O100" s="35"/>
      <c r="P100" s="35"/>
      <c r="Q100" s="35"/>
      <c r="R100" s="35"/>
      <c r="S100" s="35"/>
      <c r="T100" s="35"/>
      <c r="U100" s="35"/>
      <c r="V100" s="35"/>
      <c r="W100" s="35"/>
      <c r="X100" s="35"/>
    </row>
    <row r="101" spans="1:24" ht="13.5" customHeight="1">
      <c r="A101" s="33">
        <v>21130307</v>
      </c>
      <c r="B101" s="23" t="s">
        <v>488</v>
      </c>
      <c r="C101" s="51">
        <f>200000+18000</f>
        <v>218000</v>
      </c>
      <c r="D101" s="37"/>
      <c r="E101" s="35"/>
      <c r="F101" s="35"/>
      <c r="G101" s="126"/>
      <c r="H101" s="35"/>
      <c r="I101" s="35"/>
      <c r="J101" s="35"/>
      <c r="K101" s="35"/>
      <c r="L101" s="35"/>
      <c r="M101" s="35"/>
      <c r="N101" s="35"/>
      <c r="O101" s="35"/>
      <c r="P101" s="35"/>
      <c r="Q101" s="35"/>
      <c r="R101" s="35"/>
      <c r="S101" s="35"/>
      <c r="T101" s="35"/>
      <c r="U101" s="35"/>
      <c r="V101" s="35"/>
      <c r="W101" s="35"/>
      <c r="X101" s="35"/>
    </row>
    <row r="102" spans="1:24" s="831" customFormat="1" ht="13.5" customHeight="1">
      <c r="A102" s="48">
        <v>211305</v>
      </c>
      <c r="B102" s="21" t="s">
        <v>489</v>
      </c>
      <c r="C102" s="26">
        <f>+SUM(C103:C104)</f>
        <v>28128500</v>
      </c>
      <c r="D102" s="37"/>
      <c r="E102" s="38"/>
      <c r="F102" s="38"/>
      <c r="G102" s="39"/>
      <c r="H102" s="38"/>
      <c r="I102" s="38"/>
      <c r="J102" s="38"/>
      <c r="K102" s="38"/>
      <c r="L102" s="38"/>
      <c r="M102" s="38"/>
      <c r="N102" s="38"/>
      <c r="O102" s="38"/>
      <c r="P102" s="38"/>
      <c r="Q102" s="38"/>
      <c r="R102" s="38"/>
      <c r="S102" s="38"/>
      <c r="T102" s="38"/>
      <c r="U102" s="38"/>
      <c r="V102" s="38"/>
      <c r="W102" s="38"/>
      <c r="X102" s="38"/>
    </row>
    <row r="103" spans="1:24" ht="13.5" customHeight="1">
      <c r="A103" s="33">
        <v>21130501</v>
      </c>
      <c r="B103" s="13" t="s">
        <v>490</v>
      </c>
      <c r="C103" s="24">
        <v>305000</v>
      </c>
      <c r="D103" s="37"/>
      <c r="E103" s="35"/>
      <c r="F103" s="35"/>
      <c r="G103" s="126"/>
      <c r="H103" s="35"/>
      <c r="I103" s="35"/>
      <c r="J103" s="35"/>
      <c r="K103" s="35"/>
      <c r="L103" s="35"/>
      <c r="M103" s="35"/>
      <c r="N103" s="35"/>
      <c r="O103" s="35"/>
      <c r="P103" s="35"/>
      <c r="Q103" s="35"/>
      <c r="R103" s="35"/>
      <c r="S103" s="35"/>
      <c r="T103" s="35"/>
      <c r="U103" s="35"/>
      <c r="V103" s="35"/>
      <c r="W103" s="35"/>
      <c r="X103" s="35"/>
    </row>
    <row r="104" spans="1:24" ht="13.5" customHeight="1">
      <c r="A104" s="33">
        <v>21130502</v>
      </c>
      <c r="B104" s="24" t="s">
        <v>491</v>
      </c>
      <c r="C104" s="51">
        <f>28423500-600000</f>
        <v>27823500</v>
      </c>
      <c r="D104" s="37"/>
      <c r="E104" s="35"/>
      <c r="F104" s="35"/>
      <c r="G104" s="126"/>
      <c r="H104" s="35"/>
      <c r="I104" s="35"/>
      <c r="J104" s="35"/>
      <c r="K104" s="35"/>
      <c r="L104" s="35"/>
      <c r="M104" s="35"/>
      <c r="N104" s="35"/>
      <c r="O104" s="35"/>
      <c r="P104" s="35"/>
      <c r="Q104" s="35"/>
      <c r="R104" s="35"/>
      <c r="S104" s="35"/>
      <c r="T104" s="35"/>
      <c r="U104" s="35"/>
      <c r="V104" s="35"/>
      <c r="W104" s="35"/>
      <c r="X104" s="35"/>
    </row>
    <row r="105" spans="1:24" s="831" customFormat="1" ht="13.5" customHeight="1">
      <c r="A105" s="48">
        <v>211306</v>
      </c>
      <c r="B105" s="26" t="s">
        <v>492</v>
      </c>
      <c r="C105" s="26">
        <f>C106</f>
        <v>62500</v>
      </c>
      <c r="D105" s="37"/>
      <c r="E105" s="38"/>
      <c r="F105" s="38"/>
      <c r="G105" s="39"/>
      <c r="H105" s="38"/>
      <c r="I105" s="38"/>
      <c r="J105" s="38"/>
      <c r="K105" s="38"/>
      <c r="L105" s="38"/>
      <c r="M105" s="38"/>
      <c r="N105" s="38"/>
      <c r="O105" s="38"/>
      <c r="P105" s="38"/>
      <c r="Q105" s="38"/>
      <c r="R105" s="38"/>
      <c r="S105" s="38"/>
      <c r="T105" s="38"/>
      <c r="U105" s="38"/>
      <c r="V105" s="38"/>
      <c r="W105" s="38"/>
      <c r="X105" s="38"/>
    </row>
    <row r="106" spans="1:24" ht="13.5" customHeight="1">
      <c r="A106" s="33">
        <v>21130607</v>
      </c>
      <c r="B106" s="24" t="s">
        <v>493</v>
      </c>
      <c r="C106" s="24">
        <f>50000+12500</f>
        <v>62500</v>
      </c>
      <c r="D106" s="37"/>
      <c r="E106" s="35"/>
      <c r="F106" s="35"/>
      <c r="G106" s="126"/>
      <c r="H106" s="35"/>
      <c r="I106" s="35"/>
      <c r="J106" s="35"/>
      <c r="K106" s="35"/>
      <c r="L106" s="35"/>
      <c r="M106" s="35"/>
      <c r="N106" s="35"/>
      <c r="O106" s="35"/>
      <c r="P106" s="35"/>
      <c r="Q106" s="35"/>
      <c r="R106" s="35"/>
      <c r="S106" s="35"/>
      <c r="T106" s="35"/>
      <c r="U106" s="35"/>
      <c r="V106" s="35"/>
      <c r="W106" s="35"/>
      <c r="X106" s="35"/>
    </row>
    <row r="107" spans="1:24" s="831" customFormat="1" ht="13.5" customHeight="1">
      <c r="A107" s="48">
        <v>211309</v>
      </c>
      <c r="B107" s="26" t="s">
        <v>496</v>
      </c>
      <c r="C107" s="26">
        <f>+SUM(C108:C110)</f>
        <v>4704500</v>
      </c>
      <c r="D107" s="37"/>
      <c r="E107" s="38"/>
      <c r="F107" s="38"/>
      <c r="G107" s="39"/>
      <c r="H107" s="38"/>
      <c r="I107" s="38"/>
      <c r="J107" s="38"/>
      <c r="K107" s="38"/>
      <c r="L107" s="38"/>
      <c r="M107" s="38"/>
      <c r="N107" s="38"/>
      <c r="O107" s="38"/>
      <c r="P107" s="38"/>
      <c r="Q107" s="38"/>
      <c r="R107" s="38"/>
      <c r="S107" s="38"/>
      <c r="T107" s="38"/>
      <c r="U107" s="38"/>
      <c r="V107" s="38"/>
      <c r="W107" s="38"/>
      <c r="X107" s="38"/>
    </row>
    <row r="108" spans="1:24" ht="13.5" customHeight="1">
      <c r="A108" s="33">
        <v>21130901</v>
      </c>
      <c r="B108" s="24" t="s">
        <v>497</v>
      </c>
      <c r="C108" s="24">
        <v>4549000</v>
      </c>
      <c r="D108" s="37"/>
      <c r="E108" s="35"/>
      <c r="F108" s="35"/>
      <c r="G108" s="126"/>
      <c r="H108" s="35"/>
      <c r="I108" s="35"/>
      <c r="J108" s="35"/>
      <c r="K108" s="35"/>
      <c r="L108" s="35"/>
      <c r="M108" s="35"/>
      <c r="N108" s="35"/>
      <c r="O108" s="35"/>
      <c r="P108" s="35"/>
      <c r="Q108" s="35"/>
      <c r="R108" s="35"/>
      <c r="S108" s="35"/>
      <c r="T108" s="35"/>
      <c r="U108" s="35"/>
      <c r="V108" s="35"/>
      <c r="W108" s="35"/>
      <c r="X108" s="35"/>
    </row>
    <row r="109" spans="1:24" ht="13.5" customHeight="1">
      <c r="A109" s="33">
        <v>21130903</v>
      </c>
      <c r="B109" s="24" t="s">
        <v>498</v>
      </c>
      <c r="C109" s="24">
        <f>50000+5500</f>
        <v>55500</v>
      </c>
      <c r="D109" s="37"/>
      <c r="E109" s="35"/>
      <c r="F109" s="35"/>
      <c r="G109" s="126"/>
      <c r="H109" s="35"/>
      <c r="I109" s="35"/>
      <c r="J109" s="35"/>
      <c r="K109" s="35"/>
      <c r="L109" s="35"/>
      <c r="M109" s="35"/>
      <c r="N109" s="35"/>
      <c r="O109" s="35"/>
      <c r="P109" s="35"/>
      <c r="Q109" s="35"/>
      <c r="R109" s="35"/>
      <c r="S109" s="35"/>
      <c r="T109" s="35"/>
      <c r="U109" s="35"/>
      <c r="V109" s="35"/>
      <c r="W109" s="35"/>
      <c r="X109" s="35"/>
    </row>
    <row r="110" spans="1:24" ht="13.5" customHeight="1">
      <c r="A110" s="33">
        <v>21130908</v>
      </c>
      <c r="B110" s="24" t="s">
        <v>500</v>
      </c>
      <c r="C110" s="51">
        <v>100000</v>
      </c>
      <c r="D110" s="37"/>
      <c r="E110" s="35"/>
      <c r="F110" s="35"/>
      <c r="G110" s="126"/>
      <c r="H110" s="35"/>
      <c r="I110" s="35"/>
      <c r="J110" s="35"/>
      <c r="K110" s="35"/>
      <c r="L110" s="35"/>
      <c r="M110" s="35"/>
      <c r="N110" s="35"/>
      <c r="O110" s="35"/>
      <c r="P110" s="35"/>
      <c r="Q110" s="35"/>
      <c r="R110" s="35"/>
      <c r="S110" s="35"/>
      <c r="T110" s="35"/>
      <c r="U110" s="35"/>
      <c r="V110" s="35"/>
      <c r="W110" s="35"/>
      <c r="X110" s="35"/>
    </row>
    <row r="111" spans="1:24" ht="13.5" customHeight="1" thickBot="1">
      <c r="A111" s="33"/>
      <c r="B111" s="24"/>
      <c r="C111" s="24"/>
      <c r="D111" s="37"/>
      <c r="E111" s="35"/>
      <c r="F111" s="35"/>
      <c r="G111" s="126"/>
      <c r="H111" s="35"/>
      <c r="I111" s="35"/>
      <c r="J111" s="35"/>
      <c r="K111" s="35"/>
      <c r="L111" s="35"/>
      <c r="M111" s="35"/>
      <c r="N111" s="35"/>
      <c r="O111" s="35"/>
      <c r="P111" s="35"/>
      <c r="Q111" s="35"/>
      <c r="R111" s="35"/>
      <c r="S111" s="35"/>
      <c r="T111" s="35"/>
      <c r="U111" s="35"/>
      <c r="V111" s="35"/>
      <c r="W111" s="35"/>
      <c r="X111" s="35"/>
    </row>
    <row r="112" spans="1:24" ht="13.5" customHeight="1" thickBot="1">
      <c r="A112" s="1299" t="s">
        <v>48</v>
      </c>
      <c r="B112" s="1281"/>
      <c r="C112" s="65">
        <f>+C113+C115</f>
        <v>250000</v>
      </c>
      <c r="D112" s="37"/>
      <c r="E112" s="35"/>
      <c r="F112" s="35"/>
      <c r="G112" s="126"/>
      <c r="H112" s="35"/>
      <c r="I112" s="35"/>
      <c r="J112" s="35"/>
      <c r="K112" s="35"/>
      <c r="L112" s="35"/>
      <c r="M112" s="35"/>
      <c r="N112" s="35"/>
      <c r="O112" s="35"/>
      <c r="P112" s="35"/>
      <c r="Q112" s="35"/>
      <c r="R112" s="35"/>
      <c r="S112" s="35"/>
      <c r="T112" s="35"/>
      <c r="U112" s="35"/>
      <c r="V112" s="35"/>
      <c r="W112" s="35"/>
      <c r="X112" s="35"/>
    </row>
    <row r="113" spans="1:24" s="831" customFormat="1" ht="13.5" customHeight="1">
      <c r="A113" s="48">
        <v>221104</v>
      </c>
      <c r="B113" s="76" t="s">
        <v>510</v>
      </c>
      <c r="C113" s="36">
        <f>SUM(C114)</f>
        <v>200000</v>
      </c>
      <c r="D113" s="37"/>
      <c r="E113" s="38"/>
      <c r="F113" s="38"/>
      <c r="G113" s="39"/>
      <c r="H113" s="38"/>
      <c r="I113" s="38"/>
      <c r="J113" s="38"/>
      <c r="K113" s="38"/>
      <c r="L113" s="38"/>
      <c r="M113" s="38"/>
      <c r="N113" s="38"/>
      <c r="O113" s="38"/>
      <c r="P113" s="38"/>
      <c r="Q113" s="38"/>
      <c r="R113" s="38"/>
      <c r="S113" s="38"/>
      <c r="T113" s="38"/>
      <c r="U113" s="38"/>
      <c r="V113" s="38"/>
      <c r="W113" s="38"/>
      <c r="X113" s="38"/>
    </row>
    <row r="114" spans="1:24" ht="13.5" customHeight="1">
      <c r="A114" s="33">
        <v>22110401</v>
      </c>
      <c r="B114" s="23" t="s">
        <v>511</v>
      </c>
      <c r="C114" s="24">
        <v>200000</v>
      </c>
      <c r="D114" s="37"/>
      <c r="E114" s="35"/>
      <c r="F114" s="35"/>
      <c r="G114" s="126"/>
      <c r="H114" s="35"/>
      <c r="I114" s="35"/>
      <c r="J114" s="35"/>
      <c r="K114" s="35"/>
      <c r="L114" s="35"/>
      <c r="M114" s="35"/>
      <c r="N114" s="35"/>
      <c r="O114" s="35"/>
      <c r="P114" s="35"/>
      <c r="Q114" s="35"/>
      <c r="R114" s="35"/>
      <c r="S114" s="35"/>
      <c r="T114" s="35"/>
      <c r="U114" s="35"/>
      <c r="V114" s="35"/>
      <c r="W114" s="35"/>
      <c r="X114" s="35"/>
    </row>
    <row r="115" spans="1:24" s="831" customFormat="1" ht="13.5" customHeight="1">
      <c r="A115" s="76">
        <v>221107</v>
      </c>
      <c r="B115" s="21" t="s">
        <v>514</v>
      </c>
      <c r="C115" s="26">
        <f>SUM(C116)</f>
        <v>50000</v>
      </c>
      <c r="D115" s="37"/>
      <c r="E115" s="38"/>
      <c r="F115" s="38"/>
      <c r="G115" s="39"/>
      <c r="H115" s="38"/>
      <c r="I115" s="38"/>
      <c r="J115" s="38"/>
      <c r="K115" s="38"/>
      <c r="L115" s="38"/>
      <c r="M115" s="38"/>
      <c r="N115" s="38"/>
      <c r="O115" s="38"/>
      <c r="P115" s="38"/>
      <c r="Q115" s="38"/>
      <c r="R115" s="38"/>
      <c r="S115" s="38"/>
      <c r="T115" s="38"/>
      <c r="U115" s="38"/>
      <c r="V115" s="38"/>
      <c r="W115" s="38"/>
      <c r="X115" s="38"/>
    </row>
    <row r="116" spans="1:24" ht="13.5" customHeight="1">
      <c r="A116" s="154">
        <v>22110702</v>
      </c>
      <c r="B116" s="23" t="s">
        <v>515</v>
      </c>
      <c r="C116" s="72">
        <v>50000</v>
      </c>
      <c r="D116" s="37"/>
      <c r="E116" s="35"/>
      <c r="F116" s="35"/>
      <c r="G116" s="126"/>
      <c r="H116" s="35"/>
      <c r="I116" s="35"/>
      <c r="J116" s="35"/>
      <c r="K116" s="35"/>
      <c r="L116" s="35"/>
      <c r="M116" s="35"/>
      <c r="N116" s="35"/>
      <c r="O116" s="35"/>
      <c r="P116" s="35"/>
      <c r="Q116" s="35"/>
      <c r="R116" s="35"/>
      <c r="S116" s="35"/>
      <c r="T116" s="35"/>
      <c r="U116" s="35"/>
      <c r="V116" s="35"/>
      <c r="W116" s="35"/>
      <c r="X116" s="35"/>
    </row>
    <row r="117" spans="1:24" ht="13.5" customHeight="1">
      <c r="A117" s="33"/>
      <c r="B117" s="23"/>
      <c r="C117" s="24"/>
      <c r="D117" s="37"/>
      <c r="E117" s="35"/>
      <c r="F117" s="35"/>
      <c r="G117" s="126"/>
      <c r="H117" s="35"/>
      <c r="I117" s="35"/>
      <c r="J117" s="35"/>
      <c r="K117" s="35"/>
      <c r="L117" s="35"/>
      <c r="M117" s="35"/>
      <c r="N117" s="35"/>
      <c r="O117" s="35"/>
      <c r="P117" s="35"/>
      <c r="Q117" s="35"/>
      <c r="R117" s="35"/>
      <c r="S117" s="35"/>
      <c r="T117" s="35"/>
      <c r="U117" s="35"/>
      <c r="V117" s="35"/>
      <c r="W117" s="35"/>
      <c r="X117" s="35"/>
    </row>
    <row r="118" spans="1:24" ht="13.5" customHeight="1" thickBot="1">
      <c r="A118" s="23"/>
      <c r="B118" s="23"/>
      <c r="C118" s="24"/>
      <c r="D118" s="37"/>
      <c r="E118" s="35"/>
      <c r="F118" s="35"/>
      <c r="G118" s="126"/>
      <c r="H118" s="35"/>
      <c r="I118" s="35"/>
      <c r="J118" s="35"/>
      <c r="K118" s="35"/>
      <c r="L118" s="35"/>
      <c r="M118" s="35"/>
      <c r="N118" s="35"/>
      <c r="O118" s="35"/>
      <c r="P118" s="35"/>
      <c r="Q118" s="35"/>
      <c r="R118" s="35"/>
      <c r="S118" s="35"/>
      <c r="T118" s="35"/>
      <c r="U118" s="35"/>
      <c r="V118" s="35"/>
      <c r="W118" s="35"/>
      <c r="X118" s="35"/>
    </row>
    <row r="119" spans="1:24" ht="13.5" customHeight="1">
      <c r="A119" s="1379" t="s">
        <v>925</v>
      </c>
      <c r="B119" s="1380"/>
      <c r="C119" s="1153">
        <v>1603</v>
      </c>
      <c r="D119" s="37"/>
      <c r="E119" s="35"/>
      <c r="F119" s="35"/>
      <c r="G119" s="126"/>
      <c r="H119" s="35"/>
      <c r="I119" s="35"/>
      <c r="J119" s="35"/>
      <c r="K119" s="35"/>
      <c r="L119" s="35"/>
      <c r="M119" s="35"/>
      <c r="N119" s="35"/>
      <c r="O119" s="35"/>
      <c r="P119" s="35"/>
      <c r="Q119" s="35"/>
      <c r="R119" s="35"/>
      <c r="S119" s="35"/>
      <c r="T119" s="35"/>
      <c r="U119" s="35"/>
      <c r="V119" s="35"/>
      <c r="W119" s="35"/>
      <c r="X119" s="35"/>
    </row>
    <row r="120" spans="1:24" ht="13.5" customHeight="1" thickBot="1">
      <c r="A120" s="1381"/>
      <c r="B120" s="1382"/>
      <c r="C120" s="1196"/>
      <c r="D120" s="37"/>
      <c r="E120" s="35"/>
      <c r="F120" s="35"/>
      <c r="G120" s="126"/>
      <c r="H120" s="35"/>
      <c r="I120" s="35"/>
      <c r="J120" s="35"/>
      <c r="K120" s="35"/>
      <c r="L120" s="35"/>
      <c r="M120" s="35"/>
      <c r="N120" s="35"/>
      <c r="O120" s="35"/>
      <c r="P120" s="35"/>
      <c r="Q120" s="35"/>
      <c r="R120" s="35"/>
      <c r="S120" s="35"/>
      <c r="T120" s="35"/>
      <c r="U120" s="35"/>
      <c r="V120" s="35"/>
      <c r="W120" s="35"/>
      <c r="X120" s="35"/>
    </row>
    <row r="121" spans="1:24" ht="13.5" customHeight="1">
      <c r="A121" s="609" t="s">
        <v>671</v>
      </c>
      <c r="B121" s="612"/>
      <c r="C121" s="626"/>
      <c r="D121" s="37"/>
      <c r="E121" s="35"/>
      <c r="F121" s="35"/>
      <c r="G121" s="126"/>
      <c r="H121" s="35"/>
      <c r="I121" s="35"/>
      <c r="J121" s="35"/>
      <c r="K121" s="35"/>
      <c r="L121" s="35"/>
      <c r="M121" s="35"/>
      <c r="N121" s="35"/>
      <c r="O121" s="35"/>
      <c r="P121" s="35"/>
      <c r="Q121" s="35"/>
      <c r="R121" s="35"/>
      <c r="S121" s="35"/>
      <c r="T121" s="35"/>
      <c r="U121" s="35"/>
      <c r="V121" s="35"/>
      <c r="W121" s="35"/>
      <c r="X121" s="35"/>
    </row>
    <row r="122" spans="1:24" ht="13.5" customHeight="1">
      <c r="A122" s="609" t="s">
        <v>753</v>
      </c>
      <c r="B122" s="612"/>
      <c r="C122" s="626"/>
      <c r="D122" s="37"/>
      <c r="E122" s="35"/>
      <c r="F122" s="35"/>
      <c r="G122" s="126"/>
      <c r="H122" s="35"/>
      <c r="I122" s="35"/>
      <c r="J122" s="35"/>
      <c r="K122" s="35"/>
      <c r="L122" s="35"/>
      <c r="M122" s="35"/>
      <c r="N122" s="35"/>
      <c r="O122" s="35"/>
      <c r="P122" s="35"/>
      <c r="Q122" s="35"/>
      <c r="R122" s="35"/>
      <c r="S122" s="35"/>
      <c r="T122" s="35"/>
      <c r="U122" s="35"/>
      <c r="V122" s="35"/>
      <c r="W122" s="35"/>
      <c r="X122" s="35"/>
    </row>
    <row r="123" spans="1:24" ht="13.5" customHeight="1">
      <c r="A123" s="609" t="s">
        <v>754</v>
      </c>
      <c r="B123" s="612"/>
      <c r="C123" s="626"/>
      <c r="D123" s="37"/>
      <c r="E123" s="35"/>
      <c r="F123" s="35"/>
      <c r="G123" s="126"/>
      <c r="H123" s="35"/>
      <c r="I123" s="35"/>
      <c r="J123" s="35"/>
      <c r="K123" s="35"/>
      <c r="L123" s="35"/>
      <c r="M123" s="35"/>
      <c r="N123" s="35"/>
      <c r="O123" s="35"/>
      <c r="P123" s="35"/>
      <c r="Q123" s="35"/>
      <c r="R123" s="35"/>
      <c r="S123" s="35"/>
      <c r="T123" s="35"/>
      <c r="U123" s="35"/>
      <c r="V123" s="35"/>
      <c r="W123" s="35"/>
      <c r="X123" s="35"/>
    </row>
    <row r="124" spans="1:24" ht="13.5" customHeight="1" thickBot="1">
      <c r="A124" s="1089" t="s">
        <v>59</v>
      </c>
      <c r="B124" s="612"/>
      <c r="C124" s="626"/>
      <c r="D124" s="37"/>
      <c r="E124" s="35"/>
      <c r="F124" s="35"/>
      <c r="G124" s="126"/>
      <c r="H124" s="35"/>
      <c r="I124" s="35"/>
      <c r="J124" s="35"/>
      <c r="K124" s="35"/>
      <c r="L124" s="35"/>
      <c r="M124" s="35"/>
      <c r="N124" s="35"/>
      <c r="O124" s="35"/>
      <c r="P124" s="35"/>
      <c r="Q124" s="35"/>
      <c r="R124" s="35"/>
      <c r="S124" s="35"/>
      <c r="T124" s="35"/>
      <c r="U124" s="35"/>
      <c r="V124" s="35"/>
      <c r="W124" s="35"/>
      <c r="X124" s="35"/>
    </row>
    <row r="125" spans="1:24" ht="13.5" customHeight="1" thickBot="1">
      <c r="A125" s="1171" t="s">
        <v>60</v>
      </c>
      <c r="B125" s="1197"/>
      <c r="C125" s="1033">
        <f>(C127+C140+C154)</f>
        <v>16704030</v>
      </c>
      <c r="D125" s="37"/>
      <c r="E125" s="35"/>
      <c r="F125" s="35"/>
      <c r="G125" s="126"/>
      <c r="H125" s="35"/>
      <c r="I125" s="35"/>
      <c r="J125" s="35"/>
      <c r="K125" s="35"/>
      <c r="L125" s="35"/>
      <c r="M125" s="35"/>
      <c r="N125" s="35"/>
      <c r="O125" s="35"/>
      <c r="P125" s="35"/>
      <c r="Q125" s="35"/>
      <c r="R125" s="35"/>
      <c r="S125" s="35"/>
      <c r="T125" s="35"/>
      <c r="U125" s="35"/>
      <c r="V125" s="35"/>
      <c r="W125" s="35"/>
      <c r="X125" s="35"/>
    </row>
    <row r="126" spans="1:24" ht="13.5" customHeight="1" thickBot="1">
      <c r="A126" s="75"/>
      <c r="B126" s="100"/>
      <c r="C126" s="36"/>
      <c r="D126" s="37"/>
      <c r="E126" s="35"/>
      <c r="F126" s="35"/>
      <c r="G126" s="126"/>
      <c r="H126" s="35"/>
      <c r="I126" s="35"/>
      <c r="J126" s="35"/>
      <c r="K126" s="35"/>
      <c r="L126" s="35"/>
      <c r="M126" s="35"/>
      <c r="N126" s="35"/>
      <c r="O126" s="35"/>
      <c r="P126" s="35"/>
      <c r="Q126" s="35"/>
      <c r="R126" s="35"/>
      <c r="S126" s="35"/>
      <c r="T126" s="35"/>
      <c r="U126" s="35"/>
      <c r="V126" s="35"/>
      <c r="W126" s="35"/>
      <c r="X126" s="35"/>
    </row>
    <row r="127" spans="1:24" ht="13.5" customHeight="1" thickBot="1">
      <c r="A127" s="1297" t="s">
        <v>9</v>
      </c>
      <c r="B127" s="1281"/>
      <c r="C127" s="62">
        <f>(C128+C130+C134+C136+C132)</f>
        <v>6617500</v>
      </c>
      <c r="D127" s="37"/>
      <c r="E127" s="35"/>
      <c r="F127" s="35"/>
      <c r="G127" s="126"/>
      <c r="H127" s="35"/>
      <c r="I127" s="35"/>
      <c r="J127" s="35"/>
      <c r="K127" s="35"/>
      <c r="L127" s="35"/>
      <c r="M127" s="35"/>
      <c r="N127" s="35"/>
      <c r="O127" s="35"/>
      <c r="P127" s="35"/>
      <c r="Q127" s="35"/>
      <c r="R127" s="35"/>
      <c r="S127" s="35"/>
      <c r="T127" s="35"/>
      <c r="U127" s="35"/>
      <c r="V127" s="35"/>
      <c r="W127" s="35"/>
      <c r="X127" s="35"/>
    </row>
    <row r="128" spans="1:24" s="831" customFormat="1" ht="13.5" customHeight="1">
      <c r="A128" s="48">
        <v>211201</v>
      </c>
      <c r="B128" s="76" t="s">
        <v>459</v>
      </c>
      <c r="C128" s="49">
        <f>SUM(C129)</f>
        <v>671500</v>
      </c>
      <c r="D128" s="37"/>
      <c r="E128" s="38"/>
      <c r="F128" s="38"/>
      <c r="G128" s="39"/>
      <c r="H128" s="38"/>
      <c r="I128" s="38"/>
      <c r="J128" s="38"/>
      <c r="K128" s="38"/>
      <c r="L128" s="38"/>
      <c r="M128" s="38"/>
      <c r="N128" s="38"/>
      <c r="O128" s="38"/>
      <c r="P128" s="38"/>
      <c r="Q128" s="38"/>
      <c r="R128" s="38"/>
      <c r="S128" s="38"/>
      <c r="T128" s="38"/>
      <c r="U128" s="38"/>
      <c r="V128" s="38"/>
      <c r="W128" s="38"/>
      <c r="X128" s="38"/>
    </row>
    <row r="129" spans="1:24" ht="13.5" customHeight="1">
      <c r="A129" s="33">
        <v>21120101</v>
      </c>
      <c r="B129" s="23" t="s">
        <v>460</v>
      </c>
      <c r="C129" s="163">
        <f>50000+91500+30000+500000</f>
        <v>671500</v>
      </c>
      <c r="D129" s="37"/>
      <c r="E129" s="35"/>
      <c r="F129" s="35"/>
      <c r="G129" s="126"/>
      <c r="H129" s="35"/>
      <c r="I129" s="35"/>
      <c r="J129" s="35"/>
      <c r="K129" s="35"/>
      <c r="L129" s="35"/>
      <c r="M129" s="35"/>
      <c r="N129" s="35"/>
      <c r="O129" s="35"/>
      <c r="P129" s="35"/>
      <c r="Q129" s="35"/>
      <c r="R129" s="35"/>
      <c r="S129" s="35"/>
      <c r="T129" s="35"/>
      <c r="U129" s="35"/>
      <c r="V129" s="35"/>
      <c r="W129" s="35"/>
      <c r="X129" s="35"/>
    </row>
    <row r="130" spans="1:24" s="831" customFormat="1" ht="13.5" customHeight="1">
      <c r="A130" s="48">
        <v>211204</v>
      </c>
      <c r="B130" s="21" t="s">
        <v>463</v>
      </c>
      <c r="C130" s="26">
        <f>C131</f>
        <v>1873000</v>
      </c>
      <c r="D130" s="37"/>
      <c r="E130" s="38"/>
      <c r="F130" s="38"/>
      <c r="G130" s="39"/>
      <c r="H130" s="38"/>
      <c r="I130" s="38"/>
      <c r="J130" s="38"/>
      <c r="K130" s="38"/>
      <c r="L130" s="38"/>
      <c r="M130" s="38"/>
      <c r="N130" s="38"/>
      <c r="O130" s="38"/>
      <c r="P130" s="38"/>
      <c r="Q130" s="38"/>
      <c r="R130" s="38"/>
      <c r="S130" s="38"/>
      <c r="T130" s="38"/>
      <c r="U130" s="38"/>
      <c r="V130" s="38"/>
      <c r="W130" s="38"/>
      <c r="X130" s="38"/>
    </row>
    <row r="131" spans="1:24" ht="13.5" customHeight="1">
      <c r="A131" s="33">
        <v>21120401</v>
      </c>
      <c r="B131" s="24" t="s">
        <v>464</v>
      </c>
      <c r="C131" s="51">
        <f>319000+554000+1000000</f>
        <v>1873000</v>
      </c>
      <c r="D131" s="37"/>
      <c r="E131" s="35"/>
      <c r="F131" s="35"/>
      <c r="G131" s="126"/>
      <c r="H131" s="35"/>
      <c r="I131" s="35"/>
      <c r="J131" s="35"/>
      <c r="K131" s="35"/>
      <c r="L131" s="35"/>
      <c r="M131" s="35"/>
      <c r="N131" s="35"/>
      <c r="O131" s="35"/>
      <c r="P131" s="35"/>
      <c r="Q131" s="35"/>
      <c r="R131" s="35"/>
      <c r="S131" s="35"/>
      <c r="T131" s="35"/>
      <c r="U131" s="35"/>
      <c r="V131" s="35"/>
      <c r="W131" s="35"/>
      <c r="X131" s="35"/>
    </row>
    <row r="132" spans="1:24" s="831" customFormat="1" ht="13.5" customHeight="1">
      <c r="A132" s="48">
        <v>211207</v>
      </c>
      <c r="B132" s="15" t="s">
        <v>467</v>
      </c>
      <c r="C132" s="26">
        <f>C133</f>
        <v>806000</v>
      </c>
      <c r="D132" s="37"/>
      <c r="E132" s="38"/>
      <c r="F132" s="38"/>
      <c r="G132" s="39"/>
      <c r="H132" s="38"/>
      <c r="I132" s="38"/>
      <c r="J132" s="38"/>
      <c r="K132" s="38"/>
      <c r="L132" s="38"/>
      <c r="M132" s="38"/>
      <c r="N132" s="38"/>
      <c r="O132" s="38"/>
      <c r="P132" s="38"/>
      <c r="Q132" s="38"/>
      <c r="R132" s="38"/>
      <c r="S132" s="38"/>
      <c r="T132" s="38"/>
      <c r="U132" s="38"/>
      <c r="V132" s="38"/>
      <c r="W132" s="38"/>
      <c r="X132" s="38"/>
    </row>
    <row r="133" spans="1:24" ht="13.5" customHeight="1">
      <c r="A133" s="33">
        <v>21120707</v>
      </c>
      <c r="B133" s="24" t="s">
        <v>516</v>
      </c>
      <c r="C133" s="24">
        <f>260000+16000+500000+30000</f>
        <v>806000</v>
      </c>
      <c r="D133" s="37"/>
      <c r="E133" s="35"/>
      <c r="F133" s="35"/>
      <c r="G133" s="126"/>
      <c r="H133" s="35"/>
      <c r="I133" s="35"/>
      <c r="J133" s="35"/>
      <c r="K133" s="35"/>
      <c r="L133" s="35"/>
      <c r="M133" s="35"/>
      <c r="N133" s="35"/>
      <c r="O133" s="35"/>
      <c r="P133" s="35"/>
      <c r="Q133" s="35"/>
      <c r="R133" s="35"/>
      <c r="S133" s="35"/>
      <c r="T133" s="35"/>
      <c r="U133" s="35"/>
      <c r="V133" s="35"/>
      <c r="W133" s="35"/>
      <c r="X133" s="35"/>
    </row>
    <row r="134" spans="1:24" s="831" customFormat="1" ht="13.5" customHeight="1">
      <c r="A134" s="48">
        <v>211208</v>
      </c>
      <c r="B134" s="26" t="s">
        <v>474</v>
      </c>
      <c r="C134" s="26">
        <f>C135</f>
        <v>437000</v>
      </c>
      <c r="D134" s="37"/>
      <c r="E134" s="38"/>
      <c r="F134" s="38"/>
      <c r="G134" s="39"/>
      <c r="H134" s="38"/>
      <c r="I134" s="38"/>
      <c r="J134" s="38"/>
      <c r="K134" s="38"/>
      <c r="L134" s="38"/>
      <c r="M134" s="38"/>
      <c r="N134" s="38"/>
      <c r="O134" s="38"/>
      <c r="P134" s="38"/>
      <c r="Q134" s="38"/>
      <c r="R134" s="38"/>
      <c r="S134" s="38"/>
      <c r="T134" s="38"/>
      <c r="U134" s="38"/>
      <c r="V134" s="38"/>
      <c r="W134" s="38"/>
      <c r="X134" s="38"/>
    </row>
    <row r="135" spans="1:24" ht="13.5" customHeight="1">
      <c r="A135" s="33">
        <v>21120805</v>
      </c>
      <c r="B135" s="24" t="s">
        <v>476</v>
      </c>
      <c r="C135" s="24">
        <f>13000+16000+58000+50000+300000</f>
        <v>437000</v>
      </c>
      <c r="D135" s="37"/>
      <c r="E135" s="35"/>
      <c r="F135" s="35"/>
      <c r="G135" s="126"/>
      <c r="H135" s="35"/>
      <c r="I135" s="35"/>
      <c r="J135" s="35"/>
      <c r="K135" s="35"/>
      <c r="L135" s="35"/>
      <c r="M135" s="35"/>
      <c r="N135" s="35"/>
      <c r="O135" s="35"/>
      <c r="P135" s="35"/>
      <c r="Q135" s="35"/>
      <c r="R135" s="35"/>
      <c r="S135" s="35"/>
      <c r="T135" s="35"/>
      <c r="U135" s="35"/>
      <c r="V135" s="35"/>
      <c r="W135" s="35"/>
      <c r="X135" s="35"/>
    </row>
    <row r="136" spans="1:24" s="831" customFormat="1" ht="13.5" customHeight="1">
      <c r="A136" s="48">
        <v>211209</v>
      </c>
      <c r="B136" s="26" t="s">
        <v>477</v>
      </c>
      <c r="C136" s="26">
        <f>SUM(C137:C138)</f>
        <v>2830000</v>
      </c>
      <c r="D136" s="37"/>
      <c r="E136" s="38"/>
      <c r="F136" s="38"/>
      <c r="G136" s="39"/>
      <c r="H136" s="38"/>
      <c r="I136" s="38"/>
      <c r="J136" s="38"/>
      <c r="K136" s="38"/>
      <c r="L136" s="38"/>
      <c r="M136" s="38"/>
      <c r="N136" s="38"/>
      <c r="O136" s="38"/>
      <c r="P136" s="38"/>
      <c r="Q136" s="38"/>
      <c r="R136" s="38"/>
      <c r="S136" s="38"/>
      <c r="T136" s="38"/>
      <c r="U136" s="38"/>
      <c r="V136" s="38"/>
      <c r="W136" s="38"/>
      <c r="X136" s="38"/>
    </row>
    <row r="137" spans="1:24" ht="13.5" customHeight="1">
      <c r="A137" s="33">
        <v>21120901</v>
      </c>
      <c r="B137" s="24" t="s">
        <v>478</v>
      </c>
      <c r="C137" s="24">
        <f>30000+39500+15500+200000</f>
        <v>285000</v>
      </c>
      <c r="D137" s="37"/>
      <c r="E137" s="35"/>
      <c r="F137" s="35"/>
      <c r="G137" s="126"/>
      <c r="H137" s="35"/>
      <c r="I137" s="35"/>
      <c r="J137" s="35"/>
      <c r="K137" s="35"/>
      <c r="L137" s="35"/>
      <c r="M137" s="35"/>
      <c r="N137" s="35"/>
      <c r="O137" s="35"/>
      <c r="P137" s="35"/>
      <c r="Q137" s="35"/>
      <c r="R137" s="35"/>
      <c r="S137" s="35"/>
      <c r="T137" s="35"/>
      <c r="U137" s="35"/>
      <c r="V137" s="35"/>
      <c r="W137" s="35"/>
      <c r="X137" s="35"/>
    </row>
    <row r="138" spans="1:24" ht="13.5" customHeight="1">
      <c r="A138" s="33">
        <v>21120906</v>
      </c>
      <c r="B138" s="24" t="s">
        <v>479</v>
      </c>
      <c r="C138" s="51">
        <f>3500000+45000-1000000</f>
        <v>2545000</v>
      </c>
      <c r="D138" s="37"/>
      <c r="E138" s="35"/>
      <c r="F138" s="35"/>
      <c r="G138" s="126"/>
      <c r="H138" s="35"/>
      <c r="I138" s="35"/>
      <c r="J138" s="35"/>
      <c r="K138" s="35"/>
      <c r="L138" s="35"/>
      <c r="M138" s="35"/>
      <c r="N138" s="35"/>
      <c r="O138" s="35"/>
      <c r="P138" s="35"/>
      <c r="Q138" s="35"/>
      <c r="R138" s="35"/>
      <c r="S138" s="35"/>
      <c r="T138" s="35"/>
      <c r="U138" s="35"/>
      <c r="V138" s="35"/>
      <c r="W138" s="35"/>
      <c r="X138" s="35"/>
    </row>
    <row r="139" spans="1:24" ht="13.5" customHeight="1" thickBot="1">
      <c r="A139" s="33"/>
      <c r="B139" s="24"/>
      <c r="C139" s="24"/>
      <c r="D139" s="37"/>
      <c r="E139" s="35"/>
      <c r="F139" s="35"/>
      <c r="G139" s="126"/>
      <c r="H139" s="35"/>
      <c r="I139" s="35"/>
      <c r="J139" s="35"/>
      <c r="K139" s="35"/>
      <c r="L139" s="35"/>
      <c r="M139" s="35"/>
      <c r="N139" s="35"/>
      <c r="O139" s="35"/>
      <c r="P139" s="35"/>
      <c r="Q139" s="35"/>
      <c r="R139" s="35"/>
      <c r="S139" s="35"/>
      <c r="T139" s="35"/>
      <c r="U139" s="35"/>
      <c r="V139" s="35"/>
      <c r="W139" s="35"/>
      <c r="X139" s="35"/>
    </row>
    <row r="140" spans="1:24" ht="13.5" customHeight="1" thickBot="1">
      <c r="A140" s="1298" t="s">
        <v>4</v>
      </c>
      <c r="B140" s="1281"/>
      <c r="C140" s="64">
        <f>(C141+C143+C146+C149)</f>
        <v>9775630</v>
      </c>
      <c r="D140" s="37"/>
      <c r="E140" s="35"/>
      <c r="F140" s="35"/>
      <c r="G140" s="126"/>
      <c r="H140" s="35"/>
      <c r="I140" s="35"/>
      <c r="J140" s="35"/>
      <c r="K140" s="35"/>
      <c r="L140" s="35"/>
      <c r="M140" s="35"/>
      <c r="N140" s="35"/>
      <c r="O140" s="35"/>
      <c r="P140" s="35"/>
      <c r="Q140" s="35"/>
      <c r="R140" s="35"/>
      <c r="S140" s="35"/>
      <c r="T140" s="35"/>
      <c r="U140" s="35"/>
      <c r="V140" s="35"/>
      <c r="W140" s="35"/>
      <c r="X140" s="35"/>
    </row>
    <row r="141" spans="1:24" s="831" customFormat="1" ht="13.5" customHeight="1">
      <c r="A141" s="48">
        <v>211303</v>
      </c>
      <c r="B141" s="21" t="s">
        <v>484</v>
      </c>
      <c r="C141" s="26">
        <f>C142</f>
        <v>250500</v>
      </c>
      <c r="D141" s="37"/>
      <c r="E141" s="38"/>
      <c r="F141" s="38"/>
      <c r="G141" s="39"/>
      <c r="H141" s="38"/>
      <c r="I141" s="38"/>
      <c r="J141" s="38"/>
      <c r="K141" s="38"/>
      <c r="L141" s="38"/>
      <c r="M141" s="38"/>
      <c r="N141" s="38"/>
      <c r="O141" s="38"/>
      <c r="P141" s="38"/>
      <c r="Q141" s="38"/>
      <c r="R141" s="38"/>
      <c r="S141" s="38"/>
      <c r="T141" s="38"/>
      <c r="U141" s="38"/>
      <c r="V141" s="38"/>
      <c r="W141" s="38"/>
      <c r="X141" s="38"/>
    </row>
    <row r="142" spans="1:24" ht="13.5" customHeight="1">
      <c r="A142" s="33">
        <v>21130307</v>
      </c>
      <c r="B142" s="23" t="s">
        <v>488</v>
      </c>
      <c r="C142" s="51">
        <f>120500+50000+80000</f>
        <v>250500</v>
      </c>
      <c r="D142" s="37"/>
      <c r="E142" s="35"/>
      <c r="F142" s="35"/>
      <c r="G142" s="126"/>
      <c r="H142" s="35"/>
      <c r="I142" s="35"/>
      <c r="J142" s="35"/>
      <c r="K142" s="35"/>
      <c r="L142" s="35"/>
      <c r="M142" s="35"/>
      <c r="N142" s="35"/>
      <c r="O142" s="35"/>
      <c r="P142" s="35"/>
      <c r="Q142" s="35"/>
      <c r="R142" s="35"/>
      <c r="S142" s="35"/>
      <c r="T142" s="35"/>
      <c r="U142" s="35"/>
      <c r="V142" s="35"/>
      <c r="W142" s="35"/>
      <c r="X142" s="35"/>
    </row>
    <row r="143" spans="1:24" s="831" customFormat="1" ht="13.5" customHeight="1">
      <c r="A143" s="48">
        <v>211305</v>
      </c>
      <c r="B143" s="21" t="s">
        <v>489</v>
      </c>
      <c r="C143" s="26">
        <f>+SUM(C144:C145)</f>
        <v>5671280</v>
      </c>
      <c r="D143" s="37"/>
      <c r="E143" s="38"/>
      <c r="F143" s="38"/>
      <c r="G143" s="39"/>
      <c r="H143" s="38"/>
      <c r="I143" s="38"/>
      <c r="J143" s="38"/>
      <c r="K143" s="38"/>
      <c r="L143" s="38"/>
      <c r="M143" s="38"/>
      <c r="N143" s="38"/>
      <c r="O143" s="38"/>
      <c r="P143" s="38"/>
      <c r="Q143" s="38"/>
      <c r="R143" s="38"/>
      <c r="S143" s="38"/>
      <c r="T143" s="38"/>
      <c r="U143" s="38"/>
      <c r="V143" s="38"/>
      <c r="W143" s="38"/>
      <c r="X143" s="38"/>
    </row>
    <row r="144" spans="1:24" ht="13.5" customHeight="1">
      <c r="A144" s="33">
        <v>21130501</v>
      </c>
      <c r="B144" s="13" t="s">
        <v>490</v>
      </c>
      <c r="C144" s="24">
        <f>5500+8500+48000+5500+8780</f>
        <v>76280</v>
      </c>
      <c r="D144" s="37"/>
      <c r="E144" s="35"/>
      <c r="F144" s="35"/>
      <c r="G144" s="126"/>
      <c r="H144" s="35"/>
      <c r="I144" s="35"/>
      <c r="J144" s="35"/>
      <c r="K144" s="35"/>
      <c r="L144" s="35"/>
      <c r="M144" s="35"/>
      <c r="N144" s="35"/>
      <c r="O144" s="35"/>
      <c r="P144" s="35"/>
      <c r="Q144" s="35"/>
      <c r="R144" s="35"/>
      <c r="S144" s="35"/>
      <c r="T144" s="35"/>
      <c r="U144" s="35"/>
      <c r="V144" s="35"/>
      <c r="W144" s="35"/>
      <c r="X144" s="35"/>
    </row>
    <row r="145" spans="1:24" ht="13.5" customHeight="1">
      <c r="A145" s="33">
        <v>21130502</v>
      </c>
      <c r="B145" s="24" t="s">
        <v>491</v>
      </c>
      <c r="C145" s="51">
        <f>2000000+3595000</f>
        <v>5595000</v>
      </c>
      <c r="D145" s="37"/>
      <c r="E145" s="35"/>
      <c r="F145" s="35"/>
      <c r="G145" s="126"/>
      <c r="H145" s="35"/>
      <c r="I145" s="35"/>
      <c r="J145" s="35"/>
      <c r="K145" s="35"/>
      <c r="L145" s="35"/>
      <c r="M145" s="35"/>
      <c r="N145" s="35"/>
      <c r="O145" s="35"/>
      <c r="P145" s="35"/>
      <c r="Q145" s="35"/>
      <c r="R145" s="35"/>
      <c r="S145" s="35"/>
      <c r="T145" s="35"/>
      <c r="U145" s="35"/>
      <c r="V145" s="35"/>
      <c r="W145" s="35"/>
      <c r="X145" s="35"/>
    </row>
    <row r="146" spans="1:24" s="831" customFormat="1" ht="13.5" customHeight="1">
      <c r="A146" s="48">
        <v>211306</v>
      </c>
      <c r="B146" s="26" t="s">
        <v>492</v>
      </c>
      <c r="C146" s="26">
        <f>SUM(C147:C148)</f>
        <v>176700</v>
      </c>
      <c r="D146" s="37"/>
      <c r="E146" s="38"/>
      <c r="F146" s="38"/>
      <c r="G146" s="39"/>
      <c r="H146" s="38"/>
      <c r="I146" s="38"/>
      <c r="J146" s="38"/>
      <c r="K146" s="38"/>
      <c r="L146" s="38"/>
      <c r="M146" s="38"/>
      <c r="N146" s="38"/>
      <c r="O146" s="38"/>
      <c r="P146" s="38"/>
      <c r="Q146" s="38"/>
      <c r="R146" s="38"/>
      <c r="S146" s="38"/>
      <c r="T146" s="38"/>
      <c r="U146" s="38"/>
      <c r="V146" s="38"/>
      <c r="W146" s="38"/>
      <c r="X146" s="38"/>
    </row>
    <row r="147" spans="1:24" s="831" customFormat="1" ht="13.5" customHeight="1">
      <c r="A147" s="33">
        <v>21130604</v>
      </c>
      <c r="B147" s="24" t="s">
        <v>539</v>
      </c>
      <c r="C147" s="24">
        <f>10000+50000+50000</f>
        <v>110000</v>
      </c>
      <c r="D147" s="37"/>
      <c r="E147" s="38"/>
      <c r="F147" s="38"/>
      <c r="G147" s="39"/>
      <c r="H147" s="38"/>
      <c r="I147" s="38"/>
      <c r="J147" s="38"/>
      <c r="K147" s="38"/>
      <c r="L147" s="38"/>
      <c r="M147" s="38"/>
      <c r="N147" s="38"/>
      <c r="O147" s="38"/>
      <c r="P147" s="38"/>
      <c r="Q147" s="38"/>
      <c r="R147" s="38"/>
      <c r="S147" s="38"/>
      <c r="T147" s="38"/>
      <c r="U147" s="38"/>
      <c r="V147" s="38"/>
      <c r="W147" s="38"/>
      <c r="X147" s="38"/>
    </row>
    <row r="148" spans="1:24" ht="13.5" customHeight="1">
      <c r="A148" s="33">
        <v>21130607</v>
      </c>
      <c r="B148" s="24" t="s">
        <v>493</v>
      </c>
      <c r="C148" s="24">
        <f>12500+50000+4200</f>
        <v>66700</v>
      </c>
      <c r="D148" s="37"/>
      <c r="E148" s="35"/>
      <c r="F148" s="35"/>
      <c r="G148" s="126"/>
      <c r="H148" s="35"/>
      <c r="I148" s="35"/>
      <c r="J148" s="35"/>
      <c r="K148" s="35"/>
      <c r="L148" s="35"/>
      <c r="M148" s="35"/>
      <c r="N148" s="35"/>
      <c r="O148" s="35"/>
      <c r="P148" s="35"/>
      <c r="Q148" s="35"/>
      <c r="R148" s="35"/>
      <c r="S148" s="35"/>
      <c r="T148" s="35"/>
      <c r="U148" s="35"/>
      <c r="V148" s="35"/>
      <c r="W148" s="35"/>
      <c r="X148" s="35"/>
    </row>
    <row r="149" spans="1:24" s="831" customFormat="1" ht="13.5" customHeight="1">
      <c r="A149" s="48">
        <v>211309</v>
      </c>
      <c r="B149" s="26" t="s">
        <v>496</v>
      </c>
      <c r="C149" s="26">
        <f>SUM(C150:C152)</f>
        <v>3677150</v>
      </c>
      <c r="D149" s="37"/>
      <c r="E149" s="38"/>
      <c r="F149" s="38"/>
      <c r="G149" s="39"/>
      <c r="H149" s="38"/>
      <c r="I149" s="38"/>
      <c r="J149" s="38"/>
      <c r="K149" s="38"/>
      <c r="L149" s="38"/>
      <c r="M149" s="38"/>
      <c r="N149" s="38"/>
      <c r="O149" s="38"/>
      <c r="P149" s="38"/>
      <c r="Q149" s="38"/>
      <c r="R149" s="38"/>
      <c r="S149" s="38"/>
      <c r="T149" s="38"/>
      <c r="U149" s="38"/>
      <c r="V149" s="38"/>
      <c r="W149" s="38"/>
      <c r="X149" s="38"/>
    </row>
    <row r="150" spans="1:24" ht="13.5" customHeight="1">
      <c r="A150" s="33">
        <v>21130901</v>
      </c>
      <c r="B150" s="24" t="s">
        <v>497</v>
      </c>
      <c r="C150" s="51">
        <f>1500000+1959500</f>
        <v>3459500</v>
      </c>
      <c r="D150" s="37"/>
      <c r="E150" s="35"/>
      <c r="F150" s="35"/>
      <c r="G150" s="126"/>
      <c r="H150" s="35"/>
      <c r="I150" s="35"/>
      <c r="J150" s="35"/>
      <c r="K150" s="35"/>
      <c r="L150" s="35"/>
      <c r="M150" s="35"/>
      <c r="N150" s="35"/>
      <c r="O150" s="35"/>
      <c r="P150" s="35"/>
      <c r="Q150" s="35"/>
      <c r="R150" s="35"/>
      <c r="S150" s="35"/>
      <c r="T150" s="35"/>
      <c r="U150" s="35"/>
      <c r="V150" s="35"/>
      <c r="W150" s="35"/>
      <c r="X150" s="35"/>
    </row>
    <row r="151" spans="1:24" ht="13.5" customHeight="1">
      <c r="A151" s="33">
        <v>21130903</v>
      </c>
      <c r="B151" s="24" t="s">
        <v>498</v>
      </c>
      <c r="C151" s="24">
        <f>41000+8500+5500+4650</f>
        <v>59650</v>
      </c>
      <c r="D151" s="37"/>
      <c r="E151" s="35"/>
      <c r="F151" s="35"/>
      <c r="G151" s="126"/>
      <c r="H151" s="35"/>
      <c r="I151" s="35"/>
      <c r="J151" s="35"/>
      <c r="K151" s="35"/>
      <c r="L151" s="35"/>
      <c r="M151" s="35"/>
      <c r="N151" s="35"/>
      <c r="O151" s="35"/>
      <c r="P151" s="35"/>
      <c r="Q151" s="35"/>
      <c r="R151" s="35"/>
      <c r="S151" s="35"/>
      <c r="T151" s="35"/>
      <c r="U151" s="35"/>
      <c r="V151" s="35"/>
      <c r="W151" s="35"/>
      <c r="X151" s="35"/>
    </row>
    <row r="152" spans="1:24" ht="13.5" customHeight="1">
      <c r="A152" s="33">
        <v>21130908</v>
      </c>
      <c r="B152" s="24" t="s">
        <v>500</v>
      </c>
      <c r="C152" s="24">
        <f>13500+50000+94500</f>
        <v>158000</v>
      </c>
      <c r="D152" s="37"/>
      <c r="E152" s="35"/>
      <c r="F152" s="35"/>
      <c r="G152" s="126"/>
      <c r="H152" s="35"/>
      <c r="I152" s="35"/>
      <c r="J152" s="35"/>
      <c r="K152" s="35"/>
      <c r="L152" s="35"/>
      <c r="M152" s="35"/>
      <c r="N152" s="35"/>
      <c r="O152" s="35"/>
      <c r="P152" s="35"/>
      <c r="Q152" s="35"/>
      <c r="R152" s="35"/>
      <c r="S152" s="35"/>
      <c r="T152" s="35"/>
      <c r="U152" s="35"/>
      <c r="V152" s="35"/>
      <c r="W152" s="35"/>
      <c r="X152" s="35"/>
    </row>
    <row r="153" spans="1:24" ht="13.5" customHeight="1" thickBot="1">
      <c r="A153" s="33"/>
      <c r="B153" s="24"/>
      <c r="C153" s="24"/>
      <c r="D153" s="37"/>
      <c r="E153" s="35"/>
      <c r="F153" s="35"/>
      <c r="G153" s="126"/>
      <c r="H153" s="35"/>
      <c r="I153" s="35"/>
      <c r="J153" s="35"/>
      <c r="K153" s="35"/>
      <c r="L153" s="35"/>
      <c r="M153" s="35"/>
      <c r="N153" s="35"/>
      <c r="O153" s="35"/>
      <c r="P153" s="35"/>
      <c r="Q153" s="35"/>
      <c r="R153" s="35"/>
      <c r="S153" s="35"/>
      <c r="T153" s="35"/>
      <c r="U153" s="35"/>
      <c r="V153" s="35"/>
      <c r="W153" s="35"/>
      <c r="X153" s="35"/>
    </row>
    <row r="154" spans="1:24" ht="13.5" customHeight="1" thickBot="1">
      <c r="A154" s="1299" t="s">
        <v>48</v>
      </c>
      <c r="B154" s="1281"/>
      <c r="C154" s="65">
        <f>+C155+C158</f>
        <v>310900</v>
      </c>
      <c r="D154" s="37"/>
      <c r="E154" s="35"/>
      <c r="F154" s="35"/>
      <c r="G154" s="126"/>
      <c r="H154" s="35"/>
      <c r="I154" s="35"/>
      <c r="J154" s="35"/>
      <c r="K154" s="35"/>
      <c r="L154" s="35"/>
      <c r="M154" s="35"/>
      <c r="N154" s="35"/>
      <c r="O154" s="35"/>
      <c r="P154" s="35"/>
      <c r="Q154" s="35"/>
      <c r="R154" s="35"/>
      <c r="S154" s="35"/>
      <c r="T154" s="35"/>
      <c r="U154" s="35"/>
      <c r="V154" s="35"/>
      <c r="W154" s="35"/>
      <c r="X154" s="35"/>
    </row>
    <row r="155" spans="1:24" s="831" customFormat="1" ht="13.5" customHeight="1">
      <c r="A155" s="48">
        <v>221104</v>
      </c>
      <c r="B155" s="76" t="s">
        <v>510</v>
      </c>
      <c r="C155" s="36">
        <f>SUM(C156:C157)</f>
        <v>250900</v>
      </c>
      <c r="D155" s="37"/>
      <c r="E155" s="38"/>
      <c r="F155" s="38"/>
      <c r="G155" s="39"/>
      <c r="H155" s="38"/>
      <c r="I155" s="38"/>
      <c r="J155" s="38"/>
      <c r="K155" s="38"/>
      <c r="L155" s="38"/>
      <c r="M155" s="38"/>
      <c r="N155" s="38"/>
      <c r="O155" s="38"/>
      <c r="P155" s="38"/>
      <c r="Q155" s="38"/>
      <c r="R155" s="38"/>
      <c r="S155" s="38"/>
      <c r="T155" s="38"/>
      <c r="U155" s="38"/>
      <c r="V155" s="38"/>
      <c r="W155" s="38"/>
      <c r="X155" s="38"/>
    </row>
    <row r="156" spans="1:24" ht="13.5" customHeight="1">
      <c r="A156" s="33">
        <v>22110401</v>
      </c>
      <c r="B156" s="23" t="s">
        <v>511</v>
      </c>
      <c r="C156" s="51">
        <f>45400+30000+120000</f>
        <v>195400</v>
      </c>
      <c r="D156" s="37"/>
      <c r="E156" s="35"/>
      <c r="F156" s="35"/>
      <c r="G156" s="126"/>
      <c r="H156" s="35"/>
      <c r="I156" s="35"/>
      <c r="J156" s="35"/>
      <c r="K156" s="35"/>
      <c r="L156" s="35"/>
      <c r="M156" s="35"/>
      <c r="N156" s="35"/>
      <c r="O156" s="35"/>
      <c r="P156" s="35"/>
      <c r="Q156" s="35"/>
      <c r="R156" s="35"/>
      <c r="S156" s="35"/>
      <c r="T156" s="35"/>
      <c r="U156" s="35"/>
      <c r="V156" s="35"/>
      <c r="W156" s="35"/>
      <c r="X156" s="35"/>
    </row>
    <row r="157" spans="1:24" ht="13.5" customHeight="1">
      <c r="A157" s="33">
        <v>22110405</v>
      </c>
      <c r="B157" s="23" t="s">
        <v>554</v>
      </c>
      <c r="C157" s="51">
        <f>10500+25200+19800</f>
        <v>55500</v>
      </c>
      <c r="D157" s="37"/>
      <c r="E157" s="35"/>
      <c r="F157" s="35"/>
      <c r="G157" s="126"/>
      <c r="H157" s="35"/>
      <c r="I157" s="35"/>
      <c r="J157" s="35"/>
      <c r="K157" s="35"/>
      <c r="L157" s="35"/>
      <c r="M157" s="35"/>
      <c r="N157" s="35"/>
      <c r="O157" s="35"/>
      <c r="P157" s="35"/>
      <c r="Q157" s="35"/>
      <c r="R157" s="35"/>
      <c r="S157" s="35"/>
      <c r="T157" s="35"/>
      <c r="U157" s="35"/>
      <c r="V157" s="35"/>
      <c r="W157" s="35"/>
      <c r="X157" s="35"/>
    </row>
    <row r="158" spans="1:24" s="831" customFormat="1" ht="13.5" customHeight="1">
      <c r="A158" s="76">
        <v>221107</v>
      </c>
      <c r="B158" s="21" t="s">
        <v>514</v>
      </c>
      <c r="C158" s="26">
        <f>SUM(C159)</f>
        <v>60000</v>
      </c>
      <c r="D158" s="37"/>
      <c r="E158" s="38"/>
      <c r="F158" s="38"/>
      <c r="G158" s="39"/>
      <c r="H158" s="38"/>
      <c r="I158" s="38"/>
      <c r="J158" s="38"/>
      <c r="K158" s="38"/>
      <c r="L158" s="38"/>
      <c r="M158" s="38"/>
      <c r="N158" s="38"/>
      <c r="O158" s="38"/>
      <c r="P158" s="38"/>
      <c r="Q158" s="38"/>
      <c r="R158" s="38"/>
      <c r="S158" s="38"/>
      <c r="T158" s="38"/>
      <c r="U158" s="38"/>
      <c r="V158" s="38"/>
      <c r="W158" s="38"/>
      <c r="X158" s="38"/>
    </row>
    <row r="159" spans="1:24" ht="13.5" customHeight="1">
      <c r="A159" s="154">
        <v>22110702</v>
      </c>
      <c r="B159" s="23" t="s">
        <v>515</v>
      </c>
      <c r="C159" s="72">
        <f>35000+25000</f>
        <v>60000</v>
      </c>
      <c r="D159" s="37"/>
      <c r="E159" s="35"/>
      <c r="F159" s="35"/>
      <c r="G159" s="126"/>
      <c r="H159" s="35"/>
      <c r="I159" s="35"/>
      <c r="J159" s="35"/>
      <c r="K159" s="35"/>
      <c r="L159" s="35"/>
      <c r="M159" s="35"/>
      <c r="N159" s="35"/>
      <c r="O159" s="35"/>
      <c r="P159" s="35"/>
      <c r="Q159" s="35"/>
      <c r="R159" s="35"/>
      <c r="S159" s="35"/>
      <c r="T159" s="35"/>
      <c r="U159" s="35"/>
      <c r="V159" s="35"/>
      <c r="W159" s="35"/>
      <c r="X159" s="35"/>
    </row>
    <row r="160" spans="1:24" ht="13.5" customHeight="1">
      <c r="A160" s="33"/>
      <c r="B160" s="23"/>
      <c r="C160" s="24"/>
      <c r="D160" s="37"/>
      <c r="E160" s="35"/>
      <c r="F160" s="35"/>
      <c r="G160" s="126"/>
      <c r="H160" s="35"/>
      <c r="I160" s="35"/>
      <c r="J160" s="35"/>
      <c r="K160" s="35"/>
      <c r="L160" s="35"/>
      <c r="M160" s="35"/>
      <c r="N160" s="35"/>
      <c r="O160" s="35"/>
      <c r="P160" s="35"/>
      <c r="Q160" s="35"/>
      <c r="R160" s="35"/>
      <c r="S160" s="35"/>
      <c r="T160" s="35"/>
      <c r="U160" s="35"/>
      <c r="V160" s="35"/>
      <c r="W160" s="35"/>
      <c r="X160" s="35"/>
    </row>
    <row r="161" spans="1:24" ht="13.5" customHeight="1" thickBot="1">
      <c r="A161" s="23"/>
      <c r="B161" s="24"/>
      <c r="C161" s="24"/>
      <c r="D161" s="146"/>
      <c r="E161" s="4"/>
      <c r="F161" s="4"/>
      <c r="G161" s="156"/>
      <c r="H161" s="4"/>
      <c r="I161" s="4"/>
      <c r="J161" s="4"/>
      <c r="K161" s="4"/>
      <c r="L161" s="4"/>
      <c r="M161" s="4"/>
      <c r="N161" s="4"/>
      <c r="O161" s="4"/>
      <c r="P161" s="4"/>
      <c r="Q161" s="4"/>
      <c r="R161" s="4"/>
      <c r="S161" s="4"/>
      <c r="T161" s="4"/>
      <c r="U161" s="4"/>
      <c r="V161" s="4"/>
      <c r="W161" s="4"/>
      <c r="X161" s="4"/>
    </row>
    <row r="162" spans="1:24" ht="13.5" customHeight="1">
      <c r="A162" s="1383" t="s">
        <v>755</v>
      </c>
      <c r="B162" s="1384"/>
      <c r="C162" s="1153">
        <v>1604</v>
      </c>
      <c r="D162" s="158"/>
      <c r="E162" s="164"/>
      <c r="F162" s="35"/>
      <c r="G162" s="126"/>
      <c r="H162" s="35"/>
      <c r="I162" s="35"/>
      <c r="J162" s="35"/>
      <c r="K162" s="35"/>
      <c r="L162" s="35"/>
      <c r="M162" s="35"/>
      <c r="N162" s="35"/>
      <c r="O162" s="35"/>
      <c r="P162" s="35"/>
      <c r="Q162" s="35"/>
      <c r="R162" s="35"/>
      <c r="S162" s="35"/>
      <c r="T162" s="35"/>
      <c r="U162" s="35"/>
      <c r="V162" s="35"/>
      <c r="W162" s="35"/>
      <c r="X162" s="35"/>
    </row>
    <row r="163" spans="1:24" ht="13.5" customHeight="1" thickBot="1">
      <c r="A163" s="1385"/>
      <c r="B163" s="1386"/>
      <c r="C163" s="1196"/>
      <c r="D163" s="37"/>
      <c r="E163" s="164"/>
      <c r="F163" s="35"/>
      <c r="G163" s="126"/>
      <c r="H163" s="35"/>
      <c r="I163" s="35"/>
      <c r="J163" s="35"/>
      <c r="K163" s="35"/>
      <c r="L163" s="35"/>
      <c r="M163" s="35"/>
      <c r="N163" s="35"/>
      <c r="O163" s="35"/>
      <c r="P163" s="35"/>
      <c r="Q163" s="35"/>
      <c r="R163" s="35"/>
      <c r="S163" s="35"/>
      <c r="T163" s="35"/>
      <c r="U163" s="35"/>
      <c r="V163" s="35"/>
      <c r="W163" s="35"/>
      <c r="X163" s="35"/>
    </row>
    <row r="164" spans="1:24" ht="13.5" customHeight="1">
      <c r="A164" s="609" t="s">
        <v>671</v>
      </c>
      <c r="B164" s="612"/>
      <c r="C164" s="1029"/>
      <c r="D164" s="37"/>
      <c r="E164" s="35"/>
      <c r="F164" s="35"/>
      <c r="G164" s="126"/>
      <c r="H164" s="35"/>
      <c r="I164" s="35"/>
      <c r="J164" s="35"/>
      <c r="K164" s="35"/>
      <c r="L164" s="35"/>
      <c r="M164" s="35"/>
      <c r="N164" s="35"/>
      <c r="O164" s="35"/>
      <c r="P164" s="35"/>
      <c r="Q164" s="35"/>
      <c r="R164" s="35"/>
      <c r="S164" s="35"/>
      <c r="T164" s="35"/>
      <c r="U164" s="35"/>
      <c r="V164" s="35"/>
      <c r="W164" s="35"/>
      <c r="X164" s="35"/>
    </row>
    <row r="165" spans="1:24" ht="13.5" customHeight="1">
      <c r="A165" s="609" t="s">
        <v>753</v>
      </c>
      <c r="B165" s="612"/>
      <c r="C165" s="1029"/>
      <c r="D165" s="37"/>
      <c r="E165" s="35"/>
      <c r="F165" s="35"/>
      <c r="G165" s="126"/>
      <c r="H165" s="35"/>
      <c r="I165" s="35"/>
      <c r="J165" s="35"/>
      <c r="K165" s="35"/>
      <c r="L165" s="35"/>
      <c r="M165" s="35"/>
      <c r="N165" s="35"/>
      <c r="O165" s="35"/>
      <c r="P165" s="35"/>
      <c r="Q165" s="35"/>
      <c r="R165" s="35"/>
      <c r="S165" s="35"/>
      <c r="T165" s="35"/>
      <c r="U165" s="35"/>
      <c r="V165" s="35"/>
      <c r="W165" s="35"/>
      <c r="X165" s="35"/>
    </row>
    <row r="166" spans="1:24" ht="13.5" customHeight="1">
      <c r="A166" s="609" t="s">
        <v>754</v>
      </c>
      <c r="B166" s="612"/>
      <c r="C166" s="1029"/>
      <c r="D166" s="37"/>
      <c r="E166" s="35"/>
      <c r="F166" s="35"/>
      <c r="G166" s="126"/>
      <c r="H166" s="35"/>
      <c r="I166" s="35"/>
      <c r="J166" s="35"/>
      <c r="K166" s="35"/>
      <c r="L166" s="35"/>
      <c r="M166" s="35"/>
      <c r="N166" s="35"/>
      <c r="O166" s="35"/>
      <c r="P166" s="35"/>
      <c r="Q166" s="35"/>
      <c r="R166" s="35"/>
      <c r="S166" s="35"/>
      <c r="T166" s="35"/>
      <c r="U166" s="35"/>
      <c r="V166" s="35"/>
      <c r="W166" s="35"/>
      <c r="X166" s="35"/>
    </row>
    <row r="167" spans="1:24" ht="13.5" customHeight="1" thickBot="1">
      <c r="A167" s="1089" t="s">
        <v>59</v>
      </c>
      <c r="B167" s="612"/>
      <c r="C167" s="1029"/>
      <c r="D167" s="37"/>
      <c r="E167" s="35"/>
      <c r="F167" s="35"/>
      <c r="G167" s="126"/>
      <c r="H167" s="35"/>
      <c r="I167" s="35"/>
      <c r="J167" s="35"/>
      <c r="K167" s="35"/>
      <c r="L167" s="35"/>
      <c r="M167" s="35"/>
      <c r="N167" s="35"/>
      <c r="O167" s="35"/>
      <c r="P167" s="35"/>
      <c r="Q167" s="35"/>
      <c r="R167" s="35"/>
      <c r="S167" s="35"/>
      <c r="T167" s="35"/>
      <c r="U167" s="35"/>
      <c r="V167" s="35"/>
      <c r="W167" s="35"/>
      <c r="X167" s="35"/>
    </row>
    <row r="168" spans="1:24" ht="13.5" customHeight="1" thickBot="1">
      <c r="A168" s="1171" t="s">
        <v>60</v>
      </c>
      <c r="B168" s="1197"/>
      <c r="C168" s="1033">
        <f>(C170+C202+C233+C229)</f>
        <v>251979552.88999999</v>
      </c>
      <c r="D168" s="37"/>
      <c r="E168" s="38"/>
      <c r="F168" s="38"/>
      <c r="G168" s="39"/>
      <c r="H168" s="38"/>
      <c r="I168" s="38"/>
      <c r="J168" s="38"/>
      <c r="K168" s="38"/>
      <c r="L168" s="38"/>
      <c r="M168" s="38"/>
      <c r="N168" s="38"/>
      <c r="O168" s="38"/>
      <c r="P168" s="38"/>
      <c r="Q168" s="38"/>
      <c r="R168" s="38"/>
      <c r="S168" s="38"/>
      <c r="T168" s="38"/>
      <c r="U168" s="38"/>
      <c r="V168" s="38"/>
      <c r="W168" s="38"/>
      <c r="X168" s="38"/>
    </row>
    <row r="169" spans="1:24" ht="13.5" customHeight="1" thickBot="1">
      <c r="A169" s="100"/>
      <c r="B169" s="100"/>
      <c r="C169" s="72"/>
      <c r="D169" s="37"/>
      <c r="E169" s="35"/>
      <c r="F169" s="35"/>
      <c r="G169" s="126"/>
      <c r="H169" s="35"/>
      <c r="I169" s="35"/>
      <c r="J169" s="35"/>
      <c r="K169" s="35"/>
      <c r="L169" s="35"/>
      <c r="M169" s="35"/>
      <c r="N169" s="35"/>
      <c r="O169" s="35"/>
      <c r="P169" s="35"/>
      <c r="Q169" s="35"/>
      <c r="R169" s="35"/>
      <c r="S169" s="35"/>
      <c r="T169" s="35"/>
      <c r="U169" s="35"/>
      <c r="V169" s="35"/>
      <c r="W169" s="35"/>
      <c r="X169" s="35"/>
    </row>
    <row r="170" spans="1:24" ht="13.5" customHeight="1" thickBot="1">
      <c r="A170" s="1297" t="s">
        <v>9</v>
      </c>
      <c r="B170" s="1281"/>
      <c r="C170" s="62">
        <f>C171+C174+C177+C179+C181+C185+C190+C197</f>
        <v>46871000</v>
      </c>
      <c r="D170" s="165"/>
      <c r="E170" s="36"/>
      <c r="F170" s="21"/>
      <c r="G170" s="35"/>
      <c r="H170" s="35"/>
      <c r="I170" s="35"/>
      <c r="J170" s="35"/>
      <c r="K170" s="35"/>
      <c r="L170" s="35"/>
      <c r="M170" s="35"/>
      <c r="N170" s="35"/>
      <c r="O170" s="35"/>
      <c r="P170" s="35"/>
      <c r="Q170" s="35"/>
      <c r="R170" s="35"/>
      <c r="S170" s="35"/>
      <c r="T170" s="35"/>
      <c r="U170" s="35"/>
      <c r="V170" s="35"/>
      <c r="W170" s="35"/>
      <c r="X170" s="35"/>
    </row>
    <row r="171" spans="1:24" s="831" customFormat="1" ht="13.5" customHeight="1">
      <c r="A171" s="48">
        <v>211201</v>
      </c>
      <c r="B171" s="76" t="s">
        <v>459</v>
      </c>
      <c r="C171" s="49">
        <f>+SUM(C172:C173)</f>
        <v>14301500</v>
      </c>
      <c r="D171" s="836"/>
      <c r="E171" s="654"/>
      <c r="F171" s="48"/>
      <c r="G171" s="655"/>
      <c r="H171" s="655"/>
      <c r="I171" s="655"/>
      <c r="J171" s="655"/>
      <c r="K171" s="655"/>
      <c r="L171" s="655"/>
      <c r="M171" s="655"/>
      <c r="N171" s="655"/>
      <c r="O171" s="655"/>
      <c r="P171" s="655"/>
      <c r="Q171" s="655"/>
      <c r="R171" s="655"/>
      <c r="S171" s="655"/>
      <c r="T171" s="655"/>
      <c r="U171" s="655"/>
      <c r="V171" s="655"/>
      <c r="W171" s="655"/>
      <c r="X171" s="655"/>
    </row>
    <row r="172" spans="1:24" ht="13.5" customHeight="1">
      <c r="A172" s="33">
        <v>21120101</v>
      </c>
      <c r="B172" s="23" t="s">
        <v>460</v>
      </c>
      <c r="C172" s="25">
        <v>518000</v>
      </c>
      <c r="D172" s="115"/>
      <c r="E172" s="117"/>
      <c r="F172" s="33"/>
      <c r="G172" s="92"/>
      <c r="H172" s="92"/>
      <c r="I172" s="92"/>
      <c r="J172" s="92"/>
      <c r="K172" s="92"/>
      <c r="L172" s="92"/>
      <c r="M172" s="92"/>
      <c r="N172" s="92"/>
      <c r="O172" s="92"/>
      <c r="P172" s="92"/>
      <c r="Q172" s="92"/>
      <c r="R172" s="92"/>
      <c r="S172" s="92"/>
      <c r="T172" s="92"/>
      <c r="U172" s="92"/>
      <c r="V172" s="92"/>
      <c r="W172" s="92"/>
      <c r="X172" s="92"/>
    </row>
    <row r="173" spans="1:24" ht="13.5" customHeight="1">
      <c r="A173" s="33">
        <v>21120103</v>
      </c>
      <c r="B173" s="23" t="s">
        <v>587</v>
      </c>
      <c r="C173" s="51">
        <f>10000000+3783500</f>
        <v>13783500</v>
      </c>
      <c r="D173" s="165"/>
      <c r="E173" s="72"/>
      <c r="F173" s="21"/>
      <c r="G173" s="3"/>
      <c r="H173" s="35"/>
      <c r="I173" s="35"/>
      <c r="J173" s="35"/>
      <c r="K173" s="35"/>
      <c r="L173" s="35"/>
      <c r="M173" s="35"/>
      <c r="N173" s="35"/>
      <c r="O173" s="35"/>
      <c r="P173" s="35"/>
      <c r="Q173" s="35"/>
      <c r="R173" s="35"/>
      <c r="S173" s="35"/>
      <c r="T173" s="35"/>
      <c r="U173" s="35"/>
      <c r="V173" s="35"/>
      <c r="W173" s="35"/>
      <c r="X173" s="35"/>
    </row>
    <row r="174" spans="1:24" s="831" customFormat="1" ht="13.5" customHeight="1">
      <c r="A174" s="48">
        <v>211202</v>
      </c>
      <c r="B174" s="15" t="s">
        <v>529</v>
      </c>
      <c r="C174" s="26">
        <f>SUM(C175:C176)</f>
        <v>230000</v>
      </c>
      <c r="D174" s="157"/>
      <c r="E174" s="49"/>
      <c r="F174" s="26"/>
      <c r="G174" s="832"/>
      <c r="H174" s="21"/>
      <c r="I174" s="21"/>
      <c r="J174" s="21"/>
      <c r="K174" s="21"/>
      <c r="L174" s="21"/>
      <c r="M174" s="21"/>
      <c r="N174" s="21"/>
      <c r="O174" s="21"/>
      <c r="P174" s="21"/>
      <c r="Q174" s="21"/>
      <c r="R174" s="21"/>
      <c r="S174" s="21"/>
      <c r="T174" s="21"/>
      <c r="U174" s="21"/>
      <c r="V174" s="21"/>
      <c r="W174" s="21"/>
      <c r="X174" s="21"/>
    </row>
    <row r="175" spans="1:24" ht="13.5" customHeight="1">
      <c r="A175" s="33">
        <v>21120202</v>
      </c>
      <c r="B175" s="13" t="s">
        <v>530</v>
      </c>
      <c r="C175" s="51">
        <v>80000</v>
      </c>
      <c r="D175" s="148"/>
      <c r="E175" s="23"/>
      <c r="F175" s="26"/>
      <c r="G175" s="63"/>
      <c r="H175" s="23"/>
      <c r="I175" s="23"/>
      <c r="J175" s="23"/>
      <c r="K175" s="23"/>
      <c r="L175" s="23"/>
      <c r="M175" s="23"/>
      <c r="N175" s="23"/>
      <c r="O175" s="23"/>
      <c r="P175" s="23"/>
      <c r="Q175" s="23"/>
      <c r="R175" s="23"/>
      <c r="S175" s="23"/>
      <c r="T175" s="23"/>
      <c r="U175" s="23"/>
      <c r="V175" s="23"/>
      <c r="W175" s="23"/>
      <c r="X175" s="23"/>
    </row>
    <row r="176" spans="1:24" ht="13.5" customHeight="1">
      <c r="A176" s="33">
        <v>21120203</v>
      </c>
      <c r="B176" s="13" t="s">
        <v>564</v>
      </c>
      <c r="C176" s="24">
        <v>150000</v>
      </c>
      <c r="D176" s="148"/>
      <c r="E176" s="32"/>
      <c r="F176" s="26"/>
      <c r="G176" s="63"/>
      <c r="H176" s="23"/>
      <c r="I176" s="23"/>
      <c r="J176" s="23"/>
      <c r="K176" s="23"/>
      <c r="L176" s="23"/>
      <c r="M176" s="23"/>
      <c r="N176" s="23"/>
      <c r="O176" s="23"/>
      <c r="P176" s="23"/>
      <c r="Q176" s="23"/>
      <c r="R176" s="23"/>
      <c r="S176" s="23"/>
      <c r="T176" s="23"/>
      <c r="U176" s="23"/>
      <c r="V176" s="23"/>
      <c r="W176" s="23"/>
      <c r="X176" s="23"/>
    </row>
    <row r="177" spans="1:24" s="831" customFormat="1" ht="13.5" customHeight="1">
      <c r="A177" s="48">
        <v>211203</v>
      </c>
      <c r="B177" s="21" t="s">
        <v>461</v>
      </c>
      <c r="C177" s="26">
        <f>C178</f>
        <v>400000</v>
      </c>
      <c r="D177" s="37"/>
      <c r="E177" s="26"/>
      <c r="F177" s="36"/>
      <c r="G177" s="39"/>
      <c r="H177" s="38"/>
      <c r="I177" s="38"/>
      <c r="J177" s="38"/>
      <c r="K177" s="38"/>
      <c r="L177" s="38"/>
      <c r="M177" s="38"/>
      <c r="N177" s="38"/>
      <c r="O177" s="38"/>
      <c r="P177" s="38"/>
      <c r="Q177" s="38"/>
      <c r="R177" s="38"/>
      <c r="S177" s="38"/>
      <c r="T177" s="38"/>
      <c r="U177" s="38"/>
      <c r="V177" s="38"/>
      <c r="W177" s="38"/>
      <c r="X177" s="38"/>
    </row>
    <row r="178" spans="1:24" ht="13.5" customHeight="1">
      <c r="A178" s="33">
        <v>21120302</v>
      </c>
      <c r="B178" s="23" t="s">
        <v>462</v>
      </c>
      <c r="C178" s="24">
        <v>400000</v>
      </c>
      <c r="D178" s="146"/>
      <c r="E178" s="25"/>
      <c r="F178" s="26"/>
      <c r="G178" s="63"/>
      <c r="H178" s="23"/>
      <c r="I178" s="23"/>
      <c r="J178" s="23"/>
      <c r="K178" s="23"/>
      <c r="L178" s="23"/>
      <c r="M178" s="23"/>
      <c r="N178" s="23"/>
      <c r="O178" s="23"/>
      <c r="P178" s="23"/>
      <c r="Q178" s="23"/>
      <c r="R178" s="23"/>
      <c r="S178" s="23"/>
      <c r="T178" s="23"/>
      <c r="U178" s="23"/>
      <c r="V178" s="23"/>
      <c r="W178" s="23"/>
      <c r="X178" s="23"/>
    </row>
    <row r="179" spans="1:24" s="831" customFormat="1" ht="13.5" customHeight="1">
      <c r="A179" s="48">
        <v>211204</v>
      </c>
      <c r="B179" s="21" t="s">
        <v>463</v>
      </c>
      <c r="C179" s="26">
        <f>C180</f>
        <v>685000</v>
      </c>
      <c r="D179" s="37"/>
      <c r="E179" s="49"/>
      <c r="F179" s="26"/>
      <c r="G179" s="832"/>
      <c r="H179" s="21"/>
      <c r="I179" s="21"/>
      <c r="J179" s="21"/>
      <c r="K179" s="21"/>
      <c r="L179" s="21"/>
      <c r="M179" s="21"/>
      <c r="N179" s="21"/>
      <c r="O179" s="21"/>
      <c r="P179" s="21"/>
      <c r="Q179" s="21"/>
      <c r="R179" s="21"/>
      <c r="S179" s="21"/>
      <c r="T179" s="21"/>
      <c r="U179" s="21"/>
      <c r="V179" s="21"/>
      <c r="W179" s="21"/>
      <c r="X179" s="21"/>
    </row>
    <row r="180" spans="1:24" ht="13.5" customHeight="1">
      <c r="A180" s="33">
        <v>21120401</v>
      </c>
      <c r="B180" s="24" t="s">
        <v>464</v>
      </c>
      <c r="C180" s="24">
        <v>685000</v>
      </c>
      <c r="D180" s="148"/>
      <c r="E180" s="25"/>
      <c r="F180" s="26"/>
      <c r="G180" s="63"/>
      <c r="H180" s="23"/>
      <c r="I180" s="23"/>
      <c r="J180" s="23"/>
      <c r="K180" s="23"/>
      <c r="L180" s="23"/>
      <c r="M180" s="23"/>
      <c r="N180" s="23"/>
      <c r="O180" s="23"/>
      <c r="P180" s="23"/>
      <c r="Q180" s="23"/>
      <c r="R180" s="23"/>
      <c r="S180" s="23"/>
      <c r="T180" s="23"/>
      <c r="U180" s="23"/>
      <c r="V180" s="23"/>
      <c r="W180" s="23"/>
      <c r="X180" s="23"/>
    </row>
    <row r="181" spans="1:24" s="831" customFormat="1" ht="13.5" customHeight="1">
      <c r="A181" s="48">
        <v>211205</v>
      </c>
      <c r="B181" s="26" t="s">
        <v>465</v>
      </c>
      <c r="C181" s="26">
        <f>+SUM(C182:C184)</f>
        <v>13278500</v>
      </c>
      <c r="D181" s="157"/>
      <c r="E181" s="49"/>
      <c r="F181" s="26"/>
      <c r="G181" s="832"/>
      <c r="H181" s="21"/>
      <c r="I181" s="21"/>
      <c r="J181" s="21"/>
      <c r="K181" s="21"/>
      <c r="L181" s="21"/>
      <c r="M181" s="21"/>
      <c r="N181" s="21"/>
      <c r="O181" s="21"/>
      <c r="P181" s="21"/>
      <c r="Q181" s="21"/>
      <c r="R181" s="21"/>
      <c r="S181" s="21"/>
      <c r="T181" s="21"/>
      <c r="U181" s="21"/>
      <c r="V181" s="21"/>
      <c r="W181" s="21"/>
      <c r="X181" s="21"/>
    </row>
    <row r="182" spans="1:24" ht="13.5" customHeight="1">
      <c r="A182" s="33">
        <v>21120501</v>
      </c>
      <c r="B182" s="23" t="s">
        <v>466</v>
      </c>
      <c r="C182" s="51">
        <f>10946000-2000000</f>
        <v>8946000</v>
      </c>
      <c r="D182" s="148"/>
      <c r="E182" s="25"/>
      <c r="F182" s="26"/>
      <c r="G182" s="63"/>
      <c r="H182" s="23"/>
      <c r="I182" s="23"/>
      <c r="J182" s="23"/>
      <c r="K182" s="23"/>
      <c r="L182" s="23"/>
      <c r="M182" s="23"/>
      <c r="N182" s="23"/>
      <c r="O182" s="23"/>
      <c r="P182" s="23"/>
      <c r="Q182" s="23"/>
      <c r="R182" s="23"/>
      <c r="S182" s="23"/>
      <c r="T182" s="23"/>
      <c r="U182" s="23"/>
      <c r="V182" s="23"/>
      <c r="W182" s="23"/>
      <c r="X182" s="23"/>
    </row>
    <row r="183" spans="1:24" ht="13.5" customHeight="1">
      <c r="A183" s="33">
        <v>21120504</v>
      </c>
      <c r="B183" s="23" t="s">
        <v>588</v>
      </c>
      <c r="C183" s="24">
        <f>2000000+200000</f>
        <v>2200000</v>
      </c>
      <c r="D183" s="37"/>
      <c r="E183" s="26"/>
      <c r="F183" s="72"/>
      <c r="G183" s="126"/>
      <c r="H183" s="35"/>
      <c r="I183" s="35"/>
      <c r="J183" s="35"/>
      <c r="K183" s="35"/>
      <c r="L183" s="35"/>
      <c r="M183" s="35"/>
      <c r="N183" s="35"/>
      <c r="O183" s="35"/>
      <c r="P183" s="35"/>
      <c r="Q183" s="35"/>
      <c r="R183" s="35"/>
      <c r="S183" s="35"/>
      <c r="T183" s="35"/>
      <c r="U183" s="35"/>
      <c r="V183" s="35"/>
      <c r="W183" s="35"/>
      <c r="X183" s="35"/>
    </row>
    <row r="184" spans="1:24" ht="13.5" customHeight="1">
      <c r="A184" s="33">
        <v>21120505</v>
      </c>
      <c r="B184" s="23" t="s">
        <v>573</v>
      </c>
      <c r="C184" s="24">
        <f>2000000+132500</f>
        <v>2132500</v>
      </c>
      <c r="D184" s="37"/>
      <c r="E184" s="26"/>
      <c r="F184" s="72"/>
      <c r="G184" s="126"/>
      <c r="H184" s="35"/>
      <c r="I184" s="35"/>
      <c r="J184" s="35"/>
      <c r="K184" s="35"/>
      <c r="L184" s="35"/>
      <c r="M184" s="35"/>
      <c r="N184" s="35"/>
      <c r="O184" s="35"/>
      <c r="P184" s="35"/>
      <c r="Q184" s="35"/>
      <c r="R184" s="35"/>
      <c r="S184" s="35"/>
      <c r="T184" s="35"/>
      <c r="U184" s="35"/>
      <c r="V184" s="35"/>
      <c r="W184" s="35"/>
      <c r="X184" s="35"/>
    </row>
    <row r="185" spans="1:24" s="831" customFormat="1" ht="12.75" customHeight="1">
      <c r="A185" s="48">
        <v>211207</v>
      </c>
      <c r="B185" s="21" t="s">
        <v>467</v>
      </c>
      <c r="C185" s="26">
        <f>+SUM(C186:C189)</f>
        <v>4502000</v>
      </c>
      <c r="D185" s="37"/>
      <c r="E185" s="42"/>
      <c r="F185" s="42"/>
      <c r="G185" s="832"/>
      <c r="H185" s="42"/>
      <c r="I185" s="42"/>
      <c r="J185" s="42"/>
      <c r="K185" s="42"/>
      <c r="L185" s="42"/>
      <c r="M185" s="42"/>
      <c r="N185" s="42"/>
      <c r="O185" s="42"/>
      <c r="P185" s="42"/>
      <c r="Q185" s="42"/>
      <c r="R185" s="42"/>
      <c r="S185" s="42"/>
      <c r="T185" s="42"/>
      <c r="U185" s="42"/>
      <c r="V185" s="42"/>
      <c r="W185" s="42"/>
      <c r="X185" s="42"/>
    </row>
    <row r="186" spans="1:24" ht="13.5" customHeight="1">
      <c r="A186" s="33">
        <v>21120701</v>
      </c>
      <c r="B186" s="24" t="s">
        <v>541</v>
      </c>
      <c r="C186" s="51">
        <f>1000000+200000</f>
        <v>1200000</v>
      </c>
      <c r="D186" s="146"/>
      <c r="E186" s="24"/>
      <c r="F186" s="23"/>
      <c r="G186" s="63"/>
      <c r="H186" s="23"/>
      <c r="I186" s="23"/>
      <c r="J186" s="23"/>
      <c r="K186" s="23"/>
      <c r="L186" s="23"/>
      <c r="M186" s="23"/>
      <c r="N186" s="23"/>
      <c r="O186" s="23"/>
      <c r="P186" s="23"/>
      <c r="Q186" s="23"/>
      <c r="R186" s="23"/>
      <c r="S186" s="23"/>
      <c r="T186" s="23"/>
      <c r="U186" s="23"/>
      <c r="V186" s="23"/>
      <c r="W186" s="23"/>
      <c r="X186" s="23"/>
    </row>
    <row r="187" spans="1:24" ht="13.5" customHeight="1">
      <c r="A187" s="33">
        <v>21120704</v>
      </c>
      <c r="B187" s="23" t="s">
        <v>469</v>
      </c>
      <c r="C187" s="51">
        <v>2665000</v>
      </c>
      <c r="D187" s="146"/>
      <c r="E187" s="3"/>
      <c r="F187" s="4"/>
      <c r="G187" s="156"/>
      <c r="H187" s="4"/>
      <c r="I187" s="4"/>
      <c r="J187" s="4"/>
      <c r="K187" s="4"/>
      <c r="L187" s="4"/>
      <c r="M187" s="4"/>
      <c r="N187" s="4"/>
      <c r="O187" s="4"/>
      <c r="P187" s="4"/>
      <c r="Q187" s="4"/>
      <c r="R187" s="4"/>
      <c r="S187" s="4"/>
      <c r="T187" s="4"/>
      <c r="U187" s="4"/>
      <c r="V187" s="4"/>
      <c r="W187" s="4"/>
      <c r="X187" s="4"/>
    </row>
    <row r="188" spans="1:24" ht="13.5" customHeight="1">
      <c r="A188" s="33">
        <v>21120705</v>
      </c>
      <c r="B188" s="23" t="s">
        <v>583</v>
      </c>
      <c r="C188" s="51">
        <v>569000</v>
      </c>
      <c r="D188" s="146"/>
      <c r="E188" s="4"/>
      <c r="F188" s="4"/>
      <c r="G188" s="156"/>
      <c r="H188" s="4"/>
      <c r="I188" s="4"/>
      <c r="J188" s="4"/>
      <c r="K188" s="4"/>
      <c r="L188" s="4"/>
      <c r="M188" s="4"/>
      <c r="N188" s="4"/>
      <c r="O188" s="4"/>
      <c r="P188" s="4"/>
      <c r="Q188" s="4"/>
      <c r="R188" s="4"/>
      <c r="S188" s="4"/>
      <c r="T188" s="4"/>
      <c r="U188" s="4"/>
      <c r="V188" s="4"/>
      <c r="W188" s="4"/>
      <c r="X188" s="4"/>
    </row>
    <row r="189" spans="1:24" ht="13.5" customHeight="1">
      <c r="A189" s="33">
        <v>21120706</v>
      </c>
      <c r="B189" s="23" t="s">
        <v>542</v>
      </c>
      <c r="C189" s="51">
        <v>68000</v>
      </c>
      <c r="D189" s="148"/>
      <c r="E189" s="24"/>
      <c r="F189" s="23"/>
      <c r="G189" s="63"/>
      <c r="H189" s="23"/>
      <c r="I189" s="23"/>
      <c r="J189" s="23"/>
      <c r="K189" s="23"/>
      <c r="L189" s="23"/>
      <c r="M189" s="23"/>
      <c r="N189" s="23"/>
      <c r="O189" s="23"/>
      <c r="P189" s="23"/>
      <c r="Q189" s="23"/>
      <c r="R189" s="23"/>
      <c r="S189" s="23"/>
      <c r="T189" s="23"/>
      <c r="U189" s="23"/>
      <c r="V189" s="23"/>
      <c r="W189" s="23"/>
      <c r="X189" s="23"/>
    </row>
    <row r="190" spans="1:24" s="831" customFormat="1" ht="13.5" customHeight="1">
      <c r="A190" s="48">
        <v>211208</v>
      </c>
      <c r="B190" s="26" t="s">
        <v>474</v>
      </c>
      <c r="C190" s="26">
        <f>+SUM(C191:C196)</f>
        <v>2460500</v>
      </c>
      <c r="D190" s="37"/>
      <c r="E190" s="26"/>
      <c r="F190" s="21"/>
      <c r="G190" s="832"/>
      <c r="H190" s="21"/>
      <c r="I190" s="21"/>
      <c r="J190" s="21"/>
      <c r="K190" s="21"/>
      <c r="L190" s="21"/>
      <c r="M190" s="21"/>
      <c r="N190" s="21"/>
      <c r="O190" s="21"/>
      <c r="P190" s="21"/>
      <c r="Q190" s="21"/>
      <c r="R190" s="21"/>
      <c r="S190" s="21"/>
      <c r="T190" s="21"/>
      <c r="U190" s="21"/>
      <c r="V190" s="21"/>
      <c r="W190" s="21"/>
      <c r="X190" s="21"/>
    </row>
    <row r="191" spans="1:24" ht="13.5" customHeight="1">
      <c r="A191" s="33">
        <v>21120802</v>
      </c>
      <c r="B191" s="24" t="s">
        <v>589</v>
      </c>
      <c r="C191" s="24">
        <v>45000</v>
      </c>
      <c r="D191" s="146"/>
      <c r="E191" s="3"/>
      <c r="F191" s="23"/>
      <c r="G191" s="63"/>
      <c r="H191" s="23"/>
      <c r="I191" s="23"/>
      <c r="J191" s="23"/>
      <c r="K191" s="23"/>
      <c r="L191" s="23"/>
      <c r="M191" s="23"/>
      <c r="N191" s="23"/>
      <c r="O191" s="23"/>
      <c r="P191" s="23"/>
      <c r="Q191" s="23"/>
      <c r="R191" s="23"/>
      <c r="S191" s="23"/>
      <c r="T191" s="23"/>
      <c r="U191" s="23"/>
      <c r="V191" s="23"/>
      <c r="W191" s="23"/>
      <c r="X191" s="23"/>
    </row>
    <row r="192" spans="1:24" ht="13.5" customHeight="1">
      <c r="A192" s="33">
        <v>21120803</v>
      </c>
      <c r="B192" s="24" t="s">
        <v>517</v>
      </c>
      <c r="C192" s="51">
        <v>90000</v>
      </c>
      <c r="D192" s="146"/>
      <c r="E192" s="32"/>
      <c r="F192" s="23"/>
      <c r="G192" s="63"/>
      <c r="H192" s="23"/>
      <c r="I192" s="23"/>
      <c r="J192" s="23"/>
      <c r="K192" s="23"/>
      <c r="L192" s="23"/>
      <c r="M192" s="23"/>
      <c r="N192" s="23"/>
      <c r="O192" s="23"/>
      <c r="P192" s="23"/>
      <c r="Q192" s="23"/>
      <c r="R192" s="23"/>
      <c r="S192" s="23"/>
      <c r="T192" s="23"/>
      <c r="U192" s="23"/>
      <c r="V192" s="23"/>
      <c r="W192" s="23"/>
      <c r="X192" s="23"/>
    </row>
    <row r="193" spans="1:24" ht="13.5" customHeight="1">
      <c r="A193" s="33">
        <v>21120804</v>
      </c>
      <c r="B193" s="23" t="s">
        <v>590</v>
      </c>
      <c r="C193" s="24">
        <v>120500</v>
      </c>
      <c r="D193" s="146"/>
      <c r="E193" s="24"/>
      <c r="F193" s="23"/>
      <c r="G193" s="63"/>
      <c r="H193" s="23"/>
      <c r="I193" s="23"/>
      <c r="J193" s="23"/>
      <c r="K193" s="23"/>
      <c r="L193" s="23"/>
      <c r="M193" s="23"/>
      <c r="N193" s="23"/>
      <c r="O193" s="23"/>
      <c r="P193" s="23"/>
      <c r="Q193" s="23"/>
      <c r="R193" s="23"/>
      <c r="S193" s="23"/>
      <c r="T193" s="23"/>
      <c r="U193" s="23"/>
      <c r="V193" s="23"/>
      <c r="W193" s="23"/>
      <c r="X193" s="23"/>
    </row>
    <row r="194" spans="1:24" ht="13.5" customHeight="1">
      <c r="A194" s="33">
        <v>21120805</v>
      </c>
      <c r="B194" s="24" t="s">
        <v>476</v>
      </c>
      <c r="C194" s="51">
        <v>603000</v>
      </c>
      <c r="D194" s="146"/>
      <c r="E194" s="4"/>
      <c r="F194" s="4"/>
      <c r="G194" s="156"/>
      <c r="H194" s="4"/>
      <c r="I194" s="4"/>
      <c r="J194" s="4"/>
      <c r="K194" s="4"/>
      <c r="L194" s="4"/>
      <c r="M194" s="4"/>
      <c r="N194" s="4"/>
      <c r="O194" s="4"/>
      <c r="P194" s="4"/>
      <c r="Q194" s="4"/>
      <c r="R194" s="4"/>
      <c r="S194" s="4"/>
      <c r="T194" s="4"/>
      <c r="U194" s="4"/>
      <c r="V194" s="4"/>
      <c r="W194" s="4"/>
      <c r="X194" s="4"/>
    </row>
    <row r="195" spans="1:24" ht="13.5" customHeight="1">
      <c r="A195" s="33">
        <v>21120806</v>
      </c>
      <c r="B195" s="13" t="s">
        <v>534</v>
      </c>
      <c r="C195" s="24">
        <v>35000</v>
      </c>
      <c r="D195" s="146"/>
      <c r="E195" s="4"/>
      <c r="F195" s="4"/>
      <c r="G195" s="156"/>
      <c r="H195" s="4"/>
      <c r="I195" s="4"/>
      <c r="J195" s="4"/>
      <c r="K195" s="4"/>
      <c r="L195" s="4"/>
      <c r="M195" s="4"/>
      <c r="N195" s="4"/>
      <c r="O195" s="4"/>
      <c r="P195" s="4"/>
      <c r="Q195" s="4"/>
      <c r="R195" s="4"/>
      <c r="S195" s="4"/>
      <c r="T195" s="4"/>
      <c r="U195" s="4"/>
      <c r="V195" s="4"/>
      <c r="W195" s="4"/>
      <c r="X195" s="4"/>
    </row>
    <row r="196" spans="1:24" ht="13.5" customHeight="1">
      <c r="A196" s="33">
        <v>21120807</v>
      </c>
      <c r="B196" s="13" t="s">
        <v>591</v>
      </c>
      <c r="C196" s="24">
        <f>1500000+67000</f>
        <v>1567000</v>
      </c>
      <c r="D196" s="37"/>
      <c r="E196" s="3"/>
      <c r="F196" s="35"/>
      <c r="G196" s="126"/>
      <c r="H196" s="35"/>
      <c r="I196" s="35"/>
      <c r="J196" s="35"/>
      <c r="K196" s="35"/>
      <c r="L196" s="35"/>
      <c r="M196" s="35"/>
      <c r="N196" s="35"/>
      <c r="O196" s="35"/>
      <c r="P196" s="35"/>
      <c r="Q196" s="35"/>
      <c r="R196" s="35"/>
      <c r="S196" s="35"/>
      <c r="T196" s="35"/>
      <c r="U196" s="35"/>
      <c r="V196" s="35"/>
      <c r="W196" s="35"/>
      <c r="X196" s="35"/>
    </row>
    <row r="197" spans="1:24" s="831" customFormat="1" ht="13.5" customHeight="1">
      <c r="A197" s="48">
        <v>211209</v>
      </c>
      <c r="B197" s="26" t="s">
        <v>477</v>
      </c>
      <c r="C197" s="26">
        <f>+SUM(C198:C200)</f>
        <v>11013500</v>
      </c>
      <c r="D197" s="37"/>
      <c r="E197" s="2"/>
      <c r="F197" s="38"/>
      <c r="G197" s="39"/>
      <c r="H197" s="38"/>
      <c r="I197" s="38"/>
      <c r="J197" s="38"/>
      <c r="K197" s="38"/>
      <c r="L197" s="38"/>
      <c r="M197" s="38"/>
      <c r="N197" s="38"/>
      <c r="O197" s="38"/>
      <c r="P197" s="38"/>
      <c r="Q197" s="38"/>
      <c r="R197" s="38"/>
      <c r="S197" s="38"/>
      <c r="T197" s="38"/>
      <c r="U197" s="38"/>
      <c r="V197" s="38"/>
      <c r="W197" s="38"/>
      <c r="X197" s="38"/>
    </row>
    <row r="198" spans="1:24" ht="13.5" customHeight="1">
      <c r="A198" s="33">
        <v>21120901</v>
      </c>
      <c r="B198" s="24" t="s">
        <v>478</v>
      </c>
      <c r="C198" s="51">
        <f>5000000+1664000</f>
        <v>6664000</v>
      </c>
      <c r="D198" s="148"/>
      <c r="E198" s="3"/>
      <c r="F198" s="23"/>
      <c r="G198" s="63"/>
      <c r="H198" s="23"/>
      <c r="I198" s="23"/>
      <c r="J198" s="23"/>
      <c r="K198" s="23"/>
      <c r="L198" s="23"/>
      <c r="M198" s="23"/>
      <c r="N198" s="23"/>
      <c r="O198" s="23"/>
      <c r="P198" s="23"/>
      <c r="Q198" s="23"/>
      <c r="R198" s="23"/>
      <c r="S198" s="23"/>
      <c r="T198" s="23"/>
      <c r="U198" s="23"/>
      <c r="V198" s="23"/>
      <c r="W198" s="23"/>
      <c r="X198" s="23"/>
    </row>
    <row r="199" spans="1:24" ht="13.5" customHeight="1">
      <c r="A199" s="33">
        <v>21120906</v>
      </c>
      <c r="B199" s="24" t="s">
        <v>479</v>
      </c>
      <c r="C199" s="24">
        <f>3000000+71000</f>
        <v>3071000</v>
      </c>
      <c r="D199" s="37"/>
      <c r="E199" s="151"/>
      <c r="F199" s="151"/>
      <c r="G199" s="153"/>
      <c r="H199" s="151"/>
      <c r="I199" s="151"/>
      <c r="J199" s="151"/>
      <c r="K199" s="151"/>
      <c r="L199" s="151"/>
      <c r="M199" s="151"/>
      <c r="N199" s="151"/>
      <c r="O199" s="151"/>
      <c r="P199" s="151"/>
      <c r="Q199" s="151"/>
      <c r="R199" s="151"/>
      <c r="S199" s="151"/>
      <c r="T199" s="151"/>
      <c r="U199" s="151"/>
      <c r="V199" s="151"/>
      <c r="W199" s="151"/>
      <c r="X199" s="151"/>
    </row>
    <row r="200" spans="1:24" ht="13.5" customHeight="1">
      <c r="A200" s="33">
        <v>21120907</v>
      </c>
      <c r="B200" s="13" t="s">
        <v>480</v>
      </c>
      <c r="C200" s="43">
        <f>2778500-1500000</f>
        <v>1278500</v>
      </c>
      <c r="D200" s="30"/>
      <c r="E200" s="8"/>
      <c r="F200" s="8"/>
      <c r="G200" s="8"/>
      <c r="H200" s="8"/>
      <c r="I200" s="8"/>
      <c r="J200" s="8"/>
      <c r="K200" s="8"/>
      <c r="L200" s="8"/>
      <c r="M200" s="8"/>
      <c r="N200" s="8"/>
      <c r="O200" s="8"/>
      <c r="P200" s="8"/>
      <c r="Q200" s="8"/>
      <c r="R200" s="8"/>
      <c r="S200" s="8"/>
      <c r="T200" s="8"/>
      <c r="U200" s="8"/>
      <c r="V200" s="8"/>
      <c r="W200" s="8"/>
      <c r="X200" s="8"/>
    </row>
    <row r="201" spans="1:24" ht="13.5" customHeight="1" thickBot="1">
      <c r="A201" s="23"/>
      <c r="B201" s="23"/>
      <c r="C201" s="24"/>
      <c r="D201" s="37"/>
      <c r="E201" s="35"/>
      <c r="F201" s="166"/>
      <c r="G201" s="126"/>
      <c r="H201" s="35"/>
      <c r="I201" s="35"/>
      <c r="J201" s="35"/>
      <c r="K201" s="35"/>
      <c r="L201" s="35"/>
      <c r="M201" s="35"/>
      <c r="N201" s="35"/>
      <c r="O201" s="35"/>
      <c r="P201" s="35"/>
      <c r="Q201" s="35"/>
      <c r="R201" s="35"/>
      <c r="S201" s="35"/>
      <c r="T201" s="35"/>
      <c r="U201" s="35"/>
      <c r="V201" s="35"/>
      <c r="W201" s="35"/>
      <c r="X201" s="35"/>
    </row>
    <row r="202" spans="1:24" ht="13.5" customHeight="1" thickBot="1">
      <c r="A202" s="1298" t="s">
        <v>4</v>
      </c>
      <c r="B202" s="1281"/>
      <c r="C202" s="64">
        <f>C203+C207+C213+C216+C219+C222+C224</f>
        <v>141949500</v>
      </c>
      <c r="D202" s="165"/>
      <c r="E202" s="143"/>
      <c r="F202" s="36"/>
      <c r="G202" s="21"/>
      <c r="H202" s="35"/>
      <c r="I202" s="35"/>
      <c r="J202" s="35"/>
      <c r="K202" s="35"/>
      <c r="L202" s="35"/>
      <c r="M202" s="35"/>
      <c r="N202" s="35"/>
      <c r="O202" s="35"/>
      <c r="P202" s="35"/>
      <c r="Q202" s="35"/>
      <c r="R202" s="35"/>
      <c r="S202" s="35"/>
      <c r="T202" s="35"/>
      <c r="U202" s="35"/>
      <c r="V202" s="35"/>
      <c r="W202" s="35"/>
      <c r="X202" s="35"/>
    </row>
    <row r="203" spans="1:24" s="831" customFormat="1" ht="13.5" customHeight="1">
      <c r="A203" s="48">
        <v>211302</v>
      </c>
      <c r="B203" s="76" t="s">
        <v>481</v>
      </c>
      <c r="C203" s="155">
        <f>+SUM(C204:C206)</f>
        <v>78672000</v>
      </c>
      <c r="D203" s="836"/>
      <c r="E203" s="654"/>
      <c r="F203" s="654"/>
      <c r="G203" s="48"/>
      <c r="H203" s="655"/>
      <c r="I203" s="655"/>
      <c r="J203" s="655"/>
      <c r="K203" s="655"/>
      <c r="L203" s="655"/>
      <c r="M203" s="655"/>
      <c r="N203" s="655"/>
      <c r="O203" s="655"/>
      <c r="P203" s="655"/>
      <c r="Q203" s="655"/>
      <c r="R203" s="655"/>
      <c r="S203" s="655"/>
      <c r="T203" s="655"/>
      <c r="U203" s="655"/>
      <c r="V203" s="655"/>
      <c r="W203" s="655"/>
      <c r="X203" s="655"/>
    </row>
    <row r="204" spans="1:24" ht="13.5" customHeight="1">
      <c r="A204" s="33">
        <v>21130202</v>
      </c>
      <c r="B204" s="13" t="s">
        <v>592</v>
      </c>
      <c r="C204" s="114">
        <v>69095500</v>
      </c>
      <c r="D204" s="115"/>
      <c r="E204" s="117"/>
      <c r="F204" s="117"/>
      <c r="G204" s="33"/>
      <c r="H204" s="92"/>
      <c r="I204" s="92"/>
      <c r="J204" s="92"/>
      <c r="K204" s="92"/>
      <c r="L204" s="92"/>
      <c r="M204" s="92"/>
      <c r="N204" s="92"/>
      <c r="O204" s="92"/>
      <c r="P204" s="92"/>
      <c r="Q204" s="92"/>
      <c r="R204" s="92"/>
      <c r="S204" s="92"/>
      <c r="T204" s="92"/>
      <c r="U204" s="92"/>
      <c r="V204" s="92"/>
      <c r="W204" s="92"/>
      <c r="X204" s="92"/>
    </row>
    <row r="205" spans="1:24" ht="13.5" customHeight="1">
      <c r="A205" s="33">
        <v>21130203</v>
      </c>
      <c r="B205" s="13" t="s">
        <v>555</v>
      </c>
      <c r="C205" s="114">
        <v>100000</v>
      </c>
      <c r="D205" s="115"/>
      <c r="E205" s="116"/>
      <c r="F205" s="117"/>
      <c r="G205" s="33"/>
      <c r="H205" s="92"/>
      <c r="I205" s="92"/>
      <c r="J205" s="92"/>
      <c r="K205" s="92"/>
      <c r="L205" s="92"/>
      <c r="M205" s="92"/>
      <c r="N205" s="92"/>
      <c r="O205" s="92"/>
      <c r="P205" s="92"/>
      <c r="Q205" s="92"/>
      <c r="R205" s="92"/>
      <c r="S205" s="92"/>
      <c r="T205" s="92"/>
      <c r="U205" s="92"/>
      <c r="V205" s="92"/>
      <c r="W205" s="92"/>
      <c r="X205" s="92"/>
    </row>
    <row r="206" spans="1:24" ht="13.5" customHeight="1">
      <c r="A206" s="33">
        <v>21130204</v>
      </c>
      <c r="B206" s="23" t="s">
        <v>483</v>
      </c>
      <c r="C206" s="24">
        <v>9476500</v>
      </c>
      <c r="D206" s="146"/>
      <c r="E206" s="32"/>
      <c r="F206" s="26"/>
      <c r="G206" s="33"/>
      <c r="H206" s="24"/>
      <c r="I206" s="23"/>
      <c r="J206" s="23"/>
      <c r="K206" s="23"/>
      <c r="L206" s="23"/>
      <c r="M206" s="23"/>
      <c r="N206" s="23"/>
      <c r="O206" s="23"/>
      <c r="P206" s="23"/>
      <c r="Q206" s="23"/>
      <c r="R206" s="23"/>
      <c r="S206" s="23"/>
      <c r="T206" s="23"/>
      <c r="U206" s="23"/>
      <c r="V206" s="23"/>
      <c r="W206" s="23"/>
      <c r="X206" s="23"/>
    </row>
    <row r="207" spans="1:24" s="831" customFormat="1" ht="13.5" customHeight="1">
      <c r="A207" s="48">
        <v>211303</v>
      </c>
      <c r="B207" s="21" t="s">
        <v>484</v>
      </c>
      <c r="C207" s="26">
        <f>+SUM(C208:C212)</f>
        <v>6363500</v>
      </c>
      <c r="D207" s="157"/>
      <c r="E207" s="26"/>
      <c r="F207" s="21"/>
      <c r="G207" s="832"/>
      <c r="H207" s="21"/>
      <c r="I207" s="21"/>
      <c r="J207" s="21"/>
      <c r="K207" s="21"/>
      <c r="L207" s="21"/>
      <c r="M207" s="21"/>
      <c r="N207" s="21"/>
      <c r="O207" s="21"/>
      <c r="P207" s="21"/>
      <c r="Q207" s="21"/>
      <c r="R207" s="21"/>
      <c r="S207" s="21"/>
      <c r="T207" s="21"/>
      <c r="U207" s="21"/>
      <c r="V207" s="21"/>
      <c r="W207" s="21"/>
      <c r="X207" s="21"/>
    </row>
    <row r="208" spans="1:24" ht="13.5" customHeight="1">
      <c r="A208" s="33">
        <v>21130301</v>
      </c>
      <c r="B208" s="23" t="s">
        <v>485</v>
      </c>
      <c r="C208" s="72">
        <v>2029500</v>
      </c>
      <c r="D208" s="148"/>
      <c r="E208" s="24"/>
      <c r="F208" s="23"/>
      <c r="G208" s="63"/>
      <c r="H208" s="23"/>
      <c r="I208" s="23"/>
      <c r="J208" s="23"/>
      <c r="K208" s="23"/>
      <c r="L208" s="23"/>
      <c r="M208" s="23"/>
      <c r="N208" s="23"/>
      <c r="O208" s="23"/>
      <c r="P208" s="23"/>
      <c r="Q208" s="23"/>
      <c r="R208" s="23"/>
      <c r="S208" s="23"/>
      <c r="T208" s="23"/>
      <c r="U208" s="23"/>
      <c r="V208" s="23"/>
      <c r="W208" s="23"/>
      <c r="X208" s="23"/>
    </row>
    <row r="209" spans="1:24" ht="13.5" customHeight="1">
      <c r="A209" s="33">
        <v>21130304</v>
      </c>
      <c r="B209" s="23" t="s">
        <v>486</v>
      </c>
      <c r="C209" s="72">
        <v>127500</v>
      </c>
      <c r="D209" s="37"/>
      <c r="E209" s="35"/>
      <c r="F209" s="35"/>
      <c r="G209" s="126"/>
      <c r="H209" s="35"/>
      <c r="I209" s="35"/>
      <c r="J209" s="35"/>
      <c r="K209" s="35"/>
      <c r="L209" s="35"/>
      <c r="M209" s="35"/>
      <c r="N209" s="35"/>
      <c r="O209" s="35"/>
      <c r="P209" s="35"/>
      <c r="Q209" s="35"/>
      <c r="R209" s="35"/>
      <c r="S209" s="35"/>
      <c r="T209" s="35"/>
      <c r="U209" s="35"/>
      <c r="V209" s="35"/>
      <c r="W209" s="35"/>
      <c r="X209" s="35"/>
    </row>
    <row r="210" spans="1:24" ht="13.5" customHeight="1">
      <c r="A210" s="33">
        <v>21130305</v>
      </c>
      <c r="B210" s="23" t="s">
        <v>577</v>
      </c>
      <c r="C210" s="72">
        <v>3881500</v>
      </c>
      <c r="D210" s="37"/>
      <c r="E210" s="35"/>
      <c r="F210" s="35"/>
      <c r="G210" s="126"/>
      <c r="H210" s="35"/>
      <c r="I210" s="35"/>
      <c r="J210" s="35"/>
      <c r="K210" s="35"/>
      <c r="L210" s="35"/>
      <c r="M210" s="35"/>
      <c r="N210" s="35"/>
      <c r="O210" s="35"/>
      <c r="P210" s="35"/>
      <c r="Q210" s="35"/>
      <c r="R210" s="35"/>
      <c r="S210" s="35"/>
      <c r="T210" s="35"/>
      <c r="U210" s="35"/>
      <c r="V210" s="35"/>
      <c r="W210" s="35"/>
      <c r="X210" s="35"/>
    </row>
    <row r="211" spans="1:24" ht="13.5" customHeight="1">
      <c r="A211" s="33">
        <v>21130306</v>
      </c>
      <c r="B211" s="23" t="s">
        <v>487</v>
      </c>
      <c r="C211" s="72">
        <v>11000</v>
      </c>
      <c r="D211" s="165"/>
      <c r="E211" s="35"/>
      <c r="F211" s="35"/>
      <c r="G211" s="126"/>
      <c r="H211" s="35"/>
      <c r="I211" s="35"/>
      <c r="J211" s="35"/>
      <c r="K211" s="35"/>
      <c r="L211" s="35"/>
      <c r="M211" s="35"/>
      <c r="N211" s="35"/>
      <c r="O211" s="35"/>
      <c r="P211" s="35"/>
      <c r="Q211" s="35"/>
      <c r="R211" s="35"/>
      <c r="S211" s="35"/>
      <c r="T211" s="35"/>
      <c r="U211" s="35"/>
      <c r="V211" s="35"/>
      <c r="W211" s="35"/>
      <c r="X211" s="35"/>
    </row>
    <row r="212" spans="1:24" ht="13.5" customHeight="1">
      <c r="A212" s="33">
        <v>21130307</v>
      </c>
      <c r="B212" s="23" t="s">
        <v>488</v>
      </c>
      <c r="C212" s="51">
        <v>314000</v>
      </c>
      <c r="D212" s="146"/>
      <c r="E212" s="4"/>
      <c r="F212" s="4"/>
      <c r="G212" s="156"/>
      <c r="H212" s="4"/>
      <c r="I212" s="4"/>
      <c r="J212" s="4"/>
      <c r="K212" s="4"/>
      <c r="L212" s="4"/>
      <c r="M212" s="4"/>
      <c r="N212" s="4"/>
      <c r="O212" s="4"/>
      <c r="P212" s="4"/>
      <c r="Q212" s="4"/>
      <c r="R212" s="4"/>
      <c r="S212" s="4"/>
      <c r="T212" s="4"/>
      <c r="U212" s="4"/>
      <c r="V212" s="4"/>
      <c r="W212" s="4"/>
      <c r="X212" s="4"/>
    </row>
    <row r="213" spans="1:24" s="831" customFormat="1" ht="13.5" customHeight="1">
      <c r="A213" s="48">
        <v>211304</v>
      </c>
      <c r="B213" s="21" t="s">
        <v>578</v>
      </c>
      <c r="C213" s="26">
        <f>+SUM(C214:C215)</f>
        <v>12089000</v>
      </c>
      <c r="D213" s="37"/>
      <c r="E213" s="38"/>
      <c r="F213" s="169"/>
      <c r="G213" s="39"/>
      <c r="H213" s="38"/>
      <c r="I213" s="38"/>
      <c r="J213" s="38"/>
      <c r="K213" s="38"/>
      <c r="L213" s="38"/>
      <c r="M213" s="38"/>
      <c r="N213" s="38"/>
      <c r="O213" s="38"/>
      <c r="P213" s="38"/>
      <c r="Q213" s="38"/>
      <c r="R213" s="38"/>
      <c r="S213" s="38"/>
      <c r="T213" s="38"/>
      <c r="U213" s="38"/>
      <c r="V213" s="38"/>
      <c r="W213" s="38"/>
      <c r="X213" s="38"/>
    </row>
    <row r="214" spans="1:24" ht="13.5" customHeight="1">
      <c r="A214" s="33">
        <v>21130401</v>
      </c>
      <c r="B214" s="23" t="s">
        <v>593</v>
      </c>
      <c r="C214" s="51">
        <v>10766000</v>
      </c>
      <c r="D214" s="167"/>
      <c r="E214" s="4"/>
      <c r="F214" s="24"/>
      <c r="G214" s="3"/>
      <c r="H214" s="24"/>
      <c r="I214" s="4"/>
      <c r="J214" s="4"/>
      <c r="K214" s="4"/>
      <c r="L214" s="4"/>
      <c r="M214" s="4"/>
      <c r="N214" s="4"/>
      <c r="O214" s="4"/>
      <c r="P214" s="4"/>
      <c r="Q214" s="4"/>
      <c r="R214" s="4"/>
      <c r="S214" s="4"/>
      <c r="T214" s="4"/>
      <c r="U214" s="4"/>
      <c r="V214" s="4"/>
      <c r="W214" s="4"/>
      <c r="X214" s="4"/>
    </row>
    <row r="215" spans="1:24" ht="13.5" customHeight="1">
      <c r="A215" s="33">
        <v>21130403</v>
      </c>
      <c r="B215" s="23" t="s">
        <v>579</v>
      </c>
      <c r="C215" s="51">
        <v>1323000</v>
      </c>
      <c r="D215" s="165"/>
      <c r="E215" s="35"/>
      <c r="F215" s="168"/>
      <c r="G215" s="3"/>
      <c r="H215" s="35"/>
      <c r="I215" s="35"/>
      <c r="J215" s="35"/>
      <c r="K215" s="35"/>
      <c r="L215" s="35"/>
      <c r="M215" s="35"/>
      <c r="N215" s="35"/>
      <c r="O215" s="35"/>
      <c r="P215" s="35"/>
      <c r="Q215" s="35"/>
      <c r="R215" s="35"/>
      <c r="S215" s="35"/>
      <c r="T215" s="35"/>
      <c r="U215" s="35"/>
      <c r="V215" s="35"/>
      <c r="W215" s="35"/>
      <c r="X215" s="35"/>
    </row>
    <row r="216" spans="1:24" s="831" customFormat="1" ht="13.5" customHeight="1">
      <c r="A216" s="48">
        <v>211305</v>
      </c>
      <c r="B216" s="21" t="s">
        <v>489</v>
      </c>
      <c r="C216" s="26">
        <f>SUM(C217:C218)</f>
        <v>7327000</v>
      </c>
      <c r="D216" s="837"/>
      <c r="E216" s="1"/>
      <c r="F216" s="2"/>
      <c r="G216" s="21"/>
      <c r="H216" s="38"/>
      <c r="I216" s="1"/>
      <c r="J216" s="1"/>
      <c r="K216" s="1"/>
      <c r="L216" s="1"/>
      <c r="M216" s="1"/>
      <c r="N216" s="1"/>
      <c r="O216" s="1"/>
      <c r="P216" s="1"/>
      <c r="Q216" s="1"/>
      <c r="R216" s="1"/>
      <c r="S216" s="1"/>
      <c r="T216" s="1"/>
      <c r="U216" s="1"/>
      <c r="V216" s="1"/>
      <c r="W216" s="1"/>
      <c r="X216" s="1"/>
    </row>
    <row r="217" spans="1:24" ht="13.5" customHeight="1">
      <c r="A217" s="33">
        <v>21130501</v>
      </c>
      <c r="B217" s="13" t="s">
        <v>490</v>
      </c>
      <c r="C217" s="24">
        <v>329000</v>
      </c>
      <c r="D217" s="167"/>
      <c r="E217" s="4"/>
      <c r="F217" s="24"/>
      <c r="G217" s="3"/>
      <c r="H217" s="24"/>
      <c r="I217" s="4"/>
      <c r="J217" s="4"/>
      <c r="K217" s="4"/>
      <c r="L217" s="4"/>
      <c r="M217" s="4"/>
      <c r="N217" s="4"/>
      <c r="O217" s="4"/>
      <c r="P217" s="4"/>
      <c r="Q217" s="4"/>
      <c r="R217" s="4"/>
      <c r="S217" s="4"/>
      <c r="T217" s="4"/>
      <c r="U217" s="4"/>
      <c r="V217" s="4"/>
      <c r="W217" s="4"/>
      <c r="X217" s="4"/>
    </row>
    <row r="218" spans="1:24" ht="13.5" customHeight="1">
      <c r="A218" s="33">
        <v>21130502</v>
      </c>
      <c r="B218" s="24" t="s">
        <v>491</v>
      </c>
      <c r="C218" s="24">
        <v>6998000</v>
      </c>
      <c r="D218" s="167"/>
      <c r="E218" s="4"/>
      <c r="F218" s="24"/>
      <c r="G218" s="3"/>
      <c r="H218" s="24"/>
      <c r="I218" s="4"/>
      <c r="J218" s="4"/>
      <c r="K218" s="4"/>
      <c r="L218" s="4"/>
      <c r="M218" s="4"/>
      <c r="N218" s="4"/>
      <c r="O218" s="4"/>
      <c r="P218" s="4"/>
      <c r="Q218" s="4"/>
      <c r="R218" s="4"/>
      <c r="S218" s="4"/>
      <c r="T218" s="4"/>
      <c r="U218" s="4"/>
      <c r="V218" s="4"/>
      <c r="W218" s="4"/>
      <c r="X218" s="4"/>
    </row>
    <row r="219" spans="1:24" s="831" customFormat="1" ht="13.5" customHeight="1">
      <c r="A219" s="48">
        <v>211306</v>
      </c>
      <c r="B219" s="26" t="s">
        <v>492</v>
      </c>
      <c r="C219" s="26">
        <f>SUM(C220:C221)</f>
        <v>17500</v>
      </c>
      <c r="D219" s="837"/>
      <c r="E219" s="1"/>
      <c r="F219" s="26"/>
      <c r="G219" s="2"/>
      <c r="H219" s="26"/>
      <c r="I219" s="1"/>
      <c r="J219" s="1"/>
      <c r="K219" s="1"/>
      <c r="L219" s="1"/>
      <c r="M219" s="1"/>
      <c r="N219" s="1"/>
      <c r="O219" s="1"/>
      <c r="P219" s="1"/>
      <c r="Q219" s="1"/>
      <c r="R219" s="1"/>
      <c r="S219" s="1"/>
      <c r="T219" s="1"/>
      <c r="U219" s="1"/>
      <c r="V219" s="1"/>
      <c r="W219" s="1"/>
      <c r="X219" s="1"/>
    </row>
    <row r="220" spans="1:24" ht="13.5" customHeight="1">
      <c r="A220" s="33">
        <v>21130604</v>
      </c>
      <c r="B220" s="13" t="s">
        <v>539</v>
      </c>
      <c r="C220" s="24">
        <v>12500</v>
      </c>
      <c r="D220" s="167"/>
      <c r="E220" s="4"/>
      <c r="F220" s="24"/>
      <c r="G220" s="3"/>
      <c r="H220" s="24"/>
      <c r="I220" s="4"/>
      <c r="J220" s="4"/>
      <c r="K220" s="4"/>
      <c r="L220" s="4"/>
      <c r="M220" s="4"/>
      <c r="N220" s="4"/>
      <c r="O220" s="4"/>
      <c r="P220" s="4"/>
      <c r="Q220" s="4"/>
      <c r="R220" s="4"/>
      <c r="S220" s="4"/>
      <c r="T220" s="4"/>
      <c r="U220" s="4"/>
      <c r="V220" s="4"/>
      <c r="W220" s="4"/>
      <c r="X220" s="4"/>
    </row>
    <row r="221" spans="1:24" ht="13.5" customHeight="1">
      <c r="A221" s="33">
        <v>21130607</v>
      </c>
      <c r="B221" s="24" t="s">
        <v>493</v>
      </c>
      <c r="C221" s="24">
        <v>5000</v>
      </c>
      <c r="D221" s="167"/>
      <c r="E221" s="4"/>
      <c r="F221" s="24"/>
      <c r="G221" s="3"/>
      <c r="H221" s="24"/>
      <c r="I221" s="4"/>
      <c r="J221" s="4"/>
      <c r="K221" s="4"/>
      <c r="L221" s="4"/>
      <c r="M221" s="4"/>
      <c r="N221" s="4"/>
      <c r="O221" s="4"/>
      <c r="P221" s="4"/>
      <c r="Q221" s="4"/>
      <c r="R221" s="4"/>
      <c r="S221" s="4"/>
      <c r="T221" s="4"/>
      <c r="U221" s="4"/>
      <c r="V221" s="4"/>
      <c r="W221" s="4"/>
      <c r="X221" s="4"/>
    </row>
    <row r="222" spans="1:24" s="831" customFormat="1" ht="13.5" customHeight="1">
      <c r="A222" s="48">
        <v>211307</v>
      </c>
      <c r="B222" s="21" t="s">
        <v>494</v>
      </c>
      <c r="C222" s="26">
        <f>C223</f>
        <v>50500</v>
      </c>
      <c r="D222" s="837"/>
      <c r="E222" s="1"/>
      <c r="F222" s="26"/>
      <c r="G222" s="2"/>
      <c r="H222" s="26"/>
      <c r="I222" s="1"/>
      <c r="J222" s="1"/>
      <c r="K222" s="1"/>
      <c r="L222" s="1"/>
      <c r="M222" s="1"/>
      <c r="N222" s="1"/>
      <c r="O222" s="1"/>
      <c r="P222" s="1"/>
      <c r="Q222" s="1"/>
      <c r="R222" s="1"/>
      <c r="S222" s="1"/>
      <c r="T222" s="1"/>
      <c r="U222" s="1"/>
      <c r="V222" s="1"/>
      <c r="W222" s="1"/>
      <c r="X222" s="1"/>
    </row>
    <row r="223" spans="1:24" ht="13.5" customHeight="1">
      <c r="A223" s="33">
        <v>21130701</v>
      </c>
      <c r="B223" s="23" t="s">
        <v>495</v>
      </c>
      <c r="C223" s="24">
        <v>50500</v>
      </c>
      <c r="D223" s="167"/>
      <c r="E223" s="4"/>
      <c r="F223" s="24"/>
      <c r="G223" s="3"/>
      <c r="H223" s="24"/>
      <c r="I223" s="4"/>
      <c r="J223" s="4"/>
      <c r="K223" s="4"/>
      <c r="L223" s="4"/>
      <c r="M223" s="4"/>
      <c r="N223" s="4"/>
      <c r="O223" s="4"/>
      <c r="P223" s="4"/>
      <c r="Q223" s="4"/>
      <c r="R223" s="4"/>
      <c r="S223" s="4"/>
      <c r="T223" s="4"/>
      <c r="U223" s="4"/>
      <c r="V223" s="4"/>
      <c r="W223" s="4"/>
      <c r="X223" s="4"/>
    </row>
    <row r="224" spans="1:24" s="831" customFormat="1" ht="13.5" customHeight="1">
      <c r="A224" s="48">
        <v>211309</v>
      </c>
      <c r="B224" s="26" t="s">
        <v>496</v>
      </c>
      <c r="C224" s="26">
        <f>+SUM(C225:C227)</f>
        <v>37430000</v>
      </c>
      <c r="D224" s="837"/>
      <c r="E224" s="1"/>
      <c r="F224" s="26"/>
      <c r="G224" s="2"/>
      <c r="H224" s="26"/>
      <c r="I224" s="1"/>
      <c r="J224" s="1"/>
      <c r="K224" s="1"/>
      <c r="L224" s="1"/>
      <c r="M224" s="1"/>
      <c r="N224" s="1"/>
      <c r="O224" s="1"/>
      <c r="P224" s="1"/>
      <c r="Q224" s="1"/>
      <c r="R224" s="1"/>
      <c r="S224" s="1"/>
      <c r="T224" s="1"/>
      <c r="U224" s="1"/>
      <c r="V224" s="1"/>
      <c r="W224" s="1"/>
      <c r="X224" s="1"/>
    </row>
    <row r="225" spans="1:24" ht="13.5" customHeight="1">
      <c r="A225" s="33">
        <v>21130901</v>
      </c>
      <c r="B225" s="24" t="s">
        <v>497</v>
      </c>
      <c r="C225" s="24">
        <f>83300500-40000000-10000000</f>
        <v>33300500</v>
      </c>
      <c r="D225" s="165"/>
      <c r="E225" s="35"/>
      <c r="F225" s="117"/>
      <c r="G225" s="117"/>
      <c r="H225" s="35"/>
      <c r="I225" s="35"/>
      <c r="J225" s="35"/>
      <c r="K225" s="35"/>
      <c r="L225" s="35"/>
      <c r="M225" s="35"/>
      <c r="N225" s="35"/>
      <c r="O225" s="35"/>
      <c r="P225" s="35"/>
      <c r="Q225" s="35"/>
      <c r="R225" s="35"/>
      <c r="S225" s="35"/>
      <c r="T225" s="35"/>
      <c r="U225" s="35"/>
      <c r="V225" s="35"/>
      <c r="W225" s="35"/>
      <c r="X225" s="35"/>
    </row>
    <row r="226" spans="1:24" ht="13.5" customHeight="1">
      <c r="A226" s="33">
        <v>21130903</v>
      </c>
      <c r="B226" s="24" t="s">
        <v>498</v>
      </c>
      <c r="C226" s="24">
        <v>33000</v>
      </c>
      <c r="D226" s="167"/>
      <c r="E226" s="4"/>
      <c r="F226" s="24"/>
      <c r="G226" s="21"/>
      <c r="H226" s="24"/>
      <c r="I226" s="4"/>
      <c r="J226" s="4"/>
      <c r="K226" s="4"/>
      <c r="L226" s="4"/>
      <c r="M226" s="4"/>
      <c r="N226" s="4"/>
      <c r="O226" s="4"/>
      <c r="P226" s="4"/>
      <c r="Q226" s="4"/>
      <c r="R226" s="4"/>
      <c r="S226" s="4"/>
      <c r="T226" s="4"/>
      <c r="U226" s="4"/>
      <c r="V226" s="4"/>
      <c r="W226" s="4"/>
      <c r="X226" s="4"/>
    </row>
    <row r="227" spans="1:24" ht="13.5">
      <c r="A227" s="33">
        <v>21130908</v>
      </c>
      <c r="B227" s="13" t="s">
        <v>500</v>
      </c>
      <c r="C227" s="24">
        <f>12185500-6000000-2089000</f>
        <v>4096500</v>
      </c>
      <c r="D227" s="167"/>
      <c r="E227" s="4"/>
      <c r="F227" s="24"/>
      <c r="G227" s="21"/>
      <c r="H227" s="24"/>
      <c r="I227" s="4"/>
      <c r="J227" s="4"/>
      <c r="K227" s="4"/>
      <c r="L227" s="4"/>
      <c r="M227" s="4"/>
      <c r="N227" s="4"/>
      <c r="O227" s="4"/>
      <c r="P227" s="4"/>
      <c r="Q227" s="4"/>
      <c r="R227" s="4"/>
      <c r="S227" s="4"/>
      <c r="T227" s="4"/>
      <c r="U227" s="4"/>
      <c r="V227" s="4"/>
      <c r="W227" s="4"/>
      <c r="X227" s="4"/>
    </row>
    <row r="228" spans="1:24" ht="13.5" customHeight="1" thickBot="1">
      <c r="A228" s="23"/>
      <c r="B228" s="23"/>
      <c r="C228" s="24"/>
      <c r="D228" s="37"/>
      <c r="E228" s="35"/>
      <c r="F228" s="35"/>
      <c r="G228" s="126"/>
      <c r="H228" s="35"/>
      <c r="I228" s="35"/>
      <c r="J228" s="35"/>
      <c r="K228" s="35"/>
      <c r="L228" s="35"/>
      <c r="M228" s="35"/>
      <c r="N228" s="35"/>
      <c r="O228" s="35"/>
      <c r="P228" s="35"/>
      <c r="Q228" s="35"/>
      <c r="R228" s="35"/>
      <c r="S228" s="35"/>
      <c r="T228" s="35"/>
      <c r="U228" s="35"/>
      <c r="V228" s="35"/>
      <c r="W228" s="35"/>
      <c r="X228" s="35"/>
    </row>
    <row r="229" spans="1:24" ht="13.5" customHeight="1" thickBot="1">
      <c r="A229" s="1287" t="s">
        <v>45</v>
      </c>
      <c r="B229" s="1281"/>
      <c r="C229" s="47">
        <f>C230</f>
        <v>30881552.890000001</v>
      </c>
      <c r="D229" s="158"/>
      <c r="E229" s="35"/>
      <c r="F229" s="35"/>
      <c r="G229" s="126"/>
      <c r="H229" s="35"/>
      <c r="I229" s="35"/>
      <c r="J229" s="35"/>
      <c r="K229" s="35"/>
      <c r="L229" s="35"/>
      <c r="M229" s="35"/>
      <c r="N229" s="35"/>
      <c r="O229" s="35"/>
      <c r="P229" s="35"/>
      <c r="Q229" s="35"/>
      <c r="R229" s="35"/>
      <c r="S229" s="35"/>
      <c r="T229" s="35"/>
      <c r="U229" s="35"/>
      <c r="V229" s="35"/>
      <c r="W229" s="35"/>
      <c r="X229" s="35"/>
    </row>
    <row r="230" spans="1:24" s="831" customFormat="1" ht="13.5" customHeight="1">
      <c r="A230" s="48">
        <v>211402</v>
      </c>
      <c r="B230" s="21" t="s">
        <v>503</v>
      </c>
      <c r="C230" s="49">
        <f>SUM(C231)</f>
        <v>30881552.890000001</v>
      </c>
      <c r="D230" s="159"/>
      <c r="E230" s="655"/>
      <c r="F230" s="655"/>
      <c r="G230" s="656"/>
      <c r="H230" s="655"/>
      <c r="I230" s="655"/>
      <c r="J230" s="655"/>
      <c r="K230" s="655"/>
      <c r="L230" s="655"/>
      <c r="M230" s="655"/>
      <c r="N230" s="655"/>
      <c r="O230" s="655"/>
      <c r="P230" s="655"/>
      <c r="Q230" s="655"/>
      <c r="R230" s="655"/>
      <c r="S230" s="655"/>
      <c r="T230" s="655"/>
      <c r="U230" s="655"/>
      <c r="V230" s="655"/>
      <c r="W230" s="655"/>
      <c r="X230" s="655"/>
    </row>
    <row r="231" spans="1:24" ht="13.5" customHeight="1">
      <c r="A231" s="33">
        <v>21140216</v>
      </c>
      <c r="B231" s="23" t="s">
        <v>594</v>
      </c>
      <c r="C231" s="24">
        <f>4000000+1881552.89+25000000</f>
        <v>30881552.890000001</v>
      </c>
      <c r="D231" s="158"/>
      <c r="E231" s="23"/>
      <c r="F231" s="23"/>
      <c r="G231" s="63"/>
      <c r="H231" s="23"/>
      <c r="I231" s="23"/>
      <c r="J231" s="93"/>
      <c r="K231" s="93"/>
      <c r="L231" s="93"/>
      <c r="M231" s="93"/>
      <c r="N231" s="93"/>
      <c r="O231" s="93"/>
      <c r="P231" s="93"/>
      <c r="Q231" s="93"/>
      <c r="R231" s="93"/>
      <c r="S231" s="93"/>
      <c r="T231" s="93"/>
      <c r="U231" s="93"/>
      <c r="V231" s="93"/>
      <c r="W231" s="93"/>
      <c r="X231" s="93"/>
    </row>
    <row r="232" spans="1:24" ht="13.5" customHeight="1" thickBot="1">
      <c r="A232" s="23"/>
      <c r="B232" s="23"/>
      <c r="C232" s="24"/>
      <c r="D232" s="158"/>
      <c r="E232" s="23"/>
      <c r="F232" s="23"/>
      <c r="G232" s="63"/>
      <c r="H232" s="23"/>
      <c r="I232" s="23"/>
      <c r="J232" s="93"/>
      <c r="K232" s="93"/>
      <c r="L232" s="93"/>
      <c r="M232" s="93"/>
      <c r="N232" s="93"/>
      <c r="O232" s="93"/>
      <c r="P232" s="93"/>
      <c r="Q232" s="93"/>
      <c r="R232" s="93"/>
      <c r="S232" s="93"/>
      <c r="T232" s="93"/>
      <c r="U232" s="93"/>
      <c r="V232" s="93"/>
      <c r="W232" s="93"/>
      <c r="X232" s="93"/>
    </row>
    <row r="233" spans="1:24" ht="13.5" customHeight="1" thickBot="1">
      <c r="A233" s="1299" t="s">
        <v>48</v>
      </c>
      <c r="B233" s="1281"/>
      <c r="C233" s="65">
        <f>C234+C237+C239</f>
        <v>32277500</v>
      </c>
      <c r="D233" s="37"/>
      <c r="E233" s="35"/>
      <c r="F233" s="162"/>
      <c r="G233" s="126"/>
      <c r="H233" s="35"/>
      <c r="I233" s="35"/>
      <c r="J233" s="35"/>
      <c r="K233" s="35"/>
      <c r="L233" s="35"/>
      <c r="M233" s="35"/>
      <c r="N233" s="35"/>
      <c r="O233" s="35"/>
      <c r="P233" s="35"/>
      <c r="Q233" s="35"/>
      <c r="R233" s="35"/>
      <c r="S233" s="35"/>
      <c r="T233" s="35"/>
      <c r="U233" s="35"/>
      <c r="V233" s="35"/>
      <c r="W233" s="35"/>
      <c r="X233" s="35"/>
    </row>
    <row r="234" spans="1:24" s="831" customFormat="1" ht="13.5" customHeight="1">
      <c r="A234" s="76">
        <v>221102</v>
      </c>
      <c r="B234" s="76" t="s">
        <v>543</v>
      </c>
      <c r="C234" s="49">
        <f>+SUM(C235:C236)</f>
        <v>29097500</v>
      </c>
      <c r="D234" s="157"/>
      <c r="E234" s="655"/>
      <c r="F234" s="838"/>
      <c r="G234" s="656"/>
      <c r="H234" s="655"/>
      <c r="I234" s="655"/>
      <c r="J234" s="655"/>
      <c r="K234" s="655"/>
      <c r="L234" s="655"/>
      <c r="M234" s="655"/>
      <c r="N234" s="655"/>
      <c r="O234" s="655"/>
      <c r="P234" s="655"/>
      <c r="Q234" s="655"/>
      <c r="R234" s="655"/>
      <c r="S234" s="655"/>
      <c r="T234" s="655"/>
      <c r="U234" s="655"/>
      <c r="V234" s="655"/>
      <c r="W234" s="655"/>
      <c r="X234" s="655"/>
    </row>
    <row r="235" spans="1:24" ht="13.5" customHeight="1">
      <c r="A235" s="154">
        <v>22110204</v>
      </c>
      <c r="B235" s="100" t="s">
        <v>545</v>
      </c>
      <c r="C235" s="72">
        <f>20000000+3847500</f>
        <v>23847500</v>
      </c>
      <c r="D235" s="37"/>
      <c r="E235" s="35"/>
      <c r="F235" s="166"/>
      <c r="G235" s="126"/>
      <c r="H235" s="35"/>
      <c r="I235" s="35"/>
      <c r="J235" s="35"/>
      <c r="K235" s="35"/>
      <c r="L235" s="35"/>
      <c r="M235" s="35"/>
      <c r="N235" s="35"/>
      <c r="O235" s="35"/>
      <c r="P235" s="35"/>
      <c r="Q235" s="35"/>
      <c r="R235" s="35"/>
      <c r="S235" s="35"/>
      <c r="T235" s="35"/>
      <c r="U235" s="35"/>
      <c r="V235" s="35"/>
      <c r="W235" s="35"/>
      <c r="X235" s="35"/>
    </row>
    <row r="236" spans="1:24" ht="13.5" customHeight="1">
      <c r="A236" s="154">
        <v>22110205</v>
      </c>
      <c r="B236" s="100" t="s">
        <v>546</v>
      </c>
      <c r="C236" s="72">
        <f>5000000+250000</f>
        <v>5250000</v>
      </c>
      <c r="D236" s="37"/>
      <c r="E236" s="35"/>
      <c r="F236" s="162"/>
      <c r="G236" s="126"/>
      <c r="H236" s="35"/>
      <c r="I236" s="35"/>
      <c r="J236" s="35"/>
      <c r="K236" s="35"/>
      <c r="L236" s="35"/>
      <c r="M236" s="35"/>
      <c r="N236" s="35"/>
      <c r="O236" s="35"/>
      <c r="P236" s="35"/>
      <c r="Q236" s="35"/>
      <c r="R236" s="35"/>
      <c r="S236" s="35"/>
      <c r="T236" s="35"/>
      <c r="U236" s="35"/>
      <c r="V236" s="35"/>
      <c r="W236" s="35"/>
      <c r="X236" s="35"/>
    </row>
    <row r="237" spans="1:24" s="831" customFormat="1" ht="13.5" customHeight="1">
      <c r="A237" s="48">
        <v>221104</v>
      </c>
      <c r="B237" s="76" t="s">
        <v>510</v>
      </c>
      <c r="C237" s="36">
        <f>C238</f>
        <v>1090000</v>
      </c>
      <c r="D237" s="37"/>
      <c r="E237" s="38"/>
      <c r="F237" s="169"/>
      <c r="G237" s="39"/>
      <c r="H237" s="38"/>
      <c r="I237" s="38"/>
      <c r="J237" s="38"/>
      <c r="K237" s="38"/>
      <c r="L237" s="38"/>
      <c r="M237" s="38"/>
      <c r="N237" s="38"/>
      <c r="O237" s="38"/>
      <c r="P237" s="38"/>
      <c r="Q237" s="38"/>
      <c r="R237" s="38"/>
      <c r="S237" s="38"/>
      <c r="T237" s="38"/>
      <c r="U237" s="38"/>
      <c r="V237" s="38"/>
      <c r="W237" s="38"/>
      <c r="X237" s="38"/>
    </row>
    <row r="238" spans="1:24" ht="13.5" customHeight="1">
      <c r="A238" s="33">
        <v>22110401</v>
      </c>
      <c r="B238" s="23" t="s">
        <v>511</v>
      </c>
      <c r="C238" s="51">
        <f>1000000+90000</f>
        <v>1090000</v>
      </c>
      <c r="D238" s="146"/>
      <c r="E238" s="73"/>
      <c r="F238" s="73"/>
      <c r="G238" s="74"/>
      <c r="H238" s="73"/>
      <c r="I238" s="73"/>
      <c r="J238" s="73"/>
      <c r="K238" s="73"/>
      <c r="L238" s="73"/>
      <c r="M238" s="73"/>
      <c r="N238" s="73"/>
      <c r="O238" s="73"/>
      <c r="P238" s="73"/>
      <c r="Q238" s="73"/>
      <c r="R238" s="73"/>
      <c r="S238" s="73"/>
      <c r="T238" s="73"/>
      <c r="U238" s="73"/>
      <c r="V238" s="73"/>
      <c r="W238" s="73"/>
      <c r="X238" s="73"/>
    </row>
    <row r="239" spans="1:24" s="831" customFormat="1" ht="13.5" customHeight="1">
      <c r="A239" s="76">
        <v>221107</v>
      </c>
      <c r="B239" s="21" t="s">
        <v>514</v>
      </c>
      <c r="C239" s="26">
        <f>C240</f>
        <v>2090000</v>
      </c>
      <c r="D239" s="37"/>
      <c r="E239" s="1"/>
      <c r="F239" s="1"/>
      <c r="G239" s="833"/>
      <c r="H239" s="1"/>
      <c r="I239" s="1"/>
      <c r="J239" s="1"/>
      <c r="K239" s="1"/>
      <c r="L239" s="1"/>
      <c r="M239" s="1"/>
      <c r="N239" s="1"/>
      <c r="O239" s="1"/>
      <c r="P239" s="1"/>
      <c r="Q239" s="1"/>
      <c r="R239" s="1"/>
      <c r="S239" s="1"/>
      <c r="T239" s="1"/>
      <c r="U239" s="1"/>
      <c r="V239" s="1"/>
      <c r="W239" s="1"/>
      <c r="X239" s="1"/>
    </row>
    <row r="240" spans="1:24" ht="13.5" customHeight="1">
      <c r="A240" s="154">
        <v>22110702</v>
      </c>
      <c r="B240" s="23" t="s">
        <v>515</v>
      </c>
      <c r="C240" s="72">
        <f>2000000+90000</f>
        <v>2090000</v>
      </c>
      <c r="D240" s="37"/>
      <c r="E240" s="35"/>
      <c r="F240" s="169"/>
      <c r="G240" s="126"/>
      <c r="H240" s="35"/>
      <c r="I240" s="35"/>
      <c r="J240" s="35"/>
      <c r="K240" s="35"/>
      <c r="L240" s="35"/>
      <c r="M240" s="35"/>
      <c r="N240" s="35"/>
      <c r="O240" s="35"/>
      <c r="P240" s="35"/>
      <c r="Q240" s="35"/>
      <c r="R240" s="35"/>
      <c r="S240" s="35"/>
      <c r="T240" s="35"/>
      <c r="U240" s="35"/>
      <c r="V240" s="35"/>
      <c r="W240" s="35"/>
      <c r="X240" s="35"/>
    </row>
    <row r="241" spans="1:24" ht="13.5" customHeight="1">
      <c r="A241" s="100"/>
      <c r="B241" s="23"/>
      <c r="C241" s="72"/>
      <c r="D241" s="37"/>
      <c r="E241" s="35"/>
      <c r="F241" s="169"/>
      <c r="G241" s="126"/>
      <c r="H241" s="35"/>
      <c r="I241" s="35"/>
      <c r="J241" s="35"/>
      <c r="K241" s="35"/>
      <c r="L241" s="35"/>
      <c r="M241" s="35"/>
      <c r="N241" s="35"/>
      <c r="O241" s="35"/>
      <c r="P241" s="35"/>
      <c r="Q241" s="35"/>
      <c r="R241" s="35"/>
      <c r="S241" s="35"/>
      <c r="T241" s="35"/>
      <c r="U241" s="35"/>
      <c r="V241" s="35"/>
      <c r="W241" s="35"/>
      <c r="X241" s="35"/>
    </row>
    <row r="242" spans="1:24" ht="13.5" customHeight="1" thickBot="1">
      <c r="A242" s="33"/>
      <c r="B242" s="23"/>
      <c r="C242" s="24"/>
      <c r="D242" s="37"/>
      <c r="E242" s="35"/>
      <c r="F242" s="35"/>
      <c r="G242" s="126"/>
      <c r="H242" s="35"/>
      <c r="I242" s="35"/>
      <c r="J242" s="35"/>
      <c r="K242" s="35"/>
      <c r="L242" s="35"/>
      <c r="M242" s="35"/>
      <c r="N242" s="35"/>
      <c r="O242" s="35"/>
      <c r="P242" s="35"/>
      <c r="Q242" s="35"/>
      <c r="R242" s="35"/>
      <c r="S242" s="35"/>
      <c r="T242" s="35"/>
      <c r="U242" s="35"/>
      <c r="V242" s="35"/>
      <c r="W242" s="35"/>
      <c r="X242" s="35"/>
    </row>
    <row r="243" spans="1:24" ht="13.5" customHeight="1">
      <c r="A243" s="1383" t="s">
        <v>884</v>
      </c>
      <c r="B243" s="1384"/>
      <c r="C243" s="1153">
        <v>1605</v>
      </c>
      <c r="D243" s="37"/>
      <c r="E243" s="35"/>
      <c r="F243" s="35"/>
      <c r="G243" s="126"/>
      <c r="H243" s="35"/>
      <c r="I243" s="35"/>
      <c r="J243" s="35"/>
      <c r="K243" s="35"/>
      <c r="L243" s="35"/>
      <c r="M243" s="35"/>
      <c r="N243" s="35"/>
      <c r="O243" s="35"/>
      <c r="P243" s="35"/>
      <c r="Q243" s="35"/>
      <c r="R243" s="35"/>
      <c r="S243" s="35"/>
      <c r="T243" s="35"/>
      <c r="U243" s="35"/>
      <c r="V243" s="35"/>
      <c r="W243" s="35"/>
      <c r="X243" s="35"/>
    </row>
    <row r="244" spans="1:24" ht="13.5" customHeight="1" thickBot="1">
      <c r="A244" s="1385"/>
      <c r="B244" s="1386"/>
      <c r="C244" s="1196"/>
      <c r="D244" s="37"/>
      <c r="E244" s="35"/>
      <c r="F244" s="35"/>
      <c r="G244" s="126"/>
      <c r="H244" s="35"/>
      <c r="I244" s="35"/>
      <c r="J244" s="35"/>
      <c r="K244" s="35"/>
      <c r="L244" s="35"/>
      <c r="M244" s="35"/>
      <c r="N244" s="35"/>
      <c r="O244" s="35"/>
      <c r="P244" s="35"/>
      <c r="Q244" s="35"/>
      <c r="R244" s="35"/>
      <c r="S244" s="35"/>
      <c r="T244" s="35"/>
      <c r="U244" s="35"/>
      <c r="V244" s="35"/>
      <c r="W244" s="35"/>
      <c r="X244" s="35"/>
    </row>
    <row r="245" spans="1:24" ht="13.5" customHeight="1">
      <c r="A245" s="609" t="s">
        <v>671</v>
      </c>
      <c r="B245" s="612"/>
      <c r="C245" s="626"/>
      <c r="D245" s="37"/>
      <c r="E245" s="35"/>
      <c r="F245" s="35"/>
      <c r="G245" s="126"/>
      <c r="H245" s="35"/>
      <c r="I245" s="35"/>
      <c r="J245" s="35"/>
      <c r="K245" s="35"/>
      <c r="L245" s="35"/>
      <c r="M245" s="35"/>
      <c r="N245" s="35"/>
      <c r="O245" s="35"/>
      <c r="P245" s="35"/>
      <c r="Q245" s="35"/>
      <c r="R245" s="35"/>
      <c r="S245" s="35"/>
      <c r="T245" s="35"/>
      <c r="U245" s="35"/>
      <c r="V245" s="35"/>
      <c r="W245" s="35"/>
      <c r="X245" s="35"/>
    </row>
    <row r="246" spans="1:24" ht="13.5" customHeight="1">
      <c r="A246" s="609" t="s">
        <v>753</v>
      </c>
      <c r="B246" s="612"/>
      <c r="C246" s="626"/>
      <c r="D246" s="37"/>
      <c r="E246" s="35"/>
      <c r="F246" s="35"/>
      <c r="G246" s="126"/>
      <c r="H246" s="35"/>
      <c r="I246" s="35"/>
      <c r="J246" s="35"/>
      <c r="K246" s="35"/>
      <c r="L246" s="35"/>
      <c r="M246" s="35"/>
      <c r="N246" s="35"/>
      <c r="O246" s="35"/>
      <c r="P246" s="35"/>
      <c r="Q246" s="35"/>
      <c r="R246" s="35"/>
      <c r="S246" s="35"/>
      <c r="T246" s="35"/>
      <c r="U246" s="35"/>
      <c r="V246" s="35"/>
      <c r="W246" s="35"/>
      <c r="X246" s="35"/>
    </row>
    <row r="247" spans="1:24" ht="13.5" customHeight="1">
      <c r="A247" s="609" t="s">
        <v>754</v>
      </c>
      <c r="B247" s="612"/>
      <c r="C247" s="626"/>
      <c r="D247" s="37"/>
      <c r="E247" s="35"/>
      <c r="F247" s="35"/>
      <c r="G247" s="126"/>
      <c r="H247" s="35"/>
      <c r="I247" s="35"/>
      <c r="J247" s="35"/>
      <c r="K247" s="35"/>
      <c r="L247" s="35"/>
      <c r="M247" s="35"/>
      <c r="N247" s="35"/>
      <c r="O247" s="35"/>
      <c r="P247" s="35"/>
      <c r="Q247" s="35"/>
      <c r="R247" s="35"/>
      <c r="S247" s="35"/>
      <c r="T247" s="35"/>
      <c r="U247" s="35"/>
      <c r="V247" s="35"/>
      <c r="W247" s="35"/>
      <c r="X247" s="35"/>
    </row>
    <row r="248" spans="1:24" ht="13.5" customHeight="1" thickBot="1">
      <c r="A248" s="1089" t="s">
        <v>59</v>
      </c>
      <c r="B248" s="612"/>
      <c r="C248" s="626"/>
      <c r="D248" s="37"/>
      <c r="E248" s="35"/>
      <c r="F248" s="35"/>
      <c r="G248" s="126"/>
      <c r="H248" s="35"/>
      <c r="I248" s="35"/>
      <c r="J248" s="35"/>
      <c r="K248" s="35"/>
      <c r="L248" s="35"/>
      <c r="M248" s="35"/>
      <c r="N248" s="35"/>
      <c r="O248" s="35"/>
      <c r="P248" s="35"/>
      <c r="Q248" s="35"/>
      <c r="R248" s="35"/>
      <c r="S248" s="35"/>
      <c r="T248" s="35"/>
      <c r="U248" s="35"/>
      <c r="V248" s="35"/>
      <c r="W248" s="35"/>
      <c r="X248" s="35"/>
    </row>
    <row r="249" spans="1:24" ht="13.5" customHeight="1" thickBot="1">
      <c r="A249" s="1171" t="s">
        <v>60</v>
      </c>
      <c r="B249" s="1197"/>
      <c r="C249" s="1033">
        <f>(C251+C262+C273+C279)</f>
        <v>93201000</v>
      </c>
      <c r="D249" s="37"/>
      <c r="E249" s="35"/>
      <c r="F249" s="35"/>
      <c r="G249" s="126"/>
      <c r="H249" s="35"/>
      <c r="I249" s="35"/>
      <c r="J249" s="35"/>
      <c r="K249" s="35"/>
      <c r="L249" s="35"/>
      <c r="M249" s="35"/>
      <c r="N249" s="35"/>
      <c r="O249" s="35"/>
      <c r="P249" s="35"/>
      <c r="Q249" s="35"/>
      <c r="R249" s="35"/>
      <c r="S249" s="35"/>
      <c r="T249" s="35"/>
      <c r="U249" s="35"/>
      <c r="V249" s="35"/>
      <c r="W249" s="35"/>
      <c r="X249" s="35"/>
    </row>
    <row r="250" spans="1:24" ht="13.5" customHeight="1" thickBot="1">
      <c r="A250" s="75"/>
      <c r="B250" s="100"/>
      <c r="C250" s="36"/>
      <c r="D250" s="37"/>
      <c r="E250" s="35"/>
      <c r="F250" s="35"/>
      <c r="G250" s="126"/>
      <c r="H250" s="35"/>
      <c r="I250" s="35"/>
      <c r="J250" s="35"/>
      <c r="K250" s="35"/>
      <c r="L250" s="35"/>
      <c r="M250" s="35"/>
      <c r="N250" s="35"/>
      <c r="O250" s="35"/>
      <c r="P250" s="35"/>
      <c r="Q250" s="35"/>
      <c r="R250" s="35"/>
      <c r="S250" s="35"/>
      <c r="T250" s="35"/>
      <c r="U250" s="35"/>
      <c r="V250" s="35"/>
      <c r="W250" s="35"/>
      <c r="X250" s="35"/>
    </row>
    <row r="251" spans="1:24" ht="13.5" customHeight="1" thickBot="1">
      <c r="A251" s="1297" t="s">
        <v>9</v>
      </c>
      <c r="B251" s="1281"/>
      <c r="C251" s="62">
        <f>(C252+C254+C256+C258)</f>
        <v>5694000</v>
      </c>
      <c r="D251" s="37"/>
      <c r="E251" s="35"/>
      <c r="F251" s="35"/>
      <c r="G251" s="126"/>
      <c r="H251" s="35"/>
      <c r="I251" s="35"/>
      <c r="J251" s="35"/>
      <c r="K251" s="35"/>
      <c r="L251" s="35"/>
      <c r="M251" s="35"/>
      <c r="N251" s="35"/>
      <c r="O251" s="35"/>
      <c r="P251" s="35"/>
      <c r="Q251" s="35"/>
      <c r="R251" s="35"/>
      <c r="S251" s="35"/>
      <c r="T251" s="35"/>
      <c r="U251" s="35"/>
      <c r="V251" s="35"/>
      <c r="W251" s="35"/>
      <c r="X251" s="35"/>
    </row>
    <row r="252" spans="1:24" s="831" customFormat="1" ht="13.5" customHeight="1">
      <c r="A252" s="48">
        <v>211201</v>
      </c>
      <c r="B252" s="76" t="s">
        <v>459</v>
      </c>
      <c r="C252" s="49">
        <f>C253</f>
        <v>330000</v>
      </c>
      <c r="D252" s="37"/>
      <c r="E252" s="38"/>
      <c r="F252" s="38"/>
      <c r="G252" s="39"/>
      <c r="H252" s="38"/>
      <c r="I252" s="38"/>
      <c r="J252" s="38"/>
      <c r="K252" s="38"/>
      <c r="L252" s="38"/>
      <c r="M252" s="38"/>
      <c r="N252" s="38"/>
      <c r="O252" s="38"/>
      <c r="P252" s="38"/>
      <c r="Q252" s="38"/>
      <c r="R252" s="38"/>
      <c r="S252" s="38"/>
      <c r="T252" s="38"/>
      <c r="U252" s="38"/>
      <c r="V252" s="38"/>
      <c r="W252" s="38"/>
      <c r="X252" s="38"/>
    </row>
    <row r="253" spans="1:24" ht="13.5" customHeight="1">
      <c r="A253" s="33">
        <v>21120101</v>
      </c>
      <c r="B253" s="23" t="s">
        <v>460</v>
      </c>
      <c r="C253" s="163">
        <f>300000+30000</f>
        <v>330000</v>
      </c>
      <c r="D253" s="37"/>
      <c r="E253" s="35"/>
      <c r="F253" s="35"/>
      <c r="G253" s="126"/>
      <c r="H253" s="35"/>
      <c r="I253" s="35"/>
      <c r="J253" s="35"/>
      <c r="K253" s="35"/>
      <c r="L253" s="35"/>
      <c r="M253" s="35"/>
      <c r="N253" s="35"/>
      <c r="O253" s="35"/>
      <c r="P253" s="35"/>
      <c r="Q253" s="35"/>
      <c r="R253" s="35"/>
      <c r="S253" s="35"/>
      <c r="T253" s="35"/>
      <c r="U253" s="35"/>
      <c r="V253" s="35"/>
      <c r="W253" s="35"/>
      <c r="X253" s="35"/>
    </row>
    <row r="254" spans="1:24" s="831" customFormat="1" ht="13.5" customHeight="1">
      <c r="A254" s="48">
        <v>211204</v>
      </c>
      <c r="B254" s="21" t="s">
        <v>463</v>
      </c>
      <c r="C254" s="26">
        <f>C255</f>
        <v>510000</v>
      </c>
      <c r="D254" s="37"/>
      <c r="E254" s="38"/>
      <c r="F254" s="38"/>
      <c r="G254" s="39"/>
      <c r="H254" s="38"/>
      <c r="I254" s="38"/>
      <c r="J254" s="38"/>
      <c r="K254" s="38"/>
      <c r="L254" s="38"/>
      <c r="M254" s="38"/>
      <c r="N254" s="38"/>
      <c r="O254" s="38"/>
      <c r="P254" s="38"/>
      <c r="Q254" s="38"/>
      <c r="R254" s="38"/>
      <c r="S254" s="38"/>
      <c r="T254" s="38"/>
      <c r="U254" s="38"/>
      <c r="V254" s="38"/>
      <c r="W254" s="38"/>
      <c r="X254" s="38"/>
    </row>
    <row r="255" spans="1:24" ht="13.5" customHeight="1">
      <c r="A255" s="33">
        <v>21120401</v>
      </c>
      <c r="B255" s="24" t="s">
        <v>464</v>
      </c>
      <c r="C255" s="24">
        <v>510000</v>
      </c>
      <c r="D255" s="37"/>
      <c r="E255" s="35"/>
      <c r="F255" s="35"/>
      <c r="G255" s="126"/>
      <c r="H255" s="35"/>
      <c r="I255" s="35"/>
      <c r="J255" s="35"/>
      <c r="K255" s="35"/>
      <c r="L255" s="35"/>
      <c r="M255" s="35"/>
      <c r="N255" s="35"/>
      <c r="O255" s="35"/>
      <c r="P255" s="35"/>
      <c r="Q255" s="35"/>
      <c r="R255" s="35"/>
      <c r="S255" s="35"/>
      <c r="T255" s="35"/>
      <c r="U255" s="35"/>
      <c r="V255" s="35"/>
      <c r="W255" s="35"/>
      <c r="X255" s="35"/>
    </row>
    <row r="256" spans="1:24" s="831" customFormat="1" ht="13.5" customHeight="1">
      <c r="A256" s="48">
        <v>211208</v>
      </c>
      <c r="B256" s="26" t="s">
        <v>474</v>
      </c>
      <c r="C256" s="26">
        <f>C257</f>
        <v>207500</v>
      </c>
      <c r="D256" s="37"/>
      <c r="E256" s="38"/>
      <c r="F256" s="38"/>
      <c r="G256" s="39"/>
      <c r="H256" s="38"/>
      <c r="I256" s="38"/>
      <c r="J256" s="38"/>
      <c r="K256" s="38"/>
      <c r="L256" s="38"/>
      <c r="M256" s="38"/>
      <c r="N256" s="38"/>
      <c r="O256" s="38"/>
      <c r="P256" s="38"/>
      <c r="Q256" s="38"/>
      <c r="R256" s="38"/>
      <c r="S256" s="38"/>
      <c r="T256" s="38"/>
      <c r="U256" s="38"/>
      <c r="V256" s="38"/>
      <c r="W256" s="38"/>
      <c r="X256" s="38"/>
    </row>
    <row r="257" spans="1:24" ht="13.5" customHeight="1">
      <c r="A257" s="33">
        <v>21120805</v>
      </c>
      <c r="B257" s="24" t="s">
        <v>476</v>
      </c>
      <c r="C257" s="24">
        <v>207500</v>
      </c>
      <c r="D257" s="37"/>
      <c r="E257" s="35"/>
      <c r="F257" s="35"/>
      <c r="G257" s="126"/>
      <c r="H257" s="35"/>
      <c r="I257" s="35"/>
      <c r="J257" s="35"/>
      <c r="K257" s="35"/>
      <c r="L257" s="35"/>
      <c r="M257" s="35"/>
      <c r="N257" s="35"/>
      <c r="O257" s="35"/>
      <c r="P257" s="35"/>
      <c r="Q257" s="35"/>
      <c r="R257" s="35"/>
      <c r="S257" s="35"/>
      <c r="T257" s="35"/>
      <c r="U257" s="35"/>
      <c r="V257" s="35"/>
      <c r="W257" s="35"/>
      <c r="X257" s="35"/>
    </row>
    <row r="258" spans="1:24" s="831" customFormat="1" ht="13.5" customHeight="1">
      <c r="A258" s="48">
        <v>211209</v>
      </c>
      <c r="B258" s="26" t="s">
        <v>477</v>
      </c>
      <c r="C258" s="26">
        <f>SUM(C259:C260)</f>
        <v>4646500</v>
      </c>
      <c r="D258" s="37"/>
      <c r="E258" s="38"/>
      <c r="F258" s="38"/>
      <c r="G258" s="39"/>
      <c r="H258" s="38"/>
      <c r="I258" s="38"/>
      <c r="J258" s="38"/>
      <c r="K258" s="38"/>
      <c r="L258" s="38"/>
      <c r="M258" s="38"/>
      <c r="N258" s="38"/>
      <c r="O258" s="38"/>
      <c r="P258" s="38"/>
      <c r="Q258" s="38"/>
      <c r="R258" s="38"/>
      <c r="S258" s="38"/>
      <c r="T258" s="38"/>
      <c r="U258" s="38"/>
      <c r="V258" s="38"/>
      <c r="W258" s="38"/>
      <c r="X258" s="38"/>
    </row>
    <row r="259" spans="1:24" ht="13.5" customHeight="1">
      <c r="A259" s="33">
        <v>21120901</v>
      </c>
      <c r="B259" s="24" t="s">
        <v>478</v>
      </c>
      <c r="C259" s="51">
        <v>500000</v>
      </c>
      <c r="D259" s="37"/>
      <c r="E259" s="35"/>
      <c r="F259" s="35"/>
      <c r="G259" s="126"/>
      <c r="H259" s="35"/>
      <c r="I259" s="35"/>
      <c r="J259" s="35"/>
      <c r="K259" s="35"/>
      <c r="L259" s="35"/>
      <c r="M259" s="35"/>
      <c r="N259" s="35"/>
      <c r="O259" s="35"/>
      <c r="P259" s="35"/>
      <c r="Q259" s="35"/>
      <c r="R259" s="35"/>
      <c r="S259" s="35"/>
      <c r="T259" s="35"/>
      <c r="U259" s="35"/>
      <c r="V259" s="35"/>
      <c r="W259" s="35"/>
      <c r="X259" s="35"/>
    </row>
    <row r="260" spans="1:24" ht="13.5" customHeight="1">
      <c r="A260" s="33">
        <v>21120906</v>
      </c>
      <c r="B260" s="24" t="s">
        <v>479</v>
      </c>
      <c r="C260" s="24">
        <f>5000000+46500-900000</f>
        <v>4146500</v>
      </c>
      <c r="D260" s="37"/>
      <c r="E260" s="35"/>
      <c r="F260" s="35"/>
      <c r="G260" s="126"/>
      <c r="H260" s="35"/>
      <c r="I260" s="35"/>
      <c r="J260" s="35"/>
      <c r="K260" s="35"/>
      <c r="L260" s="35"/>
      <c r="M260" s="35"/>
      <c r="N260" s="35"/>
      <c r="O260" s="35"/>
      <c r="P260" s="35"/>
      <c r="Q260" s="35"/>
      <c r="R260" s="35"/>
      <c r="S260" s="35"/>
      <c r="T260" s="35"/>
      <c r="U260" s="35"/>
      <c r="V260" s="35"/>
      <c r="W260" s="35"/>
      <c r="X260" s="35"/>
    </row>
    <row r="261" spans="1:24" ht="13.5" customHeight="1" thickBot="1">
      <c r="A261" s="33"/>
      <c r="B261" s="24"/>
      <c r="C261" s="24"/>
      <c r="D261" s="37"/>
      <c r="E261" s="35"/>
      <c r="F261" s="35"/>
      <c r="G261" s="126"/>
      <c r="H261" s="35"/>
      <c r="I261" s="35"/>
      <c r="J261" s="35"/>
      <c r="K261" s="35"/>
      <c r="L261" s="35"/>
      <c r="M261" s="35"/>
      <c r="N261" s="35"/>
      <c r="O261" s="35"/>
      <c r="P261" s="35"/>
      <c r="Q261" s="35"/>
      <c r="R261" s="35"/>
      <c r="S261" s="35"/>
      <c r="T261" s="35"/>
      <c r="U261" s="35"/>
      <c r="V261" s="35"/>
      <c r="W261" s="35"/>
      <c r="X261" s="35"/>
    </row>
    <row r="262" spans="1:24" ht="13.5" customHeight="1" thickBot="1">
      <c r="A262" s="1298" t="s">
        <v>4</v>
      </c>
      <c r="B262" s="1281"/>
      <c r="C262" s="64">
        <f>(C266+C263+C268)</f>
        <v>6837000</v>
      </c>
      <c r="D262" s="37"/>
      <c r="E262" s="35"/>
      <c r="F262" s="35"/>
      <c r="G262" s="126"/>
      <c r="H262" s="35"/>
      <c r="I262" s="35"/>
      <c r="J262" s="35"/>
      <c r="K262" s="35"/>
      <c r="L262" s="35"/>
      <c r="M262" s="35"/>
      <c r="N262" s="35"/>
      <c r="O262" s="35"/>
      <c r="P262" s="35"/>
      <c r="Q262" s="35"/>
      <c r="R262" s="35"/>
      <c r="S262" s="35"/>
      <c r="T262" s="35"/>
      <c r="U262" s="35"/>
      <c r="V262" s="35"/>
      <c r="W262" s="35"/>
      <c r="X262" s="35"/>
    </row>
    <row r="263" spans="1:24" s="831" customFormat="1" ht="13.5" customHeight="1">
      <c r="A263" s="48">
        <v>211303</v>
      </c>
      <c r="B263" s="26" t="s">
        <v>484</v>
      </c>
      <c r="C263" s="26">
        <f>+SUM(C264:C265)</f>
        <v>369000</v>
      </c>
      <c r="D263" s="37"/>
      <c r="E263" s="38"/>
      <c r="F263" s="38"/>
      <c r="G263" s="39"/>
      <c r="H263" s="38"/>
      <c r="I263" s="38"/>
      <c r="J263" s="38"/>
      <c r="K263" s="38"/>
      <c r="L263" s="38"/>
      <c r="M263" s="38"/>
      <c r="N263" s="38"/>
      <c r="O263" s="38"/>
      <c r="P263" s="38"/>
      <c r="Q263" s="38"/>
      <c r="R263" s="38"/>
      <c r="S263" s="38"/>
      <c r="T263" s="38"/>
      <c r="U263" s="38"/>
      <c r="V263" s="38"/>
      <c r="W263" s="38"/>
      <c r="X263" s="38"/>
    </row>
    <row r="264" spans="1:24" ht="13.5" customHeight="1">
      <c r="A264" s="33">
        <v>21130301</v>
      </c>
      <c r="B264" s="24" t="s">
        <v>485</v>
      </c>
      <c r="C264" s="51">
        <v>289000</v>
      </c>
      <c r="D264" s="37"/>
      <c r="E264" s="35"/>
      <c r="F264" s="35"/>
      <c r="G264" s="126"/>
      <c r="H264" s="35"/>
      <c r="I264" s="35"/>
      <c r="J264" s="35"/>
      <c r="K264" s="35"/>
      <c r="L264" s="35"/>
      <c r="M264" s="35"/>
      <c r="N264" s="35"/>
      <c r="O264" s="35"/>
      <c r="P264" s="35"/>
      <c r="Q264" s="35"/>
      <c r="R264" s="35"/>
      <c r="S264" s="35"/>
      <c r="T264" s="35"/>
      <c r="U264" s="35"/>
      <c r="V264" s="35"/>
      <c r="W264" s="35"/>
      <c r="X264" s="35"/>
    </row>
    <row r="265" spans="1:24" ht="13.5" customHeight="1">
      <c r="A265" s="33">
        <v>21130307</v>
      </c>
      <c r="B265" s="24" t="s">
        <v>488</v>
      </c>
      <c r="C265" s="24">
        <v>80000</v>
      </c>
      <c r="D265" s="37"/>
      <c r="E265" s="35"/>
      <c r="F265" s="35"/>
      <c r="G265" s="126"/>
      <c r="H265" s="35"/>
      <c r="I265" s="35"/>
      <c r="J265" s="35"/>
      <c r="K265" s="35"/>
      <c r="L265" s="35"/>
      <c r="M265" s="35"/>
      <c r="N265" s="35"/>
      <c r="O265" s="35"/>
      <c r="P265" s="35"/>
      <c r="Q265" s="35"/>
      <c r="R265" s="35"/>
      <c r="S265" s="35"/>
      <c r="T265" s="35"/>
      <c r="U265" s="35"/>
      <c r="V265" s="35"/>
      <c r="W265" s="35"/>
      <c r="X265" s="35"/>
    </row>
    <row r="266" spans="1:24" s="831" customFormat="1" ht="13.5" customHeight="1">
      <c r="A266" s="48">
        <v>211305</v>
      </c>
      <c r="B266" s="21" t="s">
        <v>489</v>
      </c>
      <c r="C266" s="26">
        <f>C267</f>
        <v>5013500</v>
      </c>
      <c r="D266" s="37"/>
      <c r="E266" s="38"/>
      <c r="F266" s="38"/>
      <c r="G266" s="39"/>
      <c r="H266" s="38"/>
      <c r="I266" s="38"/>
      <c r="J266" s="38"/>
      <c r="K266" s="38"/>
      <c r="L266" s="38"/>
      <c r="M266" s="38"/>
      <c r="N266" s="38"/>
      <c r="O266" s="38"/>
      <c r="P266" s="38"/>
      <c r="Q266" s="38"/>
      <c r="R266" s="38"/>
      <c r="S266" s="38"/>
      <c r="T266" s="38"/>
      <c r="U266" s="38"/>
      <c r="V266" s="38"/>
      <c r="W266" s="38"/>
      <c r="X266" s="38"/>
    </row>
    <row r="267" spans="1:24" ht="13.5" customHeight="1">
      <c r="A267" s="33">
        <v>21130502</v>
      </c>
      <c r="B267" s="24" t="s">
        <v>491</v>
      </c>
      <c r="C267" s="51">
        <v>5013500</v>
      </c>
      <c r="D267" s="37"/>
      <c r="E267" s="35"/>
      <c r="F267" s="35"/>
      <c r="G267" s="126"/>
      <c r="H267" s="35"/>
      <c r="I267" s="35"/>
      <c r="J267" s="35"/>
      <c r="K267" s="35"/>
      <c r="L267" s="35"/>
      <c r="M267" s="35"/>
      <c r="N267" s="35"/>
      <c r="O267" s="35"/>
      <c r="P267" s="35"/>
      <c r="Q267" s="35"/>
      <c r="R267" s="35"/>
      <c r="S267" s="35"/>
      <c r="T267" s="35"/>
      <c r="U267" s="35"/>
      <c r="V267" s="35"/>
      <c r="W267" s="35"/>
      <c r="X267" s="35"/>
    </row>
    <row r="268" spans="1:24" s="831" customFormat="1" ht="13.5" customHeight="1">
      <c r="A268" s="48">
        <v>211309</v>
      </c>
      <c r="B268" s="26" t="s">
        <v>496</v>
      </c>
      <c r="C268" s="26">
        <f>SUM(C269:C271)</f>
        <v>1454500</v>
      </c>
      <c r="D268" s="37"/>
      <c r="E268" s="38"/>
      <c r="F268" s="38"/>
      <c r="G268" s="39"/>
      <c r="H268" s="38"/>
      <c r="I268" s="38"/>
      <c r="J268" s="38"/>
      <c r="K268" s="38"/>
      <c r="L268" s="38"/>
      <c r="M268" s="38"/>
      <c r="N268" s="38"/>
      <c r="O268" s="38"/>
      <c r="P268" s="38"/>
      <c r="Q268" s="38"/>
      <c r="R268" s="38"/>
      <c r="S268" s="38"/>
      <c r="T268" s="38"/>
      <c r="U268" s="38"/>
      <c r="V268" s="38"/>
      <c r="W268" s="38"/>
      <c r="X268" s="38"/>
    </row>
    <row r="269" spans="1:24" ht="13.5" customHeight="1">
      <c r="A269" s="33">
        <v>21130901</v>
      </c>
      <c r="B269" s="24" t="s">
        <v>497</v>
      </c>
      <c r="C269" s="51">
        <v>1200000</v>
      </c>
      <c r="D269" s="37"/>
      <c r="E269" s="35"/>
      <c r="F269" s="35"/>
      <c r="G269" s="126"/>
      <c r="H269" s="35"/>
      <c r="I269" s="35"/>
      <c r="J269" s="35"/>
      <c r="K269" s="35"/>
      <c r="L269" s="35"/>
      <c r="M269" s="35"/>
      <c r="N269" s="35"/>
      <c r="O269" s="35"/>
      <c r="P269" s="35"/>
      <c r="Q269" s="35"/>
      <c r="R269" s="35"/>
      <c r="S269" s="35"/>
      <c r="T269" s="35"/>
      <c r="U269" s="35"/>
      <c r="V269" s="35"/>
      <c r="W269" s="35"/>
      <c r="X269" s="35"/>
    </row>
    <row r="270" spans="1:24" ht="13.5" customHeight="1">
      <c r="A270" s="33">
        <v>21130903</v>
      </c>
      <c r="B270" s="24" t="s">
        <v>498</v>
      </c>
      <c r="C270" s="24">
        <f>60000+4500</f>
        <v>64500</v>
      </c>
      <c r="D270" s="37"/>
      <c r="E270" s="35"/>
      <c r="F270" s="35"/>
      <c r="G270" s="126"/>
      <c r="H270" s="35"/>
      <c r="I270" s="35"/>
      <c r="J270" s="35"/>
      <c r="K270" s="35"/>
      <c r="L270" s="35"/>
      <c r="M270" s="35"/>
      <c r="N270" s="35"/>
      <c r="O270" s="35"/>
      <c r="P270" s="35"/>
      <c r="Q270" s="35"/>
      <c r="R270" s="35"/>
      <c r="S270" s="35"/>
      <c r="T270" s="35"/>
      <c r="U270" s="35"/>
      <c r="V270" s="35"/>
      <c r="W270" s="35"/>
      <c r="X270" s="35"/>
    </row>
    <row r="271" spans="1:24" ht="13.5" customHeight="1">
      <c r="A271" s="33">
        <v>21130908</v>
      </c>
      <c r="B271" s="24" t="s">
        <v>500</v>
      </c>
      <c r="C271" s="51">
        <f>-60000+250000</f>
        <v>190000</v>
      </c>
      <c r="D271" s="37"/>
      <c r="E271" s="35"/>
      <c r="F271" s="35"/>
      <c r="G271" s="126"/>
      <c r="H271" s="35"/>
      <c r="I271" s="35"/>
      <c r="J271" s="35"/>
      <c r="K271" s="35"/>
      <c r="L271" s="35"/>
      <c r="M271" s="35"/>
      <c r="N271" s="35"/>
      <c r="O271" s="35"/>
      <c r="P271" s="35"/>
      <c r="Q271" s="35"/>
      <c r="R271" s="35"/>
      <c r="S271" s="35"/>
      <c r="T271" s="35"/>
      <c r="U271" s="35"/>
      <c r="V271" s="35"/>
      <c r="W271" s="35"/>
      <c r="X271" s="35"/>
    </row>
    <row r="272" spans="1:24" ht="13.5" customHeight="1" thickBot="1">
      <c r="A272" s="23"/>
      <c r="B272" s="24"/>
      <c r="C272" s="51"/>
      <c r="D272" s="37"/>
      <c r="E272" s="35"/>
      <c r="F272" s="35"/>
      <c r="G272" s="126"/>
      <c r="H272" s="35"/>
      <c r="I272" s="35"/>
      <c r="J272" s="35"/>
      <c r="K272" s="35"/>
      <c r="L272" s="35"/>
      <c r="M272" s="35"/>
      <c r="N272" s="35"/>
      <c r="O272" s="35"/>
      <c r="P272" s="35"/>
      <c r="Q272" s="35"/>
      <c r="R272" s="35"/>
      <c r="S272" s="35"/>
      <c r="T272" s="35"/>
      <c r="U272" s="35"/>
      <c r="V272" s="35"/>
      <c r="W272" s="35"/>
      <c r="X272" s="35"/>
    </row>
    <row r="273" spans="1:24" ht="13.5" customHeight="1" thickBot="1">
      <c r="A273" s="1357" t="s">
        <v>45</v>
      </c>
      <c r="B273" s="1281"/>
      <c r="C273" s="228">
        <f>C274+C276</f>
        <v>80500000</v>
      </c>
      <c r="D273" s="213"/>
      <c r="E273" s="221"/>
      <c r="F273" s="229"/>
      <c r="G273" s="72"/>
      <c r="H273" s="230"/>
      <c r="I273" s="135"/>
      <c r="J273" s="211"/>
      <c r="K273" s="211"/>
      <c r="L273" s="211"/>
      <c r="M273" s="211"/>
      <c r="N273" s="211"/>
      <c r="O273" s="211"/>
      <c r="P273" s="211"/>
      <c r="Q273" s="211"/>
      <c r="R273" s="211"/>
      <c r="S273" s="211"/>
      <c r="T273" s="211"/>
      <c r="U273" s="211"/>
      <c r="V273" s="211"/>
      <c r="W273" s="211"/>
    </row>
    <row r="274" spans="1:24" ht="13.5" customHeight="1">
      <c r="A274" s="76">
        <v>211402</v>
      </c>
      <c r="B274" s="76" t="s">
        <v>795</v>
      </c>
      <c r="C274" s="155">
        <f>C275</f>
        <v>40300000</v>
      </c>
      <c r="D274" s="213"/>
      <c r="E274" s="221"/>
      <c r="F274" s="229"/>
      <c r="G274" s="72"/>
      <c r="H274" s="230"/>
      <c r="I274" s="135"/>
      <c r="J274" s="211"/>
      <c r="K274" s="211"/>
      <c r="L274" s="211"/>
      <c r="M274" s="211"/>
      <c r="N274" s="211"/>
      <c r="O274" s="211"/>
      <c r="P274" s="211"/>
      <c r="Q274" s="211"/>
      <c r="R274" s="211"/>
      <c r="S274" s="211"/>
      <c r="T274" s="211"/>
      <c r="U274" s="211"/>
      <c r="V274" s="211"/>
      <c r="W274" s="211"/>
    </row>
    <row r="275" spans="1:24" ht="13.5" customHeight="1">
      <c r="A275" s="154">
        <v>21140107</v>
      </c>
      <c r="B275" s="100" t="s">
        <v>585</v>
      </c>
      <c r="C275" s="72">
        <f>40000000+300000</f>
        <v>40300000</v>
      </c>
      <c r="D275" s="213"/>
      <c r="E275" s="221"/>
      <c r="F275" s="229"/>
      <c r="G275" s="72"/>
      <c r="H275" s="230"/>
      <c r="I275" s="135"/>
      <c r="J275" s="211"/>
      <c r="K275" s="211"/>
      <c r="L275" s="211"/>
      <c r="M275" s="211"/>
      <c r="N275" s="211"/>
      <c r="O275" s="211"/>
      <c r="P275" s="211"/>
      <c r="Q275" s="211"/>
      <c r="R275" s="211"/>
      <c r="S275" s="211"/>
      <c r="T275" s="211"/>
      <c r="U275" s="211"/>
      <c r="V275" s="211"/>
      <c r="W275" s="211"/>
    </row>
    <row r="276" spans="1:24" ht="13.5" customHeight="1">
      <c r="A276" s="76">
        <v>211402</v>
      </c>
      <c r="B276" s="76" t="s">
        <v>503</v>
      </c>
      <c r="C276" s="155">
        <f>C277</f>
        <v>40200000</v>
      </c>
      <c r="D276" s="154"/>
      <c r="E276" s="215"/>
      <c r="F276" s="231"/>
      <c r="G276" s="216"/>
      <c r="H276" s="216"/>
      <c r="I276" s="100"/>
      <c r="J276" s="100"/>
      <c r="K276" s="100"/>
      <c r="L276" s="100"/>
      <c r="M276" s="100"/>
      <c r="N276" s="100"/>
      <c r="O276" s="100"/>
      <c r="P276" s="100"/>
      <c r="Q276" s="100"/>
      <c r="R276" s="100"/>
      <c r="S276" s="100"/>
      <c r="T276" s="100"/>
      <c r="U276" s="100"/>
      <c r="V276" s="100"/>
      <c r="W276" s="100"/>
    </row>
    <row r="277" spans="1:24" ht="13.5" customHeight="1">
      <c r="A277" s="154">
        <v>21140215</v>
      </c>
      <c r="B277" s="100" t="s">
        <v>801</v>
      </c>
      <c r="C277" s="72">
        <f>40000000+200000</f>
        <v>40200000</v>
      </c>
      <c r="D277" s="211"/>
      <c r="E277" s="201"/>
      <c r="F277" s="211"/>
      <c r="G277" s="211"/>
      <c r="H277" s="211"/>
      <c r="I277" s="135"/>
      <c r="J277" s="211"/>
      <c r="K277" s="211"/>
      <c r="L277" s="211"/>
      <c r="M277" s="211"/>
      <c r="N277" s="211"/>
      <c r="O277" s="211"/>
      <c r="P277" s="211"/>
      <c r="Q277" s="211"/>
      <c r="R277" s="211"/>
      <c r="S277" s="211"/>
      <c r="T277" s="211"/>
      <c r="U277" s="211"/>
      <c r="V277" s="211"/>
      <c r="W277" s="211"/>
    </row>
    <row r="278" spans="1:24" ht="13.5" customHeight="1" thickBot="1">
      <c r="A278" s="23"/>
      <c r="B278" s="24"/>
      <c r="C278" s="24"/>
      <c r="D278" s="37"/>
      <c r="E278" s="35"/>
      <c r="F278" s="35"/>
      <c r="G278" s="126"/>
      <c r="H278" s="35"/>
      <c r="I278" s="35"/>
      <c r="J278" s="35"/>
      <c r="K278" s="35"/>
      <c r="L278" s="35"/>
      <c r="M278" s="35"/>
      <c r="N278" s="35"/>
      <c r="O278" s="35"/>
      <c r="P278" s="35"/>
      <c r="Q278" s="35"/>
      <c r="R278" s="35"/>
      <c r="S278" s="35"/>
      <c r="T278" s="35"/>
      <c r="U278" s="35"/>
      <c r="V278" s="35"/>
      <c r="W278" s="35"/>
      <c r="X278" s="35"/>
    </row>
    <row r="279" spans="1:24" ht="13.5" customHeight="1" thickBot="1">
      <c r="A279" s="1299" t="s">
        <v>48</v>
      </c>
      <c r="B279" s="1281"/>
      <c r="C279" s="65">
        <f>(C282+C280+C284)</f>
        <v>170000</v>
      </c>
      <c r="D279" s="37"/>
      <c r="E279" s="35"/>
      <c r="F279" s="35"/>
      <c r="G279" s="126"/>
      <c r="H279" s="35"/>
      <c r="I279" s="35"/>
      <c r="J279" s="35"/>
      <c r="K279" s="35"/>
      <c r="L279" s="35"/>
      <c r="M279" s="35"/>
      <c r="N279" s="35"/>
      <c r="O279" s="35"/>
      <c r="P279" s="35"/>
      <c r="Q279" s="35"/>
      <c r="R279" s="35"/>
      <c r="S279" s="35"/>
      <c r="T279" s="35"/>
      <c r="U279" s="35"/>
      <c r="V279" s="35"/>
      <c r="W279" s="35"/>
      <c r="X279" s="35"/>
    </row>
    <row r="280" spans="1:24" s="831" customFormat="1" ht="13.5" customHeight="1">
      <c r="A280" s="48">
        <v>221102</v>
      </c>
      <c r="B280" s="21" t="s">
        <v>543</v>
      </c>
      <c r="C280" s="26">
        <f>SUM(C281)</f>
        <v>30000</v>
      </c>
      <c r="D280" s="37"/>
      <c r="E280" s="38"/>
      <c r="F280" s="38"/>
      <c r="G280" s="39"/>
      <c r="H280" s="38"/>
      <c r="I280" s="38"/>
      <c r="J280" s="38"/>
      <c r="K280" s="38"/>
      <c r="L280" s="38"/>
      <c r="M280" s="38"/>
      <c r="N280" s="38"/>
      <c r="O280" s="38"/>
      <c r="P280" s="38"/>
      <c r="Q280" s="38"/>
      <c r="R280" s="38"/>
      <c r="S280" s="38"/>
      <c r="T280" s="38"/>
      <c r="U280" s="38"/>
      <c r="V280" s="38"/>
      <c r="W280" s="38"/>
      <c r="X280" s="38"/>
    </row>
    <row r="281" spans="1:24" ht="13.5" customHeight="1">
      <c r="A281" s="33">
        <v>22110205</v>
      </c>
      <c r="B281" s="23" t="s">
        <v>546</v>
      </c>
      <c r="C281" s="51">
        <v>30000</v>
      </c>
      <c r="D281" s="37"/>
      <c r="E281" s="35"/>
      <c r="F281" s="35"/>
      <c r="G281" s="126"/>
      <c r="H281" s="35"/>
      <c r="I281" s="35"/>
      <c r="J281" s="35"/>
      <c r="K281" s="35"/>
      <c r="L281" s="35"/>
      <c r="M281" s="35"/>
      <c r="N281" s="35"/>
      <c r="O281" s="35"/>
      <c r="P281" s="35"/>
      <c r="Q281" s="35"/>
      <c r="R281" s="35"/>
      <c r="S281" s="35"/>
      <c r="T281" s="35"/>
      <c r="U281" s="35"/>
      <c r="V281" s="35"/>
      <c r="W281" s="35"/>
      <c r="X281" s="35"/>
    </row>
    <row r="282" spans="1:24" s="831" customFormat="1" ht="13.5" customHeight="1">
      <c r="A282" s="48">
        <v>221104</v>
      </c>
      <c r="B282" s="76" t="s">
        <v>510</v>
      </c>
      <c r="C282" s="36">
        <f>SUM(C283)</f>
        <v>90000</v>
      </c>
      <c r="D282" s="37"/>
      <c r="E282" s="38"/>
      <c r="F282" s="38"/>
      <c r="G282" s="39"/>
      <c r="H282" s="38"/>
      <c r="I282" s="38"/>
      <c r="J282" s="38"/>
      <c r="K282" s="38"/>
      <c r="L282" s="38"/>
      <c r="M282" s="38"/>
      <c r="N282" s="38"/>
      <c r="O282" s="38"/>
      <c r="P282" s="38"/>
      <c r="Q282" s="38"/>
      <c r="R282" s="38"/>
      <c r="S282" s="38"/>
      <c r="T282" s="38"/>
      <c r="U282" s="38"/>
      <c r="V282" s="38"/>
      <c r="W282" s="38"/>
      <c r="X282" s="38"/>
    </row>
    <row r="283" spans="1:24" ht="13.5" customHeight="1">
      <c r="A283" s="33">
        <v>22110401</v>
      </c>
      <c r="B283" s="23" t="s">
        <v>511</v>
      </c>
      <c r="C283" s="24">
        <v>90000</v>
      </c>
      <c r="D283" s="37"/>
      <c r="E283" s="35"/>
      <c r="F283" s="35"/>
      <c r="G283" s="126"/>
      <c r="H283" s="35"/>
      <c r="I283" s="35"/>
      <c r="J283" s="35"/>
      <c r="K283" s="35"/>
      <c r="L283" s="35"/>
      <c r="M283" s="35"/>
      <c r="N283" s="35"/>
      <c r="O283" s="35"/>
      <c r="P283" s="35"/>
      <c r="Q283" s="35"/>
      <c r="R283" s="35"/>
      <c r="S283" s="35"/>
      <c r="T283" s="35"/>
      <c r="U283" s="35"/>
      <c r="V283" s="35"/>
      <c r="W283" s="35"/>
      <c r="X283" s="35"/>
    </row>
    <row r="284" spans="1:24" s="831" customFormat="1" ht="13.5" customHeight="1">
      <c r="A284" s="76">
        <v>221107</v>
      </c>
      <c r="B284" s="21" t="s">
        <v>514</v>
      </c>
      <c r="C284" s="26">
        <f>SUM(C285)</f>
        <v>50000</v>
      </c>
      <c r="D284" s="37"/>
      <c r="E284" s="38"/>
      <c r="F284" s="38"/>
      <c r="G284" s="39"/>
      <c r="H284" s="38"/>
      <c r="I284" s="38"/>
      <c r="J284" s="38"/>
      <c r="K284" s="38"/>
      <c r="L284" s="38"/>
      <c r="M284" s="38"/>
      <c r="N284" s="38"/>
      <c r="O284" s="38"/>
      <c r="P284" s="38"/>
      <c r="Q284" s="38"/>
      <c r="R284" s="38"/>
      <c r="S284" s="38"/>
      <c r="T284" s="38"/>
      <c r="U284" s="38"/>
      <c r="V284" s="38"/>
      <c r="W284" s="38"/>
      <c r="X284" s="38"/>
    </row>
    <row r="285" spans="1:24" ht="13.5" customHeight="1">
      <c r="A285" s="154">
        <v>22110702</v>
      </c>
      <c r="B285" s="23" t="s">
        <v>515</v>
      </c>
      <c r="C285" s="72">
        <v>50000</v>
      </c>
      <c r="D285" s="37"/>
      <c r="E285" s="35"/>
      <c r="F285" s="35"/>
      <c r="G285" s="126"/>
      <c r="H285" s="35"/>
      <c r="I285" s="35"/>
      <c r="J285" s="35"/>
      <c r="K285" s="35"/>
      <c r="L285" s="35"/>
      <c r="M285" s="35"/>
      <c r="N285" s="35"/>
      <c r="O285" s="35"/>
      <c r="P285" s="35"/>
      <c r="Q285" s="35"/>
      <c r="R285" s="35"/>
      <c r="S285" s="35"/>
      <c r="T285" s="35"/>
      <c r="U285" s="35"/>
      <c r="V285" s="35"/>
      <c r="W285" s="35"/>
      <c r="X285" s="35"/>
    </row>
    <row r="286" spans="1:24" ht="13.5" customHeight="1">
      <c r="A286" s="100"/>
      <c r="B286" s="23"/>
      <c r="C286" s="72"/>
      <c r="D286" s="37"/>
      <c r="E286" s="35"/>
      <c r="F286" s="35"/>
      <c r="G286" s="126"/>
      <c r="H286" s="35"/>
      <c r="I286" s="35"/>
      <c r="J286" s="35"/>
      <c r="K286" s="35"/>
      <c r="L286" s="35"/>
      <c r="M286" s="35"/>
      <c r="N286" s="35"/>
      <c r="O286" s="35"/>
      <c r="P286" s="35"/>
      <c r="Q286" s="35"/>
      <c r="R286" s="35"/>
      <c r="S286" s="35"/>
      <c r="T286" s="35"/>
      <c r="U286" s="35"/>
      <c r="V286" s="35"/>
      <c r="W286" s="35"/>
      <c r="X286" s="35"/>
    </row>
    <row r="287" spans="1:24" ht="13.5" customHeight="1" thickBot="1">
      <c r="A287" s="23"/>
      <c r="B287" s="23"/>
      <c r="C287" s="24"/>
      <c r="D287" s="37"/>
      <c r="E287" s="35"/>
      <c r="F287" s="35"/>
      <c r="G287" s="126"/>
      <c r="H287" s="35"/>
      <c r="I287" s="35"/>
      <c r="J287" s="35"/>
      <c r="K287" s="35"/>
      <c r="L287" s="35"/>
      <c r="M287" s="35"/>
      <c r="N287" s="35"/>
      <c r="O287" s="35"/>
      <c r="P287" s="35"/>
      <c r="Q287" s="35"/>
      <c r="R287" s="35"/>
      <c r="S287" s="35"/>
      <c r="T287" s="35"/>
      <c r="U287" s="35"/>
      <c r="V287" s="35"/>
      <c r="W287" s="35"/>
      <c r="X287" s="35"/>
    </row>
    <row r="288" spans="1:24" ht="13.5" customHeight="1">
      <c r="A288" s="1383" t="s">
        <v>756</v>
      </c>
      <c r="B288" s="1384"/>
      <c r="C288" s="1153">
        <v>1606</v>
      </c>
      <c r="D288" s="37"/>
      <c r="E288" s="35"/>
      <c r="F288" s="35"/>
      <c r="G288" s="126"/>
      <c r="H288" s="35"/>
      <c r="I288" s="35"/>
      <c r="J288" s="35"/>
      <c r="K288" s="35"/>
      <c r="L288" s="35"/>
      <c r="M288" s="35"/>
      <c r="N288" s="35"/>
      <c r="O288" s="35"/>
      <c r="P288" s="35"/>
      <c r="Q288" s="35"/>
      <c r="R288" s="35"/>
      <c r="S288" s="35"/>
      <c r="T288" s="35"/>
      <c r="U288" s="35"/>
      <c r="V288" s="35"/>
      <c r="W288" s="35"/>
      <c r="X288" s="35"/>
    </row>
    <row r="289" spans="1:24" ht="13.5" customHeight="1" thickBot="1">
      <c r="A289" s="1385"/>
      <c r="B289" s="1386"/>
      <c r="C289" s="1196"/>
      <c r="D289" s="37"/>
      <c r="E289" s="35"/>
      <c r="F289" s="35"/>
      <c r="G289" s="126"/>
      <c r="H289" s="35"/>
      <c r="I289" s="35"/>
      <c r="J289" s="35"/>
      <c r="K289" s="35"/>
      <c r="L289" s="35"/>
      <c r="M289" s="35"/>
      <c r="N289" s="35"/>
      <c r="O289" s="35"/>
      <c r="P289" s="35"/>
      <c r="Q289" s="35"/>
      <c r="R289" s="35"/>
      <c r="S289" s="35"/>
      <c r="T289" s="35"/>
      <c r="U289" s="35"/>
      <c r="V289" s="35"/>
      <c r="W289" s="35"/>
      <c r="X289" s="35"/>
    </row>
    <row r="290" spans="1:24" ht="13.5" customHeight="1">
      <c r="A290" s="1088" t="s">
        <v>671</v>
      </c>
      <c r="B290" s="612"/>
      <c r="C290" s="626"/>
      <c r="D290" s="37"/>
      <c r="E290" s="35"/>
      <c r="F290" s="35"/>
      <c r="G290" s="126"/>
      <c r="H290" s="35"/>
      <c r="I290" s="35"/>
      <c r="J290" s="35"/>
      <c r="K290" s="35"/>
      <c r="L290" s="35"/>
      <c r="M290" s="35"/>
      <c r="N290" s="35"/>
      <c r="O290" s="35"/>
      <c r="P290" s="35"/>
      <c r="Q290" s="35"/>
      <c r="R290" s="35"/>
      <c r="S290" s="35"/>
      <c r="T290" s="35"/>
      <c r="U290" s="35"/>
      <c r="V290" s="35"/>
      <c r="W290" s="35"/>
      <c r="X290" s="35"/>
    </row>
    <row r="291" spans="1:24" ht="13.5" customHeight="1">
      <c r="A291" s="609" t="s">
        <v>753</v>
      </c>
      <c r="B291" s="612"/>
      <c r="C291" s="626"/>
      <c r="D291" s="37"/>
      <c r="E291" s="35"/>
      <c r="F291" s="35"/>
      <c r="G291" s="126"/>
      <c r="H291" s="35"/>
      <c r="I291" s="35"/>
      <c r="J291" s="35"/>
      <c r="K291" s="35"/>
      <c r="L291" s="35"/>
      <c r="M291" s="35"/>
      <c r="N291" s="35"/>
      <c r="O291" s="35"/>
      <c r="P291" s="35"/>
      <c r="Q291" s="35"/>
      <c r="R291" s="35"/>
      <c r="S291" s="35"/>
      <c r="T291" s="35"/>
      <c r="U291" s="35"/>
      <c r="V291" s="35"/>
      <c r="W291" s="35"/>
      <c r="X291" s="35"/>
    </row>
    <row r="292" spans="1:24" ht="13.5" customHeight="1">
      <c r="A292" s="609" t="s">
        <v>754</v>
      </c>
      <c r="B292" s="612"/>
      <c r="C292" s="626"/>
      <c r="D292" s="37"/>
      <c r="E292" s="35"/>
      <c r="F292" s="35"/>
      <c r="G292" s="126"/>
      <c r="H292" s="35"/>
      <c r="I292" s="35"/>
      <c r="J292" s="35"/>
      <c r="K292" s="35"/>
      <c r="L292" s="35"/>
      <c r="M292" s="35"/>
      <c r="N292" s="35"/>
      <c r="O292" s="35"/>
      <c r="P292" s="35"/>
      <c r="Q292" s="35"/>
      <c r="R292" s="35"/>
      <c r="S292" s="35"/>
      <c r="T292" s="35"/>
      <c r="U292" s="35"/>
      <c r="V292" s="35"/>
      <c r="W292" s="35"/>
      <c r="X292" s="35"/>
    </row>
    <row r="293" spans="1:24" ht="13.5" customHeight="1" thickBot="1">
      <c r="A293" s="1089" t="s">
        <v>59</v>
      </c>
      <c r="B293" s="612"/>
      <c r="C293" s="626"/>
      <c r="D293" s="37"/>
      <c r="E293" s="35"/>
      <c r="F293" s="35"/>
      <c r="G293" s="126"/>
      <c r="H293" s="35"/>
      <c r="I293" s="35"/>
      <c r="J293" s="35"/>
      <c r="K293" s="35"/>
      <c r="L293" s="35"/>
      <c r="M293" s="35"/>
      <c r="N293" s="35"/>
      <c r="O293" s="35"/>
      <c r="P293" s="35"/>
      <c r="Q293" s="35"/>
      <c r="R293" s="35"/>
      <c r="S293" s="35"/>
      <c r="T293" s="35"/>
      <c r="U293" s="35"/>
      <c r="V293" s="35"/>
      <c r="W293" s="35"/>
      <c r="X293" s="35"/>
    </row>
    <row r="294" spans="1:24" ht="13.5" customHeight="1" thickBot="1">
      <c r="A294" s="1171" t="s">
        <v>60</v>
      </c>
      <c r="B294" s="1197"/>
      <c r="C294" s="1033">
        <f>(C296+C307+C318)</f>
        <v>8845500</v>
      </c>
      <c r="D294" s="37"/>
      <c r="E294" s="35"/>
      <c r="F294" s="35"/>
      <c r="G294" s="126"/>
      <c r="H294" s="35"/>
      <c r="I294" s="35"/>
      <c r="J294" s="35"/>
      <c r="K294" s="35"/>
      <c r="L294" s="35"/>
      <c r="M294" s="35"/>
      <c r="N294" s="35"/>
      <c r="O294" s="35"/>
      <c r="P294" s="35"/>
      <c r="Q294" s="35"/>
      <c r="R294" s="35"/>
      <c r="S294" s="35"/>
      <c r="T294" s="35"/>
      <c r="U294" s="35"/>
      <c r="V294" s="35"/>
      <c r="W294" s="35"/>
      <c r="X294" s="35"/>
    </row>
    <row r="295" spans="1:24" ht="13.5" customHeight="1" thickBot="1">
      <c r="A295" s="75"/>
      <c r="B295" s="100"/>
      <c r="C295" s="36"/>
      <c r="D295" s="37"/>
      <c r="E295" s="35"/>
      <c r="F295" s="35"/>
      <c r="G295" s="126"/>
      <c r="H295" s="35"/>
      <c r="I295" s="35"/>
      <c r="J295" s="35"/>
      <c r="K295" s="35"/>
      <c r="L295" s="35"/>
      <c r="M295" s="35"/>
      <c r="N295" s="35"/>
      <c r="O295" s="35"/>
      <c r="P295" s="35"/>
      <c r="Q295" s="35"/>
      <c r="R295" s="35"/>
      <c r="S295" s="35"/>
      <c r="T295" s="35"/>
      <c r="U295" s="35"/>
      <c r="V295" s="35"/>
      <c r="W295" s="35"/>
      <c r="X295" s="35"/>
    </row>
    <row r="296" spans="1:24" ht="13.5" customHeight="1" thickBot="1">
      <c r="A296" s="1297" t="s">
        <v>9</v>
      </c>
      <c r="B296" s="1281"/>
      <c r="C296" s="62">
        <f>(C297+C299+C301+C303)</f>
        <v>5202000</v>
      </c>
      <c r="D296" s="37"/>
      <c r="E296" s="35"/>
      <c r="F296" s="35"/>
      <c r="G296" s="126"/>
      <c r="H296" s="35"/>
      <c r="I296" s="35"/>
      <c r="J296" s="35"/>
      <c r="K296" s="35"/>
      <c r="L296" s="35"/>
      <c r="M296" s="35"/>
      <c r="N296" s="35"/>
      <c r="O296" s="35"/>
      <c r="P296" s="35"/>
      <c r="Q296" s="35"/>
      <c r="R296" s="35"/>
      <c r="S296" s="35"/>
      <c r="T296" s="35"/>
      <c r="U296" s="35"/>
      <c r="V296" s="35"/>
      <c r="W296" s="35"/>
      <c r="X296" s="35"/>
    </row>
    <row r="297" spans="1:24" s="831" customFormat="1" ht="13.5" customHeight="1">
      <c r="A297" s="48">
        <v>211201</v>
      </c>
      <c r="B297" s="76" t="s">
        <v>459</v>
      </c>
      <c r="C297" s="49">
        <f>C298</f>
        <v>360000</v>
      </c>
      <c r="D297" s="37"/>
      <c r="E297" s="38"/>
      <c r="F297" s="38"/>
      <c r="G297" s="39"/>
      <c r="H297" s="38"/>
      <c r="I297" s="38"/>
      <c r="J297" s="38"/>
      <c r="K297" s="38"/>
      <c r="L297" s="38"/>
      <c r="M297" s="38"/>
      <c r="N297" s="38"/>
      <c r="O297" s="38"/>
      <c r="P297" s="38"/>
      <c r="Q297" s="38"/>
      <c r="R297" s="38"/>
      <c r="S297" s="38"/>
      <c r="T297" s="38"/>
      <c r="U297" s="38"/>
      <c r="V297" s="38"/>
      <c r="W297" s="38"/>
      <c r="X297" s="38"/>
    </row>
    <row r="298" spans="1:24" ht="13.5" customHeight="1">
      <c r="A298" s="33">
        <v>21120101</v>
      </c>
      <c r="B298" s="23" t="s">
        <v>460</v>
      </c>
      <c r="C298" s="163">
        <v>360000</v>
      </c>
      <c r="D298" s="37"/>
      <c r="E298" s="35"/>
      <c r="F298" s="35"/>
      <c r="G298" s="126"/>
      <c r="H298" s="35"/>
      <c r="I298" s="35"/>
      <c r="J298" s="35"/>
      <c r="K298" s="35"/>
      <c r="L298" s="35"/>
      <c r="M298" s="35"/>
      <c r="N298" s="35"/>
      <c r="O298" s="35"/>
      <c r="P298" s="35"/>
      <c r="Q298" s="35"/>
      <c r="R298" s="35"/>
      <c r="S298" s="35"/>
      <c r="T298" s="35"/>
      <c r="U298" s="35"/>
      <c r="V298" s="35"/>
      <c r="W298" s="35"/>
      <c r="X298" s="35"/>
    </row>
    <row r="299" spans="1:24" s="831" customFormat="1" ht="13.5" customHeight="1">
      <c r="A299" s="48">
        <v>211204</v>
      </c>
      <c r="B299" s="21" t="s">
        <v>463</v>
      </c>
      <c r="C299" s="26">
        <f>C300</f>
        <v>460000</v>
      </c>
      <c r="D299" s="37"/>
      <c r="E299" s="38"/>
      <c r="F299" s="38"/>
      <c r="G299" s="39"/>
      <c r="H299" s="38"/>
      <c r="I299" s="38"/>
      <c r="J299" s="38"/>
      <c r="K299" s="38"/>
      <c r="L299" s="38"/>
      <c r="M299" s="38"/>
      <c r="N299" s="38"/>
      <c r="O299" s="38"/>
      <c r="P299" s="38"/>
      <c r="Q299" s="38"/>
      <c r="R299" s="38"/>
      <c r="S299" s="38"/>
      <c r="T299" s="38"/>
      <c r="U299" s="38"/>
      <c r="V299" s="38"/>
      <c r="W299" s="38"/>
      <c r="X299" s="38"/>
    </row>
    <row r="300" spans="1:24" ht="13.5" customHeight="1">
      <c r="A300" s="33">
        <v>21120401</v>
      </c>
      <c r="B300" s="24" t="s">
        <v>464</v>
      </c>
      <c r="C300" s="51">
        <v>460000</v>
      </c>
      <c r="D300" s="37"/>
      <c r="E300" s="35"/>
      <c r="F300" s="35"/>
      <c r="G300" s="126"/>
      <c r="H300" s="35"/>
      <c r="I300" s="35"/>
      <c r="J300" s="35"/>
      <c r="K300" s="35"/>
      <c r="L300" s="35"/>
      <c r="M300" s="35"/>
      <c r="N300" s="35"/>
      <c r="O300" s="35"/>
      <c r="P300" s="35"/>
      <c r="Q300" s="35"/>
      <c r="R300" s="35"/>
      <c r="S300" s="35"/>
      <c r="T300" s="35"/>
      <c r="U300" s="35"/>
      <c r="V300" s="35"/>
      <c r="W300" s="35"/>
      <c r="X300" s="35"/>
    </row>
    <row r="301" spans="1:24" s="831" customFormat="1" ht="13.5" customHeight="1">
      <c r="A301" s="48">
        <v>211208</v>
      </c>
      <c r="B301" s="26" t="s">
        <v>474</v>
      </c>
      <c r="C301" s="26">
        <f>C302</f>
        <v>2010000</v>
      </c>
      <c r="D301" s="37"/>
      <c r="E301" s="38"/>
      <c r="F301" s="38"/>
      <c r="G301" s="39"/>
      <c r="H301" s="38"/>
      <c r="I301" s="38"/>
      <c r="J301" s="38"/>
      <c r="K301" s="38"/>
      <c r="L301" s="38"/>
      <c r="M301" s="38"/>
      <c r="N301" s="38"/>
      <c r="O301" s="38"/>
      <c r="P301" s="38"/>
      <c r="Q301" s="38"/>
      <c r="R301" s="38"/>
      <c r="S301" s="38"/>
      <c r="T301" s="38"/>
      <c r="U301" s="38"/>
      <c r="V301" s="38"/>
      <c r="W301" s="38"/>
      <c r="X301" s="38"/>
    </row>
    <row r="302" spans="1:24" ht="13.5" customHeight="1">
      <c r="A302" s="33">
        <v>21120805</v>
      </c>
      <c r="B302" s="24" t="s">
        <v>476</v>
      </c>
      <c r="C302" s="51">
        <v>2010000</v>
      </c>
      <c r="D302" s="37"/>
      <c r="E302" s="35"/>
      <c r="F302" s="35"/>
      <c r="G302" s="126"/>
      <c r="H302" s="35"/>
      <c r="I302" s="35"/>
      <c r="J302" s="35"/>
      <c r="K302" s="35"/>
      <c r="L302" s="35"/>
      <c r="M302" s="35"/>
      <c r="N302" s="35"/>
      <c r="O302" s="35"/>
      <c r="P302" s="35"/>
      <c r="Q302" s="35"/>
      <c r="R302" s="35"/>
      <c r="S302" s="35"/>
      <c r="T302" s="35"/>
      <c r="U302" s="35"/>
      <c r="V302" s="35"/>
      <c r="W302" s="35"/>
      <c r="X302" s="35"/>
    </row>
    <row r="303" spans="1:24" s="831" customFormat="1" ht="13.5" customHeight="1">
      <c r="A303" s="48">
        <v>211209</v>
      </c>
      <c r="B303" s="26" t="s">
        <v>477</v>
      </c>
      <c r="C303" s="26">
        <f>SUM(C304:C305)</f>
        <v>2372000</v>
      </c>
      <c r="D303" s="37"/>
      <c r="E303" s="38"/>
      <c r="F303" s="38"/>
      <c r="G303" s="39"/>
      <c r="H303" s="38"/>
      <c r="I303" s="38"/>
      <c r="J303" s="38"/>
      <c r="K303" s="38"/>
      <c r="L303" s="38"/>
      <c r="M303" s="38"/>
      <c r="N303" s="38"/>
      <c r="O303" s="38"/>
      <c r="P303" s="38"/>
      <c r="Q303" s="38"/>
      <c r="R303" s="38"/>
      <c r="S303" s="38"/>
      <c r="T303" s="38"/>
      <c r="U303" s="38"/>
      <c r="V303" s="38"/>
      <c r="W303" s="38"/>
      <c r="X303" s="38"/>
    </row>
    <row r="304" spans="1:24" ht="13.5" customHeight="1">
      <c r="A304" s="33">
        <v>21120901</v>
      </c>
      <c r="B304" s="24" t="s">
        <v>478</v>
      </c>
      <c r="C304" s="51">
        <f>250000+12000</f>
        <v>262000</v>
      </c>
      <c r="D304" s="37"/>
      <c r="E304" s="35"/>
      <c r="F304" s="35"/>
      <c r="G304" s="126"/>
      <c r="H304" s="35"/>
      <c r="I304" s="35"/>
      <c r="J304" s="35"/>
      <c r="K304" s="35"/>
      <c r="L304" s="35"/>
      <c r="M304" s="35"/>
      <c r="N304" s="35"/>
      <c r="O304" s="35"/>
      <c r="P304" s="35"/>
      <c r="Q304" s="35"/>
      <c r="R304" s="35"/>
      <c r="S304" s="35"/>
      <c r="T304" s="35"/>
      <c r="U304" s="35"/>
      <c r="V304" s="35"/>
      <c r="W304" s="35"/>
      <c r="X304" s="35"/>
    </row>
    <row r="305" spans="1:24" ht="13.5" customHeight="1">
      <c r="A305" s="33">
        <v>21120906</v>
      </c>
      <c r="B305" s="24" t="s">
        <v>479</v>
      </c>
      <c r="C305" s="51">
        <f>5000000+60000-2950000</f>
        <v>2110000</v>
      </c>
      <c r="D305" s="37"/>
      <c r="E305" s="35"/>
      <c r="F305" s="35"/>
      <c r="G305" s="126"/>
      <c r="H305" s="35"/>
      <c r="I305" s="35"/>
      <c r="J305" s="35"/>
      <c r="K305" s="35"/>
      <c r="L305" s="35"/>
      <c r="M305" s="35"/>
      <c r="N305" s="35"/>
      <c r="O305" s="35"/>
      <c r="P305" s="35"/>
      <c r="Q305" s="35"/>
      <c r="R305" s="35"/>
      <c r="S305" s="35"/>
      <c r="T305" s="35"/>
      <c r="U305" s="35"/>
      <c r="V305" s="35"/>
      <c r="W305" s="35"/>
      <c r="X305" s="35"/>
    </row>
    <row r="306" spans="1:24" ht="13.5" customHeight="1" thickBot="1">
      <c r="A306" s="23"/>
      <c r="B306" s="24"/>
      <c r="C306" s="24"/>
      <c r="D306" s="37"/>
      <c r="E306" s="35"/>
      <c r="F306" s="35"/>
      <c r="G306" s="126"/>
      <c r="H306" s="35"/>
      <c r="I306" s="35"/>
      <c r="J306" s="35"/>
      <c r="K306" s="35"/>
      <c r="L306" s="35"/>
      <c r="M306" s="35"/>
      <c r="N306" s="35"/>
      <c r="O306" s="35"/>
      <c r="P306" s="35"/>
      <c r="Q306" s="35"/>
      <c r="R306" s="35"/>
      <c r="S306" s="35"/>
      <c r="T306" s="35"/>
      <c r="U306" s="35"/>
      <c r="V306" s="35"/>
      <c r="W306" s="35"/>
      <c r="X306" s="35"/>
    </row>
    <row r="307" spans="1:24" ht="13.5" customHeight="1" thickBot="1">
      <c r="A307" s="1298" t="s">
        <v>4</v>
      </c>
      <c r="B307" s="1281"/>
      <c r="C307" s="64">
        <f>(C308+C311+C313)</f>
        <v>3623500</v>
      </c>
      <c r="D307" s="37"/>
      <c r="E307" s="35"/>
      <c r="F307" s="35"/>
      <c r="G307" s="126"/>
      <c r="H307" s="35"/>
      <c r="I307" s="35"/>
      <c r="J307" s="35"/>
      <c r="K307" s="35"/>
      <c r="L307" s="35"/>
      <c r="M307" s="35"/>
      <c r="N307" s="35"/>
      <c r="O307" s="35"/>
      <c r="P307" s="35"/>
      <c r="Q307" s="35"/>
      <c r="R307" s="35"/>
      <c r="S307" s="35"/>
      <c r="T307" s="35"/>
      <c r="U307" s="35"/>
      <c r="V307" s="35"/>
      <c r="W307" s="35"/>
      <c r="X307" s="35"/>
    </row>
    <row r="308" spans="1:24" s="831" customFormat="1" ht="13.5" customHeight="1">
      <c r="A308" s="48">
        <v>211305</v>
      </c>
      <c r="B308" s="21" t="s">
        <v>489</v>
      </c>
      <c r="C308" s="26">
        <f>SUM(C309:C310)</f>
        <v>1640000</v>
      </c>
      <c r="D308" s="37"/>
      <c r="E308" s="38"/>
      <c r="F308" s="38"/>
      <c r="G308" s="39"/>
      <c r="H308" s="38"/>
      <c r="I308" s="38"/>
      <c r="J308" s="38"/>
      <c r="K308" s="38"/>
      <c r="L308" s="38"/>
      <c r="M308" s="38"/>
      <c r="N308" s="38"/>
      <c r="O308" s="38"/>
      <c r="P308" s="38"/>
      <c r="Q308" s="38"/>
      <c r="R308" s="38"/>
      <c r="S308" s="38"/>
      <c r="T308" s="38"/>
      <c r="U308" s="38"/>
      <c r="V308" s="38"/>
      <c r="W308" s="38"/>
      <c r="X308" s="38"/>
    </row>
    <row r="309" spans="1:24" ht="13.5" customHeight="1">
      <c r="A309" s="33">
        <v>21130501</v>
      </c>
      <c r="B309" s="13" t="s">
        <v>490</v>
      </c>
      <c r="C309" s="51">
        <v>60000</v>
      </c>
      <c r="D309" s="37"/>
      <c r="E309" s="35"/>
      <c r="F309" s="35"/>
      <c r="G309" s="126"/>
      <c r="H309" s="35"/>
      <c r="I309" s="35"/>
      <c r="J309" s="35"/>
      <c r="K309" s="35"/>
      <c r="L309" s="35"/>
      <c r="M309" s="35"/>
      <c r="N309" s="35"/>
      <c r="O309" s="35"/>
      <c r="P309" s="35"/>
      <c r="Q309" s="35"/>
      <c r="R309" s="35"/>
      <c r="S309" s="35"/>
      <c r="T309" s="35"/>
      <c r="U309" s="35"/>
      <c r="V309" s="35"/>
      <c r="W309" s="35"/>
      <c r="X309" s="35"/>
    </row>
    <row r="310" spans="1:24" ht="13.5" customHeight="1">
      <c r="A310" s="33">
        <v>21130502</v>
      </c>
      <c r="B310" s="24" t="s">
        <v>491</v>
      </c>
      <c r="C310" s="51">
        <f>1500000+80000</f>
        <v>1580000</v>
      </c>
      <c r="D310" s="37"/>
      <c r="E310" s="35"/>
      <c r="F310" s="35"/>
      <c r="G310" s="126"/>
      <c r="H310" s="35"/>
      <c r="I310" s="35"/>
      <c r="J310" s="35"/>
      <c r="K310" s="35"/>
      <c r="L310" s="35"/>
      <c r="M310" s="35"/>
      <c r="N310" s="35"/>
      <c r="O310" s="35"/>
      <c r="P310" s="35"/>
      <c r="Q310" s="35"/>
      <c r="R310" s="35"/>
      <c r="S310" s="35"/>
      <c r="T310" s="35"/>
      <c r="U310" s="35"/>
      <c r="V310" s="35"/>
      <c r="W310" s="35"/>
      <c r="X310" s="35"/>
    </row>
    <row r="311" spans="1:24" s="831" customFormat="1" ht="13.5" customHeight="1">
      <c r="A311" s="48">
        <v>211306</v>
      </c>
      <c r="B311" s="26" t="s">
        <v>492</v>
      </c>
      <c r="C311" s="26">
        <f>C312</f>
        <v>75000</v>
      </c>
      <c r="D311" s="37"/>
      <c r="E311" s="38"/>
      <c r="F311" s="38"/>
      <c r="G311" s="39"/>
      <c r="H311" s="38"/>
      <c r="I311" s="38"/>
      <c r="J311" s="38"/>
      <c r="K311" s="38"/>
      <c r="L311" s="38"/>
      <c r="M311" s="38"/>
      <c r="N311" s="38"/>
      <c r="O311" s="38"/>
      <c r="P311" s="38"/>
      <c r="Q311" s="38"/>
      <c r="R311" s="38"/>
      <c r="S311" s="38"/>
      <c r="T311" s="38"/>
      <c r="U311" s="38"/>
      <c r="V311" s="38"/>
      <c r="W311" s="38"/>
      <c r="X311" s="38"/>
    </row>
    <row r="312" spans="1:24" ht="13.5" customHeight="1">
      <c r="A312" s="33">
        <v>21130607</v>
      </c>
      <c r="B312" s="24" t="s">
        <v>493</v>
      </c>
      <c r="C312" s="51">
        <v>75000</v>
      </c>
      <c r="D312" s="37"/>
      <c r="E312" s="35"/>
      <c r="F312" s="35"/>
      <c r="G312" s="126"/>
      <c r="H312" s="35"/>
      <c r="I312" s="35"/>
      <c r="J312" s="35"/>
      <c r="K312" s="35"/>
      <c r="L312" s="35"/>
      <c r="M312" s="35"/>
      <c r="N312" s="35"/>
      <c r="O312" s="35"/>
      <c r="P312" s="35"/>
      <c r="Q312" s="35"/>
      <c r="R312" s="35"/>
      <c r="S312" s="35"/>
      <c r="T312" s="35"/>
      <c r="U312" s="35"/>
      <c r="V312" s="35"/>
      <c r="W312" s="35"/>
      <c r="X312" s="35"/>
    </row>
    <row r="313" spans="1:24" s="831" customFormat="1" ht="13.5" customHeight="1">
      <c r="A313" s="48">
        <v>211309</v>
      </c>
      <c r="B313" s="26" t="s">
        <v>496</v>
      </c>
      <c r="C313" s="26">
        <f>+SUM(C314:C316)</f>
        <v>1908500</v>
      </c>
      <c r="D313" s="37"/>
      <c r="E313" s="38"/>
      <c r="F313" s="38"/>
      <c r="G313" s="39"/>
      <c r="H313" s="38"/>
      <c r="I313" s="38"/>
      <c r="J313" s="38"/>
      <c r="K313" s="38"/>
      <c r="L313" s="38"/>
      <c r="M313" s="38"/>
      <c r="N313" s="38"/>
      <c r="O313" s="38"/>
      <c r="P313" s="38"/>
      <c r="Q313" s="38"/>
      <c r="R313" s="38"/>
      <c r="S313" s="38"/>
      <c r="T313" s="38"/>
      <c r="U313" s="38"/>
      <c r="V313" s="38"/>
      <c r="W313" s="38"/>
      <c r="X313" s="38"/>
    </row>
    <row r="314" spans="1:24" ht="13.5" customHeight="1">
      <c r="A314" s="33">
        <v>21130901</v>
      </c>
      <c r="B314" s="24" t="s">
        <v>497</v>
      </c>
      <c r="C314" s="51">
        <f>1500000+40000</f>
        <v>1540000</v>
      </c>
      <c r="D314" s="37"/>
      <c r="E314" s="35"/>
      <c r="F314" s="35"/>
      <c r="G314" s="126"/>
      <c r="H314" s="35"/>
      <c r="I314" s="35"/>
      <c r="J314" s="35"/>
      <c r="K314" s="35"/>
      <c r="L314" s="35"/>
      <c r="M314" s="35"/>
      <c r="N314" s="35"/>
      <c r="O314" s="35"/>
      <c r="P314" s="35"/>
      <c r="Q314" s="35"/>
      <c r="R314" s="35"/>
      <c r="S314" s="35"/>
      <c r="T314" s="35"/>
      <c r="U314" s="35"/>
      <c r="V314" s="35"/>
      <c r="W314" s="35"/>
      <c r="X314" s="35"/>
    </row>
    <row r="315" spans="1:24" ht="13.5" customHeight="1">
      <c r="A315" s="33">
        <v>21130903</v>
      </c>
      <c r="B315" s="24" t="s">
        <v>498</v>
      </c>
      <c r="C315" s="24">
        <v>58500</v>
      </c>
      <c r="D315" s="37"/>
      <c r="E315" s="35"/>
      <c r="F315" s="35"/>
      <c r="G315" s="126"/>
      <c r="H315" s="35"/>
      <c r="I315" s="35"/>
      <c r="J315" s="35"/>
      <c r="K315" s="35"/>
      <c r="L315" s="35"/>
      <c r="M315" s="35"/>
      <c r="N315" s="35"/>
      <c r="O315" s="35"/>
      <c r="P315" s="35"/>
      <c r="Q315" s="35"/>
      <c r="R315" s="35"/>
      <c r="S315" s="35"/>
      <c r="T315" s="35"/>
      <c r="U315" s="35"/>
      <c r="V315" s="35"/>
      <c r="W315" s="35"/>
      <c r="X315" s="35"/>
    </row>
    <row r="316" spans="1:24" ht="13.5" customHeight="1">
      <c r="A316" s="33">
        <v>21130908</v>
      </c>
      <c r="B316" s="24" t="s">
        <v>500</v>
      </c>
      <c r="C316" s="51">
        <f>250000+60000</f>
        <v>310000</v>
      </c>
      <c r="D316" s="37"/>
      <c r="E316" s="35"/>
      <c r="F316" s="35"/>
      <c r="G316" s="126"/>
      <c r="H316" s="35"/>
      <c r="I316" s="35"/>
      <c r="J316" s="35"/>
      <c r="K316" s="35"/>
      <c r="L316" s="35"/>
      <c r="M316" s="35"/>
      <c r="N316" s="35"/>
      <c r="O316" s="35"/>
      <c r="P316" s="35"/>
      <c r="Q316" s="35"/>
      <c r="R316" s="35"/>
      <c r="S316" s="35"/>
      <c r="T316" s="35"/>
      <c r="U316" s="35"/>
      <c r="V316" s="35"/>
      <c r="W316" s="35"/>
      <c r="X316" s="35"/>
    </row>
    <row r="317" spans="1:24" ht="13.5" customHeight="1" thickBot="1">
      <c r="A317" s="23"/>
      <c r="B317" s="24"/>
      <c r="C317" s="24"/>
      <c r="D317" s="37"/>
      <c r="E317" s="35"/>
      <c r="F317" s="35"/>
      <c r="G317" s="126"/>
      <c r="H317" s="35"/>
      <c r="I317" s="35"/>
      <c r="J317" s="35"/>
      <c r="K317" s="35"/>
      <c r="L317" s="35"/>
      <c r="M317" s="35"/>
      <c r="N317" s="35"/>
      <c r="O317" s="35"/>
      <c r="P317" s="35"/>
      <c r="Q317" s="35"/>
      <c r="R317" s="35"/>
      <c r="S317" s="35"/>
      <c r="T317" s="35"/>
      <c r="U317" s="35"/>
      <c r="V317" s="35"/>
      <c r="W317" s="35"/>
      <c r="X317" s="35"/>
    </row>
    <row r="318" spans="1:24" ht="13.5" customHeight="1" thickBot="1">
      <c r="A318" s="1299" t="s">
        <v>48</v>
      </c>
      <c r="B318" s="1281"/>
      <c r="C318" s="65">
        <f>+C319+C321</f>
        <v>20000</v>
      </c>
      <c r="D318" s="37"/>
      <c r="E318" s="35"/>
      <c r="F318" s="35"/>
      <c r="G318" s="126"/>
      <c r="H318" s="35"/>
      <c r="I318" s="35"/>
      <c r="J318" s="35"/>
      <c r="K318" s="35"/>
      <c r="L318" s="35"/>
      <c r="M318" s="35"/>
      <c r="N318" s="35"/>
      <c r="O318" s="35"/>
      <c r="P318" s="35"/>
      <c r="Q318" s="35"/>
      <c r="R318" s="35"/>
      <c r="S318" s="35"/>
      <c r="T318" s="35"/>
      <c r="U318" s="35"/>
      <c r="V318" s="35"/>
      <c r="W318" s="35"/>
      <c r="X318" s="35"/>
    </row>
    <row r="319" spans="1:24" s="831" customFormat="1" ht="13.5" customHeight="1">
      <c r="A319" s="48">
        <v>221104</v>
      </c>
      <c r="B319" s="76" t="s">
        <v>510</v>
      </c>
      <c r="C319" s="36">
        <f>SUM(C320)</f>
        <v>10000</v>
      </c>
      <c r="D319" s="37"/>
      <c r="E319" s="38"/>
      <c r="F319" s="38"/>
      <c r="G319" s="39"/>
      <c r="H319" s="38"/>
      <c r="I319" s="38"/>
      <c r="J319" s="38"/>
      <c r="K319" s="38"/>
      <c r="L319" s="38"/>
      <c r="M319" s="38"/>
      <c r="N319" s="38"/>
      <c r="O319" s="38"/>
      <c r="P319" s="38"/>
      <c r="Q319" s="38"/>
      <c r="R319" s="38"/>
      <c r="S319" s="38"/>
      <c r="T319" s="38"/>
      <c r="U319" s="38"/>
      <c r="V319" s="38"/>
      <c r="W319" s="38"/>
      <c r="X319" s="38"/>
    </row>
    <row r="320" spans="1:24" ht="13.5" customHeight="1">
      <c r="A320" s="33">
        <v>22110401</v>
      </c>
      <c r="B320" s="23" t="s">
        <v>511</v>
      </c>
      <c r="C320" s="51">
        <v>10000</v>
      </c>
      <c r="D320" s="37"/>
      <c r="E320" s="35"/>
      <c r="F320" s="35"/>
      <c r="G320" s="126"/>
      <c r="H320" s="35"/>
      <c r="I320" s="35"/>
      <c r="J320" s="35"/>
      <c r="K320" s="35"/>
      <c r="L320" s="35"/>
      <c r="M320" s="35"/>
      <c r="N320" s="35"/>
      <c r="O320" s="35"/>
      <c r="P320" s="35"/>
      <c r="Q320" s="35"/>
      <c r="R320" s="35"/>
      <c r="S320" s="35"/>
      <c r="T320" s="35"/>
      <c r="U320" s="35"/>
      <c r="V320" s="35"/>
      <c r="W320" s="35"/>
      <c r="X320" s="35"/>
    </row>
    <row r="321" spans="1:24" s="831" customFormat="1" ht="13.5" customHeight="1">
      <c r="A321" s="76">
        <v>221107</v>
      </c>
      <c r="B321" s="21" t="s">
        <v>514</v>
      </c>
      <c r="C321" s="26">
        <f>SUM(C322)</f>
        <v>10000</v>
      </c>
      <c r="D321" s="37"/>
      <c r="E321" s="38"/>
      <c r="F321" s="38"/>
      <c r="G321" s="39"/>
      <c r="H321" s="38"/>
      <c r="I321" s="38"/>
      <c r="J321" s="38"/>
      <c r="K321" s="38"/>
      <c r="L321" s="38"/>
      <c r="M321" s="38"/>
      <c r="N321" s="38"/>
      <c r="O321" s="38"/>
      <c r="P321" s="38"/>
      <c r="Q321" s="38"/>
      <c r="R321" s="38"/>
      <c r="S321" s="38"/>
      <c r="T321" s="38"/>
      <c r="U321" s="38"/>
      <c r="V321" s="38"/>
      <c r="W321" s="38"/>
      <c r="X321" s="38"/>
    </row>
    <row r="322" spans="1:24" ht="13.5" customHeight="1">
      <c r="A322" s="154">
        <v>22110702</v>
      </c>
      <c r="B322" s="23" t="s">
        <v>515</v>
      </c>
      <c r="C322" s="72">
        <v>10000</v>
      </c>
      <c r="D322" s="37"/>
      <c r="E322" s="35"/>
      <c r="F322" s="35"/>
      <c r="G322" s="126"/>
      <c r="H322" s="35"/>
      <c r="I322" s="35"/>
      <c r="J322" s="35"/>
      <c r="K322" s="35"/>
      <c r="L322" s="35"/>
      <c r="M322" s="35"/>
      <c r="N322" s="35"/>
      <c r="O322" s="35"/>
      <c r="P322" s="35"/>
      <c r="Q322" s="35"/>
      <c r="R322" s="35"/>
      <c r="S322" s="35"/>
      <c r="T322" s="35"/>
      <c r="U322" s="35"/>
      <c r="V322" s="35"/>
      <c r="W322" s="35"/>
      <c r="X322" s="35"/>
    </row>
    <row r="323" spans="1:24" ht="13.5" customHeight="1">
      <c r="A323" s="33"/>
      <c r="B323" s="23"/>
      <c r="C323" s="24"/>
      <c r="D323" s="37"/>
      <c r="E323" s="35"/>
      <c r="F323" s="35"/>
      <c r="G323" s="126"/>
      <c r="H323" s="35"/>
      <c r="I323" s="35"/>
      <c r="J323" s="35"/>
      <c r="K323" s="35"/>
      <c r="L323" s="35"/>
      <c r="M323" s="35"/>
      <c r="N323" s="35"/>
      <c r="O323" s="35"/>
      <c r="P323" s="35"/>
      <c r="Q323" s="35"/>
      <c r="R323" s="35"/>
      <c r="S323" s="35"/>
      <c r="T323" s="35"/>
      <c r="U323" s="35"/>
      <c r="V323" s="35"/>
      <c r="W323" s="35"/>
      <c r="X323" s="35"/>
    </row>
    <row r="324" spans="1:24" ht="13.5" customHeight="1" thickBot="1">
      <c r="A324" s="100"/>
      <c r="B324" s="23"/>
      <c r="C324" s="72"/>
      <c r="D324" s="37"/>
      <c r="E324" s="35"/>
      <c r="F324" s="169"/>
      <c r="G324" s="126"/>
      <c r="H324" s="35"/>
      <c r="I324" s="35"/>
      <c r="J324" s="35"/>
      <c r="K324" s="35"/>
      <c r="L324" s="35"/>
      <c r="M324" s="35"/>
      <c r="N324" s="35"/>
      <c r="O324" s="35"/>
      <c r="P324" s="35"/>
      <c r="Q324" s="35"/>
      <c r="R324" s="35"/>
      <c r="S324" s="35"/>
      <c r="T324" s="35"/>
      <c r="U324" s="35"/>
      <c r="V324" s="35"/>
      <c r="W324" s="35"/>
      <c r="X324" s="35"/>
    </row>
    <row r="325" spans="1:24" ht="13.5" customHeight="1">
      <c r="A325" s="1383" t="s">
        <v>926</v>
      </c>
      <c r="B325" s="1387"/>
      <c r="C325" s="1174">
        <v>1607</v>
      </c>
      <c r="D325" s="158"/>
      <c r="E325" s="164"/>
      <c r="F325" s="35"/>
      <c r="G325" s="126"/>
      <c r="H325" s="35"/>
      <c r="I325" s="35"/>
      <c r="J325" s="35"/>
      <c r="K325" s="35"/>
      <c r="L325" s="35"/>
      <c r="M325" s="35"/>
      <c r="N325" s="35"/>
      <c r="O325" s="35"/>
      <c r="P325" s="35"/>
      <c r="Q325" s="35"/>
      <c r="R325" s="35"/>
      <c r="S325" s="35"/>
      <c r="T325" s="35"/>
      <c r="U325" s="35"/>
      <c r="V325" s="35"/>
      <c r="W325" s="35"/>
      <c r="X325" s="35"/>
    </row>
    <row r="326" spans="1:24" ht="13.5" customHeight="1" thickBot="1">
      <c r="A326" s="1388"/>
      <c r="B326" s="1330"/>
      <c r="C326" s="1198"/>
      <c r="D326" s="37"/>
      <c r="E326" s="164"/>
      <c r="F326" s="35"/>
      <c r="G326" s="126"/>
      <c r="H326" s="35"/>
      <c r="I326" s="35"/>
      <c r="J326" s="35"/>
      <c r="K326" s="35"/>
      <c r="L326" s="35"/>
      <c r="M326" s="35"/>
      <c r="N326" s="35"/>
      <c r="O326" s="35"/>
      <c r="P326" s="35"/>
      <c r="Q326" s="35"/>
      <c r="R326" s="35"/>
      <c r="S326" s="35"/>
      <c r="T326" s="35"/>
      <c r="U326" s="35"/>
      <c r="V326" s="35"/>
      <c r="W326" s="35"/>
      <c r="X326" s="35"/>
    </row>
    <row r="327" spans="1:24" ht="13.5" customHeight="1">
      <c r="A327" s="1088" t="s">
        <v>671</v>
      </c>
      <c r="B327" s="612"/>
      <c r="C327" s="626"/>
      <c r="D327" s="37"/>
      <c r="E327" s="35"/>
      <c r="F327" s="35"/>
      <c r="G327" s="126"/>
      <c r="H327" s="35"/>
      <c r="I327" s="35"/>
      <c r="J327" s="35"/>
      <c r="K327" s="35"/>
      <c r="L327" s="35"/>
      <c r="M327" s="35"/>
      <c r="N327" s="35"/>
      <c r="O327" s="35"/>
      <c r="P327" s="35"/>
      <c r="Q327" s="35"/>
      <c r="R327" s="35"/>
      <c r="S327" s="35"/>
      <c r="T327" s="35"/>
      <c r="U327" s="35"/>
      <c r="V327" s="35"/>
      <c r="W327" s="35"/>
      <c r="X327" s="35"/>
    </row>
    <row r="328" spans="1:24" ht="13.5" customHeight="1">
      <c r="A328" s="609" t="s">
        <v>753</v>
      </c>
      <c r="B328" s="612"/>
      <c r="C328" s="626"/>
      <c r="D328" s="37"/>
      <c r="E328" s="35"/>
      <c r="F328" s="35"/>
      <c r="G328" s="126"/>
      <c r="H328" s="35"/>
      <c r="I328" s="35"/>
      <c r="J328" s="35"/>
      <c r="K328" s="35"/>
      <c r="L328" s="35"/>
      <c r="M328" s="35"/>
      <c r="N328" s="35"/>
      <c r="O328" s="35"/>
      <c r="P328" s="35"/>
      <c r="Q328" s="35"/>
      <c r="R328" s="35"/>
      <c r="S328" s="35"/>
      <c r="T328" s="35"/>
      <c r="U328" s="35"/>
      <c r="V328" s="35"/>
      <c r="W328" s="35"/>
      <c r="X328" s="35"/>
    </row>
    <row r="329" spans="1:24" ht="13.5" customHeight="1">
      <c r="A329" s="609" t="s">
        <v>754</v>
      </c>
      <c r="B329" s="612"/>
      <c r="C329" s="626"/>
      <c r="D329" s="37"/>
      <c r="E329" s="35"/>
      <c r="F329" s="35"/>
      <c r="G329" s="126"/>
      <c r="H329" s="35"/>
      <c r="I329" s="35"/>
      <c r="J329" s="35"/>
      <c r="K329" s="35"/>
      <c r="L329" s="35"/>
      <c r="M329" s="35"/>
      <c r="N329" s="35"/>
      <c r="O329" s="35"/>
      <c r="P329" s="35"/>
      <c r="Q329" s="35"/>
      <c r="R329" s="35"/>
      <c r="S329" s="35"/>
      <c r="T329" s="35"/>
      <c r="U329" s="35"/>
      <c r="V329" s="35"/>
      <c r="W329" s="35"/>
      <c r="X329" s="35"/>
    </row>
    <row r="330" spans="1:24" ht="13.5" customHeight="1" thickBot="1">
      <c r="A330" s="1089" t="s">
        <v>59</v>
      </c>
      <c r="B330" s="612"/>
      <c r="C330" s="626"/>
      <c r="D330" s="37"/>
      <c r="E330" s="35"/>
      <c r="F330" s="35"/>
      <c r="G330" s="126"/>
      <c r="H330" s="35"/>
      <c r="I330" s="35"/>
      <c r="J330" s="35"/>
      <c r="K330" s="35"/>
      <c r="L330" s="35"/>
      <c r="M330" s="35"/>
      <c r="N330" s="35"/>
      <c r="O330" s="35"/>
      <c r="P330" s="35"/>
      <c r="Q330" s="35"/>
      <c r="R330" s="35"/>
      <c r="S330" s="35"/>
      <c r="T330" s="35"/>
      <c r="U330" s="35"/>
      <c r="V330" s="35"/>
      <c r="W330" s="35"/>
      <c r="X330" s="35"/>
    </row>
    <row r="331" spans="1:24" s="753" customFormat="1" ht="13.5" customHeight="1" thickBot="1">
      <c r="A331" s="1090" t="s">
        <v>100</v>
      </c>
      <c r="B331" s="1091"/>
      <c r="C331" s="1199">
        <f>SUM(C333+C357+C382)</f>
        <v>113682500</v>
      </c>
      <c r="D331" s="749"/>
      <c r="E331" s="770"/>
      <c r="F331" s="770"/>
      <c r="G331" s="771"/>
      <c r="H331" s="770"/>
      <c r="I331" s="770"/>
      <c r="J331" s="770"/>
      <c r="K331" s="770"/>
      <c r="L331" s="770"/>
      <c r="M331" s="770"/>
      <c r="N331" s="770"/>
      <c r="O331" s="770"/>
      <c r="P331" s="770"/>
      <c r="Q331" s="770"/>
      <c r="R331" s="770"/>
      <c r="S331" s="770"/>
      <c r="T331" s="770"/>
      <c r="U331" s="770"/>
      <c r="V331" s="770"/>
      <c r="W331" s="770"/>
      <c r="X331" s="770"/>
    </row>
    <row r="332" spans="1:24" s="753" customFormat="1" ht="13.5" customHeight="1" thickBot="1">
      <c r="A332" s="763"/>
      <c r="B332" s="754"/>
      <c r="C332" s="765"/>
      <c r="D332" s="749"/>
      <c r="E332" s="770"/>
      <c r="F332" s="770"/>
      <c r="G332" s="771"/>
      <c r="H332" s="770"/>
      <c r="I332" s="770"/>
      <c r="J332" s="770"/>
      <c r="K332" s="770"/>
      <c r="L332" s="770"/>
      <c r="M332" s="770"/>
      <c r="N332" s="770"/>
      <c r="O332" s="770"/>
      <c r="P332" s="770"/>
      <c r="Q332" s="770"/>
      <c r="R332" s="770"/>
      <c r="S332" s="770"/>
      <c r="T332" s="770"/>
      <c r="U332" s="770"/>
      <c r="V332" s="770"/>
      <c r="W332" s="770"/>
      <c r="X332" s="770"/>
    </row>
    <row r="333" spans="1:24" s="753" customFormat="1" ht="13.5" customHeight="1" thickBot="1">
      <c r="A333" s="1392" t="s">
        <v>9</v>
      </c>
      <c r="B333" s="1320"/>
      <c r="C333" s="778">
        <f>+C334+C337+C339+C341+C345+C353</f>
        <v>6317500</v>
      </c>
      <c r="D333" s="780"/>
      <c r="E333" s="765"/>
      <c r="F333" s="781"/>
      <c r="G333" s="779"/>
      <c r="H333" s="779"/>
      <c r="I333" s="779"/>
      <c r="J333" s="779"/>
      <c r="K333" s="779"/>
      <c r="L333" s="779"/>
      <c r="M333" s="779"/>
      <c r="N333" s="779"/>
      <c r="O333" s="779"/>
      <c r="P333" s="779"/>
      <c r="Q333" s="779"/>
      <c r="R333" s="779"/>
      <c r="S333" s="779"/>
      <c r="T333" s="779"/>
      <c r="U333" s="779"/>
      <c r="V333" s="779"/>
      <c r="W333" s="779"/>
      <c r="X333" s="779"/>
    </row>
    <row r="334" spans="1:24" s="840" customFormat="1" ht="13.5" customHeight="1">
      <c r="A334" s="821">
        <v>211202</v>
      </c>
      <c r="B334" s="812" t="s">
        <v>529</v>
      </c>
      <c r="C334" s="782">
        <f>SUM(C335:C336)</f>
        <v>520500</v>
      </c>
      <c r="D334" s="775"/>
      <c r="E334" s="805"/>
      <c r="F334" s="782"/>
      <c r="G334" s="839"/>
      <c r="H334" s="781"/>
      <c r="I334" s="781"/>
      <c r="J334" s="781"/>
      <c r="K334" s="781"/>
      <c r="L334" s="781"/>
      <c r="M334" s="781"/>
      <c r="N334" s="781"/>
      <c r="O334" s="781"/>
      <c r="P334" s="781"/>
      <c r="Q334" s="781"/>
      <c r="R334" s="781"/>
      <c r="S334" s="781"/>
      <c r="T334" s="781"/>
      <c r="U334" s="781"/>
      <c r="V334" s="781"/>
      <c r="W334" s="781"/>
      <c r="X334" s="781"/>
    </row>
    <row r="335" spans="1:24" s="753" customFormat="1" ht="13.5" customHeight="1">
      <c r="A335" s="798">
        <v>21120202</v>
      </c>
      <c r="B335" s="769" t="s">
        <v>530</v>
      </c>
      <c r="C335" s="785">
        <v>80000</v>
      </c>
      <c r="D335" s="783"/>
      <c r="E335" s="759"/>
      <c r="F335" s="782"/>
      <c r="G335" s="784"/>
      <c r="H335" s="759"/>
      <c r="I335" s="759"/>
      <c r="J335" s="759"/>
      <c r="K335" s="759"/>
      <c r="L335" s="759"/>
      <c r="M335" s="759"/>
      <c r="N335" s="759"/>
      <c r="O335" s="759"/>
      <c r="P335" s="759"/>
      <c r="Q335" s="759"/>
      <c r="R335" s="759"/>
      <c r="S335" s="759"/>
      <c r="T335" s="759"/>
      <c r="U335" s="759"/>
      <c r="V335" s="759"/>
      <c r="W335" s="759"/>
      <c r="X335" s="759"/>
    </row>
    <row r="336" spans="1:24" s="753" customFormat="1" ht="13.5" customHeight="1">
      <c r="A336" s="798">
        <v>21120203</v>
      </c>
      <c r="B336" s="769" t="s">
        <v>564</v>
      </c>
      <c r="C336" s="768">
        <v>440500</v>
      </c>
      <c r="D336" s="783"/>
      <c r="E336" s="786"/>
      <c r="F336" s="782"/>
      <c r="G336" s="784"/>
      <c r="H336" s="759"/>
      <c r="I336" s="759"/>
      <c r="J336" s="759"/>
      <c r="K336" s="759"/>
      <c r="L336" s="759"/>
      <c r="M336" s="759"/>
      <c r="N336" s="759"/>
      <c r="O336" s="759"/>
      <c r="P336" s="759"/>
      <c r="Q336" s="759"/>
      <c r="R336" s="759"/>
      <c r="S336" s="759"/>
      <c r="T336" s="759"/>
      <c r="U336" s="759"/>
      <c r="V336" s="759"/>
      <c r="W336" s="759"/>
      <c r="X336" s="759"/>
    </row>
    <row r="337" spans="1:24" s="840" customFormat="1" ht="13.5" customHeight="1">
      <c r="A337" s="821">
        <v>211203</v>
      </c>
      <c r="B337" s="781" t="s">
        <v>461</v>
      </c>
      <c r="C337" s="782">
        <f>C338</f>
        <v>150000</v>
      </c>
      <c r="D337" s="749"/>
      <c r="E337" s="782"/>
      <c r="F337" s="765"/>
      <c r="G337" s="771"/>
      <c r="H337" s="770"/>
      <c r="I337" s="770"/>
      <c r="J337" s="770"/>
      <c r="K337" s="770"/>
      <c r="L337" s="770"/>
      <c r="M337" s="770"/>
      <c r="N337" s="770"/>
      <c r="O337" s="770"/>
      <c r="P337" s="770"/>
      <c r="Q337" s="770"/>
      <c r="R337" s="770"/>
      <c r="S337" s="770"/>
      <c r="T337" s="770"/>
      <c r="U337" s="770"/>
      <c r="V337" s="770"/>
      <c r="W337" s="770"/>
      <c r="X337" s="770"/>
    </row>
    <row r="338" spans="1:24" s="753" customFormat="1" ht="13.5" customHeight="1">
      <c r="A338" s="798">
        <v>21120302</v>
      </c>
      <c r="B338" s="759" t="s">
        <v>462</v>
      </c>
      <c r="C338" s="768">
        <v>150000</v>
      </c>
      <c r="D338" s="788"/>
      <c r="E338" s="773"/>
      <c r="F338" s="782"/>
      <c r="G338" s="784"/>
      <c r="H338" s="759"/>
      <c r="I338" s="759"/>
      <c r="J338" s="759"/>
      <c r="K338" s="759"/>
      <c r="L338" s="759"/>
      <c r="M338" s="759"/>
      <c r="N338" s="759"/>
      <c r="O338" s="759"/>
      <c r="P338" s="759"/>
      <c r="Q338" s="759"/>
      <c r="R338" s="759"/>
      <c r="S338" s="759"/>
      <c r="T338" s="759"/>
      <c r="U338" s="759"/>
      <c r="V338" s="759"/>
      <c r="W338" s="759"/>
      <c r="X338" s="759"/>
    </row>
    <row r="339" spans="1:24" s="840" customFormat="1" ht="13.5" customHeight="1">
      <c r="A339" s="821">
        <v>211204</v>
      </c>
      <c r="B339" s="781" t="s">
        <v>463</v>
      </c>
      <c r="C339" s="782">
        <f>C340</f>
        <v>300000</v>
      </c>
      <c r="D339" s="749"/>
      <c r="E339" s="805"/>
      <c r="F339" s="782"/>
      <c r="G339" s="839"/>
      <c r="H339" s="781"/>
      <c r="I339" s="781"/>
      <c r="J339" s="781"/>
      <c r="K339" s="781"/>
      <c r="L339" s="781"/>
      <c r="M339" s="781"/>
      <c r="N339" s="781"/>
      <c r="O339" s="781"/>
      <c r="P339" s="781"/>
      <c r="Q339" s="781"/>
      <c r="R339" s="781"/>
      <c r="S339" s="781"/>
      <c r="T339" s="781"/>
      <c r="U339" s="781"/>
      <c r="V339" s="781"/>
      <c r="W339" s="781"/>
      <c r="X339" s="781"/>
    </row>
    <row r="340" spans="1:24" s="753" customFormat="1" ht="13.5" customHeight="1">
      <c r="A340" s="798">
        <v>21120401</v>
      </c>
      <c r="B340" s="768" t="s">
        <v>464</v>
      </c>
      <c r="C340" s="768">
        <v>300000</v>
      </c>
      <c r="D340" s="783"/>
      <c r="E340" s="773"/>
      <c r="F340" s="782"/>
      <c r="G340" s="784"/>
      <c r="H340" s="759"/>
      <c r="I340" s="759"/>
      <c r="J340" s="759"/>
      <c r="K340" s="759"/>
      <c r="L340" s="759"/>
      <c r="M340" s="759"/>
      <c r="N340" s="759"/>
      <c r="O340" s="759"/>
      <c r="P340" s="759"/>
      <c r="Q340" s="759"/>
      <c r="R340" s="759"/>
      <c r="S340" s="759"/>
      <c r="T340" s="759"/>
      <c r="U340" s="759"/>
      <c r="V340" s="759"/>
      <c r="W340" s="759"/>
      <c r="X340" s="759"/>
    </row>
    <row r="341" spans="1:24" s="840" customFormat="1" ht="12.75" customHeight="1">
      <c r="A341" s="821">
        <v>211207</v>
      </c>
      <c r="B341" s="781" t="s">
        <v>467</v>
      </c>
      <c r="C341" s="782">
        <f>+SUM(C342:C344)</f>
        <v>1026000</v>
      </c>
      <c r="D341" s="749"/>
      <c r="E341" s="841"/>
      <c r="F341" s="841"/>
      <c r="G341" s="839"/>
      <c r="H341" s="841"/>
      <c r="I341" s="841"/>
      <c r="J341" s="841"/>
      <c r="K341" s="841"/>
      <c r="L341" s="841"/>
      <c r="M341" s="841"/>
      <c r="N341" s="841"/>
      <c r="O341" s="841"/>
      <c r="P341" s="841"/>
      <c r="Q341" s="841"/>
      <c r="R341" s="841"/>
      <c r="S341" s="841"/>
      <c r="T341" s="841"/>
      <c r="U341" s="841"/>
      <c r="V341" s="841"/>
      <c r="W341" s="841"/>
      <c r="X341" s="841"/>
    </row>
    <row r="342" spans="1:24" s="753" customFormat="1" ht="13.5" customHeight="1">
      <c r="A342" s="798">
        <v>21120704</v>
      </c>
      <c r="B342" s="759" t="s">
        <v>469</v>
      </c>
      <c r="C342" s="785">
        <v>338500</v>
      </c>
      <c r="D342" s="788"/>
      <c r="E342" s="789"/>
      <c r="F342" s="790"/>
      <c r="G342" s="791"/>
      <c r="H342" s="790"/>
      <c r="I342" s="790"/>
      <c r="J342" s="790"/>
      <c r="K342" s="790"/>
      <c r="L342" s="790"/>
      <c r="M342" s="790"/>
      <c r="N342" s="790"/>
      <c r="O342" s="790"/>
      <c r="P342" s="790"/>
      <c r="Q342" s="790"/>
      <c r="R342" s="790"/>
      <c r="S342" s="790"/>
      <c r="T342" s="790"/>
      <c r="U342" s="790"/>
      <c r="V342" s="790"/>
      <c r="W342" s="790"/>
      <c r="X342" s="790"/>
    </row>
    <row r="343" spans="1:24" s="753" customFormat="1" ht="13.5" customHeight="1">
      <c r="A343" s="798">
        <v>21120705</v>
      </c>
      <c r="B343" s="759" t="s">
        <v>583</v>
      </c>
      <c r="C343" s="785">
        <v>200000</v>
      </c>
      <c r="D343" s="788"/>
      <c r="E343" s="790"/>
      <c r="F343" s="790"/>
      <c r="G343" s="791"/>
      <c r="H343" s="790"/>
      <c r="I343" s="790"/>
      <c r="J343" s="790"/>
      <c r="K343" s="790"/>
      <c r="L343" s="790"/>
      <c r="M343" s="790"/>
      <c r="N343" s="790"/>
      <c r="O343" s="790"/>
      <c r="P343" s="790"/>
      <c r="Q343" s="790"/>
      <c r="R343" s="790"/>
      <c r="S343" s="790"/>
      <c r="T343" s="790"/>
      <c r="U343" s="790"/>
      <c r="V343" s="790"/>
      <c r="W343" s="790"/>
      <c r="X343" s="790"/>
    </row>
    <row r="344" spans="1:24" s="753" customFormat="1" ht="13.5" customHeight="1">
      <c r="A344" s="798">
        <v>21120706</v>
      </c>
      <c r="B344" s="759" t="s">
        <v>542</v>
      </c>
      <c r="C344" s="785">
        <v>487500</v>
      </c>
      <c r="D344" s="783"/>
      <c r="E344" s="768"/>
      <c r="F344" s="759"/>
      <c r="G344" s="784"/>
      <c r="H344" s="759"/>
      <c r="I344" s="759"/>
      <c r="J344" s="759"/>
      <c r="K344" s="759"/>
      <c r="L344" s="759"/>
      <c r="M344" s="759"/>
      <c r="N344" s="759"/>
      <c r="O344" s="759"/>
      <c r="P344" s="759"/>
      <c r="Q344" s="759"/>
      <c r="R344" s="759"/>
      <c r="S344" s="759"/>
      <c r="T344" s="759"/>
      <c r="U344" s="759"/>
      <c r="V344" s="759"/>
      <c r="W344" s="759"/>
      <c r="X344" s="759"/>
    </row>
    <row r="345" spans="1:24" s="840" customFormat="1" ht="13.5" customHeight="1">
      <c r="A345" s="821">
        <v>211208</v>
      </c>
      <c r="B345" s="782" t="s">
        <v>474</v>
      </c>
      <c r="C345" s="782">
        <f>+SUM(C346:C352)</f>
        <v>3731000</v>
      </c>
      <c r="D345" s="749"/>
      <c r="E345" s="782"/>
      <c r="F345" s="781"/>
      <c r="G345" s="839"/>
      <c r="H345" s="781"/>
      <c r="I345" s="781"/>
      <c r="J345" s="781"/>
      <c r="K345" s="781"/>
      <c r="L345" s="781"/>
      <c r="M345" s="781"/>
      <c r="N345" s="781"/>
      <c r="O345" s="781"/>
      <c r="P345" s="781"/>
      <c r="Q345" s="781"/>
      <c r="R345" s="781"/>
      <c r="S345" s="781"/>
      <c r="T345" s="781"/>
      <c r="U345" s="781"/>
      <c r="V345" s="781"/>
      <c r="W345" s="781"/>
      <c r="X345" s="781"/>
    </row>
    <row r="346" spans="1:24" s="753" customFormat="1" ht="13.5" customHeight="1">
      <c r="A346" s="798">
        <v>21120801</v>
      </c>
      <c r="B346" s="768" t="s">
        <v>475</v>
      </c>
      <c r="C346" s="785">
        <v>60000</v>
      </c>
      <c r="D346" s="788"/>
      <c r="E346" s="768"/>
      <c r="F346" s="759"/>
      <c r="G346" s="784"/>
      <c r="H346" s="759"/>
      <c r="I346" s="759"/>
      <c r="J346" s="759"/>
      <c r="K346" s="759"/>
      <c r="L346" s="759"/>
      <c r="M346" s="759"/>
      <c r="N346" s="759"/>
      <c r="O346" s="759"/>
      <c r="P346" s="759"/>
      <c r="Q346" s="759"/>
      <c r="R346" s="759"/>
      <c r="S346" s="759"/>
      <c r="T346" s="759"/>
      <c r="U346" s="759"/>
      <c r="V346" s="759"/>
      <c r="W346" s="759"/>
      <c r="X346" s="759"/>
    </row>
    <row r="347" spans="1:24" s="753" customFormat="1" ht="13.5" customHeight="1">
      <c r="A347" s="798">
        <v>21120802</v>
      </c>
      <c r="B347" s="768" t="s">
        <v>589</v>
      </c>
      <c r="C347" s="768">
        <v>45000</v>
      </c>
      <c r="D347" s="788"/>
      <c r="E347" s="789"/>
      <c r="F347" s="759"/>
      <c r="G347" s="784"/>
      <c r="H347" s="759"/>
      <c r="I347" s="759"/>
      <c r="J347" s="759"/>
      <c r="K347" s="759"/>
      <c r="L347" s="759"/>
      <c r="M347" s="759"/>
      <c r="N347" s="759"/>
      <c r="O347" s="759"/>
      <c r="P347" s="759"/>
      <c r="Q347" s="759"/>
      <c r="R347" s="759"/>
      <c r="S347" s="759"/>
      <c r="T347" s="759"/>
      <c r="U347" s="759"/>
      <c r="V347" s="759"/>
      <c r="W347" s="759"/>
      <c r="X347" s="759"/>
    </row>
    <row r="348" spans="1:24" s="753" customFormat="1" ht="13.5" customHeight="1">
      <c r="A348" s="798">
        <v>21120803</v>
      </c>
      <c r="B348" s="768" t="s">
        <v>517</v>
      </c>
      <c r="C348" s="785">
        <v>90000</v>
      </c>
      <c r="D348" s="788"/>
      <c r="E348" s="786"/>
      <c r="F348" s="759"/>
      <c r="G348" s="784"/>
      <c r="H348" s="759"/>
      <c r="I348" s="759"/>
      <c r="J348" s="759"/>
      <c r="K348" s="759"/>
      <c r="L348" s="759"/>
      <c r="M348" s="759"/>
      <c r="N348" s="759"/>
      <c r="O348" s="759"/>
      <c r="P348" s="759"/>
      <c r="Q348" s="759"/>
      <c r="R348" s="759"/>
      <c r="S348" s="759"/>
      <c r="T348" s="759"/>
      <c r="U348" s="759"/>
      <c r="V348" s="759"/>
      <c r="W348" s="759"/>
      <c r="X348" s="759"/>
    </row>
    <row r="349" spans="1:24" s="753" customFormat="1" ht="13.5" customHeight="1">
      <c r="A349" s="798">
        <v>21120804</v>
      </c>
      <c r="B349" s="759" t="s">
        <v>590</v>
      </c>
      <c r="C349" s="768">
        <v>120500</v>
      </c>
      <c r="D349" s="788"/>
      <c r="E349" s="768"/>
      <c r="F349" s="759"/>
      <c r="G349" s="784"/>
      <c r="H349" s="759"/>
      <c r="I349" s="759"/>
      <c r="J349" s="759"/>
      <c r="K349" s="759"/>
      <c r="L349" s="759"/>
      <c r="M349" s="759"/>
      <c r="N349" s="759"/>
      <c r="O349" s="759"/>
      <c r="P349" s="759"/>
      <c r="Q349" s="759"/>
      <c r="R349" s="759"/>
      <c r="S349" s="759"/>
      <c r="T349" s="759"/>
      <c r="U349" s="759"/>
      <c r="V349" s="759"/>
      <c r="W349" s="759"/>
      <c r="X349" s="759"/>
    </row>
    <row r="350" spans="1:24" s="753" customFormat="1" ht="13.5" customHeight="1">
      <c r="A350" s="798">
        <v>21120805</v>
      </c>
      <c r="B350" s="768" t="s">
        <v>476</v>
      </c>
      <c r="C350" s="785">
        <v>1313500</v>
      </c>
      <c r="D350" s="788"/>
      <c r="E350" s="790"/>
      <c r="F350" s="790"/>
      <c r="G350" s="791"/>
      <c r="H350" s="790"/>
      <c r="I350" s="790"/>
      <c r="J350" s="790"/>
      <c r="K350" s="790"/>
      <c r="L350" s="790"/>
      <c r="M350" s="790"/>
      <c r="N350" s="790"/>
      <c r="O350" s="790"/>
      <c r="P350" s="790"/>
      <c r="Q350" s="790"/>
      <c r="R350" s="790"/>
      <c r="S350" s="790"/>
      <c r="T350" s="790"/>
      <c r="U350" s="790"/>
      <c r="V350" s="790"/>
      <c r="W350" s="790"/>
      <c r="X350" s="790"/>
    </row>
    <row r="351" spans="1:24" s="753" customFormat="1" ht="13.5" customHeight="1">
      <c r="A351" s="798">
        <v>21120806</v>
      </c>
      <c r="B351" s="769" t="s">
        <v>534</v>
      </c>
      <c r="C351" s="768">
        <v>35000</v>
      </c>
      <c r="D351" s="788"/>
      <c r="E351" s="790"/>
      <c r="F351" s="790"/>
      <c r="G351" s="791"/>
      <c r="H351" s="790"/>
      <c r="I351" s="790"/>
      <c r="J351" s="790"/>
      <c r="K351" s="790"/>
      <c r="L351" s="790"/>
      <c r="M351" s="790"/>
      <c r="N351" s="790"/>
      <c r="O351" s="790"/>
      <c r="P351" s="790"/>
      <c r="Q351" s="790"/>
      <c r="R351" s="790"/>
      <c r="S351" s="790"/>
      <c r="T351" s="790"/>
      <c r="U351" s="790"/>
      <c r="V351" s="790"/>
      <c r="W351" s="790"/>
      <c r="X351" s="790"/>
    </row>
    <row r="352" spans="1:24" s="753" customFormat="1" ht="13.5" customHeight="1">
      <c r="A352" s="798">
        <v>21120807</v>
      </c>
      <c r="B352" s="769" t="s">
        <v>591</v>
      </c>
      <c r="C352" s="768">
        <f>2000000+67000</f>
        <v>2067000</v>
      </c>
      <c r="D352" s="749"/>
      <c r="E352" s="789"/>
      <c r="F352" s="779"/>
      <c r="G352" s="787"/>
      <c r="H352" s="779"/>
      <c r="I352" s="779"/>
      <c r="J352" s="779"/>
      <c r="K352" s="779"/>
      <c r="L352" s="779"/>
      <c r="M352" s="779"/>
      <c r="N352" s="779"/>
      <c r="O352" s="779"/>
      <c r="P352" s="779"/>
      <c r="Q352" s="779"/>
      <c r="R352" s="779"/>
      <c r="S352" s="779"/>
      <c r="T352" s="779"/>
      <c r="U352" s="779"/>
      <c r="V352" s="779"/>
      <c r="W352" s="779"/>
      <c r="X352" s="779"/>
    </row>
    <row r="353" spans="1:24" s="840" customFormat="1" ht="13.5" customHeight="1">
      <c r="A353" s="821">
        <v>211209</v>
      </c>
      <c r="B353" s="782" t="s">
        <v>477</v>
      </c>
      <c r="C353" s="782">
        <f>SUM(C354:C355)</f>
        <v>590000</v>
      </c>
      <c r="D353" s="749"/>
      <c r="E353" s="842"/>
      <c r="F353" s="770"/>
      <c r="G353" s="771"/>
      <c r="H353" s="770"/>
      <c r="I353" s="770"/>
      <c r="J353" s="770"/>
      <c r="K353" s="770"/>
      <c r="L353" s="770"/>
      <c r="M353" s="770"/>
      <c r="N353" s="770"/>
      <c r="O353" s="770"/>
      <c r="P353" s="770"/>
      <c r="Q353" s="770"/>
      <c r="R353" s="770"/>
      <c r="S353" s="770"/>
      <c r="T353" s="770"/>
      <c r="U353" s="770"/>
      <c r="V353" s="770"/>
      <c r="W353" s="770"/>
      <c r="X353" s="770"/>
    </row>
    <row r="354" spans="1:24" s="753" customFormat="1" ht="13.5" customHeight="1">
      <c r="A354" s="798">
        <v>21120901</v>
      </c>
      <c r="B354" s="768" t="s">
        <v>478</v>
      </c>
      <c r="C354" s="785">
        <v>500000</v>
      </c>
      <c r="D354" s="783"/>
      <c r="E354" s="789"/>
      <c r="F354" s="759"/>
      <c r="G354" s="784"/>
      <c r="H354" s="759"/>
      <c r="I354" s="759"/>
      <c r="J354" s="759"/>
      <c r="K354" s="759"/>
      <c r="L354" s="759"/>
      <c r="M354" s="759"/>
      <c r="N354" s="759"/>
      <c r="O354" s="759"/>
      <c r="P354" s="759"/>
      <c r="Q354" s="759"/>
      <c r="R354" s="759"/>
      <c r="S354" s="759"/>
      <c r="T354" s="759"/>
      <c r="U354" s="759"/>
      <c r="V354" s="759"/>
      <c r="W354" s="759"/>
      <c r="X354" s="759"/>
    </row>
    <row r="355" spans="1:24" s="753" customFormat="1" ht="13.5" customHeight="1">
      <c r="A355" s="798">
        <v>21120906</v>
      </c>
      <c r="B355" s="768" t="s">
        <v>479</v>
      </c>
      <c r="C355" s="768">
        <v>90000</v>
      </c>
      <c r="D355" s="749"/>
      <c r="E355" s="792"/>
      <c r="F355" s="792"/>
      <c r="G355" s="793"/>
      <c r="H355" s="792"/>
      <c r="I355" s="792"/>
      <c r="J355" s="792"/>
      <c r="K355" s="792"/>
      <c r="L355" s="792"/>
      <c r="M355" s="792"/>
      <c r="N355" s="792"/>
      <c r="O355" s="792"/>
      <c r="P355" s="792"/>
      <c r="Q355" s="792"/>
      <c r="R355" s="792"/>
      <c r="S355" s="792"/>
      <c r="T355" s="792"/>
      <c r="U355" s="792"/>
      <c r="V355" s="792"/>
      <c r="W355" s="792"/>
      <c r="X355" s="792"/>
    </row>
    <row r="356" spans="1:24" s="753" customFormat="1" ht="13.5" customHeight="1" thickBot="1">
      <c r="A356" s="798"/>
      <c r="B356" s="759"/>
      <c r="C356" s="768"/>
      <c r="D356" s="749"/>
      <c r="E356" s="779"/>
      <c r="F356" s="794"/>
      <c r="G356" s="787"/>
      <c r="H356" s="779"/>
      <c r="I356" s="779"/>
      <c r="J356" s="779"/>
      <c r="K356" s="779"/>
      <c r="L356" s="779"/>
      <c r="M356" s="779"/>
      <c r="N356" s="779"/>
      <c r="O356" s="779"/>
      <c r="P356" s="779"/>
      <c r="Q356" s="779"/>
      <c r="R356" s="779"/>
      <c r="S356" s="779"/>
      <c r="T356" s="779"/>
      <c r="U356" s="779"/>
      <c r="V356" s="779"/>
      <c r="W356" s="779"/>
      <c r="X356" s="779"/>
    </row>
    <row r="357" spans="1:24" s="753" customFormat="1" ht="13.5" customHeight="1" thickBot="1">
      <c r="A357" s="1393" t="s">
        <v>4</v>
      </c>
      <c r="B357" s="1320"/>
      <c r="C357" s="795">
        <f>C358+C362+C368+C371+C374+C376+C378</f>
        <v>99635000</v>
      </c>
      <c r="D357" s="780"/>
      <c r="E357" s="756"/>
      <c r="F357" s="765"/>
      <c r="G357" s="781"/>
      <c r="H357" s="779"/>
      <c r="I357" s="779"/>
      <c r="J357" s="779"/>
      <c r="K357" s="779"/>
      <c r="L357" s="779"/>
      <c r="M357" s="779"/>
      <c r="N357" s="779"/>
      <c r="O357" s="779"/>
      <c r="P357" s="779"/>
      <c r="Q357" s="779"/>
      <c r="R357" s="779"/>
      <c r="S357" s="779"/>
      <c r="T357" s="779"/>
      <c r="U357" s="779"/>
      <c r="V357" s="779"/>
      <c r="W357" s="779"/>
      <c r="X357" s="779"/>
    </row>
    <row r="358" spans="1:24" s="840" customFormat="1" ht="13.5" customHeight="1">
      <c r="A358" s="821">
        <v>211302</v>
      </c>
      <c r="B358" s="764" t="s">
        <v>481</v>
      </c>
      <c r="C358" s="762">
        <f>+SUM(C359:C361)</f>
        <v>7842500</v>
      </c>
      <c r="D358" s="843"/>
      <c r="E358" s="774"/>
      <c r="F358" s="774"/>
      <c r="G358" s="821"/>
      <c r="H358" s="776"/>
      <c r="I358" s="776"/>
      <c r="J358" s="776"/>
      <c r="K358" s="776"/>
      <c r="L358" s="776"/>
      <c r="M358" s="776"/>
      <c r="N358" s="776"/>
      <c r="O358" s="776"/>
      <c r="P358" s="776"/>
      <c r="Q358" s="776"/>
      <c r="R358" s="776"/>
      <c r="S358" s="776"/>
      <c r="T358" s="776"/>
      <c r="U358" s="776"/>
      <c r="V358" s="776"/>
      <c r="W358" s="776"/>
      <c r="X358" s="776"/>
    </row>
    <row r="359" spans="1:24" s="753" customFormat="1" ht="13.5" customHeight="1">
      <c r="A359" s="798">
        <v>21130202</v>
      </c>
      <c r="B359" s="769" t="s">
        <v>592</v>
      </c>
      <c r="C359" s="772">
        <v>500000</v>
      </c>
      <c r="D359" s="797"/>
      <c r="E359" s="760"/>
      <c r="F359" s="760"/>
      <c r="G359" s="798"/>
      <c r="H359" s="796"/>
      <c r="I359" s="796"/>
      <c r="J359" s="796"/>
      <c r="K359" s="796"/>
      <c r="L359" s="796"/>
      <c r="M359" s="796"/>
      <c r="N359" s="796"/>
      <c r="O359" s="796"/>
      <c r="P359" s="796"/>
      <c r="Q359" s="796"/>
      <c r="R359" s="796"/>
      <c r="S359" s="796"/>
      <c r="T359" s="796"/>
      <c r="U359" s="796"/>
      <c r="V359" s="796"/>
      <c r="W359" s="796"/>
      <c r="X359" s="796"/>
    </row>
    <row r="360" spans="1:24" s="753" customFormat="1" ht="13.5" customHeight="1">
      <c r="A360" s="798">
        <v>21130203</v>
      </c>
      <c r="B360" s="769" t="s">
        <v>555</v>
      </c>
      <c r="C360" s="772">
        <v>100000</v>
      </c>
      <c r="D360" s="797"/>
      <c r="E360" s="799"/>
      <c r="F360" s="760"/>
      <c r="G360" s="798"/>
      <c r="H360" s="796"/>
      <c r="I360" s="796"/>
      <c r="J360" s="796"/>
      <c r="K360" s="796"/>
      <c r="L360" s="796"/>
      <c r="M360" s="796"/>
      <c r="N360" s="796"/>
      <c r="O360" s="796"/>
      <c r="P360" s="796"/>
      <c r="Q360" s="796"/>
      <c r="R360" s="796"/>
      <c r="S360" s="796"/>
      <c r="T360" s="796"/>
      <c r="U360" s="796"/>
      <c r="V360" s="796"/>
      <c r="W360" s="796"/>
      <c r="X360" s="796"/>
    </row>
    <row r="361" spans="1:24" s="753" customFormat="1" ht="13.5" customHeight="1">
      <c r="A361" s="798">
        <v>21130204</v>
      </c>
      <c r="B361" s="759" t="s">
        <v>483</v>
      </c>
      <c r="C361" s="768">
        <v>7242500</v>
      </c>
      <c r="D361" s="788"/>
      <c r="E361" s="786"/>
      <c r="F361" s="782"/>
      <c r="G361" s="798"/>
      <c r="H361" s="768"/>
      <c r="I361" s="759"/>
      <c r="J361" s="759"/>
      <c r="K361" s="759"/>
      <c r="L361" s="759"/>
      <c r="M361" s="759"/>
      <c r="N361" s="759"/>
      <c r="O361" s="759"/>
      <c r="P361" s="759"/>
      <c r="Q361" s="759"/>
      <c r="R361" s="759"/>
      <c r="S361" s="759"/>
      <c r="T361" s="759"/>
      <c r="U361" s="759"/>
      <c r="V361" s="759"/>
      <c r="W361" s="759"/>
      <c r="X361" s="759"/>
    </row>
    <row r="362" spans="1:24" s="840" customFormat="1" ht="13.5" customHeight="1">
      <c r="A362" s="821">
        <v>211303</v>
      </c>
      <c r="B362" s="781" t="s">
        <v>484</v>
      </c>
      <c r="C362" s="782">
        <f>+SUM(C363:C367)</f>
        <v>12932000</v>
      </c>
      <c r="D362" s="775"/>
      <c r="E362" s="782"/>
      <c r="F362" s="781"/>
      <c r="G362" s="839"/>
      <c r="H362" s="781"/>
      <c r="I362" s="781"/>
      <c r="J362" s="781"/>
      <c r="K362" s="781"/>
      <c r="L362" s="781"/>
      <c r="M362" s="781"/>
      <c r="N362" s="781"/>
      <c r="O362" s="781"/>
      <c r="P362" s="781"/>
      <c r="Q362" s="781"/>
      <c r="R362" s="781"/>
      <c r="S362" s="781"/>
      <c r="T362" s="781"/>
      <c r="U362" s="781"/>
      <c r="V362" s="781"/>
      <c r="W362" s="781"/>
      <c r="X362" s="781"/>
    </row>
    <row r="363" spans="1:24" s="753" customFormat="1" ht="13.5" customHeight="1">
      <c r="A363" s="798">
        <v>21130301</v>
      </c>
      <c r="B363" s="759" t="s">
        <v>485</v>
      </c>
      <c r="C363" s="755">
        <v>700000</v>
      </c>
      <c r="D363" s="783"/>
      <c r="E363" s="768"/>
      <c r="F363" s="759"/>
      <c r="G363" s="784"/>
      <c r="H363" s="759"/>
      <c r="I363" s="759"/>
      <c r="J363" s="759"/>
      <c r="K363" s="759"/>
      <c r="L363" s="759"/>
      <c r="M363" s="759"/>
      <c r="N363" s="759"/>
      <c r="O363" s="759"/>
      <c r="P363" s="759"/>
      <c r="Q363" s="759"/>
      <c r="R363" s="759"/>
      <c r="S363" s="759"/>
      <c r="T363" s="759"/>
      <c r="U363" s="759"/>
      <c r="V363" s="759"/>
      <c r="W363" s="759"/>
      <c r="X363" s="759"/>
    </row>
    <row r="364" spans="1:24" s="753" customFormat="1" ht="13.5" customHeight="1">
      <c r="A364" s="798">
        <v>21130304</v>
      </c>
      <c r="B364" s="759" t="s">
        <v>486</v>
      </c>
      <c r="C364" s="755">
        <v>304000</v>
      </c>
      <c r="D364" s="749"/>
      <c r="E364" s="779"/>
      <c r="F364" s="779"/>
      <c r="G364" s="787"/>
      <c r="H364" s="779"/>
      <c r="I364" s="779"/>
      <c r="J364" s="779"/>
      <c r="K364" s="779"/>
      <c r="L364" s="779"/>
      <c r="M364" s="779"/>
      <c r="N364" s="779"/>
      <c r="O364" s="779"/>
      <c r="P364" s="779"/>
      <c r="Q364" s="779"/>
      <c r="R364" s="779"/>
      <c r="S364" s="779"/>
      <c r="T364" s="779"/>
      <c r="U364" s="779"/>
      <c r="V364" s="779"/>
      <c r="W364" s="779"/>
      <c r="X364" s="779"/>
    </row>
    <row r="365" spans="1:24" s="753" customFormat="1" ht="13.5" customHeight="1">
      <c r="A365" s="798">
        <v>21130305</v>
      </c>
      <c r="B365" s="759" t="s">
        <v>577</v>
      </c>
      <c r="C365" s="755">
        <v>960000</v>
      </c>
      <c r="D365" s="749"/>
      <c r="E365" s="779"/>
      <c r="F365" s="779"/>
      <c r="G365" s="787"/>
      <c r="H365" s="779"/>
      <c r="I365" s="779"/>
      <c r="J365" s="779"/>
      <c r="K365" s="779"/>
      <c r="L365" s="779"/>
      <c r="M365" s="779"/>
      <c r="N365" s="779"/>
      <c r="O365" s="779"/>
      <c r="P365" s="779"/>
      <c r="Q365" s="779"/>
      <c r="R365" s="779"/>
      <c r="S365" s="779"/>
      <c r="T365" s="779"/>
      <c r="U365" s="779"/>
      <c r="V365" s="779"/>
      <c r="W365" s="779"/>
      <c r="X365" s="779"/>
    </row>
    <row r="366" spans="1:24" s="753" customFormat="1" ht="13.5" customHeight="1">
      <c r="A366" s="798">
        <v>21130306</v>
      </c>
      <c r="B366" s="759" t="s">
        <v>487</v>
      </c>
      <c r="C366" s="755">
        <v>822500</v>
      </c>
      <c r="D366" s="780"/>
      <c r="E366" s="779"/>
      <c r="F366" s="779"/>
      <c r="G366" s="787"/>
      <c r="H366" s="779"/>
      <c r="I366" s="779"/>
      <c r="J366" s="779"/>
      <c r="K366" s="779"/>
      <c r="L366" s="779"/>
      <c r="M366" s="779"/>
      <c r="N366" s="779"/>
      <c r="O366" s="779"/>
      <c r="P366" s="779"/>
      <c r="Q366" s="779"/>
      <c r="R366" s="779"/>
      <c r="S366" s="779"/>
      <c r="T366" s="779"/>
      <c r="U366" s="779"/>
      <c r="V366" s="779"/>
      <c r="W366" s="779"/>
      <c r="X366" s="779"/>
    </row>
    <row r="367" spans="1:24" s="753" customFormat="1" ht="13.5" customHeight="1">
      <c r="A367" s="798">
        <v>21130307</v>
      </c>
      <c r="B367" s="759" t="s">
        <v>488</v>
      </c>
      <c r="C367" s="785">
        <v>10145500</v>
      </c>
      <c r="D367" s="788"/>
      <c r="E367" s="790"/>
      <c r="F367" s="790"/>
      <c r="G367" s="791"/>
      <c r="H367" s="790"/>
      <c r="I367" s="790"/>
      <c r="J367" s="790"/>
      <c r="K367" s="790"/>
      <c r="L367" s="790"/>
      <c r="M367" s="790"/>
      <c r="N367" s="790"/>
      <c r="O367" s="790"/>
      <c r="P367" s="790"/>
      <c r="Q367" s="790"/>
      <c r="R367" s="790"/>
      <c r="S367" s="790"/>
      <c r="T367" s="790"/>
      <c r="U367" s="790"/>
      <c r="V367" s="790"/>
      <c r="W367" s="790"/>
      <c r="X367" s="790"/>
    </row>
    <row r="368" spans="1:24" s="831" customFormat="1" ht="13.5" customHeight="1">
      <c r="A368" s="48">
        <v>211304</v>
      </c>
      <c r="B368" s="21" t="s">
        <v>578</v>
      </c>
      <c r="C368" s="26">
        <f>+SUM(C369:C370)</f>
        <v>58089000</v>
      </c>
      <c r="D368" s="37"/>
      <c r="E368" s="38"/>
      <c r="F368" s="169"/>
      <c r="G368" s="39"/>
      <c r="H368" s="38"/>
      <c r="I368" s="38"/>
      <c r="J368" s="38"/>
      <c r="K368" s="38"/>
      <c r="L368" s="38"/>
      <c r="M368" s="38"/>
      <c r="N368" s="38"/>
      <c r="O368" s="38"/>
      <c r="P368" s="38"/>
      <c r="Q368" s="38"/>
      <c r="R368" s="38"/>
      <c r="S368" s="38"/>
      <c r="T368" s="38"/>
      <c r="U368" s="38"/>
      <c r="V368" s="38"/>
      <c r="W368" s="38"/>
      <c r="X368" s="38"/>
    </row>
    <row r="369" spans="1:24" ht="13.5" customHeight="1">
      <c r="A369" s="33">
        <v>21130401</v>
      </c>
      <c r="B369" s="23" t="s">
        <v>593</v>
      </c>
      <c r="C369" s="51">
        <f>40000000+10766000</f>
        <v>50766000</v>
      </c>
      <c r="D369" s="167"/>
      <c r="E369" s="4"/>
      <c r="F369" s="24"/>
      <c r="G369" s="3"/>
      <c r="H369" s="24"/>
      <c r="I369" s="4"/>
      <c r="J369" s="4"/>
      <c r="K369" s="4"/>
      <c r="L369" s="4"/>
      <c r="M369" s="4"/>
      <c r="N369" s="4"/>
      <c r="O369" s="4"/>
      <c r="P369" s="4"/>
      <c r="Q369" s="4"/>
      <c r="R369" s="4"/>
      <c r="S369" s="4"/>
      <c r="T369" s="4"/>
      <c r="U369" s="4"/>
      <c r="V369" s="4"/>
      <c r="W369" s="4"/>
      <c r="X369" s="4"/>
    </row>
    <row r="370" spans="1:24" ht="13.5" customHeight="1">
      <c r="A370" s="33">
        <v>21130403</v>
      </c>
      <c r="B370" s="23" t="s">
        <v>579</v>
      </c>
      <c r="C370" s="51">
        <f>6000000+1323000</f>
        <v>7323000</v>
      </c>
      <c r="D370" s="165"/>
      <c r="E370" s="35"/>
      <c r="F370" s="168"/>
      <c r="G370" s="3"/>
      <c r="H370" s="35"/>
      <c r="I370" s="35"/>
      <c r="J370" s="35"/>
      <c r="K370" s="35"/>
      <c r="L370" s="35"/>
      <c r="M370" s="35"/>
      <c r="N370" s="35"/>
      <c r="O370" s="35"/>
      <c r="P370" s="35"/>
      <c r="Q370" s="35"/>
      <c r="R370" s="35"/>
      <c r="S370" s="35"/>
      <c r="T370" s="35"/>
      <c r="U370" s="35"/>
      <c r="V370" s="35"/>
      <c r="W370" s="35"/>
      <c r="X370" s="35"/>
    </row>
    <row r="371" spans="1:24" s="840" customFormat="1" ht="13.5" customHeight="1">
      <c r="A371" s="821">
        <v>211305</v>
      </c>
      <c r="B371" s="781" t="s">
        <v>489</v>
      </c>
      <c r="C371" s="782">
        <f>SUM(C372:C373)</f>
        <v>208500</v>
      </c>
      <c r="D371" s="845"/>
      <c r="E371" s="844"/>
      <c r="F371" s="842"/>
      <c r="G371" s="781"/>
      <c r="H371" s="770"/>
      <c r="I371" s="844"/>
      <c r="J371" s="844"/>
      <c r="K371" s="844"/>
      <c r="L371" s="844"/>
      <c r="M371" s="844"/>
      <c r="N371" s="844"/>
      <c r="O371" s="844"/>
      <c r="P371" s="844"/>
      <c r="Q371" s="844"/>
      <c r="R371" s="844"/>
      <c r="S371" s="844"/>
      <c r="T371" s="844"/>
      <c r="U371" s="844"/>
      <c r="V371" s="844"/>
      <c r="W371" s="844"/>
      <c r="X371" s="844"/>
    </row>
    <row r="372" spans="1:24" s="753" customFormat="1" ht="13.5" customHeight="1">
      <c r="A372" s="798">
        <v>21130501</v>
      </c>
      <c r="B372" s="769" t="s">
        <v>490</v>
      </c>
      <c r="C372" s="768">
        <v>8500</v>
      </c>
      <c r="D372" s="800"/>
      <c r="E372" s="790"/>
      <c r="F372" s="768"/>
      <c r="G372" s="789"/>
      <c r="H372" s="768"/>
      <c r="I372" s="790"/>
      <c r="J372" s="790"/>
      <c r="K372" s="790"/>
      <c r="L372" s="790"/>
      <c r="M372" s="790"/>
      <c r="N372" s="790"/>
      <c r="O372" s="790"/>
      <c r="P372" s="790"/>
      <c r="Q372" s="790"/>
      <c r="R372" s="790"/>
      <c r="S372" s="790"/>
      <c r="T372" s="790"/>
      <c r="U372" s="790"/>
      <c r="V372" s="790"/>
      <c r="W372" s="790"/>
      <c r="X372" s="790"/>
    </row>
    <row r="373" spans="1:24" s="753" customFormat="1" ht="13.5" customHeight="1">
      <c r="A373" s="798">
        <v>21130502</v>
      </c>
      <c r="B373" s="768" t="s">
        <v>491</v>
      </c>
      <c r="C373" s="768">
        <v>200000</v>
      </c>
      <c r="D373" s="800"/>
      <c r="E373" s="790"/>
      <c r="F373" s="768"/>
      <c r="G373" s="789"/>
      <c r="H373" s="768"/>
      <c r="I373" s="790"/>
      <c r="J373" s="790"/>
      <c r="K373" s="790"/>
      <c r="L373" s="790"/>
      <c r="M373" s="790"/>
      <c r="N373" s="790"/>
      <c r="O373" s="790"/>
      <c r="P373" s="790"/>
      <c r="Q373" s="790"/>
      <c r="R373" s="790"/>
      <c r="S373" s="790"/>
      <c r="T373" s="790"/>
      <c r="U373" s="790"/>
      <c r="V373" s="790"/>
      <c r="W373" s="790"/>
      <c r="X373" s="790"/>
    </row>
    <row r="374" spans="1:24" s="840" customFormat="1" ht="13.5" customHeight="1">
      <c r="A374" s="821">
        <v>211306</v>
      </c>
      <c r="B374" s="782" t="s">
        <v>492</v>
      </c>
      <c r="C374" s="782">
        <f>C375</f>
        <v>12500</v>
      </c>
      <c r="D374" s="845"/>
      <c r="E374" s="844"/>
      <c r="F374" s="782"/>
      <c r="G374" s="842"/>
      <c r="H374" s="782"/>
      <c r="I374" s="844"/>
      <c r="J374" s="844"/>
      <c r="K374" s="844"/>
      <c r="L374" s="844"/>
      <c r="M374" s="844"/>
      <c r="N374" s="844"/>
      <c r="O374" s="844"/>
      <c r="P374" s="844"/>
      <c r="Q374" s="844"/>
      <c r="R374" s="844"/>
      <c r="S374" s="844"/>
      <c r="T374" s="844"/>
      <c r="U374" s="844"/>
      <c r="V374" s="844"/>
      <c r="W374" s="844"/>
      <c r="X374" s="844"/>
    </row>
    <row r="375" spans="1:24" s="753" customFormat="1" ht="13.5" customHeight="1">
      <c r="A375" s="798">
        <v>21130604</v>
      </c>
      <c r="B375" s="769" t="s">
        <v>539</v>
      </c>
      <c r="C375" s="768">
        <v>12500</v>
      </c>
      <c r="D375" s="800"/>
      <c r="E375" s="790"/>
      <c r="F375" s="768"/>
      <c r="G375" s="789"/>
      <c r="H375" s="768"/>
      <c r="I375" s="790"/>
      <c r="J375" s="790"/>
      <c r="K375" s="790"/>
      <c r="L375" s="790"/>
      <c r="M375" s="790"/>
      <c r="N375" s="790"/>
      <c r="O375" s="790"/>
      <c r="P375" s="790"/>
      <c r="Q375" s="790"/>
      <c r="R375" s="790"/>
      <c r="S375" s="790"/>
      <c r="T375" s="790"/>
      <c r="U375" s="790"/>
      <c r="V375" s="790"/>
      <c r="W375" s="790"/>
      <c r="X375" s="790"/>
    </row>
    <row r="376" spans="1:24" s="840" customFormat="1" ht="13.5" customHeight="1">
      <c r="A376" s="821">
        <v>211307</v>
      </c>
      <c r="B376" s="781" t="s">
        <v>494</v>
      </c>
      <c r="C376" s="782">
        <f>C377</f>
        <v>50500</v>
      </c>
      <c r="D376" s="845"/>
      <c r="E376" s="844"/>
      <c r="F376" s="782"/>
      <c r="G376" s="842"/>
      <c r="H376" s="782"/>
      <c r="I376" s="844"/>
      <c r="J376" s="844"/>
      <c r="K376" s="844"/>
      <c r="L376" s="844"/>
      <c r="M376" s="844"/>
      <c r="N376" s="844"/>
      <c r="O376" s="844"/>
      <c r="P376" s="844"/>
      <c r="Q376" s="844"/>
      <c r="R376" s="844"/>
      <c r="S376" s="844"/>
      <c r="T376" s="844"/>
      <c r="U376" s="844"/>
      <c r="V376" s="844"/>
      <c r="W376" s="844"/>
      <c r="X376" s="844"/>
    </row>
    <row r="377" spans="1:24" s="753" customFormat="1" ht="13.5" customHeight="1">
      <c r="A377" s="798">
        <v>21130701</v>
      </c>
      <c r="B377" s="759" t="s">
        <v>495</v>
      </c>
      <c r="C377" s="768">
        <v>50500</v>
      </c>
      <c r="D377" s="800"/>
      <c r="E377" s="790"/>
      <c r="F377" s="768"/>
      <c r="G377" s="789"/>
      <c r="H377" s="768"/>
      <c r="I377" s="790"/>
      <c r="J377" s="790"/>
      <c r="K377" s="790"/>
      <c r="L377" s="790"/>
      <c r="M377" s="790"/>
      <c r="N377" s="790"/>
      <c r="O377" s="790"/>
      <c r="P377" s="790"/>
      <c r="Q377" s="790"/>
      <c r="R377" s="790"/>
      <c r="S377" s="790"/>
      <c r="T377" s="790"/>
      <c r="U377" s="790"/>
      <c r="V377" s="790"/>
      <c r="W377" s="790"/>
      <c r="X377" s="790"/>
    </row>
    <row r="378" spans="1:24" s="840" customFormat="1" ht="13.5" customHeight="1">
      <c r="A378" s="821">
        <v>211309</v>
      </c>
      <c r="B378" s="782" t="s">
        <v>496</v>
      </c>
      <c r="C378" s="782">
        <f>+SUM(C379:C380)</f>
        <v>20500000</v>
      </c>
      <c r="D378" s="845"/>
      <c r="E378" s="844"/>
      <c r="F378" s="782"/>
      <c r="G378" s="842"/>
      <c r="H378" s="782"/>
      <c r="I378" s="844"/>
      <c r="J378" s="844"/>
      <c r="K378" s="844"/>
      <c r="L378" s="844"/>
      <c r="M378" s="844"/>
      <c r="N378" s="844"/>
      <c r="O378" s="844"/>
      <c r="P378" s="844"/>
      <c r="Q378" s="844"/>
      <c r="R378" s="844"/>
      <c r="S378" s="844"/>
      <c r="T378" s="844"/>
      <c r="U378" s="844"/>
      <c r="V378" s="844"/>
      <c r="W378" s="844"/>
      <c r="X378" s="844"/>
    </row>
    <row r="379" spans="1:24" s="753" customFormat="1" ht="13.5" customHeight="1">
      <c r="A379" s="798">
        <v>21130901</v>
      </c>
      <c r="B379" s="768" t="s">
        <v>497</v>
      </c>
      <c r="C379" s="768">
        <v>500000</v>
      </c>
      <c r="D379" s="780"/>
      <c r="E379" s="779"/>
      <c r="F379" s="760"/>
      <c r="G379" s="760"/>
      <c r="H379" s="779"/>
      <c r="I379" s="779"/>
      <c r="J379" s="779"/>
      <c r="K379" s="779"/>
      <c r="L379" s="779"/>
      <c r="M379" s="779"/>
      <c r="N379" s="779"/>
      <c r="O379" s="779"/>
      <c r="P379" s="779"/>
      <c r="Q379" s="779"/>
      <c r="R379" s="779"/>
      <c r="S379" s="779"/>
      <c r="T379" s="779"/>
      <c r="U379" s="779"/>
      <c r="V379" s="779"/>
      <c r="W379" s="779"/>
      <c r="X379" s="779"/>
    </row>
    <row r="380" spans="1:24" s="753" customFormat="1" ht="13.5" customHeight="1">
      <c r="A380" s="798">
        <v>21130908</v>
      </c>
      <c r="B380" s="768" t="s">
        <v>500</v>
      </c>
      <c r="C380" s="785">
        <v>20000000</v>
      </c>
      <c r="D380" s="780"/>
      <c r="E380" s="779"/>
      <c r="F380" s="760"/>
      <c r="G380" s="781"/>
      <c r="H380" s="781"/>
      <c r="I380" s="779"/>
      <c r="J380" s="779"/>
      <c r="K380" s="779"/>
      <c r="L380" s="779"/>
      <c r="M380" s="779"/>
      <c r="N380" s="779"/>
      <c r="O380" s="779"/>
      <c r="P380" s="779"/>
      <c r="Q380" s="779"/>
      <c r="R380" s="779"/>
      <c r="S380" s="779"/>
      <c r="T380" s="779"/>
      <c r="U380" s="779"/>
      <c r="V380" s="779"/>
      <c r="W380" s="779"/>
      <c r="X380" s="779"/>
    </row>
    <row r="381" spans="1:24" s="753" customFormat="1" ht="13.5" customHeight="1" thickBot="1">
      <c r="A381" s="759"/>
      <c r="B381" s="759"/>
      <c r="C381" s="768"/>
      <c r="D381" s="801"/>
      <c r="E381" s="759"/>
      <c r="F381" s="759"/>
      <c r="G381" s="784"/>
      <c r="H381" s="759"/>
      <c r="I381" s="759"/>
      <c r="J381" s="802"/>
      <c r="K381" s="802"/>
      <c r="L381" s="802"/>
      <c r="M381" s="802"/>
      <c r="N381" s="802"/>
      <c r="O381" s="802"/>
      <c r="P381" s="802"/>
      <c r="Q381" s="802"/>
      <c r="R381" s="802"/>
      <c r="S381" s="802"/>
      <c r="T381" s="802"/>
      <c r="U381" s="802"/>
      <c r="V381" s="802"/>
      <c r="W381" s="802"/>
      <c r="X381" s="802"/>
    </row>
    <row r="382" spans="1:24" s="753" customFormat="1" ht="13.5" customHeight="1" thickBot="1">
      <c r="A382" s="1394" t="s">
        <v>48</v>
      </c>
      <c r="B382" s="1320"/>
      <c r="C382" s="803">
        <f>C383+C386+C388</f>
        <v>7730000</v>
      </c>
      <c r="D382" s="749"/>
      <c r="E382" s="779"/>
      <c r="F382" s="804"/>
      <c r="G382" s="787"/>
      <c r="H382" s="779"/>
      <c r="I382" s="779"/>
      <c r="J382" s="779"/>
      <c r="K382" s="779"/>
      <c r="L382" s="779"/>
      <c r="M382" s="779"/>
      <c r="N382" s="779"/>
      <c r="O382" s="779"/>
      <c r="P382" s="779"/>
      <c r="Q382" s="779"/>
      <c r="R382" s="779"/>
      <c r="S382" s="779"/>
      <c r="T382" s="779"/>
      <c r="U382" s="779"/>
      <c r="V382" s="779"/>
      <c r="W382" s="779"/>
      <c r="X382" s="779"/>
    </row>
    <row r="383" spans="1:24" s="840" customFormat="1" ht="13.5" customHeight="1">
      <c r="A383" s="764">
        <v>221102</v>
      </c>
      <c r="B383" s="764" t="s">
        <v>543</v>
      </c>
      <c r="C383" s="805">
        <f>SUM(C384:C385)</f>
        <v>5550000</v>
      </c>
      <c r="D383" s="775"/>
      <c r="E383" s="776"/>
      <c r="F383" s="846"/>
      <c r="G383" s="777"/>
      <c r="H383" s="776"/>
      <c r="I383" s="776"/>
      <c r="J383" s="776"/>
      <c r="K383" s="776"/>
      <c r="L383" s="776"/>
      <c r="M383" s="776"/>
      <c r="N383" s="776"/>
      <c r="O383" s="776"/>
      <c r="P383" s="776"/>
      <c r="Q383" s="776"/>
      <c r="R383" s="776"/>
      <c r="S383" s="776"/>
      <c r="T383" s="776"/>
      <c r="U383" s="776"/>
      <c r="V383" s="776"/>
      <c r="W383" s="776"/>
      <c r="X383" s="776"/>
    </row>
    <row r="384" spans="1:24" s="753" customFormat="1" ht="13.5" customHeight="1">
      <c r="A384" s="767">
        <v>22110204</v>
      </c>
      <c r="B384" s="754" t="s">
        <v>545</v>
      </c>
      <c r="C384" s="755">
        <f>5000000+300000</f>
        <v>5300000</v>
      </c>
      <c r="D384" s="749"/>
      <c r="E384" s="779"/>
      <c r="F384" s="794"/>
      <c r="G384" s="787"/>
      <c r="H384" s="779"/>
      <c r="I384" s="779"/>
      <c r="J384" s="779"/>
      <c r="K384" s="779"/>
      <c r="L384" s="779"/>
      <c r="M384" s="779"/>
      <c r="N384" s="779"/>
      <c r="O384" s="779"/>
      <c r="P384" s="779"/>
      <c r="Q384" s="779"/>
      <c r="R384" s="779"/>
      <c r="S384" s="779"/>
      <c r="T384" s="779"/>
      <c r="U384" s="779"/>
      <c r="V384" s="779"/>
      <c r="W384" s="779"/>
      <c r="X384" s="779"/>
    </row>
    <row r="385" spans="1:24" s="753" customFormat="1" ht="13.5" customHeight="1">
      <c r="A385" s="767">
        <v>22110205</v>
      </c>
      <c r="B385" s="754" t="s">
        <v>546</v>
      </c>
      <c r="C385" s="755">
        <v>250000</v>
      </c>
      <c r="D385" s="749"/>
      <c r="E385" s="779"/>
      <c r="F385" s="804"/>
      <c r="G385" s="787"/>
      <c r="H385" s="779"/>
      <c r="I385" s="779"/>
      <c r="J385" s="779"/>
      <c r="K385" s="779"/>
      <c r="L385" s="779"/>
      <c r="M385" s="779"/>
      <c r="N385" s="779"/>
      <c r="O385" s="779"/>
      <c r="P385" s="779"/>
      <c r="Q385" s="779"/>
      <c r="R385" s="779"/>
      <c r="S385" s="779"/>
      <c r="T385" s="779"/>
      <c r="U385" s="779"/>
      <c r="V385" s="779"/>
      <c r="W385" s="779"/>
      <c r="X385" s="779"/>
    </row>
    <row r="386" spans="1:24" s="840" customFormat="1" ht="13.5" customHeight="1">
      <c r="A386" s="821">
        <v>221104</v>
      </c>
      <c r="B386" s="764" t="s">
        <v>510</v>
      </c>
      <c r="C386" s="765">
        <f>SUM(C387)</f>
        <v>90000</v>
      </c>
      <c r="D386" s="749"/>
      <c r="E386" s="770"/>
      <c r="F386" s="806"/>
      <c r="G386" s="771"/>
      <c r="H386" s="770"/>
      <c r="I386" s="770"/>
      <c r="J386" s="770"/>
      <c r="K386" s="770"/>
      <c r="L386" s="770"/>
      <c r="M386" s="770"/>
      <c r="N386" s="770"/>
      <c r="O386" s="770"/>
      <c r="P386" s="770"/>
      <c r="Q386" s="770"/>
      <c r="R386" s="770"/>
      <c r="S386" s="770"/>
      <c r="T386" s="770"/>
      <c r="U386" s="770"/>
      <c r="V386" s="770"/>
      <c r="W386" s="770"/>
      <c r="X386" s="770"/>
    </row>
    <row r="387" spans="1:24" s="753" customFormat="1" ht="13.5" customHeight="1">
      <c r="A387" s="798">
        <v>22110401</v>
      </c>
      <c r="B387" s="759" t="s">
        <v>511</v>
      </c>
      <c r="C387" s="785">
        <v>90000</v>
      </c>
      <c r="D387" s="788"/>
      <c r="E387" s="757"/>
      <c r="F387" s="757"/>
      <c r="G387" s="758"/>
      <c r="H387" s="757"/>
      <c r="I387" s="757"/>
      <c r="J387" s="757"/>
      <c r="K387" s="757"/>
      <c r="L387" s="757"/>
      <c r="M387" s="757"/>
      <c r="N387" s="757"/>
      <c r="O387" s="757"/>
      <c r="P387" s="757"/>
      <c r="Q387" s="757"/>
      <c r="R387" s="757"/>
      <c r="S387" s="757"/>
      <c r="T387" s="757"/>
      <c r="U387" s="757"/>
      <c r="V387" s="757"/>
      <c r="W387" s="757"/>
      <c r="X387" s="757"/>
    </row>
    <row r="388" spans="1:24" s="840" customFormat="1" ht="13.5" customHeight="1">
      <c r="A388" s="764">
        <v>221107</v>
      </c>
      <c r="B388" s="781" t="s">
        <v>514</v>
      </c>
      <c r="C388" s="782">
        <f>SUM(C389)</f>
        <v>2090000</v>
      </c>
      <c r="D388" s="749"/>
      <c r="E388" s="844"/>
      <c r="F388" s="844"/>
      <c r="G388" s="847"/>
      <c r="H388" s="844"/>
      <c r="I388" s="844"/>
      <c r="J388" s="844"/>
      <c r="K388" s="844"/>
      <c r="L388" s="844"/>
      <c r="M388" s="844"/>
      <c r="N388" s="844"/>
      <c r="O388" s="844"/>
      <c r="P388" s="844"/>
      <c r="Q388" s="844"/>
      <c r="R388" s="844"/>
      <c r="S388" s="844"/>
      <c r="T388" s="844"/>
      <c r="U388" s="844"/>
      <c r="V388" s="844"/>
      <c r="W388" s="844"/>
      <c r="X388" s="844"/>
    </row>
    <row r="389" spans="1:24" s="753" customFormat="1" ht="13.5" customHeight="1">
      <c r="A389" s="767">
        <v>22110702</v>
      </c>
      <c r="B389" s="759" t="s">
        <v>515</v>
      </c>
      <c r="C389" s="755">
        <f>2000000+90000</f>
        <v>2090000</v>
      </c>
      <c r="D389" s="749"/>
      <c r="E389" s="779"/>
      <c r="F389" s="806"/>
      <c r="G389" s="787"/>
      <c r="H389" s="779"/>
      <c r="I389" s="779"/>
      <c r="J389" s="779"/>
      <c r="K389" s="779"/>
      <c r="L389" s="779"/>
      <c r="M389" s="779"/>
      <c r="N389" s="779"/>
      <c r="O389" s="779"/>
      <c r="P389" s="779"/>
      <c r="Q389" s="779"/>
      <c r="R389" s="779"/>
      <c r="S389" s="779"/>
      <c r="T389" s="779"/>
      <c r="U389" s="779"/>
      <c r="V389" s="779"/>
      <c r="W389" s="779"/>
      <c r="X389" s="779"/>
    </row>
    <row r="390" spans="1:24" ht="13.5" customHeight="1">
      <c r="A390" s="76"/>
      <c r="B390" s="100"/>
      <c r="C390" s="36"/>
      <c r="D390" s="37"/>
      <c r="E390" s="38"/>
      <c r="F390" s="38"/>
      <c r="G390" s="39"/>
      <c r="H390" s="38"/>
      <c r="I390" s="38"/>
      <c r="J390" s="38"/>
      <c r="K390" s="38"/>
      <c r="L390" s="38"/>
      <c r="M390" s="38"/>
      <c r="N390" s="38"/>
      <c r="O390" s="38"/>
      <c r="P390" s="38"/>
      <c r="Q390" s="38"/>
      <c r="R390" s="38"/>
      <c r="S390" s="38"/>
      <c r="T390" s="38"/>
      <c r="U390" s="38"/>
      <c r="V390" s="38"/>
      <c r="W390" s="38"/>
      <c r="X390" s="38"/>
    </row>
    <row r="391" spans="1:24" ht="13.5" customHeight="1" thickBot="1">
      <c r="A391" s="23"/>
      <c r="B391" s="23"/>
      <c r="C391" s="24"/>
      <c r="D391" s="37"/>
      <c r="E391" s="35"/>
      <c r="F391" s="35"/>
      <c r="G391" s="126"/>
      <c r="H391" s="35"/>
      <c r="I391" s="35"/>
      <c r="J391" s="35"/>
      <c r="K391" s="35"/>
      <c r="L391" s="35"/>
      <c r="M391" s="35"/>
      <c r="N391" s="35"/>
      <c r="O391" s="35"/>
      <c r="P391" s="35"/>
      <c r="Q391" s="35"/>
      <c r="R391" s="35"/>
      <c r="S391" s="35"/>
      <c r="T391" s="35"/>
      <c r="U391" s="35"/>
      <c r="V391" s="35"/>
      <c r="W391" s="35"/>
      <c r="X391" s="35"/>
    </row>
    <row r="392" spans="1:24" ht="13.5" customHeight="1">
      <c r="A392" s="1379" t="s">
        <v>942</v>
      </c>
      <c r="B392" s="1380"/>
      <c r="C392" s="1153">
        <v>1608</v>
      </c>
      <c r="D392" s="37"/>
      <c r="E392" s="35"/>
      <c r="F392" s="35"/>
      <c r="G392" s="126"/>
      <c r="H392" s="35"/>
      <c r="I392" s="35"/>
      <c r="J392" s="35"/>
      <c r="K392" s="35"/>
      <c r="L392" s="35"/>
      <c r="M392" s="35"/>
      <c r="N392" s="35"/>
      <c r="O392" s="35"/>
      <c r="P392" s="35"/>
      <c r="Q392" s="35"/>
      <c r="R392" s="35"/>
      <c r="S392" s="35"/>
      <c r="T392" s="35"/>
      <c r="U392" s="35"/>
      <c r="V392" s="35"/>
      <c r="W392" s="35"/>
      <c r="X392" s="35"/>
    </row>
    <row r="393" spans="1:24" ht="13.5" customHeight="1" thickBot="1">
      <c r="A393" s="1381"/>
      <c r="B393" s="1382"/>
      <c r="C393" s="1200"/>
      <c r="D393" s="37"/>
      <c r="E393" s="35"/>
      <c r="F393" s="35"/>
      <c r="G393" s="126"/>
      <c r="H393" s="35"/>
      <c r="I393" s="35"/>
      <c r="J393" s="35"/>
      <c r="K393" s="35"/>
      <c r="L393" s="35"/>
      <c r="M393" s="35"/>
      <c r="N393" s="35"/>
      <c r="O393" s="35"/>
      <c r="P393" s="35"/>
      <c r="Q393" s="35"/>
      <c r="R393" s="35"/>
      <c r="S393" s="35"/>
      <c r="T393" s="35"/>
      <c r="U393" s="35"/>
      <c r="V393" s="35"/>
      <c r="W393" s="35"/>
      <c r="X393" s="35"/>
    </row>
    <row r="394" spans="1:24" ht="13.5" customHeight="1">
      <c r="A394" s="609" t="s">
        <v>671</v>
      </c>
      <c r="B394" s="612"/>
      <c r="C394" s="626"/>
      <c r="D394" s="37"/>
      <c r="E394" s="35"/>
      <c r="F394" s="35"/>
      <c r="G394" s="126"/>
      <c r="H394" s="35"/>
      <c r="I394" s="35"/>
      <c r="J394" s="35"/>
      <c r="K394" s="35"/>
      <c r="L394" s="35"/>
      <c r="M394" s="35"/>
      <c r="N394" s="35"/>
      <c r="O394" s="35"/>
      <c r="P394" s="35"/>
      <c r="Q394" s="35"/>
      <c r="R394" s="35"/>
      <c r="S394" s="35"/>
      <c r="T394" s="35"/>
      <c r="U394" s="35"/>
      <c r="V394" s="35"/>
      <c r="W394" s="35"/>
      <c r="X394" s="35"/>
    </row>
    <row r="395" spans="1:24" ht="13.5" customHeight="1">
      <c r="A395" s="609" t="s">
        <v>753</v>
      </c>
      <c r="B395" s="612"/>
      <c r="C395" s="626"/>
      <c r="D395" s="37"/>
      <c r="E395" s="35"/>
      <c r="F395" s="35"/>
      <c r="G395" s="126"/>
      <c r="H395" s="35"/>
      <c r="I395" s="35"/>
      <c r="J395" s="35"/>
      <c r="K395" s="35"/>
      <c r="L395" s="35"/>
      <c r="M395" s="35"/>
      <c r="N395" s="35"/>
      <c r="O395" s="35"/>
      <c r="P395" s="35"/>
      <c r="Q395" s="35"/>
      <c r="R395" s="35"/>
      <c r="S395" s="35"/>
      <c r="T395" s="35"/>
      <c r="U395" s="35"/>
      <c r="V395" s="35"/>
      <c r="W395" s="35"/>
      <c r="X395" s="35"/>
    </row>
    <row r="396" spans="1:24" ht="13.5" customHeight="1">
      <c r="A396" s="609" t="s">
        <v>754</v>
      </c>
      <c r="B396" s="612"/>
      <c r="C396" s="626"/>
      <c r="D396" s="37"/>
      <c r="E396" s="35"/>
      <c r="F396" s="35"/>
      <c r="G396" s="126"/>
      <c r="H396" s="35"/>
      <c r="I396" s="35"/>
      <c r="J396" s="35"/>
      <c r="K396" s="35"/>
      <c r="L396" s="35"/>
      <c r="M396" s="35"/>
      <c r="N396" s="35"/>
      <c r="O396" s="35"/>
      <c r="P396" s="35"/>
      <c r="Q396" s="35"/>
      <c r="R396" s="35"/>
      <c r="S396" s="35"/>
      <c r="T396" s="35"/>
      <c r="U396" s="35"/>
      <c r="V396" s="35"/>
      <c r="W396" s="35"/>
      <c r="X396" s="35"/>
    </row>
    <row r="397" spans="1:24" ht="13.5" customHeight="1" thickBot="1">
      <c r="A397" s="1089" t="s">
        <v>59</v>
      </c>
      <c r="B397" s="612"/>
      <c r="C397" s="626"/>
      <c r="D397" s="37"/>
      <c r="E397" s="35"/>
      <c r="F397" s="35"/>
      <c r="G397" s="126"/>
      <c r="H397" s="35"/>
      <c r="I397" s="35"/>
      <c r="J397" s="35"/>
      <c r="K397" s="35"/>
      <c r="L397" s="35"/>
      <c r="M397" s="35"/>
      <c r="N397" s="35"/>
      <c r="O397" s="35"/>
      <c r="P397" s="35"/>
      <c r="Q397" s="35"/>
      <c r="R397" s="35"/>
      <c r="S397" s="35"/>
      <c r="T397" s="35"/>
      <c r="U397" s="35"/>
      <c r="V397" s="35"/>
      <c r="W397" s="35"/>
      <c r="X397" s="35"/>
    </row>
    <row r="398" spans="1:24" ht="13.5" customHeight="1" thickBot="1">
      <c r="A398" s="1171" t="s">
        <v>60</v>
      </c>
      <c r="B398" s="1197"/>
      <c r="C398" s="1033">
        <f>(C400+C415+C428)</f>
        <v>71138000</v>
      </c>
      <c r="D398" s="37"/>
      <c r="E398" s="35"/>
      <c r="F398" s="35"/>
      <c r="G398" s="126"/>
      <c r="H398" s="35"/>
      <c r="I398" s="35"/>
      <c r="J398" s="35"/>
      <c r="K398" s="35"/>
      <c r="L398" s="35"/>
      <c r="M398" s="35"/>
      <c r="N398" s="35"/>
      <c r="O398" s="35"/>
      <c r="P398" s="35"/>
      <c r="Q398" s="35"/>
      <c r="R398" s="35"/>
      <c r="S398" s="35"/>
      <c r="T398" s="35"/>
      <c r="U398" s="35"/>
      <c r="V398" s="35"/>
      <c r="W398" s="35"/>
      <c r="X398" s="35"/>
    </row>
    <row r="399" spans="1:24" ht="13.5" customHeight="1" thickBot="1">
      <c r="A399" s="75"/>
      <c r="B399" s="100"/>
      <c r="C399" s="36"/>
      <c r="D399" s="37"/>
      <c r="E399" s="35"/>
      <c r="F399" s="35"/>
      <c r="G399" s="126"/>
      <c r="H399" s="35"/>
      <c r="I399" s="35"/>
      <c r="J399" s="35"/>
      <c r="K399" s="35"/>
      <c r="L399" s="35"/>
      <c r="M399" s="35"/>
      <c r="N399" s="35"/>
      <c r="O399" s="35"/>
      <c r="P399" s="35"/>
      <c r="Q399" s="35"/>
      <c r="R399" s="35"/>
      <c r="S399" s="35"/>
      <c r="T399" s="35"/>
      <c r="U399" s="35"/>
      <c r="V399" s="35"/>
      <c r="W399" s="35"/>
      <c r="X399" s="35"/>
    </row>
    <row r="400" spans="1:24" ht="13.5" customHeight="1" thickBot="1">
      <c r="A400" s="1297" t="s">
        <v>9</v>
      </c>
      <c r="B400" s="1281"/>
      <c r="C400" s="62">
        <f>(C401+C403+C405+C407+C411)</f>
        <v>2850000</v>
      </c>
      <c r="D400" s="37"/>
      <c r="E400" s="35"/>
      <c r="F400" s="35"/>
      <c r="G400" s="126"/>
      <c r="H400" s="35"/>
      <c r="I400" s="35"/>
      <c r="J400" s="35"/>
      <c r="K400" s="35"/>
      <c r="L400" s="35"/>
      <c r="M400" s="35"/>
      <c r="N400" s="35"/>
      <c r="O400" s="35"/>
      <c r="P400" s="35"/>
      <c r="Q400" s="35"/>
      <c r="R400" s="35"/>
      <c r="S400" s="35"/>
      <c r="T400" s="35"/>
      <c r="U400" s="35"/>
      <c r="V400" s="35"/>
      <c r="W400" s="35"/>
      <c r="X400" s="35"/>
    </row>
    <row r="401" spans="1:24" s="831" customFormat="1" ht="13.5" customHeight="1">
      <c r="A401" s="48">
        <v>211201</v>
      </c>
      <c r="B401" s="76" t="s">
        <v>459</v>
      </c>
      <c r="C401" s="49">
        <f>C402</f>
        <v>380000</v>
      </c>
      <c r="D401" s="37"/>
      <c r="E401" s="38"/>
      <c r="F401" s="38"/>
      <c r="G401" s="39"/>
      <c r="H401" s="38"/>
      <c r="I401" s="38"/>
      <c r="J401" s="38"/>
      <c r="K401" s="38"/>
      <c r="L401" s="38"/>
      <c r="M401" s="38"/>
      <c r="N401" s="38"/>
      <c r="O401" s="38"/>
      <c r="P401" s="38"/>
      <c r="Q401" s="38"/>
      <c r="R401" s="38"/>
      <c r="S401" s="38"/>
      <c r="T401" s="38"/>
      <c r="U401" s="38"/>
      <c r="V401" s="38"/>
      <c r="W401" s="38"/>
      <c r="X401" s="38"/>
    </row>
    <row r="402" spans="1:24" ht="13.5" customHeight="1">
      <c r="A402" s="33">
        <v>21120101</v>
      </c>
      <c r="B402" s="23" t="s">
        <v>460</v>
      </c>
      <c r="C402" s="163">
        <f>350000+30000</f>
        <v>380000</v>
      </c>
      <c r="D402" s="37"/>
      <c r="E402" s="35"/>
      <c r="F402" s="35"/>
      <c r="G402" s="126"/>
      <c r="H402" s="35"/>
      <c r="I402" s="35"/>
      <c r="J402" s="35"/>
      <c r="K402" s="35"/>
      <c r="L402" s="35"/>
      <c r="M402" s="35"/>
      <c r="N402" s="35"/>
      <c r="O402" s="35"/>
      <c r="P402" s="35"/>
      <c r="Q402" s="35"/>
      <c r="R402" s="35"/>
      <c r="S402" s="35"/>
      <c r="T402" s="35"/>
      <c r="U402" s="35"/>
      <c r="V402" s="35"/>
      <c r="W402" s="35"/>
      <c r="X402" s="35"/>
    </row>
    <row r="403" spans="1:24" s="831" customFormat="1" ht="13.5" customHeight="1">
      <c r="A403" s="48">
        <v>211203</v>
      </c>
      <c r="B403" s="21" t="s">
        <v>461</v>
      </c>
      <c r="C403" s="26">
        <f>C404</f>
        <v>360000</v>
      </c>
      <c r="D403" s="37"/>
      <c r="E403" s="38"/>
      <c r="F403" s="38"/>
      <c r="G403" s="39"/>
      <c r="H403" s="38"/>
      <c r="I403" s="38"/>
      <c r="J403" s="38"/>
      <c r="K403" s="38"/>
      <c r="L403" s="38"/>
      <c r="M403" s="38"/>
      <c r="N403" s="38"/>
      <c r="O403" s="38"/>
      <c r="P403" s="38"/>
      <c r="Q403" s="38"/>
      <c r="R403" s="38"/>
      <c r="S403" s="38"/>
      <c r="T403" s="38"/>
      <c r="U403" s="38"/>
      <c r="V403" s="38"/>
      <c r="W403" s="38"/>
      <c r="X403" s="38"/>
    </row>
    <row r="404" spans="1:24" ht="13.5" customHeight="1">
      <c r="A404" s="33">
        <v>21120302</v>
      </c>
      <c r="B404" s="24" t="s">
        <v>462</v>
      </c>
      <c r="C404" s="24">
        <f>350000+10000</f>
        <v>360000</v>
      </c>
      <c r="D404" s="37"/>
      <c r="E404" s="35"/>
      <c r="F404" s="35"/>
      <c r="G404" s="126"/>
      <c r="H404" s="35"/>
      <c r="I404" s="35"/>
      <c r="J404" s="35"/>
      <c r="K404" s="35"/>
      <c r="L404" s="35"/>
      <c r="M404" s="35"/>
      <c r="N404" s="35"/>
      <c r="O404" s="35"/>
      <c r="P404" s="35"/>
      <c r="Q404" s="35"/>
      <c r="R404" s="35"/>
      <c r="S404" s="35"/>
      <c r="T404" s="35"/>
      <c r="U404" s="35"/>
      <c r="V404" s="35"/>
      <c r="W404" s="35"/>
      <c r="X404" s="35"/>
    </row>
    <row r="405" spans="1:24" s="831" customFormat="1" ht="13.5" customHeight="1">
      <c r="A405" s="48">
        <v>211204</v>
      </c>
      <c r="B405" s="26" t="s">
        <v>463</v>
      </c>
      <c r="C405" s="26">
        <f>C406</f>
        <v>540000</v>
      </c>
      <c r="D405" s="37"/>
      <c r="E405" s="38"/>
      <c r="F405" s="38"/>
      <c r="G405" s="39"/>
      <c r="H405" s="38"/>
      <c r="I405" s="38"/>
      <c r="J405" s="38"/>
      <c r="K405" s="38"/>
      <c r="L405" s="38"/>
      <c r="M405" s="38"/>
      <c r="N405" s="38"/>
      <c r="O405" s="38"/>
      <c r="P405" s="38"/>
      <c r="Q405" s="38"/>
      <c r="R405" s="38"/>
      <c r="S405" s="38"/>
      <c r="T405" s="38"/>
      <c r="U405" s="38"/>
      <c r="V405" s="38"/>
      <c r="W405" s="38"/>
      <c r="X405" s="38"/>
    </row>
    <row r="406" spans="1:24" ht="13.5" customHeight="1">
      <c r="A406" s="33">
        <v>21120401</v>
      </c>
      <c r="B406" s="24" t="s">
        <v>464</v>
      </c>
      <c r="C406" s="24">
        <f>500000+40000</f>
        <v>540000</v>
      </c>
      <c r="D406" s="37"/>
      <c r="E406" s="35"/>
      <c r="F406" s="35"/>
      <c r="G406" s="126"/>
      <c r="H406" s="35"/>
      <c r="I406" s="35"/>
      <c r="J406" s="35"/>
      <c r="K406" s="35"/>
      <c r="L406" s="35"/>
      <c r="M406" s="35"/>
      <c r="N406" s="35"/>
      <c r="O406" s="35"/>
      <c r="P406" s="35"/>
      <c r="Q406" s="35"/>
      <c r="R406" s="35"/>
      <c r="S406" s="35"/>
      <c r="T406" s="35"/>
      <c r="U406" s="35"/>
      <c r="V406" s="35"/>
      <c r="W406" s="35"/>
      <c r="X406" s="35"/>
    </row>
    <row r="407" spans="1:24" s="831" customFormat="1" ht="13.5" customHeight="1">
      <c r="A407" s="48">
        <v>211207</v>
      </c>
      <c r="B407" s="26" t="s">
        <v>467</v>
      </c>
      <c r="C407" s="26">
        <f>SUM(C408:C410)</f>
        <v>430000</v>
      </c>
      <c r="D407" s="37"/>
      <c r="E407" s="38"/>
      <c r="F407" s="38"/>
      <c r="G407" s="39"/>
      <c r="H407" s="38"/>
      <c r="I407" s="38"/>
      <c r="J407" s="38"/>
      <c r="K407" s="38"/>
      <c r="L407" s="38"/>
      <c r="M407" s="38"/>
      <c r="N407" s="38"/>
      <c r="O407" s="38"/>
      <c r="P407" s="38"/>
      <c r="Q407" s="38"/>
      <c r="R407" s="38"/>
      <c r="S407" s="38"/>
      <c r="T407" s="38"/>
      <c r="U407" s="38"/>
      <c r="V407" s="38"/>
      <c r="W407" s="38"/>
      <c r="X407" s="38"/>
    </row>
    <row r="408" spans="1:24" ht="13.5" customHeight="1">
      <c r="A408" s="33">
        <v>21120702</v>
      </c>
      <c r="B408" s="24" t="s">
        <v>468</v>
      </c>
      <c r="C408" s="51">
        <v>220000</v>
      </c>
      <c r="D408" s="37"/>
      <c r="E408" s="35"/>
      <c r="F408" s="35"/>
      <c r="G408" s="126"/>
      <c r="H408" s="35"/>
      <c r="I408" s="35"/>
      <c r="J408" s="35"/>
      <c r="K408" s="35"/>
      <c r="L408" s="35"/>
      <c r="M408" s="35"/>
      <c r="N408" s="35"/>
      <c r="O408" s="35"/>
      <c r="P408" s="35"/>
      <c r="Q408" s="35"/>
      <c r="R408" s="35"/>
      <c r="S408" s="35"/>
      <c r="T408" s="35"/>
      <c r="U408" s="35"/>
      <c r="V408" s="35"/>
      <c r="W408" s="35"/>
      <c r="X408" s="35"/>
    </row>
    <row r="409" spans="1:24" ht="13.5" customHeight="1">
      <c r="A409" s="33">
        <v>21120708</v>
      </c>
      <c r="B409" s="24" t="s">
        <v>470</v>
      </c>
      <c r="C409" s="24">
        <v>120000</v>
      </c>
      <c r="D409" s="37"/>
      <c r="E409" s="35"/>
      <c r="F409" s="35"/>
      <c r="G409" s="126"/>
      <c r="H409" s="35"/>
      <c r="I409" s="35"/>
      <c r="J409" s="35"/>
      <c r="K409" s="35"/>
      <c r="L409" s="35"/>
      <c r="M409" s="35"/>
      <c r="N409" s="35"/>
      <c r="O409" s="35"/>
      <c r="P409" s="35"/>
      <c r="Q409" s="35"/>
      <c r="R409" s="35"/>
      <c r="S409" s="35"/>
      <c r="T409" s="35"/>
      <c r="U409" s="35"/>
      <c r="V409" s="35"/>
      <c r="W409" s="35"/>
      <c r="X409" s="35"/>
    </row>
    <row r="410" spans="1:24" ht="13.5" customHeight="1">
      <c r="A410" s="33">
        <v>21120709</v>
      </c>
      <c r="B410" s="24" t="s">
        <v>471</v>
      </c>
      <c r="C410" s="24">
        <v>90000</v>
      </c>
      <c r="D410" s="37"/>
      <c r="E410" s="35"/>
      <c r="F410" s="35"/>
      <c r="G410" s="126"/>
      <c r="H410" s="35"/>
      <c r="I410" s="35"/>
      <c r="J410" s="35"/>
      <c r="K410" s="35"/>
      <c r="L410" s="35"/>
      <c r="M410" s="35"/>
      <c r="N410" s="35"/>
      <c r="O410" s="35"/>
      <c r="P410" s="35"/>
      <c r="Q410" s="35"/>
      <c r="R410" s="35"/>
      <c r="S410" s="35"/>
      <c r="T410" s="35"/>
      <c r="U410" s="35"/>
      <c r="V410" s="35"/>
      <c r="W410" s="35"/>
      <c r="X410" s="35"/>
    </row>
    <row r="411" spans="1:24" s="831" customFormat="1" ht="13.5" customHeight="1">
      <c r="A411" s="48">
        <v>211209</v>
      </c>
      <c r="B411" s="26" t="s">
        <v>477</v>
      </c>
      <c r="C411" s="26">
        <f>SUM(C412:C413)</f>
        <v>1140000</v>
      </c>
      <c r="D411" s="37"/>
      <c r="E411" s="38"/>
      <c r="F411" s="38"/>
      <c r="G411" s="39"/>
      <c r="H411" s="38"/>
      <c r="I411" s="38"/>
      <c r="J411" s="38"/>
      <c r="K411" s="38"/>
      <c r="L411" s="38"/>
      <c r="M411" s="38"/>
      <c r="N411" s="38"/>
      <c r="O411" s="38"/>
      <c r="P411" s="38"/>
      <c r="Q411" s="38"/>
      <c r="R411" s="38"/>
      <c r="S411" s="38"/>
      <c r="T411" s="38"/>
      <c r="U411" s="38"/>
      <c r="V411" s="38"/>
      <c r="W411" s="38"/>
      <c r="X411" s="38"/>
    </row>
    <row r="412" spans="1:24" ht="13.5" customHeight="1">
      <c r="A412" s="33">
        <v>21120906</v>
      </c>
      <c r="B412" s="24" t="s">
        <v>479</v>
      </c>
      <c r="C412" s="24">
        <f>50000+80000</f>
        <v>130000</v>
      </c>
      <c r="D412" s="37"/>
      <c r="E412" s="35"/>
      <c r="F412" s="35"/>
      <c r="G412" s="126"/>
      <c r="H412" s="35"/>
      <c r="I412" s="35"/>
      <c r="J412" s="35"/>
      <c r="K412" s="35"/>
      <c r="L412" s="35"/>
      <c r="M412" s="35"/>
      <c r="N412" s="35"/>
      <c r="O412" s="35"/>
      <c r="P412" s="35"/>
      <c r="Q412" s="35"/>
      <c r="R412" s="35"/>
      <c r="S412" s="35"/>
      <c r="T412" s="35"/>
      <c r="U412" s="35"/>
      <c r="V412" s="35"/>
      <c r="W412" s="35"/>
      <c r="X412" s="35"/>
    </row>
    <row r="413" spans="1:24" ht="13.5" customHeight="1">
      <c r="A413" s="33">
        <v>21120907</v>
      </c>
      <c r="B413" s="24" t="s">
        <v>480</v>
      </c>
      <c r="C413" s="24">
        <f>5000000+10000-2500000-1500000</f>
        <v>1010000</v>
      </c>
      <c r="D413" s="37"/>
      <c r="E413" s="35"/>
      <c r="F413" s="35"/>
      <c r="G413" s="126"/>
      <c r="H413" s="35"/>
      <c r="I413" s="35"/>
      <c r="J413" s="35"/>
      <c r="K413" s="35"/>
      <c r="L413" s="35"/>
      <c r="M413" s="35"/>
      <c r="N413" s="35"/>
      <c r="O413" s="35"/>
      <c r="P413" s="35"/>
      <c r="Q413" s="35"/>
      <c r="R413" s="35"/>
      <c r="S413" s="35"/>
      <c r="T413" s="35"/>
      <c r="U413" s="35"/>
      <c r="V413" s="35"/>
      <c r="W413" s="35"/>
      <c r="X413" s="35"/>
    </row>
    <row r="414" spans="1:24" ht="13.5" customHeight="1" thickBot="1">
      <c r="A414" s="33"/>
      <c r="B414" s="24"/>
      <c r="C414" s="24"/>
      <c r="D414" s="37"/>
      <c r="E414" s="35"/>
      <c r="F414" s="35"/>
      <c r="G414" s="126"/>
      <c r="H414" s="35"/>
      <c r="I414" s="35"/>
      <c r="J414" s="35"/>
      <c r="K414" s="35"/>
      <c r="L414" s="35"/>
      <c r="M414" s="35"/>
      <c r="N414" s="35"/>
      <c r="O414" s="35"/>
      <c r="P414" s="35"/>
      <c r="Q414" s="35"/>
      <c r="R414" s="35"/>
      <c r="S414" s="35"/>
      <c r="T414" s="35"/>
      <c r="U414" s="35"/>
      <c r="V414" s="35"/>
      <c r="W414" s="35"/>
      <c r="X414" s="35"/>
    </row>
    <row r="415" spans="1:24" ht="13.5" customHeight="1" thickBot="1">
      <c r="A415" s="1298" t="s">
        <v>4</v>
      </c>
      <c r="B415" s="1281"/>
      <c r="C415" s="64">
        <f>(C418+C416+C420+C422)</f>
        <v>67948000</v>
      </c>
      <c r="D415" s="37"/>
      <c r="E415" s="35"/>
      <c r="F415" s="35"/>
      <c r="G415" s="126"/>
      <c r="H415" s="35"/>
      <c r="I415" s="35"/>
      <c r="J415" s="35"/>
      <c r="K415" s="35"/>
      <c r="L415" s="35"/>
      <c r="M415" s="35"/>
      <c r="N415" s="35"/>
      <c r="O415" s="35"/>
      <c r="P415" s="35"/>
      <c r="Q415" s="35"/>
      <c r="R415" s="35"/>
      <c r="S415" s="35"/>
      <c r="T415" s="35"/>
      <c r="U415" s="35"/>
      <c r="V415" s="35"/>
      <c r="W415" s="35"/>
      <c r="X415" s="35"/>
    </row>
    <row r="416" spans="1:24" s="831" customFormat="1" ht="13.5" customHeight="1">
      <c r="A416" s="48">
        <v>211302</v>
      </c>
      <c r="B416" s="26" t="s">
        <v>481</v>
      </c>
      <c r="C416" s="26">
        <f>C417</f>
        <v>240000</v>
      </c>
      <c r="D416" s="37"/>
      <c r="E416" s="38"/>
      <c r="F416" s="38"/>
      <c r="G416" s="39"/>
      <c r="H416" s="38"/>
      <c r="I416" s="38"/>
      <c r="J416" s="38"/>
      <c r="K416" s="38"/>
      <c r="L416" s="38"/>
      <c r="M416" s="38"/>
      <c r="N416" s="38"/>
      <c r="O416" s="38"/>
      <c r="P416" s="38"/>
      <c r="Q416" s="38"/>
      <c r="R416" s="38"/>
      <c r="S416" s="38"/>
      <c r="T416" s="38"/>
      <c r="U416" s="38"/>
      <c r="V416" s="38"/>
      <c r="W416" s="38"/>
      <c r="X416" s="38"/>
    </row>
    <row r="417" spans="1:24" ht="13.5" customHeight="1">
      <c r="A417" s="33">
        <v>21130204</v>
      </c>
      <c r="B417" s="24" t="s">
        <v>483</v>
      </c>
      <c r="C417" s="51">
        <v>240000</v>
      </c>
      <c r="D417" s="37"/>
      <c r="E417" s="35"/>
      <c r="F417" s="35"/>
      <c r="G417" s="126"/>
      <c r="H417" s="35"/>
      <c r="I417" s="35"/>
      <c r="J417" s="35"/>
      <c r="K417" s="35"/>
      <c r="L417" s="35"/>
      <c r="M417" s="35"/>
      <c r="N417" s="35"/>
      <c r="O417" s="35"/>
      <c r="P417" s="35"/>
      <c r="Q417" s="35"/>
      <c r="R417" s="35"/>
      <c r="S417" s="35"/>
      <c r="T417" s="35"/>
      <c r="U417" s="35"/>
      <c r="V417" s="35"/>
      <c r="W417" s="35"/>
      <c r="X417" s="35"/>
    </row>
    <row r="418" spans="1:24" s="831" customFormat="1" ht="13.5" customHeight="1">
      <c r="A418" s="48">
        <v>211303</v>
      </c>
      <c r="B418" s="26" t="s">
        <v>484</v>
      </c>
      <c r="C418" s="26">
        <f>C419</f>
        <v>60000</v>
      </c>
      <c r="D418" s="37"/>
      <c r="E418" s="38"/>
      <c r="F418" s="38"/>
      <c r="G418" s="39"/>
      <c r="H418" s="38"/>
      <c r="I418" s="38"/>
      <c r="J418" s="38"/>
      <c r="K418" s="38"/>
      <c r="L418" s="38"/>
      <c r="M418" s="38"/>
      <c r="N418" s="38"/>
      <c r="O418" s="38"/>
      <c r="P418" s="38"/>
      <c r="Q418" s="38"/>
      <c r="R418" s="38"/>
      <c r="S418" s="38"/>
      <c r="T418" s="38"/>
      <c r="U418" s="38"/>
      <c r="V418" s="38"/>
      <c r="W418" s="38"/>
      <c r="X418" s="38"/>
    </row>
    <row r="419" spans="1:24" ht="13.5" customHeight="1">
      <c r="A419" s="33">
        <v>21130307</v>
      </c>
      <c r="B419" s="24" t="s">
        <v>488</v>
      </c>
      <c r="C419" s="24">
        <v>60000</v>
      </c>
      <c r="D419" s="37"/>
      <c r="E419" s="35"/>
      <c r="F419" s="35"/>
      <c r="G419" s="126"/>
      <c r="H419" s="35"/>
      <c r="I419" s="35"/>
      <c r="J419" s="35"/>
      <c r="K419" s="35"/>
      <c r="L419" s="35"/>
      <c r="M419" s="35"/>
      <c r="N419" s="35"/>
      <c r="O419" s="35"/>
      <c r="P419" s="35"/>
      <c r="Q419" s="35"/>
      <c r="R419" s="35"/>
      <c r="S419" s="35"/>
      <c r="T419" s="35"/>
      <c r="U419" s="35"/>
      <c r="V419" s="35"/>
      <c r="W419" s="35"/>
      <c r="X419" s="35"/>
    </row>
    <row r="420" spans="1:24" s="831" customFormat="1" ht="13.5" customHeight="1">
      <c r="A420" s="48">
        <v>211305</v>
      </c>
      <c r="B420" s="26" t="s">
        <v>489</v>
      </c>
      <c r="C420" s="26">
        <f>C421</f>
        <v>380000</v>
      </c>
      <c r="D420" s="37"/>
      <c r="E420" s="38"/>
      <c r="F420" s="38"/>
      <c r="G420" s="39"/>
      <c r="H420" s="38"/>
      <c r="I420" s="38"/>
      <c r="J420" s="38"/>
      <c r="K420" s="38"/>
      <c r="L420" s="38"/>
      <c r="M420" s="38"/>
      <c r="N420" s="38"/>
      <c r="O420" s="38"/>
      <c r="P420" s="38"/>
      <c r="Q420" s="38"/>
      <c r="R420" s="38"/>
      <c r="S420" s="38"/>
      <c r="T420" s="38"/>
      <c r="U420" s="38"/>
      <c r="V420" s="38"/>
      <c r="W420" s="38"/>
      <c r="X420" s="38"/>
    </row>
    <row r="421" spans="1:24" ht="13.5" customHeight="1">
      <c r="A421" s="33">
        <v>21130502</v>
      </c>
      <c r="B421" s="24" t="s">
        <v>491</v>
      </c>
      <c r="C421" s="24">
        <v>380000</v>
      </c>
      <c r="D421" s="37"/>
      <c r="E421" s="35"/>
      <c r="F421" s="35"/>
      <c r="G421" s="126"/>
      <c r="H421" s="35"/>
      <c r="I421" s="35"/>
      <c r="J421" s="35"/>
      <c r="K421" s="35"/>
      <c r="L421" s="35"/>
      <c r="M421" s="35"/>
      <c r="N421" s="35"/>
      <c r="O421" s="35"/>
      <c r="P421" s="35"/>
      <c r="Q421" s="35"/>
      <c r="R421" s="35"/>
      <c r="S421" s="35"/>
      <c r="T421" s="35"/>
      <c r="U421" s="35"/>
      <c r="V421" s="35"/>
      <c r="W421" s="35"/>
      <c r="X421" s="35"/>
    </row>
    <row r="422" spans="1:24" s="831" customFormat="1" ht="13.5" customHeight="1">
      <c r="A422" s="48">
        <v>211309</v>
      </c>
      <c r="B422" s="26" t="s">
        <v>496</v>
      </c>
      <c r="C422" s="26">
        <f>+SUM(C423:C426)</f>
        <v>67268000</v>
      </c>
      <c r="D422" s="37"/>
      <c r="E422" s="38"/>
      <c r="F422" s="38"/>
      <c r="G422" s="39"/>
      <c r="H422" s="38"/>
      <c r="I422" s="38"/>
      <c r="J422" s="38"/>
      <c r="K422" s="38"/>
      <c r="L422" s="38"/>
      <c r="M422" s="38"/>
      <c r="N422" s="38"/>
      <c r="O422" s="38"/>
      <c r="P422" s="38"/>
      <c r="Q422" s="38"/>
      <c r="R422" s="38"/>
      <c r="S422" s="38"/>
      <c r="T422" s="38"/>
      <c r="U422" s="38"/>
      <c r="V422" s="38"/>
      <c r="W422" s="38"/>
      <c r="X422" s="38"/>
    </row>
    <row r="423" spans="1:24" ht="13.5" customHeight="1">
      <c r="A423" s="33">
        <v>21130901</v>
      </c>
      <c r="B423" s="24" t="s">
        <v>497</v>
      </c>
      <c r="C423" s="24">
        <v>40000</v>
      </c>
      <c r="D423" s="37"/>
      <c r="E423" s="35"/>
      <c r="F423" s="35"/>
      <c r="G423" s="126"/>
      <c r="H423" s="35"/>
      <c r="I423" s="35"/>
      <c r="J423" s="35"/>
      <c r="K423" s="35"/>
      <c r="L423" s="35"/>
      <c r="M423" s="35"/>
      <c r="N423" s="35"/>
      <c r="O423" s="35"/>
      <c r="P423" s="35"/>
      <c r="Q423" s="35"/>
      <c r="R423" s="35"/>
      <c r="S423" s="35"/>
      <c r="T423" s="35"/>
      <c r="U423" s="35"/>
      <c r="V423" s="35"/>
      <c r="W423" s="35"/>
      <c r="X423" s="35"/>
    </row>
    <row r="424" spans="1:24" ht="12" customHeight="1">
      <c r="A424" s="33">
        <v>21130902</v>
      </c>
      <c r="B424" s="24" t="s">
        <v>586</v>
      </c>
      <c r="C424" s="51">
        <f>137178000-70000000</f>
        <v>67178000</v>
      </c>
      <c r="D424" s="37"/>
      <c r="E424" s="35"/>
      <c r="F424" s="35"/>
      <c r="G424" s="126"/>
      <c r="H424" s="35"/>
      <c r="I424" s="35"/>
      <c r="J424" s="35"/>
      <c r="K424" s="35"/>
      <c r="L424" s="35"/>
      <c r="M424" s="35"/>
      <c r="N424" s="35"/>
      <c r="O424" s="35"/>
      <c r="P424" s="35"/>
      <c r="Q424" s="35"/>
      <c r="R424" s="35"/>
      <c r="S424" s="35"/>
      <c r="T424" s="35"/>
      <c r="U424" s="35"/>
      <c r="V424" s="35"/>
      <c r="W424" s="35"/>
      <c r="X424" s="35"/>
    </row>
    <row r="425" spans="1:24" ht="12" customHeight="1">
      <c r="A425" s="33">
        <v>21130906</v>
      </c>
      <c r="B425" s="24" t="s">
        <v>499</v>
      </c>
      <c r="C425" s="51">
        <v>10000</v>
      </c>
      <c r="D425" s="37"/>
      <c r="E425" s="35"/>
      <c r="F425" s="35"/>
      <c r="G425" s="126"/>
      <c r="H425" s="35"/>
      <c r="I425" s="35"/>
      <c r="J425" s="35"/>
      <c r="K425" s="35"/>
      <c r="L425" s="35"/>
      <c r="M425" s="35"/>
      <c r="N425" s="35"/>
      <c r="O425" s="35"/>
      <c r="P425" s="35"/>
      <c r="Q425" s="35"/>
      <c r="R425" s="35"/>
      <c r="S425" s="35"/>
      <c r="T425" s="35"/>
      <c r="U425" s="35"/>
      <c r="V425" s="35"/>
      <c r="W425" s="35"/>
      <c r="X425" s="35"/>
    </row>
    <row r="426" spans="1:24" ht="12" customHeight="1">
      <c r="A426" s="33">
        <v>21130908</v>
      </c>
      <c r="B426" s="24" t="s">
        <v>500</v>
      </c>
      <c r="C426" s="51">
        <v>40000</v>
      </c>
      <c r="D426" s="37"/>
      <c r="E426" s="35"/>
      <c r="F426" s="35"/>
      <c r="G426" s="126"/>
      <c r="H426" s="35"/>
      <c r="I426" s="35"/>
      <c r="J426" s="35"/>
      <c r="K426" s="35"/>
      <c r="L426" s="35"/>
      <c r="M426" s="35"/>
      <c r="N426" s="35"/>
      <c r="O426" s="35"/>
      <c r="P426" s="35"/>
      <c r="Q426" s="35"/>
      <c r="R426" s="35"/>
      <c r="S426" s="35"/>
      <c r="T426" s="35"/>
      <c r="U426" s="35"/>
      <c r="V426" s="35"/>
      <c r="W426" s="35"/>
      <c r="X426" s="35"/>
    </row>
    <row r="427" spans="1:24" ht="12" customHeight="1" thickBot="1">
      <c r="A427" s="33"/>
      <c r="B427" s="24"/>
      <c r="C427" s="51"/>
      <c r="D427" s="37"/>
      <c r="E427" s="35"/>
      <c r="F427" s="35"/>
      <c r="G427" s="126"/>
      <c r="H427" s="35"/>
      <c r="I427" s="35"/>
      <c r="J427" s="35"/>
      <c r="K427" s="35"/>
      <c r="L427" s="35"/>
      <c r="M427" s="35"/>
      <c r="N427" s="35"/>
      <c r="O427" s="35"/>
      <c r="P427" s="35"/>
      <c r="Q427" s="35"/>
      <c r="R427" s="35"/>
      <c r="S427" s="35"/>
      <c r="T427" s="35"/>
      <c r="U427" s="35"/>
      <c r="V427" s="35"/>
      <c r="W427" s="35"/>
      <c r="X427" s="35"/>
    </row>
    <row r="428" spans="1:24" ht="13.5" customHeight="1" thickBot="1">
      <c r="A428" s="1299" t="s">
        <v>48</v>
      </c>
      <c r="B428" s="1281"/>
      <c r="C428" s="65">
        <f>(C431+C429+C434)</f>
        <v>340000</v>
      </c>
      <c r="D428" s="37"/>
      <c r="E428" s="35"/>
      <c r="F428" s="35"/>
      <c r="G428" s="126"/>
      <c r="H428" s="35"/>
      <c r="I428" s="35"/>
      <c r="J428" s="35"/>
      <c r="K428" s="35"/>
      <c r="L428" s="35"/>
      <c r="M428" s="35"/>
      <c r="N428" s="35"/>
      <c r="O428" s="35"/>
      <c r="P428" s="35"/>
      <c r="Q428" s="35"/>
      <c r="R428" s="35"/>
      <c r="S428" s="35"/>
      <c r="T428" s="35"/>
      <c r="U428" s="35"/>
      <c r="V428" s="35"/>
      <c r="W428" s="35"/>
      <c r="X428" s="35"/>
    </row>
    <row r="429" spans="1:24" s="831" customFormat="1" ht="13.5" customHeight="1">
      <c r="A429" s="48">
        <v>221102</v>
      </c>
      <c r="B429" s="21" t="s">
        <v>543</v>
      </c>
      <c r="C429" s="26">
        <f>C430</f>
        <v>200000</v>
      </c>
      <c r="D429" s="37"/>
      <c r="E429" s="38"/>
      <c r="F429" s="38"/>
      <c r="G429" s="39"/>
      <c r="H429" s="38"/>
      <c r="I429" s="38"/>
      <c r="J429" s="38"/>
      <c r="K429" s="38"/>
      <c r="L429" s="38"/>
      <c r="M429" s="38"/>
      <c r="N429" s="38"/>
      <c r="O429" s="38"/>
      <c r="P429" s="38"/>
      <c r="Q429" s="38"/>
      <c r="R429" s="38"/>
      <c r="S429" s="38"/>
      <c r="T429" s="38"/>
      <c r="U429" s="38"/>
      <c r="V429" s="38"/>
      <c r="W429" s="38"/>
      <c r="X429" s="38"/>
    </row>
    <row r="430" spans="1:24" ht="13.5" customHeight="1">
      <c r="A430" s="33">
        <v>22110205</v>
      </c>
      <c r="B430" s="23" t="s">
        <v>546</v>
      </c>
      <c r="C430" s="51">
        <v>200000</v>
      </c>
      <c r="D430" s="37"/>
      <c r="E430" s="35"/>
      <c r="F430" s="35"/>
      <c r="G430" s="126"/>
      <c r="H430" s="35"/>
      <c r="I430" s="35"/>
      <c r="J430" s="35"/>
      <c r="K430" s="35"/>
      <c r="L430" s="35"/>
      <c r="M430" s="35"/>
      <c r="N430" s="35"/>
      <c r="O430" s="35"/>
      <c r="P430" s="35"/>
      <c r="Q430" s="35"/>
      <c r="R430" s="35"/>
      <c r="S430" s="35"/>
      <c r="T430" s="35"/>
      <c r="U430" s="35"/>
      <c r="V430" s="35"/>
      <c r="W430" s="35"/>
      <c r="X430" s="35"/>
    </row>
    <row r="431" spans="1:24" s="831" customFormat="1" ht="13.5" customHeight="1">
      <c r="A431" s="48">
        <v>221104</v>
      </c>
      <c r="B431" s="76" t="s">
        <v>510</v>
      </c>
      <c r="C431" s="36">
        <f>SUM(C432:C433)</f>
        <v>90000</v>
      </c>
      <c r="D431" s="37"/>
      <c r="E431" s="38"/>
      <c r="F431" s="38"/>
      <c r="G431" s="39"/>
      <c r="H431" s="38"/>
      <c r="I431" s="38"/>
      <c r="J431" s="38"/>
      <c r="K431" s="38"/>
      <c r="L431" s="38"/>
      <c r="M431" s="38"/>
      <c r="N431" s="38"/>
      <c r="O431" s="38"/>
      <c r="P431" s="38"/>
      <c r="Q431" s="38"/>
      <c r="R431" s="38"/>
      <c r="S431" s="38"/>
      <c r="T431" s="38"/>
      <c r="U431" s="38"/>
      <c r="V431" s="38"/>
      <c r="W431" s="38"/>
      <c r="X431" s="38"/>
    </row>
    <row r="432" spans="1:24" ht="13.5" customHeight="1">
      <c r="A432" s="33">
        <v>22110401</v>
      </c>
      <c r="B432" s="23" t="s">
        <v>511</v>
      </c>
      <c r="C432" s="24">
        <f>30000+20000</f>
        <v>50000</v>
      </c>
      <c r="D432" s="37"/>
      <c r="E432" s="35"/>
      <c r="F432" s="35"/>
      <c r="G432" s="126"/>
      <c r="H432" s="35"/>
      <c r="I432" s="35"/>
      <c r="J432" s="35"/>
      <c r="K432" s="35"/>
      <c r="L432" s="35"/>
      <c r="M432" s="35"/>
      <c r="N432" s="35"/>
      <c r="O432" s="35"/>
      <c r="P432" s="35"/>
      <c r="Q432" s="35"/>
      <c r="R432" s="35"/>
      <c r="S432" s="35"/>
      <c r="T432" s="35"/>
      <c r="U432" s="35"/>
      <c r="V432" s="35"/>
      <c r="W432" s="35"/>
      <c r="X432" s="35"/>
    </row>
    <row r="433" spans="1:24" ht="13.5" customHeight="1">
      <c r="A433" s="33">
        <v>22110404</v>
      </c>
      <c r="B433" s="23" t="s">
        <v>512</v>
      </c>
      <c r="C433" s="24">
        <v>40000</v>
      </c>
      <c r="D433" s="37"/>
      <c r="E433" s="35"/>
      <c r="F433" s="35"/>
      <c r="G433" s="126"/>
      <c r="H433" s="35"/>
      <c r="I433" s="35"/>
      <c r="J433" s="35"/>
      <c r="K433" s="35"/>
      <c r="L433" s="35"/>
      <c r="M433" s="35"/>
      <c r="N433" s="35"/>
      <c r="O433" s="35"/>
      <c r="P433" s="35"/>
      <c r="Q433" s="35"/>
      <c r="R433" s="35"/>
      <c r="S433" s="35"/>
      <c r="T433" s="35"/>
      <c r="U433" s="35"/>
      <c r="V433" s="35"/>
      <c r="W433" s="35"/>
      <c r="X433" s="35"/>
    </row>
    <row r="434" spans="1:24" s="831" customFormat="1" ht="13.5" customHeight="1">
      <c r="A434" s="48">
        <v>221107</v>
      </c>
      <c r="B434" s="76" t="s">
        <v>514</v>
      </c>
      <c r="C434" s="36">
        <f>C435</f>
        <v>50000</v>
      </c>
      <c r="D434" s="37"/>
      <c r="E434" s="38"/>
      <c r="F434" s="38"/>
      <c r="G434" s="39"/>
      <c r="H434" s="38"/>
      <c r="I434" s="38"/>
      <c r="J434" s="38"/>
      <c r="K434" s="38"/>
      <c r="L434" s="38"/>
      <c r="M434" s="38"/>
      <c r="N434" s="38"/>
      <c r="O434" s="38"/>
      <c r="P434" s="38"/>
      <c r="Q434" s="38"/>
      <c r="R434" s="38"/>
      <c r="S434" s="38"/>
      <c r="T434" s="38"/>
      <c r="U434" s="38"/>
      <c r="V434" s="38"/>
      <c r="W434" s="38"/>
      <c r="X434" s="38"/>
    </row>
    <row r="435" spans="1:24" ht="13.5" customHeight="1">
      <c r="A435" s="154">
        <v>22110702</v>
      </c>
      <c r="B435" s="23" t="s">
        <v>515</v>
      </c>
      <c r="C435" s="72">
        <v>50000</v>
      </c>
      <c r="D435" s="37"/>
      <c r="E435" s="35"/>
      <c r="F435" s="35"/>
      <c r="G435" s="126"/>
      <c r="H435" s="35"/>
      <c r="I435" s="35"/>
      <c r="J435" s="35"/>
      <c r="K435" s="35"/>
      <c r="L435" s="35"/>
      <c r="M435" s="35"/>
      <c r="N435" s="35"/>
      <c r="O435" s="35"/>
      <c r="P435" s="35"/>
      <c r="Q435" s="35"/>
      <c r="R435" s="35"/>
      <c r="S435" s="35"/>
      <c r="T435" s="35"/>
      <c r="U435" s="35"/>
      <c r="V435" s="35"/>
      <c r="W435" s="35"/>
      <c r="X435" s="35"/>
    </row>
    <row r="436" spans="1:24" ht="13.5" customHeight="1">
      <c r="A436" s="100"/>
      <c r="B436" s="23"/>
      <c r="C436" s="72"/>
      <c r="D436" s="37"/>
      <c r="E436" s="35"/>
      <c r="F436" s="35"/>
      <c r="G436" s="126"/>
      <c r="H436" s="35"/>
      <c r="I436" s="35"/>
      <c r="J436" s="35"/>
      <c r="K436" s="35"/>
      <c r="L436" s="35"/>
      <c r="M436" s="35"/>
      <c r="N436" s="35"/>
      <c r="O436" s="35"/>
      <c r="P436" s="35"/>
      <c r="Q436" s="35"/>
      <c r="R436" s="35"/>
      <c r="S436" s="35"/>
      <c r="T436" s="35"/>
      <c r="U436" s="35"/>
      <c r="V436" s="35"/>
      <c r="W436" s="35"/>
      <c r="X436" s="35"/>
    </row>
    <row r="437" spans="1:24" ht="13.5" customHeight="1" thickBot="1">
      <c r="A437" s="75"/>
      <c r="B437" s="100"/>
      <c r="C437" s="36"/>
      <c r="D437" s="37"/>
      <c r="E437" s="38"/>
      <c r="F437" s="38"/>
      <c r="G437" s="39"/>
      <c r="H437" s="38"/>
      <c r="I437" s="38"/>
      <c r="J437" s="38"/>
      <c r="K437" s="38"/>
      <c r="L437" s="38"/>
      <c r="M437" s="38"/>
      <c r="N437" s="38"/>
      <c r="O437" s="38"/>
      <c r="P437" s="38"/>
      <c r="Q437" s="38"/>
      <c r="R437" s="38"/>
      <c r="S437" s="38"/>
      <c r="T437" s="38"/>
      <c r="U437" s="38"/>
      <c r="V437" s="38"/>
      <c r="W437" s="38"/>
      <c r="X437" s="38"/>
    </row>
    <row r="438" spans="1:24" ht="13.5" customHeight="1">
      <c r="A438" s="1383" t="s">
        <v>885</v>
      </c>
      <c r="B438" s="1384"/>
      <c r="C438" s="1153">
        <v>1609</v>
      </c>
      <c r="D438" s="37"/>
      <c r="E438" s="38"/>
      <c r="F438" s="38"/>
      <c r="G438" s="39"/>
      <c r="H438" s="38"/>
      <c r="I438" s="38"/>
      <c r="J438" s="38"/>
      <c r="K438" s="38"/>
      <c r="L438" s="38"/>
      <c r="M438" s="38"/>
      <c r="N438" s="38"/>
      <c r="O438" s="38"/>
      <c r="P438" s="38"/>
      <c r="Q438" s="38"/>
      <c r="R438" s="38"/>
      <c r="S438" s="38"/>
      <c r="T438" s="38"/>
      <c r="U438" s="38"/>
      <c r="V438" s="38"/>
      <c r="W438" s="38"/>
      <c r="X438" s="38"/>
    </row>
    <row r="439" spans="1:24" ht="13.5" customHeight="1" thickBot="1">
      <c r="A439" s="1385"/>
      <c r="B439" s="1386"/>
      <c r="C439" s="1196"/>
      <c r="D439" s="37"/>
      <c r="E439" s="38"/>
      <c r="F439" s="38"/>
      <c r="G439" s="39"/>
      <c r="H439" s="38"/>
      <c r="I439" s="38"/>
      <c r="J439" s="38"/>
      <c r="K439" s="38"/>
      <c r="L439" s="38"/>
      <c r="M439" s="38"/>
      <c r="N439" s="38"/>
      <c r="O439" s="38"/>
      <c r="P439" s="38"/>
      <c r="Q439" s="38"/>
      <c r="R439" s="38"/>
      <c r="S439" s="38"/>
      <c r="T439" s="38"/>
      <c r="U439" s="38"/>
      <c r="V439" s="38"/>
      <c r="W439" s="38"/>
      <c r="X439" s="38"/>
    </row>
    <row r="440" spans="1:24" ht="13.5" customHeight="1">
      <c r="A440" s="609" t="s">
        <v>671</v>
      </c>
      <c r="B440" s="612"/>
      <c r="C440" s="626"/>
      <c r="D440" s="37"/>
      <c r="E440" s="38"/>
      <c r="F440" s="38"/>
      <c r="G440" s="39"/>
      <c r="H440" s="38"/>
      <c r="I440" s="38"/>
      <c r="J440" s="38"/>
      <c r="K440" s="38"/>
      <c r="L440" s="38"/>
      <c r="M440" s="38"/>
      <c r="N440" s="38"/>
      <c r="O440" s="38"/>
      <c r="P440" s="38"/>
      <c r="Q440" s="38"/>
      <c r="R440" s="38"/>
      <c r="S440" s="38"/>
      <c r="T440" s="38"/>
      <c r="U440" s="38"/>
      <c r="V440" s="38"/>
      <c r="W440" s="38"/>
      <c r="X440" s="38"/>
    </row>
    <row r="441" spans="1:24" ht="13.5" customHeight="1">
      <c r="A441" s="609" t="s">
        <v>753</v>
      </c>
      <c r="B441" s="612"/>
      <c r="C441" s="626"/>
      <c r="D441" s="37"/>
      <c r="E441" s="38"/>
      <c r="F441" s="38"/>
      <c r="G441" s="39"/>
      <c r="H441" s="38"/>
      <c r="I441" s="38"/>
      <c r="J441" s="38"/>
      <c r="K441" s="38"/>
      <c r="L441" s="38"/>
      <c r="M441" s="38"/>
      <c r="N441" s="38"/>
      <c r="O441" s="38"/>
      <c r="P441" s="38"/>
      <c r="Q441" s="38"/>
      <c r="R441" s="38"/>
      <c r="S441" s="38"/>
      <c r="T441" s="38"/>
      <c r="U441" s="38"/>
      <c r="V441" s="38"/>
      <c r="W441" s="38"/>
      <c r="X441" s="38"/>
    </row>
    <row r="442" spans="1:24" ht="13.5" customHeight="1">
      <c r="A442" s="609" t="s">
        <v>754</v>
      </c>
      <c r="B442" s="612"/>
      <c r="C442" s="626"/>
      <c r="D442" s="37"/>
      <c r="E442" s="38"/>
      <c r="F442" s="38"/>
      <c r="G442" s="39"/>
      <c r="H442" s="38"/>
      <c r="I442" s="38"/>
      <c r="J442" s="38"/>
      <c r="K442" s="38"/>
      <c r="L442" s="38"/>
      <c r="M442" s="38"/>
      <c r="N442" s="38"/>
      <c r="O442" s="38"/>
      <c r="P442" s="38"/>
      <c r="Q442" s="38"/>
      <c r="R442" s="38"/>
      <c r="S442" s="38"/>
      <c r="T442" s="38"/>
      <c r="U442" s="38"/>
      <c r="V442" s="38"/>
      <c r="W442" s="38"/>
      <c r="X442" s="38"/>
    </row>
    <row r="443" spans="1:24" ht="13.5" customHeight="1" thickBot="1">
      <c r="A443" s="1089" t="s">
        <v>59</v>
      </c>
      <c r="B443" s="612"/>
      <c r="C443" s="626"/>
      <c r="D443" s="37"/>
      <c r="E443" s="38"/>
      <c r="F443" s="38"/>
      <c r="G443" s="39"/>
      <c r="H443" s="38"/>
      <c r="I443" s="38"/>
      <c r="J443" s="38"/>
      <c r="K443" s="38"/>
      <c r="L443" s="38"/>
      <c r="M443" s="38"/>
      <c r="N443" s="38"/>
      <c r="O443" s="38"/>
      <c r="P443" s="38"/>
      <c r="Q443" s="38"/>
      <c r="R443" s="38"/>
      <c r="S443" s="38"/>
      <c r="T443" s="38"/>
      <c r="U443" s="38"/>
      <c r="V443" s="38"/>
      <c r="W443" s="38"/>
      <c r="X443" s="38"/>
    </row>
    <row r="444" spans="1:24" ht="13.5" customHeight="1" thickBot="1">
      <c r="A444" s="1171" t="s">
        <v>60</v>
      </c>
      <c r="B444" s="1197"/>
      <c r="C444" s="1033">
        <f>(C446+C473+C498)</f>
        <v>5236311330.6946001</v>
      </c>
      <c r="D444" s="37"/>
      <c r="E444" s="38"/>
      <c r="F444" s="38"/>
      <c r="G444" s="39"/>
      <c r="H444" s="38"/>
      <c r="I444" s="38"/>
      <c r="J444" s="38"/>
      <c r="K444" s="38"/>
      <c r="L444" s="38"/>
      <c r="M444" s="38"/>
      <c r="N444" s="38"/>
      <c r="O444" s="38"/>
      <c r="P444" s="38"/>
      <c r="Q444" s="38"/>
      <c r="R444" s="38"/>
      <c r="S444" s="38"/>
      <c r="T444" s="38"/>
      <c r="U444" s="38"/>
      <c r="V444" s="38"/>
      <c r="W444" s="38"/>
      <c r="X444" s="38"/>
    </row>
    <row r="445" spans="1:24" ht="13.5" customHeight="1" thickBot="1">
      <c r="A445" s="75"/>
      <c r="B445" s="100"/>
      <c r="C445" s="36"/>
      <c r="D445" s="37"/>
      <c r="E445" s="38"/>
      <c r="F445" s="38"/>
      <c r="G445" s="39"/>
      <c r="H445" s="38"/>
      <c r="I445" s="38"/>
      <c r="J445" s="38"/>
      <c r="K445" s="38"/>
      <c r="L445" s="38"/>
      <c r="M445" s="38"/>
      <c r="N445" s="38"/>
      <c r="O445" s="38"/>
      <c r="P445" s="38"/>
      <c r="Q445" s="38"/>
      <c r="R445" s="38"/>
      <c r="S445" s="38"/>
      <c r="T445" s="38"/>
      <c r="U445" s="38"/>
      <c r="V445" s="38"/>
      <c r="W445" s="38"/>
      <c r="X445" s="38"/>
    </row>
    <row r="446" spans="1:24" ht="13.5" customHeight="1" thickBot="1">
      <c r="A446" s="1297" t="s">
        <v>9</v>
      </c>
      <c r="B446" s="1281"/>
      <c r="C446" s="62">
        <f>(C447+C449+C451+C453+C457+C462+C469)</f>
        <v>397180605.5546</v>
      </c>
      <c r="D446" s="37"/>
      <c r="E446" s="38"/>
      <c r="F446" s="38"/>
      <c r="G446" s="39"/>
      <c r="H446" s="38"/>
      <c r="I446" s="38"/>
      <c r="J446" s="38"/>
      <c r="K446" s="38"/>
      <c r="L446" s="38"/>
      <c r="M446" s="38"/>
      <c r="N446" s="38"/>
      <c r="O446" s="38"/>
      <c r="P446" s="38"/>
      <c r="Q446" s="38"/>
      <c r="R446" s="38"/>
      <c r="S446" s="38"/>
      <c r="T446" s="38"/>
      <c r="U446" s="38"/>
      <c r="V446" s="38"/>
      <c r="W446" s="38"/>
      <c r="X446" s="38"/>
    </row>
    <row r="447" spans="1:24" s="831" customFormat="1" ht="13.5" customHeight="1">
      <c r="A447" s="48">
        <v>211201</v>
      </c>
      <c r="B447" s="76" t="s">
        <v>459</v>
      </c>
      <c r="C447" s="49">
        <f>C448</f>
        <v>6434500</v>
      </c>
      <c r="D447" s="37"/>
      <c r="E447" s="38"/>
      <c r="F447" s="38"/>
      <c r="G447" s="39"/>
      <c r="H447" s="38"/>
      <c r="I447" s="38"/>
      <c r="J447" s="38"/>
      <c r="K447" s="38"/>
      <c r="L447" s="38"/>
      <c r="M447" s="38"/>
      <c r="N447" s="38"/>
      <c r="O447" s="38"/>
      <c r="P447" s="38"/>
      <c r="Q447" s="38"/>
      <c r="R447" s="38"/>
      <c r="S447" s="38"/>
      <c r="T447" s="38"/>
      <c r="U447" s="38"/>
      <c r="V447" s="38"/>
      <c r="W447" s="38"/>
      <c r="X447" s="38"/>
    </row>
    <row r="448" spans="1:24" ht="13.5" customHeight="1">
      <c r="A448" s="33">
        <v>21120101</v>
      </c>
      <c r="B448" s="23" t="s">
        <v>460</v>
      </c>
      <c r="C448" s="25">
        <f>46000+6388500</f>
        <v>6434500</v>
      </c>
      <c r="D448" s="37"/>
      <c r="E448" s="38"/>
      <c r="F448" s="38"/>
      <c r="G448" s="39"/>
      <c r="H448" s="38"/>
      <c r="I448" s="38"/>
      <c r="J448" s="38"/>
      <c r="K448" s="38"/>
      <c r="L448" s="38"/>
      <c r="M448" s="38"/>
      <c r="N448" s="38"/>
      <c r="O448" s="38"/>
      <c r="P448" s="38"/>
      <c r="Q448" s="38"/>
      <c r="R448" s="38"/>
      <c r="S448" s="38"/>
      <c r="T448" s="38"/>
      <c r="U448" s="38"/>
      <c r="V448" s="38"/>
      <c r="W448" s="38"/>
      <c r="X448" s="38"/>
    </row>
    <row r="449" spans="1:24" s="831" customFormat="1" ht="13.5" customHeight="1">
      <c r="A449" s="48">
        <v>211202</v>
      </c>
      <c r="B449" s="21" t="s">
        <v>529</v>
      </c>
      <c r="C449" s="49">
        <f>C450</f>
        <v>5650000</v>
      </c>
      <c r="D449" s="37"/>
      <c r="E449" s="38"/>
      <c r="F449" s="38"/>
      <c r="G449" s="39"/>
      <c r="H449" s="38"/>
      <c r="I449" s="38"/>
      <c r="J449" s="38"/>
      <c r="K449" s="38"/>
      <c r="L449" s="38"/>
      <c r="M449" s="38"/>
      <c r="N449" s="38"/>
      <c r="O449" s="38"/>
      <c r="P449" s="38"/>
      <c r="Q449" s="38"/>
      <c r="R449" s="38"/>
      <c r="S449" s="38"/>
      <c r="T449" s="38"/>
      <c r="U449" s="38"/>
      <c r="V449" s="38"/>
      <c r="W449" s="38"/>
      <c r="X449" s="38"/>
    </row>
    <row r="450" spans="1:24" ht="13.5" customHeight="1">
      <c r="A450" s="33">
        <v>21120203</v>
      </c>
      <c r="B450" s="23" t="s">
        <v>564</v>
      </c>
      <c r="C450" s="163">
        <f>5000000+650000</f>
        <v>5650000</v>
      </c>
      <c r="D450" s="37"/>
      <c r="E450" s="38"/>
      <c r="F450" s="38"/>
      <c r="G450" s="39"/>
      <c r="H450" s="38"/>
      <c r="I450" s="38"/>
      <c r="J450" s="38"/>
      <c r="K450" s="38"/>
      <c r="L450" s="38"/>
      <c r="M450" s="38"/>
      <c r="N450" s="38"/>
      <c r="O450" s="38"/>
      <c r="P450" s="38"/>
      <c r="Q450" s="38"/>
      <c r="R450" s="38"/>
      <c r="S450" s="38"/>
      <c r="T450" s="38"/>
      <c r="U450" s="38"/>
      <c r="V450" s="38"/>
      <c r="W450" s="38"/>
      <c r="X450" s="38"/>
    </row>
    <row r="451" spans="1:24" s="831" customFormat="1" ht="13.5" customHeight="1">
      <c r="A451" s="48">
        <v>211204</v>
      </c>
      <c r="B451" s="21" t="s">
        <v>463</v>
      </c>
      <c r="C451" s="26">
        <f>C452</f>
        <v>6148000</v>
      </c>
      <c r="D451" s="37"/>
      <c r="E451" s="38"/>
      <c r="F451" s="38"/>
      <c r="G451" s="39"/>
      <c r="H451" s="38"/>
      <c r="I451" s="38"/>
      <c r="J451" s="38"/>
      <c r="K451" s="38"/>
      <c r="L451" s="38"/>
      <c r="M451" s="38"/>
      <c r="N451" s="38"/>
      <c r="O451" s="38"/>
      <c r="P451" s="38"/>
      <c r="Q451" s="38"/>
      <c r="R451" s="38"/>
      <c r="S451" s="38"/>
      <c r="T451" s="38"/>
      <c r="U451" s="38"/>
      <c r="V451" s="38"/>
      <c r="W451" s="38"/>
      <c r="X451" s="38"/>
    </row>
    <row r="452" spans="1:24" ht="13.5" customHeight="1">
      <c r="A452" s="33">
        <v>21120401</v>
      </c>
      <c r="B452" s="24" t="s">
        <v>464</v>
      </c>
      <c r="C452" s="51">
        <f>5000000+1148000</f>
        <v>6148000</v>
      </c>
      <c r="D452" s="37"/>
      <c r="E452" s="38"/>
      <c r="F452" s="38"/>
      <c r="G452" s="39"/>
      <c r="H452" s="38"/>
      <c r="I452" s="38"/>
      <c r="J452" s="38"/>
      <c r="K452" s="38"/>
      <c r="L452" s="38"/>
      <c r="M452" s="38"/>
      <c r="N452" s="38"/>
      <c r="O452" s="38"/>
      <c r="P452" s="38"/>
      <c r="Q452" s="38"/>
      <c r="R452" s="38"/>
      <c r="S452" s="38"/>
      <c r="T452" s="38"/>
      <c r="U452" s="38"/>
      <c r="V452" s="38"/>
      <c r="W452" s="38"/>
      <c r="X452" s="38"/>
    </row>
    <row r="453" spans="1:24" s="831" customFormat="1" ht="13.5" customHeight="1">
      <c r="A453" s="48">
        <v>211205</v>
      </c>
      <c r="B453" s="26" t="s">
        <v>465</v>
      </c>
      <c r="C453" s="26">
        <f>+SUM(C454:C456)</f>
        <v>126416000</v>
      </c>
      <c r="D453" s="37"/>
      <c r="E453" s="38"/>
      <c r="F453" s="38"/>
      <c r="G453" s="39"/>
      <c r="H453" s="38"/>
      <c r="I453" s="38"/>
      <c r="J453" s="38"/>
      <c r="K453" s="38"/>
      <c r="L453" s="38"/>
      <c r="M453" s="38"/>
      <c r="N453" s="38"/>
      <c r="O453" s="38"/>
      <c r="P453" s="38"/>
      <c r="Q453" s="38"/>
      <c r="R453" s="38"/>
      <c r="S453" s="38"/>
      <c r="T453" s="38"/>
      <c r="U453" s="38"/>
      <c r="V453" s="38"/>
      <c r="W453" s="38"/>
      <c r="X453" s="38"/>
    </row>
    <row r="454" spans="1:24" ht="13.5" customHeight="1">
      <c r="A454" s="33">
        <v>21120501</v>
      </c>
      <c r="B454" s="24" t="s">
        <v>466</v>
      </c>
      <c r="C454" s="51">
        <f>6000000+107720000</f>
        <v>113720000</v>
      </c>
      <c r="D454" s="37"/>
      <c r="E454" s="38"/>
      <c r="F454" s="38"/>
      <c r="G454" s="39"/>
      <c r="H454" s="38"/>
      <c r="I454" s="38"/>
      <c r="J454" s="38"/>
      <c r="K454" s="38"/>
      <c r="L454" s="38"/>
      <c r="M454" s="38"/>
      <c r="N454" s="38"/>
      <c r="O454" s="38"/>
      <c r="P454" s="38"/>
      <c r="Q454" s="38"/>
      <c r="R454" s="38"/>
      <c r="S454" s="38"/>
      <c r="T454" s="38"/>
      <c r="U454" s="38"/>
      <c r="V454" s="38"/>
      <c r="W454" s="38"/>
      <c r="X454" s="38"/>
    </row>
    <row r="455" spans="1:24" ht="13.5" customHeight="1">
      <c r="A455" s="33">
        <v>21120502</v>
      </c>
      <c r="B455" s="24" t="s">
        <v>580</v>
      </c>
      <c r="C455" s="24">
        <v>4050500</v>
      </c>
      <c r="D455" s="37"/>
      <c r="E455" s="38"/>
      <c r="F455" s="38"/>
      <c r="G455" s="39"/>
      <c r="H455" s="38"/>
      <c r="I455" s="38"/>
      <c r="J455" s="38"/>
      <c r="K455" s="38"/>
      <c r="L455" s="38"/>
      <c r="M455" s="38"/>
      <c r="N455" s="38"/>
      <c r="O455" s="38"/>
      <c r="P455" s="38"/>
      <c r="Q455" s="38"/>
      <c r="R455" s="38"/>
      <c r="S455" s="38"/>
      <c r="T455" s="38"/>
      <c r="U455" s="38"/>
      <c r="V455" s="38"/>
      <c r="W455" s="38"/>
      <c r="X455" s="38"/>
    </row>
    <row r="456" spans="1:24" ht="13.5" customHeight="1">
      <c r="A456" s="33">
        <v>21120503</v>
      </c>
      <c r="B456" s="24" t="s">
        <v>572</v>
      </c>
      <c r="C456" s="24">
        <f>5000000+3645500</f>
        <v>8645500</v>
      </c>
      <c r="D456" s="37"/>
      <c r="E456" s="38"/>
      <c r="F456" s="38"/>
      <c r="G456" s="39"/>
      <c r="H456" s="38"/>
      <c r="I456" s="38"/>
      <c r="J456" s="38"/>
      <c r="K456" s="38"/>
      <c r="L456" s="38"/>
      <c r="M456" s="38"/>
      <c r="N456" s="38"/>
      <c r="O456" s="38"/>
      <c r="P456" s="38"/>
      <c r="Q456" s="38"/>
      <c r="R456" s="38"/>
      <c r="S456" s="38"/>
      <c r="T456" s="38"/>
      <c r="U456" s="38"/>
      <c r="V456" s="38"/>
      <c r="W456" s="38"/>
      <c r="X456" s="38"/>
    </row>
    <row r="457" spans="1:24" s="831" customFormat="1" ht="13.5" customHeight="1">
      <c r="A457" s="48">
        <v>211207</v>
      </c>
      <c r="B457" s="26" t="s">
        <v>467</v>
      </c>
      <c r="C457" s="26">
        <f>+SUM(C458:C461)</f>
        <v>82198000</v>
      </c>
      <c r="D457" s="37"/>
      <c r="E457" s="38"/>
      <c r="F457" s="38"/>
      <c r="G457" s="39"/>
      <c r="H457" s="38"/>
      <c r="I457" s="38"/>
      <c r="J457" s="38"/>
      <c r="K457" s="38"/>
      <c r="L457" s="38"/>
      <c r="M457" s="38"/>
      <c r="N457" s="38"/>
      <c r="O457" s="38"/>
      <c r="P457" s="38"/>
      <c r="Q457" s="38"/>
      <c r="R457" s="38"/>
      <c r="S457" s="38"/>
      <c r="T457" s="38"/>
      <c r="U457" s="38"/>
      <c r="V457" s="38"/>
      <c r="W457" s="38"/>
      <c r="X457" s="38"/>
    </row>
    <row r="458" spans="1:24" ht="13.5" customHeight="1">
      <c r="A458" s="33">
        <v>21120701</v>
      </c>
      <c r="B458" s="24" t="s">
        <v>541</v>
      </c>
      <c r="C458" s="51">
        <v>32197500</v>
      </c>
      <c r="D458" s="37"/>
      <c r="E458" s="38"/>
      <c r="F458" s="38"/>
      <c r="G458" s="39"/>
      <c r="H458" s="38"/>
      <c r="I458" s="38"/>
      <c r="J458" s="38"/>
      <c r="K458" s="38"/>
      <c r="L458" s="38"/>
      <c r="M458" s="38"/>
      <c r="N458" s="38"/>
      <c r="O458" s="38"/>
      <c r="P458" s="38"/>
      <c r="Q458" s="38"/>
      <c r="R458" s="38"/>
      <c r="S458" s="38"/>
      <c r="T458" s="38"/>
      <c r="U458" s="38"/>
      <c r="V458" s="38"/>
      <c r="W458" s="38"/>
      <c r="X458" s="38"/>
    </row>
    <row r="459" spans="1:24" ht="13.5" customHeight="1">
      <c r="A459" s="33">
        <v>21120704</v>
      </c>
      <c r="B459" s="24" t="s">
        <v>469</v>
      </c>
      <c r="C459" s="51">
        <v>28398500</v>
      </c>
      <c r="D459" s="37"/>
      <c r="E459" s="38"/>
      <c r="F459" s="38"/>
      <c r="G459" s="39"/>
      <c r="H459" s="38"/>
      <c r="I459" s="38"/>
      <c r="J459" s="38"/>
      <c r="K459" s="38"/>
      <c r="L459" s="38"/>
      <c r="M459" s="38"/>
      <c r="N459" s="38"/>
      <c r="O459" s="38"/>
      <c r="P459" s="38"/>
      <c r="Q459" s="38"/>
      <c r="R459" s="38"/>
      <c r="S459" s="38"/>
      <c r="T459" s="38"/>
      <c r="U459" s="38"/>
      <c r="V459" s="38"/>
      <c r="W459" s="38"/>
      <c r="X459" s="38"/>
    </row>
    <row r="460" spans="1:24" ht="13.5" customHeight="1">
      <c r="A460" s="33">
        <v>21120705</v>
      </c>
      <c r="B460" s="24" t="s">
        <v>583</v>
      </c>
      <c r="C460" s="51">
        <v>19731000</v>
      </c>
      <c r="D460" s="37"/>
      <c r="E460" s="38"/>
      <c r="F460" s="38"/>
      <c r="G460" s="39"/>
      <c r="H460" s="38"/>
      <c r="I460" s="38"/>
      <c r="J460" s="38"/>
      <c r="K460" s="38"/>
      <c r="L460" s="38"/>
      <c r="M460" s="38"/>
      <c r="N460" s="38"/>
      <c r="O460" s="38"/>
      <c r="P460" s="38"/>
      <c r="Q460" s="38"/>
      <c r="R460" s="38"/>
      <c r="S460" s="38"/>
      <c r="T460" s="38"/>
      <c r="U460" s="38"/>
      <c r="V460" s="38"/>
      <c r="W460" s="38"/>
      <c r="X460" s="38"/>
    </row>
    <row r="461" spans="1:24" ht="13.5" customHeight="1">
      <c r="A461" s="33">
        <v>21120706</v>
      </c>
      <c r="B461" s="24" t="s">
        <v>542</v>
      </c>
      <c r="C461" s="24">
        <v>1871000</v>
      </c>
      <c r="D461" s="37"/>
      <c r="E461" s="38"/>
      <c r="F461" s="38"/>
      <c r="G461" s="39"/>
      <c r="H461" s="38"/>
      <c r="I461" s="38"/>
      <c r="J461" s="38"/>
      <c r="K461" s="38"/>
      <c r="L461" s="38"/>
      <c r="M461" s="38"/>
      <c r="N461" s="38"/>
      <c r="O461" s="38"/>
      <c r="P461" s="38"/>
      <c r="Q461" s="38"/>
      <c r="R461" s="38"/>
      <c r="S461" s="38"/>
      <c r="T461" s="38"/>
      <c r="U461" s="38"/>
      <c r="V461" s="38"/>
      <c r="W461" s="38"/>
      <c r="X461" s="38"/>
    </row>
    <row r="462" spans="1:24" s="831" customFormat="1" ht="13.5" customHeight="1">
      <c r="A462" s="48">
        <v>211208</v>
      </c>
      <c r="B462" s="26" t="s">
        <v>474</v>
      </c>
      <c r="C462" s="26">
        <f>+SUM(C463:C468)</f>
        <v>164350500</v>
      </c>
      <c r="D462" s="37"/>
      <c r="E462" s="38"/>
      <c r="F462" s="38"/>
      <c r="G462" s="39"/>
      <c r="H462" s="38"/>
      <c r="I462" s="38"/>
      <c r="J462" s="38"/>
      <c r="K462" s="38"/>
      <c r="L462" s="38"/>
      <c r="M462" s="38"/>
      <c r="N462" s="38"/>
      <c r="O462" s="38"/>
      <c r="P462" s="38"/>
      <c r="Q462" s="38"/>
      <c r="R462" s="38"/>
      <c r="S462" s="38"/>
      <c r="T462" s="38"/>
      <c r="U462" s="38"/>
      <c r="V462" s="38"/>
      <c r="W462" s="38"/>
      <c r="X462" s="38"/>
    </row>
    <row r="463" spans="1:24" ht="13.5" customHeight="1">
      <c r="A463" s="33">
        <v>21120801</v>
      </c>
      <c r="B463" s="24" t="s">
        <v>475</v>
      </c>
      <c r="C463" s="24">
        <f>6000000+56000</f>
        <v>6056000</v>
      </c>
      <c r="D463" s="37"/>
      <c r="E463" s="38"/>
      <c r="F463" s="38"/>
      <c r="G463" s="39"/>
      <c r="H463" s="38"/>
      <c r="I463" s="38"/>
      <c r="J463" s="38"/>
      <c r="K463" s="38"/>
      <c r="L463" s="38"/>
      <c r="M463" s="38"/>
      <c r="N463" s="38"/>
      <c r="O463" s="38"/>
      <c r="P463" s="38"/>
      <c r="Q463" s="38"/>
      <c r="R463" s="38"/>
      <c r="S463" s="38"/>
      <c r="T463" s="38"/>
      <c r="U463" s="38"/>
      <c r="V463" s="38"/>
      <c r="W463" s="38"/>
      <c r="X463" s="38"/>
    </row>
    <row r="464" spans="1:24" ht="13.5" customHeight="1">
      <c r="A464" s="33">
        <v>21120802</v>
      </c>
      <c r="B464" s="24" t="s">
        <v>589</v>
      </c>
      <c r="C464" s="24">
        <f>10000000+110000</f>
        <v>10110000</v>
      </c>
      <c r="D464" s="37"/>
      <c r="E464" s="38"/>
      <c r="F464" s="38"/>
      <c r="G464" s="39"/>
      <c r="H464" s="38"/>
      <c r="I464" s="38"/>
      <c r="J464" s="38"/>
      <c r="K464" s="38"/>
      <c r="L464" s="38"/>
      <c r="M464" s="38"/>
      <c r="N464" s="38"/>
      <c r="O464" s="38"/>
      <c r="P464" s="38"/>
      <c r="Q464" s="38"/>
      <c r="R464" s="38"/>
      <c r="S464" s="38"/>
      <c r="T464" s="38"/>
      <c r="U464" s="38"/>
      <c r="V464" s="38"/>
      <c r="W464" s="38"/>
      <c r="X464" s="38"/>
    </row>
    <row r="465" spans="1:24" ht="13.5" customHeight="1">
      <c r="A465" s="33">
        <v>21120803</v>
      </c>
      <c r="B465" s="24" t="s">
        <v>517</v>
      </c>
      <c r="C465" s="51">
        <v>86622500</v>
      </c>
      <c r="D465" s="37"/>
      <c r="E465" s="38"/>
      <c r="F465" s="38"/>
      <c r="G465" s="39"/>
      <c r="H465" s="38"/>
      <c r="I465" s="38"/>
      <c r="J465" s="38"/>
      <c r="K465" s="38"/>
      <c r="L465" s="38"/>
      <c r="M465" s="38"/>
      <c r="N465" s="38"/>
      <c r="O465" s="38"/>
      <c r="P465" s="38"/>
      <c r="Q465" s="38"/>
      <c r="R465" s="38"/>
      <c r="S465" s="38"/>
      <c r="T465" s="38"/>
      <c r="U465" s="38"/>
      <c r="V465" s="38"/>
      <c r="W465" s="38"/>
      <c r="X465" s="38"/>
    </row>
    <row r="466" spans="1:24" ht="13.5" customHeight="1">
      <c r="A466" s="33">
        <v>21120804</v>
      </c>
      <c r="B466" s="24" t="s">
        <v>590</v>
      </c>
      <c r="C466" s="51">
        <f>10000000+20383000</f>
        <v>30383000</v>
      </c>
      <c r="D466" s="37"/>
      <c r="E466" s="38"/>
      <c r="F466" s="38"/>
      <c r="G466" s="39"/>
      <c r="H466" s="38"/>
      <c r="I466" s="38"/>
      <c r="J466" s="38"/>
      <c r="K466" s="38"/>
      <c r="L466" s="38"/>
      <c r="M466" s="38"/>
      <c r="N466" s="38"/>
      <c r="O466" s="38"/>
      <c r="P466" s="38"/>
      <c r="Q466" s="38"/>
      <c r="R466" s="38"/>
      <c r="S466" s="38"/>
      <c r="T466" s="38"/>
      <c r="U466" s="38"/>
      <c r="V466" s="38"/>
      <c r="W466" s="38"/>
      <c r="X466" s="38"/>
    </row>
    <row r="467" spans="1:24" ht="13.5" customHeight="1">
      <c r="A467" s="33">
        <v>21120805</v>
      </c>
      <c r="B467" s="24" t="s">
        <v>476</v>
      </c>
      <c r="C467" s="51">
        <f>5000000+11767500</f>
        <v>16767500</v>
      </c>
      <c r="D467" s="37"/>
      <c r="E467" s="38"/>
      <c r="F467" s="38"/>
      <c r="G467" s="39"/>
      <c r="H467" s="38"/>
      <c r="I467" s="38"/>
      <c r="J467" s="38"/>
      <c r="K467" s="38"/>
      <c r="L467" s="38"/>
      <c r="M467" s="38"/>
      <c r="N467" s="38"/>
      <c r="O467" s="38"/>
      <c r="P467" s="38"/>
      <c r="Q467" s="38"/>
      <c r="R467" s="38"/>
      <c r="S467" s="38"/>
      <c r="T467" s="38"/>
      <c r="U467" s="38"/>
      <c r="V467" s="38"/>
      <c r="W467" s="38"/>
      <c r="X467" s="38"/>
    </row>
    <row r="468" spans="1:24" ht="13.5" customHeight="1">
      <c r="A468" s="33">
        <v>21120806</v>
      </c>
      <c r="B468" s="24" t="s">
        <v>534</v>
      </c>
      <c r="C468" s="51">
        <v>14411500</v>
      </c>
      <c r="D468" s="37"/>
      <c r="E468" s="38"/>
      <c r="F468" s="38"/>
      <c r="G468" s="39"/>
      <c r="H468" s="38"/>
      <c r="I468" s="38"/>
      <c r="J468" s="38"/>
      <c r="K468" s="38"/>
      <c r="L468" s="38"/>
      <c r="M468" s="38"/>
      <c r="N468" s="38"/>
      <c r="O468" s="38"/>
      <c r="P468" s="38"/>
      <c r="Q468" s="38"/>
      <c r="R468" s="38"/>
      <c r="S468" s="38"/>
      <c r="T468" s="38"/>
      <c r="U468" s="38"/>
      <c r="V468" s="38"/>
      <c r="W468" s="38"/>
      <c r="X468" s="38"/>
    </row>
    <row r="469" spans="1:24" s="831" customFormat="1" ht="13.5" customHeight="1">
      <c r="A469" s="48">
        <v>211209</v>
      </c>
      <c r="B469" s="26" t="s">
        <v>477</v>
      </c>
      <c r="C469" s="26">
        <f>+SUM(C470:C471)</f>
        <v>5983605.5546000004</v>
      </c>
      <c r="D469" s="37"/>
      <c r="E469" s="38"/>
      <c r="F469" s="38"/>
      <c r="G469" s="39"/>
      <c r="H469" s="38"/>
      <c r="I469" s="38"/>
      <c r="J469" s="38"/>
      <c r="K469" s="38"/>
      <c r="L469" s="38"/>
      <c r="M469" s="38"/>
      <c r="N469" s="38"/>
      <c r="O469" s="38"/>
      <c r="P469" s="38"/>
      <c r="Q469" s="38"/>
      <c r="R469" s="38"/>
      <c r="S469" s="38"/>
      <c r="T469" s="38"/>
      <c r="U469" s="38"/>
      <c r="V469" s="38"/>
      <c r="W469" s="38"/>
      <c r="X469" s="38"/>
    </row>
    <row r="470" spans="1:24" ht="13.5" customHeight="1">
      <c r="A470" s="33">
        <v>21120901</v>
      </c>
      <c r="B470" s="24" t="s">
        <v>478</v>
      </c>
      <c r="C470" s="24">
        <v>3744000</v>
      </c>
      <c r="D470" s="37"/>
      <c r="E470" s="38"/>
      <c r="F470" s="38"/>
      <c r="G470" s="39"/>
      <c r="H470" s="38"/>
      <c r="I470" s="38"/>
      <c r="J470" s="38"/>
      <c r="K470" s="38"/>
      <c r="L470" s="38"/>
      <c r="M470" s="38"/>
      <c r="N470" s="38"/>
      <c r="O470" s="38"/>
      <c r="P470" s="38"/>
      <c r="Q470" s="38"/>
      <c r="R470" s="38"/>
      <c r="S470" s="38"/>
      <c r="T470" s="38"/>
      <c r="U470" s="38"/>
      <c r="V470" s="38"/>
      <c r="W470" s="38"/>
      <c r="X470" s="38"/>
    </row>
    <row r="471" spans="1:24" ht="13.5" customHeight="1">
      <c r="A471" s="33">
        <v>21120906</v>
      </c>
      <c r="B471" s="24" t="s">
        <v>479</v>
      </c>
      <c r="C471" s="24">
        <f>2239605.5546</f>
        <v>2239605.5545999999</v>
      </c>
      <c r="D471" s="37"/>
      <c r="E471" s="38"/>
      <c r="F471" s="38"/>
      <c r="G471" s="39"/>
      <c r="H471" s="38"/>
      <c r="I471" s="38"/>
      <c r="J471" s="38"/>
      <c r="K471" s="38"/>
      <c r="L471" s="38"/>
      <c r="M471" s="38"/>
      <c r="N471" s="38"/>
      <c r="O471" s="38"/>
      <c r="P471" s="38"/>
      <c r="Q471" s="38"/>
      <c r="R471" s="38"/>
      <c r="S471" s="38"/>
      <c r="T471" s="38"/>
      <c r="U471" s="38"/>
      <c r="V471" s="38"/>
      <c r="W471" s="38"/>
      <c r="X471" s="38"/>
    </row>
    <row r="472" spans="1:24" ht="13.5" customHeight="1" thickBot="1">
      <c r="A472" s="23"/>
      <c r="B472" s="24"/>
      <c r="C472" s="24"/>
      <c r="D472" s="37"/>
      <c r="E472" s="38"/>
      <c r="F472" s="38"/>
      <c r="G472" s="39"/>
      <c r="H472" s="38"/>
      <c r="I472" s="38"/>
      <c r="J472" s="38"/>
      <c r="K472" s="38"/>
      <c r="L472" s="38"/>
      <c r="M472" s="38"/>
      <c r="N472" s="38"/>
      <c r="O472" s="38"/>
      <c r="P472" s="38"/>
      <c r="Q472" s="38"/>
      <c r="R472" s="38"/>
      <c r="S472" s="38"/>
      <c r="T472" s="38"/>
      <c r="U472" s="38"/>
      <c r="V472" s="38"/>
      <c r="W472" s="38"/>
      <c r="X472" s="38"/>
    </row>
    <row r="473" spans="1:24" ht="13.5" customHeight="1" thickBot="1">
      <c r="A473" s="1298" t="s">
        <v>4</v>
      </c>
      <c r="B473" s="1281"/>
      <c r="C473" s="64">
        <f>(C474+C478+C484+C490+C493)</f>
        <v>4759503498.8000002</v>
      </c>
      <c r="D473" s="37"/>
      <c r="E473" s="38"/>
      <c r="F473" s="38"/>
      <c r="G473" s="39"/>
      <c r="H473" s="38"/>
      <c r="I473" s="38"/>
      <c r="J473" s="38"/>
      <c r="K473" s="38"/>
      <c r="L473" s="38"/>
      <c r="M473" s="38"/>
      <c r="N473" s="38"/>
      <c r="O473" s="38"/>
      <c r="P473" s="38"/>
      <c r="Q473" s="38"/>
      <c r="R473" s="38"/>
      <c r="S473" s="38"/>
      <c r="T473" s="38"/>
      <c r="U473" s="38"/>
      <c r="V473" s="38"/>
      <c r="W473" s="38"/>
      <c r="X473" s="38"/>
    </row>
    <row r="474" spans="1:24" s="831" customFormat="1" ht="13.5" customHeight="1">
      <c r="A474" s="48">
        <v>211302</v>
      </c>
      <c r="B474" s="48" t="s">
        <v>481</v>
      </c>
      <c r="C474" s="26">
        <f>SUM(C475:C477)</f>
        <v>208998000</v>
      </c>
      <c r="D474" s="37"/>
      <c r="E474" s="38"/>
      <c r="F474" s="38"/>
      <c r="G474" s="39"/>
      <c r="H474" s="38"/>
      <c r="I474" s="38"/>
      <c r="J474" s="38"/>
      <c r="K474" s="38"/>
      <c r="L474" s="38"/>
      <c r="M474" s="38"/>
      <c r="N474" s="38"/>
      <c r="O474" s="38"/>
      <c r="P474" s="38"/>
      <c r="Q474" s="38"/>
      <c r="R474" s="38"/>
      <c r="S474" s="38"/>
      <c r="T474" s="38"/>
      <c r="U474" s="38"/>
      <c r="V474" s="38"/>
      <c r="W474" s="38"/>
      <c r="X474" s="38"/>
    </row>
    <row r="475" spans="1:24" ht="13.5" customHeight="1">
      <c r="A475" s="33">
        <v>21130202</v>
      </c>
      <c r="B475" s="33" t="s">
        <v>592</v>
      </c>
      <c r="C475" s="24">
        <f>166173500</f>
        <v>166173500</v>
      </c>
      <c r="D475" s="37"/>
      <c r="E475" s="38"/>
      <c r="F475" s="38"/>
      <c r="G475" s="39"/>
      <c r="H475" s="38"/>
      <c r="I475" s="38"/>
      <c r="J475" s="38"/>
      <c r="K475" s="38"/>
      <c r="L475" s="38"/>
      <c r="M475" s="38"/>
      <c r="N475" s="38"/>
      <c r="O475" s="38"/>
      <c r="P475" s="38"/>
      <c r="Q475" s="38"/>
      <c r="R475" s="38"/>
      <c r="S475" s="38"/>
      <c r="T475" s="38"/>
      <c r="U475" s="38"/>
      <c r="V475" s="38"/>
      <c r="W475" s="38"/>
      <c r="X475" s="38"/>
    </row>
    <row r="476" spans="1:24" ht="13.5" customHeight="1">
      <c r="A476" s="33">
        <v>21130203</v>
      </c>
      <c r="B476" s="33" t="s">
        <v>555</v>
      </c>
      <c r="C476" s="24">
        <f>24000000+17337000</f>
        <v>41337000</v>
      </c>
      <c r="D476" s="37"/>
      <c r="E476" s="38"/>
      <c r="F476" s="38"/>
      <c r="G476" s="39"/>
      <c r="H476" s="38"/>
      <c r="I476" s="38"/>
      <c r="J476" s="38"/>
      <c r="K476" s="38"/>
      <c r="L476" s="38"/>
      <c r="M476" s="38"/>
      <c r="N476" s="38"/>
      <c r="O476" s="38"/>
      <c r="P476" s="38"/>
      <c r="Q476" s="38"/>
      <c r="R476" s="38"/>
      <c r="S476" s="38"/>
      <c r="T476" s="38"/>
      <c r="U476" s="38"/>
      <c r="V476" s="38"/>
      <c r="W476" s="38"/>
      <c r="X476" s="38"/>
    </row>
    <row r="477" spans="1:24" ht="13.5" customHeight="1">
      <c r="A477" s="33">
        <v>21130204</v>
      </c>
      <c r="B477" s="33" t="s">
        <v>483</v>
      </c>
      <c r="C477" s="24">
        <f>1487500</f>
        <v>1487500</v>
      </c>
      <c r="D477" s="37"/>
      <c r="E477" s="38"/>
      <c r="F477" s="38"/>
      <c r="G477" s="39"/>
      <c r="H477" s="38"/>
      <c r="I477" s="38"/>
      <c r="J477" s="38"/>
      <c r="K477" s="38"/>
      <c r="L477" s="38"/>
      <c r="M477" s="38"/>
      <c r="N477" s="38"/>
      <c r="O477" s="38"/>
      <c r="P477" s="38"/>
      <c r="Q477" s="38"/>
      <c r="R477" s="38"/>
      <c r="S477" s="38"/>
      <c r="T477" s="38"/>
      <c r="U477" s="38"/>
      <c r="V477" s="38"/>
      <c r="W477" s="38"/>
      <c r="X477" s="38"/>
    </row>
    <row r="478" spans="1:24" s="831" customFormat="1" ht="13.5" customHeight="1">
      <c r="A478" s="48">
        <v>211303</v>
      </c>
      <c r="B478" s="21" t="s">
        <v>484</v>
      </c>
      <c r="C478" s="26">
        <f>SUM(C479:C483)</f>
        <v>174935500</v>
      </c>
      <c r="D478" s="37"/>
      <c r="E478" s="38"/>
      <c r="F478" s="38"/>
      <c r="G478" s="39"/>
      <c r="H478" s="38"/>
      <c r="I478" s="38"/>
      <c r="J478" s="38"/>
      <c r="K478" s="38"/>
      <c r="L478" s="38"/>
      <c r="M478" s="38"/>
      <c r="N478" s="38"/>
      <c r="O478" s="38"/>
      <c r="P478" s="38"/>
      <c r="Q478" s="38"/>
      <c r="R478" s="38"/>
      <c r="S478" s="38"/>
      <c r="T478" s="38"/>
      <c r="U478" s="38"/>
      <c r="V478" s="38"/>
      <c r="W478" s="38"/>
      <c r="X478" s="38"/>
    </row>
    <row r="479" spans="1:24" ht="13.5" customHeight="1">
      <c r="A479" s="33">
        <v>21130301</v>
      </c>
      <c r="B479" s="23" t="s">
        <v>485</v>
      </c>
      <c r="C479" s="51">
        <f>10000000+150000</f>
        <v>10150000</v>
      </c>
      <c r="D479" s="37"/>
      <c r="E479" s="38"/>
      <c r="F479" s="38"/>
      <c r="G479" s="39"/>
      <c r="H479" s="38"/>
      <c r="I479" s="38"/>
      <c r="J479" s="38"/>
      <c r="K479" s="38"/>
      <c r="L479" s="38"/>
      <c r="M479" s="38"/>
      <c r="N479" s="38"/>
      <c r="O479" s="38"/>
      <c r="P479" s="38"/>
      <c r="Q479" s="38"/>
      <c r="R479" s="38"/>
      <c r="S479" s="38"/>
      <c r="T479" s="38"/>
      <c r="U479" s="38"/>
      <c r="V479" s="38"/>
      <c r="W479" s="38"/>
      <c r="X479" s="38"/>
    </row>
    <row r="480" spans="1:24" ht="13.5" customHeight="1">
      <c r="A480" s="33">
        <v>21130304</v>
      </c>
      <c r="B480" s="23" t="s">
        <v>486</v>
      </c>
      <c r="C480" s="51">
        <f>10000000+19976500</f>
        <v>29976500</v>
      </c>
      <c r="D480" s="37"/>
      <c r="E480" s="38"/>
      <c r="F480" s="38"/>
      <c r="G480" s="39"/>
      <c r="H480" s="38"/>
      <c r="I480" s="38"/>
      <c r="J480" s="38"/>
      <c r="K480" s="38"/>
      <c r="L480" s="38"/>
      <c r="M480" s="38"/>
      <c r="N480" s="38"/>
      <c r="O480" s="38"/>
      <c r="P480" s="38"/>
      <c r="Q480" s="38"/>
      <c r="R480" s="38"/>
      <c r="S480" s="38"/>
      <c r="T480" s="38"/>
      <c r="U480" s="38"/>
      <c r="V480" s="38"/>
      <c r="W480" s="38"/>
      <c r="X480" s="38"/>
    </row>
    <row r="481" spans="1:24" ht="13.5" customHeight="1">
      <c r="A481" s="33">
        <v>21130305</v>
      </c>
      <c r="B481" s="23" t="s">
        <v>577</v>
      </c>
      <c r="C481" s="51">
        <f>10000000+2243000</f>
        <v>12243000</v>
      </c>
      <c r="D481" s="37"/>
      <c r="E481" s="38"/>
      <c r="F481" s="38"/>
      <c r="G481" s="39"/>
      <c r="H481" s="38"/>
      <c r="I481" s="38"/>
      <c r="J481" s="38"/>
      <c r="K481" s="38"/>
      <c r="L481" s="38"/>
      <c r="M481" s="38"/>
      <c r="N481" s="38"/>
      <c r="O481" s="38"/>
      <c r="P481" s="38"/>
      <c r="Q481" s="38"/>
      <c r="R481" s="38"/>
      <c r="S481" s="38"/>
      <c r="T481" s="38"/>
      <c r="U481" s="38"/>
      <c r="V481" s="38"/>
      <c r="W481" s="38"/>
      <c r="X481" s="38"/>
    </row>
    <row r="482" spans="1:24" ht="13.5" customHeight="1">
      <c r="A482" s="33">
        <v>21130306</v>
      </c>
      <c r="B482" s="23" t="s">
        <v>487</v>
      </c>
      <c r="C482" s="51">
        <f>100000000+10219500</f>
        <v>110219500</v>
      </c>
      <c r="D482" s="37"/>
      <c r="E482" s="38"/>
      <c r="F482" s="38"/>
      <c r="G482" s="39"/>
      <c r="H482" s="38"/>
      <c r="I482" s="38"/>
      <c r="J482" s="38"/>
      <c r="K482" s="38"/>
      <c r="L482" s="38"/>
      <c r="M482" s="38"/>
      <c r="N482" s="38"/>
      <c r="O482" s="38"/>
      <c r="P482" s="38"/>
      <c r="Q482" s="38"/>
      <c r="R482" s="38"/>
      <c r="S482" s="38"/>
      <c r="T482" s="38"/>
      <c r="U482" s="38"/>
      <c r="V482" s="38"/>
      <c r="W482" s="38"/>
      <c r="X482" s="38"/>
    </row>
    <row r="483" spans="1:24" ht="13.5" customHeight="1">
      <c r="A483" s="33">
        <v>21130307</v>
      </c>
      <c r="B483" s="23" t="s">
        <v>488</v>
      </c>
      <c r="C483" s="51">
        <f>10000000+2346500</f>
        <v>12346500</v>
      </c>
      <c r="D483" s="37"/>
      <c r="E483" s="38"/>
      <c r="F483" s="38"/>
      <c r="G483" s="39"/>
      <c r="H483" s="38"/>
      <c r="I483" s="38"/>
      <c r="J483" s="38"/>
      <c r="K483" s="38"/>
      <c r="L483" s="38"/>
      <c r="M483" s="38"/>
      <c r="N483" s="38"/>
      <c r="O483" s="38"/>
      <c r="P483" s="38"/>
      <c r="Q483" s="38"/>
      <c r="R483" s="38"/>
      <c r="S483" s="38"/>
      <c r="T483" s="38"/>
      <c r="U483" s="38"/>
      <c r="V483" s="38"/>
      <c r="W483" s="38"/>
      <c r="X483" s="38"/>
    </row>
    <row r="484" spans="1:24" s="831" customFormat="1" ht="13.5" customHeight="1">
      <c r="A484" s="48">
        <v>211304</v>
      </c>
      <c r="B484" s="21" t="s">
        <v>578</v>
      </c>
      <c r="C484" s="26">
        <f>SUM(C485:C489)</f>
        <v>4355169498.8000002</v>
      </c>
      <c r="D484" s="37"/>
      <c r="E484" s="38"/>
      <c r="F484" s="38"/>
      <c r="G484" s="39"/>
      <c r="H484" s="38"/>
      <c r="I484" s="38"/>
      <c r="J484" s="38"/>
      <c r="K484" s="38"/>
      <c r="L484" s="38"/>
      <c r="M484" s="38"/>
      <c r="N484" s="38"/>
      <c r="O484" s="38"/>
      <c r="P484" s="38"/>
      <c r="Q484" s="38"/>
      <c r="R484" s="38"/>
      <c r="S484" s="38"/>
      <c r="T484" s="38"/>
      <c r="U484" s="38"/>
      <c r="V484" s="38"/>
      <c r="W484" s="38"/>
      <c r="X484" s="38"/>
    </row>
    <row r="485" spans="1:24" ht="13.5" customHeight="1">
      <c r="A485" s="33">
        <v>21130401</v>
      </c>
      <c r="B485" s="23" t="s">
        <v>593</v>
      </c>
      <c r="C485" s="51">
        <f>100000000+647929000</f>
        <v>747929000</v>
      </c>
      <c r="D485" s="37"/>
      <c r="E485" s="38"/>
      <c r="F485" s="38"/>
      <c r="G485" s="39"/>
      <c r="H485" s="38"/>
      <c r="I485" s="38"/>
      <c r="J485" s="38"/>
      <c r="K485" s="38"/>
      <c r="L485" s="38"/>
      <c r="M485" s="38"/>
      <c r="N485" s="38"/>
      <c r="O485" s="38"/>
      <c r="P485" s="38"/>
      <c r="Q485" s="38"/>
      <c r="R485" s="38"/>
      <c r="S485" s="38"/>
      <c r="T485" s="38"/>
      <c r="U485" s="38"/>
      <c r="V485" s="38"/>
      <c r="W485" s="38"/>
      <c r="X485" s="38"/>
    </row>
    <row r="486" spans="1:24" ht="13.5" customHeight="1">
      <c r="A486" s="33">
        <v>21130402</v>
      </c>
      <c r="B486" s="23" t="s">
        <v>595</v>
      </c>
      <c r="C486" s="51">
        <v>1081369000</v>
      </c>
      <c r="D486" s="37"/>
      <c r="E486" s="38"/>
      <c r="F486" s="38"/>
      <c r="G486" s="39"/>
      <c r="H486" s="38"/>
      <c r="I486" s="38"/>
      <c r="J486" s="38"/>
      <c r="K486" s="38"/>
      <c r="L486" s="38"/>
      <c r="M486" s="38"/>
      <c r="N486" s="38"/>
      <c r="O486" s="38"/>
      <c r="P486" s="38"/>
      <c r="Q486" s="38"/>
      <c r="R486" s="38"/>
      <c r="S486" s="38"/>
      <c r="T486" s="38"/>
      <c r="U486" s="38"/>
      <c r="V486" s="38"/>
      <c r="W486" s="38"/>
      <c r="X486" s="38"/>
    </row>
    <row r="487" spans="1:24" ht="13.5" customHeight="1">
      <c r="A487" s="33">
        <v>21130403</v>
      </c>
      <c r="B487" s="23" t="s">
        <v>579</v>
      </c>
      <c r="C487" s="51">
        <v>2032651000</v>
      </c>
      <c r="D487" s="37"/>
      <c r="E487" s="38"/>
      <c r="F487" s="38"/>
      <c r="G487" s="39"/>
      <c r="H487" s="704"/>
      <c r="I487" s="38"/>
      <c r="J487" s="38"/>
      <c r="K487" s="38"/>
      <c r="L487" s="38"/>
      <c r="M487" s="38"/>
      <c r="N487" s="38"/>
      <c r="O487" s="38"/>
      <c r="P487" s="38"/>
      <c r="Q487" s="38"/>
      <c r="R487" s="38"/>
      <c r="S487" s="38"/>
      <c r="T487" s="38"/>
      <c r="U487" s="38"/>
      <c r="V487" s="38"/>
      <c r="W487" s="38"/>
      <c r="X487" s="38"/>
    </row>
    <row r="488" spans="1:24" ht="13.5" customHeight="1">
      <c r="A488" s="33">
        <v>21130404</v>
      </c>
      <c r="B488" s="23" t="s">
        <v>596</v>
      </c>
      <c r="C488" s="51">
        <f>492503998.8+362500</f>
        <v>492866498.80000001</v>
      </c>
      <c r="D488" s="37"/>
      <c r="E488" s="38"/>
      <c r="F488" s="38"/>
      <c r="G488" s="39"/>
      <c r="H488" s="704"/>
      <c r="I488" s="38"/>
      <c r="J488" s="38"/>
      <c r="K488" s="38"/>
      <c r="L488" s="38"/>
      <c r="M488" s="38"/>
      <c r="N488" s="38"/>
      <c r="O488" s="38"/>
      <c r="P488" s="38"/>
      <c r="Q488" s="38"/>
      <c r="R488" s="38"/>
      <c r="S488" s="38"/>
      <c r="T488" s="38"/>
      <c r="U488" s="38"/>
      <c r="V488" s="38"/>
      <c r="W488" s="38"/>
      <c r="X488" s="38"/>
    </row>
    <row r="489" spans="1:24" ht="13.5" customHeight="1">
      <c r="A489" s="33">
        <v>21130406</v>
      </c>
      <c r="B489" s="23" t="s">
        <v>597</v>
      </c>
      <c r="C489" s="24">
        <v>354000</v>
      </c>
      <c r="D489" s="37"/>
      <c r="E489" s="38"/>
      <c r="F489" s="38"/>
      <c r="G489" s="39"/>
      <c r="H489" s="38"/>
      <c r="I489" s="38"/>
      <c r="J489" s="38"/>
      <c r="K489" s="38"/>
      <c r="L489" s="38"/>
      <c r="M489" s="38"/>
      <c r="N489" s="38"/>
      <c r="O489" s="38"/>
      <c r="P489" s="38"/>
      <c r="Q489" s="38"/>
      <c r="R489" s="38"/>
      <c r="S489" s="38"/>
      <c r="T489" s="38"/>
      <c r="U489" s="38"/>
      <c r="V489" s="38"/>
      <c r="W489" s="38"/>
      <c r="X489" s="38"/>
    </row>
    <row r="490" spans="1:24" s="831" customFormat="1" ht="13.5" customHeight="1">
      <c r="A490" s="48">
        <v>211305</v>
      </c>
      <c r="B490" s="21" t="s">
        <v>489</v>
      </c>
      <c r="C490" s="26">
        <f>SUM(C491:C492)</f>
        <v>3725500</v>
      </c>
      <c r="D490" s="37"/>
      <c r="E490" s="38"/>
      <c r="F490" s="38"/>
      <c r="G490" s="39"/>
      <c r="H490" s="38"/>
      <c r="I490" s="38"/>
      <c r="J490" s="38"/>
      <c r="K490" s="38"/>
      <c r="L490" s="38"/>
      <c r="M490" s="38"/>
      <c r="N490" s="38"/>
      <c r="O490" s="38"/>
      <c r="P490" s="38"/>
      <c r="Q490" s="38"/>
      <c r="R490" s="38"/>
      <c r="S490" s="38"/>
      <c r="T490" s="38"/>
      <c r="U490" s="38"/>
      <c r="V490" s="38"/>
      <c r="W490" s="38"/>
      <c r="X490" s="38"/>
    </row>
    <row r="491" spans="1:24" ht="13.5" customHeight="1">
      <c r="A491" s="33">
        <v>21130501</v>
      </c>
      <c r="B491" s="13" t="s">
        <v>490</v>
      </c>
      <c r="C491" s="24">
        <v>6500</v>
      </c>
      <c r="D491" s="37"/>
      <c r="E491" s="38"/>
      <c r="F491" s="38"/>
      <c r="G491" s="39"/>
      <c r="H491" s="38"/>
      <c r="I491" s="38"/>
      <c r="J491" s="38"/>
      <c r="K491" s="38"/>
      <c r="L491" s="38"/>
      <c r="M491" s="38"/>
      <c r="N491" s="38"/>
      <c r="O491" s="38"/>
      <c r="P491" s="38"/>
      <c r="Q491" s="38"/>
      <c r="R491" s="38"/>
      <c r="S491" s="38"/>
      <c r="T491" s="38"/>
      <c r="U491" s="38"/>
      <c r="V491" s="38"/>
      <c r="W491" s="38"/>
      <c r="X491" s="38"/>
    </row>
    <row r="492" spans="1:24" ht="13.5" customHeight="1">
      <c r="A492" s="33">
        <v>21130502</v>
      </c>
      <c r="B492" s="24" t="s">
        <v>491</v>
      </c>
      <c r="C492" s="24">
        <v>3719000</v>
      </c>
      <c r="D492" s="37"/>
      <c r="E492" s="38"/>
      <c r="F492" s="38"/>
      <c r="G492" s="39"/>
      <c r="H492" s="38"/>
      <c r="I492" s="38"/>
      <c r="J492" s="38"/>
      <c r="K492" s="38"/>
      <c r="L492" s="38"/>
      <c r="M492" s="38"/>
      <c r="N492" s="38"/>
      <c r="O492" s="38"/>
      <c r="P492" s="38"/>
      <c r="Q492" s="38"/>
      <c r="R492" s="38"/>
      <c r="S492" s="38"/>
      <c r="T492" s="38"/>
      <c r="U492" s="38"/>
      <c r="V492" s="38"/>
      <c r="W492" s="38"/>
      <c r="X492" s="38"/>
    </row>
    <row r="493" spans="1:24" s="831" customFormat="1" ht="13.5" customHeight="1">
      <c r="A493" s="48">
        <v>211309</v>
      </c>
      <c r="B493" s="26" t="s">
        <v>496</v>
      </c>
      <c r="C493" s="26">
        <f>SUM(C494:C496)</f>
        <v>16675000</v>
      </c>
      <c r="D493" s="37"/>
      <c r="E493" s="38"/>
      <c r="F493" s="38"/>
      <c r="G493" s="39"/>
      <c r="H493" s="38"/>
      <c r="I493" s="38"/>
      <c r="J493" s="38"/>
      <c r="K493" s="38"/>
      <c r="L493" s="38"/>
      <c r="M493" s="38"/>
      <c r="N493" s="38"/>
      <c r="O493" s="38"/>
      <c r="P493" s="38"/>
      <c r="Q493" s="38"/>
      <c r="R493" s="38"/>
      <c r="S493" s="38"/>
      <c r="T493" s="38"/>
      <c r="U493" s="38"/>
      <c r="V493" s="38"/>
      <c r="W493" s="38"/>
      <c r="X493" s="38"/>
    </row>
    <row r="494" spans="1:24" ht="13.5" customHeight="1">
      <c r="A494" s="33">
        <v>21130901</v>
      </c>
      <c r="B494" s="24" t="s">
        <v>497</v>
      </c>
      <c r="C494" s="24">
        <v>1479500</v>
      </c>
      <c r="D494" s="37"/>
      <c r="E494" s="38"/>
      <c r="F494" s="38"/>
      <c r="G494" s="39"/>
      <c r="H494" s="38"/>
      <c r="I494" s="38"/>
      <c r="J494" s="38"/>
      <c r="K494" s="38"/>
      <c r="L494" s="38"/>
      <c r="M494" s="38"/>
      <c r="N494" s="38"/>
      <c r="O494" s="38"/>
      <c r="P494" s="38"/>
      <c r="Q494" s="38"/>
      <c r="R494" s="38"/>
      <c r="S494" s="38"/>
      <c r="T494" s="38"/>
      <c r="U494" s="38"/>
      <c r="V494" s="38"/>
      <c r="W494" s="38"/>
      <c r="X494" s="38"/>
    </row>
    <row r="495" spans="1:24" ht="13.5" customHeight="1">
      <c r="A495" s="33">
        <v>21130903</v>
      </c>
      <c r="B495" s="24" t="s">
        <v>498</v>
      </c>
      <c r="C495" s="24">
        <f>250000+9500</f>
        <v>259500</v>
      </c>
      <c r="D495" s="37"/>
      <c r="E495" s="38"/>
      <c r="F495" s="38"/>
      <c r="G495" s="39"/>
      <c r="H495" s="38"/>
      <c r="I495" s="38"/>
      <c r="J495" s="38"/>
      <c r="K495" s="38"/>
      <c r="L495" s="38"/>
      <c r="M495" s="38"/>
      <c r="N495" s="38"/>
      <c r="O495" s="38"/>
      <c r="P495" s="38"/>
      <c r="Q495" s="38"/>
      <c r="R495" s="38"/>
      <c r="S495" s="38"/>
      <c r="T495" s="38"/>
      <c r="U495" s="38"/>
      <c r="V495" s="38"/>
      <c r="W495" s="38"/>
      <c r="X495" s="38"/>
    </row>
    <row r="496" spans="1:24" ht="13.5" customHeight="1">
      <c r="A496" s="33">
        <v>21130908</v>
      </c>
      <c r="B496" s="24" t="s">
        <v>500</v>
      </c>
      <c r="C496" s="24">
        <f>-250000+15186000</f>
        <v>14936000</v>
      </c>
      <c r="D496" s="37"/>
      <c r="E496" s="38"/>
      <c r="F496" s="38"/>
      <c r="G496" s="39"/>
      <c r="H496" s="38"/>
      <c r="I496" s="38"/>
      <c r="J496" s="38"/>
      <c r="K496" s="38"/>
      <c r="L496" s="38"/>
      <c r="M496" s="38"/>
      <c r="N496" s="38"/>
      <c r="O496" s="38"/>
      <c r="P496" s="38"/>
      <c r="Q496" s="38"/>
      <c r="R496" s="38"/>
      <c r="S496" s="38"/>
      <c r="T496" s="38"/>
      <c r="U496" s="38"/>
      <c r="V496" s="38"/>
      <c r="W496" s="38"/>
      <c r="X496" s="38"/>
    </row>
    <row r="497" spans="1:24" ht="13.5" customHeight="1" thickBot="1">
      <c r="A497" s="23"/>
      <c r="B497" s="24"/>
      <c r="C497" s="24"/>
      <c r="D497" s="37"/>
      <c r="E497" s="38"/>
      <c r="F497" s="38"/>
      <c r="G497" s="39"/>
      <c r="H497" s="38"/>
      <c r="I497" s="38"/>
      <c r="J497" s="38"/>
      <c r="K497" s="38"/>
      <c r="L497" s="38"/>
      <c r="M497" s="38"/>
      <c r="N497" s="38"/>
      <c r="O497" s="38"/>
      <c r="P497" s="38"/>
      <c r="Q497" s="38"/>
      <c r="R497" s="38"/>
      <c r="S497" s="38"/>
      <c r="T497" s="38"/>
      <c r="U497" s="38"/>
      <c r="V497" s="38"/>
      <c r="W497" s="38"/>
      <c r="X497" s="38"/>
    </row>
    <row r="498" spans="1:24" ht="13.5" customHeight="1" thickBot="1">
      <c r="A498" s="1299" t="s">
        <v>48</v>
      </c>
      <c r="B498" s="1281"/>
      <c r="C498" s="65">
        <f>(C499+C503+C505+C507)</f>
        <v>79627226.340000004</v>
      </c>
      <c r="D498" s="37"/>
      <c r="E498" s="38"/>
      <c r="F498" s="38"/>
      <c r="G498" s="39"/>
      <c r="H498" s="38"/>
      <c r="I498" s="38"/>
      <c r="J498" s="38"/>
      <c r="K498" s="38"/>
      <c r="L498" s="38"/>
      <c r="M498" s="38"/>
      <c r="N498" s="38"/>
      <c r="O498" s="38"/>
      <c r="P498" s="38"/>
      <c r="Q498" s="38"/>
      <c r="R498" s="38"/>
      <c r="S498" s="38"/>
      <c r="T498" s="38"/>
      <c r="U498" s="38"/>
      <c r="V498" s="38"/>
      <c r="W498" s="38"/>
      <c r="X498" s="38"/>
    </row>
    <row r="499" spans="1:24" s="831" customFormat="1" ht="13.5" customHeight="1">
      <c r="A499" s="48">
        <v>221102</v>
      </c>
      <c r="B499" s="48" t="s">
        <v>543</v>
      </c>
      <c r="C499" s="26">
        <f>+SUM(C500:C502)</f>
        <v>42090226.340000004</v>
      </c>
      <c r="D499" s="37"/>
      <c r="E499" s="38"/>
      <c r="F499" s="38"/>
      <c r="G499" s="39"/>
      <c r="H499" s="38"/>
      <c r="I499" s="38"/>
      <c r="J499" s="38"/>
      <c r="K499" s="38"/>
      <c r="L499" s="38"/>
      <c r="M499" s="38"/>
      <c r="N499" s="38"/>
      <c r="O499" s="38"/>
      <c r="P499" s="38"/>
      <c r="Q499" s="38"/>
      <c r="R499" s="38"/>
      <c r="S499" s="38"/>
      <c r="T499" s="38"/>
      <c r="U499" s="38"/>
      <c r="V499" s="38"/>
      <c r="W499" s="38"/>
      <c r="X499" s="38"/>
    </row>
    <row r="500" spans="1:24" ht="13.5" customHeight="1">
      <c r="A500" s="33">
        <v>22110202</v>
      </c>
      <c r="B500" s="33" t="s">
        <v>544</v>
      </c>
      <c r="C500" s="24">
        <f>4000000+575000</f>
        <v>4575000</v>
      </c>
      <c r="D500" s="37"/>
      <c r="E500" s="38"/>
      <c r="F500" s="38"/>
      <c r="G500" s="39"/>
      <c r="H500" s="38"/>
      <c r="I500" s="38"/>
      <c r="J500" s="38"/>
      <c r="K500" s="38"/>
      <c r="L500" s="38"/>
      <c r="M500" s="38"/>
      <c r="N500" s="38"/>
      <c r="O500" s="38"/>
      <c r="P500" s="38"/>
      <c r="Q500" s="38"/>
      <c r="R500" s="38"/>
      <c r="S500" s="38"/>
      <c r="T500" s="38"/>
      <c r="U500" s="38"/>
      <c r="V500" s="38"/>
      <c r="W500" s="38"/>
      <c r="X500" s="38"/>
    </row>
    <row r="501" spans="1:24" ht="13.5" customHeight="1">
      <c r="A501" s="33">
        <v>22110204</v>
      </c>
      <c r="B501" s="33" t="s">
        <v>545</v>
      </c>
      <c r="C501" s="24">
        <f>10871226.34+17392500</f>
        <v>28263726.34</v>
      </c>
      <c r="D501" s="37"/>
      <c r="E501" s="38"/>
      <c r="F501" s="38"/>
      <c r="G501" s="39"/>
      <c r="H501" s="38"/>
      <c r="I501" s="38"/>
      <c r="J501" s="38"/>
      <c r="K501" s="38"/>
      <c r="L501" s="38"/>
      <c r="M501" s="38"/>
      <c r="N501" s="38"/>
      <c r="O501" s="38"/>
      <c r="P501" s="38"/>
      <c r="Q501" s="38"/>
      <c r="R501" s="38"/>
      <c r="S501" s="38"/>
      <c r="T501" s="38"/>
      <c r="U501" s="38"/>
      <c r="V501" s="38"/>
      <c r="W501" s="38"/>
      <c r="X501" s="38"/>
    </row>
    <row r="502" spans="1:24" ht="13.5" customHeight="1">
      <c r="A502" s="33">
        <v>22110205</v>
      </c>
      <c r="B502" s="33" t="s">
        <v>546</v>
      </c>
      <c r="C502" s="24">
        <f>5000000+4251500</f>
        <v>9251500</v>
      </c>
      <c r="D502" s="37"/>
      <c r="E502" s="38"/>
      <c r="F502" s="38"/>
      <c r="G502" s="39"/>
      <c r="H502" s="38"/>
      <c r="I502" s="38"/>
      <c r="J502" s="38"/>
      <c r="K502" s="38"/>
      <c r="L502" s="38"/>
      <c r="M502" s="38"/>
      <c r="N502" s="38"/>
      <c r="O502" s="38"/>
      <c r="P502" s="38"/>
      <c r="Q502" s="38"/>
      <c r="R502" s="38"/>
      <c r="S502" s="38"/>
      <c r="T502" s="38"/>
      <c r="U502" s="38"/>
      <c r="V502" s="38"/>
      <c r="W502" s="38"/>
      <c r="X502" s="38"/>
    </row>
    <row r="503" spans="1:24" s="831" customFormat="1" ht="13.5" customHeight="1">
      <c r="A503" s="48">
        <v>221103</v>
      </c>
      <c r="B503" s="48" t="s">
        <v>508</v>
      </c>
      <c r="C503" s="26">
        <f>C504</f>
        <v>37050000</v>
      </c>
      <c r="D503" s="37"/>
      <c r="E503" s="38"/>
      <c r="F503" s="38"/>
      <c r="G503" s="39"/>
      <c r="H503" s="38"/>
      <c r="I503" s="38"/>
      <c r="J503" s="38"/>
      <c r="K503" s="38"/>
      <c r="L503" s="38"/>
      <c r="M503" s="38"/>
      <c r="N503" s="38"/>
      <c r="O503" s="38"/>
      <c r="P503" s="38"/>
      <c r="Q503" s="38"/>
      <c r="R503" s="38"/>
      <c r="S503" s="38"/>
      <c r="T503" s="38"/>
      <c r="U503" s="38"/>
      <c r="V503" s="38"/>
      <c r="W503" s="38"/>
      <c r="X503" s="38"/>
    </row>
    <row r="504" spans="1:24" ht="13.5" customHeight="1">
      <c r="A504" s="33">
        <v>22110301</v>
      </c>
      <c r="B504" s="33" t="s">
        <v>509</v>
      </c>
      <c r="C504" s="24">
        <f>35000000+2050000</f>
        <v>37050000</v>
      </c>
      <c r="D504" s="37"/>
      <c r="E504" s="38"/>
      <c r="F504" s="38"/>
      <c r="G504" s="39"/>
      <c r="H504" s="38"/>
      <c r="I504" s="38"/>
      <c r="J504" s="38"/>
      <c r="K504" s="38"/>
      <c r="L504" s="38"/>
      <c r="M504" s="38"/>
      <c r="N504" s="38"/>
      <c r="O504" s="38"/>
      <c r="P504" s="38"/>
      <c r="Q504" s="38"/>
      <c r="R504" s="38"/>
      <c r="S504" s="38"/>
      <c r="T504" s="38"/>
      <c r="U504" s="38"/>
      <c r="V504" s="38"/>
      <c r="W504" s="38"/>
      <c r="X504" s="38"/>
    </row>
    <row r="505" spans="1:24" s="831" customFormat="1" ht="13.5" customHeight="1">
      <c r="A505" s="48">
        <v>221104</v>
      </c>
      <c r="B505" s="76" t="s">
        <v>510</v>
      </c>
      <c r="C505" s="36">
        <f>C506</f>
        <v>465000</v>
      </c>
      <c r="D505" s="37"/>
      <c r="E505" s="38"/>
      <c r="F505" s="38"/>
      <c r="G505" s="39"/>
      <c r="H505" s="38"/>
      <c r="I505" s="38"/>
      <c r="J505" s="38"/>
      <c r="K505" s="38"/>
      <c r="L505" s="38"/>
      <c r="M505" s="38"/>
      <c r="N505" s="38"/>
      <c r="O505" s="38"/>
      <c r="P505" s="38"/>
      <c r="Q505" s="38"/>
      <c r="R505" s="38"/>
      <c r="S505" s="38"/>
      <c r="T505" s="38"/>
      <c r="U505" s="38"/>
      <c r="V505" s="38"/>
      <c r="W505" s="38"/>
      <c r="X505" s="38"/>
    </row>
    <row r="506" spans="1:24" ht="13.5" customHeight="1">
      <c r="A506" s="33">
        <v>22110401</v>
      </c>
      <c r="B506" s="23" t="s">
        <v>511</v>
      </c>
      <c r="C506" s="24">
        <v>465000</v>
      </c>
      <c r="D506" s="37"/>
      <c r="E506" s="38"/>
      <c r="F506" s="38"/>
      <c r="G506" s="39"/>
      <c r="H506" s="38"/>
      <c r="I506" s="38"/>
      <c r="J506" s="38"/>
      <c r="K506" s="38"/>
      <c r="L506" s="38"/>
      <c r="M506" s="38"/>
      <c r="N506" s="38"/>
      <c r="O506" s="38"/>
      <c r="P506" s="38"/>
      <c r="Q506" s="38"/>
      <c r="R506" s="38"/>
      <c r="S506" s="38"/>
      <c r="T506" s="38"/>
      <c r="U506" s="38"/>
      <c r="V506" s="38"/>
      <c r="W506" s="38"/>
      <c r="X506" s="38"/>
    </row>
    <row r="507" spans="1:24" s="831" customFormat="1" ht="13.5" customHeight="1">
      <c r="A507" s="76">
        <v>221107</v>
      </c>
      <c r="B507" s="21" t="s">
        <v>514</v>
      </c>
      <c r="C507" s="26">
        <f>C508</f>
        <v>22000</v>
      </c>
      <c r="D507" s="37"/>
      <c r="E507" s="38"/>
      <c r="F507" s="38"/>
      <c r="G507" s="39"/>
      <c r="H507" s="38"/>
      <c r="I507" s="38"/>
      <c r="J507" s="38"/>
      <c r="K507" s="38"/>
      <c r="L507" s="38"/>
      <c r="M507" s="38"/>
      <c r="N507" s="38"/>
      <c r="O507" s="38"/>
      <c r="P507" s="38"/>
      <c r="Q507" s="38"/>
      <c r="R507" s="38"/>
      <c r="S507" s="38"/>
      <c r="T507" s="38"/>
      <c r="U507" s="38"/>
      <c r="V507" s="38"/>
      <c r="W507" s="38"/>
      <c r="X507" s="38"/>
    </row>
    <row r="508" spans="1:24" ht="13.5" customHeight="1">
      <c r="A508" s="154">
        <v>22110702</v>
      </c>
      <c r="B508" s="23" t="s">
        <v>515</v>
      </c>
      <c r="C508" s="72">
        <v>22000</v>
      </c>
      <c r="D508" s="37"/>
      <c r="E508" s="38"/>
      <c r="F508" s="38"/>
      <c r="G508" s="39"/>
      <c r="H508" s="38"/>
      <c r="I508" s="38"/>
      <c r="J508" s="38"/>
      <c r="K508" s="38"/>
      <c r="L508" s="38"/>
      <c r="M508" s="38"/>
      <c r="N508" s="38"/>
      <c r="O508" s="38"/>
      <c r="P508" s="38"/>
      <c r="Q508" s="38"/>
      <c r="R508" s="38"/>
      <c r="S508" s="38"/>
      <c r="T508" s="38"/>
      <c r="U508" s="38"/>
      <c r="V508" s="38"/>
      <c r="W508" s="38"/>
      <c r="X508" s="38"/>
    </row>
    <row r="509" spans="1:24" ht="13.5" customHeight="1">
      <c r="A509" s="75"/>
      <c r="B509" s="100"/>
      <c r="C509" s="36"/>
      <c r="D509" s="37"/>
      <c r="E509" s="38"/>
      <c r="F509" s="38"/>
      <c r="G509" s="39"/>
      <c r="H509" s="38"/>
      <c r="I509" s="38"/>
      <c r="J509" s="38"/>
      <c r="K509" s="38"/>
      <c r="L509" s="38"/>
      <c r="M509" s="38"/>
      <c r="N509" s="38"/>
      <c r="O509" s="38"/>
      <c r="P509" s="38"/>
      <c r="Q509" s="38"/>
      <c r="R509" s="38"/>
      <c r="S509" s="38"/>
      <c r="T509" s="38"/>
      <c r="U509" s="38"/>
      <c r="V509" s="38"/>
      <c r="W509" s="38"/>
      <c r="X509" s="38"/>
    </row>
    <row r="510" spans="1:24" ht="13.5" customHeight="1" thickBot="1">
      <c r="A510" s="100"/>
      <c r="B510" s="100"/>
      <c r="C510" s="162"/>
      <c r="D510" s="37"/>
      <c r="E510" s="35"/>
      <c r="F510" s="35"/>
      <c r="G510" s="126"/>
      <c r="H510" s="35"/>
      <c r="I510" s="35"/>
      <c r="J510" s="35"/>
      <c r="K510" s="35"/>
      <c r="L510" s="35"/>
      <c r="M510" s="35"/>
      <c r="N510" s="35"/>
      <c r="O510" s="35"/>
      <c r="P510" s="35"/>
      <c r="Q510" s="35"/>
      <c r="R510" s="35"/>
      <c r="S510" s="35"/>
      <c r="T510" s="35"/>
      <c r="U510" s="35"/>
      <c r="V510" s="35"/>
      <c r="W510" s="35"/>
      <c r="X510" s="35"/>
    </row>
    <row r="511" spans="1:24" ht="13.5" customHeight="1">
      <c r="A511" s="1383" t="s">
        <v>757</v>
      </c>
      <c r="B511" s="1384"/>
      <c r="C511" s="1153">
        <v>1610</v>
      </c>
      <c r="D511" s="37"/>
      <c r="E511" s="35"/>
      <c r="F511" s="35"/>
      <c r="G511" s="126"/>
      <c r="H511" s="35"/>
      <c r="I511" s="35"/>
      <c r="J511" s="35"/>
      <c r="K511" s="35"/>
      <c r="L511" s="35"/>
      <c r="M511" s="35"/>
      <c r="N511" s="35"/>
      <c r="O511" s="35"/>
      <c r="P511" s="35"/>
      <c r="Q511" s="35"/>
      <c r="R511" s="35"/>
      <c r="S511" s="35"/>
      <c r="T511" s="35"/>
      <c r="U511" s="35"/>
      <c r="V511" s="35"/>
      <c r="W511" s="35"/>
      <c r="X511" s="35"/>
    </row>
    <row r="512" spans="1:24" ht="13.5" customHeight="1" thickBot="1">
      <c r="A512" s="1385"/>
      <c r="B512" s="1386"/>
      <c r="C512" s="1196"/>
      <c r="D512" s="37"/>
      <c r="E512" s="35"/>
      <c r="F512" s="35"/>
      <c r="G512" s="126"/>
      <c r="H512" s="35"/>
      <c r="I512" s="35"/>
      <c r="J512" s="35"/>
      <c r="K512" s="35"/>
      <c r="L512" s="35"/>
      <c r="M512" s="35"/>
      <c r="N512" s="35"/>
      <c r="O512" s="35"/>
      <c r="P512" s="35"/>
      <c r="Q512" s="35"/>
      <c r="R512" s="35"/>
      <c r="S512" s="35"/>
      <c r="T512" s="35"/>
      <c r="U512" s="35"/>
      <c r="V512" s="35"/>
      <c r="W512" s="35"/>
      <c r="X512" s="35"/>
    </row>
    <row r="513" spans="1:24" ht="13.5" customHeight="1">
      <c r="A513" s="609" t="s">
        <v>671</v>
      </c>
      <c r="B513" s="612"/>
      <c r="C513" s="626"/>
      <c r="D513" s="37"/>
      <c r="E513" s="35"/>
      <c r="F513" s="35"/>
      <c r="G513" s="126"/>
      <c r="H513" s="35"/>
      <c r="I513" s="35"/>
      <c r="J513" s="35"/>
      <c r="K513" s="35"/>
      <c r="L513" s="35"/>
      <c r="M513" s="35"/>
      <c r="N513" s="35"/>
      <c r="O513" s="35"/>
      <c r="P513" s="35"/>
      <c r="Q513" s="35"/>
      <c r="R513" s="35"/>
      <c r="S513" s="35"/>
      <c r="T513" s="35"/>
      <c r="U513" s="35"/>
      <c r="V513" s="35"/>
      <c r="W513" s="35"/>
      <c r="X513" s="35"/>
    </row>
    <row r="514" spans="1:24" ht="13.5" customHeight="1">
      <c r="A514" s="609" t="s">
        <v>753</v>
      </c>
      <c r="B514" s="612"/>
      <c r="C514" s="626"/>
      <c r="D514" s="37"/>
      <c r="E514" s="35"/>
      <c r="F514" s="35"/>
      <c r="G514" s="126"/>
      <c r="H514" s="35"/>
      <c r="I514" s="35"/>
      <c r="J514" s="35"/>
      <c r="K514" s="35"/>
      <c r="L514" s="35"/>
      <c r="M514" s="35"/>
      <c r="N514" s="35"/>
      <c r="O514" s="35"/>
      <c r="P514" s="35"/>
      <c r="Q514" s="35"/>
      <c r="R514" s="35"/>
      <c r="S514" s="35"/>
      <c r="T514" s="35"/>
      <c r="U514" s="35"/>
      <c r="V514" s="35"/>
      <c r="W514" s="35"/>
      <c r="X514" s="35"/>
    </row>
    <row r="515" spans="1:24" ht="13.5" customHeight="1">
      <c r="A515" s="609" t="s">
        <v>754</v>
      </c>
      <c r="B515" s="612"/>
      <c r="C515" s="626"/>
      <c r="D515" s="37"/>
      <c r="E515" s="35"/>
      <c r="F515" s="35"/>
      <c r="G515" s="126"/>
      <c r="H515" s="35"/>
      <c r="I515" s="35"/>
      <c r="J515" s="35"/>
      <c r="K515" s="35"/>
      <c r="L515" s="35"/>
      <c r="M515" s="35"/>
      <c r="N515" s="35"/>
      <c r="O515" s="35"/>
      <c r="P515" s="35"/>
      <c r="Q515" s="35"/>
      <c r="R515" s="35"/>
      <c r="S515" s="35"/>
      <c r="T515" s="35"/>
      <c r="U515" s="35"/>
      <c r="V515" s="35"/>
      <c r="W515" s="35"/>
      <c r="X515" s="35"/>
    </row>
    <row r="516" spans="1:24" ht="13.5" customHeight="1" thickBot="1">
      <c r="A516" s="1089" t="s">
        <v>59</v>
      </c>
      <c r="B516" s="612"/>
      <c r="C516" s="626"/>
      <c r="D516" s="37"/>
      <c r="E516" s="35"/>
      <c r="F516" s="35"/>
      <c r="G516" s="126"/>
      <c r="H516" s="35"/>
      <c r="I516" s="35"/>
      <c r="J516" s="35"/>
      <c r="K516" s="35"/>
      <c r="L516" s="35"/>
      <c r="M516" s="35"/>
      <c r="N516" s="35"/>
      <c r="O516" s="35"/>
      <c r="P516" s="35"/>
      <c r="Q516" s="35"/>
      <c r="R516" s="35"/>
      <c r="S516" s="35"/>
      <c r="T516" s="35"/>
      <c r="U516" s="35"/>
      <c r="V516" s="35"/>
      <c r="W516" s="35"/>
      <c r="X516" s="35"/>
    </row>
    <row r="517" spans="1:24" ht="13.5" customHeight="1" thickBot="1">
      <c r="A517" s="1171" t="s">
        <v>60</v>
      </c>
      <c r="B517" s="1197"/>
      <c r="C517" s="1033">
        <f>(C519+C532+C546)</f>
        <v>78371400</v>
      </c>
      <c r="D517" s="37"/>
      <c r="E517" s="35"/>
      <c r="F517" s="35"/>
      <c r="G517" s="126"/>
      <c r="H517" s="35"/>
      <c r="I517" s="35"/>
      <c r="J517" s="35"/>
      <c r="K517" s="35"/>
      <c r="L517" s="35"/>
      <c r="M517" s="35"/>
      <c r="N517" s="35"/>
      <c r="O517" s="35"/>
      <c r="P517" s="35"/>
      <c r="Q517" s="35"/>
      <c r="R517" s="35"/>
      <c r="S517" s="35"/>
      <c r="T517" s="35"/>
      <c r="U517" s="35"/>
      <c r="V517" s="35"/>
      <c r="W517" s="35"/>
      <c r="X517" s="35"/>
    </row>
    <row r="518" spans="1:24" ht="13.5" customHeight="1" thickBot="1">
      <c r="A518" s="75"/>
      <c r="B518" s="100"/>
      <c r="C518" s="36"/>
      <c r="D518" s="37"/>
      <c r="E518" s="35"/>
      <c r="F518" s="35"/>
      <c r="G518" s="126"/>
      <c r="H518" s="35"/>
      <c r="I518" s="35"/>
      <c r="J518" s="35"/>
      <c r="K518" s="35"/>
      <c r="L518" s="35"/>
      <c r="M518" s="35"/>
      <c r="N518" s="35"/>
      <c r="O518" s="35"/>
      <c r="P518" s="35"/>
      <c r="Q518" s="35"/>
      <c r="R518" s="35"/>
      <c r="S518" s="35"/>
      <c r="T518" s="35"/>
      <c r="U518" s="35"/>
      <c r="V518" s="35"/>
      <c r="W518" s="35"/>
      <c r="X518" s="35"/>
    </row>
    <row r="519" spans="1:24" ht="13.5" customHeight="1" thickBot="1">
      <c r="A519" s="1297" t="s">
        <v>9</v>
      </c>
      <c r="B519" s="1281"/>
      <c r="C519" s="62">
        <f>(C520+C522+C526+C528+C524)</f>
        <v>8015000</v>
      </c>
      <c r="D519" s="37"/>
      <c r="E519" s="35"/>
      <c r="F519" s="35"/>
      <c r="G519" s="126"/>
      <c r="H519" s="35"/>
      <c r="I519" s="35"/>
      <c r="J519" s="35"/>
      <c r="K519" s="35"/>
      <c r="L519" s="35"/>
      <c r="M519" s="35"/>
      <c r="N519" s="35"/>
      <c r="O519" s="35"/>
      <c r="P519" s="35"/>
      <c r="Q519" s="35"/>
      <c r="R519" s="35"/>
      <c r="S519" s="35"/>
      <c r="T519" s="35"/>
      <c r="U519" s="35"/>
      <c r="V519" s="35"/>
      <c r="W519" s="35"/>
      <c r="X519" s="35"/>
    </row>
    <row r="520" spans="1:24" s="831" customFormat="1" ht="13.5" customHeight="1">
      <c r="A520" s="48">
        <v>211201</v>
      </c>
      <c r="B520" s="76" t="s">
        <v>459</v>
      </c>
      <c r="C520" s="49">
        <f>SUM(C521)</f>
        <v>825000</v>
      </c>
      <c r="D520" s="37"/>
      <c r="E520" s="38"/>
      <c r="F520" s="38"/>
      <c r="G520" s="39"/>
      <c r="H520" s="38"/>
      <c r="I520" s="38"/>
      <c r="J520" s="38"/>
      <c r="K520" s="38"/>
      <c r="L520" s="38"/>
      <c r="M520" s="38"/>
      <c r="N520" s="38"/>
      <c r="O520" s="38"/>
      <c r="P520" s="38"/>
      <c r="Q520" s="38"/>
      <c r="R520" s="38"/>
      <c r="S520" s="38"/>
      <c r="T520" s="38"/>
      <c r="U520" s="38"/>
      <c r="V520" s="38"/>
      <c r="W520" s="38"/>
      <c r="X520" s="38"/>
    </row>
    <row r="521" spans="1:24" ht="13.5" customHeight="1">
      <c r="A521" s="33">
        <v>21120101</v>
      </c>
      <c r="B521" s="23" t="s">
        <v>460</v>
      </c>
      <c r="C521" s="163">
        <f>800000+25000</f>
        <v>825000</v>
      </c>
      <c r="D521" s="37"/>
      <c r="E521" s="35"/>
      <c r="F521" s="35"/>
      <c r="G521" s="126"/>
      <c r="H521" s="35"/>
      <c r="I521" s="35"/>
      <c r="J521" s="35"/>
      <c r="K521" s="35"/>
      <c r="L521" s="35"/>
      <c r="M521" s="35"/>
      <c r="N521" s="35"/>
      <c r="O521" s="35"/>
      <c r="P521" s="35"/>
      <c r="Q521" s="35"/>
      <c r="R521" s="35"/>
      <c r="S521" s="35"/>
      <c r="T521" s="35"/>
      <c r="U521" s="35"/>
      <c r="V521" s="35"/>
      <c r="W521" s="35"/>
      <c r="X521" s="35"/>
    </row>
    <row r="522" spans="1:24" s="831" customFormat="1" ht="13.5" customHeight="1">
      <c r="A522" s="48">
        <v>211204</v>
      </c>
      <c r="B522" s="21" t="s">
        <v>463</v>
      </c>
      <c r="C522" s="26">
        <f>SUM(C523)</f>
        <v>450000</v>
      </c>
      <c r="D522" s="37"/>
      <c r="E522" s="38"/>
      <c r="F522" s="38"/>
      <c r="G522" s="39"/>
      <c r="H522" s="38"/>
      <c r="I522" s="38"/>
      <c r="J522" s="38"/>
      <c r="K522" s="38"/>
      <c r="L522" s="38"/>
      <c r="M522" s="38"/>
      <c r="N522" s="38"/>
      <c r="O522" s="38"/>
      <c r="P522" s="38"/>
      <c r="Q522" s="38"/>
      <c r="R522" s="38"/>
      <c r="S522" s="38"/>
      <c r="T522" s="38"/>
      <c r="U522" s="38"/>
      <c r="V522" s="38"/>
      <c r="W522" s="38"/>
      <c r="X522" s="38"/>
    </row>
    <row r="523" spans="1:24" ht="13.5" customHeight="1">
      <c r="A523" s="33">
        <v>21120401</v>
      </c>
      <c r="B523" s="24" t="s">
        <v>464</v>
      </c>
      <c r="C523" s="51">
        <v>450000</v>
      </c>
      <c r="D523" s="37"/>
      <c r="E523" s="35"/>
      <c r="F523" s="35"/>
      <c r="G523" s="126"/>
      <c r="H523" s="35"/>
      <c r="I523" s="35"/>
      <c r="J523" s="35"/>
      <c r="K523" s="35"/>
      <c r="L523" s="35"/>
      <c r="M523" s="35"/>
      <c r="N523" s="35"/>
      <c r="O523" s="35"/>
      <c r="P523" s="35"/>
      <c r="Q523" s="35"/>
      <c r="R523" s="35"/>
      <c r="S523" s="35"/>
      <c r="T523" s="35"/>
      <c r="U523" s="35"/>
      <c r="V523" s="35"/>
      <c r="W523" s="35"/>
      <c r="X523" s="35"/>
    </row>
    <row r="524" spans="1:24" s="831" customFormat="1" ht="13.5" customHeight="1">
      <c r="A524" s="48">
        <v>211207</v>
      </c>
      <c r="B524" s="15" t="s">
        <v>467</v>
      </c>
      <c r="C524" s="26">
        <f>SUM(C525)</f>
        <v>350000</v>
      </c>
      <c r="D524" s="37"/>
      <c r="E524" s="38"/>
      <c r="F524" s="38"/>
      <c r="G524" s="39"/>
      <c r="H524" s="38"/>
      <c r="I524" s="38"/>
      <c r="J524" s="38"/>
      <c r="K524" s="38"/>
      <c r="L524" s="38"/>
      <c r="M524" s="38"/>
      <c r="N524" s="38"/>
      <c r="O524" s="38"/>
      <c r="P524" s="38"/>
      <c r="Q524" s="38"/>
      <c r="R524" s="38"/>
      <c r="S524" s="38"/>
      <c r="T524" s="38"/>
      <c r="U524" s="38"/>
      <c r="V524" s="38"/>
      <c r="W524" s="38"/>
      <c r="X524" s="38"/>
    </row>
    <row r="525" spans="1:24" ht="13.5" customHeight="1">
      <c r="A525" s="33">
        <v>21120707</v>
      </c>
      <c r="B525" s="24" t="s">
        <v>516</v>
      </c>
      <c r="C525" s="24">
        <f>250000+100000</f>
        <v>350000</v>
      </c>
      <c r="D525" s="37"/>
      <c r="E525" s="35"/>
      <c r="F525" s="35"/>
      <c r="G525" s="126"/>
      <c r="H525" s="35"/>
      <c r="I525" s="35"/>
      <c r="J525" s="35"/>
      <c r="K525" s="35"/>
      <c r="L525" s="35"/>
      <c r="M525" s="35"/>
      <c r="N525" s="35"/>
      <c r="O525" s="35"/>
      <c r="P525" s="35"/>
      <c r="Q525" s="35"/>
      <c r="R525" s="35"/>
      <c r="S525" s="35"/>
      <c r="T525" s="35"/>
      <c r="U525" s="35"/>
      <c r="V525" s="35"/>
      <c r="W525" s="35"/>
      <c r="X525" s="35"/>
    </row>
    <row r="526" spans="1:24" s="831" customFormat="1" ht="13.5" customHeight="1">
      <c r="A526" s="48">
        <v>211208</v>
      </c>
      <c r="B526" s="26" t="s">
        <v>474</v>
      </c>
      <c r="C526" s="26">
        <f>SUM(C527)</f>
        <v>120000</v>
      </c>
      <c r="D526" s="37"/>
      <c r="E526" s="38"/>
      <c r="F526" s="38"/>
      <c r="G526" s="39"/>
      <c r="H526" s="38"/>
      <c r="I526" s="38"/>
      <c r="J526" s="38"/>
      <c r="K526" s="38"/>
      <c r="L526" s="38"/>
      <c r="M526" s="38"/>
      <c r="N526" s="38"/>
      <c r="O526" s="38"/>
      <c r="P526" s="38"/>
      <c r="Q526" s="38"/>
      <c r="R526" s="38"/>
      <c r="S526" s="38"/>
      <c r="T526" s="38"/>
      <c r="U526" s="38"/>
      <c r="V526" s="38"/>
      <c r="W526" s="38"/>
      <c r="X526" s="38"/>
    </row>
    <row r="527" spans="1:24" ht="13.5" customHeight="1">
      <c r="A527" s="33">
        <v>21120805</v>
      </c>
      <c r="B527" s="24" t="s">
        <v>476</v>
      </c>
      <c r="C527" s="24">
        <f>50000+70000</f>
        <v>120000</v>
      </c>
      <c r="D527" s="37"/>
      <c r="E527" s="35"/>
      <c r="F527" s="35"/>
      <c r="G527" s="126"/>
      <c r="H527" s="35"/>
      <c r="I527" s="35"/>
      <c r="J527" s="35"/>
      <c r="K527" s="35"/>
      <c r="L527" s="35"/>
      <c r="M527" s="35"/>
      <c r="N527" s="35"/>
      <c r="O527" s="35"/>
      <c r="P527" s="35"/>
      <c r="Q527" s="35"/>
      <c r="R527" s="35"/>
      <c r="S527" s="35"/>
      <c r="T527" s="35"/>
      <c r="U527" s="35"/>
      <c r="V527" s="35"/>
      <c r="W527" s="35"/>
      <c r="X527" s="35"/>
    </row>
    <row r="528" spans="1:24" s="831" customFormat="1" ht="13.5" customHeight="1">
      <c r="A528" s="48">
        <v>211209</v>
      </c>
      <c r="B528" s="26" t="s">
        <v>477</v>
      </c>
      <c r="C528" s="26">
        <f>SUM(C529:C530)</f>
        <v>6270000</v>
      </c>
      <c r="D528" s="37"/>
      <c r="E528" s="38"/>
      <c r="F528" s="38"/>
      <c r="G528" s="39"/>
      <c r="H528" s="38"/>
      <c r="I528" s="38"/>
      <c r="J528" s="38"/>
      <c r="K528" s="38"/>
      <c r="L528" s="38"/>
      <c r="M528" s="38"/>
      <c r="N528" s="38"/>
      <c r="O528" s="38"/>
      <c r="P528" s="38"/>
      <c r="Q528" s="38"/>
      <c r="R528" s="38"/>
      <c r="S528" s="38"/>
      <c r="T528" s="38"/>
      <c r="U528" s="38"/>
      <c r="V528" s="38"/>
      <c r="W528" s="38"/>
      <c r="X528" s="38"/>
    </row>
    <row r="529" spans="1:24" ht="13.5" customHeight="1">
      <c r="A529" s="33">
        <v>21120901</v>
      </c>
      <c r="B529" s="24" t="s">
        <v>478</v>
      </c>
      <c r="C529" s="24">
        <f>2500000+25000</f>
        <v>2525000</v>
      </c>
      <c r="D529" s="37"/>
      <c r="E529" s="35"/>
      <c r="F529" s="35"/>
      <c r="G529" s="126"/>
      <c r="H529" s="35"/>
      <c r="I529" s="35"/>
      <c r="J529" s="35"/>
      <c r="K529" s="35"/>
      <c r="L529" s="35"/>
      <c r="M529" s="35"/>
      <c r="N529" s="35"/>
      <c r="O529" s="35"/>
      <c r="P529" s="35"/>
      <c r="Q529" s="35"/>
      <c r="R529" s="35"/>
      <c r="S529" s="35"/>
      <c r="T529" s="35"/>
      <c r="U529" s="35"/>
      <c r="V529" s="35"/>
      <c r="W529" s="35"/>
      <c r="X529" s="35"/>
    </row>
    <row r="530" spans="1:24" ht="13.5" customHeight="1">
      <c r="A530" s="33">
        <v>21120906</v>
      </c>
      <c r="B530" s="24" t="s">
        <v>479</v>
      </c>
      <c r="C530" s="51">
        <f>5000000+45000-1300000</f>
        <v>3745000</v>
      </c>
      <c r="D530" s="37"/>
      <c r="E530" s="35"/>
      <c r="F530" s="35"/>
      <c r="G530" s="126"/>
      <c r="H530" s="35"/>
      <c r="I530" s="35"/>
      <c r="J530" s="35"/>
      <c r="K530" s="35"/>
      <c r="L530" s="35"/>
      <c r="M530" s="35"/>
      <c r="N530" s="35"/>
      <c r="O530" s="35"/>
      <c r="P530" s="35"/>
      <c r="Q530" s="35"/>
      <c r="R530" s="35"/>
      <c r="S530" s="35"/>
      <c r="T530" s="35"/>
      <c r="U530" s="35"/>
      <c r="V530" s="35"/>
      <c r="W530" s="35"/>
      <c r="X530" s="35"/>
    </row>
    <row r="531" spans="1:24" ht="13.5" customHeight="1" thickBot="1">
      <c r="A531" s="23"/>
      <c r="B531" s="24"/>
      <c r="C531" s="24"/>
      <c r="D531" s="37"/>
      <c r="E531" s="35"/>
      <c r="F531" s="35"/>
      <c r="G531" s="126"/>
      <c r="H531" s="35"/>
      <c r="I531" s="35"/>
      <c r="J531" s="35"/>
      <c r="K531" s="35"/>
      <c r="L531" s="35"/>
      <c r="M531" s="35"/>
      <c r="N531" s="35"/>
      <c r="O531" s="35"/>
      <c r="P531" s="35"/>
      <c r="Q531" s="35"/>
      <c r="R531" s="35"/>
      <c r="S531" s="35"/>
      <c r="T531" s="35"/>
      <c r="U531" s="35"/>
      <c r="V531" s="35"/>
      <c r="W531" s="35"/>
      <c r="X531" s="35"/>
    </row>
    <row r="532" spans="1:24" ht="13.5" customHeight="1" thickBot="1">
      <c r="A532" s="1298" t="s">
        <v>4</v>
      </c>
      <c r="B532" s="1281"/>
      <c r="C532" s="64">
        <f>(C533+C535+C538+C540)</f>
        <v>70301400</v>
      </c>
      <c r="D532" s="37"/>
      <c r="E532" s="35"/>
      <c r="F532" s="35"/>
      <c r="G532" s="126"/>
      <c r="H532" s="35"/>
      <c r="I532" s="35"/>
      <c r="J532" s="35"/>
      <c r="K532" s="35"/>
      <c r="L532" s="35"/>
      <c r="M532" s="35"/>
      <c r="N532" s="35"/>
      <c r="O532" s="35"/>
      <c r="P532" s="35"/>
      <c r="Q532" s="35"/>
      <c r="R532" s="35"/>
      <c r="S532" s="35"/>
      <c r="T532" s="35"/>
      <c r="U532" s="35"/>
      <c r="V532" s="35"/>
      <c r="W532" s="35"/>
      <c r="X532" s="35"/>
    </row>
    <row r="533" spans="1:24" s="831" customFormat="1" ht="13.5" customHeight="1">
      <c r="A533" s="48">
        <v>211303</v>
      </c>
      <c r="B533" s="21" t="s">
        <v>484</v>
      </c>
      <c r="C533" s="26">
        <f>SUM(C534)</f>
        <v>50000</v>
      </c>
      <c r="D533" s="37"/>
      <c r="E533" s="38"/>
      <c r="F533" s="38"/>
      <c r="G533" s="39"/>
      <c r="H533" s="38"/>
      <c r="I533" s="38"/>
      <c r="J533" s="38"/>
      <c r="K533" s="38"/>
      <c r="L533" s="38"/>
      <c r="M533" s="38"/>
      <c r="N533" s="38"/>
      <c r="O533" s="38"/>
      <c r="P533" s="38"/>
      <c r="Q533" s="38"/>
      <c r="R533" s="38"/>
      <c r="S533" s="38"/>
      <c r="T533" s="38"/>
      <c r="U533" s="38"/>
      <c r="V533" s="38"/>
      <c r="W533" s="38"/>
      <c r="X533" s="38"/>
    </row>
    <row r="534" spans="1:24" ht="13.5" customHeight="1">
      <c r="A534" s="33">
        <v>21130307</v>
      </c>
      <c r="B534" s="23" t="s">
        <v>488</v>
      </c>
      <c r="C534" s="51">
        <v>50000</v>
      </c>
      <c r="D534" s="37"/>
      <c r="E534" s="35"/>
      <c r="F534" s="35"/>
      <c r="G534" s="126"/>
      <c r="H534" s="35"/>
      <c r="I534" s="35"/>
      <c r="J534" s="35"/>
      <c r="K534" s="35"/>
      <c r="L534" s="35"/>
      <c r="M534" s="35"/>
      <c r="N534" s="35"/>
      <c r="O534" s="35"/>
      <c r="P534" s="35"/>
      <c r="Q534" s="35"/>
      <c r="R534" s="35"/>
      <c r="S534" s="35"/>
      <c r="T534" s="35"/>
      <c r="U534" s="35"/>
      <c r="V534" s="35"/>
      <c r="W534" s="35"/>
      <c r="X534" s="35"/>
    </row>
    <row r="535" spans="1:24" s="831" customFormat="1" ht="13.5" customHeight="1">
      <c r="A535" s="48">
        <v>211305</v>
      </c>
      <c r="B535" s="21" t="s">
        <v>489</v>
      </c>
      <c r="C535" s="26">
        <f>SUM(C536:C537)</f>
        <v>2188500</v>
      </c>
      <c r="D535" s="37"/>
      <c r="E535" s="38"/>
      <c r="F535" s="38"/>
      <c r="G535" s="39"/>
      <c r="H535" s="38"/>
      <c r="I535" s="38"/>
      <c r="J535" s="38"/>
      <c r="K535" s="38"/>
      <c r="L535" s="38"/>
      <c r="M535" s="38"/>
      <c r="N535" s="38"/>
      <c r="O535" s="38"/>
      <c r="P535" s="38"/>
      <c r="Q535" s="38"/>
      <c r="R535" s="38"/>
      <c r="S535" s="38"/>
      <c r="T535" s="38"/>
      <c r="U535" s="38"/>
      <c r="V535" s="38"/>
      <c r="W535" s="38"/>
      <c r="X535" s="38"/>
    </row>
    <row r="536" spans="1:24" ht="13.5" customHeight="1">
      <c r="A536" s="33">
        <v>21130501</v>
      </c>
      <c r="B536" s="13" t="s">
        <v>490</v>
      </c>
      <c r="C536" s="24">
        <f>100000+8500</f>
        <v>108500</v>
      </c>
      <c r="D536" s="37"/>
      <c r="E536" s="35"/>
      <c r="F536" s="35"/>
      <c r="G536" s="126"/>
      <c r="H536" s="35"/>
      <c r="I536" s="35"/>
      <c r="J536" s="35"/>
      <c r="K536" s="35"/>
      <c r="L536" s="35"/>
      <c r="M536" s="35"/>
      <c r="N536" s="35"/>
      <c r="O536" s="35"/>
      <c r="P536" s="35"/>
      <c r="Q536" s="35"/>
      <c r="R536" s="35"/>
      <c r="S536" s="35"/>
      <c r="T536" s="35"/>
      <c r="U536" s="35"/>
      <c r="V536" s="35"/>
      <c r="W536" s="35"/>
      <c r="X536" s="35"/>
    </row>
    <row r="537" spans="1:24" ht="13.5" customHeight="1">
      <c r="A537" s="33">
        <v>21130502</v>
      </c>
      <c r="B537" s="24" t="s">
        <v>491</v>
      </c>
      <c r="C537" s="51">
        <v>2080000</v>
      </c>
      <c r="D537" s="37"/>
      <c r="E537" s="35"/>
      <c r="F537" s="35"/>
      <c r="G537" s="126"/>
      <c r="H537" s="35"/>
      <c r="I537" s="35"/>
      <c r="J537" s="35"/>
      <c r="K537" s="35"/>
      <c r="L537" s="35"/>
      <c r="M537" s="35"/>
      <c r="N537" s="35"/>
      <c r="O537" s="35"/>
      <c r="P537" s="35"/>
      <c r="Q537" s="35"/>
      <c r="R537" s="35"/>
      <c r="S537" s="35"/>
      <c r="T537" s="35"/>
      <c r="U537" s="35"/>
      <c r="V537" s="35"/>
      <c r="W537" s="35"/>
      <c r="X537" s="35"/>
    </row>
    <row r="538" spans="1:24" s="831" customFormat="1" ht="13.5" customHeight="1">
      <c r="A538" s="48">
        <v>211306</v>
      </c>
      <c r="B538" s="26" t="s">
        <v>492</v>
      </c>
      <c r="C538" s="26">
        <f>SUM(C539)</f>
        <v>62500</v>
      </c>
      <c r="D538" s="37"/>
      <c r="E538" s="38"/>
      <c r="F538" s="38"/>
      <c r="G538" s="39"/>
      <c r="H538" s="38"/>
      <c r="I538" s="38"/>
      <c r="J538" s="38"/>
      <c r="K538" s="38"/>
      <c r="L538" s="38"/>
      <c r="M538" s="38"/>
      <c r="N538" s="38"/>
      <c r="O538" s="38"/>
      <c r="P538" s="38"/>
      <c r="Q538" s="38"/>
      <c r="R538" s="38"/>
      <c r="S538" s="38"/>
      <c r="T538" s="38"/>
      <c r="U538" s="38"/>
      <c r="V538" s="38"/>
      <c r="W538" s="38"/>
      <c r="X538" s="38"/>
    </row>
    <row r="539" spans="1:24" ht="13.5" customHeight="1">
      <c r="A539" s="33">
        <v>21130607</v>
      </c>
      <c r="B539" s="24" t="s">
        <v>493</v>
      </c>
      <c r="C539" s="24">
        <f>50000+12500</f>
        <v>62500</v>
      </c>
      <c r="D539" s="37"/>
      <c r="E539" s="35"/>
      <c r="F539" s="35"/>
      <c r="G539" s="126"/>
      <c r="H539" s="35"/>
      <c r="I539" s="35"/>
      <c r="J539" s="35"/>
      <c r="K539" s="35"/>
      <c r="L539" s="35"/>
      <c r="M539" s="35"/>
      <c r="N539" s="35"/>
      <c r="O539" s="35"/>
      <c r="P539" s="35"/>
      <c r="Q539" s="35"/>
      <c r="R539" s="35"/>
      <c r="S539" s="35"/>
      <c r="T539" s="35"/>
      <c r="U539" s="35"/>
      <c r="V539" s="35"/>
      <c r="W539" s="35"/>
      <c r="X539" s="35"/>
    </row>
    <row r="540" spans="1:24" s="831" customFormat="1" ht="13.5" customHeight="1">
      <c r="A540" s="48">
        <v>211309</v>
      </c>
      <c r="B540" s="26" t="s">
        <v>496</v>
      </c>
      <c r="C540" s="26">
        <f>SUM(C541:C544)</f>
        <v>68000400</v>
      </c>
      <c r="D540" s="37"/>
      <c r="E540" s="38"/>
      <c r="F540" s="38"/>
      <c r="G540" s="39"/>
      <c r="H540" s="38"/>
      <c r="I540" s="38"/>
      <c r="J540" s="38"/>
      <c r="K540" s="38"/>
      <c r="L540" s="38"/>
      <c r="M540" s="38"/>
      <c r="N540" s="38"/>
      <c r="O540" s="38"/>
      <c r="P540" s="38"/>
      <c r="Q540" s="38"/>
      <c r="R540" s="38"/>
      <c r="S540" s="38"/>
      <c r="T540" s="38"/>
      <c r="U540" s="38"/>
      <c r="V540" s="38"/>
      <c r="W540" s="38"/>
      <c r="X540" s="38"/>
    </row>
    <row r="541" spans="1:24" ht="13.5" customHeight="1">
      <c r="A541" s="33">
        <v>21130901</v>
      </c>
      <c r="B541" s="24" t="s">
        <v>497</v>
      </c>
      <c r="C541" s="51">
        <v>50000</v>
      </c>
      <c r="D541" s="37"/>
      <c r="E541" s="35"/>
      <c r="F541" s="35"/>
      <c r="G541" s="126"/>
      <c r="H541" s="35"/>
      <c r="I541" s="35"/>
      <c r="J541" s="35"/>
      <c r="K541" s="35"/>
      <c r="L541" s="35"/>
      <c r="M541" s="35"/>
      <c r="N541" s="35"/>
      <c r="O541" s="35"/>
      <c r="P541" s="35"/>
      <c r="Q541" s="35"/>
      <c r="R541" s="35"/>
      <c r="S541" s="35"/>
      <c r="T541" s="35"/>
      <c r="U541" s="35"/>
      <c r="V541" s="35"/>
      <c r="W541" s="35"/>
      <c r="X541" s="35"/>
    </row>
    <row r="542" spans="1:24" ht="13.5" customHeight="1">
      <c r="A542" s="33">
        <v>21130902</v>
      </c>
      <c r="B542" s="24" t="s">
        <v>586</v>
      </c>
      <c r="C542" s="51">
        <f>70000000-2200000</f>
        <v>67800000</v>
      </c>
      <c r="D542" s="37"/>
      <c r="E542" s="35"/>
      <c r="F542" s="35"/>
      <c r="G542" s="126"/>
      <c r="H542" s="35"/>
      <c r="I542" s="35"/>
      <c r="J542" s="35"/>
      <c r="K542" s="35"/>
      <c r="L542" s="35"/>
      <c r="M542" s="35"/>
      <c r="N542" s="35"/>
      <c r="O542" s="35"/>
      <c r="P542" s="35"/>
      <c r="Q542" s="35"/>
      <c r="R542" s="35"/>
      <c r="S542" s="35"/>
      <c r="T542" s="35"/>
      <c r="U542" s="35"/>
      <c r="V542" s="35"/>
      <c r="W542" s="35"/>
      <c r="X542" s="35"/>
    </row>
    <row r="543" spans="1:24" ht="13.5" customHeight="1">
      <c r="A543" s="33">
        <v>21130903</v>
      </c>
      <c r="B543" s="24" t="s">
        <v>498</v>
      </c>
      <c r="C543" s="24">
        <f>50000+5400</f>
        <v>55400</v>
      </c>
      <c r="D543" s="37"/>
      <c r="E543" s="35"/>
      <c r="F543" s="35"/>
      <c r="G543" s="126"/>
      <c r="H543" s="35"/>
      <c r="I543" s="35"/>
      <c r="J543" s="35"/>
      <c r="K543" s="35"/>
      <c r="L543" s="35"/>
      <c r="M543" s="35"/>
      <c r="N543" s="35"/>
      <c r="O543" s="35"/>
      <c r="P543" s="35"/>
      <c r="Q543" s="35"/>
      <c r="R543" s="35"/>
      <c r="S543" s="35"/>
      <c r="T543" s="35"/>
      <c r="U543" s="35"/>
      <c r="V543" s="35"/>
      <c r="W543" s="35"/>
      <c r="X543" s="35"/>
    </row>
    <row r="544" spans="1:24" ht="13.5" customHeight="1">
      <c r="A544" s="33">
        <v>21130908</v>
      </c>
      <c r="B544" s="24" t="s">
        <v>500</v>
      </c>
      <c r="C544" s="24">
        <v>95000</v>
      </c>
      <c r="D544" s="37"/>
      <c r="E544" s="35"/>
      <c r="F544" s="35"/>
      <c r="G544" s="126"/>
      <c r="H544" s="35"/>
      <c r="I544" s="35"/>
      <c r="J544" s="35"/>
      <c r="K544" s="35"/>
      <c r="L544" s="35"/>
      <c r="M544" s="35"/>
      <c r="N544" s="35"/>
      <c r="O544" s="35"/>
      <c r="P544" s="35"/>
      <c r="Q544" s="35"/>
      <c r="R544" s="35"/>
      <c r="S544" s="35"/>
      <c r="T544" s="35"/>
      <c r="U544" s="35"/>
      <c r="V544" s="35"/>
      <c r="W544" s="35"/>
      <c r="X544" s="35"/>
    </row>
    <row r="545" spans="1:24" ht="13.5" customHeight="1" thickBot="1">
      <c r="A545" s="23"/>
      <c r="B545" s="24"/>
      <c r="C545" s="24"/>
      <c r="D545" s="37"/>
      <c r="E545" s="35"/>
      <c r="F545" s="35"/>
      <c r="G545" s="126"/>
      <c r="H545" s="35"/>
      <c r="I545" s="35"/>
      <c r="J545" s="35"/>
      <c r="K545" s="35"/>
      <c r="L545" s="35"/>
      <c r="M545" s="35"/>
      <c r="N545" s="35"/>
      <c r="O545" s="35"/>
      <c r="P545" s="35"/>
      <c r="Q545" s="35"/>
      <c r="R545" s="35"/>
      <c r="S545" s="35"/>
      <c r="T545" s="35"/>
      <c r="U545" s="35"/>
      <c r="V545" s="35"/>
      <c r="W545" s="35"/>
      <c r="X545" s="35"/>
    </row>
    <row r="546" spans="1:24" ht="13.5" customHeight="1" thickBot="1">
      <c r="A546" s="1299" t="s">
        <v>48</v>
      </c>
      <c r="B546" s="1281"/>
      <c r="C546" s="65">
        <f>+C547+C549</f>
        <v>55000</v>
      </c>
      <c r="D546" s="37"/>
      <c r="E546" s="35"/>
      <c r="F546" s="35"/>
      <c r="G546" s="126"/>
      <c r="H546" s="35"/>
      <c r="I546" s="35"/>
      <c r="J546" s="35"/>
      <c r="K546" s="35"/>
      <c r="L546" s="35"/>
      <c r="M546" s="35"/>
      <c r="N546" s="35"/>
      <c r="O546" s="35"/>
      <c r="P546" s="35"/>
      <c r="Q546" s="35"/>
      <c r="R546" s="35"/>
      <c r="S546" s="35"/>
      <c r="T546" s="35"/>
      <c r="U546" s="35"/>
      <c r="V546" s="35"/>
      <c r="W546" s="35"/>
      <c r="X546" s="35"/>
    </row>
    <row r="547" spans="1:24" s="831" customFormat="1" ht="13.5" customHeight="1">
      <c r="A547" s="48">
        <v>221104</v>
      </c>
      <c r="B547" s="76" t="s">
        <v>510</v>
      </c>
      <c r="C547" s="36">
        <f>SUM(C548)</f>
        <v>30000</v>
      </c>
      <c r="D547" s="37"/>
      <c r="E547" s="38"/>
      <c r="F547" s="38"/>
      <c r="G547" s="39"/>
      <c r="H547" s="38"/>
      <c r="I547" s="38"/>
      <c r="J547" s="38"/>
      <c r="K547" s="38"/>
      <c r="L547" s="38"/>
      <c r="M547" s="38"/>
      <c r="N547" s="38"/>
      <c r="O547" s="38"/>
      <c r="P547" s="38"/>
      <c r="Q547" s="38"/>
      <c r="R547" s="38"/>
      <c r="S547" s="38"/>
      <c r="T547" s="38"/>
      <c r="U547" s="38"/>
      <c r="V547" s="38"/>
      <c r="W547" s="38"/>
      <c r="X547" s="38"/>
    </row>
    <row r="548" spans="1:24" ht="13.5" customHeight="1">
      <c r="A548" s="33">
        <v>22110401</v>
      </c>
      <c r="B548" s="23" t="s">
        <v>511</v>
      </c>
      <c r="C548" s="51">
        <v>30000</v>
      </c>
      <c r="D548" s="37"/>
      <c r="E548" s="35"/>
      <c r="F548" s="35"/>
      <c r="G548" s="126"/>
      <c r="H548" s="35"/>
      <c r="I548" s="35"/>
      <c r="J548" s="35"/>
      <c r="K548" s="35"/>
      <c r="L548" s="35"/>
      <c r="M548" s="35"/>
      <c r="N548" s="35"/>
      <c r="O548" s="35"/>
      <c r="P548" s="35"/>
      <c r="Q548" s="35"/>
      <c r="R548" s="35"/>
      <c r="S548" s="35"/>
      <c r="T548" s="35"/>
      <c r="U548" s="35"/>
      <c r="V548" s="35"/>
      <c r="W548" s="35"/>
      <c r="X548" s="35"/>
    </row>
    <row r="549" spans="1:24" s="831" customFormat="1" ht="13.5" customHeight="1">
      <c r="A549" s="76">
        <v>221107</v>
      </c>
      <c r="B549" s="21" t="s">
        <v>514</v>
      </c>
      <c r="C549" s="26">
        <f>SUM(C550)</f>
        <v>25000</v>
      </c>
      <c r="D549" s="37"/>
      <c r="E549" s="38"/>
      <c r="F549" s="38"/>
      <c r="G549" s="39"/>
      <c r="H549" s="38"/>
      <c r="I549" s="38"/>
      <c r="J549" s="38"/>
      <c r="K549" s="38"/>
      <c r="L549" s="38"/>
      <c r="M549" s="38"/>
      <c r="N549" s="38"/>
      <c r="O549" s="38"/>
      <c r="P549" s="38"/>
      <c r="Q549" s="38"/>
      <c r="R549" s="38"/>
      <c r="S549" s="38"/>
      <c r="T549" s="38"/>
      <c r="U549" s="38"/>
      <c r="V549" s="38"/>
      <c r="W549" s="38"/>
      <c r="X549" s="38"/>
    </row>
    <row r="550" spans="1:24" ht="13.5" customHeight="1">
      <c r="A550" s="154">
        <v>22110702</v>
      </c>
      <c r="B550" s="23" t="s">
        <v>515</v>
      </c>
      <c r="C550" s="72">
        <v>25000</v>
      </c>
      <c r="D550" s="37"/>
      <c r="E550" s="35"/>
      <c r="F550" s="35"/>
      <c r="G550" s="126"/>
      <c r="H550" s="35"/>
      <c r="I550" s="35"/>
      <c r="J550" s="35"/>
      <c r="K550" s="35"/>
      <c r="L550" s="35"/>
      <c r="M550" s="35"/>
      <c r="N550" s="35"/>
      <c r="O550" s="35"/>
      <c r="P550" s="35"/>
      <c r="Q550" s="35"/>
      <c r="R550" s="35"/>
      <c r="S550" s="35"/>
      <c r="T550" s="35"/>
      <c r="U550" s="35"/>
      <c r="V550" s="35"/>
      <c r="W550" s="35"/>
      <c r="X550" s="35"/>
    </row>
    <row r="551" spans="1:24" ht="13.5" customHeight="1">
      <c r="A551" s="23"/>
      <c r="B551" s="23"/>
      <c r="C551" s="24"/>
      <c r="D551" s="37"/>
      <c r="E551" s="35"/>
      <c r="F551" s="35"/>
      <c r="G551" s="126"/>
      <c r="H551" s="35"/>
      <c r="I551" s="35"/>
      <c r="J551" s="35"/>
      <c r="K551" s="35"/>
      <c r="L551" s="35"/>
      <c r="M551" s="35"/>
      <c r="N551" s="35"/>
      <c r="O551" s="35"/>
      <c r="P551" s="35"/>
      <c r="Q551" s="35"/>
      <c r="R551" s="35"/>
      <c r="S551" s="35"/>
      <c r="T551" s="35"/>
      <c r="U551" s="35"/>
      <c r="V551" s="35"/>
      <c r="W551" s="35"/>
      <c r="X551" s="35"/>
    </row>
    <row r="552" spans="1:24" ht="13.5" customHeight="1">
      <c r="A552" s="100"/>
      <c r="B552" s="100"/>
      <c r="C552" s="72"/>
      <c r="D552" s="37"/>
      <c r="E552" s="35"/>
      <c r="F552" s="35"/>
      <c r="G552" s="126"/>
      <c r="H552" s="35"/>
      <c r="I552" s="35"/>
      <c r="J552" s="35"/>
      <c r="K552" s="35"/>
      <c r="L552" s="35"/>
      <c r="M552" s="35"/>
      <c r="N552" s="35"/>
      <c r="O552" s="35"/>
      <c r="P552" s="35"/>
      <c r="Q552" s="35"/>
      <c r="R552" s="35"/>
      <c r="S552" s="35"/>
      <c r="T552" s="35"/>
      <c r="U552" s="35"/>
      <c r="V552" s="35"/>
      <c r="W552" s="35"/>
      <c r="X552" s="35"/>
    </row>
    <row r="553" spans="1:24" ht="19.5" customHeight="1">
      <c r="A553" s="1389" t="s">
        <v>99</v>
      </c>
      <c r="B553" s="1389"/>
      <c r="C553" s="1389"/>
      <c r="D553" s="37"/>
      <c r="E553" s="35"/>
      <c r="F553" s="35"/>
      <c r="G553" s="126"/>
      <c r="H553" s="35"/>
      <c r="I553" s="35"/>
      <c r="J553" s="35"/>
      <c r="K553" s="35"/>
      <c r="L553" s="35"/>
      <c r="M553" s="35"/>
      <c r="N553" s="35"/>
      <c r="O553" s="35"/>
      <c r="P553" s="35"/>
      <c r="Q553" s="35"/>
      <c r="R553" s="35"/>
      <c r="S553" s="35"/>
      <c r="T553" s="35"/>
      <c r="U553" s="35"/>
      <c r="V553" s="35"/>
      <c r="W553" s="35"/>
      <c r="X553" s="35"/>
    </row>
    <row r="554" spans="1:24" ht="13.5" customHeight="1">
      <c r="A554" s="100"/>
      <c r="B554" s="100"/>
      <c r="C554" s="72"/>
      <c r="D554" s="37"/>
      <c r="E554" s="162"/>
      <c r="F554" s="35"/>
      <c r="G554" s="126"/>
      <c r="H554" s="35"/>
      <c r="I554" s="35"/>
      <c r="J554" s="35"/>
      <c r="K554" s="35"/>
      <c r="L554" s="35"/>
      <c r="M554" s="35"/>
      <c r="N554" s="35"/>
      <c r="O554" s="35"/>
      <c r="P554" s="35"/>
      <c r="Q554" s="35"/>
      <c r="R554" s="35"/>
      <c r="S554" s="35"/>
      <c r="T554" s="35"/>
      <c r="U554" s="35"/>
      <c r="V554" s="35"/>
      <c r="W554" s="35"/>
      <c r="X554" s="35"/>
    </row>
    <row r="555" spans="1:24" ht="13.5" customHeight="1" thickBot="1">
      <c r="A555" s="75"/>
      <c r="B555" s="100"/>
      <c r="C555" s="36"/>
      <c r="D555" s="37"/>
      <c r="E555" s="171"/>
      <c r="F555" s="171"/>
      <c r="G555" s="172"/>
      <c r="H555" s="171"/>
      <c r="I555" s="171"/>
      <c r="J555" s="171"/>
      <c r="K555" s="171"/>
      <c r="L555" s="171"/>
      <c r="M555" s="171"/>
      <c r="N555" s="171"/>
      <c r="O555" s="171"/>
      <c r="P555" s="171"/>
      <c r="Q555" s="171"/>
      <c r="R555" s="171"/>
      <c r="S555" s="171"/>
      <c r="T555" s="171"/>
      <c r="U555" s="171"/>
      <c r="V555" s="171"/>
      <c r="W555" s="171"/>
      <c r="X555" s="171"/>
    </row>
    <row r="556" spans="1:24" ht="13.5" customHeight="1">
      <c r="A556" s="1334" t="s">
        <v>956</v>
      </c>
      <c r="B556" s="1352"/>
      <c r="C556" s="1174">
        <v>1611</v>
      </c>
      <c r="D556" s="37"/>
      <c r="E556" s="170"/>
      <c r="F556" s="171"/>
      <c r="G556" s="172"/>
      <c r="H556" s="171"/>
      <c r="I556" s="171"/>
      <c r="J556" s="171"/>
      <c r="K556" s="171"/>
      <c r="L556" s="171"/>
      <c r="M556" s="171"/>
      <c r="N556" s="171"/>
      <c r="O556" s="171"/>
      <c r="P556" s="171"/>
      <c r="Q556" s="171"/>
      <c r="R556" s="171"/>
      <c r="S556" s="171"/>
      <c r="T556" s="171"/>
      <c r="U556" s="171"/>
      <c r="V556" s="171"/>
      <c r="W556" s="171"/>
      <c r="X556" s="171"/>
    </row>
    <row r="557" spans="1:24" ht="13.5" customHeight="1" thickBot="1">
      <c r="A557" s="1363"/>
      <c r="B557" s="1364"/>
      <c r="C557" s="1175"/>
      <c r="D557" s="37"/>
      <c r="E557" s="170"/>
      <c r="F557" s="171"/>
      <c r="G557" s="172"/>
      <c r="H557" s="171"/>
      <c r="I557" s="171"/>
      <c r="J557" s="171"/>
      <c r="K557" s="171"/>
      <c r="L557" s="171"/>
      <c r="M557" s="171"/>
      <c r="N557" s="171"/>
      <c r="O557" s="171"/>
      <c r="P557" s="171"/>
      <c r="Q557" s="171"/>
      <c r="R557" s="171"/>
      <c r="S557" s="171"/>
      <c r="T557" s="171"/>
      <c r="U557" s="171"/>
      <c r="V557" s="171"/>
      <c r="W557" s="171"/>
      <c r="X557" s="171"/>
    </row>
    <row r="558" spans="1:24" ht="13.5" customHeight="1">
      <c r="A558" s="609" t="s">
        <v>671</v>
      </c>
      <c r="B558" s="612"/>
      <c r="C558" s="626"/>
      <c r="D558" s="37"/>
      <c r="E558" s="73"/>
      <c r="F558" s="73"/>
      <c r="G558" s="74"/>
      <c r="H558" s="73"/>
      <c r="I558" s="73"/>
      <c r="J558" s="73"/>
      <c r="K558" s="73"/>
      <c r="L558" s="73"/>
      <c r="M558" s="73"/>
      <c r="N558" s="73"/>
      <c r="O558" s="73"/>
      <c r="P558" s="73"/>
      <c r="Q558" s="73"/>
      <c r="R558" s="73"/>
      <c r="S558" s="73"/>
      <c r="T558" s="73"/>
      <c r="U558" s="73"/>
      <c r="V558" s="73"/>
      <c r="W558" s="73"/>
      <c r="X558" s="73"/>
    </row>
    <row r="559" spans="1:24" ht="13.5" customHeight="1">
      <c r="A559" s="609" t="s">
        <v>930</v>
      </c>
      <c r="B559" s="754"/>
      <c r="C559" s="1201"/>
      <c r="D559" s="37"/>
      <c r="E559" s="73"/>
      <c r="F559" s="73"/>
      <c r="G559" s="74"/>
      <c r="H559" s="73"/>
      <c r="I559" s="73"/>
      <c r="J559" s="73"/>
      <c r="K559" s="73"/>
      <c r="L559" s="73"/>
      <c r="M559" s="73"/>
      <c r="N559" s="73"/>
      <c r="O559" s="73"/>
      <c r="P559" s="73"/>
      <c r="Q559" s="73"/>
      <c r="R559" s="73"/>
      <c r="S559" s="73"/>
      <c r="T559" s="73"/>
      <c r="U559" s="73"/>
      <c r="V559" s="73"/>
      <c r="W559" s="73"/>
      <c r="X559" s="73"/>
    </row>
    <row r="560" spans="1:24" ht="13.5" customHeight="1">
      <c r="A560" s="609" t="s">
        <v>754</v>
      </c>
      <c r="B560" s="612"/>
      <c r="C560" s="626"/>
      <c r="D560" s="37"/>
      <c r="E560" s="73"/>
      <c r="F560" s="73"/>
      <c r="G560" s="74"/>
      <c r="H560" s="73"/>
      <c r="I560" s="73"/>
      <c r="J560" s="73"/>
      <c r="K560" s="73"/>
      <c r="L560" s="73"/>
      <c r="M560" s="73"/>
      <c r="N560" s="73"/>
      <c r="O560" s="73"/>
      <c r="P560" s="73"/>
      <c r="Q560" s="73"/>
      <c r="R560" s="73"/>
      <c r="S560" s="73"/>
      <c r="T560" s="73"/>
      <c r="U560" s="73"/>
      <c r="V560" s="73"/>
      <c r="W560" s="73"/>
      <c r="X560" s="73"/>
    </row>
    <row r="561" spans="1:24" ht="13.5" customHeight="1" thickBot="1">
      <c r="A561" s="609" t="s">
        <v>59</v>
      </c>
      <c r="B561" s="612"/>
      <c r="C561" s="626"/>
      <c r="D561" s="37"/>
      <c r="E561" s="73"/>
      <c r="F561" s="73"/>
      <c r="G561" s="74"/>
      <c r="H561" s="73"/>
      <c r="I561" s="73"/>
      <c r="J561" s="73"/>
      <c r="K561" s="73"/>
      <c r="L561" s="73"/>
      <c r="M561" s="73"/>
      <c r="N561" s="73"/>
      <c r="O561" s="73"/>
      <c r="P561" s="73"/>
      <c r="Q561" s="73"/>
      <c r="R561" s="73"/>
      <c r="S561" s="73"/>
      <c r="T561" s="73"/>
      <c r="U561" s="73"/>
      <c r="V561" s="73"/>
      <c r="W561" s="73"/>
      <c r="X561" s="73"/>
    </row>
    <row r="562" spans="1:24" ht="13.5" customHeight="1" thickBot="1">
      <c r="A562" s="1171" t="s">
        <v>60</v>
      </c>
      <c r="B562" s="1197"/>
      <c r="C562" s="1033">
        <f>(C564)</f>
        <v>50000000</v>
      </c>
      <c r="D562" s="37"/>
      <c r="E562" s="73"/>
      <c r="F562" s="73"/>
      <c r="G562" s="74"/>
      <c r="H562" s="73"/>
      <c r="I562" s="73"/>
      <c r="J562" s="73"/>
      <c r="K562" s="73"/>
      <c r="L562" s="73"/>
      <c r="M562" s="73"/>
      <c r="N562" s="73"/>
      <c r="O562" s="73"/>
      <c r="P562" s="73"/>
      <c r="Q562" s="73"/>
      <c r="R562" s="73"/>
      <c r="S562" s="73"/>
      <c r="T562" s="73"/>
      <c r="U562" s="73"/>
      <c r="V562" s="73"/>
      <c r="W562" s="73"/>
      <c r="X562" s="73"/>
    </row>
    <row r="563" spans="1:24" ht="13.5" customHeight="1" thickBot="1">
      <c r="A563" s="23"/>
      <c r="B563" s="23"/>
      <c r="C563" s="72"/>
      <c r="D563" s="37"/>
      <c r="E563" s="73"/>
      <c r="F563" s="73"/>
      <c r="G563" s="74"/>
      <c r="H563" s="73"/>
      <c r="I563" s="73"/>
      <c r="J563" s="73"/>
      <c r="K563" s="73"/>
      <c r="L563" s="73"/>
      <c r="M563" s="73"/>
      <c r="N563" s="73"/>
      <c r="O563" s="73"/>
      <c r="P563" s="73"/>
      <c r="Q563" s="73"/>
      <c r="R563" s="73"/>
      <c r="S563" s="73"/>
      <c r="T563" s="73"/>
      <c r="U563" s="73"/>
      <c r="V563" s="73"/>
      <c r="W563" s="73"/>
      <c r="X563" s="73"/>
    </row>
    <row r="564" spans="1:24" ht="13.5" customHeight="1" thickBot="1">
      <c r="A564" s="1390" t="s">
        <v>63</v>
      </c>
      <c r="B564" s="1281"/>
      <c r="C564" s="71">
        <f>(C565)</f>
        <v>50000000</v>
      </c>
      <c r="D564" s="37"/>
      <c r="E564" s="73"/>
      <c r="F564" s="73"/>
      <c r="G564" s="74"/>
      <c r="H564" s="73"/>
      <c r="I564" s="73"/>
      <c r="J564" s="73"/>
      <c r="K564" s="73"/>
      <c r="L564" s="73"/>
      <c r="M564" s="73"/>
      <c r="N564" s="73"/>
      <c r="O564" s="73"/>
      <c r="P564" s="73"/>
      <c r="Q564" s="73"/>
      <c r="R564" s="73"/>
      <c r="S564" s="73"/>
      <c r="T564" s="73"/>
      <c r="U564" s="73"/>
      <c r="V564" s="73"/>
      <c r="W564" s="73"/>
      <c r="X564" s="73"/>
    </row>
    <row r="565" spans="1:24" ht="13.5" customHeight="1">
      <c r="A565" s="76">
        <v>221201</v>
      </c>
      <c r="B565" s="154" t="s">
        <v>64</v>
      </c>
      <c r="C565" s="36">
        <f>SUM(C566)</f>
        <v>50000000</v>
      </c>
      <c r="D565" s="37"/>
      <c r="E565" s="73"/>
      <c r="F565" s="73"/>
      <c r="G565" s="74"/>
      <c r="H565" s="73"/>
      <c r="I565" s="73"/>
      <c r="J565" s="73"/>
      <c r="K565" s="73"/>
      <c r="L565" s="73"/>
      <c r="M565" s="73"/>
      <c r="N565" s="73"/>
      <c r="O565" s="73"/>
      <c r="P565" s="73"/>
      <c r="Q565" s="73"/>
      <c r="R565" s="73"/>
      <c r="S565" s="73"/>
      <c r="T565" s="73"/>
      <c r="U565" s="73"/>
      <c r="V565" s="73"/>
      <c r="W565" s="73"/>
      <c r="X565" s="73"/>
    </row>
    <row r="566" spans="1:24" ht="13.5" customHeight="1">
      <c r="A566" s="33">
        <v>22120118</v>
      </c>
      <c r="B566" s="23" t="s">
        <v>101</v>
      </c>
      <c r="C566" s="24">
        <f>20000000+30000000</f>
        <v>50000000</v>
      </c>
      <c r="D566" s="37"/>
      <c r="E566" s="73"/>
      <c r="F566" s="73"/>
      <c r="G566" s="74"/>
      <c r="H566" s="73"/>
      <c r="I566" s="73"/>
      <c r="J566" s="73"/>
      <c r="K566" s="73"/>
      <c r="L566" s="73"/>
      <c r="M566" s="73"/>
      <c r="N566" s="73"/>
      <c r="O566" s="73"/>
      <c r="P566" s="73"/>
      <c r="Q566" s="73"/>
      <c r="R566" s="73"/>
      <c r="S566" s="73"/>
      <c r="T566" s="73"/>
      <c r="U566" s="73"/>
      <c r="V566" s="73"/>
      <c r="W566" s="73"/>
      <c r="X566" s="73"/>
    </row>
    <row r="567" spans="1:24" ht="12.75" customHeight="1" thickBot="1">
      <c r="A567" s="21"/>
      <c r="B567" s="21"/>
      <c r="C567" s="26"/>
      <c r="D567" s="270"/>
      <c r="E567" s="3"/>
      <c r="F567" s="4"/>
      <c r="G567" s="4"/>
      <c r="H567" s="4"/>
      <c r="I567" s="4"/>
      <c r="J567" s="4"/>
      <c r="K567" s="4"/>
      <c r="L567" s="4"/>
      <c r="M567" s="4"/>
      <c r="N567" s="4"/>
      <c r="O567" s="4"/>
      <c r="P567" s="4"/>
      <c r="Q567" s="4"/>
      <c r="R567" s="4"/>
      <c r="S567" s="4"/>
      <c r="T567" s="4"/>
      <c r="U567" s="4"/>
      <c r="V567" s="4"/>
      <c r="W567" s="4"/>
      <c r="X567" s="4"/>
    </row>
    <row r="568" spans="1:24" s="753" customFormat="1" ht="12.75" customHeight="1">
      <c r="A568" s="1365" t="s">
        <v>955</v>
      </c>
      <c r="B568" s="1366"/>
      <c r="C568" s="1202">
        <v>1612</v>
      </c>
      <c r="D568" s="749"/>
      <c r="E568" s="750"/>
      <c r="F568" s="751"/>
      <c r="G568" s="752"/>
      <c r="H568" s="751"/>
      <c r="I568" s="751"/>
      <c r="J568" s="751"/>
      <c r="K568" s="751"/>
      <c r="L568" s="751"/>
      <c r="M568" s="751"/>
      <c r="N568" s="751"/>
      <c r="O568" s="751"/>
      <c r="P568" s="751"/>
      <c r="Q568" s="751"/>
      <c r="R568" s="751"/>
      <c r="S568" s="751"/>
      <c r="T568" s="751"/>
      <c r="U568" s="751"/>
      <c r="V568" s="751"/>
      <c r="W568" s="751"/>
      <c r="X568" s="751"/>
    </row>
    <row r="569" spans="1:24" s="753" customFormat="1" ht="12.75" customHeight="1" thickBot="1">
      <c r="A569" s="1367"/>
      <c r="B569" s="1368"/>
      <c r="C569" s="1203"/>
      <c r="D569" s="749"/>
      <c r="E569" s="750"/>
      <c r="F569" s="751"/>
      <c r="G569" s="752"/>
      <c r="H569" s="751"/>
      <c r="I569" s="751"/>
      <c r="J569" s="751"/>
      <c r="K569" s="751"/>
      <c r="L569" s="751"/>
      <c r="M569" s="751"/>
      <c r="N569" s="751"/>
      <c r="O569" s="751"/>
      <c r="P569" s="751"/>
      <c r="Q569" s="751"/>
      <c r="R569" s="751"/>
      <c r="S569" s="751"/>
      <c r="T569" s="751"/>
      <c r="U569" s="751"/>
      <c r="V569" s="751"/>
      <c r="W569" s="751"/>
      <c r="X569" s="751"/>
    </row>
    <row r="570" spans="1:24" s="753" customFormat="1" ht="12.75" customHeight="1">
      <c r="A570" s="1204" t="s">
        <v>671</v>
      </c>
      <c r="B570" s="754"/>
      <c r="C570" s="1201"/>
      <c r="D570" s="749"/>
      <c r="E570" s="757"/>
      <c r="F570" s="757"/>
      <c r="G570" s="758"/>
      <c r="H570" s="757"/>
      <c r="I570" s="757"/>
      <c r="J570" s="757"/>
      <c r="K570" s="757"/>
      <c r="L570" s="757"/>
      <c r="M570" s="757"/>
      <c r="N570" s="757"/>
      <c r="O570" s="757"/>
      <c r="P570" s="757"/>
      <c r="Q570" s="757"/>
      <c r="R570" s="757"/>
      <c r="S570" s="757"/>
      <c r="T570" s="757"/>
      <c r="U570" s="757"/>
      <c r="V570" s="757"/>
      <c r="W570" s="757"/>
      <c r="X570" s="757"/>
    </row>
    <row r="571" spans="1:24" s="753" customFormat="1" ht="12.75" customHeight="1">
      <c r="A571" s="609" t="s">
        <v>930</v>
      </c>
      <c r="B571" s="754"/>
      <c r="C571" s="1201"/>
      <c r="D571" s="749"/>
      <c r="E571" s="757"/>
      <c r="F571" s="757"/>
      <c r="G571" s="758"/>
      <c r="H571" s="757"/>
      <c r="I571" s="757"/>
      <c r="J571" s="757"/>
      <c r="K571" s="757"/>
      <c r="L571" s="757"/>
      <c r="M571" s="757"/>
      <c r="N571" s="757"/>
      <c r="O571" s="757"/>
      <c r="P571" s="757"/>
      <c r="Q571" s="757"/>
      <c r="R571" s="757"/>
      <c r="S571" s="757"/>
      <c r="T571" s="757"/>
      <c r="U571" s="757"/>
      <c r="V571" s="757"/>
      <c r="W571" s="757"/>
      <c r="X571" s="757"/>
    </row>
    <row r="572" spans="1:24" s="753" customFormat="1" ht="12.75" customHeight="1">
      <c r="A572" s="609" t="s">
        <v>754</v>
      </c>
      <c r="B572" s="754"/>
      <c r="C572" s="1201"/>
      <c r="D572" s="749"/>
      <c r="E572" s="757"/>
      <c r="F572" s="757"/>
      <c r="G572" s="758"/>
      <c r="H572" s="757"/>
      <c r="I572" s="757"/>
      <c r="J572" s="757"/>
      <c r="K572" s="757"/>
      <c r="L572" s="757"/>
      <c r="M572" s="757"/>
      <c r="N572" s="757"/>
      <c r="O572" s="757"/>
      <c r="P572" s="757"/>
      <c r="Q572" s="757"/>
      <c r="R572" s="757"/>
      <c r="S572" s="757"/>
      <c r="T572" s="757"/>
      <c r="U572" s="757"/>
      <c r="V572" s="757"/>
      <c r="W572" s="757"/>
      <c r="X572" s="757"/>
    </row>
    <row r="573" spans="1:24" s="753" customFormat="1" ht="12.75" customHeight="1" thickBot="1">
      <c r="A573" s="1204" t="s">
        <v>59</v>
      </c>
      <c r="B573" s="754"/>
      <c r="C573" s="1205"/>
      <c r="D573" s="749"/>
      <c r="E573" s="757"/>
      <c r="F573" s="757"/>
      <c r="G573" s="758"/>
      <c r="H573" s="757"/>
      <c r="I573" s="757"/>
      <c r="J573" s="757"/>
      <c r="K573" s="757"/>
      <c r="L573" s="757"/>
      <c r="M573" s="757"/>
      <c r="N573" s="757"/>
      <c r="O573" s="757"/>
      <c r="P573" s="757"/>
      <c r="Q573" s="757"/>
      <c r="R573" s="757"/>
      <c r="S573" s="757"/>
      <c r="T573" s="757"/>
      <c r="U573" s="757"/>
      <c r="V573" s="757"/>
      <c r="W573" s="757"/>
      <c r="X573" s="757"/>
    </row>
    <row r="574" spans="1:24" s="753" customFormat="1" ht="12.75" customHeight="1" thickBot="1">
      <c r="A574" s="1171" t="s">
        <v>60</v>
      </c>
      <c r="B574" s="1091"/>
      <c r="C574" s="1206">
        <f>(C576)</f>
        <v>40000000</v>
      </c>
      <c r="D574" s="749"/>
      <c r="E574" s="757"/>
      <c r="F574" s="757"/>
      <c r="G574" s="758"/>
      <c r="H574" s="757"/>
      <c r="I574" s="757"/>
      <c r="J574" s="757"/>
      <c r="K574" s="757"/>
      <c r="L574" s="757"/>
      <c r="M574" s="757"/>
      <c r="N574" s="757"/>
      <c r="O574" s="757"/>
      <c r="P574" s="757"/>
      <c r="Q574" s="757"/>
      <c r="R574" s="757"/>
      <c r="S574" s="757"/>
      <c r="T574" s="757"/>
      <c r="U574" s="757"/>
      <c r="V574" s="757"/>
      <c r="W574" s="757"/>
      <c r="X574" s="757"/>
    </row>
    <row r="575" spans="1:24" s="753" customFormat="1" ht="12.75" customHeight="1" thickBot="1">
      <c r="A575" s="759"/>
      <c r="B575" s="759"/>
      <c r="C575" s="755"/>
      <c r="D575" s="749"/>
      <c r="E575" s="757"/>
      <c r="F575" s="757"/>
      <c r="G575" s="758"/>
      <c r="H575" s="757"/>
      <c r="I575" s="757"/>
      <c r="J575" s="757"/>
      <c r="K575" s="757"/>
      <c r="L575" s="757"/>
      <c r="M575" s="757"/>
      <c r="N575" s="757"/>
      <c r="O575" s="757"/>
      <c r="P575" s="757"/>
      <c r="Q575" s="757"/>
      <c r="R575" s="757"/>
      <c r="S575" s="757"/>
      <c r="T575" s="757"/>
      <c r="U575" s="757"/>
      <c r="V575" s="757"/>
      <c r="W575" s="757"/>
      <c r="X575" s="757"/>
    </row>
    <row r="576" spans="1:24" s="753" customFormat="1" ht="12.75" customHeight="1" thickBot="1">
      <c r="A576" s="1391" t="s">
        <v>63</v>
      </c>
      <c r="B576" s="1320"/>
      <c r="C576" s="761">
        <f>C577</f>
        <v>40000000</v>
      </c>
      <c r="D576" s="749"/>
      <c r="E576" s="757"/>
      <c r="F576" s="757"/>
      <c r="G576" s="758"/>
      <c r="H576" s="757"/>
      <c r="I576" s="757"/>
      <c r="J576" s="757"/>
      <c r="K576" s="757"/>
      <c r="L576" s="757"/>
      <c r="M576" s="757"/>
      <c r="N576" s="757"/>
      <c r="O576" s="757"/>
      <c r="P576" s="757"/>
      <c r="Q576" s="757"/>
      <c r="R576" s="757"/>
      <c r="S576" s="757"/>
      <c r="T576" s="757"/>
      <c r="U576" s="757"/>
      <c r="V576" s="757"/>
      <c r="W576" s="757"/>
      <c r="X576" s="757"/>
    </row>
    <row r="577" spans="1:24" s="753" customFormat="1" ht="12.75" customHeight="1">
      <c r="A577" s="764">
        <v>221201</v>
      </c>
      <c r="B577" s="764" t="s">
        <v>526</v>
      </c>
      <c r="C577" s="765">
        <f>C578</f>
        <v>40000000</v>
      </c>
      <c r="D577" s="749"/>
      <c r="E577" s="757"/>
      <c r="F577" s="757"/>
      <c r="G577" s="758"/>
      <c r="H577" s="757"/>
      <c r="I577" s="757"/>
      <c r="J577" s="757"/>
      <c r="K577" s="757"/>
      <c r="L577" s="757"/>
      <c r="M577" s="757"/>
      <c r="N577" s="757"/>
      <c r="O577" s="757"/>
      <c r="P577" s="757"/>
      <c r="Q577" s="757"/>
      <c r="R577" s="757"/>
      <c r="S577" s="757"/>
      <c r="T577" s="757"/>
      <c r="U577" s="757"/>
      <c r="V577" s="757"/>
      <c r="W577" s="757"/>
      <c r="X577" s="757"/>
    </row>
    <row r="578" spans="1:24" s="753" customFormat="1" ht="12.75" customHeight="1">
      <c r="A578" s="798">
        <v>22120105</v>
      </c>
      <c r="B578" s="759" t="s">
        <v>679</v>
      </c>
      <c r="C578" s="755">
        <v>40000000</v>
      </c>
      <c r="D578" s="749"/>
      <c r="E578" s="757"/>
      <c r="F578" s="757"/>
      <c r="G578" s="758"/>
      <c r="H578" s="757"/>
      <c r="I578" s="757"/>
      <c r="J578" s="757"/>
      <c r="K578" s="757"/>
      <c r="L578" s="757"/>
      <c r="M578" s="757"/>
      <c r="N578" s="757"/>
      <c r="O578" s="757"/>
      <c r="P578" s="757"/>
      <c r="Q578" s="757"/>
      <c r="R578" s="757"/>
      <c r="S578" s="757"/>
      <c r="T578" s="757"/>
      <c r="U578" s="757"/>
      <c r="V578" s="757"/>
      <c r="W578" s="757"/>
      <c r="X578" s="757"/>
    </row>
    <row r="579" spans="1:24" s="753" customFormat="1" ht="12.75" customHeight="1">
      <c r="A579" s="759"/>
      <c r="B579" s="759"/>
      <c r="C579" s="755"/>
      <c r="D579" s="749"/>
      <c r="E579" s="757"/>
      <c r="F579" s="757"/>
      <c r="G579" s="758"/>
      <c r="H579" s="757"/>
      <c r="I579" s="757"/>
      <c r="J579" s="757"/>
      <c r="K579" s="757"/>
      <c r="L579" s="757"/>
      <c r="M579" s="757"/>
      <c r="N579" s="757"/>
      <c r="O579" s="757"/>
      <c r="P579" s="757"/>
      <c r="Q579" s="757"/>
      <c r="R579" s="757"/>
      <c r="S579" s="757"/>
      <c r="T579" s="757"/>
      <c r="U579" s="757"/>
      <c r="V579" s="757"/>
      <c r="W579" s="757"/>
      <c r="X579" s="757"/>
    </row>
    <row r="580" spans="1:24" ht="13.5" customHeight="1" thickBot="1">
      <c r="A580" s="100"/>
      <c r="B580" s="77"/>
      <c r="C580" s="224"/>
      <c r="D580" s="233"/>
      <c r="E580" s="201"/>
      <c r="F580" s="100"/>
      <c r="G580" s="100"/>
      <c r="H580" s="100"/>
      <c r="I580" s="100"/>
      <c r="J580" s="100"/>
      <c r="K580" s="100"/>
      <c r="L580" s="100"/>
      <c r="M580" s="100"/>
      <c r="N580" s="100"/>
      <c r="O580" s="100"/>
      <c r="P580" s="100"/>
      <c r="Q580" s="100"/>
      <c r="R580" s="100"/>
      <c r="S580" s="100"/>
      <c r="T580" s="100"/>
      <c r="U580" s="100"/>
      <c r="V580" s="100"/>
      <c r="W580" s="100"/>
    </row>
    <row r="581" spans="1:24" s="753" customFormat="1" ht="13.5" customHeight="1">
      <c r="A581" s="1365" t="s">
        <v>954</v>
      </c>
      <c r="B581" s="1366"/>
      <c r="C581" s="1208">
        <v>1613</v>
      </c>
      <c r="D581" s="749"/>
      <c r="E581" s="750"/>
      <c r="F581" s="751"/>
      <c r="G581" s="752"/>
      <c r="H581" s="751"/>
      <c r="I581" s="751"/>
      <c r="J581" s="751"/>
      <c r="K581" s="751"/>
      <c r="L581" s="751"/>
      <c r="M581" s="751"/>
      <c r="N581" s="751"/>
      <c r="O581" s="751"/>
      <c r="P581" s="751"/>
      <c r="Q581" s="751"/>
      <c r="R581" s="751"/>
      <c r="S581" s="751"/>
      <c r="T581" s="751"/>
      <c r="U581" s="751"/>
      <c r="V581" s="751"/>
      <c r="W581" s="751"/>
      <c r="X581" s="751"/>
    </row>
    <row r="582" spans="1:24" s="753" customFormat="1" ht="13.5" customHeight="1" thickBot="1">
      <c r="A582" s="1369"/>
      <c r="B582" s="1370"/>
      <c r="C582" s="1209"/>
      <c r="D582" s="749"/>
      <c r="E582" s="750"/>
      <c r="F582" s="751"/>
      <c r="G582" s="752"/>
      <c r="H582" s="751"/>
      <c r="I582" s="751"/>
      <c r="J582" s="751"/>
      <c r="K582" s="751"/>
      <c r="L582" s="751"/>
      <c r="M582" s="751"/>
      <c r="N582" s="751"/>
      <c r="O582" s="751"/>
      <c r="P582" s="751"/>
      <c r="Q582" s="751"/>
      <c r="R582" s="751"/>
      <c r="S582" s="751"/>
      <c r="T582" s="751"/>
      <c r="U582" s="751"/>
      <c r="V582" s="751"/>
      <c r="W582" s="751"/>
      <c r="X582" s="751"/>
    </row>
    <row r="583" spans="1:24" s="753" customFormat="1" ht="13.5" customHeight="1">
      <c r="A583" s="1204" t="s">
        <v>682</v>
      </c>
      <c r="B583" s="754"/>
      <c r="C583" s="1201"/>
      <c r="D583" s="749"/>
      <c r="E583" s="757"/>
      <c r="F583" s="757"/>
      <c r="G583" s="758"/>
      <c r="H583" s="757"/>
      <c r="I583" s="757"/>
      <c r="J583" s="757"/>
      <c r="K583" s="757"/>
      <c r="L583" s="757"/>
      <c r="M583" s="757"/>
      <c r="N583" s="757"/>
      <c r="O583" s="757"/>
      <c r="P583" s="757"/>
      <c r="Q583" s="757"/>
      <c r="R583" s="757"/>
      <c r="S583" s="757"/>
      <c r="T583" s="757"/>
      <c r="U583" s="757"/>
      <c r="V583" s="757"/>
      <c r="W583" s="757"/>
      <c r="X583" s="757"/>
    </row>
    <row r="584" spans="1:24" s="753" customFormat="1" ht="13.5" customHeight="1">
      <c r="A584" s="609" t="s">
        <v>930</v>
      </c>
      <c r="B584" s="754"/>
      <c r="C584" s="1201"/>
      <c r="D584" s="749"/>
      <c r="E584" s="757"/>
      <c r="F584" s="757"/>
      <c r="G584" s="758"/>
      <c r="H584" s="757"/>
      <c r="I584" s="757"/>
      <c r="J584" s="757"/>
      <c r="K584" s="757"/>
      <c r="L584" s="757"/>
      <c r="M584" s="757"/>
      <c r="N584" s="757"/>
      <c r="O584" s="757"/>
      <c r="P584" s="757"/>
      <c r="Q584" s="757"/>
      <c r="R584" s="757"/>
      <c r="S584" s="757"/>
      <c r="T584" s="757"/>
      <c r="U584" s="757"/>
      <c r="V584" s="757"/>
      <c r="W584" s="757"/>
      <c r="X584" s="757"/>
    </row>
    <row r="585" spans="1:24" s="753" customFormat="1" ht="13.5" customHeight="1">
      <c r="A585" s="609" t="s">
        <v>754</v>
      </c>
      <c r="B585" s="754"/>
      <c r="C585" s="1201"/>
      <c r="D585" s="749"/>
      <c r="E585" s="757"/>
      <c r="F585" s="757"/>
      <c r="G585" s="758"/>
      <c r="H585" s="757"/>
      <c r="I585" s="757"/>
      <c r="J585" s="757"/>
      <c r="K585" s="757"/>
      <c r="L585" s="757"/>
      <c r="M585" s="757"/>
      <c r="N585" s="757"/>
      <c r="O585" s="757"/>
      <c r="P585" s="757"/>
      <c r="Q585" s="757"/>
      <c r="R585" s="757"/>
      <c r="S585" s="757"/>
      <c r="T585" s="757"/>
      <c r="U585" s="757"/>
      <c r="V585" s="757"/>
      <c r="W585" s="757"/>
      <c r="X585" s="757"/>
    </row>
    <row r="586" spans="1:24" s="753" customFormat="1" ht="13.5" customHeight="1" thickBot="1">
      <c r="A586" s="1204" t="s">
        <v>59</v>
      </c>
      <c r="B586" s="754"/>
      <c r="C586" s="1201"/>
      <c r="D586" s="749"/>
      <c r="E586" s="757"/>
      <c r="F586" s="757"/>
      <c r="G586" s="758"/>
      <c r="H586" s="757"/>
      <c r="I586" s="757"/>
      <c r="J586" s="757"/>
      <c r="K586" s="757"/>
      <c r="L586" s="757"/>
      <c r="M586" s="757"/>
      <c r="N586" s="757"/>
      <c r="O586" s="757"/>
      <c r="P586" s="757"/>
      <c r="Q586" s="757"/>
      <c r="R586" s="757"/>
      <c r="S586" s="757"/>
      <c r="T586" s="757"/>
      <c r="U586" s="757"/>
      <c r="V586" s="757"/>
      <c r="W586" s="757"/>
      <c r="X586" s="757"/>
    </row>
    <row r="587" spans="1:24" s="753" customFormat="1" ht="13.5" customHeight="1" thickBot="1">
      <c r="A587" s="1171" t="s">
        <v>60</v>
      </c>
      <c r="B587" s="1091"/>
      <c r="C587" s="1207">
        <f>(C589)</f>
        <v>30000000</v>
      </c>
      <c r="D587" s="749"/>
      <c r="E587" s="757"/>
      <c r="F587" s="757"/>
      <c r="G587" s="758"/>
      <c r="H587" s="757"/>
      <c r="I587" s="757"/>
      <c r="J587" s="757"/>
      <c r="K587" s="757"/>
      <c r="L587" s="757"/>
      <c r="M587" s="757"/>
      <c r="N587" s="757"/>
      <c r="O587" s="757"/>
      <c r="P587" s="757"/>
      <c r="Q587" s="757"/>
      <c r="R587" s="757"/>
      <c r="S587" s="757"/>
      <c r="T587" s="757"/>
      <c r="U587" s="757"/>
      <c r="V587" s="757"/>
      <c r="W587" s="757"/>
      <c r="X587" s="757"/>
    </row>
    <row r="588" spans="1:24" s="753" customFormat="1" ht="13.5" customHeight="1" thickBot="1">
      <c r="A588" s="759"/>
      <c r="B588" s="759"/>
      <c r="C588" s="755"/>
      <c r="D588" s="749"/>
      <c r="E588" s="757"/>
      <c r="F588" s="757"/>
      <c r="G588" s="758"/>
      <c r="H588" s="757"/>
      <c r="I588" s="757"/>
      <c r="J588" s="757"/>
      <c r="K588" s="757"/>
      <c r="L588" s="757"/>
      <c r="M588" s="757"/>
      <c r="N588" s="757"/>
      <c r="O588" s="757"/>
      <c r="P588" s="757"/>
      <c r="Q588" s="757"/>
      <c r="R588" s="757"/>
      <c r="S588" s="757"/>
      <c r="T588" s="757"/>
      <c r="U588" s="757"/>
      <c r="V588" s="757"/>
      <c r="W588" s="757"/>
      <c r="X588" s="757"/>
    </row>
    <row r="589" spans="1:24" s="753" customFormat="1" ht="13.5" customHeight="1" thickBot="1">
      <c r="A589" s="1391" t="s">
        <v>63</v>
      </c>
      <c r="B589" s="1320"/>
      <c r="C589" s="761">
        <f>(C590+'[1]Desarrollo Urbanistico'!C602)</f>
        <v>30000000</v>
      </c>
      <c r="D589" s="749"/>
      <c r="E589" s="757"/>
      <c r="F589" s="757"/>
      <c r="G589" s="758"/>
      <c r="H589" s="757"/>
      <c r="I589" s="757"/>
      <c r="J589" s="757"/>
      <c r="K589" s="757"/>
      <c r="L589" s="757"/>
      <c r="M589" s="757"/>
      <c r="N589" s="757"/>
      <c r="O589" s="757"/>
      <c r="P589" s="757"/>
      <c r="Q589" s="757"/>
      <c r="R589" s="757"/>
      <c r="S589" s="757"/>
      <c r="T589" s="757"/>
      <c r="U589" s="757"/>
      <c r="V589" s="757"/>
      <c r="W589" s="757"/>
      <c r="X589" s="757"/>
    </row>
    <row r="590" spans="1:24" s="753" customFormat="1" ht="13.5" customHeight="1">
      <c r="A590" s="76">
        <v>221201</v>
      </c>
      <c r="B590" s="76" t="s">
        <v>526</v>
      </c>
      <c r="C590" s="765">
        <f>SUM(C591)</f>
        <v>30000000</v>
      </c>
      <c r="D590" s="749"/>
      <c r="E590" s="757"/>
      <c r="F590" s="757"/>
      <c r="G590" s="758"/>
      <c r="H590" s="757"/>
      <c r="I590" s="757"/>
      <c r="J590" s="757"/>
      <c r="K590" s="757"/>
      <c r="L590" s="757"/>
      <c r="M590" s="757"/>
      <c r="N590" s="757"/>
      <c r="O590" s="757"/>
      <c r="P590" s="757"/>
      <c r="Q590" s="757"/>
      <c r="R590" s="757"/>
      <c r="S590" s="757"/>
      <c r="T590" s="757"/>
      <c r="U590" s="757"/>
      <c r="V590" s="757"/>
      <c r="W590" s="757"/>
      <c r="X590" s="757"/>
    </row>
    <row r="591" spans="1:24" s="753" customFormat="1" ht="13.5" customHeight="1">
      <c r="A591" s="154">
        <v>22120103</v>
      </c>
      <c r="B591" s="23" t="s">
        <v>672</v>
      </c>
      <c r="C591" s="768">
        <v>30000000</v>
      </c>
      <c r="D591" s="749"/>
      <c r="E591" s="757"/>
      <c r="F591" s="757"/>
      <c r="G591" s="758"/>
      <c r="H591" s="757"/>
      <c r="I591" s="757"/>
      <c r="J591" s="757"/>
      <c r="K591" s="757"/>
      <c r="L591" s="757"/>
      <c r="M591" s="757"/>
      <c r="N591" s="757"/>
      <c r="O591" s="757"/>
      <c r="P591" s="757"/>
      <c r="Q591" s="757"/>
      <c r="R591" s="757"/>
      <c r="S591" s="757"/>
      <c r="T591" s="757"/>
      <c r="U591" s="757"/>
      <c r="V591" s="757"/>
      <c r="W591" s="757"/>
      <c r="X591" s="757"/>
    </row>
    <row r="592" spans="1:24" ht="13.5" customHeight="1">
      <c r="A592" s="100"/>
      <c r="B592" s="77"/>
      <c r="C592" s="224"/>
      <c r="D592" s="233"/>
      <c r="E592" s="201"/>
      <c r="F592" s="100"/>
      <c r="G592" s="100"/>
      <c r="H592" s="100"/>
      <c r="I592" s="100"/>
      <c r="J592" s="100"/>
      <c r="K592" s="100"/>
      <c r="L592" s="100"/>
      <c r="M592" s="100"/>
      <c r="N592" s="100"/>
      <c r="O592" s="100"/>
      <c r="P592" s="100"/>
      <c r="Q592" s="100"/>
      <c r="R592" s="100"/>
      <c r="S592" s="100"/>
      <c r="T592" s="100"/>
      <c r="U592" s="100"/>
      <c r="V592" s="100"/>
      <c r="W592" s="100"/>
    </row>
    <row r="593" spans="1:24" ht="13.5" customHeight="1" thickBot="1">
      <c r="A593" s="100"/>
      <c r="B593" s="77"/>
      <c r="C593" s="224"/>
      <c r="D593" s="233"/>
      <c r="E593" s="201"/>
      <c r="F593" s="100"/>
      <c r="G593" s="100"/>
      <c r="H593" s="100"/>
      <c r="I593" s="100"/>
      <c r="J593" s="100"/>
      <c r="K593" s="100"/>
      <c r="L593" s="100"/>
      <c r="M593" s="100"/>
      <c r="N593" s="100"/>
      <c r="O593" s="100"/>
      <c r="P593" s="100"/>
      <c r="Q593" s="100"/>
      <c r="R593" s="100"/>
      <c r="S593" s="100"/>
      <c r="T593" s="100"/>
      <c r="U593" s="100"/>
      <c r="V593" s="100"/>
      <c r="W593" s="100"/>
    </row>
    <row r="594" spans="1:24" ht="13.5" customHeight="1">
      <c r="A594" s="1325" t="s">
        <v>927</v>
      </c>
      <c r="B594" s="1371"/>
      <c r="C594" s="1174">
        <v>1614</v>
      </c>
      <c r="D594" s="37"/>
      <c r="E594" s="170"/>
      <c r="F594" s="171"/>
      <c r="G594" s="172"/>
      <c r="H594" s="171"/>
      <c r="I594" s="171"/>
      <c r="J594" s="171"/>
      <c r="K594" s="171"/>
      <c r="L594" s="171"/>
      <c r="M594" s="171"/>
      <c r="N594" s="171"/>
      <c r="O594" s="171"/>
      <c r="P594" s="171"/>
      <c r="Q594" s="171"/>
      <c r="R594" s="171"/>
      <c r="S594" s="171"/>
      <c r="T594" s="171"/>
      <c r="U594" s="171"/>
      <c r="V594" s="171"/>
      <c r="W594" s="171"/>
      <c r="X594" s="171"/>
    </row>
    <row r="595" spans="1:24" ht="13.5" customHeight="1" thickBot="1">
      <c r="A595" s="1372"/>
      <c r="B595" s="1373"/>
      <c r="C595" s="1210"/>
      <c r="D595" s="37"/>
      <c r="E595" s="170"/>
      <c r="F595" s="171"/>
      <c r="G595" s="172"/>
      <c r="H595" s="171"/>
      <c r="I595" s="171"/>
      <c r="J595" s="171"/>
      <c r="K595" s="171"/>
      <c r="L595" s="171"/>
      <c r="M595" s="171"/>
      <c r="N595" s="171"/>
      <c r="O595" s="171"/>
      <c r="P595" s="171"/>
      <c r="Q595" s="171"/>
      <c r="R595" s="171"/>
      <c r="S595" s="171"/>
      <c r="T595" s="171"/>
      <c r="U595" s="171"/>
      <c r="V595" s="171"/>
      <c r="W595" s="171"/>
      <c r="X595" s="171"/>
    </row>
    <row r="596" spans="1:24" ht="13.5" customHeight="1">
      <c r="A596" s="1088" t="s">
        <v>671</v>
      </c>
      <c r="B596" s="612"/>
      <c r="C596" s="626"/>
      <c r="D596" s="37"/>
      <c r="E596" s="171"/>
      <c r="F596" s="171"/>
      <c r="G596" s="172"/>
      <c r="H596" s="171"/>
      <c r="I596" s="171"/>
      <c r="J596" s="171"/>
      <c r="K596" s="171"/>
      <c r="L596" s="171"/>
      <c r="M596" s="171"/>
      <c r="N596" s="171"/>
      <c r="O596" s="171"/>
      <c r="P596" s="171"/>
      <c r="Q596" s="171"/>
      <c r="R596" s="171"/>
      <c r="S596" s="171"/>
      <c r="T596" s="171"/>
      <c r="U596" s="171"/>
      <c r="V596" s="171"/>
      <c r="W596" s="171"/>
      <c r="X596" s="171"/>
    </row>
    <row r="597" spans="1:24" ht="13.5" customHeight="1">
      <c r="A597" s="609" t="s">
        <v>930</v>
      </c>
      <c r="B597" s="754"/>
      <c r="C597" s="1201"/>
      <c r="D597" s="37"/>
      <c r="E597" s="171"/>
      <c r="F597" s="171"/>
      <c r="G597" s="172"/>
      <c r="H597" s="171"/>
      <c r="I597" s="171"/>
      <c r="J597" s="171"/>
      <c r="K597" s="171"/>
      <c r="L597" s="171"/>
      <c r="M597" s="171"/>
      <c r="N597" s="171"/>
      <c r="O597" s="171"/>
      <c r="P597" s="171"/>
      <c r="Q597" s="171"/>
      <c r="R597" s="171"/>
      <c r="S597" s="171"/>
      <c r="T597" s="171"/>
      <c r="U597" s="171"/>
      <c r="V597" s="171"/>
      <c r="W597" s="171"/>
      <c r="X597" s="171"/>
    </row>
    <row r="598" spans="1:24" ht="13.5" customHeight="1">
      <c r="A598" s="609" t="s">
        <v>754</v>
      </c>
      <c r="B598" s="612"/>
      <c r="C598" s="626"/>
      <c r="D598" s="37"/>
      <c r="E598" s="171"/>
      <c r="F598" s="171"/>
      <c r="G598" s="172"/>
      <c r="H598" s="171"/>
      <c r="I598" s="171"/>
      <c r="J598" s="171"/>
      <c r="K598" s="171"/>
      <c r="L598" s="171"/>
      <c r="M598" s="171"/>
      <c r="N598" s="171"/>
      <c r="O598" s="171"/>
      <c r="P598" s="171"/>
      <c r="Q598" s="171"/>
      <c r="R598" s="171"/>
      <c r="S598" s="171"/>
      <c r="T598" s="171"/>
      <c r="U598" s="171"/>
      <c r="V598" s="171"/>
      <c r="W598" s="171"/>
      <c r="X598" s="171"/>
    </row>
    <row r="599" spans="1:24" ht="13.5" customHeight="1" thickBot="1">
      <c r="A599" s="1089" t="s">
        <v>59</v>
      </c>
      <c r="B599" s="612"/>
      <c r="C599" s="626"/>
      <c r="D599" s="37"/>
      <c r="E599" s="171"/>
      <c r="F599" s="171"/>
      <c r="G599" s="172"/>
      <c r="H599" s="171"/>
      <c r="I599" s="171"/>
      <c r="J599" s="171"/>
      <c r="K599" s="171"/>
      <c r="L599" s="171"/>
      <c r="M599" s="171"/>
      <c r="N599" s="171"/>
      <c r="O599" s="171"/>
      <c r="P599" s="171"/>
      <c r="Q599" s="171"/>
      <c r="R599" s="171"/>
      <c r="S599" s="171"/>
      <c r="T599" s="171"/>
      <c r="U599" s="171"/>
      <c r="V599" s="171"/>
      <c r="W599" s="171"/>
      <c r="X599" s="171"/>
    </row>
    <row r="600" spans="1:24" ht="13.5" customHeight="1" thickBot="1">
      <c r="A600" s="1171" t="s">
        <v>60</v>
      </c>
      <c r="B600" s="1197"/>
      <c r="C600" s="1033">
        <f>C602</f>
        <v>17670481.309999999</v>
      </c>
      <c r="D600" s="37"/>
      <c r="E600" s="171"/>
      <c r="F600" s="171"/>
      <c r="G600" s="172"/>
      <c r="H600" s="171"/>
      <c r="I600" s="171"/>
      <c r="J600" s="171"/>
      <c r="K600" s="171"/>
      <c r="L600" s="171"/>
      <c r="M600" s="171"/>
      <c r="N600" s="171"/>
      <c r="O600" s="171"/>
      <c r="P600" s="171"/>
      <c r="Q600" s="171"/>
      <c r="R600" s="171"/>
      <c r="S600" s="171"/>
      <c r="T600" s="171"/>
      <c r="U600" s="171"/>
      <c r="V600" s="171"/>
      <c r="W600" s="171"/>
      <c r="X600" s="171"/>
    </row>
    <row r="601" spans="1:24" ht="13.5" customHeight="1" thickBot="1">
      <c r="A601" s="738"/>
      <c r="B601" s="738"/>
      <c r="C601" s="739"/>
      <c r="D601" s="37"/>
      <c r="E601" s="35"/>
      <c r="F601" s="35"/>
      <c r="G601" s="126"/>
      <c r="H601" s="35"/>
      <c r="I601" s="35"/>
      <c r="J601" s="35"/>
      <c r="K601" s="35"/>
      <c r="L601" s="35"/>
      <c r="M601" s="35"/>
      <c r="N601" s="35"/>
      <c r="O601" s="35"/>
      <c r="P601" s="35"/>
      <c r="Q601" s="35"/>
      <c r="R601" s="35"/>
      <c r="S601" s="35"/>
      <c r="T601" s="35"/>
      <c r="U601" s="35"/>
      <c r="V601" s="35"/>
      <c r="W601" s="35"/>
      <c r="X601" s="35"/>
    </row>
    <row r="602" spans="1:24" ht="13.5" customHeight="1" thickBot="1">
      <c r="A602" s="1390" t="s">
        <v>63</v>
      </c>
      <c r="B602" s="1281"/>
      <c r="C602" s="71">
        <f>(C604)</f>
        <v>17670481.309999999</v>
      </c>
      <c r="D602" s="37"/>
      <c r="E602" s="171"/>
      <c r="F602" s="171"/>
      <c r="G602" s="172"/>
      <c r="H602" s="171"/>
      <c r="I602" s="171"/>
      <c r="J602" s="171"/>
      <c r="K602" s="171"/>
      <c r="L602" s="171"/>
      <c r="M602" s="171"/>
      <c r="N602" s="171"/>
      <c r="O602" s="171"/>
      <c r="P602" s="171"/>
      <c r="Q602" s="171"/>
      <c r="R602" s="171"/>
      <c r="S602" s="171"/>
      <c r="T602" s="171"/>
      <c r="U602" s="171"/>
      <c r="V602" s="171"/>
      <c r="W602" s="171"/>
      <c r="X602" s="171"/>
    </row>
    <row r="603" spans="1:24" ht="13.5" customHeight="1">
      <c r="A603" s="76">
        <v>221201</v>
      </c>
      <c r="B603" s="76" t="s">
        <v>526</v>
      </c>
      <c r="C603" s="36">
        <f>C604</f>
        <v>17670481.309999999</v>
      </c>
      <c r="D603" s="37"/>
      <c r="E603" s="171"/>
      <c r="F603" s="171"/>
      <c r="G603" s="172"/>
      <c r="H603" s="171"/>
      <c r="I603" s="171"/>
      <c r="J603" s="171"/>
      <c r="K603" s="171"/>
      <c r="L603" s="171"/>
      <c r="M603" s="171"/>
      <c r="N603" s="171"/>
      <c r="O603" s="171"/>
      <c r="P603" s="171"/>
      <c r="Q603" s="171"/>
      <c r="R603" s="171"/>
      <c r="S603" s="171"/>
      <c r="T603" s="171"/>
      <c r="U603" s="171"/>
      <c r="V603" s="171"/>
      <c r="W603" s="171"/>
      <c r="X603" s="171"/>
    </row>
    <row r="604" spans="1:24" ht="13.5" customHeight="1">
      <c r="A604" s="154">
        <v>22120103</v>
      </c>
      <c r="B604" s="23" t="s">
        <v>672</v>
      </c>
      <c r="C604" s="24">
        <v>17670481.309999999</v>
      </c>
      <c r="D604" s="37"/>
      <c r="E604" s="171"/>
      <c r="F604" s="171"/>
      <c r="G604" s="172"/>
      <c r="H604" s="171"/>
      <c r="I604" s="171"/>
      <c r="J604" s="171"/>
      <c r="K604" s="171"/>
      <c r="L604" s="171"/>
      <c r="M604" s="171"/>
      <c r="N604" s="171"/>
      <c r="O604" s="171"/>
      <c r="P604" s="171"/>
      <c r="Q604" s="171"/>
      <c r="R604" s="171"/>
      <c r="S604" s="171"/>
      <c r="T604" s="171"/>
      <c r="U604" s="171"/>
      <c r="V604" s="171"/>
      <c r="W604" s="171"/>
      <c r="X604" s="171"/>
    </row>
    <row r="605" spans="1:24" ht="13.5" customHeight="1">
      <c r="A605" s="738"/>
      <c r="B605" s="738"/>
      <c r="C605" s="739"/>
      <c r="D605" s="37"/>
      <c r="E605" s="35"/>
      <c r="F605" s="35"/>
      <c r="G605" s="126"/>
      <c r="H605" s="35"/>
      <c r="I605" s="35"/>
      <c r="J605" s="35"/>
      <c r="K605" s="35"/>
      <c r="L605" s="35"/>
      <c r="M605" s="35"/>
      <c r="N605" s="35"/>
      <c r="O605" s="35"/>
      <c r="P605" s="35"/>
      <c r="Q605" s="35"/>
      <c r="R605" s="35"/>
      <c r="S605" s="35"/>
      <c r="T605" s="35"/>
      <c r="U605" s="35"/>
      <c r="V605" s="35"/>
      <c r="W605" s="35"/>
      <c r="X605" s="35"/>
    </row>
    <row r="606" spans="1:24" ht="13.5" customHeight="1" thickBot="1">
      <c r="A606" s="738"/>
      <c r="B606" s="738"/>
      <c r="C606" s="739"/>
      <c r="D606" s="37"/>
      <c r="E606" s="35"/>
      <c r="F606" s="35"/>
      <c r="G606" s="126"/>
      <c r="H606" s="35"/>
      <c r="I606" s="35"/>
      <c r="J606" s="35"/>
      <c r="K606" s="35"/>
      <c r="L606" s="35"/>
      <c r="M606" s="35"/>
      <c r="N606" s="35"/>
      <c r="O606" s="35"/>
      <c r="P606" s="35"/>
      <c r="Q606" s="35"/>
      <c r="R606" s="35"/>
      <c r="S606" s="35"/>
      <c r="T606" s="35"/>
      <c r="U606" s="35"/>
      <c r="V606" s="35"/>
      <c r="W606" s="35"/>
      <c r="X606" s="35"/>
    </row>
    <row r="607" spans="1:24" ht="13.5" customHeight="1">
      <c r="A607" s="1325" t="s">
        <v>928</v>
      </c>
      <c r="B607" s="1371"/>
      <c r="C607" s="1174">
        <v>1615</v>
      </c>
      <c r="D607" s="37"/>
      <c r="E607" s="170"/>
      <c r="F607" s="171"/>
      <c r="G607" s="172"/>
      <c r="H607" s="171"/>
      <c r="I607" s="171"/>
      <c r="J607" s="171"/>
      <c r="K607" s="171"/>
      <c r="L607" s="171"/>
      <c r="M607" s="171"/>
      <c r="N607" s="171"/>
      <c r="O607" s="171"/>
      <c r="P607" s="171"/>
      <c r="Q607" s="171"/>
      <c r="R607" s="171"/>
      <c r="S607" s="171"/>
      <c r="T607" s="171"/>
      <c r="U607" s="171"/>
      <c r="V607" s="171"/>
      <c r="W607" s="171"/>
      <c r="X607" s="171"/>
    </row>
    <row r="608" spans="1:24" ht="13.5" customHeight="1" thickBot="1">
      <c r="A608" s="1326"/>
      <c r="B608" s="1374"/>
      <c r="C608" s="1210"/>
      <c r="D608" s="37"/>
      <c r="E608" s="170"/>
      <c r="F608" s="171"/>
      <c r="G608" s="172"/>
      <c r="H608" s="171"/>
      <c r="I608" s="171"/>
      <c r="J608" s="171"/>
      <c r="K608" s="171"/>
      <c r="L608" s="171"/>
      <c r="M608" s="171"/>
      <c r="N608" s="171"/>
      <c r="O608" s="171"/>
      <c r="P608" s="171"/>
      <c r="Q608" s="171"/>
      <c r="R608" s="171"/>
      <c r="S608" s="171"/>
      <c r="T608" s="171"/>
      <c r="U608" s="171"/>
      <c r="V608" s="171"/>
      <c r="W608" s="171"/>
      <c r="X608" s="171"/>
    </row>
    <row r="609" spans="1:24" ht="13.5" customHeight="1">
      <c r="A609" s="609" t="s">
        <v>671</v>
      </c>
      <c r="B609" s="612"/>
      <c r="C609" s="626"/>
      <c r="D609" s="37"/>
      <c r="E609" s="171"/>
      <c r="F609" s="171"/>
      <c r="G609" s="172"/>
      <c r="H609" s="171"/>
      <c r="I609" s="171"/>
      <c r="J609" s="171"/>
      <c r="K609" s="171"/>
      <c r="L609" s="171"/>
      <c r="M609" s="171"/>
      <c r="N609" s="171"/>
      <c r="O609" s="171"/>
      <c r="P609" s="171"/>
      <c r="Q609" s="171"/>
      <c r="R609" s="171"/>
      <c r="S609" s="171"/>
      <c r="T609" s="171"/>
      <c r="U609" s="171"/>
      <c r="V609" s="171"/>
      <c r="W609" s="171"/>
      <c r="X609" s="171"/>
    </row>
    <row r="610" spans="1:24" ht="13.5" customHeight="1">
      <c r="A610" s="609" t="s">
        <v>930</v>
      </c>
      <c r="B610" s="754"/>
      <c r="C610" s="1201"/>
      <c r="D610" s="37"/>
      <c r="E610" s="171"/>
      <c r="F610" s="171"/>
      <c r="G610" s="172"/>
      <c r="H610" s="171"/>
      <c r="I610" s="171"/>
      <c r="J610" s="171"/>
      <c r="K610" s="171"/>
      <c r="L610" s="171"/>
      <c r="M610" s="171"/>
      <c r="N610" s="171"/>
      <c r="O610" s="171"/>
      <c r="P610" s="171"/>
      <c r="Q610" s="171"/>
      <c r="R610" s="171"/>
      <c r="S610" s="171"/>
      <c r="T610" s="171"/>
      <c r="U610" s="171"/>
      <c r="V610" s="171"/>
      <c r="W610" s="171"/>
      <c r="X610" s="171"/>
    </row>
    <row r="611" spans="1:24" ht="13.5" customHeight="1">
      <c r="A611" s="609" t="s">
        <v>754</v>
      </c>
      <c r="B611" s="612"/>
      <c r="C611" s="626"/>
      <c r="D611" s="37"/>
      <c r="E611" s="171"/>
      <c r="F611" s="171"/>
      <c r="G611" s="172"/>
      <c r="H611" s="171"/>
      <c r="I611" s="171"/>
      <c r="J611" s="171"/>
      <c r="K611" s="171"/>
      <c r="L611" s="171"/>
      <c r="M611" s="171"/>
      <c r="N611" s="171"/>
      <c r="O611" s="171"/>
      <c r="P611" s="171"/>
      <c r="Q611" s="171"/>
      <c r="R611" s="171"/>
      <c r="S611" s="171"/>
      <c r="T611" s="171"/>
      <c r="U611" s="171"/>
      <c r="V611" s="171"/>
      <c r="W611" s="171"/>
      <c r="X611" s="171"/>
    </row>
    <row r="612" spans="1:24" ht="13.5" customHeight="1" thickBot="1">
      <c r="A612" s="1089" t="s">
        <v>59</v>
      </c>
      <c r="B612" s="612"/>
      <c r="C612" s="626"/>
      <c r="D612" s="37"/>
      <c r="E612" s="171"/>
      <c r="F612" s="171"/>
      <c r="G612" s="172"/>
      <c r="H612" s="171"/>
      <c r="I612" s="171"/>
      <c r="J612" s="171"/>
      <c r="K612" s="171"/>
      <c r="L612" s="171"/>
      <c r="M612" s="171"/>
      <c r="N612" s="171"/>
      <c r="O612" s="171"/>
      <c r="P612" s="171"/>
      <c r="Q612" s="171"/>
      <c r="R612" s="171"/>
      <c r="S612" s="171"/>
      <c r="T612" s="171"/>
      <c r="U612" s="171"/>
      <c r="V612" s="171"/>
      <c r="W612" s="171"/>
      <c r="X612" s="171"/>
    </row>
    <row r="613" spans="1:24" ht="13.5" customHeight="1" thickBot="1">
      <c r="A613" s="1171" t="s">
        <v>60</v>
      </c>
      <c r="B613" s="1197"/>
      <c r="C613" s="1033">
        <f>C615</f>
        <v>112464116.59999999</v>
      </c>
      <c r="D613" s="37"/>
      <c r="E613" s="171"/>
      <c r="F613" s="171"/>
      <c r="G613" s="172"/>
      <c r="H613" s="171"/>
      <c r="I613" s="171"/>
      <c r="J613" s="171"/>
      <c r="K613" s="171"/>
      <c r="L613" s="171"/>
      <c r="M613" s="171"/>
      <c r="N613" s="171"/>
      <c r="O613" s="171"/>
      <c r="P613" s="171"/>
      <c r="Q613" s="171"/>
      <c r="R613" s="171"/>
      <c r="S613" s="171"/>
      <c r="T613" s="171"/>
      <c r="U613" s="171"/>
      <c r="V613" s="171"/>
      <c r="W613" s="171"/>
      <c r="X613" s="171"/>
    </row>
    <row r="614" spans="1:24" ht="13.5" customHeight="1" thickBot="1">
      <c r="A614" s="738"/>
      <c r="B614" s="738"/>
      <c r="C614" s="739"/>
      <c r="D614" s="37"/>
      <c r="E614" s="35"/>
      <c r="F614" s="35"/>
      <c r="G614" s="126"/>
      <c r="H614" s="35"/>
      <c r="I614" s="35"/>
      <c r="J614" s="35"/>
      <c r="K614" s="35"/>
      <c r="L614" s="35"/>
      <c r="M614" s="35"/>
      <c r="N614" s="35"/>
      <c r="O614" s="35"/>
      <c r="P614" s="35"/>
      <c r="Q614" s="35"/>
      <c r="R614" s="35"/>
      <c r="S614" s="35"/>
      <c r="T614" s="35"/>
      <c r="U614" s="35"/>
      <c r="V614" s="35"/>
      <c r="W614" s="35"/>
      <c r="X614" s="35"/>
    </row>
    <row r="615" spans="1:24" ht="13.5" customHeight="1" thickBot="1">
      <c r="A615" s="1390" t="s">
        <v>63</v>
      </c>
      <c r="B615" s="1281"/>
      <c r="C615" s="71">
        <f>(C617)</f>
        <v>112464116.59999999</v>
      </c>
      <c r="D615" s="37"/>
      <c r="E615" s="171"/>
      <c r="F615" s="171"/>
      <c r="G615" s="172"/>
      <c r="H615" s="171"/>
      <c r="I615" s="171"/>
      <c r="J615" s="171"/>
      <c r="K615" s="171"/>
      <c r="L615" s="171"/>
      <c r="M615" s="171"/>
      <c r="N615" s="171"/>
      <c r="O615" s="171"/>
      <c r="P615" s="171"/>
      <c r="Q615" s="171"/>
      <c r="R615" s="171"/>
      <c r="S615" s="171"/>
      <c r="T615" s="171"/>
      <c r="U615" s="171"/>
      <c r="V615" s="171"/>
      <c r="W615" s="171"/>
      <c r="X615" s="171"/>
    </row>
    <row r="616" spans="1:24" ht="13.5" customHeight="1">
      <c r="A616" s="76">
        <v>221201</v>
      </c>
      <c r="B616" s="76" t="s">
        <v>526</v>
      </c>
      <c r="C616" s="36">
        <f>C617</f>
        <v>112464116.59999999</v>
      </c>
      <c r="D616" s="37"/>
      <c r="E616" s="171"/>
      <c r="F616" s="171"/>
      <c r="G616" s="172"/>
      <c r="H616" s="171"/>
      <c r="I616" s="171"/>
      <c r="J616" s="171"/>
      <c r="K616" s="171"/>
      <c r="L616" s="171"/>
      <c r="M616" s="171"/>
      <c r="N616" s="171"/>
      <c r="O616" s="171"/>
      <c r="P616" s="171"/>
      <c r="Q616" s="171"/>
      <c r="R616" s="171"/>
      <c r="S616" s="171"/>
      <c r="T616" s="171"/>
      <c r="U616" s="171"/>
      <c r="V616" s="171"/>
      <c r="W616" s="171"/>
      <c r="X616" s="171"/>
    </row>
    <row r="617" spans="1:24" ht="13.5" customHeight="1">
      <c r="A617" s="154">
        <v>22120103</v>
      </c>
      <c r="B617" s="23" t="s">
        <v>672</v>
      </c>
      <c r="C617" s="24">
        <v>112464116.59999999</v>
      </c>
      <c r="D617" s="37"/>
      <c r="E617" s="171"/>
      <c r="F617" s="171"/>
      <c r="G617" s="172"/>
      <c r="H617" s="171"/>
      <c r="I617" s="171"/>
      <c r="J617" s="171"/>
      <c r="K617" s="171"/>
      <c r="L617" s="171"/>
      <c r="M617" s="171"/>
      <c r="N617" s="171"/>
      <c r="O617" s="171"/>
      <c r="P617" s="171"/>
      <c r="Q617" s="171"/>
      <c r="R617" s="171"/>
      <c r="S617" s="171"/>
      <c r="T617" s="171"/>
      <c r="U617" s="171"/>
      <c r="V617" s="171"/>
      <c r="W617" s="171"/>
      <c r="X617" s="171"/>
    </row>
    <row r="618" spans="1:24" ht="13.5" customHeight="1">
      <c r="A618" s="100"/>
      <c r="B618" s="77"/>
      <c r="C618" s="224"/>
      <c r="D618" s="233"/>
      <c r="E618" s="201"/>
      <c r="F618" s="100"/>
      <c r="G618" s="100"/>
      <c r="H618" s="100"/>
      <c r="I618" s="100"/>
      <c r="J618" s="100"/>
      <c r="K618" s="100"/>
      <c r="L618" s="100"/>
      <c r="M618" s="100"/>
      <c r="N618" s="100"/>
      <c r="O618" s="100"/>
      <c r="P618" s="100"/>
      <c r="Q618" s="100"/>
      <c r="R618" s="100"/>
      <c r="S618" s="100"/>
      <c r="T618" s="100"/>
      <c r="U618" s="100"/>
      <c r="V618" s="100"/>
      <c r="W618" s="100"/>
    </row>
    <row r="619" spans="1:24" s="239" customFormat="1" ht="14.25" thickBot="1">
      <c r="A619" s="667"/>
      <c r="B619" s="667"/>
      <c r="C619" s="24"/>
      <c r="D619" s="37"/>
      <c r="G619" s="660"/>
    </row>
    <row r="620" spans="1:24" s="239" customFormat="1" ht="13.5" customHeight="1">
      <c r="A620" s="1375" t="s">
        <v>953</v>
      </c>
      <c r="B620" s="1376"/>
      <c r="C620" s="1212">
        <v>1616</v>
      </c>
      <c r="D620" s="659"/>
      <c r="G620" s="660"/>
    </row>
    <row r="621" spans="1:24" s="239" customFormat="1" ht="14.25" thickBot="1">
      <c r="A621" s="1377"/>
      <c r="B621" s="1378"/>
      <c r="C621" s="1213"/>
      <c r="D621" s="659"/>
      <c r="G621" s="660"/>
    </row>
    <row r="622" spans="1:24" s="239" customFormat="1" ht="13.5">
      <c r="A622" s="674" t="s">
        <v>671</v>
      </c>
      <c r="B622" s="675"/>
      <c r="C622" s="676"/>
      <c r="D622" s="659"/>
      <c r="G622" s="660"/>
    </row>
    <row r="623" spans="1:24" s="239" customFormat="1" ht="13.5">
      <c r="A623" s="661" t="s">
        <v>931</v>
      </c>
      <c r="B623" s="1214"/>
      <c r="C623" s="664"/>
      <c r="D623" s="659"/>
      <c r="G623" s="660"/>
    </row>
    <row r="624" spans="1:24" s="239" customFormat="1" ht="13.5">
      <c r="A624" s="609" t="s">
        <v>754</v>
      </c>
      <c r="B624" s="1214"/>
      <c r="C624" s="664"/>
      <c r="D624" s="659"/>
      <c r="G624" s="660"/>
    </row>
    <row r="625" spans="1:24" s="239" customFormat="1" ht="14.25" thickBot="1">
      <c r="A625" s="677" t="s">
        <v>102</v>
      </c>
      <c r="B625" s="678"/>
      <c r="C625" s="679"/>
      <c r="D625" s="659"/>
      <c r="G625" s="660"/>
    </row>
    <row r="626" spans="1:24" s="239" customFormat="1" ht="14.25" thickBot="1">
      <c r="A626" s="1171" t="s">
        <v>60</v>
      </c>
      <c r="B626" s="666"/>
      <c r="C626" s="607">
        <v>55000000</v>
      </c>
      <c r="D626" s="659"/>
      <c r="E626" s="971"/>
      <c r="G626" s="660"/>
    </row>
    <row r="627" spans="1:24" s="239" customFormat="1" ht="14.25" thickBot="1">
      <c r="A627" s="667"/>
      <c r="B627" s="667"/>
      <c r="C627" s="663"/>
      <c r="D627" s="659"/>
      <c r="G627" s="660"/>
    </row>
    <row r="628" spans="1:24" s="239" customFormat="1" ht="14.25" thickBot="1">
      <c r="A628" s="1395" t="s">
        <v>63</v>
      </c>
      <c r="B628" s="1396"/>
      <c r="C628" s="668">
        <f>(C630)</f>
        <v>55000000</v>
      </c>
      <c r="D628" s="659"/>
      <c r="G628" s="660"/>
    </row>
    <row r="629" spans="1:24" s="239" customFormat="1" ht="13.5">
      <c r="A629" s="76">
        <v>221201</v>
      </c>
      <c r="B629" s="154" t="s">
        <v>64</v>
      </c>
      <c r="C629" s="670">
        <f>C628</f>
        <v>55000000</v>
      </c>
      <c r="D629" s="659"/>
      <c r="G629" s="660"/>
    </row>
    <row r="630" spans="1:24" s="239" customFormat="1" ht="13.5">
      <c r="A630" s="33">
        <v>22120118</v>
      </c>
      <c r="B630" s="23" t="s">
        <v>101</v>
      </c>
      <c r="C630" s="663">
        <v>55000000</v>
      </c>
      <c r="D630" s="659"/>
      <c r="G630" s="660"/>
    </row>
    <row r="631" spans="1:24" ht="13.5" customHeight="1">
      <c r="A631" s="100"/>
      <c r="B631" s="23"/>
      <c r="C631" s="72"/>
      <c r="D631" s="37"/>
      <c r="E631" s="73"/>
      <c r="F631" s="73"/>
      <c r="G631" s="74"/>
      <c r="H631" s="73"/>
      <c r="I631" s="73"/>
      <c r="J631" s="73"/>
      <c r="K631" s="73"/>
      <c r="L631" s="73"/>
      <c r="M631" s="73"/>
      <c r="N631" s="73"/>
      <c r="O631" s="73"/>
      <c r="P631" s="73"/>
      <c r="Q631" s="73"/>
      <c r="R631" s="73"/>
      <c r="S631" s="73"/>
      <c r="T631" s="73"/>
      <c r="U631" s="73"/>
      <c r="V631" s="73"/>
      <c r="W631" s="73"/>
      <c r="X631" s="73"/>
    </row>
    <row r="632" spans="1:24" ht="13.5" customHeight="1" thickBot="1">
      <c r="A632" s="21"/>
      <c r="B632" s="15"/>
      <c r="C632" s="26"/>
      <c r="D632" s="40"/>
      <c r="E632" s="14"/>
      <c r="F632" s="13"/>
      <c r="G632" s="13"/>
      <c r="H632" s="13"/>
      <c r="I632" s="13"/>
      <c r="J632" s="13"/>
      <c r="K632" s="13"/>
      <c r="L632" s="13"/>
      <c r="M632" s="13"/>
      <c r="N632" s="13"/>
      <c r="O632" s="13"/>
      <c r="P632" s="13"/>
      <c r="Q632" s="13"/>
      <c r="R632" s="13"/>
      <c r="S632" s="13"/>
      <c r="T632" s="13"/>
      <c r="U632" s="13"/>
      <c r="V632" s="13"/>
      <c r="W632" s="13"/>
      <c r="X632" s="13"/>
    </row>
    <row r="633" spans="1:24" s="753" customFormat="1" ht="13.5" customHeight="1">
      <c r="A633" s="1365" t="s">
        <v>952</v>
      </c>
      <c r="B633" s="1366"/>
      <c r="C633" s="1202">
        <v>1617</v>
      </c>
      <c r="D633" s="749"/>
      <c r="E633" s="757"/>
      <c r="F633" s="757"/>
      <c r="G633" s="758"/>
      <c r="H633" s="757"/>
      <c r="I633" s="757"/>
      <c r="J633" s="757"/>
      <c r="K633" s="757"/>
      <c r="L633" s="757"/>
      <c r="M633" s="757"/>
      <c r="N633" s="757"/>
      <c r="O633" s="757"/>
      <c r="P633" s="757"/>
      <c r="Q633" s="757"/>
      <c r="R633" s="757"/>
      <c r="S633" s="757"/>
      <c r="T633" s="757"/>
      <c r="U633" s="757"/>
      <c r="V633" s="757"/>
      <c r="W633" s="757"/>
      <c r="X633" s="757"/>
    </row>
    <row r="634" spans="1:24" s="753" customFormat="1" ht="13.5" customHeight="1" thickBot="1">
      <c r="A634" s="1367"/>
      <c r="B634" s="1368"/>
      <c r="C634" s="1203"/>
      <c r="D634" s="749"/>
      <c r="E634" s="757"/>
      <c r="F634" s="757"/>
      <c r="G634" s="758"/>
      <c r="H634" s="757"/>
      <c r="I634" s="757"/>
      <c r="J634" s="757"/>
      <c r="K634" s="757"/>
      <c r="L634" s="757"/>
      <c r="M634" s="757"/>
      <c r="N634" s="757"/>
      <c r="O634" s="757"/>
      <c r="P634" s="757"/>
      <c r="Q634" s="757"/>
      <c r="R634" s="757"/>
      <c r="S634" s="757"/>
      <c r="T634" s="757"/>
      <c r="U634" s="757"/>
      <c r="V634" s="757"/>
      <c r="W634" s="757"/>
      <c r="X634" s="757"/>
    </row>
    <row r="635" spans="1:24" s="753" customFormat="1" ht="13.5" customHeight="1">
      <c r="A635" s="1204" t="s">
        <v>671</v>
      </c>
      <c r="B635" s="754"/>
      <c r="C635" s="1201"/>
      <c r="D635" s="749"/>
      <c r="E635" s="757"/>
      <c r="F635" s="757"/>
      <c r="G635" s="758"/>
      <c r="H635" s="757"/>
      <c r="I635" s="757"/>
      <c r="J635" s="757"/>
      <c r="K635" s="757"/>
      <c r="L635" s="757"/>
      <c r="M635" s="757"/>
      <c r="N635" s="757"/>
      <c r="O635" s="757"/>
      <c r="P635" s="757"/>
      <c r="Q635" s="757"/>
      <c r="R635" s="757"/>
      <c r="S635" s="757"/>
      <c r="T635" s="757"/>
      <c r="U635" s="757"/>
      <c r="V635" s="757"/>
      <c r="W635" s="757"/>
      <c r="X635" s="757"/>
    </row>
    <row r="636" spans="1:24" s="753" customFormat="1" ht="13.5" customHeight="1">
      <c r="A636" s="661" t="s">
        <v>931</v>
      </c>
      <c r="B636" s="754"/>
      <c r="C636" s="1201"/>
      <c r="D636" s="749"/>
      <c r="E636" s="757"/>
      <c r="F636" s="757"/>
      <c r="G636" s="758"/>
      <c r="H636" s="757"/>
      <c r="I636" s="757"/>
      <c r="J636" s="757"/>
      <c r="K636" s="757"/>
      <c r="L636" s="757"/>
      <c r="M636" s="757"/>
      <c r="N636" s="757"/>
      <c r="O636" s="757"/>
      <c r="P636" s="757"/>
      <c r="Q636" s="757"/>
      <c r="R636" s="757"/>
      <c r="S636" s="757"/>
      <c r="T636" s="757"/>
      <c r="U636" s="757"/>
      <c r="V636" s="757"/>
      <c r="W636" s="757"/>
      <c r="X636" s="757"/>
    </row>
    <row r="637" spans="1:24" s="753" customFormat="1" ht="13.5" customHeight="1">
      <c r="A637" s="609" t="s">
        <v>754</v>
      </c>
      <c r="B637" s="986"/>
      <c r="C637" s="1201"/>
      <c r="D637" s="749"/>
      <c r="E637" s="757"/>
      <c r="F637" s="757"/>
      <c r="G637" s="758"/>
      <c r="H637" s="757"/>
      <c r="I637" s="757"/>
      <c r="J637" s="757"/>
      <c r="K637" s="757"/>
      <c r="L637" s="757"/>
      <c r="M637" s="757"/>
      <c r="N637" s="757"/>
      <c r="O637" s="757"/>
      <c r="P637" s="757"/>
      <c r="Q637" s="757"/>
      <c r="R637" s="757"/>
      <c r="S637" s="757"/>
      <c r="T637" s="757"/>
      <c r="U637" s="757"/>
      <c r="V637" s="757"/>
      <c r="W637" s="757"/>
      <c r="X637" s="757"/>
    </row>
    <row r="638" spans="1:24" s="753" customFormat="1" ht="13.5" customHeight="1" thickBot="1">
      <c r="A638" s="1204" t="s">
        <v>59</v>
      </c>
      <c r="B638" s="754"/>
      <c r="C638" s="1201"/>
      <c r="D638" s="749"/>
      <c r="E638" s="757"/>
      <c r="F638" s="757"/>
      <c r="G638" s="758"/>
      <c r="H638" s="757"/>
      <c r="I638" s="757"/>
      <c r="J638" s="757"/>
      <c r="K638" s="757"/>
      <c r="L638" s="757"/>
      <c r="M638" s="757"/>
      <c r="N638" s="757"/>
      <c r="O638" s="757"/>
      <c r="P638" s="757"/>
      <c r="Q638" s="757"/>
      <c r="R638" s="757"/>
      <c r="S638" s="757"/>
      <c r="T638" s="757"/>
      <c r="U638" s="757"/>
      <c r="V638" s="757"/>
      <c r="W638" s="757"/>
      <c r="X638" s="757"/>
    </row>
    <row r="639" spans="1:24" s="753" customFormat="1" ht="13.5" customHeight="1" thickBot="1">
      <c r="A639" s="1171" t="s">
        <v>60</v>
      </c>
      <c r="B639" s="1091"/>
      <c r="C639" s="1207">
        <f>(C641)</f>
        <v>25000000</v>
      </c>
      <c r="D639" s="749"/>
      <c r="E639" s="757"/>
      <c r="F639" s="757"/>
      <c r="G639" s="758"/>
      <c r="H639" s="757"/>
      <c r="I639" s="757"/>
      <c r="J639" s="757"/>
      <c r="K639" s="757"/>
      <c r="L639" s="757"/>
      <c r="M639" s="757"/>
      <c r="N639" s="757"/>
      <c r="O639" s="757"/>
      <c r="P639" s="757"/>
      <c r="Q639" s="757"/>
      <c r="R639" s="757"/>
      <c r="S639" s="757"/>
      <c r="T639" s="757"/>
      <c r="U639" s="757"/>
      <c r="V639" s="757"/>
      <c r="W639" s="757"/>
      <c r="X639" s="757"/>
    </row>
    <row r="640" spans="1:24" s="753" customFormat="1" ht="13.5" customHeight="1" thickBot="1">
      <c r="A640" s="759"/>
      <c r="B640" s="759"/>
      <c r="C640" s="755"/>
      <c r="D640" s="749"/>
      <c r="E640" s="757"/>
      <c r="F640" s="757"/>
      <c r="G640" s="758"/>
      <c r="H640" s="757"/>
      <c r="I640" s="757"/>
      <c r="J640" s="757"/>
      <c r="K640" s="757"/>
      <c r="L640" s="757"/>
      <c r="M640" s="757"/>
      <c r="N640" s="757"/>
      <c r="O640" s="757"/>
      <c r="P640" s="757"/>
      <c r="Q640" s="757"/>
      <c r="R640" s="757"/>
      <c r="S640" s="757"/>
      <c r="T640" s="757"/>
      <c r="U640" s="757"/>
      <c r="V640" s="757"/>
      <c r="W640" s="757"/>
      <c r="X640" s="757"/>
    </row>
    <row r="641" spans="1:24" s="753" customFormat="1" ht="13.5" customHeight="1" thickBot="1">
      <c r="A641" s="1391" t="s">
        <v>63</v>
      </c>
      <c r="B641" s="1320"/>
      <c r="C641" s="761">
        <f>(C643)</f>
        <v>25000000</v>
      </c>
      <c r="D641" s="749"/>
      <c r="E641" s="757"/>
      <c r="F641" s="757"/>
      <c r="G641" s="758"/>
      <c r="H641" s="757"/>
      <c r="I641" s="757"/>
      <c r="J641" s="757"/>
      <c r="K641" s="757"/>
      <c r="L641" s="757"/>
      <c r="M641" s="757"/>
      <c r="N641" s="757"/>
      <c r="O641" s="757"/>
      <c r="P641" s="757"/>
      <c r="Q641" s="757"/>
      <c r="R641" s="757"/>
      <c r="S641" s="757"/>
      <c r="T641" s="757"/>
      <c r="U641" s="757"/>
      <c r="V641" s="757"/>
      <c r="W641" s="757"/>
      <c r="X641" s="757"/>
    </row>
    <row r="642" spans="1:24" s="753" customFormat="1" ht="13.5" customHeight="1">
      <c r="A642" s="764">
        <v>221201</v>
      </c>
      <c r="B642" s="764" t="s">
        <v>526</v>
      </c>
      <c r="C642" s="765">
        <f>C643</f>
        <v>25000000</v>
      </c>
      <c r="D642" s="749"/>
      <c r="E642" s="757"/>
      <c r="F642" s="757"/>
      <c r="G642" s="758"/>
      <c r="H642" s="757"/>
      <c r="I642" s="757"/>
      <c r="J642" s="757"/>
      <c r="K642" s="757"/>
      <c r="L642" s="757"/>
      <c r="M642" s="757"/>
      <c r="N642" s="757"/>
      <c r="O642" s="757"/>
      <c r="P642" s="757"/>
      <c r="Q642" s="757"/>
      <c r="R642" s="757"/>
      <c r="S642" s="757"/>
      <c r="T642" s="757"/>
      <c r="U642" s="757"/>
      <c r="V642" s="757"/>
      <c r="W642" s="757"/>
      <c r="X642" s="757"/>
    </row>
    <row r="643" spans="1:24" s="753" customFormat="1" ht="13.5" customHeight="1">
      <c r="A643" s="798">
        <v>22120107</v>
      </c>
      <c r="B643" s="769" t="s">
        <v>680</v>
      </c>
      <c r="C643" s="755">
        <v>25000000</v>
      </c>
      <c r="D643" s="749"/>
      <c r="E643" s="757"/>
      <c r="F643" s="757"/>
      <c r="G643" s="758"/>
      <c r="H643" s="757"/>
      <c r="I643" s="757"/>
      <c r="J643" s="757"/>
      <c r="K643" s="757"/>
      <c r="L643" s="757"/>
      <c r="M643" s="757"/>
      <c r="N643" s="757"/>
      <c r="O643" s="757"/>
      <c r="P643" s="757"/>
      <c r="Q643" s="757"/>
      <c r="R643" s="757"/>
      <c r="S643" s="757"/>
      <c r="T643" s="757"/>
      <c r="U643" s="757"/>
      <c r="V643" s="757"/>
      <c r="W643" s="757"/>
      <c r="X643" s="757"/>
    </row>
    <row r="644" spans="1:24" s="753" customFormat="1" ht="13.5" customHeight="1">
      <c r="A644" s="798"/>
      <c r="B644" s="769"/>
      <c r="C644" s="755"/>
      <c r="D644" s="749"/>
      <c r="E644" s="757"/>
      <c r="F644" s="757"/>
      <c r="G644" s="758"/>
      <c r="H644" s="757"/>
      <c r="I644" s="757"/>
      <c r="J644" s="757"/>
      <c r="K644" s="757"/>
      <c r="L644" s="757"/>
      <c r="M644" s="757"/>
      <c r="N644" s="757"/>
      <c r="O644" s="757"/>
      <c r="P644" s="757"/>
      <c r="Q644" s="757"/>
      <c r="R644" s="757"/>
      <c r="S644" s="757"/>
      <c r="T644" s="757"/>
      <c r="U644" s="757"/>
      <c r="V644" s="757"/>
      <c r="W644" s="757"/>
      <c r="X644" s="757"/>
    </row>
    <row r="645" spans="1:24" ht="12.75" customHeight="1" thickBot="1">
      <c r="A645" s="23"/>
      <c r="B645" s="24"/>
      <c r="C645" s="14"/>
      <c r="D645" s="8"/>
      <c r="E645" s="8"/>
      <c r="F645" s="8"/>
      <c r="G645" s="8"/>
      <c r="H645" s="8"/>
      <c r="I645" s="8"/>
      <c r="J645" s="8"/>
      <c r="K645" s="8"/>
      <c r="L645" s="8"/>
      <c r="M645" s="8"/>
      <c r="N645" s="8"/>
      <c r="O645" s="8"/>
      <c r="P645" s="8"/>
      <c r="Q645" s="8"/>
      <c r="R645" s="8"/>
      <c r="S645" s="8"/>
      <c r="T645" s="8"/>
      <c r="U645" s="8"/>
      <c r="V645" s="8"/>
      <c r="W645" s="8"/>
      <c r="X645" s="8"/>
    </row>
    <row r="646" spans="1:24" s="753" customFormat="1" ht="13.5" customHeight="1">
      <c r="A646" s="1365" t="s">
        <v>951</v>
      </c>
      <c r="B646" s="1366"/>
      <c r="C646" s="1208">
        <v>1618</v>
      </c>
      <c r="D646" s="749"/>
      <c r="E646" s="757"/>
      <c r="F646" s="757"/>
      <c r="G646" s="758"/>
      <c r="H646" s="757"/>
      <c r="I646" s="757"/>
      <c r="J646" s="757"/>
      <c r="K646" s="757"/>
      <c r="L646" s="757"/>
      <c r="M646" s="757"/>
      <c r="N646" s="757"/>
      <c r="O646" s="757"/>
      <c r="P646" s="757"/>
      <c r="Q646" s="757"/>
      <c r="R646" s="757"/>
      <c r="S646" s="757"/>
      <c r="T646" s="757"/>
      <c r="U646" s="757"/>
      <c r="V646" s="757"/>
      <c r="W646" s="757"/>
      <c r="X646" s="757"/>
    </row>
    <row r="647" spans="1:24" s="753" customFormat="1" ht="13.5" customHeight="1" thickBot="1">
      <c r="A647" s="1369"/>
      <c r="B647" s="1370"/>
      <c r="C647" s="1209"/>
      <c r="D647" s="749"/>
      <c r="E647" s="757"/>
      <c r="F647" s="757"/>
      <c r="G647" s="758"/>
      <c r="H647" s="757"/>
      <c r="I647" s="757"/>
      <c r="J647" s="757"/>
      <c r="K647" s="757"/>
      <c r="L647" s="757"/>
      <c r="M647" s="757"/>
      <c r="N647" s="757"/>
      <c r="O647" s="757"/>
      <c r="P647" s="757"/>
      <c r="Q647" s="757"/>
      <c r="R647" s="757"/>
      <c r="S647" s="757"/>
      <c r="T647" s="757"/>
      <c r="U647" s="757"/>
      <c r="V647" s="757"/>
      <c r="W647" s="757"/>
      <c r="X647" s="757"/>
    </row>
    <row r="648" spans="1:24" s="753" customFormat="1" ht="13.5" customHeight="1">
      <c r="A648" s="1204" t="s">
        <v>671</v>
      </c>
      <c r="B648" s="754"/>
      <c r="C648" s="1201"/>
      <c r="D648" s="749"/>
      <c r="E648" s="757"/>
      <c r="F648" s="757"/>
      <c r="G648" s="758"/>
      <c r="H648" s="757"/>
      <c r="I648" s="757"/>
      <c r="J648" s="757"/>
      <c r="K648" s="757"/>
      <c r="L648" s="757"/>
      <c r="M648" s="757"/>
      <c r="N648" s="757"/>
      <c r="O648" s="757"/>
      <c r="P648" s="757"/>
      <c r="Q648" s="757"/>
      <c r="R648" s="757"/>
      <c r="S648" s="757"/>
      <c r="T648" s="757"/>
      <c r="U648" s="757"/>
      <c r="V648" s="757"/>
      <c r="W648" s="757"/>
      <c r="X648" s="757"/>
    </row>
    <row r="649" spans="1:24" s="753" customFormat="1" ht="13.5" customHeight="1">
      <c r="A649" s="661" t="s">
        <v>931</v>
      </c>
      <c r="B649" s="754"/>
      <c r="C649" s="1201"/>
      <c r="D649" s="749"/>
      <c r="E649" s="757"/>
      <c r="F649" s="757"/>
      <c r="G649" s="758"/>
      <c r="H649" s="757"/>
      <c r="I649" s="757"/>
      <c r="J649" s="757"/>
      <c r="K649" s="757"/>
      <c r="L649" s="757"/>
      <c r="M649" s="757"/>
      <c r="N649" s="757"/>
      <c r="O649" s="757"/>
      <c r="P649" s="757"/>
      <c r="Q649" s="757"/>
      <c r="R649" s="757"/>
      <c r="S649" s="757"/>
      <c r="T649" s="757"/>
      <c r="U649" s="757"/>
      <c r="V649" s="757"/>
      <c r="W649" s="757"/>
      <c r="X649" s="757"/>
    </row>
    <row r="650" spans="1:24" s="753" customFormat="1" ht="13.5" customHeight="1">
      <c r="A650" s="609" t="s">
        <v>754</v>
      </c>
      <c r="B650" s="986"/>
      <c r="C650" s="1201"/>
      <c r="D650" s="749"/>
      <c r="E650" s="757"/>
      <c r="F650" s="757"/>
      <c r="G650" s="758"/>
      <c r="H650" s="757"/>
      <c r="I650" s="757"/>
      <c r="J650" s="757"/>
      <c r="K650" s="757"/>
      <c r="L650" s="757"/>
      <c r="M650" s="757"/>
      <c r="N650" s="757"/>
      <c r="O650" s="757"/>
      <c r="P650" s="757"/>
      <c r="Q650" s="757"/>
      <c r="R650" s="757"/>
      <c r="S650" s="757"/>
      <c r="T650" s="757"/>
      <c r="U650" s="757"/>
      <c r="V650" s="757"/>
      <c r="W650" s="757"/>
      <c r="X650" s="757"/>
    </row>
    <row r="651" spans="1:24" s="753" customFormat="1" ht="13.5" customHeight="1" thickBot="1">
      <c r="A651" s="1204" t="s">
        <v>59</v>
      </c>
      <c r="B651" s="754"/>
      <c r="C651" s="1201"/>
      <c r="D651" s="749"/>
      <c r="E651" s="757"/>
      <c r="F651" s="757"/>
      <c r="G651" s="758"/>
      <c r="H651" s="757"/>
      <c r="I651" s="757"/>
      <c r="J651" s="757"/>
      <c r="K651" s="757"/>
      <c r="L651" s="757"/>
      <c r="M651" s="757"/>
      <c r="N651" s="757"/>
      <c r="O651" s="757"/>
      <c r="P651" s="757"/>
      <c r="Q651" s="757"/>
      <c r="R651" s="757"/>
      <c r="S651" s="757"/>
      <c r="T651" s="757"/>
      <c r="U651" s="757"/>
      <c r="V651" s="757"/>
      <c r="W651" s="757"/>
      <c r="X651" s="757"/>
    </row>
    <row r="652" spans="1:24" s="753" customFormat="1" ht="13.5" customHeight="1" thickBot="1">
      <c r="A652" s="1171" t="s">
        <v>60</v>
      </c>
      <c r="B652" s="1091"/>
      <c r="C652" s="1207">
        <f>(C654)</f>
        <v>60000000</v>
      </c>
      <c r="D652" s="749"/>
      <c r="E652" s="757"/>
      <c r="F652" s="757"/>
      <c r="G652" s="758"/>
      <c r="H652" s="757"/>
      <c r="I652" s="757"/>
      <c r="J652" s="757"/>
      <c r="K652" s="757"/>
      <c r="L652" s="757"/>
      <c r="M652" s="757"/>
      <c r="N652" s="757"/>
      <c r="O652" s="757"/>
      <c r="P652" s="757"/>
      <c r="Q652" s="757"/>
      <c r="R652" s="757"/>
      <c r="S652" s="757"/>
      <c r="T652" s="757"/>
      <c r="U652" s="757"/>
      <c r="V652" s="757"/>
      <c r="W652" s="757"/>
      <c r="X652" s="757"/>
    </row>
    <row r="653" spans="1:24" s="753" customFormat="1" ht="13.5" customHeight="1" thickBot="1">
      <c r="A653" s="759"/>
      <c r="B653" s="759"/>
      <c r="C653" s="755"/>
      <c r="D653" s="749"/>
      <c r="E653" s="757"/>
      <c r="F653" s="757"/>
      <c r="G653" s="758"/>
      <c r="H653" s="757"/>
      <c r="I653" s="757"/>
      <c r="J653" s="757"/>
      <c r="K653" s="757"/>
      <c r="L653" s="757"/>
      <c r="M653" s="757"/>
      <c r="N653" s="757"/>
      <c r="O653" s="757"/>
      <c r="P653" s="757"/>
      <c r="Q653" s="757"/>
      <c r="R653" s="757"/>
      <c r="S653" s="757"/>
      <c r="T653" s="757"/>
      <c r="U653" s="757"/>
      <c r="V653" s="757"/>
      <c r="W653" s="757"/>
      <c r="X653" s="757"/>
    </row>
    <row r="654" spans="1:24" s="753" customFormat="1" ht="13.5" customHeight="1" thickBot="1">
      <c r="A654" s="1391" t="s">
        <v>63</v>
      </c>
      <c r="B654" s="1320"/>
      <c r="C654" s="761">
        <f>(C656)</f>
        <v>60000000</v>
      </c>
      <c r="D654" s="749"/>
      <c r="E654" s="757"/>
      <c r="F654" s="757"/>
      <c r="G654" s="758"/>
      <c r="H654" s="757"/>
      <c r="I654" s="757"/>
      <c r="J654" s="757"/>
      <c r="K654" s="757"/>
      <c r="L654" s="757"/>
      <c r="M654" s="757"/>
      <c r="N654" s="757"/>
      <c r="O654" s="757"/>
      <c r="P654" s="757"/>
      <c r="Q654" s="757"/>
      <c r="R654" s="757"/>
      <c r="S654" s="757"/>
      <c r="T654" s="757"/>
      <c r="U654" s="757"/>
      <c r="V654" s="757"/>
      <c r="W654" s="757"/>
      <c r="X654" s="757"/>
    </row>
    <row r="655" spans="1:24" s="753" customFormat="1" ht="13.5" customHeight="1">
      <c r="A655" s="764">
        <v>221201</v>
      </c>
      <c r="B655" s="764" t="s">
        <v>526</v>
      </c>
      <c r="C655" s="765">
        <f>C654</f>
        <v>60000000</v>
      </c>
      <c r="D655" s="749"/>
      <c r="E655" s="757"/>
      <c r="F655" s="757"/>
      <c r="G655" s="758"/>
      <c r="H655" s="757"/>
      <c r="I655" s="757"/>
      <c r="J655" s="757"/>
      <c r="K655" s="757"/>
      <c r="L655" s="757"/>
      <c r="M655" s="757"/>
      <c r="N655" s="757"/>
      <c r="O655" s="757"/>
      <c r="P655" s="757"/>
      <c r="Q655" s="757"/>
      <c r="R655" s="757"/>
      <c r="S655" s="757"/>
      <c r="T655" s="757"/>
      <c r="U655" s="757"/>
      <c r="V655" s="757"/>
      <c r="W655" s="757"/>
      <c r="X655" s="757"/>
    </row>
    <row r="656" spans="1:24" s="753" customFormat="1" ht="13.5" customHeight="1">
      <c r="A656" s="798">
        <v>22120104</v>
      </c>
      <c r="B656" s="759" t="s">
        <v>681</v>
      </c>
      <c r="C656" s="768">
        <v>60000000</v>
      </c>
      <c r="D656" s="749"/>
      <c r="E656" s="757"/>
      <c r="F656" s="757"/>
      <c r="G656" s="758"/>
      <c r="H656" s="757"/>
      <c r="I656" s="757"/>
      <c r="J656" s="757"/>
      <c r="K656" s="757"/>
      <c r="L656" s="757"/>
      <c r="M656" s="757"/>
      <c r="N656" s="757"/>
      <c r="O656" s="757"/>
      <c r="P656" s="757"/>
      <c r="Q656" s="757"/>
      <c r="R656" s="757"/>
      <c r="S656" s="757"/>
      <c r="T656" s="757"/>
      <c r="U656" s="757"/>
      <c r="V656" s="757"/>
      <c r="W656" s="757"/>
      <c r="X656" s="757"/>
    </row>
    <row r="657" spans="1:24" ht="12.75" customHeight="1">
      <c r="A657" s="23"/>
      <c r="B657" s="13"/>
      <c r="C657" s="14"/>
      <c r="D657" s="8"/>
      <c r="E657" s="118"/>
      <c r="F657" s="8"/>
      <c r="G657" s="16"/>
      <c r="H657" s="8"/>
      <c r="I657" s="8"/>
      <c r="J657" s="8"/>
      <c r="K657" s="8"/>
      <c r="L657" s="8"/>
      <c r="M657" s="8"/>
      <c r="N657" s="8"/>
      <c r="O657" s="8"/>
      <c r="P657" s="8"/>
      <c r="Q657" s="8"/>
      <c r="R657" s="8"/>
      <c r="S657" s="8"/>
      <c r="T657" s="8"/>
      <c r="U657" s="8"/>
      <c r="V657" s="8"/>
      <c r="W657" s="8"/>
      <c r="X657" s="8"/>
    </row>
    <row r="658" spans="1:24" ht="13.5" customHeight="1" thickBot="1">
      <c r="A658" s="100"/>
      <c r="B658" s="100"/>
      <c r="C658" s="72"/>
      <c r="D658" s="37"/>
      <c r="E658" s="73"/>
      <c r="F658" s="73"/>
      <c r="G658" s="74"/>
      <c r="H658" s="73"/>
      <c r="I658" s="73"/>
      <c r="J658" s="73"/>
      <c r="K658" s="73"/>
      <c r="L658" s="73"/>
      <c r="M658" s="73"/>
      <c r="N658" s="73"/>
      <c r="O658" s="73"/>
      <c r="P658" s="73"/>
      <c r="Q658" s="73"/>
      <c r="R658" s="73"/>
      <c r="S658" s="73"/>
      <c r="T658" s="73"/>
      <c r="U658" s="73"/>
      <c r="V658" s="73"/>
      <c r="W658" s="73"/>
      <c r="X658" s="73"/>
    </row>
    <row r="659" spans="1:24" s="239" customFormat="1" ht="13.5">
      <c r="A659" s="657" t="s">
        <v>705</v>
      </c>
      <c r="B659" s="658" t="s">
        <v>292</v>
      </c>
      <c r="C659" s="1212">
        <v>1619</v>
      </c>
      <c r="D659" s="37"/>
      <c r="G659" s="660"/>
    </row>
    <row r="660" spans="1:24" s="239" customFormat="1" ht="14.25" thickBot="1">
      <c r="A660" s="672"/>
      <c r="B660" s="673"/>
      <c r="C660" s="1045"/>
      <c r="D660" s="37"/>
      <c r="G660" s="660"/>
    </row>
    <row r="661" spans="1:24" s="239" customFormat="1" ht="13.5">
      <c r="A661" s="661" t="s">
        <v>671</v>
      </c>
      <c r="B661" s="1214"/>
      <c r="C661" s="664"/>
      <c r="D661" s="37"/>
      <c r="G661" s="660"/>
    </row>
    <row r="662" spans="1:24" s="239" customFormat="1" ht="13.5">
      <c r="A662" s="661" t="s">
        <v>931</v>
      </c>
      <c r="B662" s="1214"/>
      <c r="C662" s="664"/>
      <c r="D662" s="37"/>
      <c r="G662" s="660"/>
    </row>
    <row r="663" spans="1:24" s="239" customFormat="1" ht="13.5">
      <c r="A663" s="609" t="s">
        <v>754</v>
      </c>
      <c r="B663" s="1214"/>
      <c r="C663" s="664"/>
      <c r="D663" s="37"/>
      <c r="G663" s="660"/>
    </row>
    <row r="664" spans="1:24" s="239" customFormat="1" ht="14.25" thickBot="1">
      <c r="A664" s="661" t="s">
        <v>59</v>
      </c>
      <c r="B664" s="1214"/>
      <c r="C664" s="679"/>
      <c r="D664" s="37"/>
      <c r="G664" s="660"/>
    </row>
    <row r="665" spans="1:24" s="239" customFormat="1" ht="14.25" thickBot="1">
      <c r="A665" s="1171" t="s">
        <v>60</v>
      </c>
      <c r="B665" s="666"/>
      <c r="C665" s="607">
        <f>(C667)</f>
        <v>20000000</v>
      </c>
      <c r="D665" s="37"/>
      <c r="G665" s="660"/>
    </row>
    <row r="666" spans="1:24" s="239" customFormat="1" ht="14.25" thickBot="1">
      <c r="A666" s="667"/>
      <c r="B666" s="667"/>
      <c r="C666" s="663"/>
      <c r="D666" s="37"/>
      <c r="G666" s="660"/>
    </row>
    <row r="667" spans="1:24" s="239" customFormat="1" ht="14.25" thickBot="1">
      <c r="A667" s="1395" t="s">
        <v>63</v>
      </c>
      <c r="B667" s="1396"/>
      <c r="C667" s="668">
        <f>(C669)</f>
        <v>20000000</v>
      </c>
      <c r="D667" s="37"/>
      <c r="G667" s="660"/>
    </row>
    <row r="668" spans="1:24" s="239" customFormat="1" ht="13.5">
      <c r="A668" s="76">
        <v>221201</v>
      </c>
      <c r="B668" s="154" t="s">
        <v>64</v>
      </c>
      <c r="C668" s="670">
        <f>SUM(C669)</f>
        <v>20000000</v>
      </c>
      <c r="D668" s="37"/>
      <c r="G668" s="660"/>
    </row>
    <row r="669" spans="1:24" s="239" customFormat="1" ht="13.5">
      <c r="A669" s="33">
        <v>22120118</v>
      </c>
      <c r="B669" s="23" t="s">
        <v>101</v>
      </c>
      <c r="C669" s="24">
        <v>20000000</v>
      </c>
      <c r="D669" s="37"/>
      <c r="G669" s="660"/>
    </row>
    <row r="670" spans="1:24" s="239" customFormat="1" ht="13.5">
      <c r="A670"/>
      <c r="B670"/>
      <c r="C670"/>
      <c r="D670" s="659"/>
      <c r="G670" s="660"/>
    </row>
    <row r="671" spans="1:24" ht="13.5" customHeight="1" thickBot="1">
      <c r="A671" s="23"/>
      <c r="B671" s="23"/>
      <c r="C671" s="24"/>
      <c r="D671" s="37"/>
      <c r="E671" s="73"/>
      <c r="F671" s="73"/>
      <c r="G671" s="74"/>
      <c r="H671" s="73"/>
      <c r="I671" s="73"/>
      <c r="J671" s="73"/>
      <c r="K671" s="73"/>
      <c r="L671" s="73"/>
      <c r="M671" s="73"/>
      <c r="N671" s="73"/>
      <c r="O671" s="73"/>
      <c r="P671" s="73"/>
      <c r="Q671" s="73"/>
      <c r="R671" s="73"/>
      <c r="S671" s="73"/>
      <c r="T671" s="73"/>
      <c r="U671" s="73"/>
      <c r="V671" s="73"/>
      <c r="W671" s="73"/>
      <c r="X671" s="73"/>
    </row>
    <row r="672" spans="1:24" ht="13.5" customHeight="1">
      <c r="A672" s="1063" t="s">
        <v>950</v>
      </c>
      <c r="B672" s="985"/>
      <c r="C672" s="1174">
        <v>1620</v>
      </c>
      <c r="D672" s="37"/>
      <c r="E672" s="170"/>
      <c r="F672" s="170"/>
      <c r="G672" s="172"/>
      <c r="H672" s="171"/>
      <c r="I672" s="171"/>
      <c r="J672" s="171"/>
      <c r="K672" s="171"/>
      <c r="L672" s="171"/>
      <c r="M672" s="171"/>
      <c r="N672" s="171"/>
      <c r="O672" s="171"/>
      <c r="P672" s="171"/>
      <c r="Q672" s="171"/>
      <c r="R672" s="171"/>
      <c r="S672" s="171"/>
      <c r="T672" s="171"/>
      <c r="U672" s="171"/>
      <c r="V672" s="171"/>
      <c r="W672" s="171"/>
      <c r="X672" s="171"/>
    </row>
    <row r="673" spans="1:24" ht="13.5" customHeight="1" thickBot="1">
      <c r="A673" s="1168"/>
      <c r="B673" s="981"/>
      <c r="C673" s="1210"/>
      <c r="D673" s="37"/>
      <c r="E673" s="170"/>
      <c r="F673" s="171"/>
      <c r="G673" s="172"/>
      <c r="H673" s="171"/>
      <c r="I673" s="171"/>
      <c r="J673" s="171"/>
      <c r="K673" s="171"/>
      <c r="L673" s="171"/>
      <c r="M673" s="171"/>
      <c r="N673" s="171"/>
      <c r="O673" s="171"/>
      <c r="P673" s="171"/>
      <c r="Q673" s="171"/>
      <c r="R673" s="171"/>
      <c r="S673" s="171"/>
      <c r="T673" s="171"/>
      <c r="U673" s="171"/>
      <c r="V673" s="171"/>
      <c r="W673" s="171"/>
      <c r="X673" s="171"/>
    </row>
    <row r="674" spans="1:24" ht="13.5" customHeight="1">
      <c r="A674" s="1088" t="s">
        <v>671</v>
      </c>
      <c r="B674" s="612"/>
      <c r="C674" s="626"/>
      <c r="D674" s="37"/>
      <c r="E674" s="171"/>
      <c r="F674" s="171"/>
      <c r="G674" s="172"/>
      <c r="H674" s="171"/>
      <c r="I674" s="171"/>
      <c r="J674" s="171"/>
      <c r="K674" s="171"/>
      <c r="L674" s="171"/>
      <c r="M674" s="171"/>
      <c r="N674" s="171"/>
      <c r="O674" s="171"/>
      <c r="P674" s="171"/>
      <c r="Q674" s="171"/>
      <c r="R674" s="171"/>
      <c r="S674" s="171"/>
      <c r="T674" s="171"/>
      <c r="U674" s="171"/>
      <c r="V674" s="171"/>
      <c r="W674" s="171"/>
      <c r="X674" s="171"/>
    </row>
    <row r="675" spans="1:24" ht="13.5" customHeight="1">
      <c r="A675" s="661" t="s">
        <v>932</v>
      </c>
      <c r="B675" s="612"/>
      <c r="C675" s="626"/>
      <c r="D675" s="37"/>
      <c r="E675" s="171"/>
      <c r="F675" s="171"/>
      <c r="G675" s="172"/>
      <c r="H675" s="171"/>
      <c r="I675" s="171"/>
      <c r="J675" s="171"/>
      <c r="K675" s="171"/>
      <c r="L675" s="171"/>
      <c r="M675" s="171"/>
      <c r="N675" s="171"/>
      <c r="O675" s="171"/>
      <c r="P675" s="171"/>
      <c r="Q675" s="171"/>
      <c r="R675" s="171"/>
      <c r="S675" s="171"/>
      <c r="T675" s="171"/>
      <c r="U675" s="171"/>
      <c r="V675" s="171"/>
      <c r="W675" s="171"/>
      <c r="X675" s="171"/>
    </row>
    <row r="676" spans="1:24" ht="13.5" customHeight="1">
      <c r="A676" s="609" t="s">
        <v>754</v>
      </c>
      <c r="B676" s="612"/>
      <c r="C676" s="626"/>
      <c r="D676" s="37"/>
      <c r="E676" s="171"/>
      <c r="F676" s="171"/>
      <c r="G676" s="172"/>
      <c r="H676" s="171"/>
      <c r="I676" s="171"/>
      <c r="J676" s="171"/>
      <c r="K676" s="171"/>
      <c r="L676" s="171"/>
      <c r="M676" s="171"/>
      <c r="N676" s="171"/>
      <c r="O676" s="171"/>
      <c r="P676" s="171"/>
      <c r="Q676" s="171"/>
      <c r="R676" s="171"/>
      <c r="S676" s="171"/>
      <c r="T676" s="171"/>
      <c r="U676" s="171"/>
      <c r="V676" s="171"/>
      <c r="W676" s="171"/>
      <c r="X676" s="171"/>
    </row>
    <row r="677" spans="1:24" ht="13.5" customHeight="1" thickBot="1">
      <c r="A677" s="1089" t="s">
        <v>59</v>
      </c>
      <c r="B677" s="612"/>
      <c r="C677" s="626"/>
      <c r="D677" s="37"/>
      <c r="E677" s="171"/>
      <c r="F677" s="171"/>
      <c r="G677" s="172"/>
      <c r="H677" s="171"/>
      <c r="I677" s="171"/>
      <c r="J677" s="171"/>
      <c r="K677" s="171"/>
      <c r="L677" s="171"/>
      <c r="M677" s="171"/>
      <c r="N677" s="171"/>
      <c r="O677" s="171"/>
      <c r="P677" s="171"/>
      <c r="Q677" s="171"/>
      <c r="R677" s="171"/>
      <c r="S677" s="171"/>
      <c r="T677" s="171"/>
      <c r="U677" s="171"/>
      <c r="V677" s="171"/>
      <c r="W677" s="171"/>
      <c r="X677" s="171"/>
    </row>
    <row r="678" spans="1:24" ht="13.5" customHeight="1" thickBot="1">
      <c r="A678" s="1171" t="s">
        <v>60</v>
      </c>
      <c r="B678" s="1197"/>
      <c r="C678" s="1033">
        <f>(C713+C725+C738+C750)</f>
        <v>1701925000</v>
      </c>
      <c r="D678" s="37"/>
      <c r="E678" s="171"/>
      <c r="F678" s="171"/>
      <c r="G678" s="172"/>
      <c r="H678" s="171"/>
      <c r="I678" s="171"/>
      <c r="J678" s="171"/>
      <c r="K678" s="171"/>
      <c r="L678" s="171"/>
      <c r="M678" s="171"/>
      <c r="N678" s="171"/>
      <c r="O678" s="171"/>
      <c r="P678" s="171"/>
      <c r="Q678" s="171"/>
      <c r="R678" s="171"/>
      <c r="S678" s="171"/>
      <c r="T678" s="171"/>
      <c r="U678" s="171"/>
      <c r="V678" s="171"/>
      <c r="W678" s="171"/>
      <c r="X678" s="171"/>
    </row>
    <row r="679" spans="1:24" ht="13.5" customHeight="1" thickBot="1">
      <c r="A679" s="1215"/>
      <c r="B679" s="613"/>
      <c r="C679" s="1216"/>
      <c r="D679" s="37"/>
      <c r="E679" s="171"/>
      <c r="F679" s="171"/>
      <c r="G679" s="172"/>
      <c r="H679" s="171"/>
      <c r="I679" s="171"/>
      <c r="J679" s="171"/>
      <c r="K679" s="171"/>
      <c r="L679" s="171"/>
      <c r="M679" s="171"/>
      <c r="N679" s="171"/>
      <c r="O679" s="171"/>
      <c r="P679" s="171"/>
      <c r="Q679" s="171"/>
      <c r="R679" s="171"/>
      <c r="S679" s="171"/>
      <c r="T679" s="171"/>
      <c r="U679" s="171"/>
      <c r="V679" s="171"/>
      <c r="W679" s="171"/>
      <c r="X679" s="171"/>
    </row>
    <row r="680" spans="1:24" ht="13.5" hidden="1" customHeight="1" thickBot="1">
      <c r="A680" s="1397" t="s">
        <v>9</v>
      </c>
      <c r="B680" s="1281"/>
      <c r="C680" s="173">
        <f>C681+C688</f>
        <v>0</v>
      </c>
      <c r="D680" s="37"/>
      <c r="E680" s="35"/>
      <c r="F680" s="35"/>
      <c r="G680" s="126"/>
      <c r="H680" s="35"/>
      <c r="I680" s="35"/>
      <c r="J680" s="35"/>
      <c r="K680" s="35"/>
      <c r="L680" s="35"/>
      <c r="M680" s="35"/>
      <c r="N680" s="35"/>
      <c r="O680" s="35"/>
      <c r="P680" s="35"/>
      <c r="Q680" s="35"/>
      <c r="R680" s="35"/>
      <c r="S680" s="35"/>
      <c r="T680" s="35"/>
      <c r="U680" s="35"/>
      <c r="V680" s="35"/>
      <c r="W680" s="35"/>
      <c r="X680" s="35"/>
    </row>
    <row r="681" spans="1:24" ht="13.5" hidden="1" customHeight="1">
      <c r="A681" s="21" t="s">
        <v>15</v>
      </c>
      <c r="B681" s="24" t="s">
        <v>16</v>
      </c>
      <c r="C681" s="26">
        <f>SUM(C682:C687)</f>
        <v>0</v>
      </c>
      <c r="D681" s="146"/>
      <c r="E681" s="24"/>
      <c r="F681" s="23"/>
      <c r="G681" s="63"/>
      <c r="H681" s="23"/>
      <c r="I681" s="23"/>
      <c r="J681" s="23"/>
      <c r="K681" s="23"/>
      <c r="L681" s="23"/>
      <c r="M681" s="23"/>
      <c r="N681" s="23"/>
      <c r="O681" s="23"/>
      <c r="P681" s="23"/>
      <c r="Q681" s="23"/>
      <c r="R681" s="23"/>
      <c r="S681" s="23"/>
      <c r="T681" s="23"/>
      <c r="U681" s="23"/>
      <c r="V681" s="23"/>
      <c r="W681" s="23"/>
      <c r="X681" s="23"/>
    </row>
    <row r="682" spans="1:24" ht="13.5" hidden="1" customHeight="1">
      <c r="A682" s="23" t="s">
        <v>17</v>
      </c>
      <c r="B682" s="24" t="s">
        <v>18</v>
      </c>
      <c r="C682" s="174"/>
      <c r="D682" s="146"/>
      <c r="E682" s="24"/>
      <c r="F682" s="23"/>
      <c r="G682" s="63"/>
      <c r="H682" s="23"/>
      <c r="I682" s="23"/>
      <c r="J682" s="23"/>
      <c r="K682" s="23"/>
      <c r="L682" s="23"/>
      <c r="M682" s="23"/>
      <c r="N682" s="23"/>
      <c r="O682" s="23"/>
      <c r="P682" s="23"/>
      <c r="Q682" s="23"/>
      <c r="R682" s="23"/>
      <c r="S682" s="23"/>
      <c r="T682" s="23"/>
      <c r="U682" s="23"/>
      <c r="V682" s="23"/>
      <c r="W682" s="23"/>
      <c r="X682" s="23"/>
    </row>
    <row r="683" spans="1:24" ht="13.5" hidden="1" customHeight="1">
      <c r="A683" s="23" t="s">
        <v>90</v>
      </c>
      <c r="B683" s="24" t="s">
        <v>91</v>
      </c>
      <c r="C683" s="174"/>
      <c r="D683" s="146"/>
      <c r="E683" s="24"/>
      <c r="F683" s="23"/>
      <c r="G683" s="63"/>
      <c r="H683" s="23"/>
      <c r="I683" s="23"/>
      <c r="J683" s="23"/>
      <c r="K683" s="23"/>
      <c r="L683" s="23"/>
      <c r="M683" s="23"/>
      <c r="N683" s="23"/>
      <c r="O683" s="23"/>
      <c r="P683" s="23"/>
      <c r="Q683" s="23"/>
      <c r="R683" s="23"/>
      <c r="S683" s="23"/>
      <c r="T683" s="23"/>
      <c r="U683" s="23"/>
      <c r="V683" s="23"/>
      <c r="W683" s="23"/>
      <c r="X683" s="23"/>
    </row>
    <row r="684" spans="1:24" ht="13.5" hidden="1" customHeight="1">
      <c r="A684" s="23" t="s">
        <v>52</v>
      </c>
      <c r="B684" s="24" t="s">
        <v>53</v>
      </c>
      <c r="C684" s="174"/>
      <c r="D684" s="146"/>
      <c r="E684" s="24"/>
      <c r="F684" s="23"/>
      <c r="G684" s="63"/>
      <c r="H684" s="23"/>
      <c r="I684" s="23"/>
      <c r="J684" s="23"/>
      <c r="K684" s="23"/>
      <c r="L684" s="23"/>
      <c r="M684" s="23"/>
      <c r="N684" s="23"/>
      <c r="O684" s="23"/>
      <c r="P684" s="23"/>
      <c r="Q684" s="23"/>
      <c r="R684" s="23"/>
      <c r="S684" s="23"/>
      <c r="T684" s="23"/>
      <c r="U684" s="23"/>
      <c r="V684" s="23"/>
      <c r="W684" s="23"/>
      <c r="X684" s="23"/>
    </row>
    <row r="685" spans="1:24" ht="13.5" hidden="1" customHeight="1">
      <c r="A685" s="23" t="s">
        <v>94</v>
      </c>
      <c r="B685" s="23" t="s">
        <v>95</v>
      </c>
      <c r="C685" s="174"/>
      <c r="D685" s="146"/>
      <c r="E685" s="24"/>
      <c r="F685" s="23"/>
      <c r="G685" s="63"/>
      <c r="H685" s="23"/>
      <c r="I685" s="23"/>
      <c r="J685" s="23"/>
      <c r="K685" s="23"/>
      <c r="L685" s="23"/>
      <c r="M685" s="23"/>
      <c r="N685" s="23"/>
      <c r="O685" s="23"/>
      <c r="P685" s="23"/>
      <c r="Q685" s="23"/>
      <c r="R685" s="23"/>
      <c r="S685" s="23"/>
      <c r="T685" s="23"/>
      <c r="U685" s="23"/>
      <c r="V685" s="23"/>
      <c r="W685" s="23"/>
      <c r="X685" s="23"/>
    </row>
    <row r="686" spans="1:24" ht="13.5" hidden="1" customHeight="1">
      <c r="A686" s="23" t="s">
        <v>19</v>
      </c>
      <c r="B686" s="24" t="s">
        <v>20</v>
      </c>
      <c r="C686" s="174"/>
      <c r="D686" s="146"/>
      <c r="E686" s="4"/>
      <c r="F686" s="4"/>
      <c r="G686" s="156"/>
      <c r="H686" s="4"/>
      <c r="I686" s="4"/>
      <c r="J686" s="4"/>
      <c r="K686" s="4"/>
      <c r="L686" s="4"/>
      <c r="M686" s="4"/>
      <c r="N686" s="4"/>
      <c r="O686" s="4"/>
      <c r="P686" s="4"/>
      <c r="Q686" s="4"/>
      <c r="R686" s="4"/>
      <c r="S686" s="4"/>
      <c r="T686" s="4"/>
      <c r="U686" s="4"/>
      <c r="V686" s="4"/>
      <c r="W686" s="4"/>
      <c r="X686" s="4"/>
    </row>
    <row r="687" spans="1:24" ht="13.5" hidden="1" customHeight="1">
      <c r="A687" s="23" t="s">
        <v>69</v>
      </c>
      <c r="B687" s="13" t="s">
        <v>70</v>
      </c>
      <c r="C687" s="174"/>
      <c r="D687" s="146"/>
      <c r="E687" s="4"/>
      <c r="F687" s="4"/>
      <c r="G687" s="156"/>
      <c r="H687" s="4"/>
      <c r="I687" s="4"/>
      <c r="J687" s="4"/>
      <c r="K687" s="4"/>
      <c r="L687" s="4"/>
      <c r="M687" s="4"/>
      <c r="N687" s="4"/>
      <c r="O687" s="4"/>
      <c r="P687" s="4"/>
      <c r="Q687" s="4"/>
      <c r="R687" s="4"/>
      <c r="S687" s="4"/>
      <c r="T687" s="4"/>
      <c r="U687" s="4"/>
      <c r="V687" s="4"/>
      <c r="W687" s="4"/>
      <c r="X687" s="4"/>
    </row>
    <row r="688" spans="1:24" ht="13.5" hidden="1" customHeight="1">
      <c r="A688" s="21" t="s">
        <v>21</v>
      </c>
      <c r="B688" s="24" t="s">
        <v>22</v>
      </c>
      <c r="C688" s="26">
        <f>SUM(C689:C690)</f>
        <v>0</v>
      </c>
      <c r="D688" s="146"/>
      <c r="E688" s="4"/>
      <c r="F688" s="4"/>
      <c r="G688" s="156"/>
      <c r="H688" s="4"/>
      <c r="I688" s="4"/>
      <c r="J688" s="4"/>
      <c r="K688" s="4"/>
      <c r="L688" s="4"/>
      <c r="M688" s="4"/>
      <c r="N688" s="4"/>
      <c r="O688" s="4"/>
      <c r="P688" s="4"/>
      <c r="Q688" s="4"/>
      <c r="R688" s="4"/>
      <c r="S688" s="4"/>
      <c r="T688" s="4"/>
      <c r="U688" s="4"/>
      <c r="V688" s="4"/>
      <c r="W688" s="4"/>
      <c r="X688" s="4"/>
    </row>
    <row r="689" spans="1:24" ht="13.5" hidden="1" customHeight="1">
      <c r="A689" s="23" t="s">
        <v>23</v>
      </c>
      <c r="B689" s="24" t="s">
        <v>24</v>
      </c>
      <c r="C689" s="174"/>
      <c r="D689" s="146"/>
      <c r="E689" s="4"/>
      <c r="F689" s="4"/>
      <c r="G689" s="156"/>
      <c r="H689" s="4"/>
      <c r="I689" s="4"/>
      <c r="J689" s="4"/>
      <c r="K689" s="4"/>
      <c r="L689" s="4"/>
      <c r="M689" s="4"/>
      <c r="N689" s="4"/>
      <c r="O689" s="4"/>
      <c r="P689" s="4"/>
      <c r="Q689" s="4"/>
      <c r="R689" s="4"/>
      <c r="S689" s="4"/>
      <c r="T689" s="4"/>
      <c r="U689" s="4"/>
      <c r="V689" s="4"/>
      <c r="W689" s="4"/>
      <c r="X689" s="4"/>
    </row>
    <row r="690" spans="1:24" ht="13.5" hidden="1" customHeight="1">
      <c r="A690" s="23" t="s">
        <v>55</v>
      </c>
      <c r="B690" s="24" t="s">
        <v>22</v>
      </c>
      <c r="C690" s="174"/>
      <c r="D690" s="146"/>
      <c r="E690" s="24"/>
      <c r="F690" s="23"/>
      <c r="G690" s="63"/>
      <c r="H690" s="23"/>
      <c r="I690" s="23"/>
      <c r="J690" s="23"/>
      <c r="K690" s="23"/>
      <c r="L690" s="23"/>
      <c r="M690" s="23"/>
      <c r="N690" s="23"/>
      <c r="O690" s="23"/>
      <c r="P690" s="23"/>
      <c r="Q690" s="23"/>
      <c r="R690" s="23"/>
      <c r="S690" s="23"/>
      <c r="T690" s="23"/>
      <c r="U690" s="23"/>
      <c r="V690" s="23"/>
      <c r="W690" s="23"/>
      <c r="X690" s="23"/>
    </row>
    <row r="691" spans="1:24" ht="13.5" hidden="1" customHeight="1">
      <c r="A691" s="100"/>
      <c r="B691" s="100"/>
      <c r="C691" s="72"/>
      <c r="D691" s="37"/>
      <c r="E691" s="35"/>
      <c r="F691" s="35"/>
      <c r="G691" s="126"/>
      <c r="H691" s="35"/>
      <c r="I691" s="35"/>
      <c r="J691" s="35"/>
      <c r="K691" s="35"/>
      <c r="L691" s="35"/>
      <c r="M691" s="35"/>
      <c r="N691" s="35"/>
      <c r="O691" s="35"/>
      <c r="P691" s="35"/>
      <c r="Q691" s="35"/>
      <c r="R691" s="35"/>
      <c r="S691" s="35"/>
      <c r="T691" s="35"/>
      <c r="U691" s="35"/>
      <c r="V691" s="35"/>
      <c r="W691" s="35"/>
      <c r="X691" s="35"/>
    </row>
    <row r="692" spans="1:24" ht="13.5" hidden="1" customHeight="1">
      <c r="A692" s="1398" t="s">
        <v>4</v>
      </c>
      <c r="B692" s="1281"/>
      <c r="C692" s="175">
        <f>C693+C696+C701+C703</f>
        <v>0</v>
      </c>
      <c r="D692" s="37"/>
      <c r="E692" s="35"/>
      <c r="F692" s="35"/>
      <c r="G692" s="126"/>
      <c r="H692" s="35"/>
      <c r="I692" s="35"/>
      <c r="J692" s="35"/>
      <c r="K692" s="35"/>
      <c r="L692" s="35"/>
      <c r="M692" s="35"/>
      <c r="N692" s="35"/>
      <c r="O692" s="35"/>
      <c r="P692" s="35"/>
      <c r="Q692" s="35"/>
      <c r="R692" s="35"/>
      <c r="S692" s="35"/>
      <c r="T692" s="35"/>
      <c r="U692" s="35"/>
      <c r="V692" s="35"/>
      <c r="W692" s="35"/>
      <c r="X692" s="35"/>
    </row>
    <row r="693" spans="1:24" ht="13.5" hidden="1" customHeight="1">
      <c r="A693" s="21" t="s">
        <v>25</v>
      </c>
      <c r="B693" s="154" t="s">
        <v>26</v>
      </c>
      <c r="C693" s="155">
        <f>SUM(C694:C695)</f>
        <v>0</v>
      </c>
      <c r="D693" s="148"/>
      <c r="E693" s="92"/>
      <c r="F693" s="92"/>
      <c r="G693" s="160"/>
      <c r="H693" s="92"/>
      <c r="I693" s="92"/>
      <c r="J693" s="92"/>
      <c r="K693" s="92"/>
      <c r="L693" s="92"/>
      <c r="M693" s="92"/>
      <c r="N693" s="92"/>
      <c r="O693" s="92"/>
      <c r="P693" s="92"/>
      <c r="Q693" s="92"/>
      <c r="R693" s="92"/>
      <c r="S693" s="92"/>
      <c r="T693" s="92"/>
      <c r="U693" s="92"/>
      <c r="V693" s="92"/>
      <c r="W693" s="92"/>
      <c r="X693" s="92"/>
    </row>
    <row r="694" spans="1:24" ht="13.5" hidden="1" customHeight="1">
      <c r="A694" s="23" t="s">
        <v>96</v>
      </c>
      <c r="B694" s="23" t="s">
        <v>97</v>
      </c>
      <c r="C694" s="174"/>
      <c r="D694" s="148"/>
      <c r="E694" s="24"/>
      <c r="F694" s="23"/>
      <c r="G694" s="63"/>
      <c r="H694" s="23"/>
      <c r="I694" s="23"/>
      <c r="J694" s="23"/>
      <c r="K694" s="23"/>
      <c r="L694" s="23"/>
      <c r="M694" s="23"/>
      <c r="N694" s="23"/>
      <c r="O694" s="23"/>
      <c r="P694" s="23"/>
      <c r="Q694" s="23"/>
      <c r="R694" s="23"/>
      <c r="S694" s="23"/>
      <c r="T694" s="23"/>
      <c r="U694" s="23"/>
      <c r="V694" s="23"/>
      <c r="W694" s="23"/>
      <c r="X694" s="23"/>
    </row>
    <row r="695" spans="1:24" ht="13.5" hidden="1" customHeight="1">
      <c r="A695" s="23" t="s">
        <v>27</v>
      </c>
      <c r="B695" s="23" t="s">
        <v>28</v>
      </c>
      <c r="C695" s="174"/>
      <c r="D695" s="148"/>
      <c r="E695" s="24"/>
      <c r="F695" s="23"/>
      <c r="G695" s="63"/>
      <c r="H695" s="23"/>
      <c r="I695" s="23"/>
      <c r="J695" s="23"/>
      <c r="K695" s="23"/>
      <c r="L695" s="23"/>
      <c r="M695" s="23"/>
      <c r="N695" s="23"/>
      <c r="O695" s="23"/>
      <c r="P695" s="23"/>
      <c r="Q695" s="23"/>
      <c r="R695" s="23"/>
      <c r="S695" s="23"/>
      <c r="T695" s="23"/>
      <c r="U695" s="23"/>
      <c r="V695" s="23"/>
      <c r="W695" s="23"/>
      <c r="X695" s="23"/>
    </row>
    <row r="696" spans="1:24" ht="13.5" hidden="1" customHeight="1">
      <c r="A696" s="21" t="s">
        <v>29</v>
      </c>
      <c r="B696" s="23" t="s">
        <v>30</v>
      </c>
      <c r="C696" s="26">
        <f>SUM(C697:C700)</f>
        <v>0</v>
      </c>
      <c r="D696" s="148"/>
      <c r="E696" s="24"/>
      <c r="F696" s="23"/>
      <c r="G696" s="63"/>
      <c r="H696" s="23"/>
      <c r="I696" s="23"/>
      <c r="J696" s="23"/>
      <c r="K696" s="23"/>
      <c r="L696" s="23"/>
      <c r="M696" s="23"/>
      <c r="N696" s="23"/>
      <c r="O696" s="23"/>
      <c r="P696" s="23"/>
      <c r="Q696" s="23"/>
      <c r="R696" s="23"/>
      <c r="S696" s="23"/>
      <c r="T696" s="23"/>
      <c r="U696" s="23"/>
      <c r="V696" s="23"/>
      <c r="W696" s="23"/>
      <c r="X696" s="23"/>
    </row>
    <row r="697" spans="1:24" ht="13.5" hidden="1" customHeight="1">
      <c r="A697" s="23" t="s">
        <v>31</v>
      </c>
      <c r="B697" s="23" t="s">
        <v>71</v>
      </c>
      <c r="C697" s="176"/>
      <c r="D697" s="148"/>
      <c r="E697" s="24"/>
      <c r="F697" s="23"/>
      <c r="G697" s="63"/>
      <c r="H697" s="23"/>
      <c r="I697" s="23"/>
      <c r="J697" s="23"/>
      <c r="K697" s="23"/>
      <c r="L697" s="23"/>
      <c r="M697" s="23"/>
      <c r="N697" s="23"/>
      <c r="O697" s="23"/>
      <c r="P697" s="23"/>
      <c r="Q697" s="23"/>
      <c r="R697" s="23"/>
      <c r="S697" s="23"/>
      <c r="T697" s="23"/>
      <c r="U697" s="23"/>
      <c r="V697" s="23"/>
      <c r="W697" s="23"/>
      <c r="X697" s="23"/>
    </row>
    <row r="698" spans="1:24" ht="13.5" hidden="1" customHeight="1">
      <c r="A698" s="23" t="s">
        <v>88</v>
      </c>
      <c r="B698" s="23" t="s">
        <v>89</v>
      </c>
      <c r="C698" s="176"/>
      <c r="D698" s="37"/>
      <c r="E698" s="35"/>
      <c r="F698" s="35"/>
      <c r="G698" s="126"/>
      <c r="H698" s="35"/>
      <c r="I698" s="35"/>
      <c r="J698" s="35"/>
      <c r="K698" s="35"/>
      <c r="L698" s="35"/>
      <c r="M698" s="35"/>
      <c r="N698" s="35"/>
      <c r="O698" s="35"/>
      <c r="P698" s="35"/>
      <c r="Q698" s="35"/>
      <c r="R698" s="35"/>
      <c r="S698" s="35"/>
      <c r="T698" s="35"/>
      <c r="U698" s="35"/>
      <c r="V698" s="35"/>
      <c r="W698" s="35"/>
      <c r="X698" s="35"/>
    </row>
    <row r="699" spans="1:24" ht="13.5" hidden="1" customHeight="1">
      <c r="A699" s="23" t="s">
        <v>32</v>
      </c>
      <c r="B699" s="23" t="s">
        <v>98</v>
      </c>
      <c r="C699" s="176"/>
      <c r="D699" s="37"/>
      <c r="E699" s="35"/>
      <c r="F699" s="35"/>
      <c r="G699" s="126"/>
      <c r="H699" s="35"/>
      <c r="I699" s="35"/>
      <c r="J699" s="35"/>
      <c r="K699" s="35"/>
      <c r="L699" s="35"/>
      <c r="M699" s="35"/>
      <c r="N699" s="35"/>
      <c r="O699" s="35"/>
      <c r="P699" s="35"/>
      <c r="Q699" s="35"/>
      <c r="R699" s="35"/>
      <c r="S699" s="35"/>
      <c r="T699" s="35"/>
      <c r="U699" s="35"/>
      <c r="V699" s="35"/>
      <c r="W699" s="35"/>
      <c r="X699" s="35"/>
    </row>
    <row r="700" spans="1:24" ht="13.5" hidden="1" customHeight="1">
      <c r="A700" s="23" t="s">
        <v>33</v>
      </c>
      <c r="B700" s="23" t="s">
        <v>34</v>
      </c>
      <c r="C700" s="174"/>
      <c r="D700" s="146"/>
      <c r="E700" s="4"/>
      <c r="F700" s="4"/>
      <c r="G700" s="156"/>
      <c r="H700" s="4"/>
      <c r="I700" s="4"/>
      <c r="J700" s="4"/>
      <c r="K700" s="4"/>
      <c r="L700" s="4"/>
      <c r="M700" s="4"/>
      <c r="N700" s="4"/>
      <c r="O700" s="4"/>
      <c r="P700" s="4"/>
      <c r="Q700" s="4"/>
      <c r="R700" s="4"/>
      <c r="S700" s="4"/>
      <c r="T700" s="4"/>
      <c r="U700" s="4"/>
      <c r="V700" s="4"/>
      <c r="W700" s="4"/>
      <c r="X700" s="4"/>
    </row>
    <row r="701" spans="1:24" ht="13.5" hidden="1" customHeight="1">
      <c r="A701" s="21" t="s">
        <v>35</v>
      </c>
      <c r="B701" s="23" t="s">
        <v>36</v>
      </c>
      <c r="C701" s="26">
        <f>SUM(C702)</f>
        <v>0</v>
      </c>
      <c r="D701" s="167"/>
      <c r="E701" s="4"/>
      <c r="F701" s="4"/>
      <c r="G701" s="156"/>
      <c r="H701" s="4"/>
      <c r="I701" s="4"/>
      <c r="J701" s="4"/>
      <c r="K701" s="4"/>
      <c r="L701" s="4"/>
      <c r="M701" s="4"/>
      <c r="N701" s="4"/>
      <c r="O701" s="4"/>
      <c r="P701" s="4"/>
      <c r="Q701" s="4"/>
      <c r="R701" s="4"/>
      <c r="S701" s="4"/>
      <c r="T701" s="4"/>
      <c r="U701" s="4"/>
      <c r="V701" s="4"/>
      <c r="W701" s="4"/>
      <c r="X701" s="4"/>
    </row>
    <row r="702" spans="1:24" ht="13.5" hidden="1" customHeight="1">
      <c r="A702" s="23" t="s">
        <v>61</v>
      </c>
      <c r="B702" s="24" t="s">
        <v>38</v>
      </c>
      <c r="C702" s="174"/>
      <c r="D702" s="146"/>
      <c r="E702" s="4"/>
      <c r="F702" s="4"/>
      <c r="G702" s="156"/>
      <c r="H702" s="4"/>
      <c r="I702" s="4"/>
      <c r="J702" s="4"/>
      <c r="K702" s="4"/>
      <c r="L702" s="4"/>
      <c r="M702" s="4"/>
      <c r="N702" s="4"/>
      <c r="O702" s="4"/>
      <c r="P702" s="4"/>
      <c r="Q702" s="4"/>
      <c r="R702" s="4"/>
      <c r="S702" s="4"/>
      <c r="T702" s="4"/>
      <c r="U702" s="4"/>
      <c r="V702" s="4"/>
      <c r="W702" s="4"/>
      <c r="X702" s="4"/>
    </row>
    <row r="703" spans="1:24" ht="13.5" hidden="1" customHeight="1">
      <c r="A703" s="21" t="s">
        <v>40</v>
      </c>
      <c r="B703" s="23" t="s">
        <v>44</v>
      </c>
      <c r="C703" s="26">
        <f>SUM(C704:C705)</f>
        <v>0</v>
      </c>
      <c r="D703" s="146"/>
      <c r="E703" s="4"/>
      <c r="F703" s="4"/>
      <c r="G703" s="156"/>
      <c r="H703" s="4"/>
      <c r="I703" s="4"/>
      <c r="J703" s="4"/>
      <c r="K703" s="4"/>
      <c r="L703" s="4"/>
      <c r="M703" s="4"/>
      <c r="N703" s="4"/>
      <c r="O703" s="4"/>
      <c r="P703" s="4"/>
      <c r="Q703" s="4"/>
      <c r="R703" s="4"/>
      <c r="S703" s="4"/>
      <c r="T703" s="4"/>
      <c r="U703" s="4"/>
      <c r="V703" s="4"/>
      <c r="W703" s="4"/>
      <c r="X703" s="4"/>
    </row>
    <row r="704" spans="1:24" ht="13.5" hidden="1" customHeight="1">
      <c r="A704" s="23" t="s">
        <v>42</v>
      </c>
      <c r="B704" s="24" t="s">
        <v>41</v>
      </c>
      <c r="C704" s="174"/>
      <c r="D704" s="148"/>
      <c r="E704" s="24"/>
      <c r="F704" s="24"/>
      <c r="G704" s="63"/>
      <c r="H704" s="23"/>
      <c r="I704" s="23"/>
      <c r="J704" s="4"/>
      <c r="K704" s="4"/>
      <c r="L704" s="4"/>
      <c r="M704" s="4"/>
      <c r="N704" s="4"/>
      <c r="O704" s="4"/>
      <c r="P704" s="4"/>
      <c r="Q704" s="4"/>
      <c r="R704" s="4"/>
      <c r="S704" s="4"/>
      <c r="T704" s="4"/>
      <c r="U704" s="4"/>
      <c r="V704" s="4"/>
      <c r="W704" s="4"/>
      <c r="X704" s="4"/>
    </row>
    <row r="705" spans="1:24" ht="13.5" hidden="1" customHeight="1">
      <c r="A705" s="23" t="s">
        <v>43</v>
      </c>
      <c r="B705" s="24" t="s">
        <v>44</v>
      </c>
      <c r="C705" s="174"/>
      <c r="D705" s="146"/>
      <c r="E705" s="4"/>
      <c r="F705" s="4"/>
      <c r="G705" s="156"/>
      <c r="H705" s="4"/>
      <c r="I705" s="4"/>
      <c r="J705" s="23"/>
      <c r="K705" s="23"/>
      <c r="L705" s="23"/>
      <c r="M705" s="23"/>
      <c r="N705" s="23"/>
      <c r="O705" s="23"/>
      <c r="P705" s="23"/>
      <c r="Q705" s="23"/>
      <c r="R705" s="23"/>
      <c r="S705" s="23"/>
      <c r="T705" s="23"/>
      <c r="U705" s="23"/>
      <c r="V705" s="23"/>
      <c r="W705" s="23"/>
      <c r="X705" s="23"/>
    </row>
    <row r="706" spans="1:24" ht="13.5" hidden="1" customHeight="1">
      <c r="A706" s="75"/>
      <c r="B706" s="100"/>
      <c r="C706" s="36"/>
      <c r="D706" s="37"/>
      <c r="E706" s="171"/>
      <c r="F706" s="171"/>
      <c r="G706" s="172"/>
      <c r="H706" s="171"/>
      <c r="I706" s="171"/>
      <c r="J706" s="171"/>
      <c r="K706" s="171"/>
      <c r="L706" s="171"/>
      <c r="M706" s="171"/>
      <c r="N706" s="171"/>
      <c r="O706" s="171"/>
      <c r="P706" s="171"/>
      <c r="Q706" s="171"/>
      <c r="R706" s="171"/>
      <c r="S706" s="171"/>
      <c r="T706" s="171"/>
      <c r="U706" s="171"/>
      <c r="V706" s="171"/>
      <c r="W706" s="171"/>
      <c r="X706" s="171"/>
    </row>
    <row r="707" spans="1:24" ht="13.5" customHeight="1">
      <c r="A707" s="1104" t="s">
        <v>290</v>
      </c>
      <c r="B707" s="1105"/>
      <c r="C707" s="1229" t="s">
        <v>804</v>
      </c>
      <c r="D707" s="37"/>
      <c r="E707" s="171"/>
      <c r="F707" s="171"/>
      <c r="G707" s="172"/>
      <c r="H707" s="171"/>
      <c r="I707" s="171"/>
      <c r="J707" s="171"/>
      <c r="K707" s="171"/>
      <c r="L707" s="171"/>
      <c r="M707" s="171"/>
      <c r="N707" s="171"/>
      <c r="O707" s="171"/>
      <c r="P707" s="171"/>
      <c r="Q707" s="171"/>
      <c r="R707" s="171"/>
      <c r="S707" s="171"/>
      <c r="T707" s="171"/>
      <c r="U707" s="171"/>
      <c r="V707" s="171"/>
      <c r="W707" s="171"/>
      <c r="X707" s="171"/>
    </row>
    <row r="708" spans="1:24" ht="13.5" customHeight="1" thickBot="1">
      <c r="A708" s="1211"/>
      <c r="B708" s="1103"/>
      <c r="C708" s="1180"/>
      <c r="D708" s="37"/>
      <c r="E708" s="171"/>
      <c r="F708" s="171"/>
      <c r="G708" s="172"/>
      <c r="H708" s="171"/>
      <c r="I708" s="171"/>
      <c r="J708" s="171"/>
      <c r="K708" s="171"/>
      <c r="L708" s="171"/>
      <c r="M708" s="171"/>
      <c r="N708" s="171"/>
      <c r="O708" s="171"/>
      <c r="P708" s="171"/>
      <c r="Q708" s="171"/>
      <c r="R708" s="171"/>
      <c r="S708" s="171"/>
      <c r="T708" s="171"/>
      <c r="U708" s="171"/>
      <c r="V708" s="171"/>
      <c r="W708" s="171"/>
      <c r="X708" s="171"/>
    </row>
    <row r="709" spans="1:24" ht="13.5" customHeight="1">
      <c r="A709" s="1088" t="s">
        <v>671</v>
      </c>
      <c r="B709" s="1219"/>
      <c r="C709" s="626"/>
      <c r="D709" s="146"/>
      <c r="E709" s="67"/>
      <c r="F709" s="67"/>
      <c r="G709" s="147"/>
      <c r="H709" s="67"/>
      <c r="I709" s="67"/>
      <c r="J709" s="67"/>
      <c r="K709" s="67"/>
      <c r="L709" s="67"/>
      <c r="M709" s="67"/>
      <c r="N709" s="67"/>
      <c r="O709" s="67"/>
      <c r="P709" s="67"/>
      <c r="Q709" s="67"/>
      <c r="R709" s="67"/>
      <c r="S709" s="67"/>
      <c r="T709" s="67"/>
      <c r="U709" s="67"/>
      <c r="V709" s="67"/>
      <c r="W709" s="67"/>
      <c r="X709" s="67"/>
    </row>
    <row r="710" spans="1:24" ht="13.5" customHeight="1">
      <c r="A710" s="661" t="s">
        <v>932</v>
      </c>
      <c r="B710" s="612"/>
      <c r="C710" s="626"/>
      <c r="D710" s="146"/>
      <c r="E710" s="67"/>
      <c r="F710" s="67"/>
      <c r="G710" s="147"/>
      <c r="H710" s="67"/>
      <c r="I710" s="67"/>
      <c r="J710" s="67"/>
      <c r="K710" s="67"/>
      <c r="L710" s="67"/>
      <c r="M710" s="67"/>
      <c r="N710" s="67"/>
      <c r="O710" s="67"/>
      <c r="P710" s="67"/>
      <c r="Q710" s="67"/>
      <c r="R710" s="67"/>
      <c r="S710" s="67"/>
      <c r="T710" s="67"/>
      <c r="U710" s="67"/>
      <c r="V710" s="67"/>
      <c r="W710" s="67"/>
      <c r="X710" s="67"/>
    </row>
    <row r="711" spans="1:24" ht="13.5" customHeight="1">
      <c r="A711" s="609" t="s">
        <v>754</v>
      </c>
      <c r="B711" s="612"/>
      <c r="C711" s="626"/>
      <c r="D711" s="146"/>
      <c r="E711" s="67"/>
      <c r="F711" s="67"/>
      <c r="G711" s="147"/>
      <c r="H711" s="67"/>
      <c r="I711" s="67"/>
      <c r="J711" s="67"/>
      <c r="K711" s="67"/>
      <c r="L711" s="67"/>
      <c r="M711" s="67"/>
      <c r="N711" s="67"/>
      <c r="O711" s="67"/>
      <c r="P711" s="67"/>
      <c r="Q711" s="67"/>
      <c r="R711" s="67"/>
      <c r="S711" s="67"/>
      <c r="T711" s="67"/>
      <c r="U711" s="67"/>
      <c r="V711" s="67"/>
      <c r="W711" s="67"/>
      <c r="X711" s="67"/>
    </row>
    <row r="712" spans="1:24" ht="13.5" customHeight="1" thickBot="1">
      <c r="A712" s="1089" t="s">
        <v>59</v>
      </c>
      <c r="B712" s="613"/>
      <c r="C712" s="626"/>
      <c r="D712" s="146"/>
      <c r="E712" s="67"/>
      <c r="F712" s="67"/>
      <c r="G712" s="147"/>
      <c r="H712" s="67"/>
      <c r="I712" s="67"/>
      <c r="J712" s="67"/>
      <c r="K712" s="67"/>
      <c r="L712" s="67"/>
      <c r="M712" s="67"/>
      <c r="N712" s="67"/>
      <c r="O712" s="67"/>
      <c r="P712" s="67"/>
      <c r="Q712" s="67"/>
      <c r="R712" s="67"/>
      <c r="S712" s="67"/>
      <c r="T712" s="67"/>
      <c r="U712" s="67"/>
      <c r="V712" s="67"/>
      <c r="W712" s="67"/>
      <c r="X712" s="67"/>
    </row>
    <row r="713" spans="1:24" ht="13.5" customHeight="1" thickBot="1">
      <c r="A713" s="1171" t="s">
        <v>100</v>
      </c>
      <c r="B713" s="1197"/>
      <c r="C713" s="1218">
        <f>(C715)</f>
        <v>140000000</v>
      </c>
      <c r="D713" s="37"/>
      <c r="E713" s="171"/>
      <c r="F713" s="171"/>
      <c r="G713" s="172"/>
      <c r="H713" s="171"/>
      <c r="I713" s="171"/>
      <c r="J713" s="171"/>
      <c r="K713" s="171"/>
      <c r="L713" s="171"/>
      <c r="M713" s="171"/>
      <c r="N713" s="171"/>
      <c r="O713" s="171"/>
      <c r="P713" s="171"/>
      <c r="Q713" s="171"/>
      <c r="R713" s="171"/>
      <c r="S713" s="171"/>
      <c r="T713" s="171"/>
      <c r="U713" s="171"/>
      <c r="V713" s="171"/>
      <c r="W713" s="171"/>
      <c r="X713" s="171"/>
    </row>
    <row r="714" spans="1:24" ht="13.5" customHeight="1" thickBot="1">
      <c r="A714" s="75"/>
      <c r="B714" s="100"/>
      <c r="C714" s="36"/>
      <c r="D714" s="37"/>
      <c r="E714" s="171"/>
      <c r="F714" s="171"/>
      <c r="G714" s="172"/>
      <c r="H714" s="171"/>
      <c r="I714" s="171"/>
      <c r="J714" s="171"/>
      <c r="K714" s="171"/>
      <c r="L714" s="171"/>
      <c r="M714" s="171"/>
      <c r="N714" s="171"/>
      <c r="O714" s="171"/>
      <c r="P714" s="171"/>
      <c r="Q714" s="171"/>
      <c r="R714" s="171"/>
      <c r="S714" s="171"/>
      <c r="T714" s="171"/>
      <c r="U714" s="171"/>
      <c r="V714" s="171"/>
      <c r="W714" s="171"/>
      <c r="X714" s="171"/>
    </row>
    <row r="715" spans="1:24" ht="13.5" customHeight="1" thickBot="1">
      <c r="A715" s="1390" t="s">
        <v>63</v>
      </c>
      <c r="B715" s="1281"/>
      <c r="C715" s="71">
        <f>(C717)</f>
        <v>140000000</v>
      </c>
      <c r="D715" s="37"/>
      <c r="E715" s="171"/>
      <c r="F715" s="171"/>
      <c r="G715" s="172"/>
      <c r="H715" s="171"/>
      <c r="I715" s="171"/>
      <c r="J715" s="171"/>
      <c r="K715" s="171"/>
      <c r="L715" s="171"/>
      <c r="M715" s="171"/>
      <c r="N715" s="171"/>
      <c r="O715" s="171"/>
      <c r="P715" s="171"/>
      <c r="Q715" s="171"/>
      <c r="R715" s="171"/>
      <c r="S715" s="171"/>
      <c r="T715" s="171"/>
      <c r="U715" s="171"/>
      <c r="V715" s="171"/>
      <c r="W715" s="171"/>
      <c r="X715" s="171"/>
    </row>
    <row r="716" spans="1:24" ht="13.5" customHeight="1">
      <c r="A716" s="76">
        <v>221202</v>
      </c>
      <c r="B716" s="76" t="s">
        <v>598</v>
      </c>
      <c r="C716" s="36">
        <f>C717</f>
        <v>140000000</v>
      </c>
      <c r="D716" s="37"/>
      <c r="E716" s="171"/>
      <c r="F716" s="171"/>
      <c r="G716" s="172"/>
      <c r="H716" s="171"/>
      <c r="I716" s="171"/>
      <c r="J716" s="171"/>
      <c r="K716" s="171"/>
      <c r="L716" s="171"/>
      <c r="M716" s="171"/>
      <c r="N716" s="171"/>
      <c r="O716" s="171"/>
      <c r="P716" s="171"/>
      <c r="Q716" s="171"/>
      <c r="R716" s="171"/>
      <c r="S716" s="171"/>
      <c r="T716" s="171"/>
      <c r="U716" s="171"/>
      <c r="V716" s="171"/>
      <c r="W716" s="171"/>
      <c r="X716" s="171"/>
    </row>
    <row r="717" spans="1:24" ht="13.5" customHeight="1">
      <c r="A717" s="154">
        <v>22120205</v>
      </c>
      <c r="B717" s="23" t="s">
        <v>599</v>
      </c>
      <c r="C717" s="24">
        <f>20000000+120000000</f>
        <v>140000000</v>
      </c>
      <c r="D717" s="37"/>
      <c r="E717" s="171"/>
      <c r="F717" s="171"/>
      <c r="G717" s="172"/>
      <c r="H717" s="171"/>
      <c r="I717" s="171"/>
      <c r="J717" s="171"/>
      <c r="K717" s="171"/>
      <c r="L717" s="171"/>
      <c r="M717" s="171"/>
      <c r="N717" s="171"/>
      <c r="O717" s="171"/>
      <c r="P717" s="171"/>
      <c r="Q717" s="171"/>
      <c r="R717" s="171"/>
      <c r="S717" s="171"/>
      <c r="T717" s="171"/>
      <c r="U717" s="171"/>
      <c r="V717" s="171"/>
      <c r="W717" s="171"/>
      <c r="X717" s="171"/>
    </row>
    <row r="718" spans="1:24" ht="13.5" customHeight="1" thickBot="1">
      <c r="A718" s="100"/>
      <c r="B718" s="23"/>
      <c r="C718" s="72"/>
      <c r="D718" s="37"/>
      <c r="E718" s="171"/>
      <c r="F718" s="171"/>
      <c r="G718" s="172"/>
      <c r="H718" s="171"/>
      <c r="I718" s="171"/>
      <c r="J718" s="171"/>
      <c r="K718" s="171"/>
      <c r="L718" s="171"/>
      <c r="M718" s="171"/>
      <c r="N718" s="171"/>
      <c r="O718" s="171"/>
      <c r="P718" s="171"/>
      <c r="Q718" s="171"/>
      <c r="R718" s="171"/>
      <c r="S718" s="171"/>
      <c r="T718" s="171"/>
      <c r="U718" s="171"/>
      <c r="V718" s="171"/>
      <c r="W718" s="171"/>
      <c r="X718" s="171"/>
    </row>
    <row r="719" spans="1:24" ht="13.5" customHeight="1">
      <c r="A719" s="1334" t="s">
        <v>929</v>
      </c>
      <c r="B719" s="1336"/>
      <c r="C719" s="1220" t="s">
        <v>805</v>
      </c>
      <c r="D719" s="37"/>
      <c r="E719" s="171"/>
      <c r="F719" s="171"/>
      <c r="G719" s="172"/>
      <c r="H719" s="171"/>
      <c r="I719" s="171"/>
      <c r="J719" s="171"/>
      <c r="K719" s="171"/>
      <c r="L719" s="171"/>
      <c r="M719" s="171"/>
      <c r="N719" s="171"/>
      <c r="O719" s="171"/>
      <c r="P719" s="171"/>
      <c r="Q719" s="171"/>
      <c r="R719" s="171"/>
      <c r="S719" s="171"/>
      <c r="T719" s="171"/>
      <c r="U719" s="171"/>
      <c r="V719" s="171"/>
      <c r="W719" s="171"/>
      <c r="X719" s="171"/>
    </row>
    <row r="720" spans="1:24" ht="13.5" customHeight="1" thickBot="1">
      <c r="A720" s="1363"/>
      <c r="B720" s="1304"/>
      <c r="C720" s="1162"/>
      <c r="D720" s="37"/>
      <c r="E720" s="171"/>
      <c r="F720" s="171"/>
      <c r="G720" s="172"/>
      <c r="H720" s="171"/>
      <c r="I720" s="171"/>
      <c r="J720" s="171"/>
      <c r="K720" s="171"/>
      <c r="L720" s="171"/>
      <c r="M720" s="171"/>
      <c r="N720" s="171"/>
      <c r="O720" s="171"/>
      <c r="P720" s="171"/>
      <c r="Q720" s="171"/>
      <c r="R720" s="171"/>
      <c r="S720" s="171"/>
      <c r="T720" s="171"/>
      <c r="U720" s="171"/>
      <c r="V720" s="171"/>
      <c r="W720" s="171"/>
      <c r="X720" s="171"/>
    </row>
    <row r="721" spans="1:24" ht="13.5" customHeight="1">
      <c r="A721" s="1088" t="s">
        <v>671</v>
      </c>
      <c r="B721" s="612"/>
      <c r="C721" s="626"/>
      <c r="D721" s="37"/>
      <c r="E721" s="171"/>
      <c r="F721" s="171"/>
      <c r="G721" s="172"/>
      <c r="H721" s="171"/>
      <c r="I721" s="171"/>
      <c r="J721" s="171"/>
      <c r="K721" s="171"/>
      <c r="L721" s="171"/>
      <c r="M721" s="171"/>
      <c r="N721" s="171"/>
      <c r="O721" s="171"/>
      <c r="P721" s="171"/>
      <c r="Q721" s="171"/>
      <c r="R721" s="171"/>
      <c r="S721" s="171"/>
      <c r="T721" s="171"/>
      <c r="U721" s="171"/>
      <c r="V721" s="171"/>
      <c r="W721" s="171"/>
      <c r="X721" s="171"/>
    </row>
    <row r="722" spans="1:24" ht="13.5" customHeight="1">
      <c r="A722" s="661" t="s">
        <v>932</v>
      </c>
      <c r="B722" s="612"/>
      <c r="C722" s="626"/>
      <c r="D722" s="37"/>
      <c r="E722" s="171"/>
      <c r="F722" s="171"/>
      <c r="G722" s="172"/>
      <c r="H722" s="171"/>
      <c r="I722" s="171"/>
      <c r="J722" s="171"/>
      <c r="K722" s="171"/>
      <c r="L722" s="171"/>
      <c r="M722" s="171"/>
      <c r="N722" s="171"/>
      <c r="O722" s="171"/>
      <c r="P722" s="171"/>
      <c r="Q722" s="171"/>
      <c r="R722" s="171"/>
      <c r="S722" s="171"/>
      <c r="T722" s="171"/>
      <c r="U722" s="171"/>
      <c r="V722" s="171"/>
      <c r="W722" s="171"/>
      <c r="X722" s="171"/>
    </row>
    <row r="723" spans="1:24" ht="13.5" customHeight="1">
      <c r="A723" s="609" t="s">
        <v>754</v>
      </c>
      <c r="B723" s="612"/>
      <c r="C723" s="626"/>
      <c r="D723" s="37"/>
      <c r="E723" s="171"/>
      <c r="F723" s="171"/>
      <c r="G723" s="172"/>
      <c r="H723" s="171"/>
      <c r="I723" s="171"/>
      <c r="J723" s="171"/>
      <c r="K723" s="171"/>
      <c r="L723" s="171"/>
      <c r="M723" s="171"/>
      <c r="N723" s="171"/>
      <c r="O723" s="171"/>
      <c r="P723" s="171"/>
      <c r="Q723" s="171"/>
      <c r="R723" s="171"/>
      <c r="S723" s="171"/>
      <c r="T723" s="171"/>
      <c r="U723" s="171"/>
      <c r="V723" s="171"/>
      <c r="W723" s="171"/>
      <c r="X723" s="171"/>
    </row>
    <row r="724" spans="1:24" ht="13.5" customHeight="1" thickBot="1">
      <c r="A724" s="1089" t="s">
        <v>59</v>
      </c>
      <c r="B724" s="613"/>
      <c r="C724" s="1217"/>
      <c r="D724" s="37"/>
      <c r="E724" s="171"/>
      <c r="F724" s="171"/>
      <c r="G724" s="172"/>
      <c r="H724" s="171"/>
      <c r="I724" s="171"/>
      <c r="J724" s="171"/>
      <c r="K724" s="171"/>
      <c r="L724" s="171"/>
      <c r="M724" s="171"/>
      <c r="N724" s="171"/>
      <c r="O724" s="171"/>
      <c r="P724" s="171"/>
      <c r="Q724" s="171"/>
      <c r="R724" s="171"/>
      <c r="S724" s="171"/>
      <c r="T724" s="171"/>
      <c r="U724" s="171"/>
      <c r="V724" s="171"/>
      <c r="W724" s="171"/>
      <c r="X724" s="171"/>
    </row>
    <row r="725" spans="1:24" ht="13.5" customHeight="1" thickBot="1">
      <c r="A725" s="1171" t="s">
        <v>100</v>
      </c>
      <c r="B725" s="1197"/>
      <c r="C725" s="1221">
        <f>(C727)</f>
        <v>330000000</v>
      </c>
      <c r="D725" s="37"/>
      <c r="E725" s="171"/>
      <c r="F725" s="171"/>
      <c r="G725" s="172"/>
      <c r="H725" s="171"/>
      <c r="I725" s="171"/>
      <c r="J725" s="171"/>
      <c r="K725" s="171"/>
      <c r="L725" s="171"/>
      <c r="M725" s="171"/>
      <c r="N725" s="171"/>
      <c r="O725" s="171"/>
      <c r="P725" s="171"/>
      <c r="Q725" s="171"/>
      <c r="R725" s="171"/>
      <c r="S725" s="171"/>
      <c r="T725" s="171"/>
      <c r="U725" s="171"/>
      <c r="V725" s="171"/>
      <c r="W725" s="171"/>
      <c r="X725" s="171"/>
    </row>
    <row r="726" spans="1:24" ht="13.5" customHeight="1" thickBot="1">
      <c r="A726" s="100"/>
      <c r="B726" s="23"/>
      <c r="C726" s="72"/>
      <c r="D726" s="37"/>
      <c r="E726" s="171"/>
      <c r="F726" s="171"/>
      <c r="G726" s="172"/>
      <c r="H726" s="171"/>
      <c r="I726" s="171"/>
      <c r="J726" s="171"/>
      <c r="K726" s="171"/>
      <c r="L726" s="171"/>
      <c r="M726" s="171"/>
      <c r="N726" s="171"/>
      <c r="O726" s="171"/>
      <c r="P726" s="171"/>
      <c r="Q726" s="171"/>
      <c r="R726" s="171"/>
      <c r="S726" s="171"/>
      <c r="T726" s="171"/>
      <c r="U726" s="171"/>
      <c r="V726" s="171"/>
      <c r="W726" s="171"/>
      <c r="X726" s="171"/>
    </row>
    <row r="727" spans="1:24" ht="13.5" customHeight="1" thickBot="1">
      <c r="A727" s="1390" t="s">
        <v>63</v>
      </c>
      <c r="B727" s="1281"/>
      <c r="C727" s="71">
        <f>SUM(C729:C730)</f>
        <v>330000000</v>
      </c>
      <c r="D727" s="37"/>
      <c r="E727" s="171"/>
      <c r="F727" s="171"/>
      <c r="G727" s="172"/>
      <c r="H727" s="171"/>
      <c r="I727" s="171"/>
      <c r="J727" s="171"/>
      <c r="K727" s="171"/>
      <c r="L727" s="171"/>
      <c r="M727" s="171"/>
      <c r="N727" s="171"/>
      <c r="O727" s="171"/>
      <c r="P727" s="171"/>
      <c r="Q727" s="171"/>
      <c r="R727" s="171"/>
      <c r="S727" s="171"/>
      <c r="T727" s="171"/>
      <c r="U727" s="171"/>
      <c r="V727" s="171"/>
      <c r="W727" s="171"/>
      <c r="X727" s="171"/>
    </row>
    <row r="728" spans="1:24" ht="13.5" customHeight="1">
      <c r="A728" s="76">
        <v>221202</v>
      </c>
      <c r="B728" s="76" t="s">
        <v>598</v>
      </c>
      <c r="C728" s="36">
        <f>C729+C730</f>
        <v>330000000</v>
      </c>
      <c r="D728" s="37"/>
      <c r="E728" s="171"/>
      <c r="F728" s="171"/>
      <c r="G728" s="172"/>
      <c r="H728" s="171"/>
      <c r="I728" s="171"/>
      <c r="J728" s="171"/>
      <c r="K728" s="171"/>
      <c r="L728" s="171"/>
      <c r="M728" s="171"/>
      <c r="N728" s="171"/>
      <c r="O728" s="171"/>
      <c r="P728" s="171"/>
      <c r="Q728" s="171"/>
      <c r="R728" s="171"/>
      <c r="S728" s="171"/>
      <c r="T728" s="171"/>
      <c r="U728" s="171"/>
      <c r="V728" s="171"/>
      <c r="W728" s="171"/>
      <c r="X728" s="171"/>
    </row>
    <row r="729" spans="1:24" ht="13.5" customHeight="1">
      <c r="A729" s="154">
        <v>22120208</v>
      </c>
      <c r="B729" s="100" t="s">
        <v>600</v>
      </c>
      <c r="C729" s="72">
        <f>50000000+180000000</f>
        <v>230000000</v>
      </c>
      <c r="D729" s="37"/>
      <c r="E729" s="171"/>
      <c r="F729" s="171"/>
      <c r="G729" s="172"/>
      <c r="H729" s="171"/>
      <c r="I729" s="171"/>
      <c r="J729" s="171"/>
      <c r="K729" s="171"/>
      <c r="L729" s="171"/>
      <c r="M729" s="171"/>
      <c r="N729" s="171"/>
      <c r="O729" s="171"/>
      <c r="P729" s="171"/>
      <c r="Q729" s="171"/>
      <c r="R729" s="171"/>
      <c r="S729" s="171"/>
      <c r="T729" s="171"/>
      <c r="U729" s="171"/>
      <c r="V729" s="171"/>
      <c r="W729" s="171"/>
      <c r="X729" s="171"/>
    </row>
    <row r="730" spans="1:24" ht="13.5" customHeight="1">
      <c r="A730" s="154">
        <v>22120209</v>
      </c>
      <c r="B730" s="23" t="s">
        <v>601</v>
      </c>
      <c r="C730" s="72">
        <f>50000000+50000000</f>
        <v>100000000</v>
      </c>
      <c r="D730" s="37"/>
      <c r="E730" s="171"/>
      <c r="F730" s="171"/>
      <c r="G730" s="172"/>
      <c r="H730" s="171"/>
      <c r="I730" s="171"/>
      <c r="J730" s="171"/>
      <c r="K730" s="171"/>
      <c r="L730" s="171"/>
      <c r="M730" s="171"/>
      <c r="N730" s="171"/>
      <c r="O730" s="171"/>
      <c r="P730" s="171"/>
      <c r="Q730" s="171"/>
      <c r="R730" s="171"/>
      <c r="S730" s="171"/>
      <c r="T730" s="171"/>
      <c r="U730" s="171"/>
      <c r="V730" s="171"/>
      <c r="W730" s="171"/>
      <c r="X730" s="171"/>
    </row>
    <row r="731" spans="1:24" s="239" customFormat="1" ht="14.25" thickBot="1">
      <c r="A731" s="100"/>
      <c r="B731" s="23"/>
      <c r="C731" s="24"/>
      <c r="D731" s="659"/>
      <c r="G731" s="660"/>
    </row>
    <row r="732" spans="1:24" s="239" customFormat="1" ht="12" customHeight="1">
      <c r="A732" s="657" t="s">
        <v>949</v>
      </c>
      <c r="B732" s="658"/>
      <c r="C732" s="1222" t="s">
        <v>806</v>
      </c>
      <c r="D732" s="659"/>
      <c r="G732" s="660"/>
    </row>
    <row r="733" spans="1:24" s="239" customFormat="1" ht="14.25" thickBot="1">
      <c r="A733" s="1043"/>
      <c r="B733" s="1044"/>
      <c r="C733" s="1045"/>
      <c r="D733" s="659"/>
      <c r="G733" s="660"/>
    </row>
    <row r="734" spans="1:24" s="239" customFormat="1" ht="13.5">
      <c r="A734" s="1088" t="s">
        <v>671</v>
      </c>
      <c r="B734" s="612"/>
      <c r="C734" s="1223"/>
      <c r="D734" s="659"/>
      <c r="G734" s="660"/>
    </row>
    <row r="735" spans="1:24" ht="13.5" customHeight="1">
      <c r="A735" s="661" t="s">
        <v>932</v>
      </c>
      <c r="B735" s="612"/>
      <c r="C735" s="1223"/>
      <c r="D735" s="37"/>
      <c r="E735" s="171"/>
      <c r="F735" s="171"/>
      <c r="G735" s="172"/>
      <c r="H735" s="171"/>
      <c r="I735" s="171"/>
      <c r="J735" s="171"/>
      <c r="K735" s="171"/>
      <c r="L735" s="171"/>
      <c r="M735" s="171"/>
      <c r="N735" s="171"/>
      <c r="O735" s="171"/>
      <c r="P735" s="171"/>
      <c r="Q735" s="171"/>
      <c r="R735" s="171"/>
      <c r="S735" s="171"/>
      <c r="T735" s="171"/>
      <c r="U735" s="171"/>
      <c r="V735" s="171"/>
      <c r="W735" s="171"/>
      <c r="X735" s="171"/>
    </row>
    <row r="736" spans="1:24" s="239" customFormat="1" ht="13.5">
      <c r="A736" s="609" t="s">
        <v>754</v>
      </c>
      <c r="B736" s="612"/>
      <c r="C736" s="1223"/>
      <c r="D736" s="659"/>
      <c r="G736" s="660"/>
    </row>
    <row r="737" spans="1:24" s="239" customFormat="1" ht="14.25" thickBot="1">
      <c r="A737" s="1089" t="s">
        <v>59</v>
      </c>
      <c r="B737" s="612"/>
      <c r="C737" s="1223"/>
      <c r="D737" s="659"/>
      <c r="G737" s="660"/>
    </row>
    <row r="738" spans="1:24" s="239" customFormat="1" ht="14.25" thickBot="1">
      <c r="A738" s="1171" t="s">
        <v>100</v>
      </c>
      <c r="B738" s="666"/>
      <c r="C738" s="607">
        <f>C740</f>
        <v>80000000</v>
      </c>
      <c r="D738" s="659"/>
      <c r="G738" s="660"/>
    </row>
    <row r="739" spans="1:24" s="239" customFormat="1" ht="14.25" thickBot="1">
      <c r="A739" s="1224"/>
      <c r="B739" s="1225"/>
      <c r="C739" s="664"/>
      <c r="D739" s="659"/>
      <c r="G739" s="660"/>
    </row>
    <row r="740" spans="1:24" s="239" customFormat="1" ht="14.25" thickBot="1">
      <c r="A740" s="1395" t="s">
        <v>63</v>
      </c>
      <c r="B740" s="1396"/>
      <c r="C740" s="668">
        <f>(C741)</f>
        <v>80000000</v>
      </c>
      <c r="D740" s="659"/>
      <c r="G740" s="660"/>
    </row>
    <row r="741" spans="1:24" s="239" customFormat="1" ht="13.5">
      <c r="A741" s="1226">
        <v>221202</v>
      </c>
      <c r="B741" s="1227" t="s">
        <v>598</v>
      </c>
      <c r="C741" s="625">
        <f>C742</f>
        <v>80000000</v>
      </c>
      <c r="D741" s="659"/>
      <c r="G741" s="660"/>
    </row>
    <row r="742" spans="1:24" s="239" customFormat="1" ht="14.25" thickBot="1">
      <c r="A742" s="1228">
        <v>22120206</v>
      </c>
      <c r="B742" s="1031" t="s">
        <v>602</v>
      </c>
      <c r="C742" s="635">
        <v>80000000</v>
      </c>
      <c r="D742" s="659"/>
      <c r="G742" s="660"/>
    </row>
    <row r="743" spans="1:24" s="239" customFormat="1" ht="14.25" thickBot="1">
      <c r="A743" s="100"/>
      <c r="B743" s="23"/>
      <c r="C743" s="72"/>
      <c r="D743" s="659"/>
      <c r="G743" s="660"/>
    </row>
    <row r="744" spans="1:24" ht="13.5" customHeight="1">
      <c r="A744" s="1063" t="s">
        <v>291</v>
      </c>
      <c r="B744" s="985"/>
      <c r="C744" s="1229" t="s">
        <v>807</v>
      </c>
      <c r="D744" s="37"/>
      <c r="E744" s="171"/>
      <c r="F744" s="171"/>
      <c r="G744" s="172"/>
      <c r="H744" s="171"/>
      <c r="I744" s="171"/>
      <c r="J744" s="171"/>
      <c r="K744" s="171"/>
      <c r="L744" s="171"/>
      <c r="M744" s="171"/>
      <c r="N744" s="171"/>
      <c r="O744" s="171"/>
      <c r="P744" s="171"/>
      <c r="Q744" s="171"/>
      <c r="R744" s="171"/>
      <c r="S744" s="171"/>
      <c r="T744" s="171"/>
      <c r="U744" s="171"/>
      <c r="V744" s="171"/>
      <c r="W744" s="171"/>
      <c r="X744" s="171"/>
    </row>
    <row r="745" spans="1:24" ht="13.5" customHeight="1" thickBot="1">
      <c r="A745" s="1168"/>
      <c r="B745" s="981"/>
      <c r="C745" s="1180"/>
      <c r="D745" s="37"/>
      <c r="E745" s="171"/>
      <c r="F745" s="171"/>
      <c r="G745" s="172"/>
      <c r="H745" s="171"/>
      <c r="I745" s="171"/>
      <c r="J745" s="171"/>
      <c r="K745" s="171"/>
      <c r="L745" s="171"/>
      <c r="M745" s="171"/>
      <c r="N745" s="171"/>
      <c r="O745" s="171"/>
      <c r="P745" s="171"/>
      <c r="Q745" s="171"/>
      <c r="R745" s="171"/>
      <c r="S745" s="171"/>
      <c r="T745" s="171"/>
      <c r="U745" s="171"/>
      <c r="V745" s="171"/>
      <c r="W745" s="171"/>
      <c r="X745" s="171"/>
    </row>
    <row r="746" spans="1:24" ht="13.5" customHeight="1">
      <c r="A746" s="1088" t="s">
        <v>671</v>
      </c>
      <c r="B746" s="612"/>
      <c r="C746" s="626"/>
      <c r="D746" s="146"/>
      <c r="E746" s="67"/>
      <c r="F746" s="67"/>
      <c r="G746" s="147"/>
      <c r="H746" s="67"/>
      <c r="I746" s="67"/>
      <c r="J746" s="67"/>
      <c r="K746" s="67"/>
      <c r="L746" s="67"/>
      <c r="M746" s="67"/>
      <c r="N746" s="67"/>
      <c r="O746" s="67"/>
      <c r="P746" s="67"/>
      <c r="Q746" s="67"/>
      <c r="R746" s="67"/>
      <c r="S746" s="67"/>
      <c r="T746" s="67"/>
      <c r="U746" s="67"/>
      <c r="V746" s="67"/>
      <c r="W746" s="67"/>
      <c r="X746" s="67"/>
    </row>
    <row r="747" spans="1:24" ht="13.5" customHeight="1">
      <c r="A747" s="661" t="s">
        <v>932</v>
      </c>
      <c r="B747" s="612"/>
      <c r="C747" s="626"/>
      <c r="D747" s="146"/>
      <c r="E747" s="67"/>
      <c r="F747" s="67"/>
      <c r="G747" s="147"/>
      <c r="H747" s="67"/>
      <c r="I747" s="67"/>
      <c r="J747" s="67"/>
      <c r="K747" s="67"/>
      <c r="L747" s="67"/>
      <c r="M747" s="67"/>
      <c r="N747" s="67"/>
      <c r="O747" s="67"/>
      <c r="P747" s="67"/>
      <c r="Q747" s="67"/>
      <c r="R747" s="67"/>
      <c r="S747" s="67"/>
      <c r="T747" s="67"/>
      <c r="U747" s="67"/>
      <c r="V747" s="67"/>
      <c r="W747" s="67"/>
      <c r="X747" s="67"/>
    </row>
    <row r="748" spans="1:24" ht="13.5" customHeight="1">
      <c r="A748" s="609" t="s">
        <v>754</v>
      </c>
      <c r="B748" s="612"/>
      <c r="C748" s="626"/>
      <c r="D748" s="146"/>
      <c r="E748" s="67"/>
      <c r="F748" s="67"/>
      <c r="G748" s="147"/>
      <c r="H748" s="67"/>
      <c r="I748" s="67"/>
      <c r="J748" s="67"/>
      <c r="K748" s="67"/>
      <c r="L748" s="67"/>
      <c r="M748" s="67"/>
      <c r="N748" s="67"/>
      <c r="O748" s="67"/>
      <c r="P748" s="67"/>
      <c r="Q748" s="67"/>
      <c r="R748" s="67"/>
      <c r="S748" s="67"/>
      <c r="T748" s="67"/>
      <c r="U748" s="67"/>
      <c r="V748" s="67"/>
      <c r="W748" s="67"/>
      <c r="X748" s="67"/>
    </row>
    <row r="749" spans="1:24" ht="13.5" customHeight="1" thickBot="1">
      <c r="A749" s="1089" t="s">
        <v>59</v>
      </c>
      <c r="B749" s="613"/>
      <c r="C749" s="626"/>
      <c r="D749" s="146"/>
      <c r="E749" s="67"/>
      <c r="F749" s="67"/>
      <c r="G749" s="147"/>
      <c r="H749" s="67"/>
      <c r="I749" s="67"/>
      <c r="J749" s="67"/>
      <c r="K749" s="67"/>
      <c r="L749" s="67"/>
      <c r="M749" s="67"/>
      <c r="N749" s="67"/>
      <c r="O749" s="67"/>
      <c r="P749" s="67"/>
      <c r="Q749" s="67"/>
      <c r="R749" s="67"/>
      <c r="S749" s="67"/>
      <c r="T749" s="67"/>
      <c r="U749" s="67"/>
      <c r="V749" s="67"/>
      <c r="W749" s="67"/>
      <c r="X749" s="67"/>
    </row>
    <row r="750" spans="1:24" ht="13.5" customHeight="1" thickBot="1">
      <c r="A750" s="1171" t="s">
        <v>100</v>
      </c>
      <c r="B750" s="1197"/>
      <c r="C750" s="1218">
        <f>(C752)</f>
        <v>1151925000</v>
      </c>
      <c r="D750" s="37"/>
      <c r="E750" s="171"/>
      <c r="F750" s="171"/>
      <c r="G750" s="172"/>
      <c r="H750" s="171"/>
      <c r="I750" s="171"/>
      <c r="J750" s="171"/>
      <c r="K750" s="171"/>
      <c r="L750" s="171"/>
      <c r="M750" s="171"/>
      <c r="N750" s="171"/>
      <c r="O750" s="171"/>
      <c r="P750" s="171"/>
      <c r="Q750" s="171"/>
      <c r="R750" s="171"/>
      <c r="S750" s="171"/>
      <c r="T750" s="171"/>
      <c r="U750" s="171"/>
      <c r="V750" s="171"/>
      <c r="W750" s="171"/>
      <c r="X750" s="171"/>
    </row>
    <row r="751" spans="1:24" ht="13.5" customHeight="1" thickBot="1">
      <c r="A751" s="100"/>
      <c r="B751" s="23"/>
      <c r="C751" s="72"/>
      <c r="D751" s="37"/>
      <c r="E751" s="171"/>
      <c r="F751" s="171"/>
      <c r="G751" s="172"/>
      <c r="H751" s="171"/>
      <c r="I751" s="171"/>
      <c r="J751" s="171"/>
      <c r="K751" s="171"/>
      <c r="L751" s="171"/>
      <c r="M751" s="171"/>
      <c r="N751" s="171"/>
      <c r="O751" s="171"/>
      <c r="P751" s="171"/>
      <c r="Q751" s="171"/>
      <c r="R751" s="171"/>
      <c r="S751" s="171"/>
      <c r="T751" s="171"/>
      <c r="U751" s="171"/>
      <c r="V751" s="171"/>
      <c r="W751" s="171"/>
      <c r="X751" s="171"/>
    </row>
    <row r="752" spans="1:24" ht="13.5" customHeight="1" thickBot="1">
      <c r="A752" s="1390" t="s">
        <v>63</v>
      </c>
      <c r="B752" s="1281"/>
      <c r="C752" s="71">
        <f>(C754+C755+C756+C757)</f>
        <v>1151925000</v>
      </c>
      <c r="D752" s="37"/>
      <c r="E752" s="171"/>
      <c r="F752" s="171"/>
      <c r="G752" s="172"/>
      <c r="H752" s="171"/>
      <c r="I752" s="171"/>
      <c r="J752" s="171"/>
      <c r="K752" s="171"/>
      <c r="L752" s="171"/>
      <c r="M752" s="171"/>
      <c r="N752" s="171"/>
      <c r="O752" s="171"/>
      <c r="P752" s="171"/>
      <c r="Q752" s="171"/>
      <c r="R752" s="171"/>
      <c r="S752" s="171"/>
      <c r="T752" s="171"/>
      <c r="U752" s="171"/>
      <c r="V752" s="171"/>
      <c r="W752" s="171"/>
      <c r="X752" s="171"/>
    </row>
    <row r="753" spans="1:24" ht="13.5" customHeight="1">
      <c r="A753" s="76">
        <v>221202</v>
      </c>
      <c r="B753" s="76" t="s">
        <v>598</v>
      </c>
      <c r="C753" s="36">
        <f>+SUM(C754:C757)</f>
        <v>1151925000</v>
      </c>
      <c r="D753" s="37"/>
      <c r="E753" s="171"/>
      <c r="F753" s="171"/>
      <c r="G753" s="172"/>
      <c r="H753" s="171"/>
      <c r="I753" s="171"/>
      <c r="J753" s="171"/>
      <c r="K753" s="171"/>
      <c r="L753" s="171"/>
      <c r="M753" s="171"/>
      <c r="N753" s="171"/>
      <c r="O753" s="171"/>
      <c r="P753" s="171"/>
      <c r="Q753" s="171"/>
      <c r="R753" s="171"/>
      <c r="S753" s="171"/>
      <c r="T753" s="171"/>
      <c r="U753" s="171"/>
      <c r="V753" s="171"/>
      <c r="W753" s="171"/>
      <c r="X753" s="171"/>
    </row>
    <row r="754" spans="1:24" ht="13.5" customHeight="1">
      <c r="A754" s="154">
        <v>22120206</v>
      </c>
      <c r="B754" s="23" t="s">
        <v>602</v>
      </c>
      <c r="C754" s="72">
        <v>200000000</v>
      </c>
      <c r="D754" s="37"/>
      <c r="E754" s="171"/>
      <c r="F754" s="171"/>
      <c r="G754" s="172"/>
      <c r="H754" s="171"/>
      <c r="I754" s="171"/>
      <c r="J754" s="171"/>
      <c r="K754" s="171"/>
      <c r="L754" s="171"/>
      <c r="M754" s="171"/>
      <c r="N754" s="171"/>
      <c r="O754" s="171"/>
      <c r="P754" s="171"/>
      <c r="Q754" s="171"/>
      <c r="R754" s="171"/>
      <c r="S754" s="171"/>
      <c r="T754" s="171"/>
      <c r="U754" s="171"/>
      <c r="V754" s="171"/>
      <c r="W754" s="171"/>
      <c r="X754" s="171"/>
    </row>
    <row r="755" spans="1:24" ht="13.5" customHeight="1">
      <c r="A755" s="154">
        <v>22120207</v>
      </c>
      <c r="B755" s="100" t="s">
        <v>603</v>
      </c>
      <c r="C755" s="72">
        <f>50000000+480000000</f>
        <v>530000000</v>
      </c>
      <c r="D755" s="37"/>
      <c r="E755" s="171"/>
      <c r="F755" s="171"/>
      <c r="G755" s="172"/>
      <c r="H755" s="171"/>
      <c r="I755" s="171"/>
      <c r="J755" s="171"/>
      <c r="K755" s="171"/>
      <c r="L755" s="171"/>
      <c r="M755" s="171"/>
      <c r="N755" s="171"/>
      <c r="O755" s="171"/>
      <c r="P755" s="171"/>
      <c r="Q755" s="171"/>
      <c r="R755" s="171"/>
      <c r="S755" s="171"/>
      <c r="T755" s="171"/>
      <c r="U755" s="171"/>
      <c r="V755" s="171"/>
      <c r="W755" s="171"/>
      <c r="X755" s="171"/>
    </row>
    <row r="756" spans="1:24" ht="13.5" customHeight="1">
      <c r="A756" s="154">
        <v>22120214</v>
      </c>
      <c r="B756" s="100" t="s">
        <v>604</v>
      </c>
      <c r="C756" s="72">
        <f>100000000+11925000</f>
        <v>111925000</v>
      </c>
      <c r="D756" s="37"/>
      <c r="E756" s="171"/>
      <c r="F756" s="171"/>
      <c r="G756" s="172"/>
      <c r="H756" s="171"/>
      <c r="I756" s="171"/>
      <c r="J756" s="171"/>
      <c r="K756" s="171"/>
      <c r="L756" s="171"/>
      <c r="M756" s="171"/>
      <c r="N756" s="171"/>
      <c r="O756" s="171"/>
      <c r="P756" s="171"/>
      <c r="Q756" s="171"/>
      <c r="R756" s="171"/>
      <c r="S756" s="171"/>
      <c r="T756" s="171"/>
      <c r="U756" s="171"/>
      <c r="V756" s="171"/>
      <c r="W756" s="171"/>
      <c r="X756" s="171"/>
    </row>
    <row r="757" spans="1:24" ht="13.5" customHeight="1">
      <c r="A757" s="154">
        <v>22120228</v>
      </c>
      <c r="B757" s="23" t="s">
        <v>605</v>
      </c>
      <c r="C757" s="72">
        <f>100000000+210000000</f>
        <v>310000000</v>
      </c>
      <c r="D757" s="37"/>
      <c r="E757" s="171"/>
      <c r="F757" s="171"/>
      <c r="G757" s="172"/>
      <c r="H757" s="171"/>
      <c r="I757" s="171"/>
      <c r="J757" s="171"/>
      <c r="K757" s="171"/>
      <c r="L757" s="171"/>
      <c r="M757" s="171"/>
      <c r="N757" s="171"/>
      <c r="O757" s="171"/>
      <c r="P757" s="171"/>
      <c r="Q757" s="171"/>
      <c r="R757" s="171"/>
      <c r="S757" s="171"/>
      <c r="T757" s="171"/>
      <c r="U757" s="171"/>
      <c r="V757" s="171"/>
      <c r="W757" s="171"/>
      <c r="X757" s="171"/>
    </row>
    <row r="758" spans="1:24" ht="13.5" customHeight="1">
      <c r="A758" s="154"/>
      <c r="B758" s="23"/>
      <c r="C758" s="72"/>
      <c r="D758" s="37"/>
      <c r="E758" s="171"/>
      <c r="F758" s="171"/>
      <c r="G758" s="172"/>
      <c r="H758" s="171"/>
      <c r="I758" s="171"/>
      <c r="J758" s="171"/>
      <c r="K758" s="171"/>
      <c r="L758" s="171"/>
      <c r="M758" s="171"/>
      <c r="N758" s="171"/>
      <c r="O758" s="171"/>
      <c r="P758" s="171"/>
      <c r="Q758" s="171"/>
      <c r="R758" s="171"/>
      <c r="S758" s="171"/>
      <c r="T758" s="171"/>
      <c r="U758" s="171"/>
      <c r="V758" s="171"/>
      <c r="W758" s="171"/>
      <c r="X758" s="171"/>
    </row>
    <row r="759" spans="1:24" ht="13.5" customHeight="1" thickBot="1">
      <c r="A759" s="23"/>
      <c r="B759" s="23"/>
      <c r="C759" s="72"/>
      <c r="D759" s="37"/>
      <c r="E759" s="73"/>
      <c r="F759" s="73"/>
      <c r="G759" s="74"/>
      <c r="H759" s="73"/>
      <c r="I759" s="73"/>
      <c r="J759" s="73"/>
      <c r="K759" s="73"/>
      <c r="L759" s="73"/>
      <c r="M759" s="73"/>
      <c r="N759" s="73"/>
      <c r="O759" s="73"/>
      <c r="P759" s="73"/>
      <c r="Q759" s="73"/>
      <c r="R759" s="73"/>
      <c r="S759" s="73"/>
      <c r="T759" s="73"/>
      <c r="U759" s="73"/>
      <c r="V759" s="73"/>
      <c r="W759" s="73"/>
      <c r="X759" s="73"/>
    </row>
    <row r="760" spans="1:24" s="239" customFormat="1" ht="13.5" customHeight="1">
      <c r="A760" s="1375" t="s">
        <v>948</v>
      </c>
      <c r="B760" s="1376"/>
      <c r="C760" s="1182">
        <v>1621</v>
      </c>
      <c r="D760" s="659"/>
      <c r="G760" s="660"/>
    </row>
    <row r="761" spans="1:24" s="239" customFormat="1" ht="14.25" thickBot="1">
      <c r="A761" s="1377"/>
      <c r="B761" s="1378"/>
      <c r="C761" s="1213"/>
      <c r="D761" s="659"/>
      <c r="G761" s="660"/>
    </row>
    <row r="762" spans="1:24" s="239" customFormat="1" ht="13.5">
      <c r="A762" s="661" t="s">
        <v>671</v>
      </c>
      <c r="B762" s="1214"/>
      <c r="C762" s="664"/>
      <c r="D762" s="659"/>
      <c r="G762" s="660"/>
    </row>
    <row r="763" spans="1:24" s="239" customFormat="1" ht="13.5">
      <c r="A763" s="661" t="s">
        <v>931</v>
      </c>
      <c r="B763" s="1214"/>
      <c r="C763" s="664"/>
      <c r="D763" s="659"/>
      <c r="G763" s="660"/>
    </row>
    <row r="764" spans="1:24" s="239" customFormat="1" ht="13.5">
      <c r="A764" s="609" t="s">
        <v>754</v>
      </c>
      <c r="B764" s="1214"/>
      <c r="C764" s="664"/>
      <c r="D764" s="659"/>
      <c r="G764" s="660"/>
    </row>
    <row r="765" spans="1:24" s="239" customFormat="1" ht="14.25" thickBot="1">
      <c r="A765" s="677" t="s">
        <v>59</v>
      </c>
      <c r="B765" s="678"/>
      <c r="C765" s="679"/>
      <c r="D765" s="659"/>
      <c r="G765" s="660"/>
    </row>
    <row r="766" spans="1:24" s="239" customFormat="1" ht="14.25" thickBot="1">
      <c r="A766" s="1171" t="s">
        <v>60</v>
      </c>
      <c r="B766" s="666"/>
      <c r="C766" s="607">
        <f>(C768)</f>
        <v>30000000</v>
      </c>
      <c r="D766" s="659"/>
      <c r="G766" s="660"/>
    </row>
    <row r="767" spans="1:24" s="239" customFormat="1" ht="14.25" thickBot="1">
      <c r="A767" s="667"/>
      <c r="B767" s="667"/>
      <c r="C767" s="663"/>
      <c r="D767" s="659"/>
      <c r="G767" s="660"/>
    </row>
    <row r="768" spans="1:24" s="239" customFormat="1" ht="14.25" thickBot="1">
      <c r="A768" s="1395" t="s">
        <v>63</v>
      </c>
      <c r="B768" s="1396"/>
      <c r="C768" s="668">
        <f>(C769)</f>
        <v>30000000</v>
      </c>
      <c r="D768" s="659"/>
      <c r="G768" s="660"/>
    </row>
    <row r="769" spans="1:24" s="239" customFormat="1" ht="13.5">
      <c r="A769" s="669">
        <v>221202</v>
      </c>
      <c r="B769" s="669" t="s">
        <v>598</v>
      </c>
      <c r="C769" s="670">
        <f>SUM(C770)</f>
        <v>30000000</v>
      </c>
      <c r="D769" s="659"/>
      <c r="G769" s="660"/>
    </row>
    <row r="770" spans="1:24" s="239" customFormat="1" ht="13.5">
      <c r="A770" s="1049">
        <v>22120202</v>
      </c>
      <c r="B770" s="667" t="s">
        <v>691</v>
      </c>
      <c r="C770" s="24">
        <f>15000000+15000000</f>
        <v>30000000</v>
      </c>
      <c r="D770" s="659"/>
      <c r="G770" s="660"/>
    </row>
    <row r="771" spans="1:24" s="239" customFormat="1" ht="13.5">
      <c r="A771" s="667"/>
      <c r="B771" s="667"/>
      <c r="C771" s="24"/>
      <c r="D771" s="659"/>
      <c r="G771" s="660"/>
    </row>
    <row r="772" spans="1:24" s="753" customFormat="1" ht="12.75" customHeight="1" thickBot="1">
      <c r="A772" s="759"/>
      <c r="B772" s="759"/>
      <c r="C772" s="755"/>
      <c r="D772" s="749"/>
      <c r="E772" s="757"/>
      <c r="F772" s="757"/>
      <c r="G772" s="758"/>
      <c r="H772" s="757"/>
      <c r="I772" s="757"/>
      <c r="J772" s="757"/>
      <c r="K772" s="757"/>
      <c r="L772" s="757"/>
      <c r="M772" s="757"/>
      <c r="N772" s="757"/>
      <c r="O772" s="757"/>
      <c r="P772" s="757"/>
      <c r="Q772" s="757"/>
      <c r="R772" s="757"/>
      <c r="S772" s="757"/>
      <c r="T772" s="757"/>
      <c r="U772" s="757"/>
      <c r="V772" s="757"/>
      <c r="W772" s="757"/>
      <c r="X772" s="757"/>
    </row>
    <row r="773" spans="1:24" s="753" customFormat="1" ht="12.75" customHeight="1">
      <c r="A773" s="1399" t="s">
        <v>947</v>
      </c>
      <c r="B773" s="1400"/>
      <c r="C773" s="1208">
        <v>1622</v>
      </c>
      <c r="D773" s="749"/>
      <c r="E773" s="750"/>
      <c r="F773" s="751"/>
      <c r="G773" s="766"/>
      <c r="H773" s="751"/>
      <c r="I773" s="751"/>
      <c r="J773" s="751"/>
      <c r="K773" s="751"/>
      <c r="L773" s="751"/>
      <c r="M773" s="751"/>
      <c r="N773" s="751"/>
      <c r="O773" s="751"/>
      <c r="P773" s="751"/>
      <c r="Q773" s="751"/>
      <c r="R773" s="751"/>
      <c r="S773" s="751"/>
      <c r="T773" s="751"/>
      <c r="U773" s="751"/>
      <c r="V773" s="751"/>
      <c r="W773" s="751"/>
      <c r="X773" s="751"/>
    </row>
    <row r="774" spans="1:24" s="753" customFormat="1" ht="12.75" customHeight="1" thickBot="1">
      <c r="A774" s="1401"/>
      <c r="B774" s="1402"/>
      <c r="C774" s="1209"/>
      <c r="D774" s="749"/>
      <c r="E774" s="750"/>
      <c r="F774" s="751"/>
      <c r="G774" s="752"/>
      <c r="H774" s="751"/>
      <c r="I774" s="751"/>
      <c r="J774" s="751"/>
      <c r="K774" s="751"/>
      <c r="L774" s="751"/>
      <c r="M774" s="751"/>
      <c r="N774" s="751"/>
      <c r="O774" s="751"/>
      <c r="P774" s="751"/>
      <c r="Q774" s="751"/>
      <c r="R774" s="751"/>
      <c r="S774" s="751"/>
      <c r="T774" s="751"/>
      <c r="U774" s="751"/>
      <c r="V774" s="751"/>
      <c r="W774" s="751"/>
      <c r="X774" s="751"/>
    </row>
    <row r="775" spans="1:24" s="753" customFormat="1" ht="12.75" customHeight="1">
      <c r="A775" s="1204" t="s">
        <v>671</v>
      </c>
      <c r="B775" s="754"/>
      <c r="C775" s="1201"/>
      <c r="D775" s="749"/>
      <c r="E775" s="757"/>
      <c r="F775" s="757"/>
      <c r="G775" s="758"/>
      <c r="H775" s="757"/>
      <c r="I775" s="757"/>
      <c r="J775" s="757"/>
      <c r="K775" s="757"/>
      <c r="L775" s="757"/>
      <c r="M775" s="757"/>
      <c r="N775" s="757"/>
      <c r="O775" s="757"/>
      <c r="P775" s="757"/>
      <c r="Q775" s="757"/>
      <c r="R775" s="757"/>
      <c r="S775" s="757"/>
      <c r="T775" s="757"/>
      <c r="U775" s="757"/>
      <c r="V775" s="757"/>
      <c r="W775" s="757"/>
      <c r="X775" s="757"/>
    </row>
    <row r="776" spans="1:24" s="753" customFormat="1" ht="12.75" customHeight="1">
      <c r="A776" s="661" t="s">
        <v>931</v>
      </c>
      <c r="B776" s="754"/>
      <c r="C776" s="1201"/>
      <c r="D776" s="749"/>
      <c r="E776" s="757"/>
      <c r="F776" s="757"/>
      <c r="G776" s="758"/>
      <c r="H776" s="757"/>
      <c r="I776" s="757"/>
      <c r="J776" s="757"/>
      <c r="K776" s="757"/>
      <c r="L776" s="757"/>
      <c r="M776" s="757"/>
      <c r="N776" s="757"/>
      <c r="O776" s="757"/>
      <c r="P776" s="757"/>
      <c r="Q776" s="757"/>
      <c r="R776" s="757"/>
      <c r="S776" s="757"/>
      <c r="T776" s="757"/>
      <c r="U776" s="757"/>
      <c r="V776" s="757"/>
      <c r="W776" s="757"/>
      <c r="X776" s="757"/>
    </row>
    <row r="777" spans="1:24" s="753" customFormat="1" ht="12.75" customHeight="1">
      <c r="A777" s="609" t="s">
        <v>754</v>
      </c>
      <c r="B777" s="754"/>
      <c r="C777" s="1201"/>
      <c r="D777" s="749"/>
      <c r="E777" s="757"/>
      <c r="F777" s="757"/>
      <c r="G777" s="758"/>
      <c r="H777" s="757"/>
      <c r="I777" s="757"/>
      <c r="J777" s="757"/>
      <c r="K777" s="757"/>
      <c r="L777" s="757"/>
      <c r="M777" s="757"/>
      <c r="N777" s="757"/>
      <c r="O777" s="757"/>
      <c r="P777" s="757"/>
      <c r="Q777" s="757"/>
      <c r="R777" s="757"/>
      <c r="S777" s="757"/>
      <c r="T777" s="757"/>
      <c r="U777" s="757"/>
      <c r="V777" s="757"/>
      <c r="W777" s="757"/>
      <c r="X777" s="757"/>
    </row>
    <row r="778" spans="1:24" s="753" customFormat="1" ht="12.75" customHeight="1" thickBot="1">
      <c r="A778" s="1204" t="s">
        <v>59</v>
      </c>
      <c r="B778" s="754"/>
      <c r="C778" s="1201"/>
      <c r="D778" s="749"/>
      <c r="E778" s="757"/>
      <c r="F778" s="757"/>
      <c r="G778" s="758"/>
      <c r="H778" s="757"/>
      <c r="I778" s="757"/>
      <c r="J778" s="757"/>
      <c r="K778" s="757"/>
      <c r="L778" s="757"/>
      <c r="M778" s="757"/>
      <c r="N778" s="757"/>
      <c r="O778" s="757"/>
      <c r="P778" s="757"/>
      <c r="Q778" s="757"/>
      <c r="R778" s="757"/>
      <c r="S778" s="757"/>
      <c r="T778" s="757"/>
      <c r="U778" s="757"/>
      <c r="V778" s="757"/>
      <c r="W778" s="757"/>
      <c r="X778" s="757"/>
    </row>
    <row r="779" spans="1:24" s="753" customFormat="1" ht="12.75" customHeight="1" thickBot="1">
      <c r="A779" s="1171" t="s">
        <v>60</v>
      </c>
      <c r="B779" s="1091"/>
      <c r="C779" s="1207">
        <f>(C781)</f>
        <v>40000000</v>
      </c>
      <c r="D779" s="749"/>
      <c r="E779" s="757"/>
      <c r="F779" s="757"/>
      <c r="G779" s="758"/>
      <c r="H779" s="757"/>
      <c r="I779" s="757"/>
      <c r="J779" s="757"/>
      <c r="K779" s="757"/>
      <c r="L779" s="757"/>
      <c r="M779" s="757"/>
      <c r="N779" s="757"/>
      <c r="O779" s="757"/>
      <c r="P779" s="757"/>
      <c r="Q779" s="757"/>
      <c r="R779" s="757"/>
      <c r="S779" s="757"/>
      <c r="T779" s="757"/>
      <c r="U779" s="757"/>
      <c r="V779" s="757"/>
      <c r="W779" s="757"/>
      <c r="X779" s="757"/>
    </row>
    <row r="780" spans="1:24" s="753" customFormat="1" ht="12.75" customHeight="1" thickBot="1">
      <c r="A780" s="759"/>
      <c r="B780" s="759"/>
      <c r="C780" s="755"/>
      <c r="D780" s="749"/>
      <c r="E780" s="757"/>
      <c r="F780" s="757"/>
      <c r="G780" s="758"/>
      <c r="H780" s="757"/>
      <c r="I780" s="757"/>
      <c r="J780" s="757"/>
      <c r="K780" s="757"/>
      <c r="L780" s="757"/>
      <c r="M780" s="757"/>
      <c r="N780" s="757"/>
      <c r="O780" s="757"/>
      <c r="P780" s="757"/>
      <c r="Q780" s="757"/>
      <c r="R780" s="757"/>
      <c r="S780" s="757"/>
      <c r="T780" s="757"/>
      <c r="U780" s="757"/>
      <c r="V780" s="757"/>
      <c r="W780" s="757"/>
      <c r="X780" s="757"/>
    </row>
    <row r="781" spans="1:24" s="753" customFormat="1" ht="12.75" customHeight="1" thickBot="1">
      <c r="A781" s="1391" t="s">
        <v>63</v>
      </c>
      <c r="B781" s="1320"/>
      <c r="C781" s="761">
        <f>(C782+C784)</f>
        <v>40000000</v>
      </c>
      <c r="D781" s="749"/>
      <c r="E781" s="757"/>
      <c r="F781" s="757"/>
      <c r="G781" s="758"/>
      <c r="H781" s="757"/>
      <c r="I781" s="757"/>
      <c r="J781" s="757"/>
      <c r="K781" s="757"/>
      <c r="L781" s="757"/>
      <c r="M781" s="757"/>
      <c r="N781" s="757"/>
      <c r="O781" s="757"/>
      <c r="P781" s="757"/>
      <c r="Q781" s="757"/>
      <c r="R781" s="757"/>
      <c r="S781" s="757"/>
      <c r="T781" s="757"/>
      <c r="U781" s="757"/>
      <c r="V781" s="757"/>
      <c r="W781" s="757"/>
      <c r="X781" s="757"/>
    </row>
    <row r="782" spans="1:24" s="753" customFormat="1" ht="12.75" customHeight="1">
      <c r="A782" s="764">
        <v>221201</v>
      </c>
      <c r="B782" s="764" t="s">
        <v>526</v>
      </c>
      <c r="C782" s="765">
        <f>SUM(C783)</f>
        <v>20000000</v>
      </c>
      <c r="D782" s="749"/>
      <c r="E782" s="757"/>
      <c r="F782" s="757"/>
      <c r="G782" s="758"/>
      <c r="H782" s="757"/>
      <c r="I782" s="757"/>
      <c r="J782" s="757"/>
      <c r="K782" s="757"/>
      <c r="L782" s="757"/>
      <c r="M782" s="757"/>
      <c r="N782" s="757"/>
      <c r="O782" s="757"/>
      <c r="P782" s="757"/>
      <c r="Q782" s="757"/>
      <c r="R782" s="757"/>
      <c r="S782" s="757"/>
      <c r="T782" s="757"/>
      <c r="U782" s="757"/>
      <c r="V782" s="757"/>
      <c r="W782" s="757"/>
      <c r="X782" s="757"/>
    </row>
    <row r="783" spans="1:24" s="753" customFormat="1" ht="12.75" customHeight="1">
      <c r="A783" s="798">
        <v>22120108</v>
      </c>
      <c r="B783" s="759" t="s">
        <v>677</v>
      </c>
      <c r="C783" s="768">
        <v>20000000</v>
      </c>
      <c r="D783" s="749"/>
      <c r="E783" s="757"/>
      <c r="F783" s="757"/>
      <c r="G783" s="758"/>
      <c r="H783" s="757"/>
      <c r="I783" s="757"/>
      <c r="J783" s="757"/>
      <c r="K783" s="757"/>
      <c r="L783" s="757"/>
      <c r="M783" s="757"/>
      <c r="N783" s="757"/>
      <c r="O783" s="757"/>
      <c r="P783" s="757"/>
      <c r="Q783" s="757"/>
      <c r="R783" s="757"/>
      <c r="S783" s="757"/>
      <c r="T783" s="757"/>
      <c r="U783" s="757"/>
      <c r="V783" s="757"/>
      <c r="W783" s="757"/>
      <c r="X783" s="757"/>
    </row>
    <row r="784" spans="1:24" s="753" customFormat="1" ht="12.75" customHeight="1">
      <c r="A784" s="764">
        <v>221202</v>
      </c>
      <c r="B784" s="764" t="s">
        <v>598</v>
      </c>
      <c r="C784" s="765">
        <f>SUM(C785)</f>
        <v>20000000</v>
      </c>
      <c r="D784" s="749"/>
      <c r="E784" s="757"/>
      <c r="F784" s="757"/>
      <c r="G784" s="758"/>
      <c r="H784" s="757"/>
      <c r="I784" s="757"/>
      <c r="J784" s="757"/>
      <c r="K784" s="757"/>
      <c r="L784" s="757"/>
      <c r="M784" s="757"/>
      <c r="N784" s="757"/>
      <c r="O784" s="757"/>
      <c r="P784" s="757"/>
      <c r="Q784" s="757"/>
      <c r="R784" s="757"/>
      <c r="S784" s="757"/>
      <c r="T784" s="757"/>
      <c r="U784" s="757"/>
      <c r="V784" s="757"/>
      <c r="W784" s="757"/>
      <c r="X784" s="757"/>
    </row>
    <row r="785" spans="1:24" s="753" customFormat="1" ht="12.75" customHeight="1">
      <c r="A785" s="767">
        <v>22120201</v>
      </c>
      <c r="B785" s="754" t="s">
        <v>678</v>
      </c>
      <c r="C785" s="768">
        <v>20000000</v>
      </c>
      <c r="D785" s="749"/>
      <c r="E785" s="757"/>
      <c r="F785" s="757"/>
      <c r="G785" s="758"/>
      <c r="H785" s="757"/>
      <c r="I785" s="757"/>
      <c r="J785" s="757"/>
      <c r="K785" s="757"/>
      <c r="L785" s="757"/>
      <c r="M785" s="757"/>
      <c r="N785" s="757"/>
      <c r="O785" s="757"/>
      <c r="P785" s="757"/>
      <c r="Q785" s="757"/>
      <c r="R785" s="757"/>
      <c r="S785" s="757"/>
      <c r="T785" s="757"/>
      <c r="U785" s="757"/>
      <c r="V785" s="757"/>
      <c r="W785" s="757"/>
      <c r="X785" s="757"/>
    </row>
    <row r="786" spans="1:24" ht="12.75" customHeight="1">
      <c r="A786" s="4"/>
      <c r="B786" s="4"/>
      <c r="C786" s="3"/>
      <c r="D786" s="270"/>
      <c r="E786" s="4"/>
      <c r="F786" s="4"/>
      <c r="G786" s="4"/>
      <c r="H786" s="4"/>
      <c r="I786" s="4"/>
      <c r="J786" s="4"/>
      <c r="K786" s="4"/>
      <c r="L786" s="4"/>
      <c r="M786" s="4"/>
      <c r="N786" s="4"/>
      <c r="O786" s="4"/>
      <c r="P786" s="4"/>
      <c r="Q786" s="4"/>
      <c r="R786" s="4"/>
      <c r="S786" s="4"/>
      <c r="T786" s="4"/>
      <c r="U786" s="4"/>
      <c r="V786" s="4"/>
      <c r="W786" s="4"/>
      <c r="X786" s="4"/>
    </row>
    <row r="787" spans="1:24" ht="13.5" customHeight="1" thickBot="1">
      <c r="A787" s="23"/>
      <c r="B787" s="23"/>
      <c r="C787" s="72"/>
      <c r="D787" s="37"/>
      <c r="E787" s="73"/>
      <c r="F787" s="73"/>
      <c r="G787" s="74"/>
      <c r="H787" s="73"/>
      <c r="I787" s="73"/>
      <c r="J787" s="73"/>
      <c r="K787" s="73"/>
      <c r="L787" s="73"/>
      <c r="M787" s="73"/>
      <c r="N787" s="73"/>
      <c r="O787" s="73"/>
      <c r="P787" s="73"/>
      <c r="Q787" s="73"/>
      <c r="R787" s="73"/>
      <c r="S787" s="73"/>
      <c r="T787" s="73"/>
      <c r="U787" s="73"/>
      <c r="V787" s="73"/>
      <c r="W787" s="73"/>
      <c r="X787" s="73"/>
    </row>
    <row r="788" spans="1:24" ht="13.5" customHeight="1">
      <c r="A788" s="1063" t="s">
        <v>946</v>
      </c>
      <c r="B788" s="1230"/>
      <c r="C788" s="1174">
        <v>1623</v>
      </c>
      <c r="D788" s="37"/>
      <c r="E788" s="73"/>
      <c r="F788" s="73"/>
      <c r="G788" s="74"/>
      <c r="H788" s="73"/>
      <c r="I788" s="73"/>
      <c r="J788" s="73"/>
      <c r="K788" s="73"/>
      <c r="L788" s="73"/>
      <c r="M788" s="73"/>
      <c r="N788" s="73"/>
      <c r="O788" s="73"/>
      <c r="P788" s="73"/>
      <c r="Q788" s="73"/>
      <c r="R788" s="73"/>
      <c r="S788" s="73"/>
      <c r="T788" s="73"/>
      <c r="U788" s="73"/>
      <c r="V788" s="73"/>
      <c r="W788" s="73"/>
      <c r="X788" s="73"/>
    </row>
    <row r="789" spans="1:24" ht="13.5" customHeight="1" thickBot="1">
      <c r="A789" s="1163"/>
      <c r="B789" s="1231"/>
      <c r="C789" s="1180"/>
      <c r="D789" s="37"/>
      <c r="E789" s="73"/>
      <c r="F789" s="73"/>
      <c r="G789" s="74"/>
      <c r="H789" s="73"/>
      <c r="I789" s="73"/>
      <c r="J789" s="73"/>
      <c r="K789" s="73"/>
      <c r="L789" s="73"/>
      <c r="M789" s="73"/>
      <c r="N789" s="73"/>
      <c r="O789" s="73"/>
      <c r="P789" s="73"/>
      <c r="Q789" s="73"/>
      <c r="R789" s="73"/>
      <c r="S789" s="73"/>
      <c r="T789" s="73"/>
      <c r="U789" s="73"/>
      <c r="V789" s="73"/>
      <c r="W789" s="73"/>
      <c r="X789" s="73"/>
    </row>
    <row r="790" spans="1:24" ht="13.5" customHeight="1">
      <c r="A790" s="609" t="s">
        <v>671</v>
      </c>
      <c r="B790" s="612"/>
      <c r="C790" s="626"/>
      <c r="D790" s="37"/>
      <c r="E790" s="73"/>
      <c r="F790" s="73"/>
      <c r="G790" s="74"/>
      <c r="H790" s="73"/>
      <c r="I790" s="73"/>
      <c r="J790" s="73"/>
      <c r="K790" s="73"/>
      <c r="L790" s="73"/>
      <c r="M790" s="73"/>
      <c r="N790" s="73"/>
      <c r="O790" s="73"/>
      <c r="P790" s="73"/>
      <c r="Q790" s="73"/>
      <c r="R790" s="73"/>
      <c r="S790" s="73"/>
      <c r="T790" s="73"/>
      <c r="U790" s="73"/>
      <c r="V790" s="73"/>
      <c r="W790" s="73"/>
      <c r="X790" s="73"/>
    </row>
    <row r="791" spans="1:24" ht="13.5" customHeight="1">
      <c r="A791" s="661" t="s">
        <v>931</v>
      </c>
      <c r="B791" s="612"/>
      <c r="C791" s="626"/>
      <c r="D791" s="37"/>
      <c r="E791" s="73"/>
      <c r="F791" s="73"/>
      <c r="G791" s="74"/>
      <c r="H791" s="73"/>
      <c r="I791" s="73"/>
      <c r="J791" s="73"/>
      <c r="K791" s="73"/>
      <c r="L791" s="73"/>
      <c r="M791" s="73"/>
      <c r="N791" s="73"/>
      <c r="O791" s="73"/>
      <c r="P791" s="73"/>
      <c r="Q791" s="73"/>
      <c r="R791" s="73"/>
      <c r="S791" s="73"/>
      <c r="T791" s="73"/>
      <c r="U791" s="73"/>
      <c r="V791" s="73"/>
      <c r="W791" s="73"/>
      <c r="X791" s="73"/>
    </row>
    <row r="792" spans="1:24" ht="13.5" customHeight="1">
      <c r="A792" s="609" t="s">
        <v>754</v>
      </c>
      <c r="B792" s="612"/>
      <c r="C792" s="626"/>
      <c r="D792" s="37"/>
      <c r="E792" s="73"/>
      <c r="F792" s="73"/>
      <c r="G792" s="74"/>
      <c r="H792" s="73"/>
      <c r="I792" s="73"/>
      <c r="J792" s="73"/>
      <c r="K792" s="73"/>
      <c r="L792" s="73"/>
      <c r="M792" s="73"/>
      <c r="N792" s="73"/>
      <c r="O792" s="73"/>
      <c r="P792" s="73"/>
      <c r="Q792" s="73"/>
      <c r="R792" s="73"/>
      <c r="S792" s="73"/>
      <c r="T792" s="73"/>
      <c r="U792" s="73"/>
      <c r="V792" s="73"/>
      <c r="W792" s="73"/>
      <c r="X792" s="73"/>
    </row>
    <row r="793" spans="1:24" ht="13.5" customHeight="1" thickBot="1">
      <c r="A793" s="609" t="s">
        <v>59</v>
      </c>
      <c r="B793" s="612"/>
      <c r="C793" s="626"/>
      <c r="D793" s="37"/>
      <c r="E793" s="73"/>
      <c r="F793" s="73"/>
      <c r="G793" s="74"/>
      <c r="H793" s="73"/>
      <c r="I793" s="73"/>
      <c r="J793" s="73"/>
      <c r="K793" s="73"/>
      <c r="L793" s="73"/>
      <c r="M793" s="73"/>
      <c r="N793" s="73"/>
      <c r="O793" s="73"/>
      <c r="P793" s="73"/>
      <c r="Q793" s="73"/>
      <c r="R793" s="73"/>
      <c r="S793" s="73"/>
      <c r="T793" s="73"/>
      <c r="U793" s="73"/>
      <c r="V793" s="73"/>
      <c r="W793" s="73"/>
      <c r="X793" s="73"/>
    </row>
    <row r="794" spans="1:24" ht="13.5" customHeight="1" thickBot="1">
      <c r="A794" s="1171" t="s">
        <v>60</v>
      </c>
      <c r="B794" s="1197"/>
      <c r="C794" s="1033">
        <f>C796</f>
        <v>240000000</v>
      </c>
      <c r="D794" s="37"/>
      <c r="E794" s="73"/>
      <c r="F794" s="73"/>
      <c r="G794" s="74"/>
      <c r="H794" s="73"/>
      <c r="I794" s="73"/>
      <c r="J794" s="73"/>
      <c r="K794" s="73"/>
      <c r="L794" s="73"/>
      <c r="M794" s="73"/>
      <c r="N794" s="73"/>
      <c r="O794" s="73"/>
      <c r="P794" s="73"/>
      <c r="Q794" s="73"/>
      <c r="R794" s="73"/>
      <c r="S794" s="73"/>
      <c r="T794" s="73"/>
      <c r="U794" s="73"/>
      <c r="V794" s="73"/>
      <c r="W794" s="73"/>
      <c r="X794" s="73"/>
    </row>
    <row r="795" spans="1:24" ht="13.5" customHeight="1" thickBot="1">
      <c r="A795" s="23"/>
      <c r="B795" s="23"/>
      <c r="C795" s="72"/>
      <c r="D795" s="37"/>
      <c r="E795" s="73"/>
      <c r="F795" s="73"/>
      <c r="G795" s="74"/>
      <c r="H795" s="73"/>
      <c r="I795" s="73"/>
      <c r="J795" s="73"/>
      <c r="K795" s="73"/>
      <c r="L795" s="73"/>
      <c r="M795" s="73"/>
      <c r="N795" s="73"/>
      <c r="O795" s="73"/>
      <c r="P795" s="73"/>
      <c r="Q795" s="73"/>
      <c r="R795" s="73"/>
      <c r="S795" s="73"/>
      <c r="T795" s="73"/>
      <c r="U795" s="73"/>
      <c r="V795" s="73"/>
      <c r="W795" s="73"/>
      <c r="X795" s="73"/>
    </row>
    <row r="796" spans="1:24" ht="13.5" customHeight="1" thickBot="1">
      <c r="A796" s="1390" t="s">
        <v>63</v>
      </c>
      <c r="B796" s="1281"/>
      <c r="C796" s="71">
        <f>(C798)</f>
        <v>240000000</v>
      </c>
      <c r="D796" s="37"/>
      <c r="E796" s="73"/>
      <c r="F796" s="73"/>
      <c r="G796" s="74"/>
      <c r="H796" s="73"/>
      <c r="I796" s="73"/>
      <c r="J796" s="73"/>
      <c r="K796" s="73"/>
      <c r="L796" s="73"/>
      <c r="M796" s="73"/>
      <c r="N796" s="73"/>
      <c r="O796" s="73"/>
      <c r="P796" s="73"/>
      <c r="Q796" s="73"/>
      <c r="R796" s="73"/>
      <c r="S796" s="73"/>
      <c r="T796" s="73"/>
      <c r="U796" s="73"/>
      <c r="V796" s="73"/>
      <c r="W796" s="73"/>
      <c r="X796" s="73"/>
    </row>
    <row r="797" spans="1:24" ht="13.5" customHeight="1">
      <c r="A797" s="76">
        <v>221202</v>
      </c>
      <c r="B797" s="154" t="s">
        <v>598</v>
      </c>
      <c r="C797" s="72"/>
      <c r="D797" s="37"/>
      <c r="E797" s="73"/>
      <c r="F797" s="73"/>
      <c r="G797" s="74"/>
      <c r="H797" s="73"/>
      <c r="I797" s="73"/>
      <c r="J797" s="73"/>
      <c r="K797" s="73"/>
      <c r="L797" s="73"/>
      <c r="M797" s="73"/>
      <c r="N797" s="73"/>
      <c r="O797" s="73"/>
      <c r="P797" s="73"/>
      <c r="Q797" s="73"/>
      <c r="R797" s="73"/>
      <c r="S797" s="73"/>
      <c r="T797" s="73"/>
      <c r="U797" s="73"/>
      <c r="V797" s="73"/>
      <c r="W797" s="73"/>
      <c r="X797" s="73"/>
    </row>
    <row r="798" spans="1:24" ht="13.5" customHeight="1">
      <c r="A798" s="154">
        <v>22120203</v>
      </c>
      <c r="B798" s="100" t="s">
        <v>692</v>
      </c>
      <c r="C798" s="72">
        <v>240000000</v>
      </c>
      <c r="D798" s="37"/>
      <c r="E798" s="1092"/>
      <c r="F798" s="73"/>
      <c r="G798" s="74"/>
      <c r="H798" s="73"/>
      <c r="I798" s="73"/>
      <c r="J798" s="73"/>
      <c r="K798" s="73"/>
      <c r="L798" s="73"/>
      <c r="M798" s="73"/>
      <c r="N798" s="73"/>
      <c r="O798" s="73"/>
      <c r="P798" s="73"/>
      <c r="Q798" s="73"/>
      <c r="R798" s="73"/>
      <c r="S798" s="73"/>
      <c r="T798" s="73"/>
      <c r="U798" s="73"/>
      <c r="V798" s="73"/>
      <c r="W798" s="73"/>
      <c r="X798" s="73"/>
    </row>
    <row r="799" spans="1:24" s="239" customFormat="1" ht="14.25" thickBot="1">
      <c r="A799" s="662"/>
      <c r="B799" s="662"/>
      <c r="C799" s="682"/>
      <c r="D799" s="659"/>
      <c r="G799" s="660"/>
    </row>
    <row r="800" spans="1:24" s="239" customFormat="1" ht="13.5" customHeight="1">
      <c r="A800" s="1375" t="s">
        <v>945</v>
      </c>
      <c r="B800" s="1376"/>
      <c r="C800" s="1212">
        <v>1624</v>
      </c>
      <c r="D800" s="659"/>
      <c r="G800" s="660"/>
    </row>
    <row r="801" spans="1:24" s="239" customFormat="1" ht="14.25" thickBot="1">
      <c r="A801" s="1377"/>
      <c r="B801" s="1378"/>
      <c r="C801" s="1213"/>
      <c r="D801" s="659"/>
      <c r="G801" s="660"/>
    </row>
    <row r="802" spans="1:24" s="239" customFormat="1" ht="13.5" customHeight="1">
      <c r="A802" s="609" t="s">
        <v>671</v>
      </c>
      <c r="B802" s="612"/>
      <c r="C802" s="626"/>
      <c r="D802" s="680"/>
      <c r="G802" s="681"/>
    </row>
    <row r="803" spans="1:24" ht="13.5" customHeight="1">
      <c r="A803" s="661" t="s">
        <v>931</v>
      </c>
      <c r="B803" s="612"/>
      <c r="C803" s="626"/>
      <c r="D803" s="37"/>
      <c r="E803" s="171"/>
      <c r="F803" s="171"/>
      <c r="G803" s="172"/>
      <c r="H803" s="171"/>
      <c r="I803" s="171"/>
      <c r="J803" s="171"/>
      <c r="K803" s="171"/>
      <c r="L803" s="171"/>
      <c r="M803" s="171"/>
      <c r="N803" s="171"/>
      <c r="O803" s="171"/>
      <c r="P803" s="171"/>
      <c r="Q803" s="171"/>
      <c r="R803" s="171"/>
      <c r="S803" s="171"/>
      <c r="T803" s="171"/>
      <c r="U803" s="171"/>
      <c r="V803" s="171"/>
      <c r="W803" s="171"/>
      <c r="X803" s="171"/>
    </row>
    <row r="804" spans="1:24" s="239" customFormat="1" ht="13.5">
      <c r="A804" s="609" t="s">
        <v>754</v>
      </c>
      <c r="B804" s="612"/>
      <c r="C804" s="626"/>
      <c r="D804" s="659"/>
      <c r="G804" s="660"/>
    </row>
    <row r="805" spans="1:24" s="239" customFormat="1" ht="14.25" thickBot="1">
      <c r="A805" s="1089" t="s">
        <v>59</v>
      </c>
      <c r="B805" s="612"/>
      <c r="C805" s="626"/>
      <c r="D805" s="659"/>
      <c r="G805" s="660"/>
    </row>
    <row r="806" spans="1:24" s="239" customFormat="1" ht="14.25" thickBot="1">
      <c r="A806" s="1171" t="s">
        <v>60</v>
      </c>
      <c r="B806" s="666"/>
      <c r="C806" s="607">
        <f>C808</f>
        <v>2100000000</v>
      </c>
      <c r="D806" s="659"/>
      <c r="G806" s="660"/>
    </row>
    <row r="807" spans="1:24" s="239" customFormat="1" ht="17.25" customHeight="1" thickBot="1">
      <c r="A807" s="667"/>
      <c r="B807" s="667"/>
      <c r="C807" s="663"/>
      <c r="D807" s="659"/>
      <c r="G807" s="660"/>
    </row>
    <row r="808" spans="1:24" s="239" customFormat="1" ht="14.25" thickBot="1">
      <c r="A808" s="683" t="s">
        <v>63</v>
      </c>
      <c r="B808" s="684"/>
      <c r="C808" s="668">
        <f>(C809)</f>
        <v>2100000000</v>
      </c>
      <c r="D808" s="659"/>
      <c r="G808" s="660"/>
    </row>
    <row r="809" spans="1:24" s="239" customFormat="1" ht="13.5" customHeight="1">
      <c r="A809" s="669">
        <v>221202</v>
      </c>
      <c r="B809" s="669" t="s">
        <v>598</v>
      </c>
      <c r="C809" s="670">
        <f>SUM(C810)</f>
        <v>2100000000</v>
      </c>
      <c r="D809" s="659"/>
      <c r="G809" s="660"/>
    </row>
    <row r="810" spans="1:24" s="239" customFormat="1" ht="13.5" customHeight="1">
      <c r="A810" s="1049">
        <v>22120226</v>
      </c>
      <c r="B810" s="23" t="s">
        <v>693</v>
      </c>
      <c r="C810" s="24">
        <v>2100000000</v>
      </c>
      <c r="D810" s="659"/>
      <c r="G810" s="660"/>
    </row>
    <row r="811" spans="1:24" ht="13.5" customHeight="1">
      <c r="A811" s="100"/>
      <c r="B811" s="100"/>
      <c r="C811" s="99"/>
      <c r="D811" s="37"/>
      <c r="E811" s="35"/>
      <c r="F811" s="35"/>
      <c r="G811" s="126"/>
      <c r="H811" s="35"/>
      <c r="I811" s="35"/>
      <c r="J811" s="35"/>
      <c r="K811" s="35"/>
      <c r="L811" s="35"/>
      <c r="M811" s="35"/>
      <c r="N811" s="35"/>
      <c r="O811" s="35"/>
      <c r="P811" s="35"/>
      <c r="Q811" s="35"/>
      <c r="R811" s="35"/>
      <c r="S811" s="35"/>
      <c r="T811" s="35"/>
      <c r="U811" s="35"/>
      <c r="V811" s="35"/>
      <c r="W811" s="35"/>
      <c r="X811" s="35"/>
    </row>
    <row r="812" spans="1:24" ht="13.5" customHeight="1" thickBot="1">
      <c r="A812" s="100"/>
      <c r="B812" s="100"/>
      <c r="C812" s="99"/>
      <c r="D812" s="37"/>
      <c r="E812" s="35"/>
      <c r="F812" s="35"/>
      <c r="G812" s="126"/>
      <c r="H812" s="35"/>
      <c r="I812" s="35"/>
      <c r="J812" s="35"/>
      <c r="K812" s="35"/>
      <c r="L812" s="35"/>
      <c r="M812" s="35"/>
      <c r="N812" s="35"/>
      <c r="O812" s="35"/>
      <c r="P812" s="35"/>
      <c r="Q812" s="35"/>
      <c r="R812" s="35"/>
      <c r="S812" s="35"/>
      <c r="T812" s="35"/>
      <c r="U812" s="35"/>
      <c r="V812" s="35"/>
      <c r="W812" s="35"/>
      <c r="X812" s="35"/>
    </row>
    <row r="813" spans="1:24" ht="13.5" customHeight="1">
      <c r="A813" s="1334" t="s">
        <v>944</v>
      </c>
      <c r="B813" s="1352"/>
      <c r="C813" s="1174">
        <v>1625</v>
      </c>
      <c r="D813" s="37"/>
      <c r="E813" s="170"/>
      <c r="F813" s="171"/>
      <c r="G813" s="172"/>
      <c r="H813" s="171"/>
      <c r="I813" s="171"/>
      <c r="J813" s="171"/>
      <c r="K813" s="171"/>
      <c r="L813" s="171"/>
      <c r="M813" s="171"/>
      <c r="N813" s="171"/>
      <c r="O813" s="171"/>
      <c r="P813" s="171"/>
      <c r="Q813" s="171"/>
      <c r="R813" s="171"/>
      <c r="S813" s="171"/>
      <c r="T813" s="171"/>
      <c r="U813" s="171"/>
      <c r="V813" s="171"/>
      <c r="W813" s="171"/>
      <c r="X813" s="171"/>
    </row>
    <row r="814" spans="1:24" ht="13.5" customHeight="1" thickBot="1">
      <c r="A814" s="1363"/>
      <c r="B814" s="1364"/>
      <c r="C814" s="1210"/>
      <c r="D814" s="37"/>
      <c r="E814" s="170"/>
      <c r="F814" s="171"/>
      <c r="G814" s="172"/>
      <c r="H814" s="171"/>
      <c r="I814" s="171"/>
      <c r="J814" s="171"/>
      <c r="K814" s="171"/>
      <c r="L814" s="171"/>
      <c r="M814" s="171"/>
      <c r="N814" s="171"/>
      <c r="O814" s="171"/>
      <c r="P814" s="171"/>
      <c r="Q814" s="171"/>
      <c r="R814" s="171"/>
      <c r="S814" s="171"/>
      <c r="T814" s="171"/>
      <c r="U814" s="171"/>
      <c r="V814" s="171"/>
      <c r="W814" s="171"/>
      <c r="X814" s="171"/>
    </row>
    <row r="815" spans="1:24" ht="13.5" customHeight="1">
      <c r="A815" s="1088" t="s">
        <v>671</v>
      </c>
      <c r="B815" s="612"/>
      <c r="C815" s="626"/>
      <c r="D815" s="37"/>
      <c r="E815" s="171"/>
      <c r="F815" s="171"/>
      <c r="G815" s="172"/>
      <c r="H815" s="171"/>
      <c r="I815" s="171"/>
      <c r="J815" s="171"/>
      <c r="K815" s="171"/>
      <c r="L815" s="171"/>
      <c r="M815" s="171"/>
      <c r="N815" s="171"/>
      <c r="O815" s="171"/>
      <c r="P815" s="171"/>
      <c r="Q815" s="171"/>
      <c r="R815" s="171"/>
      <c r="S815" s="171"/>
      <c r="T815" s="171"/>
      <c r="U815" s="171"/>
      <c r="V815" s="171"/>
      <c r="W815" s="171"/>
      <c r="X815" s="171"/>
    </row>
    <row r="816" spans="1:24" ht="13.5" customHeight="1">
      <c r="A816" s="661" t="s">
        <v>932</v>
      </c>
      <c r="B816" s="612"/>
      <c r="C816" s="626"/>
      <c r="D816" s="37"/>
      <c r="E816" s="171"/>
      <c r="F816" s="171"/>
      <c r="G816" s="172"/>
      <c r="H816" s="171"/>
      <c r="I816" s="171"/>
      <c r="J816" s="171"/>
      <c r="K816" s="171"/>
      <c r="L816" s="171"/>
      <c r="M816" s="171"/>
      <c r="N816" s="171"/>
      <c r="O816" s="171"/>
      <c r="P816" s="171"/>
      <c r="Q816" s="171"/>
      <c r="R816" s="171"/>
      <c r="S816" s="171"/>
      <c r="T816" s="171"/>
      <c r="U816" s="171"/>
      <c r="V816" s="171"/>
      <c r="W816" s="171"/>
      <c r="X816" s="171"/>
    </row>
    <row r="817" spans="1:24" ht="13.5" customHeight="1">
      <c r="A817" s="609" t="s">
        <v>754</v>
      </c>
      <c r="B817" s="612"/>
      <c r="C817" s="626"/>
      <c r="D817" s="37"/>
      <c r="E817" s="171"/>
      <c r="F817" s="171"/>
      <c r="G817" s="172"/>
      <c r="H817" s="171"/>
      <c r="I817" s="171"/>
      <c r="J817" s="171"/>
      <c r="K817" s="171"/>
      <c r="L817" s="171"/>
      <c r="M817" s="171"/>
      <c r="N817" s="171"/>
      <c r="O817" s="171"/>
      <c r="P817" s="171"/>
      <c r="Q817" s="171"/>
      <c r="R817" s="171"/>
      <c r="S817" s="171"/>
      <c r="T817" s="171"/>
      <c r="U817" s="171"/>
      <c r="V817" s="171"/>
      <c r="W817" s="171"/>
      <c r="X817" s="171"/>
    </row>
    <row r="818" spans="1:24" ht="13.5" customHeight="1" thickBot="1">
      <c r="A818" s="1089" t="s">
        <v>59</v>
      </c>
      <c r="B818" s="612"/>
      <c r="C818" s="626"/>
      <c r="D818" s="37"/>
      <c r="E818" s="171"/>
      <c r="F818" s="171"/>
      <c r="G818" s="172"/>
      <c r="H818" s="171"/>
      <c r="I818" s="171"/>
      <c r="J818" s="171"/>
      <c r="K818" s="171"/>
      <c r="L818" s="171"/>
      <c r="M818" s="171"/>
      <c r="N818" s="171"/>
      <c r="O818" s="171"/>
      <c r="P818" s="171"/>
      <c r="Q818" s="171"/>
      <c r="R818" s="171"/>
      <c r="S818" s="171"/>
      <c r="T818" s="171"/>
      <c r="U818" s="171"/>
      <c r="V818" s="171"/>
      <c r="W818" s="171"/>
      <c r="X818" s="171"/>
    </row>
    <row r="819" spans="1:24" ht="13.5" customHeight="1" thickBot="1">
      <c r="A819" s="1171" t="s">
        <v>60</v>
      </c>
      <c r="B819" s="1197"/>
      <c r="C819" s="1033">
        <f>C821</f>
        <v>67922080.909999996</v>
      </c>
      <c r="D819" s="37"/>
      <c r="E819" s="171"/>
      <c r="F819" s="171"/>
      <c r="G819" s="172"/>
      <c r="H819" s="171"/>
      <c r="I819" s="171"/>
      <c r="J819" s="171"/>
      <c r="K819" s="171"/>
      <c r="L819" s="171"/>
      <c r="M819" s="171"/>
      <c r="N819" s="171"/>
      <c r="O819" s="171"/>
      <c r="P819" s="171"/>
      <c r="Q819" s="171"/>
      <c r="R819" s="171"/>
      <c r="S819" s="171"/>
      <c r="T819" s="171"/>
      <c r="U819" s="171"/>
      <c r="V819" s="171"/>
      <c r="W819" s="171"/>
      <c r="X819" s="171"/>
    </row>
    <row r="820" spans="1:24" ht="13.5" customHeight="1" thickBot="1">
      <c r="A820" s="100"/>
      <c r="B820" s="100"/>
      <c r="C820" s="99"/>
      <c r="D820" s="37"/>
      <c r="E820" s="35"/>
      <c r="F820" s="35"/>
      <c r="G820" s="126"/>
      <c r="H820" s="35"/>
      <c r="I820" s="35"/>
      <c r="J820" s="35"/>
      <c r="K820" s="35"/>
      <c r="L820" s="35"/>
      <c r="M820" s="35"/>
      <c r="N820" s="35"/>
      <c r="O820" s="35"/>
      <c r="P820" s="35"/>
      <c r="Q820" s="35"/>
      <c r="R820" s="35"/>
      <c r="S820" s="35"/>
      <c r="T820" s="35"/>
      <c r="U820" s="35"/>
      <c r="V820" s="35"/>
      <c r="W820" s="35"/>
      <c r="X820" s="35"/>
    </row>
    <row r="821" spans="1:24" s="239" customFormat="1" ht="14.25" thickBot="1">
      <c r="A821" s="683" t="s">
        <v>63</v>
      </c>
      <c r="B821" s="684"/>
      <c r="C821" s="668">
        <f>(C822)</f>
        <v>67922080.909999996</v>
      </c>
      <c r="D821" s="659"/>
      <c r="G821" s="660"/>
    </row>
    <row r="822" spans="1:24" s="239" customFormat="1" ht="13.5" customHeight="1">
      <c r="A822" s="669">
        <v>221202</v>
      </c>
      <c r="B822" s="669" t="s">
        <v>598</v>
      </c>
      <c r="C822" s="670">
        <f>SUM(C823:C824)</f>
        <v>67922080.909999996</v>
      </c>
      <c r="D822" s="659"/>
      <c r="G822" s="660"/>
    </row>
    <row r="823" spans="1:24" s="239" customFormat="1" ht="13.5" customHeight="1">
      <c r="A823" s="1049">
        <v>22120226</v>
      </c>
      <c r="B823" s="23" t="s">
        <v>693</v>
      </c>
      <c r="C823" s="24">
        <v>20000000</v>
      </c>
      <c r="D823" s="659"/>
      <c r="G823" s="660"/>
    </row>
    <row r="824" spans="1:24" s="239" customFormat="1" ht="13.5" customHeight="1">
      <c r="A824" s="1049">
        <v>22120210</v>
      </c>
      <c r="B824" s="23" t="s">
        <v>694</v>
      </c>
      <c r="C824" s="24">
        <f>17922080.91+30000000</f>
        <v>47922080.909999996</v>
      </c>
      <c r="D824" s="659"/>
      <c r="G824" s="660"/>
    </row>
    <row r="825" spans="1:24" ht="13.5" customHeight="1">
      <c r="A825" s="100"/>
      <c r="B825" s="100"/>
      <c r="C825" s="99"/>
      <c r="D825" s="37"/>
      <c r="E825" s="35"/>
      <c r="F825" s="35"/>
      <c r="G825" s="126"/>
      <c r="H825" s="35"/>
      <c r="I825" s="35"/>
      <c r="J825" s="35"/>
      <c r="K825" s="35"/>
      <c r="L825" s="35"/>
      <c r="M825" s="35"/>
      <c r="N825" s="35"/>
      <c r="O825" s="35"/>
      <c r="P825" s="35"/>
      <c r="Q825" s="35"/>
      <c r="R825" s="35"/>
      <c r="S825" s="35"/>
      <c r="T825" s="35"/>
      <c r="U825" s="35"/>
      <c r="V825" s="35"/>
      <c r="W825" s="35"/>
      <c r="X825" s="35"/>
    </row>
    <row r="826" spans="1:24" ht="13.5" customHeight="1" thickBot="1">
      <c r="A826" s="100"/>
      <c r="B826" s="100"/>
      <c r="C826" s="72"/>
      <c r="D826" s="37"/>
      <c r="E826" s="73"/>
      <c r="F826" s="73"/>
      <c r="G826" s="74"/>
      <c r="H826" s="73"/>
      <c r="I826" s="73"/>
      <c r="J826" s="73"/>
      <c r="K826" s="73"/>
      <c r="L826" s="73"/>
      <c r="M826" s="73"/>
      <c r="N826" s="73"/>
      <c r="O826" s="73"/>
      <c r="P826" s="73"/>
      <c r="Q826" s="73"/>
      <c r="R826" s="73"/>
      <c r="S826" s="73"/>
      <c r="T826" s="73"/>
      <c r="U826" s="73"/>
      <c r="V826" s="73"/>
      <c r="W826" s="73"/>
      <c r="X826" s="73"/>
    </row>
    <row r="827" spans="1:24" ht="13.5" customHeight="1">
      <c r="A827" s="1334" t="s">
        <v>943</v>
      </c>
      <c r="B827" s="1352"/>
      <c r="C827" s="1174">
        <v>1626</v>
      </c>
      <c r="D827" s="37"/>
      <c r="E827" s="170"/>
      <c r="F827" s="171"/>
      <c r="G827" s="172"/>
      <c r="H827" s="171"/>
      <c r="I827" s="171"/>
      <c r="J827" s="171"/>
      <c r="K827" s="171"/>
      <c r="L827" s="171"/>
      <c r="M827" s="171"/>
      <c r="N827" s="171"/>
      <c r="O827" s="171"/>
      <c r="P827" s="171"/>
      <c r="Q827" s="171"/>
      <c r="R827" s="171"/>
      <c r="S827" s="171"/>
      <c r="T827" s="171"/>
      <c r="U827" s="171"/>
      <c r="V827" s="171"/>
      <c r="W827" s="171"/>
      <c r="X827" s="171"/>
    </row>
    <row r="828" spans="1:24" ht="13.5" customHeight="1" thickBot="1">
      <c r="A828" s="1363"/>
      <c r="B828" s="1364"/>
      <c r="C828" s="1210"/>
      <c r="D828" s="37"/>
      <c r="E828" s="170"/>
      <c r="F828" s="171"/>
      <c r="G828" s="172"/>
      <c r="H828" s="171"/>
      <c r="I828" s="171"/>
      <c r="J828" s="171"/>
      <c r="K828" s="171"/>
      <c r="L828" s="171"/>
      <c r="M828" s="171"/>
      <c r="N828" s="171"/>
      <c r="O828" s="171"/>
      <c r="P828" s="171"/>
      <c r="Q828" s="171"/>
      <c r="R828" s="171"/>
      <c r="S828" s="171"/>
      <c r="T828" s="171"/>
      <c r="U828" s="171"/>
      <c r="V828" s="171"/>
      <c r="W828" s="171"/>
      <c r="X828" s="171"/>
    </row>
    <row r="829" spans="1:24" ht="13.5" customHeight="1">
      <c r="A829" s="1088" t="s">
        <v>671</v>
      </c>
      <c r="B829" s="612"/>
      <c r="C829" s="626"/>
      <c r="D829" s="37"/>
      <c r="E829" s="171"/>
      <c r="F829" s="171"/>
      <c r="G829" s="172"/>
      <c r="H829" s="171"/>
      <c r="I829" s="171"/>
      <c r="J829" s="171"/>
      <c r="K829" s="171"/>
      <c r="L829" s="171"/>
      <c r="M829" s="171"/>
      <c r="N829" s="171"/>
      <c r="O829" s="171"/>
      <c r="P829" s="171"/>
      <c r="Q829" s="171"/>
      <c r="R829" s="171"/>
      <c r="S829" s="171"/>
      <c r="T829" s="171"/>
      <c r="U829" s="171"/>
      <c r="V829" s="171"/>
      <c r="W829" s="171"/>
      <c r="X829" s="171"/>
    </row>
    <row r="830" spans="1:24" ht="13.5" customHeight="1">
      <c r="A830" s="661" t="s">
        <v>932</v>
      </c>
      <c r="B830" s="612"/>
      <c r="C830" s="626"/>
      <c r="D830" s="37"/>
      <c r="E830" s="171"/>
      <c r="F830" s="171"/>
      <c r="G830" s="172"/>
      <c r="H830" s="171"/>
      <c r="I830" s="171"/>
      <c r="J830" s="171"/>
      <c r="K830" s="171"/>
      <c r="L830" s="171"/>
      <c r="M830" s="171"/>
      <c r="N830" s="171"/>
      <c r="O830" s="171"/>
      <c r="P830" s="171"/>
      <c r="Q830" s="171"/>
      <c r="R830" s="171"/>
      <c r="S830" s="171"/>
      <c r="T830" s="171"/>
      <c r="U830" s="171"/>
      <c r="V830" s="171"/>
      <c r="W830" s="171"/>
      <c r="X830" s="171"/>
    </row>
    <row r="831" spans="1:24" ht="13.5" customHeight="1">
      <c r="A831" s="609" t="s">
        <v>754</v>
      </c>
      <c r="B831" s="612"/>
      <c r="C831" s="626"/>
      <c r="D831" s="37"/>
      <c r="E831" s="171"/>
      <c r="F831" s="171"/>
      <c r="G831" s="172"/>
      <c r="H831" s="171"/>
      <c r="I831" s="171"/>
      <c r="J831" s="171"/>
      <c r="K831" s="171"/>
      <c r="L831" s="171"/>
      <c r="M831" s="171"/>
      <c r="N831" s="171"/>
      <c r="O831" s="171"/>
      <c r="P831" s="171"/>
      <c r="Q831" s="171"/>
      <c r="R831" s="171"/>
      <c r="S831" s="171"/>
      <c r="T831" s="171"/>
      <c r="U831" s="171"/>
      <c r="V831" s="171"/>
      <c r="W831" s="171"/>
      <c r="X831" s="171"/>
    </row>
    <row r="832" spans="1:24" ht="13.5" customHeight="1" thickBot="1">
      <c r="A832" s="1089" t="s">
        <v>59</v>
      </c>
      <c r="B832" s="612"/>
      <c r="C832" s="626"/>
      <c r="D832" s="37"/>
      <c r="E832" s="171"/>
      <c r="F832" s="171"/>
      <c r="G832" s="172"/>
      <c r="H832" s="171"/>
      <c r="I832" s="171"/>
      <c r="J832" s="171"/>
      <c r="K832" s="171"/>
      <c r="L832" s="171"/>
      <c r="M832" s="171"/>
      <c r="N832" s="171"/>
      <c r="O832" s="171"/>
      <c r="P832" s="171"/>
      <c r="Q832" s="171"/>
      <c r="R832" s="171"/>
      <c r="S832" s="171"/>
      <c r="T832" s="171"/>
      <c r="U832" s="171"/>
      <c r="V832" s="171"/>
      <c r="W832" s="171"/>
      <c r="X832" s="171"/>
    </row>
    <row r="833" spans="1:24" ht="13.5" customHeight="1" thickBot="1">
      <c r="A833" s="1171" t="s">
        <v>60</v>
      </c>
      <c r="B833" s="1197"/>
      <c r="C833" s="1033">
        <f>C835</f>
        <v>400000000</v>
      </c>
      <c r="D833" s="37"/>
      <c r="E833" s="171"/>
      <c r="F833" s="171"/>
      <c r="G833" s="172"/>
      <c r="H833" s="171"/>
      <c r="I833" s="171"/>
      <c r="J833" s="171"/>
      <c r="K833" s="171"/>
      <c r="L833" s="171"/>
      <c r="M833" s="171"/>
      <c r="N833" s="171"/>
      <c r="O833" s="171"/>
      <c r="P833" s="171"/>
      <c r="Q833" s="171"/>
      <c r="R833" s="171"/>
      <c r="S833" s="171"/>
      <c r="T833" s="171"/>
      <c r="U833" s="171"/>
      <c r="V833" s="171"/>
      <c r="W833" s="171"/>
      <c r="X833" s="171"/>
    </row>
    <row r="834" spans="1:24" ht="13.5" customHeight="1" thickBot="1">
      <c r="A834" s="23"/>
      <c r="B834" s="23"/>
      <c r="C834" s="72"/>
      <c r="D834" s="37"/>
      <c r="E834" s="73"/>
      <c r="F834" s="73"/>
      <c r="G834" s="74"/>
      <c r="H834" s="73"/>
      <c r="I834" s="73"/>
      <c r="J834" s="73"/>
      <c r="K834" s="73"/>
      <c r="L834" s="73"/>
      <c r="M834" s="73"/>
      <c r="N834" s="73"/>
      <c r="O834" s="73"/>
      <c r="P834" s="73"/>
      <c r="Q834" s="73"/>
      <c r="R834" s="73"/>
      <c r="S834" s="73"/>
      <c r="T834" s="73"/>
      <c r="U834" s="73"/>
      <c r="V834" s="73"/>
      <c r="W834" s="73"/>
      <c r="X834" s="73"/>
    </row>
    <row r="835" spans="1:24" ht="13.5" customHeight="1" thickBot="1">
      <c r="A835" s="1390" t="s">
        <v>63</v>
      </c>
      <c r="B835" s="1281"/>
      <c r="C835" s="71">
        <f>(C837)</f>
        <v>400000000</v>
      </c>
      <c r="D835" s="37"/>
      <c r="E835" s="171"/>
      <c r="F835" s="171"/>
      <c r="G835" s="172"/>
      <c r="H835" s="171"/>
      <c r="I835" s="171"/>
      <c r="J835" s="171"/>
      <c r="K835" s="171"/>
      <c r="L835" s="171"/>
      <c r="M835" s="171"/>
      <c r="N835" s="171"/>
      <c r="O835" s="171"/>
      <c r="P835" s="171"/>
      <c r="Q835" s="171"/>
      <c r="R835" s="171"/>
      <c r="S835" s="171"/>
      <c r="T835" s="171"/>
      <c r="U835" s="171"/>
      <c r="V835" s="171"/>
      <c r="W835" s="171"/>
      <c r="X835" s="171"/>
    </row>
    <row r="836" spans="1:24" ht="13.5" customHeight="1">
      <c r="A836" s="76">
        <v>221202</v>
      </c>
      <c r="B836" s="76" t="s">
        <v>598</v>
      </c>
      <c r="C836" s="36">
        <f>C837</f>
        <v>400000000</v>
      </c>
      <c r="D836" s="37"/>
      <c r="E836" s="171"/>
      <c r="F836" s="171"/>
      <c r="G836" s="172"/>
      <c r="H836" s="171"/>
      <c r="I836" s="171"/>
      <c r="J836" s="171"/>
      <c r="K836" s="171"/>
      <c r="L836" s="171"/>
      <c r="M836" s="171"/>
      <c r="N836" s="171"/>
      <c r="O836" s="171"/>
      <c r="P836" s="171"/>
      <c r="Q836" s="171"/>
      <c r="R836" s="171"/>
      <c r="S836" s="171"/>
      <c r="T836" s="171"/>
      <c r="U836" s="171"/>
      <c r="V836" s="171"/>
      <c r="W836" s="171"/>
      <c r="X836" s="171"/>
    </row>
    <row r="837" spans="1:24" ht="13.5" customHeight="1">
      <c r="A837" s="154">
        <v>22120213</v>
      </c>
      <c r="B837" s="23" t="s">
        <v>673</v>
      </c>
      <c r="C837" s="24">
        <v>400000000</v>
      </c>
      <c r="D837" s="37"/>
      <c r="E837" s="171"/>
      <c r="F837" s="171"/>
      <c r="G837" s="172"/>
      <c r="H837" s="171"/>
      <c r="I837" s="171"/>
      <c r="J837" s="171"/>
      <c r="K837" s="171"/>
      <c r="L837" s="171"/>
      <c r="M837" s="171"/>
      <c r="N837" s="171"/>
      <c r="O837" s="171"/>
      <c r="P837" s="171"/>
      <c r="Q837" s="171"/>
      <c r="R837" s="171"/>
      <c r="S837" s="171"/>
      <c r="T837" s="171"/>
      <c r="U837" s="171"/>
      <c r="V837" s="171"/>
      <c r="W837" s="171"/>
      <c r="X837" s="171"/>
    </row>
    <row r="838" spans="1:24" ht="13.5" customHeight="1">
      <c r="A838" s="100"/>
      <c r="B838" s="100"/>
      <c r="C838" s="99"/>
      <c r="D838" s="37"/>
      <c r="E838" s="35"/>
      <c r="F838" s="35"/>
      <c r="G838" s="126"/>
      <c r="H838" s="35"/>
      <c r="I838" s="35"/>
      <c r="J838" s="35"/>
      <c r="K838" s="35"/>
      <c r="L838" s="35"/>
      <c r="M838" s="35"/>
      <c r="N838" s="35"/>
      <c r="O838" s="35"/>
      <c r="P838" s="35"/>
      <c r="Q838" s="35"/>
      <c r="R838" s="35"/>
      <c r="S838" s="35"/>
      <c r="T838" s="35"/>
      <c r="U838" s="35"/>
      <c r="V838" s="35"/>
      <c r="W838" s="35"/>
      <c r="X838" s="35"/>
    </row>
    <row r="839" spans="1:24" ht="13.5" customHeight="1">
      <c r="A839" s="100"/>
      <c r="B839" s="100"/>
      <c r="C839" s="99"/>
      <c r="D839" s="37"/>
      <c r="E839" s="35"/>
      <c r="F839" s="35"/>
      <c r="G839" s="126"/>
      <c r="H839" s="35"/>
      <c r="I839" s="35"/>
      <c r="J839" s="35"/>
      <c r="K839" s="35"/>
      <c r="L839" s="35"/>
      <c r="M839" s="35"/>
      <c r="N839" s="35"/>
      <c r="O839" s="35"/>
      <c r="P839" s="35"/>
      <c r="Q839" s="35"/>
      <c r="R839" s="35"/>
      <c r="S839" s="35"/>
      <c r="T839" s="35"/>
      <c r="U839" s="35"/>
      <c r="V839" s="35"/>
      <c r="W839" s="35"/>
      <c r="X839" s="35"/>
    </row>
    <row r="840" spans="1:24" ht="13.5" customHeight="1">
      <c r="A840" s="100"/>
      <c r="B840" s="100"/>
      <c r="C840" s="99"/>
      <c r="D840" s="37"/>
      <c r="E840" s="35"/>
      <c r="F840" s="35"/>
      <c r="G840" s="126"/>
      <c r="H840" s="35"/>
      <c r="I840" s="35"/>
      <c r="J840" s="35"/>
      <c r="K840" s="35"/>
      <c r="L840" s="35"/>
      <c r="M840" s="35"/>
      <c r="N840" s="35"/>
      <c r="O840" s="35"/>
      <c r="P840" s="35"/>
      <c r="Q840" s="35"/>
      <c r="R840" s="35"/>
      <c r="S840" s="35"/>
      <c r="T840" s="35"/>
      <c r="U840" s="35"/>
      <c r="V840" s="35"/>
      <c r="W840" s="35"/>
      <c r="X840" s="35"/>
    </row>
    <row r="841" spans="1:24" ht="13.5" customHeight="1">
      <c r="A841" s="100"/>
      <c r="B841" s="100"/>
      <c r="C841" s="99"/>
      <c r="D841" s="37"/>
      <c r="E841" s="35"/>
      <c r="F841" s="35"/>
      <c r="G841" s="126"/>
      <c r="H841" s="35"/>
      <c r="I841" s="35"/>
      <c r="J841" s="35"/>
      <c r="K841" s="35"/>
      <c r="L841" s="35"/>
      <c r="M841" s="35"/>
      <c r="N841" s="35"/>
      <c r="O841" s="35"/>
      <c r="P841" s="35"/>
      <c r="Q841" s="35"/>
      <c r="R841" s="35"/>
      <c r="S841" s="35"/>
      <c r="T841" s="35"/>
      <c r="U841" s="35"/>
      <c r="V841" s="35"/>
      <c r="W841" s="35"/>
      <c r="X841" s="35"/>
    </row>
    <row r="842" spans="1:24" ht="13.5" customHeight="1">
      <c r="A842" s="100"/>
      <c r="B842" s="100"/>
      <c r="C842" s="99"/>
      <c r="D842" s="37"/>
      <c r="E842" s="35"/>
      <c r="F842" s="35"/>
      <c r="G842" s="126"/>
      <c r="H842" s="35"/>
      <c r="I842" s="35"/>
      <c r="J842" s="35"/>
      <c r="K842" s="35"/>
      <c r="L842" s="35"/>
      <c r="M842" s="35"/>
      <c r="N842" s="35"/>
      <c r="O842" s="35"/>
      <c r="P842" s="35"/>
      <c r="Q842" s="35"/>
      <c r="R842" s="35"/>
      <c r="S842" s="35"/>
      <c r="T842" s="35"/>
      <c r="U842" s="35"/>
      <c r="V842" s="35"/>
      <c r="W842" s="35"/>
      <c r="X842" s="35"/>
    </row>
    <row r="843" spans="1:24" ht="13.5" customHeight="1">
      <c r="A843" s="100"/>
      <c r="B843" s="100"/>
      <c r="C843" s="99"/>
      <c r="D843" s="37"/>
      <c r="E843" s="35"/>
      <c r="F843" s="35"/>
      <c r="G843" s="126"/>
      <c r="H843" s="35"/>
      <c r="I843" s="35"/>
      <c r="J843" s="35"/>
      <c r="K843" s="35"/>
      <c r="L843" s="35"/>
      <c r="M843" s="35"/>
      <c r="N843" s="35"/>
      <c r="O843" s="35"/>
      <c r="P843" s="35"/>
      <c r="Q843" s="35"/>
      <c r="R843" s="35"/>
      <c r="S843" s="35"/>
      <c r="T843" s="35"/>
      <c r="U843" s="35"/>
      <c r="V843" s="35"/>
      <c r="W843" s="35"/>
      <c r="X843" s="35"/>
    </row>
    <row r="844" spans="1:24" ht="13.5" customHeight="1">
      <c r="A844" s="100"/>
      <c r="B844" s="100"/>
      <c r="C844" s="99"/>
      <c r="D844" s="37"/>
      <c r="E844" s="35"/>
      <c r="F844" s="35"/>
      <c r="G844" s="126"/>
      <c r="H844" s="35"/>
      <c r="I844" s="35"/>
      <c r="J844" s="35"/>
      <c r="K844" s="35"/>
      <c r="L844" s="35"/>
      <c r="M844" s="35"/>
      <c r="N844" s="35"/>
      <c r="O844" s="35"/>
      <c r="P844" s="35"/>
      <c r="Q844" s="35"/>
      <c r="R844" s="35"/>
      <c r="S844" s="35"/>
      <c r="T844" s="35"/>
      <c r="U844" s="35"/>
      <c r="V844" s="35"/>
      <c r="W844" s="35"/>
      <c r="X844" s="35"/>
    </row>
    <row r="845" spans="1:24" ht="13.5" customHeight="1">
      <c r="A845" s="100"/>
      <c r="B845" s="100"/>
      <c r="C845" s="99"/>
      <c r="D845" s="37"/>
      <c r="E845" s="35"/>
      <c r="F845" s="35"/>
      <c r="G845" s="126"/>
      <c r="H845" s="35"/>
      <c r="I845" s="35"/>
      <c r="J845" s="35"/>
      <c r="K845" s="35"/>
      <c r="L845" s="35"/>
      <c r="M845" s="35"/>
      <c r="N845" s="35"/>
      <c r="O845" s="35"/>
      <c r="P845" s="35"/>
      <c r="Q845" s="35"/>
      <c r="R845" s="35"/>
      <c r="S845" s="35"/>
      <c r="T845" s="35"/>
      <c r="U845" s="35"/>
      <c r="V845" s="35"/>
      <c r="W845" s="35"/>
      <c r="X845" s="35"/>
    </row>
    <row r="846" spans="1:24" ht="13.5" customHeight="1">
      <c r="A846" s="100"/>
      <c r="B846" s="100"/>
      <c r="C846" s="99"/>
      <c r="D846" s="37"/>
      <c r="E846" s="35"/>
      <c r="F846" s="35"/>
      <c r="G846" s="126"/>
      <c r="H846" s="35"/>
      <c r="I846" s="35"/>
      <c r="J846" s="35"/>
      <c r="K846" s="35"/>
      <c r="L846" s="35"/>
      <c r="M846" s="35"/>
      <c r="N846" s="35"/>
      <c r="O846" s="35"/>
      <c r="P846" s="35"/>
      <c r="Q846" s="35"/>
      <c r="R846" s="35"/>
      <c r="S846" s="35"/>
      <c r="T846" s="35"/>
      <c r="U846" s="35"/>
      <c r="V846" s="35"/>
      <c r="W846" s="35"/>
      <c r="X846" s="35"/>
    </row>
    <row r="847" spans="1:24" ht="13.5" customHeight="1">
      <c r="A847" s="100"/>
      <c r="B847" s="100"/>
      <c r="C847" s="99"/>
      <c r="D847" s="37"/>
      <c r="E847" s="35"/>
      <c r="F847" s="35"/>
      <c r="G847" s="126"/>
      <c r="H847" s="35"/>
      <c r="I847" s="35"/>
      <c r="J847" s="35"/>
      <c r="K847" s="35"/>
      <c r="L847" s="35"/>
      <c r="M847" s="35"/>
      <c r="N847" s="35"/>
      <c r="O847" s="35"/>
      <c r="P847" s="35"/>
      <c r="Q847" s="35"/>
      <c r="R847" s="35"/>
      <c r="S847" s="35"/>
      <c r="T847" s="35"/>
      <c r="U847" s="35"/>
      <c r="V847" s="35"/>
      <c r="W847" s="35"/>
      <c r="X847" s="35"/>
    </row>
    <row r="848" spans="1:24" ht="13.5" customHeight="1">
      <c r="A848" s="100"/>
      <c r="B848" s="100"/>
      <c r="C848" s="99"/>
      <c r="D848" s="37"/>
      <c r="E848" s="35"/>
      <c r="F848" s="35"/>
      <c r="G848" s="126"/>
      <c r="H848" s="35"/>
      <c r="I848" s="35"/>
      <c r="J848" s="35"/>
      <c r="K848" s="35"/>
      <c r="L848" s="35"/>
      <c r="M848" s="35"/>
      <c r="N848" s="35"/>
      <c r="O848" s="35"/>
      <c r="P848" s="35"/>
      <c r="Q848" s="35"/>
      <c r="R848" s="35"/>
      <c r="S848" s="35"/>
      <c r="T848" s="35"/>
      <c r="U848" s="35"/>
      <c r="V848" s="35"/>
      <c r="W848" s="35"/>
      <c r="X848" s="35"/>
    </row>
    <row r="849" spans="1:24" ht="13.5" customHeight="1">
      <c r="A849" s="100"/>
      <c r="B849" s="100"/>
      <c r="C849" s="99"/>
      <c r="D849" s="37"/>
      <c r="E849" s="35"/>
      <c r="F849" s="35"/>
      <c r="G849" s="126"/>
      <c r="H849" s="35"/>
      <c r="I849" s="35"/>
      <c r="J849" s="35"/>
      <c r="K849" s="35"/>
      <c r="L849" s="35"/>
      <c r="M849" s="35"/>
      <c r="N849" s="35"/>
      <c r="O849" s="35"/>
      <c r="P849" s="35"/>
      <c r="Q849" s="35"/>
      <c r="R849" s="35"/>
      <c r="S849" s="35"/>
      <c r="T849" s="35"/>
      <c r="U849" s="35"/>
      <c r="V849" s="35"/>
      <c r="W849" s="35"/>
      <c r="X849" s="35"/>
    </row>
    <row r="850" spans="1:24" ht="13.5" customHeight="1">
      <c r="A850" s="100"/>
      <c r="B850" s="100"/>
      <c r="C850" s="99"/>
      <c r="D850" s="37"/>
      <c r="E850" s="35"/>
      <c r="F850" s="35"/>
      <c r="G850" s="126"/>
      <c r="H850" s="35"/>
      <c r="I850" s="35"/>
      <c r="J850" s="35"/>
      <c r="K850" s="35"/>
      <c r="L850" s="35"/>
      <c r="M850" s="35"/>
      <c r="N850" s="35"/>
      <c r="O850" s="35"/>
      <c r="P850" s="35"/>
      <c r="Q850" s="35"/>
      <c r="R850" s="35"/>
      <c r="S850" s="35"/>
      <c r="T850" s="35"/>
      <c r="U850" s="35"/>
      <c r="V850" s="35"/>
      <c r="W850" s="35"/>
      <c r="X850" s="35"/>
    </row>
    <row r="851" spans="1:24" ht="13.5" customHeight="1">
      <c r="A851" s="100"/>
      <c r="B851" s="100"/>
      <c r="C851" s="99"/>
      <c r="D851" s="37"/>
      <c r="E851" s="35"/>
      <c r="F851" s="35"/>
      <c r="G851" s="126"/>
      <c r="H851" s="35"/>
      <c r="I851" s="35"/>
      <c r="J851" s="35"/>
      <c r="K851" s="35"/>
      <c r="L851" s="35"/>
      <c r="M851" s="35"/>
      <c r="N851" s="35"/>
      <c r="O851" s="35"/>
      <c r="P851" s="35"/>
      <c r="Q851" s="35"/>
      <c r="R851" s="35"/>
      <c r="S851" s="35"/>
      <c r="T851" s="35"/>
      <c r="U851" s="35"/>
      <c r="V851" s="35"/>
      <c r="W851" s="35"/>
      <c r="X851" s="35"/>
    </row>
    <row r="852" spans="1:24" ht="13.5" customHeight="1">
      <c r="A852" s="100"/>
      <c r="B852" s="100"/>
      <c r="C852" s="99"/>
      <c r="D852" s="37"/>
      <c r="E852" s="35"/>
      <c r="F852" s="35"/>
      <c r="G852" s="126"/>
      <c r="H852" s="35"/>
      <c r="I852" s="35"/>
      <c r="J852" s="35"/>
      <c r="K852" s="35"/>
      <c r="L852" s="35"/>
      <c r="M852" s="35"/>
      <c r="N852" s="35"/>
      <c r="O852" s="35"/>
      <c r="P852" s="35"/>
      <c r="Q852" s="35"/>
      <c r="R852" s="35"/>
      <c r="S852" s="35"/>
      <c r="T852" s="35"/>
      <c r="U852" s="35"/>
      <c r="V852" s="35"/>
      <c r="W852" s="35"/>
      <c r="X852" s="35"/>
    </row>
    <row r="853" spans="1:24" ht="13.5" customHeight="1">
      <c r="A853" s="100"/>
      <c r="B853" s="100"/>
      <c r="C853" s="99"/>
      <c r="D853" s="37"/>
      <c r="E853" s="35"/>
      <c r="F853" s="35"/>
      <c r="G853" s="126"/>
      <c r="H853" s="35"/>
      <c r="I853" s="35"/>
      <c r="J853" s="35"/>
      <c r="K853" s="35"/>
      <c r="L853" s="35"/>
      <c r="M853" s="35"/>
      <c r="N853" s="35"/>
      <c r="O853" s="35"/>
      <c r="P853" s="35"/>
      <c r="Q853" s="35"/>
      <c r="R853" s="35"/>
      <c r="S853" s="35"/>
      <c r="T853" s="35"/>
      <c r="U853" s="35"/>
      <c r="V853" s="35"/>
      <c r="W853" s="35"/>
      <c r="X853" s="35"/>
    </row>
    <row r="854" spans="1:24" ht="13.5" customHeight="1">
      <c r="A854" s="100"/>
      <c r="B854" s="100"/>
      <c r="C854" s="99"/>
      <c r="D854" s="37"/>
      <c r="E854" s="35"/>
      <c r="F854" s="35"/>
      <c r="G854" s="126"/>
      <c r="H854" s="35"/>
      <c r="I854" s="35"/>
      <c r="J854" s="35"/>
      <c r="K854" s="35"/>
      <c r="L854" s="35"/>
      <c r="M854" s="35"/>
      <c r="N854" s="35"/>
      <c r="O854" s="35"/>
      <c r="P854" s="35"/>
      <c r="Q854" s="35"/>
      <c r="R854" s="35"/>
      <c r="S854" s="35"/>
      <c r="T854" s="35"/>
      <c r="U854" s="35"/>
      <c r="V854" s="35"/>
      <c r="W854" s="35"/>
      <c r="X854" s="35"/>
    </row>
    <row r="855" spans="1:24" ht="13.5" customHeight="1">
      <c r="A855" s="100"/>
      <c r="B855" s="100"/>
      <c r="C855" s="99"/>
      <c r="D855" s="37"/>
      <c r="E855" s="35"/>
      <c r="F855" s="35"/>
      <c r="G855" s="126"/>
      <c r="H855" s="35"/>
      <c r="I855" s="35"/>
      <c r="J855" s="35"/>
      <c r="K855" s="35"/>
      <c r="L855" s="35"/>
      <c r="M855" s="35"/>
      <c r="N855" s="35"/>
      <c r="O855" s="35"/>
      <c r="P855" s="35"/>
      <c r="Q855" s="35"/>
      <c r="R855" s="35"/>
      <c r="S855" s="35"/>
      <c r="T855" s="35"/>
      <c r="U855" s="35"/>
      <c r="V855" s="35"/>
      <c r="W855" s="35"/>
      <c r="X855" s="35"/>
    </row>
    <row r="856" spans="1:24" ht="13.5" customHeight="1">
      <c r="A856" s="100"/>
      <c r="B856" s="100"/>
      <c r="C856" s="99"/>
      <c r="D856" s="37"/>
      <c r="E856" s="35"/>
      <c r="F856" s="35"/>
      <c r="G856" s="126"/>
      <c r="H856" s="35"/>
      <c r="I856" s="35"/>
      <c r="J856" s="35"/>
      <c r="K856" s="35"/>
      <c r="L856" s="35"/>
      <c r="M856" s="35"/>
      <c r="N856" s="35"/>
      <c r="O856" s="35"/>
      <c r="P856" s="35"/>
      <c r="Q856" s="35"/>
      <c r="R856" s="35"/>
      <c r="S856" s="35"/>
      <c r="T856" s="35"/>
      <c r="U856" s="35"/>
      <c r="V856" s="35"/>
      <c r="W856" s="35"/>
      <c r="X856" s="35"/>
    </row>
    <row r="857" spans="1:24" ht="13.5" customHeight="1">
      <c r="A857" s="100"/>
      <c r="B857" s="100"/>
      <c r="C857" s="99"/>
      <c r="D857" s="37"/>
      <c r="E857" s="35"/>
      <c r="F857" s="35"/>
      <c r="G857" s="126"/>
      <c r="H857" s="35"/>
      <c r="I857" s="35"/>
      <c r="J857" s="35"/>
      <c r="K857" s="35"/>
      <c r="L857" s="35"/>
      <c r="M857" s="35"/>
      <c r="N857" s="35"/>
      <c r="O857" s="35"/>
      <c r="P857" s="35"/>
      <c r="Q857" s="35"/>
      <c r="R857" s="35"/>
      <c r="S857" s="35"/>
      <c r="T857" s="35"/>
      <c r="U857" s="35"/>
      <c r="V857" s="35"/>
      <c r="W857" s="35"/>
      <c r="X857" s="35"/>
    </row>
    <row r="858" spans="1:24" ht="13.5" customHeight="1">
      <c r="A858" s="100"/>
      <c r="B858" s="100"/>
      <c r="C858" s="99"/>
      <c r="D858" s="37"/>
      <c r="E858" s="35"/>
      <c r="F858" s="35"/>
      <c r="G858" s="126"/>
      <c r="H858" s="35"/>
      <c r="I858" s="35"/>
      <c r="J858" s="35"/>
      <c r="K858" s="35"/>
      <c r="L858" s="35"/>
      <c r="M858" s="35"/>
      <c r="N858" s="35"/>
      <c r="O858" s="35"/>
      <c r="P858" s="35"/>
      <c r="Q858" s="35"/>
      <c r="R858" s="35"/>
      <c r="S858" s="35"/>
      <c r="T858" s="35"/>
      <c r="U858" s="35"/>
      <c r="V858" s="35"/>
      <c r="W858" s="35"/>
      <c r="X858" s="35"/>
    </row>
    <row r="859" spans="1:24" ht="13.5" customHeight="1">
      <c r="A859" s="100"/>
      <c r="B859" s="100"/>
      <c r="C859" s="99"/>
      <c r="D859" s="37"/>
      <c r="E859" s="35"/>
      <c r="F859" s="35"/>
      <c r="G859" s="126"/>
      <c r="H859" s="35"/>
      <c r="I859" s="35"/>
      <c r="J859" s="35"/>
      <c r="K859" s="35"/>
      <c r="L859" s="35"/>
      <c r="M859" s="35"/>
      <c r="N859" s="35"/>
      <c r="O859" s="35"/>
      <c r="P859" s="35"/>
      <c r="Q859" s="35"/>
      <c r="R859" s="35"/>
      <c r="S859" s="35"/>
      <c r="T859" s="35"/>
      <c r="U859" s="35"/>
      <c r="V859" s="35"/>
      <c r="W859" s="35"/>
      <c r="X859" s="35"/>
    </row>
    <row r="860" spans="1:24" ht="13.5" customHeight="1">
      <c r="A860" s="100"/>
      <c r="B860" s="100"/>
      <c r="C860" s="99"/>
      <c r="D860" s="37"/>
      <c r="E860" s="35"/>
      <c r="F860" s="35"/>
      <c r="G860" s="126"/>
      <c r="H860" s="35"/>
      <c r="I860" s="35"/>
      <c r="J860" s="35"/>
      <c r="K860" s="35"/>
      <c r="L860" s="35"/>
      <c r="M860" s="35"/>
      <c r="N860" s="35"/>
      <c r="O860" s="35"/>
      <c r="P860" s="35"/>
      <c r="Q860" s="35"/>
      <c r="R860" s="35"/>
      <c r="S860" s="35"/>
      <c r="T860" s="35"/>
      <c r="U860" s="35"/>
      <c r="V860" s="35"/>
      <c r="W860" s="35"/>
      <c r="X860" s="35"/>
    </row>
    <row r="861" spans="1:24" ht="13.5" customHeight="1">
      <c r="A861" s="100"/>
      <c r="B861" s="100"/>
      <c r="C861" s="99"/>
      <c r="D861" s="37"/>
      <c r="E861" s="35"/>
      <c r="F861" s="35"/>
      <c r="G861" s="126"/>
      <c r="H861" s="35"/>
      <c r="I861" s="35"/>
      <c r="J861" s="35"/>
      <c r="K861" s="35"/>
      <c r="L861" s="35"/>
      <c r="M861" s="35"/>
      <c r="N861" s="35"/>
      <c r="O861" s="35"/>
      <c r="P861" s="35"/>
      <c r="Q861" s="35"/>
      <c r="R861" s="35"/>
      <c r="S861" s="35"/>
      <c r="T861" s="35"/>
      <c r="U861" s="35"/>
      <c r="V861" s="35"/>
      <c r="W861" s="35"/>
      <c r="X861" s="35"/>
    </row>
    <row r="862" spans="1:24" ht="13.5" customHeight="1">
      <c r="A862" s="100"/>
      <c r="B862" s="100"/>
      <c r="C862" s="99"/>
      <c r="D862" s="37"/>
      <c r="E862" s="35"/>
      <c r="F862" s="35"/>
      <c r="G862" s="126"/>
      <c r="H862" s="35"/>
      <c r="I862" s="35"/>
      <c r="J862" s="35"/>
      <c r="K862" s="35"/>
      <c r="L862" s="35"/>
      <c r="M862" s="35"/>
      <c r="N862" s="35"/>
      <c r="O862" s="35"/>
      <c r="P862" s="35"/>
      <c r="Q862" s="35"/>
      <c r="R862" s="35"/>
      <c r="S862" s="35"/>
      <c r="T862" s="35"/>
      <c r="U862" s="35"/>
      <c r="V862" s="35"/>
      <c r="W862" s="35"/>
      <c r="X862" s="35"/>
    </row>
    <row r="863" spans="1:24" ht="13.5" customHeight="1">
      <c r="A863" s="100"/>
      <c r="B863" s="100"/>
      <c r="C863" s="99"/>
      <c r="D863" s="37"/>
      <c r="E863" s="35"/>
      <c r="F863" s="35"/>
      <c r="G863" s="126"/>
      <c r="H863" s="35"/>
      <c r="I863" s="35"/>
      <c r="J863" s="35"/>
      <c r="K863" s="35"/>
      <c r="L863" s="35"/>
      <c r="M863" s="35"/>
      <c r="N863" s="35"/>
      <c r="O863" s="35"/>
      <c r="P863" s="35"/>
      <c r="Q863" s="35"/>
      <c r="R863" s="35"/>
      <c r="S863" s="35"/>
      <c r="T863" s="35"/>
      <c r="U863" s="35"/>
      <c r="V863" s="35"/>
      <c r="W863" s="35"/>
      <c r="X863" s="35"/>
    </row>
    <row r="864" spans="1:24" ht="13.5" customHeight="1">
      <c r="A864" s="100"/>
      <c r="B864" s="100"/>
      <c r="C864" s="99"/>
      <c r="D864" s="37"/>
      <c r="E864" s="35"/>
      <c r="F864" s="35"/>
      <c r="G864" s="126"/>
      <c r="H864" s="35"/>
      <c r="I864" s="35"/>
      <c r="J864" s="35"/>
      <c r="K864" s="35"/>
      <c r="L864" s="35"/>
      <c r="M864" s="35"/>
      <c r="N864" s="35"/>
      <c r="O864" s="35"/>
      <c r="P864" s="35"/>
      <c r="Q864" s="35"/>
      <c r="R864" s="35"/>
      <c r="S864" s="35"/>
      <c r="T864" s="35"/>
      <c r="U864" s="35"/>
      <c r="V864" s="35"/>
      <c r="W864" s="35"/>
      <c r="X864" s="35"/>
    </row>
    <row r="865" spans="1:24" ht="13.5" customHeight="1">
      <c r="A865" s="100"/>
      <c r="B865" s="100"/>
      <c r="C865" s="99"/>
      <c r="D865" s="37"/>
      <c r="E865" s="35"/>
      <c r="F865" s="35"/>
      <c r="G865" s="126"/>
      <c r="H865" s="35"/>
      <c r="I865" s="35"/>
      <c r="J865" s="35"/>
      <c r="K865" s="35"/>
      <c r="L865" s="35"/>
      <c r="M865" s="35"/>
      <c r="N865" s="35"/>
      <c r="O865" s="35"/>
      <c r="P865" s="35"/>
      <c r="Q865" s="35"/>
      <c r="R865" s="35"/>
      <c r="S865" s="35"/>
      <c r="T865" s="35"/>
      <c r="U865" s="35"/>
      <c r="V865" s="35"/>
      <c r="W865" s="35"/>
      <c r="X865" s="35"/>
    </row>
    <row r="866" spans="1:24" ht="13.5" customHeight="1">
      <c r="A866" s="100"/>
      <c r="B866" s="100"/>
      <c r="C866" s="99"/>
      <c r="D866" s="37"/>
      <c r="E866" s="35"/>
      <c r="F866" s="35"/>
      <c r="G866" s="126"/>
      <c r="H866" s="35"/>
      <c r="I866" s="35"/>
      <c r="J866" s="35"/>
      <c r="K866" s="35"/>
      <c r="L866" s="35"/>
      <c r="M866" s="35"/>
      <c r="N866" s="35"/>
      <c r="O866" s="35"/>
      <c r="P866" s="35"/>
      <c r="Q866" s="35"/>
      <c r="R866" s="35"/>
      <c r="S866" s="35"/>
      <c r="T866" s="35"/>
      <c r="U866" s="35"/>
      <c r="V866" s="35"/>
      <c r="W866" s="35"/>
      <c r="X866" s="35"/>
    </row>
    <row r="867" spans="1:24" ht="13.5" customHeight="1">
      <c r="A867" s="100"/>
      <c r="B867" s="100"/>
      <c r="C867" s="99"/>
      <c r="D867" s="37"/>
      <c r="E867" s="35"/>
      <c r="F867" s="35"/>
      <c r="G867" s="126"/>
      <c r="H867" s="35"/>
      <c r="I867" s="35"/>
      <c r="J867" s="35"/>
      <c r="K867" s="35"/>
      <c r="L867" s="35"/>
      <c r="M867" s="35"/>
      <c r="N867" s="35"/>
      <c r="O867" s="35"/>
      <c r="P867" s="35"/>
      <c r="Q867" s="35"/>
      <c r="R867" s="35"/>
      <c r="S867" s="35"/>
      <c r="T867" s="35"/>
      <c r="U867" s="35"/>
      <c r="V867" s="35"/>
      <c r="W867" s="35"/>
      <c r="X867" s="35"/>
    </row>
    <row r="868" spans="1:24" ht="13.5" customHeight="1">
      <c r="A868" s="100"/>
      <c r="B868" s="100"/>
      <c r="C868" s="99"/>
      <c r="D868" s="37"/>
      <c r="E868" s="35"/>
      <c r="F868" s="35"/>
      <c r="G868" s="126"/>
      <c r="H868" s="35"/>
      <c r="I868" s="35"/>
      <c r="J868" s="35"/>
      <c r="K868" s="35"/>
      <c r="L868" s="35"/>
      <c r="M868" s="35"/>
      <c r="N868" s="35"/>
      <c r="O868" s="35"/>
      <c r="P868" s="35"/>
      <c r="Q868" s="35"/>
      <c r="R868" s="35"/>
      <c r="S868" s="35"/>
      <c r="T868" s="35"/>
      <c r="U868" s="35"/>
      <c r="V868" s="35"/>
      <c r="W868" s="35"/>
      <c r="X868" s="35"/>
    </row>
    <row r="869" spans="1:24" ht="13.5" customHeight="1">
      <c r="A869" s="100"/>
      <c r="B869" s="100"/>
      <c r="C869" s="99"/>
      <c r="D869" s="37"/>
      <c r="E869" s="35"/>
      <c r="F869" s="35"/>
      <c r="G869" s="126"/>
      <c r="H869" s="35"/>
      <c r="I869" s="35"/>
      <c r="J869" s="35"/>
      <c r="K869" s="35"/>
      <c r="L869" s="35"/>
      <c r="M869" s="35"/>
      <c r="N869" s="35"/>
      <c r="O869" s="35"/>
      <c r="P869" s="35"/>
      <c r="Q869" s="35"/>
      <c r="R869" s="35"/>
      <c r="S869" s="35"/>
      <c r="T869" s="35"/>
      <c r="U869" s="35"/>
      <c r="V869" s="35"/>
      <c r="W869" s="35"/>
      <c r="X869" s="35"/>
    </row>
    <row r="870" spans="1:24" ht="13.5" customHeight="1">
      <c r="A870" s="100"/>
      <c r="B870" s="100"/>
      <c r="C870" s="99"/>
      <c r="D870" s="37"/>
      <c r="E870" s="35"/>
      <c r="F870" s="35"/>
      <c r="G870" s="126"/>
      <c r="H870" s="35"/>
      <c r="I870" s="35"/>
      <c r="J870" s="35"/>
      <c r="K870" s="35"/>
      <c r="L870" s="35"/>
      <c r="M870" s="35"/>
      <c r="N870" s="35"/>
      <c r="O870" s="35"/>
      <c r="P870" s="35"/>
      <c r="Q870" s="35"/>
      <c r="R870" s="35"/>
      <c r="S870" s="35"/>
      <c r="T870" s="35"/>
      <c r="U870" s="35"/>
      <c r="V870" s="35"/>
      <c r="W870" s="35"/>
      <c r="X870" s="35"/>
    </row>
    <row r="871" spans="1:24" ht="13.5" customHeight="1">
      <c r="A871" s="100"/>
      <c r="B871" s="100"/>
      <c r="C871" s="99"/>
      <c r="D871" s="37"/>
      <c r="E871" s="35"/>
      <c r="F871" s="35"/>
      <c r="G871" s="126"/>
      <c r="H871" s="35"/>
      <c r="I871" s="35"/>
      <c r="J871" s="35"/>
      <c r="K871" s="35"/>
      <c r="L871" s="35"/>
      <c r="M871" s="35"/>
      <c r="N871" s="35"/>
      <c r="O871" s="35"/>
      <c r="P871" s="35"/>
      <c r="Q871" s="35"/>
      <c r="R871" s="35"/>
      <c r="S871" s="35"/>
      <c r="T871" s="35"/>
      <c r="U871" s="35"/>
      <c r="V871" s="35"/>
      <c r="W871" s="35"/>
      <c r="X871" s="35"/>
    </row>
    <row r="872" spans="1:24" ht="13.5" customHeight="1">
      <c r="A872" s="100"/>
      <c r="B872" s="100"/>
      <c r="C872" s="99"/>
      <c r="D872" s="37"/>
      <c r="E872" s="35"/>
      <c r="F872" s="35"/>
      <c r="G872" s="126"/>
      <c r="H872" s="35"/>
      <c r="I872" s="35"/>
      <c r="J872" s="35"/>
      <c r="K872" s="35"/>
      <c r="L872" s="35"/>
      <c r="M872" s="35"/>
      <c r="N872" s="35"/>
      <c r="O872" s="35"/>
      <c r="P872" s="35"/>
      <c r="Q872" s="35"/>
      <c r="R872" s="35"/>
      <c r="S872" s="35"/>
      <c r="T872" s="35"/>
      <c r="U872" s="35"/>
      <c r="V872" s="35"/>
      <c r="W872" s="35"/>
      <c r="X872" s="35"/>
    </row>
    <row r="873" spans="1:24" ht="13.5" customHeight="1">
      <c r="A873" s="100"/>
      <c r="B873" s="100"/>
      <c r="C873" s="99"/>
      <c r="D873" s="37"/>
      <c r="E873" s="35"/>
      <c r="F873" s="35"/>
      <c r="G873" s="126"/>
      <c r="H873" s="35"/>
      <c r="I873" s="35"/>
      <c r="J873" s="35"/>
      <c r="K873" s="35"/>
      <c r="L873" s="35"/>
      <c r="M873" s="35"/>
      <c r="N873" s="35"/>
      <c r="O873" s="35"/>
      <c r="P873" s="35"/>
      <c r="Q873" s="35"/>
      <c r="R873" s="35"/>
      <c r="S873" s="35"/>
      <c r="T873" s="35"/>
      <c r="U873" s="35"/>
      <c r="V873" s="35"/>
      <c r="W873" s="35"/>
      <c r="X873" s="35"/>
    </row>
    <row r="874" spans="1:24" ht="13.5" customHeight="1">
      <c r="A874" s="100"/>
      <c r="B874" s="100"/>
      <c r="C874" s="99"/>
      <c r="D874" s="37"/>
      <c r="E874" s="35"/>
      <c r="F874" s="35"/>
      <c r="G874" s="126"/>
      <c r="H874" s="35"/>
      <c r="I874" s="35"/>
      <c r="J874" s="35"/>
      <c r="K874" s="35"/>
      <c r="L874" s="35"/>
      <c r="M874" s="35"/>
      <c r="N874" s="35"/>
      <c r="O874" s="35"/>
      <c r="P874" s="35"/>
      <c r="Q874" s="35"/>
      <c r="R874" s="35"/>
      <c r="S874" s="35"/>
      <c r="T874" s="35"/>
      <c r="U874" s="35"/>
      <c r="V874" s="35"/>
      <c r="W874" s="35"/>
      <c r="X874" s="35"/>
    </row>
    <row r="875" spans="1:24" ht="13.5" customHeight="1">
      <c r="A875" s="100"/>
      <c r="B875" s="100"/>
      <c r="C875" s="99"/>
      <c r="D875" s="37"/>
      <c r="E875" s="35"/>
      <c r="F875" s="35"/>
      <c r="G875" s="126"/>
      <c r="H875" s="35"/>
      <c r="I875" s="35"/>
      <c r="J875" s="35"/>
      <c r="K875" s="35"/>
      <c r="L875" s="35"/>
      <c r="M875" s="35"/>
      <c r="N875" s="35"/>
      <c r="O875" s="35"/>
      <c r="P875" s="35"/>
      <c r="Q875" s="35"/>
      <c r="R875" s="35"/>
      <c r="S875" s="35"/>
      <c r="T875" s="35"/>
      <c r="U875" s="35"/>
      <c r="V875" s="35"/>
      <c r="W875" s="35"/>
      <c r="X875" s="35"/>
    </row>
    <row r="876" spans="1:24" ht="13.5" customHeight="1">
      <c r="A876" s="100"/>
      <c r="B876" s="100"/>
      <c r="C876" s="99"/>
      <c r="D876" s="37"/>
      <c r="E876" s="35"/>
      <c r="F876" s="35"/>
      <c r="G876" s="126"/>
      <c r="H876" s="35"/>
      <c r="I876" s="35"/>
      <c r="J876" s="35"/>
      <c r="K876" s="35"/>
      <c r="L876" s="35"/>
      <c r="M876" s="35"/>
      <c r="N876" s="35"/>
      <c r="O876" s="35"/>
      <c r="P876" s="35"/>
      <c r="Q876" s="35"/>
      <c r="R876" s="35"/>
      <c r="S876" s="35"/>
      <c r="T876" s="35"/>
      <c r="U876" s="35"/>
      <c r="V876" s="35"/>
      <c r="W876" s="35"/>
      <c r="X876" s="35"/>
    </row>
    <row r="877" spans="1:24" ht="13.5" customHeight="1">
      <c r="A877" s="100"/>
      <c r="B877" s="100"/>
      <c r="C877" s="99"/>
      <c r="D877" s="37"/>
      <c r="E877" s="35"/>
      <c r="F877" s="35"/>
      <c r="G877" s="126"/>
      <c r="H877" s="35"/>
      <c r="I877" s="35"/>
      <c r="J877" s="35"/>
      <c r="K877" s="35"/>
      <c r="L877" s="35"/>
      <c r="M877" s="35"/>
      <c r="N877" s="35"/>
      <c r="O877" s="35"/>
      <c r="P877" s="35"/>
      <c r="Q877" s="35"/>
      <c r="R877" s="35"/>
      <c r="S877" s="35"/>
      <c r="T877" s="35"/>
      <c r="U877" s="35"/>
      <c r="V877" s="35"/>
      <c r="W877" s="35"/>
      <c r="X877" s="35"/>
    </row>
    <row r="878" spans="1:24" ht="13.5" customHeight="1">
      <c r="A878" s="100"/>
      <c r="B878" s="100"/>
      <c r="C878" s="99"/>
      <c r="D878" s="37"/>
      <c r="E878" s="35"/>
      <c r="F878" s="35"/>
      <c r="G878" s="126"/>
      <c r="H878" s="35"/>
      <c r="I878" s="35"/>
      <c r="J878" s="35"/>
      <c r="K878" s="35"/>
      <c r="L878" s="35"/>
      <c r="M878" s="35"/>
      <c r="N878" s="35"/>
      <c r="O878" s="35"/>
      <c r="P878" s="35"/>
      <c r="Q878" s="35"/>
      <c r="R878" s="35"/>
      <c r="S878" s="35"/>
      <c r="T878" s="35"/>
      <c r="U878" s="35"/>
      <c r="V878" s="35"/>
      <c r="W878" s="35"/>
      <c r="X878" s="35"/>
    </row>
    <row r="879" spans="1:24" ht="13.5" customHeight="1">
      <c r="A879" s="100"/>
      <c r="B879" s="100"/>
      <c r="C879" s="99"/>
      <c r="D879" s="37"/>
      <c r="E879" s="35"/>
      <c r="F879" s="35"/>
      <c r="G879" s="126"/>
      <c r="H879" s="35"/>
      <c r="I879" s="35"/>
      <c r="J879" s="35"/>
      <c r="K879" s="35"/>
      <c r="L879" s="35"/>
      <c r="M879" s="35"/>
      <c r="N879" s="35"/>
      <c r="O879" s="35"/>
      <c r="P879" s="35"/>
      <c r="Q879" s="35"/>
      <c r="R879" s="35"/>
      <c r="S879" s="35"/>
      <c r="T879" s="35"/>
      <c r="U879" s="35"/>
      <c r="V879" s="35"/>
      <c r="W879" s="35"/>
      <c r="X879" s="35"/>
    </row>
    <row r="880" spans="1:24" ht="13.5" customHeight="1">
      <c r="A880" s="100"/>
      <c r="B880" s="100"/>
      <c r="C880" s="99"/>
      <c r="D880" s="37"/>
      <c r="E880" s="35"/>
      <c r="F880" s="35"/>
      <c r="G880" s="126"/>
      <c r="H880" s="35"/>
      <c r="I880" s="35"/>
      <c r="J880" s="35"/>
      <c r="K880" s="35"/>
      <c r="L880" s="35"/>
      <c r="M880" s="35"/>
      <c r="N880" s="35"/>
      <c r="O880" s="35"/>
      <c r="P880" s="35"/>
      <c r="Q880" s="35"/>
      <c r="R880" s="35"/>
      <c r="S880" s="35"/>
      <c r="T880" s="35"/>
      <c r="U880" s="35"/>
      <c r="V880" s="35"/>
      <c r="W880" s="35"/>
      <c r="X880" s="35"/>
    </row>
    <row r="881" spans="1:24" ht="13.5" customHeight="1">
      <c r="A881" s="100"/>
      <c r="B881" s="100"/>
      <c r="C881" s="99"/>
      <c r="D881" s="37"/>
      <c r="E881" s="35"/>
      <c r="F881" s="35"/>
      <c r="G881" s="126"/>
      <c r="H881" s="35"/>
      <c r="I881" s="35"/>
      <c r="J881" s="35"/>
      <c r="K881" s="35"/>
      <c r="L881" s="35"/>
      <c r="M881" s="35"/>
      <c r="N881" s="35"/>
      <c r="O881" s="35"/>
      <c r="P881" s="35"/>
      <c r="Q881" s="35"/>
      <c r="R881" s="35"/>
      <c r="S881" s="35"/>
      <c r="T881" s="35"/>
      <c r="U881" s="35"/>
      <c r="V881" s="35"/>
      <c r="W881" s="35"/>
      <c r="X881" s="35"/>
    </row>
    <row r="882" spans="1:24" ht="13.5" customHeight="1">
      <c r="A882" s="100"/>
      <c r="B882" s="100"/>
      <c r="C882" s="99"/>
      <c r="D882" s="37"/>
      <c r="E882" s="35"/>
      <c r="F882" s="35"/>
      <c r="G882" s="126"/>
      <c r="H882" s="35"/>
      <c r="I882" s="35"/>
      <c r="J882" s="35"/>
      <c r="K882" s="35"/>
      <c r="L882" s="35"/>
      <c r="M882" s="35"/>
      <c r="N882" s="35"/>
      <c r="O882" s="35"/>
      <c r="P882" s="35"/>
      <c r="Q882" s="35"/>
      <c r="R882" s="35"/>
      <c r="S882" s="35"/>
      <c r="T882" s="35"/>
      <c r="U882" s="35"/>
      <c r="V882" s="35"/>
      <c r="W882" s="35"/>
      <c r="X882" s="35"/>
    </row>
    <row r="883" spans="1:24" ht="13.5" customHeight="1">
      <c r="A883" s="100"/>
      <c r="B883" s="100"/>
      <c r="C883" s="99"/>
      <c r="D883" s="37"/>
      <c r="E883" s="35"/>
      <c r="F883" s="35"/>
      <c r="G883" s="126"/>
      <c r="H883" s="35"/>
      <c r="I883" s="35"/>
      <c r="J883" s="35"/>
      <c r="K883" s="35"/>
      <c r="L883" s="35"/>
      <c r="M883" s="35"/>
      <c r="N883" s="35"/>
      <c r="O883" s="35"/>
      <c r="P883" s="35"/>
      <c r="Q883" s="35"/>
      <c r="R883" s="35"/>
      <c r="S883" s="35"/>
      <c r="T883" s="35"/>
      <c r="U883" s="35"/>
      <c r="V883" s="35"/>
      <c r="W883" s="35"/>
      <c r="X883" s="35"/>
    </row>
    <row r="884" spans="1:24" ht="13.5" customHeight="1">
      <c r="A884" s="100"/>
      <c r="B884" s="100"/>
      <c r="C884" s="99"/>
      <c r="D884" s="37"/>
      <c r="E884" s="35"/>
      <c r="F884" s="35"/>
      <c r="G884" s="126"/>
      <c r="H884" s="35"/>
      <c r="I884" s="35"/>
      <c r="J884" s="35"/>
      <c r="K884" s="35"/>
      <c r="L884" s="35"/>
      <c r="M884" s="35"/>
      <c r="N884" s="35"/>
      <c r="O884" s="35"/>
      <c r="P884" s="35"/>
      <c r="Q884" s="35"/>
      <c r="R884" s="35"/>
      <c r="S884" s="35"/>
      <c r="T884" s="35"/>
      <c r="U884" s="35"/>
      <c r="V884" s="35"/>
      <c r="W884" s="35"/>
      <c r="X884" s="35"/>
    </row>
    <row r="885" spans="1:24" ht="13.5" customHeight="1">
      <c r="A885" s="100"/>
      <c r="B885" s="100"/>
      <c r="C885" s="99"/>
      <c r="D885" s="37"/>
      <c r="E885" s="35"/>
      <c r="F885" s="35"/>
      <c r="G885" s="126"/>
      <c r="H885" s="35"/>
      <c r="I885" s="35"/>
      <c r="J885" s="35"/>
      <c r="K885" s="35"/>
      <c r="L885" s="35"/>
      <c r="M885" s="35"/>
      <c r="N885" s="35"/>
      <c r="O885" s="35"/>
      <c r="P885" s="35"/>
      <c r="Q885" s="35"/>
      <c r="R885" s="35"/>
      <c r="S885" s="35"/>
      <c r="T885" s="35"/>
      <c r="U885" s="35"/>
      <c r="V885" s="35"/>
      <c r="W885" s="35"/>
      <c r="X885" s="35"/>
    </row>
    <row r="886" spans="1:24" ht="13.5" customHeight="1">
      <c r="A886" s="100"/>
      <c r="B886" s="100"/>
      <c r="C886" s="99"/>
      <c r="D886" s="37"/>
      <c r="E886" s="35"/>
      <c r="F886" s="35"/>
      <c r="G886" s="126"/>
      <c r="H886" s="35"/>
      <c r="I886" s="35"/>
      <c r="J886" s="35"/>
      <c r="K886" s="35"/>
      <c r="L886" s="35"/>
      <c r="M886" s="35"/>
      <c r="N886" s="35"/>
      <c r="O886" s="35"/>
      <c r="P886" s="35"/>
      <c r="Q886" s="35"/>
      <c r="R886" s="35"/>
      <c r="S886" s="35"/>
      <c r="T886" s="35"/>
      <c r="U886" s="35"/>
      <c r="V886" s="35"/>
      <c r="W886" s="35"/>
      <c r="X886" s="35"/>
    </row>
    <row r="887" spans="1:24" ht="13.5" customHeight="1">
      <c r="A887" s="100"/>
      <c r="B887" s="100"/>
      <c r="C887" s="99"/>
      <c r="D887" s="37"/>
      <c r="E887" s="35"/>
      <c r="F887" s="35"/>
      <c r="G887" s="126"/>
      <c r="H887" s="35"/>
      <c r="I887" s="35"/>
      <c r="J887" s="35"/>
      <c r="K887" s="35"/>
      <c r="L887" s="35"/>
      <c r="M887" s="35"/>
      <c r="N887" s="35"/>
      <c r="O887" s="35"/>
      <c r="P887" s="35"/>
      <c r="Q887" s="35"/>
      <c r="R887" s="35"/>
      <c r="S887" s="35"/>
      <c r="T887" s="35"/>
      <c r="U887" s="35"/>
      <c r="V887" s="35"/>
      <c r="W887" s="35"/>
      <c r="X887" s="35"/>
    </row>
    <row r="888" spans="1:24" ht="13.5" customHeight="1">
      <c r="A888" s="100"/>
      <c r="B888" s="100"/>
      <c r="C888" s="99"/>
      <c r="D888" s="37"/>
      <c r="E888" s="35"/>
      <c r="F888" s="35"/>
      <c r="G888" s="126"/>
      <c r="H888" s="35"/>
      <c r="I888" s="35"/>
      <c r="J888" s="35"/>
      <c r="K888" s="35"/>
      <c r="L888" s="35"/>
      <c r="M888" s="35"/>
      <c r="N888" s="35"/>
      <c r="O888" s="35"/>
      <c r="P888" s="35"/>
      <c r="Q888" s="35"/>
      <c r="R888" s="35"/>
      <c r="S888" s="35"/>
      <c r="T888" s="35"/>
      <c r="U888" s="35"/>
      <c r="V888" s="35"/>
      <c r="W888" s="35"/>
      <c r="X888" s="35"/>
    </row>
    <row r="889" spans="1:24" ht="13.5" customHeight="1">
      <c r="A889" s="100"/>
      <c r="B889" s="100"/>
      <c r="C889" s="99"/>
      <c r="D889" s="37"/>
      <c r="E889" s="35"/>
      <c r="F889" s="35"/>
      <c r="G889" s="126"/>
      <c r="H889" s="35"/>
      <c r="I889" s="35"/>
      <c r="J889" s="35"/>
      <c r="K889" s="35"/>
      <c r="L889" s="35"/>
      <c r="M889" s="35"/>
      <c r="N889" s="35"/>
      <c r="O889" s="35"/>
      <c r="P889" s="35"/>
      <c r="Q889" s="35"/>
      <c r="R889" s="35"/>
      <c r="S889" s="35"/>
      <c r="T889" s="35"/>
      <c r="U889" s="35"/>
      <c r="V889" s="35"/>
      <c r="W889" s="35"/>
      <c r="X889" s="35"/>
    </row>
    <row r="890" spans="1:24" ht="13.5" customHeight="1">
      <c r="A890" s="100"/>
      <c r="B890" s="100"/>
      <c r="C890" s="99"/>
      <c r="D890" s="37"/>
      <c r="E890" s="35"/>
      <c r="F890" s="35"/>
      <c r="G890" s="126"/>
      <c r="H890" s="35"/>
      <c r="I890" s="35"/>
      <c r="J890" s="35"/>
      <c r="K890" s="35"/>
      <c r="L890" s="35"/>
      <c r="M890" s="35"/>
      <c r="N890" s="35"/>
      <c r="O890" s="35"/>
      <c r="P890" s="35"/>
      <c r="Q890" s="35"/>
      <c r="R890" s="35"/>
      <c r="S890" s="35"/>
      <c r="T890" s="35"/>
      <c r="U890" s="35"/>
      <c r="V890" s="35"/>
      <c r="W890" s="35"/>
      <c r="X890" s="35"/>
    </row>
    <row r="891" spans="1:24" ht="13.5" customHeight="1">
      <c r="A891" s="100"/>
      <c r="B891" s="100"/>
      <c r="C891" s="99"/>
      <c r="D891" s="37"/>
      <c r="E891" s="35"/>
      <c r="F891" s="35"/>
      <c r="G891" s="126"/>
      <c r="H891" s="35"/>
      <c r="I891" s="35"/>
      <c r="J891" s="35"/>
      <c r="K891" s="35"/>
      <c r="L891" s="35"/>
      <c r="M891" s="35"/>
      <c r="N891" s="35"/>
      <c r="O891" s="35"/>
      <c r="P891" s="35"/>
      <c r="Q891" s="35"/>
      <c r="R891" s="35"/>
      <c r="S891" s="35"/>
      <c r="T891" s="35"/>
      <c r="U891" s="35"/>
      <c r="V891" s="35"/>
      <c r="W891" s="35"/>
      <c r="X891" s="35"/>
    </row>
    <row r="892" spans="1:24" ht="13.5" customHeight="1">
      <c r="A892" s="100"/>
      <c r="B892" s="100"/>
      <c r="C892" s="99"/>
      <c r="D892" s="37"/>
      <c r="E892" s="35"/>
      <c r="F892" s="35"/>
      <c r="G892" s="126"/>
      <c r="H892" s="35"/>
      <c r="I892" s="35"/>
      <c r="J892" s="35"/>
      <c r="K892" s="35"/>
      <c r="L892" s="35"/>
      <c r="M892" s="35"/>
      <c r="N892" s="35"/>
      <c r="O892" s="35"/>
      <c r="P892" s="35"/>
      <c r="Q892" s="35"/>
      <c r="R892" s="35"/>
      <c r="S892" s="35"/>
      <c r="T892" s="35"/>
      <c r="U892" s="35"/>
      <c r="V892" s="35"/>
      <c r="W892" s="35"/>
      <c r="X892" s="35"/>
    </row>
    <row r="893" spans="1:24" ht="13.5" customHeight="1">
      <c r="A893" s="100"/>
      <c r="B893" s="100"/>
      <c r="C893" s="99"/>
      <c r="D893" s="37"/>
      <c r="E893" s="35"/>
      <c r="F893" s="35"/>
      <c r="G893" s="126"/>
      <c r="H893" s="35"/>
      <c r="I893" s="35"/>
      <c r="J893" s="35"/>
      <c r="K893" s="35"/>
      <c r="L893" s="35"/>
      <c r="M893" s="35"/>
      <c r="N893" s="35"/>
      <c r="O893" s="35"/>
      <c r="P893" s="35"/>
      <c r="Q893" s="35"/>
      <c r="R893" s="35"/>
      <c r="S893" s="35"/>
      <c r="T893" s="35"/>
      <c r="U893" s="35"/>
      <c r="V893" s="35"/>
      <c r="W893" s="35"/>
      <c r="X893" s="35"/>
    </row>
    <row r="894" spans="1:24" ht="13.5" customHeight="1">
      <c r="A894" s="100"/>
      <c r="B894" s="100"/>
      <c r="C894" s="99"/>
      <c r="D894" s="37"/>
      <c r="E894" s="35"/>
      <c r="F894" s="35"/>
      <c r="G894" s="126"/>
      <c r="H894" s="35"/>
      <c r="I894" s="35"/>
      <c r="J894" s="35"/>
      <c r="K894" s="35"/>
      <c r="L894" s="35"/>
      <c r="M894" s="35"/>
      <c r="N894" s="35"/>
      <c r="O894" s="35"/>
      <c r="P894" s="35"/>
      <c r="Q894" s="35"/>
      <c r="R894" s="35"/>
      <c r="S894" s="35"/>
      <c r="T894" s="35"/>
      <c r="U894" s="35"/>
      <c r="V894" s="35"/>
      <c r="W894" s="35"/>
      <c r="X894" s="35"/>
    </row>
    <row r="895" spans="1:24" ht="13.5" customHeight="1">
      <c r="A895" s="100"/>
      <c r="B895" s="100"/>
      <c r="C895" s="99"/>
      <c r="D895" s="37"/>
      <c r="E895" s="35"/>
      <c r="F895" s="35"/>
      <c r="G895" s="126"/>
      <c r="H895" s="35"/>
      <c r="I895" s="35"/>
      <c r="J895" s="35"/>
      <c r="K895" s="35"/>
      <c r="L895" s="35"/>
      <c r="M895" s="35"/>
      <c r="N895" s="35"/>
      <c r="O895" s="35"/>
      <c r="P895" s="35"/>
      <c r="Q895" s="35"/>
      <c r="R895" s="35"/>
      <c r="S895" s="35"/>
      <c r="T895" s="35"/>
      <c r="U895" s="35"/>
      <c r="V895" s="35"/>
      <c r="W895" s="35"/>
      <c r="X895" s="35"/>
    </row>
    <row r="896" spans="1:24" ht="13.5" customHeight="1">
      <c r="A896" s="100"/>
      <c r="B896" s="100"/>
      <c r="C896" s="99"/>
      <c r="D896" s="37"/>
      <c r="E896" s="35"/>
      <c r="F896" s="35"/>
      <c r="G896" s="126"/>
      <c r="H896" s="35"/>
      <c r="I896" s="35"/>
      <c r="J896" s="35"/>
      <c r="K896" s="35"/>
      <c r="L896" s="35"/>
      <c r="M896" s="35"/>
      <c r="N896" s="35"/>
      <c r="O896" s="35"/>
      <c r="P896" s="35"/>
      <c r="Q896" s="35"/>
      <c r="R896" s="35"/>
      <c r="S896" s="35"/>
      <c r="T896" s="35"/>
      <c r="U896" s="35"/>
      <c r="V896" s="35"/>
      <c r="W896" s="35"/>
      <c r="X896" s="35"/>
    </row>
    <row r="897" spans="1:24" ht="13.5" customHeight="1">
      <c r="A897" s="100"/>
      <c r="B897" s="100"/>
      <c r="C897" s="99"/>
      <c r="D897" s="37"/>
      <c r="E897" s="35"/>
      <c r="F897" s="35"/>
      <c r="G897" s="126"/>
      <c r="H897" s="35"/>
      <c r="I897" s="35"/>
      <c r="J897" s="35"/>
      <c r="K897" s="35"/>
      <c r="L897" s="35"/>
      <c r="M897" s="35"/>
      <c r="N897" s="35"/>
      <c r="O897" s="35"/>
      <c r="P897" s="35"/>
      <c r="Q897" s="35"/>
      <c r="R897" s="35"/>
      <c r="S897" s="35"/>
      <c r="T897" s="35"/>
      <c r="U897" s="35"/>
      <c r="V897" s="35"/>
      <c r="W897" s="35"/>
      <c r="X897" s="35"/>
    </row>
    <row r="898" spans="1:24" ht="13.5" customHeight="1">
      <c r="A898" s="100"/>
      <c r="B898" s="100"/>
      <c r="C898" s="99"/>
      <c r="D898" s="37"/>
      <c r="E898" s="35"/>
      <c r="F898" s="35"/>
      <c r="G898" s="126"/>
      <c r="H898" s="35"/>
      <c r="I898" s="35"/>
      <c r="J898" s="35"/>
      <c r="K898" s="35"/>
      <c r="L898" s="35"/>
      <c r="M898" s="35"/>
      <c r="N898" s="35"/>
      <c r="O898" s="35"/>
      <c r="P898" s="35"/>
      <c r="Q898" s="35"/>
      <c r="R898" s="35"/>
      <c r="S898" s="35"/>
      <c r="T898" s="35"/>
      <c r="U898" s="35"/>
      <c r="V898" s="35"/>
      <c r="W898" s="35"/>
      <c r="X898" s="35"/>
    </row>
    <row r="899" spans="1:24" ht="13.5" customHeight="1">
      <c r="A899" s="100"/>
      <c r="B899" s="100"/>
      <c r="C899" s="99"/>
      <c r="D899" s="37"/>
      <c r="E899" s="35"/>
      <c r="F899" s="35"/>
      <c r="G899" s="126"/>
      <c r="H899" s="35"/>
      <c r="I899" s="35"/>
      <c r="J899" s="35"/>
      <c r="K899" s="35"/>
      <c r="L899" s="35"/>
      <c r="M899" s="35"/>
      <c r="N899" s="35"/>
      <c r="O899" s="35"/>
      <c r="P899" s="35"/>
      <c r="Q899" s="35"/>
      <c r="R899" s="35"/>
      <c r="S899" s="35"/>
      <c r="T899" s="35"/>
      <c r="U899" s="35"/>
      <c r="V899" s="35"/>
      <c r="W899" s="35"/>
      <c r="X899" s="35"/>
    </row>
    <row r="900" spans="1:24" ht="13.5" customHeight="1">
      <c r="A900" s="100"/>
      <c r="B900" s="100"/>
      <c r="C900" s="99"/>
      <c r="D900" s="37"/>
      <c r="E900" s="35"/>
      <c r="F900" s="35"/>
      <c r="G900" s="126"/>
      <c r="H900" s="35"/>
      <c r="I900" s="35"/>
      <c r="J900" s="35"/>
      <c r="K900" s="35"/>
      <c r="L900" s="35"/>
      <c r="M900" s="35"/>
      <c r="N900" s="35"/>
      <c r="O900" s="35"/>
      <c r="P900" s="35"/>
      <c r="Q900" s="35"/>
      <c r="R900" s="35"/>
      <c r="S900" s="35"/>
      <c r="T900" s="35"/>
      <c r="U900" s="35"/>
      <c r="V900" s="35"/>
      <c r="W900" s="35"/>
      <c r="X900" s="35"/>
    </row>
    <row r="901" spans="1:24" ht="13.5" customHeight="1">
      <c r="A901" s="100"/>
      <c r="B901" s="100"/>
      <c r="C901" s="99"/>
      <c r="D901" s="37"/>
      <c r="E901" s="35"/>
      <c r="F901" s="35"/>
      <c r="G901" s="126"/>
      <c r="H901" s="35"/>
      <c r="I901" s="35"/>
      <c r="J901" s="35"/>
      <c r="K901" s="35"/>
      <c r="L901" s="35"/>
      <c r="M901" s="35"/>
      <c r="N901" s="35"/>
      <c r="O901" s="35"/>
      <c r="P901" s="35"/>
      <c r="Q901" s="35"/>
      <c r="R901" s="35"/>
      <c r="S901" s="35"/>
      <c r="T901" s="35"/>
      <c r="U901" s="35"/>
      <c r="V901" s="35"/>
      <c r="W901" s="35"/>
      <c r="X901" s="35"/>
    </row>
    <row r="902" spans="1:24" ht="13.5" customHeight="1">
      <c r="A902" s="100"/>
      <c r="B902" s="100"/>
      <c r="C902" s="99"/>
      <c r="D902" s="37"/>
      <c r="E902" s="35"/>
      <c r="F902" s="35"/>
      <c r="G902" s="126"/>
      <c r="H902" s="35"/>
      <c r="I902" s="35"/>
      <c r="J902" s="35"/>
      <c r="K902" s="35"/>
      <c r="L902" s="35"/>
      <c r="M902" s="35"/>
      <c r="N902" s="35"/>
      <c r="O902" s="35"/>
      <c r="P902" s="35"/>
      <c r="Q902" s="35"/>
      <c r="R902" s="35"/>
      <c r="S902" s="35"/>
      <c r="T902" s="35"/>
      <c r="U902" s="35"/>
      <c r="V902" s="35"/>
      <c r="W902" s="35"/>
      <c r="X902" s="35"/>
    </row>
    <row r="903" spans="1:24" ht="13.5" customHeight="1">
      <c r="A903" s="100"/>
      <c r="B903" s="100"/>
      <c r="C903" s="99"/>
      <c r="D903" s="37"/>
      <c r="E903" s="35"/>
      <c r="F903" s="35"/>
      <c r="G903" s="126"/>
      <c r="H903" s="35"/>
      <c r="I903" s="35"/>
      <c r="J903" s="35"/>
      <c r="K903" s="35"/>
      <c r="L903" s="35"/>
      <c r="M903" s="35"/>
      <c r="N903" s="35"/>
      <c r="O903" s="35"/>
      <c r="P903" s="35"/>
      <c r="Q903" s="35"/>
      <c r="R903" s="35"/>
      <c r="S903" s="35"/>
      <c r="T903" s="35"/>
      <c r="U903" s="35"/>
      <c r="V903" s="35"/>
      <c r="W903" s="35"/>
      <c r="X903" s="35"/>
    </row>
    <row r="904" spans="1:24" ht="13.5" customHeight="1">
      <c r="A904" s="100"/>
      <c r="B904" s="100"/>
      <c r="C904" s="99"/>
      <c r="D904" s="37"/>
      <c r="E904" s="35"/>
      <c r="F904" s="35"/>
      <c r="G904" s="126"/>
      <c r="H904" s="35"/>
      <c r="I904" s="35"/>
      <c r="J904" s="35"/>
      <c r="K904" s="35"/>
      <c r="L904" s="35"/>
      <c r="M904" s="35"/>
      <c r="N904" s="35"/>
      <c r="O904" s="35"/>
      <c r="P904" s="35"/>
      <c r="Q904" s="35"/>
      <c r="R904" s="35"/>
      <c r="S904" s="35"/>
      <c r="T904" s="35"/>
      <c r="U904" s="35"/>
      <c r="V904" s="35"/>
      <c r="W904" s="35"/>
      <c r="X904" s="35"/>
    </row>
    <row r="905" spans="1:24" ht="13.5" customHeight="1">
      <c r="A905" s="100"/>
      <c r="B905" s="100"/>
      <c r="C905" s="99"/>
      <c r="D905" s="37"/>
      <c r="E905" s="35"/>
      <c r="F905" s="35"/>
      <c r="G905" s="126"/>
      <c r="H905" s="35"/>
      <c r="I905" s="35"/>
      <c r="J905" s="35"/>
      <c r="K905" s="35"/>
      <c r="L905" s="35"/>
      <c r="M905" s="35"/>
      <c r="N905" s="35"/>
      <c r="O905" s="35"/>
      <c r="P905" s="35"/>
      <c r="Q905" s="35"/>
      <c r="R905" s="35"/>
      <c r="S905" s="35"/>
      <c r="T905" s="35"/>
      <c r="U905" s="35"/>
      <c r="V905" s="35"/>
      <c r="W905" s="35"/>
      <c r="X905" s="35"/>
    </row>
    <row r="906" spans="1:24" ht="13.5" customHeight="1">
      <c r="A906" s="100"/>
      <c r="B906" s="100"/>
      <c r="C906" s="99"/>
      <c r="D906" s="37"/>
      <c r="E906" s="35"/>
      <c r="F906" s="35"/>
      <c r="G906" s="126"/>
      <c r="H906" s="35"/>
      <c r="I906" s="35"/>
      <c r="J906" s="35"/>
      <c r="K906" s="35"/>
      <c r="L906" s="35"/>
      <c r="M906" s="35"/>
      <c r="N906" s="35"/>
      <c r="O906" s="35"/>
      <c r="P906" s="35"/>
      <c r="Q906" s="35"/>
      <c r="R906" s="35"/>
      <c r="S906" s="35"/>
      <c r="T906" s="35"/>
      <c r="U906" s="35"/>
      <c r="V906" s="35"/>
      <c r="W906" s="35"/>
      <c r="X906" s="35"/>
    </row>
    <row r="907" spans="1:24" ht="13.5" customHeight="1">
      <c r="A907" s="100"/>
      <c r="B907" s="100"/>
      <c r="C907" s="99"/>
      <c r="D907" s="37"/>
      <c r="E907" s="35"/>
      <c r="F907" s="35"/>
      <c r="G907" s="126"/>
      <c r="H907" s="35"/>
      <c r="I907" s="35"/>
      <c r="J907" s="35"/>
      <c r="K907" s="35"/>
      <c r="L907" s="35"/>
      <c r="M907" s="35"/>
      <c r="N907" s="35"/>
      <c r="O907" s="35"/>
      <c r="P907" s="35"/>
      <c r="Q907" s="35"/>
      <c r="R907" s="35"/>
      <c r="S907" s="35"/>
      <c r="T907" s="35"/>
      <c r="U907" s="35"/>
      <c r="V907" s="35"/>
      <c r="W907" s="35"/>
      <c r="X907" s="35"/>
    </row>
    <row r="908" spans="1:24" ht="13.5" customHeight="1">
      <c r="A908" s="100"/>
      <c r="B908" s="100"/>
      <c r="C908" s="99"/>
      <c r="D908" s="37"/>
      <c r="E908" s="35"/>
      <c r="F908" s="35"/>
      <c r="G908" s="126"/>
      <c r="H908" s="35"/>
      <c r="I908" s="35"/>
      <c r="J908" s="35"/>
      <c r="K908" s="35"/>
      <c r="L908" s="35"/>
      <c r="M908" s="35"/>
      <c r="N908" s="35"/>
      <c r="O908" s="35"/>
      <c r="P908" s="35"/>
      <c r="Q908" s="35"/>
      <c r="R908" s="35"/>
      <c r="S908" s="35"/>
      <c r="T908" s="35"/>
      <c r="U908" s="35"/>
      <c r="V908" s="35"/>
      <c r="W908" s="35"/>
      <c r="X908" s="35"/>
    </row>
    <row r="909" spans="1:24" ht="13.5" customHeight="1">
      <c r="A909" s="100"/>
      <c r="B909" s="100"/>
      <c r="C909" s="99"/>
      <c r="D909" s="37"/>
      <c r="E909" s="35"/>
      <c r="F909" s="35"/>
      <c r="G909" s="126"/>
      <c r="H909" s="35"/>
      <c r="I909" s="35"/>
      <c r="J909" s="35"/>
      <c r="K909" s="35"/>
      <c r="L909" s="35"/>
      <c r="M909" s="35"/>
      <c r="N909" s="35"/>
      <c r="O909" s="35"/>
      <c r="P909" s="35"/>
      <c r="Q909" s="35"/>
      <c r="R909" s="35"/>
      <c r="S909" s="35"/>
      <c r="T909" s="35"/>
      <c r="U909" s="35"/>
      <c r="V909" s="35"/>
      <c r="W909" s="35"/>
      <c r="X909" s="35"/>
    </row>
    <row r="910" spans="1:24" ht="13.5" customHeight="1">
      <c r="A910" s="100"/>
      <c r="B910" s="100"/>
      <c r="C910" s="99"/>
      <c r="D910" s="37"/>
      <c r="E910" s="35"/>
      <c r="F910" s="35"/>
      <c r="G910" s="126"/>
      <c r="H910" s="35"/>
      <c r="I910" s="35"/>
      <c r="J910" s="35"/>
      <c r="K910" s="35"/>
      <c r="L910" s="35"/>
      <c r="M910" s="35"/>
      <c r="N910" s="35"/>
      <c r="O910" s="35"/>
      <c r="P910" s="35"/>
      <c r="Q910" s="35"/>
      <c r="R910" s="35"/>
      <c r="S910" s="35"/>
      <c r="T910" s="35"/>
      <c r="U910" s="35"/>
      <c r="V910" s="35"/>
      <c r="W910" s="35"/>
      <c r="X910" s="35"/>
    </row>
    <row r="911" spans="1:24" ht="13.5" customHeight="1">
      <c r="A911" s="100"/>
      <c r="B911" s="100"/>
      <c r="C911" s="99"/>
      <c r="D911" s="37"/>
      <c r="E911" s="35"/>
      <c r="F911" s="35"/>
      <c r="G911" s="126"/>
      <c r="H911" s="35"/>
      <c r="I911" s="35"/>
      <c r="J911" s="35"/>
      <c r="K911" s="35"/>
      <c r="L911" s="35"/>
      <c r="M911" s="35"/>
      <c r="N911" s="35"/>
      <c r="O911" s="35"/>
      <c r="P911" s="35"/>
      <c r="Q911" s="35"/>
      <c r="R911" s="35"/>
      <c r="S911" s="35"/>
      <c r="T911" s="35"/>
      <c r="U911" s="35"/>
      <c r="V911" s="35"/>
      <c r="W911" s="35"/>
      <c r="X911" s="35"/>
    </row>
    <row r="912" spans="1:24" ht="13.5" customHeight="1">
      <c r="A912" s="100"/>
      <c r="B912" s="100"/>
      <c r="C912" s="99"/>
      <c r="D912" s="37"/>
      <c r="E912" s="35"/>
      <c r="F912" s="35"/>
      <c r="G912" s="126"/>
      <c r="H912" s="35"/>
      <c r="I912" s="35"/>
      <c r="J912" s="35"/>
      <c r="K912" s="35"/>
      <c r="L912" s="35"/>
      <c r="M912" s="35"/>
      <c r="N912" s="35"/>
      <c r="O912" s="35"/>
      <c r="P912" s="35"/>
      <c r="Q912" s="35"/>
      <c r="R912" s="35"/>
      <c r="S912" s="35"/>
      <c r="T912" s="35"/>
      <c r="U912" s="35"/>
      <c r="V912" s="35"/>
      <c r="W912" s="35"/>
      <c r="X912" s="35"/>
    </row>
    <row r="913" spans="1:24" ht="13.5" customHeight="1">
      <c r="A913" s="100"/>
      <c r="B913" s="100"/>
      <c r="C913" s="99"/>
      <c r="D913" s="37"/>
      <c r="E913" s="35"/>
      <c r="F913" s="35"/>
      <c r="G913" s="126"/>
      <c r="H913" s="35"/>
      <c r="I913" s="35"/>
      <c r="J913" s="35"/>
      <c r="K913" s="35"/>
      <c r="L913" s="35"/>
      <c r="M913" s="35"/>
      <c r="N913" s="35"/>
      <c r="O913" s="35"/>
      <c r="P913" s="35"/>
      <c r="Q913" s="35"/>
      <c r="R913" s="35"/>
      <c r="S913" s="35"/>
      <c r="T913" s="35"/>
      <c r="U913" s="35"/>
      <c r="V913" s="35"/>
      <c r="W913" s="35"/>
      <c r="X913" s="35"/>
    </row>
    <row r="914" spans="1:24" ht="13.5" customHeight="1">
      <c r="A914" s="100"/>
      <c r="B914" s="100"/>
      <c r="C914" s="99"/>
      <c r="D914" s="37"/>
      <c r="E914" s="35"/>
      <c r="F914" s="35"/>
      <c r="G914" s="126"/>
      <c r="H914" s="35"/>
      <c r="I914" s="35"/>
      <c r="J914" s="35"/>
      <c r="K914" s="35"/>
      <c r="L914" s="35"/>
      <c r="M914" s="35"/>
      <c r="N914" s="35"/>
      <c r="O914" s="35"/>
      <c r="P914" s="35"/>
      <c r="Q914" s="35"/>
      <c r="R914" s="35"/>
      <c r="S914" s="35"/>
      <c r="T914" s="35"/>
      <c r="U914" s="35"/>
      <c r="V914" s="35"/>
      <c r="W914" s="35"/>
      <c r="X914" s="35"/>
    </row>
    <row r="915" spans="1:24" ht="13.5" customHeight="1">
      <c r="A915" s="100"/>
      <c r="B915" s="100"/>
      <c r="C915" s="99"/>
      <c r="D915" s="37"/>
      <c r="E915" s="35"/>
      <c r="F915" s="35"/>
      <c r="G915" s="126"/>
      <c r="H915" s="35"/>
      <c r="I915" s="35"/>
      <c r="J915" s="35"/>
      <c r="K915" s="35"/>
      <c r="L915" s="35"/>
      <c r="M915" s="35"/>
      <c r="N915" s="35"/>
      <c r="O915" s="35"/>
      <c r="P915" s="35"/>
      <c r="Q915" s="35"/>
      <c r="R915" s="35"/>
      <c r="S915" s="35"/>
      <c r="T915" s="35"/>
      <c r="U915" s="35"/>
      <c r="V915" s="35"/>
      <c r="W915" s="35"/>
      <c r="X915" s="35"/>
    </row>
    <row r="916" spans="1:24" ht="13.5" customHeight="1">
      <c r="A916" s="100"/>
      <c r="B916" s="100"/>
      <c r="C916" s="99"/>
      <c r="D916" s="37"/>
      <c r="E916" s="35"/>
      <c r="F916" s="35"/>
      <c r="G916" s="126"/>
      <c r="H916" s="35"/>
      <c r="I916" s="35"/>
      <c r="J916" s="35"/>
      <c r="K916" s="35"/>
      <c r="L916" s="35"/>
      <c r="M916" s="35"/>
      <c r="N916" s="35"/>
      <c r="O916" s="35"/>
      <c r="P916" s="35"/>
      <c r="Q916" s="35"/>
      <c r="R916" s="35"/>
      <c r="S916" s="35"/>
      <c r="T916" s="35"/>
      <c r="U916" s="35"/>
      <c r="V916" s="35"/>
      <c r="W916" s="35"/>
      <c r="X916" s="35"/>
    </row>
    <row r="917" spans="1:24" ht="13.5" customHeight="1">
      <c r="A917" s="100"/>
      <c r="B917" s="100"/>
      <c r="C917" s="99"/>
      <c r="D917" s="37"/>
      <c r="E917" s="35"/>
      <c r="F917" s="35"/>
      <c r="G917" s="126"/>
      <c r="H917" s="35"/>
      <c r="I917" s="35"/>
      <c r="J917" s="35"/>
      <c r="K917" s="35"/>
      <c r="L917" s="35"/>
      <c r="M917" s="35"/>
      <c r="N917" s="35"/>
      <c r="O917" s="35"/>
      <c r="P917" s="35"/>
      <c r="Q917" s="35"/>
      <c r="R917" s="35"/>
      <c r="S917" s="35"/>
      <c r="T917" s="35"/>
      <c r="U917" s="35"/>
      <c r="V917" s="35"/>
      <c r="W917" s="35"/>
      <c r="X917" s="35"/>
    </row>
    <row r="918" spans="1:24" ht="13.5" customHeight="1">
      <c r="A918" s="100"/>
      <c r="B918" s="100"/>
      <c r="C918" s="99"/>
      <c r="D918" s="37"/>
      <c r="E918" s="35"/>
      <c r="F918" s="35"/>
      <c r="G918" s="126"/>
      <c r="H918" s="35"/>
      <c r="I918" s="35"/>
      <c r="J918" s="35"/>
      <c r="K918" s="35"/>
      <c r="L918" s="35"/>
      <c r="M918" s="35"/>
      <c r="N918" s="35"/>
      <c r="O918" s="35"/>
      <c r="P918" s="35"/>
      <c r="Q918" s="35"/>
      <c r="R918" s="35"/>
      <c r="S918" s="35"/>
      <c r="T918" s="35"/>
      <c r="U918" s="35"/>
      <c r="V918" s="35"/>
      <c r="W918" s="35"/>
      <c r="X918" s="35"/>
    </row>
    <row r="919" spans="1:24" ht="13.5" customHeight="1">
      <c r="A919" s="100"/>
      <c r="B919" s="100"/>
      <c r="C919" s="99"/>
      <c r="D919" s="37"/>
      <c r="E919" s="35"/>
      <c r="F919" s="35"/>
      <c r="G919" s="126"/>
      <c r="H919" s="35"/>
      <c r="I919" s="35"/>
      <c r="J919" s="35"/>
      <c r="K919" s="35"/>
      <c r="L919" s="35"/>
      <c r="M919" s="35"/>
      <c r="N919" s="35"/>
      <c r="O919" s="35"/>
      <c r="P919" s="35"/>
      <c r="Q919" s="35"/>
      <c r="R919" s="35"/>
      <c r="S919" s="35"/>
      <c r="T919" s="35"/>
      <c r="U919" s="35"/>
      <c r="V919" s="35"/>
      <c r="W919" s="35"/>
      <c r="X919" s="35"/>
    </row>
    <row r="920" spans="1:24" ht="13.5" customHeight="1">
      <c r="A920" s="100"/>
      <c r="B920" s="100"/>
      <c r="C920" s="99"/>
      <c r="D920" s="37"/>
      <c r="E920" s="35"/>
      <c r="F920" s="35"/>
      <c r="G920" s="126"/>
      <c r="H920" s="35"/>
      <c r="I920" s="35"/>
      <c r="J920" s="35"/>
      <c r="K920" s="35"/>
      <c r="L920" s="35"/>
      <c r="M920" s="35"/>
      <c r="N920" s="35"/>
      <c r="O920" s="35"/>
      <c r="P920" s="35"/>
      <c r="Q920" s="35"/>
      <c r="R920" s="35"/>
      <c r="S920" s="35"/>
      <c r="T920" s="35"/>
      <c r="U920" s="35"/>
      <c r="V920" s="35"/>
      <c r="W920" s="35"/>
      <c r="X920" s="35"/>
    </row>
    <row r="921" spans="1:24" ht="13.5" customHeight="1">
      <c r="A921" s="100"/>
      <c r="B921" s="100"/>
      <c r="C921" s="99"/>
      <c r="D921" s="37"/>
      <c r="E921" s="35"/>
      <c r="F921" s="35"/>
      <c r="G921" s="126"/>
      <c r="H921" s="35"/>
      <c r="I921" s="35"/>
      <c r="J921" s="35"/>
      <c r="K921" s="35"/>
      <c r="L921" s="35"/>
      <c r="M921" s="35"/>
      <c r="N921" s="35"/>
      <c r="O921" s="35"/>
      <c r="P921" s="35"/>
      <c r="Q921" s="35"/>
      <c r="R921" s="35"/>
      <c r="S921" s="35"/>
      <c r="T921" s="35"/>
      <c r="U921" s="35"/>
      <c r="V921" s="35"/>
      <c r="W921" s="35"/>
      <c r="X921" s="35"/>
    </row>
    <row r="922" spans="1:24" ht="13.5" customHeight="1">
      <c r="A922" s="100"/>
      <c r="B922" s="100"/>
      <c r="C922" s="99"/>
      <c r="D922" s="37"/>
      <c r="E922" s="35"/>
      <c r="F922" s="35"/>
      <c r="G922" s="126"/>
      <c r="H922" s="35"/>
      <c r="I922" s="35"/>
      <c r="J922" s="35"/>
      <c r="K922" s="35"/>
      <c r="L922" s="35"/>
      <c r="M922" s="35"/>
      <c r="N922" s="35"/>
      <c r="O922" s="35"/>
      <c r="P922" s="35"/>
      <c r="Q922" s="35"/>
      <c r="R922" s="35"/>
      <c r="S922" s="35"/>
      <c r="T922" s="35"/>
      <c r="U922" s="35"/>
      <c r="V922" s="35"/>
      <c r="W922" s="35"/>
      <c r="X922" s="35"/>
    </row>
    <row r="923" spans="1:24" ht="13.5" customHeight="1">
      <c r="A923" s="100"/>
      <c r="B923" s="100"/>
      <c r="C923" s="99"/>
      <c r="D923" s="37"/>
      <c r="E923" s="35"/>
      <c r="F923" s="35"/>
      <c r="G923" s="126"/>
      <c r="H923" s="35"/>
      <c r="I923" s="35"/>
      <c r="J923" s="35"/>
      <c r="K923" s="35"/>
      <c r="L923" s="35"/>
      <c r="M923" s="35"/>
      <c r="N923" s="35"/>
      <c r="O923" s="35"/>
      <c r="P923" s="35"/>
      <c r="Q923" s="35"/>
      <c r="R923" s="35"/>
      <c r="S923" s="35"/>
      <c r="T923" s="35"/>
      <c r="U923" s="35"/>
      <c r="V923" s="35"/>
      <c r="W923" s="35"/>
      <c r="X923" s="35"/>
    </row>
    <row r="924" spans="1:24" ht="13.5" customHeight="1">
      <c r="A924" s="100"/>
      <c r="B924" s="100"/>
      <c r="C924" s="99"/>
      <c r="D924" s="37"/>
      <c r="E924" s="35"/>
      <c r="F924" s="35"/>
      <c r="G924" s="126"/>
      <c r="H924" s="35"/>
      <c r="I924" s="35"/>
      <c r="J924" s="35"/>
      <c r="K924" s="35"/>
      <c r="L924" s="35"/>
      <c r="M924" s="35"/>
      <c r="N924" s="35"/>
      <c r="O924" s="35"/>
      <c r="P924" s="35"/>
      <c r="Q924" s="35"/>
      <c r="R924" s="35"/>
      <c r="S924" s="35"/>
      <c r="T924" s="35"/>
      <c r="U924" s="35"/>
      <c r="V924" s="35"/>
      <c r="W924" s="35"/>
      <c r="X924" s="35"/>
    </row>
    <row r="925" spans="1:24" ht="13.5" customHeight="1">
      <c r="A925" s="100"/>
      <c r="B925" s="100"/>
      <c r="C925" s="99"/>
      <c r="D925" s="37"/>
      <c r="E925" s="35"/>
      <c r="F925" s="35"/>
      <c r="G925" s="126"/>
      <c r="H925" s="35"/>
      <c r="I925" s="35"/>
      <c r="J925" s="35"/>
      <c r="K925" s="35"/>
      <c r="L925" s="35"/>
      <c r="M925" s="35"/>
      <c r="N925" s="35"/>
      <c r="O925" s="35"/>
      <c r="P925" s="35"/>
      <c r="Q925" s="35"/>
      <c r="R925" s="35"/>
      <c r="S925" s="35"/>
      <c r="T925" s="35"/>
      <c r="U925" s="35"/>
      <c r="V925" s="35"/>
      <c r="W925" s="35"/>
      <c r="X925" s="35"/>
    </row>
    <row r="926" spans="1:24" ht="13.5" customHeight="1">
      <c r="A926" s="100"/>
      <c r="B926" s="100"/>
      <c r="C926" s="99"/>
      <c r="D926" s="37"/>
      <c r="E926" s="35"/>
      <c r="F926" s="35"/>
      <c r="G926" s="126"/>
      <c r="H926" s="35"/>
      <c r="I926" s="35"/>
      <c r="J926" s="35"/>
      <c r="K926" s="35"/>
      <c r="L926" s="35"/>
      <c r="M926" s="35"/>
      <c r="N926" s="35"/>
      <c r="O926" s="35"/>
      <c r="P926" s="35"/>
      <c r="Q926" s="35"/>
      <c r="R926" s="35"/>
      <c r="S926" s="35"/>
      <c r="T926" s="35"/>
      <c r="U926" s="35"/>
      <c r="V926" s="35"/>
      <c r="W926" s="35"/>
      <c r="X926" s="35"/>
    </row>
    <row r="927" spans="1:24" ht="13.5" customHeight="1">
      <c r="A927" s="100"/>
      <c r="B927" s="100"/>
      <c r="C927" s="99"/>
      <c r="D927" s="37"/>
      <c r="E927" s="35"/>
      <c r="F927" s="35"/>
      <c r="G927" s="126"/>
      <c r="H927" s="35"/>
      <c r="I927" s="35"/>
      <c r="J927" s="35"/>
      <c r="K927" s="35"/>
      <c r="L927" s="35"/>
      <c r="M927" s="35"/>
      <c r="N927" s="35"/>
      <c r="O927" s="35"/>
      <c r="P927" s="35"/>
      <c r="Q927" s="35"/>
      <c r="R927" s="35"/>
      <c r="S927" s="35"/>
      <c r="T927" s="35"/>
      <c r="U927" s="35"/>
      <c r="V927" s="35"/>
      <c r="W927" s="35"/>
      <c r="X927" s="35"/>
    </row>
  </sheetData>
  <mergeCells count="77">
    <mergeCell ref="A692:B692"/>
    <mergeCell ref="A715:B715"/>
    <mergeCell ref="A773:B774"/>
    <mergeCell ref="A800:B801"/>
    <mergeCell ref="A3:B4"/>
    <mergeCell ref="A77:B78"/>
    <mergeCell ref="A307:B307"/>
    <mergeCell ref="A318:B318"/>
    <mergeCell ref="A667:B667"/>
    <mergeCell ref="A602:B602"/>
    <mergeCell ref="A654:B654"/>
    <mergeCell ref="A641:B641"/>
    <mergeCell ref="A628:B628"/>
    <mergeCell ref="A498:B498"/>
    <mergeCell ref="A446:B446"/>
    <mergeCell ref="A251:B251"/>
    <mergeCell ref="A11:B11"/>
    <mergeCell ref="A34:B34"/>
    <mergeCell ref="A51:B51"/>
    <mergeCell ref="A85:B85"/>
    <mergeCell ref="A69:B69"/>
    <mergeCell ref="A96:B96"/>
    <mergeCell ref="A112:B112"/>
    <mergeCell ref="A400:B400"/>
    <mergeCell ref="A415:B415"/>
    <mergeCell ref="A428:B428"/>
    <mergeCell ref="A296:B296"/>
    <mergeCell ref="A262:B262"/>
    <mergeCell ref="A279:B279"/>
    <mergeCell ref="A333:B333"/>
    <mergeCell ref="A357:B357"/>
    <mergeCell ref="A382:B382"/>
    <mergeCell ref="A170:B170"/>
    <mergeCell ref="A127:B127"/>
    <mergeCell ref="A140:B140"/>
    <mergeCell ref="A154:B154"/>
    <mergeCell ref="A392:B393"/>
    <mergeCell ref="A438:B439"/>
    <mergeCell ref="A511:B512"/>
    <mergeCell ref="A553:C553"/>
    <mergeCell ref="A835:B835"/>
    <mergeCell ref="A564:B564"/>
    <mergeCell ref="A752:B752"/>
    <mergeCell ref="A727:B727"/>
    <mergeCell ref="A719:B720"/>
    <mergeCell ref="A576:B576"/>
    <mergeCell ref="A519:B519"/>
    <mergeCell ref="A615:B615"/>
    <mergeCell ref="A589:B589"/>
    <mergeCell ref="A532:B532"/>
    <mergeCell ref="A546:B546"/>
    <mergeCell ref="A473:B473"/>
    <mergeCell ref="A119:B120"/>
    <mergeCell ref="A162:B163"/>
    <mergeCell ref="A243:B244"/>
    <mergeCell ref="A288:B289"/>
    <mergeCell ref="A325:B326"/>
    <mergeCell ref="A202:B202"/>
    <mergeCell ref="A229:B229"/>
    <mergeCell ref="A233:B233"/>
    <mergeCell ref="A273:B273"/>
    <mergeCell ref="A813:B814"/>
    <mergeCell ref="A827:B828"/>
    <mergeCell ref="A556:B557"/>
    <mergeCell ref="A568:B569"/>
    <mergeCell ref="A581:B582"/>
    <mergeCell ref="A594:B595"/>
    <mergeCell ref="A607:B608"/>
    <mergeCell ref="A620:B621"/>
    <mergeCell ref="A633:B634"/>
    <mergeCell ref="A646:B647"/>
    <mergeCell ref="A760:B761"/>
    <mergeCell ref="A768:B768"/>
    <mergeCell ref="A796:B796"/>
    <mergeCell ref="A781:B781"/>
    <mergeCell ref="A740:B740"/>
    <mergeCell ref="A680:B680"/>
  </mergeCells>
  <phoneticPr fontId="102" type="noConversion"/>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rowBreaks count="13" manualBreakCount="13">
    <brk id="55" max="2" man="1"/>
    <brk id="110" max="2" man="1"/>
    <brk id="161" max="2" man="1"/>
    <brk id="215" max="2" man="1"/>
    <brk id="269" max="2" man="1"/>
    <brk id="324" max="2" man="1"/>
    <brk id="377" max="2" man="1"/>
    <brk id="487" max="2" man="1"/>
    <brk id="593" max="2" man="1"/>
    <brk id="645" max="2" man="1"/>
    <brk id="725" max="2" man="1"/>
    <brk id="780" max="2" man="1"/>
    <brk id="825" max="2" man="1"/>
  </rowBreaks>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CDF4-449E-4072-B4DF-ED3C791127F1}">
  <sheetPr>
    <tabColor rgb="FF66FF33"/>
  </sheetPr>
  <dimension ref="A1:X1103"/>
  <sheetViews>
    <sheetView zoomScaleNormal="100" zoomScaleSheetLayoutView="75" workbookViewId="0">
      <selection activeCell="E21" sqref="E21"/>
    </sheetView>
  </sheetViews>
  <sheetFormatPr baseColWidth="10" defaultColWidth="14.42578125" defaultRowHeight="12.75"/>
  <cols>
    <col min="1" max="1" width="10.7109375" customWidth="1"/>
    <col min="2" max="2" width="50.7109375" customWidth="1"/>
    <col min="3" max="3" width="15.7109375" customWidth="1"/>
    <col min="4" max="4" width="18.42578125" customWidth="1"/>
    <col min="5" max="5" width="15.42578125" customWidth="1"/>
    <col min="6" max="6" width="16.5703125" customWidth="1"/>
    <col min="7" max="8" width="14.7109375" bestFit="1" customWidth="1"/>
    <col min="9" max="9" width="18" customWidth="1"/>
    <col min="10" max="14" width="11.42578125" customWidth="1"/>
    <col min="15" max="24" width="10.7109375" customWidth="1"/>
  </cols>
  <sheetData>
    <row r="1" spans="1:24" ht="18" thickBot="1">
      <c r="A1" s="1555" t="s">
        <v>979</v>
      </c>
      <c r="B1" s="1556"/>
      <c r="C1" s="1557"/>
    </row>
    <row r="2" spans="1:24" ht="12.75" customHeight="1" thickBot="1">
      <c r="A2" s="265"/>
      <c r="B2" s="265"/>
      <c r="C2" s="30"/>
      <c r="D2" s="8"/>
      <c r="E2" s="8"/>
      <c r="F2" s="8"/>
      <c r="G2" s="8"/>
      <c r="H2" s="8"/>
      <c r="I2" s="8"/>
      <c r="J2" s="8"/>
      <c r="K2" s="8"/>
      <c r="L2" s="8"/>
      <c r="M2" s="8"/>
      <c r="N2" s="8"/>
      <c r="O2" s="8"/>
      <c r="P2" s="8"/>
      <c r="Q2" s="8"/>
      <c r="R2" s="8"/>
      <c r="S2" s="8"/>
      <c r="T2" s="8"/>
      <c r="U2" s="8"/>
      <c r="V2" s="8"/>
      <c r="W2" s="8"/>
      <c r="X2" s="8"/>
    </row>
    <row r="3" spans="1:24" ht="13.5" customHeight="1">
      <c r="A3" s="1408" t="s">
        <v>748</v>
      </c>
      <c r="B3" s="1409"/>
      <c r="C3" s="1177" t="s">
        <v>796</v>
      </c>
      <c r="D3" s="13"/>
      <c r="E3" s="13"/>
      <c r="F3" s="13"/>
      <c r="G3" s="13"/>
      <c r="H3" s="13"/>
      <c r="I3" s="13"/>
      <c r="J3" s="13"/>
      <c r="K3" s="13"/>
      <c r="L3" s="13"/>
      <c r="M3" s="13"/>
      <c r="N3" s="13"/>
      <c r="O3" s="13"/>
      <c r="P3" s="13"/>
      <c r="Q3" s="13"/>
      <c r="R3" s="13"/>
      <c r="S3" s="13"/>
      <c r="T3" s="13"/>
      <c r="U3" s="13"/>
      <c r="V3" s="13"/>
      <c r="W3" s="13"/>
      <c r="X3" s="13"/>
    </row>
    <row r="4" spans="1:24" ht="12.75" customHeight="1" thickBot="1">
      <c r="A4" s="1410"/>
      <c r="B4" s="1411"/>
      <c r="C4" s="1178"/>
      <c r="D4" s="13"/>
      <c r="E4" s="13"/>
      <c r="F4" s="13"/>
      <c r="G4" s="13"/>
      <c r="H4" s="13"/>
      <c r="I4" s="13"/>
      <c r="J4" s="13"/>
      <c r="K4" s="13"/>
      <c r="L4" s="13"/>
      <c r="M4" s="13"/>
      <c r="N4" s="13"/>
      <c r="O4" s="13"/>
      <c r="P4" s="13"/>
      <c r="Q4" s="13"/>
      <c r="R4" s="13"/>
      <c r="S4" s="13"/>
      <c r="T4" s="13"/>
      <c r="U4" s="13"/>
      <c r="V4" s="13"/>
      <c r="W4" s="13"/>
      <c r="X4" s="13"/>
    </row>
    <row r="5" spans="1:24" ht="12.75" customHeight="1">
      <c r="A5" s="1097" t="s">
        <v>675</v>
      </c>
      <c r="B5" s="986"/>
      <c r="C5" s="1098"/>
      <c r="D5" s="13"/>
      <c r="E5" s="13"/>
      <c r="F5" s="13"/>
      <c r="G5" s="13"/>
      <c r="H5" s="13"/>
      <c r="I5" s="13"/>
      <c r="J5" s="13"/>
      <c r="K5" s="13"/>
      <c r="L5" s="13"/>
      <c r="M5" s="13"/>
      <c r="N5" s="13"/>
      <c r="O5" s="13"/>
      <c r="P5" s="13"/>
      <c r="Q5" s="13"/>
      <c r="R5" s="13"/>
      <c r="S5" s="13"/>
      <c r="T5" s="13"/>
      <c r="U5" s="13"/>
      <c r="V5" s="13"/>
      <c r="W5" s="13"/>
      <c r="X5" s="13"/>
    </row>
    <row r="6" spans="1:24" ht="12.75" customHeight="1">
      <c r="A6" s="1097" t="s">
        <v>113</v>
      </c>
      <c r="B6" s="986"/>
      <c r="C6" s="1098"/>
      <c r="D6" s="13"/>
      <c r="E6" s="13"/>
      <c r="F6" s="13"/>
      <c r="G6" s="13"/>
      <c r="H6" s="13"/>
      <c r="I6" s="13"/>
      <c r="J6" s="13"/>
      <c r="K6" s="13"/>
      <c r="L6" s="13"/>
      <c r="M6" s="13"/>
      <c r="N6" s="13"/>
      <c r="O6" s="13"/>
      <c r="P6" s="13"/>
      <c r="Q6" s="13"/>
      <c r="R6" s="13"/>
      <c r="S6" s="13"/>
      <c r="T6" s="13"/>
      <c r="U6" s="13"/>
      <c r="V6" s="13"/>
      <c r="W6" s="13"/>
      <c r="X6" s="13"/>
    </row>
    <row r="7" spans="1:24" ht="12.75" customHeight="1">
      <c r="A7" s="1097" t="s">
        <v>745</v>
      </c>
      <c r="B7" s="986"/>
      <c r="C7" s="1098"/>
      <c r="D7" s="14"/>
      <c r="E7" s="987"/>
      <c r="F7" s="987"/>
      <c r="G7" s="986"/>
      <c r="H7" s="986"/>
      <c r="I7" s="986"/>
      <c r="J7" s="986"/>
      <c r="K7" s="986"/>
      <c r="L7" s="986"/>
      <c r="M7" s="986"/>
      <c r="N7" s="986"/>
      <c r="O7" s="986"/>
      <c r="P7" s="986"/>
      <c r="Q7" s="986"/>
      <c r="R7" s="986"/>
      <c r="S7" s="986"/>
      <c r="T7" s="986"/>
      <c r="U7" s="13"/>
      <c r="V7" s="13"/>
      <c r="W7" s="13"/>
      <c r="X7" s="13"/>
    </row>
    <row r="8" spans="1:24" ht="12.75" customHeight="1" thickBot="1">
      <c r="A8" s="1097" t="s">
        <v>0</v>
      </c>
      <c r="B8" s="986"/>
      <c r="C8" s="1098"/>
      <c r="D8" s="13"/>
      <c r="E8" s="987"/>
      <c r="F8" s="986"/>
      <c r="G8" s="986"/>
      <c r="H8" s="986"/>
      <c r="I8" s="986"/>
      <c r="J8" s="986"/>
      <c r="K8" s="986"/>
      <c r="L8" s="986"/>
      <c r="M8" s="986"/>
      <c r="N8" s="986"/>
      <c r="O8" s="986"/>
      <c r="P8" s="986"/>
      <c r="Q8" s="986"/>
      <c r="R8" s="986"/>
      <c r="S8" s="986"/>
      <c r="T8" s="986"/>
      <c r="U8" s="13"/>
      <c r="V8" s="13"/>
      <c r="W8" s="13"/>
      <c r="X8" s="13"/>
    </row>
    <row r="9" spans="1:24" ht="12.75" customHeight="1" thickBot="1">
      <c r="A9" s="1158" t="s">
        <v>1</v>
      </c>
      <c r="B9" s="1159"/>
      <c r="C9" s="1165">
        <f>+C11+C33+C58+C78</f>
        <v>1183223923.7075</v>
      </c>
      <c r="D9" s="14"/>
      <c r="E9" s="986"/>
      <c r="F9" s="986"/>
      <c r="G9" s="986"/>
      <c r="H9" s="986"/>
      <c r="I9" s="986"/>
      <c r="J9" s="986"/>
      <c r="K9" s="986"/>
      <c r="L9" s="986"/>
      <c r="M9" s="986"/>
      <c r="N9" s="986"/>
      <c r="O9" s="986"/>
      <c r="P9" s="986"/>
      <c r="Q9" s="986"/>
      <c r="R9" s="986"/>
      <c r="S9" s="986"/>
      <c r="T9" s="986"/>
      <c r="U9" s="13"/>
      <c r="V9" s="13"/>
      <c r="W9" s="13"/>
      <c r="X9" s="13"/>
    </row>
    <row r="10" spans="1:24" ht="12.75" customHeight="1" thickBot="1">
      <c r="A10" s="15"/>
      <c r="B10" s="15"/>
      <c r="C10" s="1622"/>
      <c r="D10" s="1618"/>
      <c r="E10" s="1618"/>
      <c r="F10" s="1618"/>
      <c r="G10" s="1618"/>
      <c r="H10" s="1618"/>
      <c r="I10" s="1643"/>
      <c r="J10" s="995"/>
      <c r="K10" s="995"/>
      <c r="L10" s="995"/>
      <c r="M10" s="995"/>
      <c r="N10" s="995"/>
      <c r="O10" s="986"/>
      <c r="P10" s="986"/>
      <c r="Q10" s="986"/>
      <c r="R10" s="986"/>
      <c r="S10" s="986"/>
      <c r="T10" s="986"/>
      <c r="U10" s="13"/>
      <c r="V10" s="13"/>
      <c r="W10" s="13"/>
      <c r="X10" s="13"/>
    </row>
    <row r="11" spans="1:24" ht="12.75" customHeight="1" thickBot="1">
      <c r="A11" s="1407" t="s">
        <v>2</v>
      </c>
      <c r="B11" s="1416"/>
      <c r="C11" s="1648">
        <f>C12+C19+C26</f>
        <v>1107418144.3775001</v>
      </c>
      <c r="D11" s="1613"/>
      <c r="E11" s="1613"/>
      <c r="F11" s="1613"/>
      <c r="G11" s="1613"/>
      <c r="H11" s="1613"/>
      <c r="I11" s="1638"/>
      <c r="J11" s="987"/>
      <c r="K11" s="986"/>
      <c r="L11" s="986"/>
      <c r="M11" s="986"/>
      <c r="N11" s="986"/>
      <c r="O11" s="986"/>
      <c r="P11" s="986"/>
      <c r="Q11" s="986"/>
      <c r="R11" s="986"/>
      <c r="S11" s="986"/>
      <c r="T11" s="986"/>
      <c r="U11" s="13"/>
      <c r="V11" s="13"/>
      <c r="W11" s="13"/>
      <c r="X11" s="13"/>
    </row>
    <row r="12" spans="1:24" ht="12.75" customHeight="1">
      <c r="A12" s="48">
        <v>211101</v>
      </c>
      <c r="B12" s="22" t="s">
        <v>667</v>
      </c>
      <c r="C12" s="970">
        <f>SUM(C13:C18)</f>
        <v>461406276.11000001</v>
      </c>
      <c r="D12" s="1615"/>
      <c r="E12" s="1615"/>
      <c r="F12" s="1615"/>
      <c r="G12" s="1615"/>
      <c r="H12" s="1615"/>
      <c r="I12" s="1621"/>
      <c r="J12" s="986"/>
      <c r="K12" s="986"/>
      <c r="L12" s="986"/>
      <c r="M12" s="986"/>
      <c r="N12" s="986"/>
      <c r="O12" s="986"/>
      <c r="P12" s="986"/>
      <c r="Q12" s="986"/>
      <c r="R12" s="986"/>
      <c r="S12" s="986"/>
      <c r="T12" s="986"/>
      <c r="U12" s="13"/>
      <c r="V12" s="13"/>
      <c r="W12" s="13"/>
      <c r="X12" s="13"/>
    </row>
    <row r="13" spans="1:24" ht="12.75" customHeight="1">
      <c r="A13" s="33">
        <v>21110101</v>
      </c>
      <c r="B13" s="24" t="s">
        <v>810</v>
      </c>
      <c r="C13" s="809">
        <f>320552406.08+800128.44+35251469.02</f>
        <v>356604003.53999996</v>
      </c>
      <c r="D13" s="1615"/>
      <c r="E13" s="1615"/>
      <c r="F13" s="1615"/>
      <c r="G13" s="1615"/>
      <c r="H13" s="1615"/>
      <c r="I13" s="1620"/>
      <c r="J13" s="994"/>
      <c r="K13" s="994"/>
      <c r="L13" s="994"/>
      <c r="M13" s="994"/>
      <c r="N13" s="994"/>
      <c r="O13" s="994"/>
      <c r="P13" s="994"/>
      <c r="Q13" s="994"/>
      <c r="R13" s="994"/>
      <c r="S13" s="994"/>
      <c r="T13" s="994"/>
      <c r="U13" s="27"/>
      <c r="V13" s="27"/>
      <c r="W13" s="27"/>
      <c r="X13" s="27"/>
    </row>
    <row r="14" spans="1:24" ht="12.75" customHeight="1">
      <c r="A14" s="33">
        <v>21110102</v>
      </c>
      <c r="B14" s="24" t="s">
        <v>811</v>
      </c>
      <c r="C14" s="809">
        <f>54795698.5725+10234297.46</f>
        <v>65029996.032499999</v>
      </c>
      <c r="D14" s="1615"/>
      <c r="E14" s="1615"/>
      <c r="F14" s="1617"/>
      <c r="G14" s="1615"/>
      <c r="H14" s="1615"/>
      <c r="I14" s="1620"/>
      <c r="J14" s="994"/>
      <c r="K14" s="994"/>
      <c r="L14" s="994"/>
      <c r="M14" s="994"/>
      <c r="N14" s="994"/>
      <c r="O14" s="994"/>
      <c r="P14" s="994"/>
      <c r="Q14" s="994"/>
      <c r="R14" s="994"/>
      <c r="S14" s="994"/>
      <c r="T14" s="994"/>
      <c r="U14" s="27"/>
      <c r="V14" s="27"/>
      <c r="W14" s="27"/>
      <c r="X14" s="27"/>
    </row>
    <row r="15" spans="1:24" ht="12.75" customHeight="1">
      <c r="A15" s="33">
        <v>21110103</v>
      </c>
      <c r="B15" s="24" t="s">
        <v>812</v>
      </c>
      <c r="C15" s="809">
        <v>10162033.5375</v>
      </c>
      <c r="D15" s="1619"/>
      <c r="E15" s="1619"/>
      <c r="F15" s="1638"/>
      <c r="G15" s="1621"/>
      <c r="H15" s="1621"/>
      <c r="I15" s="1620"/>
      <c r="J15" s="994"/>
      <c r="K15" s="994"/>
      <c r="L15" s="994"/>
      <c r="M15" s="994"/>
      <c r="N15" s="994"/>
      <c r="O15" s="994"/>
      <c r="P15" s="994"/>
      <c r="Q15" s="994"/>
      <c r="R15" s="994"/>
      <c r="S15" s="994"/>
      <c r="T15" s="994"/>
      <c r="U15" s="27"/>
      <c r="V15" s="27"/>
      <c r="W15" s="27"/>
      <c r="X15" s="27"/>
    </row>
    <row r="16" spans="1:24" ht="12.75" customHeight="1">
      <c r="A16" s="33">
        <v>21110104</v>
      </c>
      <c r="B16" s="24" t="s">
        <v>813</v>
      </c>
      <c r="C16" s="809">
        <v>1</v>
      </c>
      <c r="D16" s="1647"/>
      <c r="E16" s="1620"/>
      <c r="F16" s="1620"/>
      <c r="G16" s="1620"/>
      <c r="H16" s="1620"/>
      <c r="I16" s="1620"/>
      <c r="J16" s="994"/>
      <c r="K16" s="994"/>
      <c r="L16" s="994"/>
      <c r="M16" s="994"/>
      <c r="N16" s="994"/>
      <c r="O16" s="994"/>
      <c r="P16" s="994"/>
      <c r="Q16" s="994"/>
      <c r="R16" s="994"/>
      <c r="S16" s="994"/>
      <c r="T16" s="994"/>
      <c r="U16" s="27"/>
      <c r="V16" s="27"/>
      <c r="W16" s="27"/>
      <c r="X16" s="27"/>
    </row>
    <row r="17" spans="1:24" ht="12.75" customHeight="1">
      <c r="A17" s="33">
        <v>21110105</v>
      </c>
      <c r="B17" s="24" t="s">
        <v>814</v>
      </c>
      <c r="C17" s="24">
        <v>5410242</v>
      </c>
      <c r="D17" s="10"/>
      <c r="E17" s="27"/>
      <c r="F17" s="27"/>
      <c r="G17" s="27"/>
      <c r="H17" s="27"/>
      <c r="I17" s="27"/>
      <c r="J17" s="27"/>
      <c r="K17" s="27"/>
      <c r="L17" s="27"/>
      <c r="M17" s="27"/>
      <c r="N17" s="27"/>
      <c r="O17" s="27"/>
      <c r="P17" s="27"/>
      <c r="Q17" s="27"/>
      <c r="R17" s="27"/>
      <c r="S17" s="27"/>
      <c r="T17" s="27"/>
      <c r="U17" s="27"/>
      <c r="V17" s="27"/>
      <c r="W17" s="27"/>
      <c r="X17" s="27"/>
    </row>
    <row r="18" spans="1:24" ht="12.75" customHeight="1">
      <c r="A18" s="33">
        <v>21110106</v>
      </c>
      <c r="B18" s="24" t="s">
        <v>815</v>
      </c>
      <c r="C18" s="24">
        <f>7700000+3800000+3500000+2200000+1600000+900000+1500000+3000000</f>
        <v>24200000</v>
      </c>
      <c r="D18" s="30"/>
      <c r="E18" s="27"/>
      <c r="F18" s="27"/>
      <c r="G18" s="27"/>
      <c r="H18" s="27"/>
      <c r="I18" s="27"/>
      <c r="J18" s="27"/>
      <c r="K18" s="27"/>
      <c r="L18" s="27"/>
      <c r="M18" s="27"/>
      <c r="N18" s="27"/>
      <c r="O18" s="27"/>
      <c r="P18" s="27"/>
      <c r="Q18" s="27"/>
      <c r="R18" s="27"/>
      <c r="S18" s="27"/>
      <c r="T18" s="27"/>
      <c r="U18" s="27"/>
      <c r="V18" s="27"/>
      <c r="W18" s="27"/>
      <c r="X18" s="27"/>
    </row>
    <row r="19" spans="1:24" ht="12.75" customHeight="1">
      <c r="A19" s="48">
        <v>211102</v>
      </c>
      <c r="B19" s="26" t="s">
        <v>668</v>
      </c>
      <c r="C19" s="26">
        <f>SUM(C20:C25)</f>
        <v>188267713.86500001</v>
      </c>
      <c r="D19" s="30"/>
      <c r="E19" s="13"/>
      <c r="F19" s="13"/>
      <c r="G19" s="13"/>
      <c r="H19" s="13"/>
      <c r="I19" s="13"/>
      <c r="J19" s="13"/>
      <c r="K19" s="13"/>
      <c r="L19" s="13"/>
      <c r="M19" s="13"/>
      <c r="N19" s="13"/>
      <c r="O19" s="13"/>
      <c r="P19" s="13"/>
      <c r="Q19" s="13"/>
      <c r="R19" s="13"/>
      <c r="S19" s="13"/>
      <c r="T19" s="13"/>
      <c r="U19" s="13"/>
      <c r="V19" s="13"/>
      <c r="W19" s="13"/>
      <c r="X19" s="13"/>
    </row>
    <row r="20" spans="1:24" ht="12.75" customHeight="1">
      <c r="A20" s="33">
        <v>21110201</v>
      </c>
      <c r="B20" s="24" t="s">
        <v>816</v>
      </c>
      <c r="C20" s="24">
        <f>118753603.5075+35251469.02</f>
        <v>154005072.5275</v>
      </c>
      <c r="D20" s="10"/>
      <c r="E20" s="13"/>
      <c r="F20" s="13"/>
      <c r="G20" s="13"/>
      <c r="H20" s="13"/>
      <c r="I20" s="13"/>
      <c r="J20" s="13"/>
      <c r="K20" s="13"/>
      <c r="L20" s="13"/>
      <c r="M20" s="13"/>
      <c r="N20" s="13"/>
      <c r="O20" s="13"/>
      <c r="P20" s="13"/>
      <c r="Q20" s="13"/>
      <c r="R20" s="13"/>
      <c r="S20" s="13"/>
      <c r="T20" s="13"/>
      <c r="U20" s="13"/>
      <c r="V20" s="13"/>
      <c r="W20" s="13"/>
      <c r="X20" s="13"/>
    </row>
    <row r="21" spans="1:24" ht="12.75" customHeight="1">
      <c r="A21" s="33">
        <v>21110202</v>
      </c>
      <c r="B21" s="24" t="s">
        <v>817</v>
      </c>
      <c r="C21" s="24">
        <f>20262389.2275+10234297.46</f>
        <v>30496686.6875</v>
      </c>
      <c r="D21" s="10"/>
      <c r="E21" s="27"/>
      <c r="F21" s="27"/>
      <c r="G21" s="27"/>
      <c r="H21" s="27"/>
      <c r="I21" s="27"/>
      <c r="J21" s="27"/>
      <c r="K21" s="27"/>
      <c r="L21" s="27"/>
      <c r="M21" s="27"/>
      <c r="N21" s="27"/>
      <c r="O21" s="27"/>
      <c r="P21" s="27"/>
      <c r="Q21" s="27"/>
      <c r="R21" s="27"/>
      <c r="S21" s="27"/>
      <c r="T21" s="27"/>
      <c r="U21" s="27"/>
      <c r="V21" s="27"/>
      <c r="W21" s="27"/>
      <c r="X21" s="27"/>
    </row>
    <row r="22" spans="1:24" ht="12.75" customHeight="1">
      <c r="A22" s="33">
        <v>21110203</v>
      </c>
      <c r="B22" s="24" t="s">
        <v>818</v>
      </c>
      <c r="C22" s="24">
        <v>3247192.6500000004</v>
      </c>
      <c r="D22" s="10"/>
      <c r="E22" s="27"/>
      <c r="F22" s="27"/>
      <c r="G22" s="27"/>
      <c r="H22" s="27"/>
      <c r="I22" s="27"/>
      <c r="J22" s="27"/>
      <c r="K22" s="27"/>
      <c r="L22" s="27"/>
      <c r="M22" s="27"/>
      <c r="N22" s="27"/>
      <c r="O22" s="27"/>
      <c r="P22" s="27"/>
      <c r="Q22" s="27"/>
      <c r="R22" s="27"/>
      <c r="S22" s="27"/>
      <c r="T22" s="27"/>
      <c r="U22" s="27"/>
      <c r="V22" s="27"/>
      <c r="W22" s="27"/>
      <c r="X22" s="27"/>
    </row>
    <row r="23" spans="1:24" ht="12.75" customHeight="1">
      <c r="A23" s="33">
        <v>21110204</v>
      </c>
      <c r="B23" s="24" t="s">
        <v>819</v>
      </c>
      <c r="C23" s="24">
        <v>1</v>
      </c>
      <c r="D23" s="30"/>
      <c r="E23" s="27"/>
      <c r="F23" s="27"/>
      <c r="G23" s="27"/>
      <c r="H23" s="27"/>
      <c r="I23" s="27"/>
      <c r="J23" s="27"/>
      <c r="K23" s="27"/>
      <c r="L23" s="27"/>
      <c r="M23" s="27"/>
      <c r="N23" s="27"/>
      <c r="O23" s="27"/>
      <c r="P23" s="27"/>
      <c r="Q23" s="27"/>
      <c r="R23" s="27"/>
      <c r="S23" s="27"/>
      <c r="T23" s="27"/>
      <c r="U23" s="27"/>
      <c r="V23" s="27"/>
      <c r="W23" s="27"/>
      <c r="X23" s="27"/>
    </row>
    <row r="24" spans="1:24" ht="12.75" customHeight="1">
      <c r="A24" s="33">
        <v>21110205</v>
      </c>
      <c r="B24" s="24" t="s">
        <v>820</v>
      </c>
      <c r="C24" s="24">
        <v>518760</v>
      </c>
      <c r="D24" s="30"/>
      <c r="E24" s="27"/>
      <c r="F24" s="27"/>
      <c r="G24" s="27"/>
      <c r="H24" s="27"/>
      <c r="I24" s="27"/>
      <c r="J24" s="27"/>
      <c r="K24" s="27"/>
      <c r="L24" s="27"/>
      <c r="M24" s="27"/>
      <c r="N24" s="27"/>
      <c r="O24" s="27"/>
      <c r="P24" s="27"/>
      <c r="Q24" s="27"/>
      <c r="R24" s="27"/>
      <c r="S24" s="27"/>
      <c r="T24" s="27"/>
      <c r="U24" s="27"/>
      <c r="V24" s="27"/>
      <c r="W24" s="27"/>
      <c r="X24" s="27"/>
    </row>
    <row r="25" spans="1:24" ht="12.75" customHeight="1">
      <c r="A25" s="33">
        <v>21110206</v>
      </c>
      <c r="B25" s="24" t="s">
        <v>821</v>
      </c>
      <c r="C25" s="24">
        <v>1</v>
      </c>
      <c r="D25" s="10"/>
      <c r="E25" s="13"/>
      <c r="F25" s="13"/>
      <c r="G25" s="13"/>
      <c r="H25" s="13"/>
      <c r="I25" s="13"/>
      <c r="J25" s="13"/>
      <c r="K25" s="13"/>
      <c r="L25" s="13"/>
      <c r="M25" s="13"/>
      <c r="N25" s="13"/>
      <c r="O25" s="13"/>
      <c r="P25" s="13"/>
      <c r="Q25" s="13"/>
      <c r="R25" s="13"/>
      <c r="S25" s="13"/>
      <c r="T25" s="13"/>
      <c r="U25" s="13"/>
      <c r="V25" s="13"/>
      <c r="W25" s="13"/>
      <c r="X25" s="13"/>
    </row>
    <row r="26" spans="1:24" ht="12.75" customHeight="1">
      <c r="A26" s="48">
        <v>211103</v>
      </c>
      <c r="B26" s="26" t="s">
        <v>669</v>
      </c>
      <c r="C26" s="26">
        <f>SUM(C27:C32)</f>
        <v>457744154.40249997</v>
      </c>
      <c r="D26" s="10"/>
      <c r="E26" s="13"/>
      <c r="F26" s="13"/>
      <c r="G26" s="13"/>
      <c r="H26" s="13"/>
      <c r="I26" s="13"/>
      <c r="J26" s="13"/>
      <c r="K26" s="13"/>
      <c r="L26" s="13"/>
      <c r="M26" s="13"/>
      <c r="N26" s="13"/>
      <c r="O26" s="13"/>
      <c r="P26" s="13"/>
      <c r="Q26" s="13"/>
      <c r="R26" s="13"/>
      <c r="S26" s="13"/>
      <c r="T26" s="13"/>
      <c r="U26" s="13"/>
      <c r="V26" s="13"/>
      <c r="W26" s="13"/>
      <c r="X26" s="13"/>
    </row>
    <row r="27" spans="1:24" ht="12.75" customHeight="1">
      <c r="A27" s="33">
        <v>21110301</v>
      </c>
      <c r="B27" s="24" t="s">
        <v>822</v>
      </c>
      <c r="C27" s="24">
        <f>340482259.5825+35251469.02</f>
        <v>375733728.60249996</v>
      </c>
      <c r="D27" s="10"/>
      <c r="E27" s="27"/>
      <c r="F27" s="27"/>
      <c r="G27" s="27"/>
      <c r="H27" s="27"/>
      <c r="I27" s="27"/>
      <c r="J27" s="27"/>
      <c r="K27" s="27"/>
      <c r="L27" s="27"/>
      <c r="M27" s="27"/>
      <c r="N27" s="27"/>
      <c r="O27" s="27"/>
      <c r="P27" s="27"/>
      <c r="Q27" s="27"/>
      <c r="R27" s="27"/>
      <c r="S27" s="27"/>
      <c r="T27" s="27"/>
      <c r="U27" s="27"/>
      <c r="V27" s="27"/>
      <c r="W27" s="27"/>
      <c r="X27" s="27"/>
    </row>
    <row r="28" spans="1:24" ht="12.75" customHeight="1">
      <c r="A28" s="33">
        <v>21110302</v>
      </c>
      <c r="B28" s="24" t="s">
        <v>823</v>
      </c>
      <c r="C28" s="24">
        <f>56135045.8475+10234297.46</f>
        <v>66369343.307499997</v>
      </c>
      <c r="D28" s="10"/>
      <c r="E28" s="27"/>
      <c r="F28" s="27"/>
      <c r="G28" s="27"/>
      <c r="H28" s="27"/>
      <c r="I28" s="27"/>
      <c r="J28" s="27"/>
      <c r="K28" s="27"/>
      <c r="L28" s="27"/>
      <c r="M28" s="27"/>
      <c r="N28" s="27"/>
      <c r="O28" s="27"/>
      <c r="P28" s="27"/>
      <c r="Q28" s="27"/>
      <c r="R28" s="27"/>
      <c r="S28" s="27"/>
      <c r="T28" s="27"/>
      <c r="U28" s="27"/>
      <c r="V28" s="27"/>
      <c r="W28" s="27"/>
      <c r="X28" s="27"/>
    </row>
    <row r="29" spans="1:24" ht="12.75" customHeight="1">
      <c r="A29" s="33">
        <v>21110303</v>
      </c>
      <c r="B29" s="24" t="s">
        <v>824</v>
      </c>
      <c r="C29" s="24">
        <v>11624488.4925</v>
      </c>
      <c r="D29" s="10"/>
      <c r="E29" s="27"/>
      <c r="F29" s="27"/>
      <c r="G29" s="27"/>
      <c r="H29" s="27"/>
      <c r="I29" s="27"/>
      <c r="J29" s="27"/>
      <c r="K29" s="27"/>
      <c r="L29" s="27"/>
      <c r="M29" s="27"/>
      <c r="N29" s="27"/>
      <c r="O29" s="27"/>
      <c r="P29" s="27"/>
      <c r="Q29" s="27"/>
      <c r="R29" s="27"/>
      <c r="S29" s="27"/>
      <c r="T29" s="27"/>
      <c r="U29" s="27"/>
      <c r="V29" s="27"/>
      <c r="W29" s="27"/>
      <c r="X29" s="27"/>
    </row>
    <row r="30" spans="1:24" ht="12.75" customHeight="1">
      <c r="A30" s="33">
        <v>21110304</v>
      </c>
      <c r="B30" s="24" t="s">
        <v>825</v>
      </c>
      <c r="C30" s="24">
        <v>1</v>
      </c>
      <c r="D30" s="10"/>
      <c r="E30" s="27"/>
      <c r="F30" s="27"/>
      <c r="G30" s="27"/>
      <c r="H30" s="27"/>
      <c r="I30" s="27"/>
      <c r="J30" s="27"/>
      <c r="K30" s="27"/>
      <c r="L30" s="27"/>
      <c r="M30" s="27"/>
      <c r="N30" s="27"/>
      <c r="O30" s="27"/>
      <c r="P30" s="27"/>
      <c r="Q30" s="27"/>
      <c r="R30" s="27"/>
      <c r="S30" s="27"/>
      <c r="T30" s="27"/>
      <c r="U30" s="27"/>
      <c r="V30" s="27"/>
      <c r="W30" s="27"/>
      <c r="X30" s="27"/>
    </row>
    <row r="31" spans="1:24" ht="12.75" customHeight="1">
      <c r="A31" s="33">
        <v>21110305</v>
      </c>
      <c r="B31" s="24" t="s">
        <v>826</v>
      </c>
      <c r="C31" s="24">
        <v>4016592</v>
      </c>
      <c r="D31" s="80"/>
      <c r="E31" s="80"/>
      <c r="F31" s="8"/>
      <c r="G31" s="8"/>
      <c r="H31" s="8"/>
      <c r="I31" s="8"/>
      <c r="J31" s="8"/>
      <c r="K31" s="8"/>
      <c r="L31" s="8"/>
      <c r="M31" s="8"/>
      <c r="N31" s="8"/>
      <c r="O31" s="8"/>
      <c r="P31" s="8"/>
      <c r="Q31" s="8"/>
      <c r="R31" s="8"/>
      <c r="S31" s="8"/>
      <c r="T31" s="8"/>
      <c r="U31" s="8"/>
      <c r="V31" s="8"/>
      <c r="W31" s="8"/>
      <c r="X31" s="8"/>
    </row>
    <row r="32" spans="1:24" ht="12.75" customHeight="1" thickBot="1">
      <c r="A32" s="33">
        <v>21110306</v>
      </c>
      <c r="B32" s="24" t="s">
        <v>670</v>
      </c>
      <c r="C32" s="24">
        <v>1</v>
      </c>
      <c r="D32" s="80"/>
      <c r="E32" s="80"/>
      <c r="F32" s="8"/>
      <c r="G32" s="8"/>
      <c r="H32" s="8"/>
      <c r="I32" s="8"/>
      <c r="J32" s="8"/>
      <c r="K32" s="8"/>
      <c r="L32" s="8"/>
      <c r="M32" s="8"/>
      <c r="N32" s="8"/>
      <c r="O32" s="8"/>
      <c r="P32" s="8"/>
      <c r="Q32" s="8"/>
      <c r="R32" s="8"/>
      <c r="S32" s="8"/>
      <c r="T32" s="8"/>
      <c r="U32" s="8"/>
      <c r="V32" s="8"/>
      <c r="W32" s="8"/>
      <c r="X32" s="8"/>
    </row>
    <row r="33" spans="1:24" ht="12.75" customHeight="1" thickBot="1">
      <c r="A33" s="1280" t="s">
        <v>9</v>
      </c>
      <c r="B33" s="1413"/>
      <c r="C33" s="31">
        <f>C34+C36+C39+C41+C43+C49+C52</f>
        <v>7891780.2999999998</v>
      </c>
      <c r="D33" s="80"/>
      <c r="E33" s="80"/>
      <c r="F33" s="8"/>
      <c r="G33" s="8"/>
      <c r="H33" s="8"/>
      <c r="I33" s="8"/>
      <c r="J33" s="8"/>
      <c r="K33" s="8"/>
      <c r="L33" s="8"/>
      <c r="M33" s="8"/>
      <c r="N33" s="8"/>
      <c r="O33" s="8"/>
      <c r="P33" s="8"/>
      <c r="Q33" s="8"/>
      <c r="R33" s="8"/>
      <c r="S33" s="8"/>
      <c r="T33" s="8"/>
      <c r="U33" s="8"/>
      <c r="V33" s="8"/>
      <c r="W33" s="8"/>
      <c r="X33" s="8"/>
    </row>
    <row r="34" spans="1:24" ht="12.75" customHeight="1">
      <c r="A34" s="1061">
        <v>211201</v>
      </c>
      <c r="B34" s="706" t="s">
        <v>459</v>
      </c>
      <c r="C34" s="707">
        <f>SUM(C35)</f>
        <v>2166500</v>
      </c>
      <c r="D34" s="80"/>
      <c r="E34" s="80"/>
      <c r="F34" s="8"/>
      <c r="G34" s="8"/>
      <c r="H34" s="8"/>
      <c r="I34" s="8"/>
      <c r="J34" s="8"/>
      <c r="K34" s="8"/>
      <c r="L34" s="8"/>
      <c r="M34" s="8"/>
      <c r="N34" s="8"/>
      <c r="O34" s="8"/>
      <c r="P34" s="8"/>
      <c r="Q34" s="8"/>
      <c r="R34" s="8"/>
      <c r="S34" s="8"/>
      <c r="T34" s="8"/>
      <c r="U34" s="8"/>
      <c r="V34" s="8"/>
      <c r="W34" s="8"/>
      <c r="X34" s="8"/>
    </row>
    <row r="35" spans="1:24" ht="13.5" customHeight="1">
      <c r="A35" s="1049">
        <v>21120101</v>
      </c>
      <c r="B35" s="671" t="s">
        <v>460</v>
      </c>
      <c r="C35" s="51">
        <f>166500+10000000-2000000-6000000</f>
        <v>2166500</v>
      </c>
      <c r="D35" s="32"/>
      <c r="E35" s="80"/>
      <c r="F35" s="13"/>
      <c r="G35" s="13"/>
      <c r="H35" s="13"/>
      <c r="I35" s="13"/>
      <c r="J35" s="13"/>
      <c r="K35" s="13"/>
      <c r="L35" s="13"/>
      <c r="M35" s="13"/>
      <c r="N35" s="13"/>
      <c r="O35" s="13"/>
      <c r="P35" s="13"/>
      <c r="Q35" s="13"/>
      <c r="R35" s="13"/>
      <c r="S35" s="13"/>
      <c r="T35" s="13"/>
      <c r="U35" s="13"/>
      <c r="V35" s="13"/>
      <c r="W35" s="13"/>
      <c r="X35" s="13"/>
    </row>
    <row r="36" spans="1:24" ht="12.75" customHeight="1">
      <c r="A36" s="1061">
        <v>211203</v>
      </c>
      <c r="B36" s="708" t="s">
        <v>461</v>
      </c>
      <c r="C36" s="709">
        <f>+SUM(C37:C38)</f>
        <v>1791000</v>
      </c>
      <c r="D36" s="80"/>
      <c r="E36" s="80"/>
      <c r="F36" s="8"/>
      <c r="G36" s="8"/>
      <c r="H36" s="8"/>
      <c r="I36" s="8"/>
      <c r="J36" s="8"/>
      <c r="K36" s="8"/>
      <c r="L36" s="8"/>
      <c r="M36" s="8"/>
      <c r="N36" s="8"/>
      <c r="O36" s="8"/>
      <c r="P36" s="8"/>
      <c r="Q36" s="8"/>
      <c r="R36" s="8"/>
      <c r="S36" s="8"/>
      <c r="T36" s="8"/>
      <c r="U36" s="8"/>
      <c r="V36" s="8"/>
      <c r="W36" s="8"/>
      <c r="X36" s="8"/>
    </row>
    <row r="37" spans="1:24" ht="12.75" customHeight="1">
      <c r="A37" s="1049">
        <v>21120301</v>
      </c>
      <c r="B37" s="671" t="s">
        <v>527</v>
      </c>
      <c r="C37" s="51">
        <v>291000</v>
      </c>
      <c r="D37" s="80"/>
      <c r="E37" s="80"/>
      <c r="F37" s="8"/>
      <c r="G37" s="8"/>
      <c r="H37" s="8"/>
      <c r="I37" s="8"/>
      <c r="J37" s="8"/>
      <c r="K37" s="8"/>
      <c r="L37" s="8"/>
      <c r="M37" s="8"/>
      <c r="N37" s="8"/>
      <c r="O37" s="8"/>
      <c r="P37" s="8"/>
      <c r="Q37" s="8"/>
      <c r="R37" s="8"/>
      <c r="S37" s="8"/>
      <c r="T37" s="8"/>
      <c r="U37" s="8"/>
      <c r="V37" s="8"/>
      <c r="W37" s="8"/>
      <c r="X37" s="8"/>
    </row>
    <row r="38" spans="1:24" ht="12.75" customHeight="1">
      <c r="A38" s="1049">
        <v>21120302</v>
      </c>
      <c r="B38" s="671" t="s">
        <v>462</v>
      </c>
      <c r="C38" s="51">
        <v>1500000</v>
      </c>
      <c r="D38" s="80"/>
      <c r="E38" s="80"/>
      <c r="F38" s="8"/>
      <c r="G38" s="8"/>
      <c r="H38" s="8"/>
      <c r="I38" s="8"/>
      <c r="J38" s="8"/>
      <c r="K38" s="8"/>
      <c r="L38" s="8"/>
      <c r="M38" s="8"/>
      <c r="N38" s="8"/>
      <c r="O38" s="8"/>
      <c r="P38" s="8"/>
      <c r="Q38" s="8"/>
      <c r="R38" s="8"/>
      <c r="S38" s="8"/>
      <c r="T38" s="8"/>
      <c r="U38" s="8"/>
      <c r="V38" s="8"/>
      <c r="W38" s="8"/>
      <c r="X38" s="8"/>
    </row>
    <row r="39" spans="1:24" ht="12.75" customHeight="1">
      <c r="A39" s="1061">
        <v>211204</v>
      </c>
      <c r="B39" s="708" t="s">
        <v>463</v>
      </c>
      <c r="C39" s="709">
        <f>C40</f>
        <v>69500</v>
      </c>
      <c r="D39" s="80"/>
      <c r="E39" s="80"/>
      <c r="F39" s="8"/>
      <c r="G39" s="8"/>
      <c r="H39" s="8"/>
      <c r="I39" s="8"/>
      <c r="J39" s="8"/>
      <c r="K39" s="8"/>
      <c r="L39" s="8"/>
      <c r="M39" s="8"/>
      <c r="N39" s="8"/>
      <c r="O39" s="8"/>
      <c r="P39" s="8"/>
      <c r="Q39" s="8"/>
      <c r="R39" s="8"/>
      <c r="S39" s="8"/>
      <c r="T39" s="8"/>
      <c r="U39" s="8"/>
      <c r="V39" s="8"/>
      <c r="W39" s="8"/>
      <c r="X39" s="8"/>
    </row>
    <row r="40" spans="1:24" ht="12.75" customHeight="1">
      <c r="A40" s="1049">
        <v>21120401</v>
      </c>
      <c r="B40" s="51" t="s">
        <v>464</v>
      </c>
      <c r="C40" s="51">
        <v>69500</v>
      </c>
      <c r="D40" s="80"/>
      <c r="E40" s="80"/>
      <c r="F40" s="8"/>
      <c r="G40" s="8"/>
      <c r="H40" s="8"/>
      <c r="I40" s="8"/>
      <c r="J40" s="8"/>
      <c r="K40" s="8"/>
      <c r="L40" s="8"/>
      <c r="M40" s="8"/>
      <c r="N40" s="8"/>
      <c r="O40" s="8"/>
      <c r="P40" s="8"/>
      <c r="Q40" s="8"/>
      <c r="R40" s="8"/>
      <c r="S40" s="8"/>
      <c r="T40" s="8"/>
      <c r="U40" s="8"/>
      <c r="V40" s="8"/>
      <c r="W40" s="8"/>
      <c r="X40" s="8"/>
    </row>
    <row r="41" spans="1:24" ht="12.75" customHeight="1">
      <c r="A41" s="1061">
        <v>211205</v>
      </c>
      <c r="B41" s="708" t="s">
        <v>465</v>
      </c>
      <c r="C41" s="709">
        <f>C42</f>
        <v>2321280.2999999998</v>
      </c>
      <c r="D41" s="80"/>
      <c r="E41" s="80"/>
      <c r="F41" s="8"/>
      <c r="G41" s="8"/>
      <c r="H41" s="8"/>
      <c r="I41" s="8"/>
      <c r="J41" s="8"/>
      <c r="K41" s="8"/>
      <c r="L41" s="8"/>
      <c r="M41" s="8"/>
      <c r="N41" s="8"/>
      <c r="O41" s="8"/>
      <c r="P41" s="8"/>
      <c r="Q41" s="8"/>
      <c r="R41" s="8"/>
      <c r="S41" s="8"/>
      <c r="T41" s="8"/>
      <c r="U41" s="8"/>
      <c r="V41" s="8"/>
      <c r="W41" s="8"/>
      <c r="X41" s="8"/>
    </row>
    <row r="42" spans="1:24" ht="12.75" customHeight="1">
      <c r="A42" s="1049">
        <v>21120501</v>
      </c>
      <c r="B42" s="671" t="s">
        <v>466</v>
      </c>
      <c r="C42" s="43">
        <f>46000+4275280.3-2000000</f>
        <v>2321280.2999999998</v>
      </c>
      <c r="D42" s="80"/>
      <c r="E42" s="80"/>
      <c r="F42" s="8"/>
      <c r="G42" s="8"/>
      <c r="H42" s="8"/>
      <c r="I42" s="8"/>
      <c r="J42" s="8"/>
      <c r="K42" s="8"/>
      <c r="L42" s="8"/>
      <c r="M42" s="8"/>
      <c r="N42" s="8"/>
      <c r="O42" s="8"/>
      <c r="P42" s="8"/>
      <c r="Q42" s="8"/>
      <c r="R42" s="8"/>
      <c r="S42" s="8"/>
      <c r="T42" s="8"/>
      <c r="U42" s="8"/>
      <c r="V42" s="8"/>
      <c r="W42" s="8"/>
      <c r="X42" s="8"/>
    </row>
    <row r="43" spans="1:24" ht="12.75" customHeight="1">
      <c r="A43" s="1061">
        <v>211207</v>
      </c>
      <c r="B43" s="828" t="s">
        <v>467</v>
      </c>
      <c r="C43" s="707">
        <f>+SUM(C44:C48)</f>
        <v>309000</v>
      </c>
      <c r="D43" s="8"/>
      <c r="E43" s="80"/>
      <c r="F43" s="8"/>
      <c r="G43" s="8"/>
      <c r="H43" s="8"/>
      <c r="I43" s="8"/>
      <c r="J43" s="8"/>
      <c r="K43" s="8"/>
      <c r="L43" s="8"/>
      <c r="M43" s="8"/>
      <c r="N43" s="8"/>
      <c r="O43" s="8"/>
      <c r="P43" s="8"/>
      <c r="Q43" s="8"/>
      <c r="R43" s="8"/>
      <c r="S43" s="8"/>
      <c r="T43" s="8"/>
      <c r="U43" s="8"/>
      <c r="V43" s="8"/>
      <c r="W43" s="8"/>
      <c r="X43" s="8"/>
    </row>
    <row r="44" spans="1:24" ht="12.75" customHeight="1">
      <c r="A44" s="1049">
        <v>21120702</v>
      </c>
      <c r="B44" s="51" t="s">
        <v>468</v>
      </c>
      <c r="C44" s="43">
        <v>160000</v>
      </c>
      <c r="D44" s="8"/>
      <c r="E44" s="80"/>
      <c r="F44" s="8"/>
      <c r="G44" s="8"/>
      <c r="H44" s="8"/>
      <c r="I44" s="8"/>
      <c r="J44" s="8"/>
      <c r="K44" s="8"/>
      <c r="L44" s="8"/>
      <c r="M44" s="8"/>
      <c r="N44" s="8"/>
      <c r="O44" s="8"/>
      <c r="P44" s="8"/>
      <c r="Q44" s="8"/>
      <c r="R44" s="8"/>
      <c r="S44" s="8"/>
      <c r="T44" s="8"/>
      <c r="U44" s="8"/>
      <c r="V44" s="8"/>
      <c r="W44" s="8"/>
      <c r="X44" s="8"/>
    </row>
    <row r="45" spans="1:24" ht="12.75" customHeight="1">
      <c r="A45" s="1049">
        <v>21120708</v>
      </c>
      <c r="B45" s="51" t="s">
        <v>470</v>
      </c>
      <c r="C45" s="51">
        <v>25000</v>
      </c>
      <c r="D45" s="8"/>
      <c r="E45" s="80"/>
      <c r="F45" s="8"/>
      <c r="G45" s="8"/>
      <c r="H45" s="8"/>
      <c r="I45" s="8"/>
      <c r="J45" s="8"/>
      <c r="K45" s="8"/>
      <c r="L45" s="8"/>
      <c r="M45" s="8"/>
      <c r="N45" s="8"/>
      <c r="O45" s="8"/>
      <c r="P45" s="8"/>
      <c r="Q45" s="8"/>
      <c r="R45" s="8"/>
      <c r="S45" s="8"/>
      <c r="T45" s="8"/>
      <c r="U45" s="8"/>
      <c r="V45" s="8"/>
      <c r="W45" s="8"/>
      <c r="X45" s="8"/>
    </row>
    <row r="46" spans="1:24" ht="12.75" customHeight="1">
      <c r="A46" s="1049">
        <v>21120709</v>
      </c>
      <c r="B46" s="51" t="s">
        <v>471</v>
      </c>
      <c r="C46" s="51">
        <v>20000</v>
      </c>
      <c r="D46" s="8"/>
      <c r="E46" s="80"/>
      <c r="F46" s="8"/>
      <c r="G46" s="8"/>
      <c r="H46" s="8"/>
      <c r="I46" s="8"/>
      <c r="J46" s="8"/>
      <c r="K46" s="8"/>
      <c r="L46" s="8"/>
      <c r="M46" s="8"/>
      <c r="N46" s="8"/>
      <c r="O46" s="8"/>
      <c r="P46" s="8"/>
      <c r="Q46" s="8"/>
      <c r="R46" s="8"/>
      <c r="S46" s="8"/>
      <c r="T46" s="8"/>
      <c r="U46" s="8"/>
      <c r="V46" s="8"/>
      <c r="W46" s="8"/>
      <c r="X46" s="8"/>
    </row>
    <row r="47" spans="1:24" ht="12.75" customHeight="1">
      <c r="A47" s="1049">
        <v>21120710</v>
      </c>
      <c r="B47" s="51" t="s">
        <v>472</v>
      </c>
      <c r="C47" s="51">
        <v>15000</v>
      </c>
      <c r="D47" s="80"/>
      <c r="E47" s="80"/>
      <c r="F47" s="8"/>
      <c r="G47" s="8"/>
      <c r="H47" s="8"/>
      <c r="I47" s="8"/>
      <c r="J47" s="8"/>
      <c r="K47" s="8"/>
      <c r="L47" s="8"/>
      <c r="M47" s="8"/>
      <c r="N47" s="8"/>
      <c r="O47" s="8"/>
      <c r="P47" s="8"/>
      <c r="Q47" s="8"/>
      <c r="R47" s="8"/>
      <c r="S47" s="8"/>
      <c r="T47" s="8"/>
      <c r="U47" s="8"/>
      <c r="V47" s="8"/>
      <c r="W47" s="8"/>
      <c r="X47" s="8"/>
    </row>
    <row r="48" spans="1:24" ht="13.5" customHeight="1">
      <c r="A48" s="1049">
        <v>21120711</v>
      </c>
      <c r="B48" s="51" t="s">
        <v>473</v>
      </c>
      <c r="C48" s="51">
        <v>89000</v>
      </c>
      <c r="D48" s="40"/>
      <c r="E48" s="80"/>
      <c r="F48" s="13"/>
      <c r="G48" s="13"/>
      <c r="H48" s="13"/>
      <c r="I48" s="13"/>
      <c r="J48" s="13"/>
      <c r="K48" s="13"/>
      <c r="L48" s="13"/>
      <c r="M48" s="13"/>
      <c r="N48" s="13"/>
      <c r="O48" s="13"/>
      <c r="P48" s="13"/>
      <c r="Q48" s="13"/>
      <c r="R48" s="13"/>
      <c r="S48" s="13"/>
      <c r="T48" s="13"/>
      <c r="U48" s="13"/>
      <c r="V48" s="13"/>
      <c r="W48" s="13"/>
      <c r="X48" s="13"/>
    </row>
    <row r="49" spans="1:24" ht="12.75" customHeight="1">
      <c r="A49" s="1061">
        <v>211208</v>
      </c>
      <c r="B49" s="709" t="s">
        <v>474</v>
      </c>
      <c r="C49" s="707">
        <f>+SUM(C50:C51)</f>
        <v>35500</v>
      </c>
      <c r="D49" s="80"/>
      <c r="E49" s="80"/>
      <c r="F49" s="8"/>
      <c r="G49" s="8"/>
      <c r="H49" s="8"/>
      <c r="I49" s="8"/>
      <c r="J49" s="8"/>
      <c r="K49" s="8"/>
      <c r="L49" s="8"/>
      <c r="M49" s="8"/>
      <c r="N49" s="8"/>
      <c r="O49" s="8"/>
      <c r="P49" s="8"/>
      <c r="Q49" s="8"/>
      <c r="R49" s="8"/>
      <c r="S49" s="8"/>
      <c r="T49" s="8"/>
      <c r="U49" s="8"/>
      <c r="V49" s="8"/>
      <c r="W49" s="8"/>
      <c r="X49" s="8"/>
    </row>
    <row r="50" spans="1:24" ht="12.75" customHeight="1">
      <c r="A50" s="1049">
        <v>21120801</v>
      </c>
      <c r="B50" s="51" t="s">
        <v>475</v>
      </c>
      <c r="C50" s="43">
        <v>5000</v>
      </c>
      <c r="D50" s="80"/>
      <c r="E50" s="80"/>
      <c r="F50" s="8"/>
      <c r="G50" s="8"/>
      <c r="H50" s="8"/>
      <c r="I50" s="8"/>
      <c r="J50" s="8"/>
      <c r="K50" s="8"/>
      <c r="L50" s="8"/>
      <c r="M50" s="8"/>
      <c r="N50" s="8"/>
      <c r="O50" s="8"/>
      <c r="P50" s="8"/>
      <c r="Q50" s="8"/>
      <c r="R50" s="8"/>
      <c r="S50" s="8"/>
      <c r="T50" s="8"/>
      <c r="U50" s="8"/>
      <c r="V50" s="8"/>
      <c r="W50" s="8"/>
      <c r="X50" s="8"/>
    </row>
    <row r="51" spans="1:24" ht="12.75" customHeight="1">
      <c r="A51" s="1049">
        <v>21120805</v>
      </c>
      <c r="B51" s="51" t="s">
        <v>476</v>
      </c>
      <c r="C51" s="43">
        <v>30500</v>
      </c>
      <c r="D51" s="80"/>
      <c r="E51" s="80"/>
      <c r="F51" s="8"/>
      <c r="G51" s="8"/>
      <c r="H51" s="8"/>
      <c r="I51" s="8"/>
      <c r="J51" s="8"/>
      <c r="K51" s="8"/>
      <c r="L51" s="8"/>
      <c r="M51" s="8"/>
      <c r="N51" s="8"/>
      <c r="O51" s="8"/>
      <c r="P51" s="8"/>
      <c r="Q51" s="8"/>
      <c r="R51" s="8"/>
      <c r="S51" s="8"/>
      <c r="T51" s="8"/>
      <c r="U51" s="8"/>
      <c r="V51" s="8"/>
      <c r="W51" s="8"/>
      <c r="X51" s="8"/>
    </row>
    <row r="52" spans="1:24" ht="12.75" customHeight="1">
      <c r="A52" s="1061">
        <v>211209</v>
      </c>
      <c r="B52" s="709" t="s">
        <v>477</v>
      </c>
      <c r="C52" s="707">
        <f>+SUM(C53:C56)</f>
        <v>1199000</v>
      </c>
      <c r="D52" s="80"/>
      <c r="E52" s="80"/>
      <c r="F52" s="8"/>
      <c r="G52" s="8"/>
      <c r="H52" s="8"/>
      <c r="I52" s="8"/>
      <c r="J52" s="8"/>
      <c r="K52" s="8"/>
      <c r="L52" s="8"/>
      <c r="M52" s="8"/>
      <c r="N52" s="8"/>
      <c r="O52" s="8"/>
      <c r="P52" s="8"/>
      <c r="Q52" s="8"/>
      <c r="R52" s="8"/>
      <c r="S52" s="8"/>
      <c r="T52" s="8"/>
      <c r="U52" s="8"/>
      <c r="V52" s="8"/>
      <c r="W52" s="8"/>
      <c r="X52" s="8"/>
    </row>
    <row r="53" spans="1:24" ht="12.75" customHeight="1">
      <c r="A53" s="1049">
        <v>21120901</v>
      </c>
      <c r="B53" s="51" t="s">
        <v>478</v>
      </c>
      <c r="C53" s="43">
        <f>100000+10000000-150000-976500-8000000</f>
        <v>973500</v>
      </c>
      <c r="D53" s="83"/>
      <c r="E53" s="80"/>
      <c r="F53" s="84"/>
      <c r="G53" s="84"/>
      <c r="H53" s="84"/>
      <c r="I53" s="84"/>
      <c r="J53" s="84"/>
      <c r="K53" s="84"/>
      <c r="L53" s="84"/>
      <c r="M53" s="84"/>
      <c r="N53" s="84"/>
      <c r="O53" s="84"/>
      <c r="P53" s="84"/>
      <c r="Q53" s="84"/>
      <c r="R53" s="84"/>
      <c r="S53" s="84"/>
      <c r="T53" s="84"/>
      <c r="U53" s="84"/>
      <c r="V53" s="84"/>
      <c r="W53" s="84"/>
      <c r="X53" s="84"/>
    </row>
    <row r="54" spans="1:24" ht="12.75" customHeight="1">
      <c r="A54" s="1049">
        <v>21120905</v>
      </c>
      <c r="B54" s="51" t="s">
        <v>525</v>
      </c>
      <c r="C54" s="51">
        <f>50000+8000</f>
        <v>58000</v>
      </c>
      <c r="D54" s="83"/>
      <c r="E54" s="80"/>
      <c r="F54" s="84"/>
      <c r="G54" s="84"/>
      <c r="H54" s="84"/>
      <c r="I54" s="84"/>
      <c r="J54" s="84"/>
      <c r="K54" s="84"/>
      <c r="L54" s="84"/>
      <c r="M54" s="84"/>
      <c r="N54" s="84"/>
      <c r="O54" s="84"/>
      <c r="P54" s="84"/>
      <c r="Q54" s="84"/>
      <c r="R54" s="84"/>
      <c r="S54" s="84"/>
      <c r="T54" s="84"/>
      <c r="U54" s="84"/>
      <c r="V54" s="84"/>
      <c r="W54" s="84"/>
      <c r="X54" s="84"/>
    </row>
    <row r="55" spans="1:24" ht="13.5" customHeight="1">
      <c r="A55" s="1049">
        <v>21120906</v>
      </c>
      <c r="B55" s="51" t="s">
        <v>479</v>
      </c>
      <c r="C55" s="43">
        <f>50000+62500</f>
        <v>112500</v>
      </c>
      <c r="D55" s="13"/>
      <c r="E55" s="80"/>
      <c r="F55" s="13"/>
      <c r="G55" s="13"/>
      <c r="H55" s="13"/>
      <c r="I55" s="13"/>
      <c r="J55" s="13"/>
      <c r="K55" s="13"/>
      <c r="L55" s="13"/>
      <c r="M55" s="13"/>
      <c r="N55" s="13"/>
      <c r="O55" s="13"/>
      <c r="P55" s="13"/>
      <c r="Q55" s="13"/>
      <c r="R55" s="13"/>
      <c r="S55" s="13"/>
      <c r="T55" s="13"/>
      <c r="U55" s="13"/>
      <c r="V55" s="13"/>
      <c r="W55" s="13"/>
      <c r="X55" s="13"/>
    </row>
    <row r="56" spans="1:24" ht="13.5" customHeight="1">
      <c r="A56" s="1049">
        <v>21120907</v>
      </c>
      <c r="B56" s="51" t="s">
        <v>480</v>
      </c>
      <c r="C56" s="43">
        <f>50000+5000</f>
        <v>55000</v>
      </c>
      <c r="D56" s="13"/>
      <c r="E56" s="80"/>
      <c r="F56" s="13"/>
      <c r="G56" s="13"/>
      <c r="H56" s="13"/>
      <c r="I56" s="13"/>
      <c r="J56" s="13"/>
      <c r="K56" s="13"/>
      <c r="L56" s="13"/>
      <c r="M56" s="13"/>
      <c r="N56" s="13"/>
      <c r="O56" s="13"/>
      <c r="P56" s="13"/>
      <c r="Q56" s="13"/>
      <c r="R56" s="13"/>
      <c r="S56" s="13"/>
      <c r="T56" s="13"/>
      <c r="U56" s="13"/>
      <c r="V56" s="13"/>
      <c r="W56" s="13"/>
      <c r="X56" s="13"/>
    </row>
    <row r="57" spans="1:24" ht="12.75" customHeight="1" thickBot="1">
      <c r="A57" s="33"/>
      <c r="B57" s="24"/>
      <c r="C57" s="14"/>
      <c r="D57" s="49"/>
      <c r="E57" s="80"/>
      <c r="F57" s="8"/>
      <c r="G57" s="8"/>
      <c r="H57" s="8"/>
      <c r="I57" s="8"/>
      <c r="J57" s="8"/>
      <c r="K57" s="8"/>
      <c r="L57" s="8"/>
      <c r="M57" s="8"/>
      <c r="N57" s="8"/>
      <c r="O57" s="8"/>
      <c r="P57" s="8"/>
      <c r="Q57" s="8"/>
      <c r="R57" s="8"/>
      <c r="S57" s="8"/>
      <c r="T57" s="8"/>
      <c r="U57" s="8"/>
      <c r="V57" s="8"/>
      <c r="W57" s="8"/>
      <c r="X57" s="8"/>
    </row>
    <row r="58" spans="1:24" ht="12.75" customHeight="1" thickBot="1">
      <c r="A58" s="1282" t="s">
        <v>4</v>
      </c>
      <c r="B58" s="1281"/>
      <c r="C58" s="41">
        <f>C59+C61+C65+C68+C70+C72</f>
        <v>13655000</v>
      </c>
      <c r="D58" s="49"/>
      <c r="E58" s="80"/>
      <c r="F58" s="8"/>
      <c r="G58" s="8"/>
      <c r="H58" s="8"/>
      <c r="I58" s="8"/>
      <c r="J58" s="8"/>
      <c r="K58" s="8"/>
      <c r="L58" s="8"/>
      <c r="M58" s="8"/>
      <c r="N58" s="8"/>
      <c r="O58" s="8"/>
      <c r="P58" s="8"/>
      <c r="Q58" s="8"/>
      <c r="R58" s="8"/>
      <c r="S58" s="8"/>
      <c r="T58" s="8"/>
      <c r="U58" s="8"/>
      <c r="V58" s="8"/>
      <c r="W58" s="8"/>
      <c r="X58" s="8"/>
    </row>
    <row r="59" spans="1:24" ht="12.75" customHeight="1">
      <c r="A59" s="706">
        <v>211302</v>
      </c>
      <c r="B59" s="706" t="s">
        <v>481</v>
      </c>
      <c r="C59" s="707">
        <f>SUM(C60)</f>
        <v>704500</v>
      </c>
      <c r="D59" s="8"/>
      <c r="E59" s="80"/>
      <c r="F59" s="8"/>
      <c r="G59" s="8"/>
      <c r="H59" s="8"/>
      <c r="I59" s="8"/>
      <c r="J59" s="8"/>
      <c r="K59" s="8"/>
      <c r="L59" s="8"/>
      <c r="M59" s="8"/>
      <c r="N59" s="8"/>
      <c r="O59" s="8"/>
      <c r="P59" s="8"/>
      <c r="Q59" s="8"/>
      <c r="R59" s="8"/>
      <c r="S59" s="8"/>
      <c r="T59" s="8"/>
      <c r="U59" s="8"/>
      <c r="V59" s="8"/>
      <c r="W59" s="8"/>
      <c r="X59" s="8"/>
    </row>
    <row r="60" spans="1:24" ht="12.75" customHeight="1">
      <c r="A60" s="710">
        <v>21130204</v>
      </c>
      <c r="B60" s="671" t="s">
        <v>483</v>
      </c>
      <c r="C60" s="51">
        <v>704500</v>
      </c>
      <c r="D60" s="8"/>
      <c r="E60" s="80"/>
      <c r="F60" s="8"/>
      <c r="G60" s="8"/>
      <c r="H60" s="8"/>
      <c r="I60" s="8"/>
      <c r="J60" s="8"/>
      <c r="K60" s="8"/>
      <c r="L60" s="8"/>
      <c r="M60" s="8"/>
      <c r="N60" s="8"/>
      <c r="O60" s="8"/>
      <c r="P60" s="8"/>
      <c r="Q60" s="8"/>
      <c r="R60" s="8"/>
      <c r="S60" s="8"/>
      <c r="T60" s="8"/>
      <c r="U60" s="8"/>
      <c r="V60" s="8"/>
      <c r="W60" s="8"/>
      <c r="X60" s="8"/>
    </row>
    <row r="61" spans="1:24" ht="12.75" customHeight="1">
      <c r="A61" s="706">
        <v>211303</v>
      </c>
      <c r="B61" s="708" t="s">
        <v>484</v>
      </c>
      <c r="C61" s="707">
        <f>+SUM(C62:C64)</f>
        <v>1912000</v>
      </c>
      <c r="D61" s="8"/>
      <c r="E61" s="80"/>
      <c r="F61" s="8"/>
      <c r="G61" s="8"/>
      <c r="H61" s="8"/>
      <c r="I61" s="8"/>
      <c r="J61" s="8"/>
      <c r="K61" s="8"/>
      <c r="L61" s="8"/>
      <c r="M61" s="8"/>
      <c r="N61" s="8"/>
      <c r="O61" s="8"/>
      <c r="P61" s="8"/>
      <c r="Q61" s="8"/>
      <c r="R61" s="8"/>
      <c r="S61" s="8"/>
      <c r="T61" s="8"/>
      <c r="U61" s="8"/>
      <c r="V61" s="8"/>
      <c r="W61" s="8"/>
      <c r="X61" s="8"/>
    </row>
    <row r="62" spans="1:24" ht="12.75" customHeight="1">
      <c r="A62" s="710">
        <v>21130302</v>
      </c>
      <c r="B62" s="671" t="s">
        <v>520</v>
      </c>
      <c r="C62" s="43">
        <v>1500000</v>
      </c>
      <c r="D62" s="8"/>
      <c r="E62" s="80"/>
      <c r="F62" s="8"/>
      <c r="G62" s="8"/>
      <c r="H62" s="8"/>
      <c r="I62" s="8"/>
      <c r="J62" s="8"/>
      <c r="K62" s="8"/>
      <c r="L62" s="8"/>
      <c r="M62" s="8"/>
      <c r="N62" s="8"/>
      <c r="O62" s="8"/>
      <c r="P62" s="8"/>
      <c r="Q62" s="8"/>
      <c r="R62" s="8"/>
      <c r="S62" s="8"/>
      <c r="T62" s="8"/>
      <c r="U62" s="8"/>
      <c r="V62" s="8"/>
      <c r="W62" s="8"/>
      <c r="X62" s="8"/>
    </row>
    <row r="63" spans="1:24" ht="12.75" customHeight="1">
      <c r="A63" s="710">
        <v>21130306</v>
      </c>
      <c r="B63" s="671" t="s">
        <v>487</v>
      </c>
      <c r="C63" s="43">
        <v>250000</v>
      </c>
      <c r="D63" s="8"/>
      <c r="E63" s="80"/>
      <c r="F63" s="8"/>
      <c r="G63" s="8"/>
      <c r="H63" s="8"/>
      <c r="I63" s="8"/>
      <c r="J63" s="8"/>
      <c r="K63" s="8"/>
      <c r="L63" s="8"/>
      <c r="M63" s="8"/>
      <c r="N63" s="8"/>
      <c r="O63" s="8"/>
      <c r="P63" s="8"/>
      <c r="Q63" s="8"/>
      <c r="R63" s="8"/>
      <c r="S63" s="8"/>
      <c r="T63" s="8"/>
      <c r="U63" s="8"/>
      <c r="V63" s="8"/>
      <c r="W63" s="8"/>
      <c r="X63" s="8"/>
    </row>
    <row r="64" spans="1:24" ht="12.75" customHeight="1">
      <c r="A64" s="710">
        <v>21130307</v>
      </c>
      <c r="B64" s="671" t="s">
        <v>488</v>
      </c>
      <c r="C64" s="43">
        <f>100000+62000</f>
        <v>162000</v>
      </c>
      <c r="D64" s="8"/>
      <c r="E64" s="80"/>
      <c r="F64" s="8"/>
      <c r="G64" s="8"/>
      <c r="H64" s="8"/>
      <c r="I64" s="8"/>
      <c r="J64" s="8"/>
      <c r="K64" s="8"/>
      <c r="L64" s="8"/>
      <c r="M64" s="8"/>
      <c r="N64" s="8"/>
      <c r="O64" s="8"/>
      <c r="P64" s="8"/>
      <c r="Q64" s="8"/>
      <c r="R64" s="8"/>
      <c r="S64" s="8"/>
      <c r="T64" s="8"/>
      <c r="U64" s="8"/>
      <c r="V64" s="8"/>
      <c r="W64" s="8"/>
      <c r="X64" s="8"/>
    </row>
    <row r="65" spans="1:24" ht="12.75" customHeight="1">
      <c r="A65" s="1061">
        <v>211305</v>
      </c>
      <c r="B65" s="708" t="s">
        <v>489</v>
      </c>
      <c r="C65" s="709">
        <f>+SUM(C66:C67)</f>
        <v>1928000</v>
      </c>
      <c r="D65" s="8"/>
      <c r="E65" s="80"/>
      <c r="F65" s="8"/>
      <c r="G65" s="8"/>
      <c r="H65" s="8"/>
      <c r="I65" s="8"/>
      <c r="J65" s="8"/>
      <c r="K65" s="8"/>
      <c r="L65" s="8"/>
      <c r="M65" s="8"/>
      <c r="N65" s="8"/>
      <c r="O65" s="8"/>
      <c r="P65" s="8"/>
      <c r="Q65" s="8"/>
      <c r="R65" s="8"/>
      <c r="S65" s="8"/>
      <c r="T65" s="8"/>
      <c r="U65" s="8"/>
      <c r="V65" s="8"/>
      <c r="W65" s="8"/>
      <c r="X65" s="8"/>
    </row>
    <row r="66" spans="1:24" ht="12.75" customHeight="1">
      <c r="A66" s="1049">
        <v>21130501</v>
      </c>
      <c r="B66" s="671" t="s">
        <v>490</v>
      </c>
      <c r="C66" s="43">
        <v>250000</v>
      </c>
      <c r="D66" s="8"/>
      <c r="E66" s="80"/>
      <c r="F66" s="8"/>
      <c r="G66" s="8"/>
      <c r="H66" s="8"/>
      <c r="I66" s="8"/>
      <c r="J66" s="8"/>
      <c r="K66" s="8"/>
      <c r="L66" s="8"/>
      <c r="M66" s="8"/>
      <c r="N66" s="8"/>
      <c r="O66" s="8"/>
      <c r="P66" s="8"/>
      <c r="Q66" s="8"/>
      <c r="R66" s="8"/>
      <c r="S66" s="8"/>
      <c r="T66" s="8"/>
      <c r="U66" s="8"/>
      <c r="V66" s="8"/>
      <c r="W66" s="8"/>
      <c r="X66" s="8"/>
    </row>
    <row r="67" spans="1:24" ht="12.75" customHeight="1">
      <c r="A67" s="1049">
        <v>21130502</v>
      </c>
      <c r="B67" s="51" t="s">
        <v>491</v>
      </c>
      <c r="C67" s="43">
        <v>1678000</v>
      </c>
      <c r="D67" s="8"/>
      <c r="E67" s="80"/>
      <c r="F67" s="8"/>
      <c r="G67" s="8"/>
      <c r="H67" s="8"/>
      <c r="I67" s="8"/>
      <c r="J67" s="8"/>
      <c r="K67" s="8"/>
      <c r="L67" s="8"/>
      <c r="M67" s="8"/>
      <c r="N67" s="8"/>
      <c r="O67" s="8"/>
      <c r="P67" s="8"/>
      <c r="Q67" s="8"/>
      <c r="R67" s="8"/>
      <c r="S67" s="8"/>
      <c r="T67" s="8"/>
      <c r="U67" s="8"/>
      <c r="V67" s="8"/>
      <c r="W67" s="8"/>
      <c r="X67" s="8"/>
    </row>
    <row r="68" spans="1:24" ht="12.75" customHeight="1">
      <c r="A68" s="1061">
        <v>211306</v>
      </c>
      <c r="B68" s="709" t="s">
        <v>492</v>
      </c>
      <c r="C68" s="707">
        <f>C69</f>
        <v>547000</v>
      </c>
      <c r="D68" s="8"/>
      <c r="E68" s="80"/>
      <c r="F68" s="8"/>
      <c r="G68" s="8"/>
      <c r="H68" s="8"/>
      <c r="I68" s="8"/>
      <c r="J68" s="8"/>
      <c r="K68" s="8"/>
      <c r="L68" s="8"/>
      <c r="M68" s="8"/>
      <c r="N68" s="8"/>
      <c r="O68" s="8"/>
      <c r="P68" s="8"/>
      <c r="Q68" s="8"/>
      <c r="R68" s="8"/>
      <c r="S68" s="8"/>
      <c r="T68" s="8"/>
      <c r="U68" s="8"/>
      <c r="V68" s="8"/>
      <c r="W68" s="8"/>
      <c r="X68" s="8"/>
    </row>
    <row r="69" spans="1:24" ht="12.75" customHeight="1">
      <c r="A69" s="1049">
        <v>21130607</v>
      </c>
      <c r="B69" s="51" t="s">
        <v>493</v>
      </c>
      <c r="C69" s="43">
        <v>547000</v>
      </c>
      <c r="D69" s="84"/>
      <c r="E69" s="80"/>
      <c r="F69" s="84"/>
      <c r="G69" s="84"/>
      <c r="H69" s="84"/>
      <c r="I69" s="84"/>
      <c r="J69" s="84"/>
      <c r="K69" s="84"/>
      <c r="L69" s="84"/>
      <c r="M69" s="84"/>
      <c r="N69" s="84"/>
      <c r="O69" s="84"/>
      <c r="P69" s="84"/>
      <c r="Q69" s="84"/>
      <c r="R69" s="84"/>
      <c r="S69" s="84"/>
      <c r="T69" s="84"/>
      <c r="U69" s="84"/>
      <c r="V69" s="84"/>
      <c r="W69" s="84"/>
      <c r="X69" s="84"/>
    </row>
    <row r="70" spans="1:24" ht="12.75" customHeight="1">
      <c r="A70" s="1061">
        <v>211307</v>
      </c>
      <c r="B70" s="708" t="s">
        <v>494</v>
      </c>
      <c r="C70" s="707">
        <f>C71</f>
        <v>120000</v>
      </c>
      <c r="D70" s="30"/>
      <c r="E70" s="80"/>
      <c r="F70" s="8"/>
      <c r="G70" s="8"/>
      <c r="H70" s="8"/>
      <c r="I70" s="8"/>
      <c r="J70" s="8"/>
      <c r="K70" s="8"/>
      <c r="L70" s="8"/>
      <c r="M70" s="8"/>
      <c r="N70" s="8"/>
      <c r="O70" s="8"/>
      <c r="P70" s="8"/>
      <c r="Q70" s="8"/>
      <c r="R70" s="8"/>
      <c r="S70" s="8"/>
      <c r="T70" s="8"/>
      <c r="U70" s="8"/>
      <c r="V70" s="8"/>
      <c r="W70" s="8"/>
      <c r="X70" s="8"/>
    </row>
    <row r="71" spans="1:24" ht="12.75" customHeight="1">
      <c r="A71" s="1049">
        <v>21130701</v>
      </c>
      <c r="B71" s="671" t="s">
        <v>495</v>
      </c>
      <c r="C71" s="43">
        <f>100000+20000</f>
        <v>120000</v>
      </c>
      <c r="D71" s="30"/>
      <c r="E71" s="80"/>
      <c r="F71" s="8"/>
      <c r="G71" s="8"/>
      <c r="H71" s="8"/>
      <c r="I71" s="8"/>
      <c r="J71" s="8"/>
      <c r="K71" s="8"/>
      <c r="L71" s="8"/>
      <c r="M71" s="8"/>
      <c r="N71" s="8"/>
      <c r="O71" s="8"/>
      <c r="P71" s="8"/>
      <c r="Q71" s="8"/>
      <c r="R71" s="8"/>
      <c r="S71" s="8"/>
      <c r="T71" s="8"/>
      <c r="U71" s="8"/>
      <c r="V71" s="8"/>
      <c r="W71" s="8"/>
      <c r="X71" s="8"/>
    </row>
    <row r="72" spans="1:24" ht="12.75" customHeight="1">
      <c r="A72" s="1061">
        <v>211309</v>
      </c>
      <c r="B72" s="709" t="s">
        <v>496</v>
      </c>
      <c r="C72" s="707">
        <f>+SUM(C73:C76)</f>
        <v>8443500</v>
      </c>
      <c r="D72" s="30"/>
      <c r="E72" s="80"/>
      <c r="F72" s="8"/>
      <c r="G72" s="8"/>
      <c r="H72" s="8"/>
      <c r="I72" s="8"/>
      <c r="J72" s="8"/>
      <c r="K72" s="8"/>
      <c r="L72" s="8"/>
      <c r="M72" s="8"/>
      <c r="N72" s="8"/>
      <c r="O72" s="8"/>
      <c r="P72" s="8"/>
      <c r="Q72" s="8"/>
      <c r="R72" s="8"/>
      <c r="S72" s="8"/>
      <c r="T72" s="8"/>
      <c r="U72" s="8"/>
      <c r="V72" s="8"/>
      <c r="W72" s="8"/>
      <c r="X72" s="8"/>
    </row>
    <row r="73" spans="1:24" ht="12.75" customHeight="1">
      <c r="A73" s="1049">
        <v>21130901</v>
      </c>
      <c r="B73" s="51" t="s">
        <v>497</v>
      </c>
      <c r="C73" s="43">
        <f>7929000-400000</f>
        <v>7529000</v>
      </c>
      <c r="D73" s="8"/>
      <c r="E73" s="80"/>
      <c r="F73" s="8"/>
      <c r="G73" s="8"/>
      <c r="H73" s="8"/>
      <c r="I73" s="8"/>
      <c r="J73" s="8"/>
      <c r="K73" s="8"/>
      <c r="L73" s="8"/>
      <c r="M73" s="8"/>
      <c r="N73" s="8"/>
      <c r="O73" s="8"/>
      <c r="P73" s="8"/>
      <c r="Q73" s="8"/>
      <c r="R73" s="8"/>
      <c r="S73" s="8"/>
      <c r="T73" s="8"/>
      <c r="U73" s="8"/>
      <c r="V73" s="8"/>
      <c r="W73" s="8"/>
      <c r="X73" s="8"/>
    </row>
    <row r="74" spans="1:24" ht="12.75" customHeight="1">
      <c r="A74" s="1049">
        <v>21130903</v>
      </c>
      <c r="B74" s="51" t="s">
        <v>498</v>
      </c>
      <c r="C74" s="43">
        <v>668000</v>
      </c>
      <c r="D74" s="30"/>
      <c r="E74" s="80"/>
      <c r="F74" s="8"/>
      <c r="G74" s="8"/>
      <c r="H74" s="8"/>
      <c r="I74" s="8"/>
      <c r="J74" s="8"/>
      <c r="K74" s="8"/>
      <c r="L74" s="8"/>
      <c r="M74" s="8"/>
      <c r="N74" s="8"/>
      <c r="O74" s="8"/>
      <c r="P74" s="8"/>
      <c r="Q74" s="8"/>
      <c r="R74" s="8"/>
      <c r="S74" s="8"/>
      <c r="T74" s="8"/>
      <c r="U74" s="8"/>
      <c r="V74" s="8"/>
      <c r="W74" s="8"/>
      <c r="X74" s="8"/>
    </row>
    <row r="75" spans="1:24" ht="12.75" customHeight="1">
      <c r="A75" s="1049">
        <v>21130906</v>
      </c>
      <c r="B75" s="671" t="s">
        <v>499</v>
      </c>
      <c r="C75" s="51">
        <f>100000+20000</f>
        <v>120000</v>
      </c>
      <c r="D75" s="30"/>
      <c r="E75" s="80"/>
      <c r="F75" s="8"/>
      <c r="G75" s="8"/>
      <c r="H75" s="8"/>
      <c r="I75" s="8"/>
      <c r="J75" s="8"/>
      <c r="K75" s="8"/>
      <c r="L75" s="8"/>
      <c r="M75" s="8"/>
      <c r="N75" s="8"/>
      <c r="O75" s="8"/>
      <c r="P75" s="8"/>
      <c r="Q75" s="8"/>
      <c r="R75" s="8"/>
      <c r="S75" s="8"/>
      <c r="T75" s="8"/>
      <c r="U75" s="8"/>
      <c r="V75" s="8"/>
      <c r="W75" s="8"/>
      <c r="X75" s="8"/>
    </row>
    <row r="76" spans="1:24" ht="12.75" customHeight="1">
      <c r="A76" s="1049">
        <v>21130908</v>
      </c>
      <c r="B76" s="51" t="s">
        <v>500</v>
      </c>
      <c r="C76" s="43">
        <f>100000+26500</f>
        <v>126500</v>
      </c>
      <c r="D76" s="30"/>
      <c r="E76" s="80"/>
      <c r="F76" s="8"/>
      <c r="G76" s="8"/>
      <c r="H76" s="8"/>
      <c r="I76" s="8"/>
      <c r="J76" s="8"/>
      <c r="K76" s="8"/>
      <c r="L76" s="8"/>
      <c r="M76" s="8"/>
      <c r="N76" s="8"/>
      <c r="O76" s="8"/>
      <c r="P76" s="8"/>
      <c r="Q76" s="8"/>
      <c r="R76" s="8"/>
      <c r="S76" s="8"/>
      <c r="T76" s="8"/>
      <c r="U76" s="8"/>
      <c r="V76" s="8"/>
      <c r="W76" s="8"/>
      <c r="X76" s="8"/>
    </row>
    <row r="77" spans="1:24" ht="12.75" customHeight="1" thickBot="1">
      <c r="A77" s="23"/>
      <c r="B77" s="24"/>
      <c r="C77" s="14"/>
      <c r="D77" s="30"/>
      <c r="E77" s="80"/>
      <c r="F77" s="8"/>
      <c r="G77" s="8"/>
      <c r="H77" s="8"/>
      <c r="I77" s="8"/>
      <c r="J77" s="8"/>
      <c r="K77" s="8"/>
      <c r="L77" s="8"/>
      <c r="M77" s="8"/>
      <c r="N77" s="8"/>
      <c r="O77" s="8"/>
      <c r="P77" s="8"/>
      <c r="Q77" s="8"/>
      <c r="R77" s="8"/>
      <c r="S77" s="8"/>
      <c r="T77" s="8"/>
      <c r="U77" s="8"/>
      <c r="V77" s="8"/>
      <c r="W77" s="8"/>
      <c r="X77" s="8"/>
    </row>
    <row r="78" spans="1:24" ht="12.75" customHeight="1" thickBot="1">
      <c r="A78" s="1283" t="s">
        <v>48</v>
      </c>
      <c r="B78" s="1281"/>
      <c r="C78" s="52">
        <f>+C79+C81+C85</f>
        <v>54258999.030000001</v>
      </c>
      <c r="D78" s="8"/>
      <c r="E78" s="80"/>
      <c r="F78" s="8"/>
      <c r="G78" s="8"/>
      <c r="H78" s="8"/>
      <c r="I78" s="8"/>
      <c r="J78" s="8"/>
      <c r="K78" s="8"/>
      <c r="L78" s="8"/>
      <c r="M78" s="8"/>
      <c r="N78" s="8"/>
      <c r="O78" s="8"/>
      <c r="P78" s="8"/>
      <c r="Q78" s="8"/>
      <c r="R78" s="8"/>
      <c r="S78" s="8"/>
      <c r="T78" s="8"/>
      <c r="U78" s="8"/>
      <c r="V78" s="8"/>
      <c r="W78" s="8"/>
      <c r="X78" s="8"/>
    </row>
    <row r="79" spans="1:24" ht="12.75" customHeight="1">
      <c r="A79" s="1061">
        <v>221102</v>
      </c>
      <c r="B79" s="828" t="s">
        <v>543</v>
      </c>
      <c r="C79" s="707">
        <f>SUM(C80:C80)</f>
        <v>250000</v>
      </c>
      <c r="D79" s="8"/>
      <c r="E79" s="80"/>
      <c r="F79" s="8"/>
      <c r="G79" s="8"/>
      <c r="H79" s="8"/>
      <c r="I79" s="8"/>
      <c r="J79" s="8"/>
      <c r="K79" s="8"/>
      <c r="L79" s="8"/>
      <c r="M79" s="8"/>
      <c r="N79" s="8"/>
      <c r="O79" s="8"/>
      <c r="P79" s="8"/>
      <c r="Q79" s="8"/>
      <c r="R79" s="8"/>
      <c r="S79" s="8"/>
      <c r="T79" s="8"/>
      <c r="U79" s="8"/>
      <c r="V79" s="8"/>
      <c r="W79" s="8"/>
      <c r="X79" s="8"/>
    </row>
    <row r="80" spans="1:24" ht="12.75" customHeight="1">
      <c r="A80" s="1049">
        <v>22110202</v>
      </c>
      <c r="B80" s="51" t="s">
        <v>544</v>
      </c>
      <c r="C80" s="43">
        <v>250000</v>
      </c>
      <c r="D80" s="84"/>
      <c r="E80" s="80"/>
      <c r="F80" s="84"/>
      <c r="G80" s="84"/>
      <c r="H80" s="84"/>
      <c r="I80" s="84"/>
      <c r="J80" s="84"/>
      <c r="K80" s="84"/>
      <c r="L80" s="84"/>
      <c r="M80" s="84"/>
      <c r="N80" s="84"/>
      <c r="O80" s="84"/>
      <c r="P80" s="84"/>
      <c r="Q80" s="84"/>
      <c r="R80" s="84"/>
      <c r="S80" s="84"/>
      <c r="T80" s="84"/>
      <c r="U80" s="84"/>
      <c r="V80" s="84"/>
      <c r="W80" s="84"/>
      <c r="X80" s="84"/>
    </row>
    <row r="81" spans="1:24" ht="13.5" customHeight="1">
      <c r="A81" s="1061">
        <v>221104</v>
      </c>
      <c r="B81" s="829" t="s">
        <v>510</v>
      </c>
      <c r="C81" s="709">
        <f>SUM(C82:C84)</f>
        <v>418000</v>
      </c>
      <c r="D81" s="40"/>
      <c r="E81" s="80"/>
      <c r="F81" s="13"/>
      <c r="G81" s="13"/>
      <c r="H81" s="13"/>
      <c r="I81" s="13"/>
      <c r="J81" s="13"/>
      <c r="K81" s="13"/>
      <c r="L81" s="13"/>
      <c r="M81" s="13"/>
      <c r="N81" s="13"/>
      <c r="O81" s="13"/>
      <c r="P81" s="13"/>
      <c r="Q81" s="13"/>
      <c r="R81" s="13"/>
      <c r="S81" s="13"/>
      <c r="T81" s="13"/>
      <c r="U81" s="13"/>
      <c r="V81" s="13"/>
      <c r="W81" s="13"/>
      <c r="X81" s="13"/>
    </row>
    <row r="82" spans="1:24" ht="13.5" customHeight="1">
      <c r="A82" s="1049">
        <v>22110401</v>
      </c>
      <c r="B82" s="51" t="s">
        <v>511</v>
      </c>
      <c r="C82" s="51">
        <v>168000</v>
      </c>
      <c r="D82" s="40"/>
      <c r="E82" s="80"/>
      <c r="F82" s="13"/>
      <c r="G82" s="13"/>
      <c r="H82" s="13"/>
      <c r="I82" s="13"/>
      <c r="J82" s="13"/>
      <c r="K82" s="13"/>
      <c r="L82" s="13"/>
      <c r="M82" s="13"/>
      <c r="N82" s="13"/>
      <c r="O82" s="13"/>
      <c r="P82" s="13"/>
      <c r="Q82" s="13"/>
      <c r="R82" s="13"/>
      <c r="S82" s="13"/>
      <c r="T82" s="13"/>
      <c r="U82" s="13"/>
      <c r="V82" s="13"/>
      <c r="W82" s="13"/>
      <c r="X82" s="13"/>
    </row>
    <row r="83" spans="1:24" ht="13.5" customHeight="1">
      <c r="A83" s="1049">
        <v>22110404</v>
      </c>
      <c r="B83" s="51" t="s">
        <v>512</v>
      </c>
      <c r="C83" s="51">
        <v>150000</v>
      </c>
      <c r="D83" s="13"/>
      <c r="E83" s="80"/>
      <c r="F83" s="13"/>
      <c r="G83" s="13"/>
      <c r="H83" s="13"/>
      <c r="I83" s="13"/>
      <c r="J83" s="13"/>
      <c r="K83" s="13"/>
      <c r="L83" s="13"/>
      <c r="M83" s="13"/>
      <c r="N83" s="13"/>
      <c r="O83" s="13"/>
      <c r="P83" s="13"/>
      <c r="Q83" s="13"/>
      <c r="R83" s="13"/>
      <c r="S83" s="13"/>
      <c r="T83" s="13"/>
      <c r="U83" s="13"/>
      <c r="V83" s="13"/>
      <c r="W83" s="13"/>
      <c r="X83" s="13"/>
    </row>
    <row r="84" spans="1:24" ht="13.5" customHeight="1">
      <c r="A84" s="1049">
        <v>22110409</v>
      </c>
      <c r="B84" s="51" t="s">
        <v>513</v>
      </c>
      <c r="C84" s="51">
        <v>100000</v>
      </c>
      <c r="D84" s="13"/>
      <c r="E84" s="80"/>
      <c r="F84" s="13"/>
      <c r="G84" s="13"/>
      <c r="H84" s="13"/>
      <c r="I84" s="13"/>
      <c r="J84" s="13"/>
      <c r="K84" s="13"/>
      <c r="L84" s="13"/>
      <c r="M84" s="13"/>
      <c r="N84" s="13"/>
      <c r="O84" s="13"/>
      <c r="P84" s="13"/>
      <c r="Q84" s="13"/>
      <c r="R84" s="13"/>
      <c r="S84" s="13"/>
      <c r="T84" s="13"/>
      <c r="U84" s="13"/>
      <c r="V84" s="13"/>
      <c r="W84" s="13"/>
      <c r="X84" s="13"/>
    </row>
    <row r="85" spans="1:24" ht="13.5" customHeight="1">
      <c r="A85" s="1061">
        <v>221107</v>
      </c>
      <c r="B85" s="709" t="s">
        <v>514</v>
      </c>
      <c r="C85" s="709">
        <f>SUM(C86)</f>
        <v>53590999.030000001</v>
      </c>
      <c r="D85" s="40"/>
      <c r="E85" s="80"/>
      <c r="F85" s="13"/>
      <c r="G85" s="13"/>
      <c r="H85" s="13"/>
      <c r="I85" s="13"/>
      <c r="J85" s="13"/>
      <c r="K85" s="13"/>
      <c r="L85" s="13"/>
      <c r="M85" s="13"/>
      <c r="N85" s="13"/>
      <c r="O85" s="13"/>
      <c r="P85" s="13"/>
      <c r="Q85" s="13"/>
      <c r="R85" s="13"/>
      <c r="S85" s="13"/>
      <c r="T85" s="13"/>
      <c r="U85" s="13"/>
      <c r="V85" s="13"/>
      <c r="W85" s="13"/>
      <c r="X85" s="13"/>
    </row>
    <row r="86" spans="1:24" ht="13.5" customHeight="1">
      <c r="A86" s="1049">
        <v>22110702</v>
      </c>
      <c r="B86" s="51" t="s">
        <v>515</v>
      </c>
      <c r="C86" s="43">
        <f>60000+54780999.03-1250000</f>
        <v>53590999.030000001</v>
      </c>
      <c r="D86" s="40"/>
      <c r="E86" s="80"/>
      <c r="F86" s="13"/>
      <c r="G86" s="13"/>
      <c r="H86" s="13"/>
      <c r="I86" s="13"/>
      <c r="J86" s="13"/>
      <c r="K86" s="13"/>
      <c r="L86" s="13"/>
      <c r="M86" s="13"/>
      <c r="N86" s="13"/>
      <c r="O86" s="13"/>
      <c r="P86" s="13"/>
      <c r="Q86" s="13"/>
      <c r="R86" s="13"/>
      <c r="S86" s="13"/>
      <c r="T86" s="13"/>
      <c r="U86" s="13"/>
      <c r="V86" s="13"/>
      <c r="W86" s="13"/>
      <c r="X86" s="13"/>
    </row>
    <row r="87" spans="1:24" ht="13.5" customHeight="1">
      <c r="A87" s="1049"/>
      <c r="B87" s="51"/>
      <c r="C87" s="43"/>
      <c r="D87" s="40"/>
      <c r="E87" s="80"/>
      <c r="F87" s="13"/>
      <c r="G87" s="13"/>
      <c r="H87" s="13"/>
      <c r="I87" s="13"/>
      <c r="J87" s="13"/>
      <c r="K87" s="13"/>
      <c r="L87" s="13"/>
      <c r="M87" s="13"/>
      <c r="N87" s="13"/>
      <c r="O87" s="13"/>
      <c r="P87" s="13"/>
      <c r="Q87" s="13"/>
      <c r="R87" s="13"/>
      <c r="S87" s="13"/>
      <c r="T87" s="13"/>
      <c r="U87" s="13"/>
      <c r="V87" s="13"/>
      <c r="W87" s="13"/>
      <c r="X87" s="13"/>
    </row>
    <row r="88" spans="1:24" ht="12.75" customHeight="1" thickBot="1">
      <c r="A88" s="23"/>
      <c r="B88" s="24"/>
      <c r="C88" s="24"/>
      <c r="D88" s="40"/>
      <c r="E88" s="80"/>
      <c r="F88" s="13"/>
      <c r="G88" s="13"/>
      <c r="H88" s="13"/>
      <c r="I88" s="13"/>
      <c r="J88" s="13"/>
      <c r="K88" s="13"/>
      <c r="L88" s="13"/>
      <c r="M88" s="13"/>
      <c r="N88" s="13"/>
      <c r="O88" s="13"/>
      <c r="P88" s="13"/>
      <c r="Q88" s="13"/>
      <c r="R88" s="13"/>
      <c r="S88" s="13"/>
      <c r="T88" s="13"/>
      <c r="U88" s="13"/>
      <c r="V88" s="13"/>
      <c r="W88" s="13"/>
      <c r="X88" s="13"/>
    </row>
    <row r="89" spans="1:24" ht="13.5" customHeight="1">
      <c r="A89" s="1383" t="s">
        <v>938</v>
      </c>
      <c r="B89" s="1387"/>
      <c r="C89" s="1179" t="s">
        <v>797</v>
      </c>
      <c r="D89" s="40"/>
      <c r="E89" s="80"/>
      <c r="F89" s="13"/>
      <c r="G89" s="13"/>
      <c r="H89" s="13"/>
      <c r="I89" s="13"/>
      <c r="J89" s="13"/>
      <c r="K89" s="13"/>
      <c r="L89" s="13"/>
      <c r="M89" s="13"/>
      <c r="N89" s="13"/>
      <c r="O89" s="13"/>
      <c r="P89" s="13"/>
      <c r="Q89" s="13"/>
      <c r="R89" s="13"/>
      <c r="S89" s="13"/>
      <c r="T89" s="13"/>
      <c r="U89" s="13"/>
      <c r="V89" s="13"/>
      <c r="W89" s="13"/>
      <c r="X89" s="13"/>
    </row>
    <row r="90" spans="1:24" ht="12.75" customHeight="1" thickBot="1">
      <c r="A90" s="1385"/>
      <c r="B90" s="1412"/>
      <c r="C90" s="1180"/>
      <c r="D90" s="40"/>
      <c r="E90" s="80"/>
      <c r="F90" s="13"/>
      <c r="G90" s="13"/>
      <c r="H90" s="13"/>
      <c r="I90" s="13"/>
      <c r="J90" s="13"/>
      <c r="K90" s="13"/>
      <c r="L90" s="13"/>
      <c r="M90" s="13"/>
      <c r="N90" s="13"/>
      <c r="O90" s="13"/>
      <c r="P90" s="13"/>
      <c r="Q90" s="13"/>
      <c r="R90" s="13"/>
      <c r="S90" s="13"/>
      <c r="T90" s="13"/>
      <c r="U90" s="13"/>
      <c r="V90" s="13"/>
      <c r="W90" s="13"/>
      <c r="X90" s="13"/>
    </row>
    <row r="91" spans="1:24" ht="12.75" customHeight="1">
      <c r="A91" s="1097" t="s">
        <v>675</v>
      </c>
      <c r="B91" s="986"/>
      <c r="C91" s="1080"/>
      <c r="D91" s="13"/>
      <c r="E91" s="80"/>
      <c r="F91" s="13"/>
      <c r="G91" s="13"/>
      <c r="H91" s="13"/>
      <c r="I91" s="13"/>
      <c r="J91" s="13"/>
      <c r="K91" s="13"/>
      <c r="L91" s="13"/>
      <c r="M91" s="13"/>
      <c r="N91" s="13"/>
      <c r="O91" s="13"/>
      <c r="P91" s="13"/>
      <c r="Q91" s="13"/>
      <c r="R91" s="13"/>
      <c r="S91" s="13"/>
      <c r="T91" s="13"/>
      <c r="U91" s="13"/>
      <c r="V91" s="13"/>
      <c r="W91" s="13"/>
      <c r="X91" s="13"/>
    </row>
    <row r="92" spans="1:24" ht="13.5" customHeight="1">
      <c r="A92" s="1097" t="s">
        <v>113</v>
      </c>
      <c r="B92" s="986"/>
      <c r="C92" s="1080"/>
      <c r="D92" s="40"/>
      <c r="E92" s="80"/>
      <c r="F92" s="13"/>
      <c r="G92" s="13"/>
      <c r="H92" s="13"/>
      <c r="I92" s="13"/>
      <c r="J92" s="13"/>
      <c r="K92" s="13"/>
      <c r="L92" s="13"/>
      <c r="M92" s="13"/>
      <c r="N92" s="13"/>
      <c r="O92" s="13"/>
      <c r="P92" s="13"/>
      <c r="Q92" s="13"/>
      <c r="R92" s="13"/>
      <c r="S92" s="13"/>
      <c r="T92" s="13"/>
      <c r="U92" s="13"/>
      <c r="V92" s="13"/>
      <c r="W92" s="13"/>
      <c r="X92" s="13"/>
    </row>
    <row r="93" spans="1:24" ht="13.5" customHeight="1">
      <c r="A93" s="1097" t="s">
        <v>745</v>
      </c>
      <c r="B93" s="986"/>
      <c r="C93" s="1080"/>
      <c r="D93" s="40"/>
      <c r="E93" s="80"/>
      <c r="F93" s="13"/>
      <c r="G93" s="13"/>
      <c r="H93" s="13"/>
      <c r="I93" s="13"/>
      <c r="J93" s="13"/>
      <c r="K93" s="13"/>
      <c r="L93" s="13"/>
      <c r="M93" s="13"/>
      <c r="N93" s="13"/>
      <c r="O93" s="13"/>
      <c r="P93" s="13"/>
      <c r="Q93" s="13"/>
      <c r="R93" s="13"/>
      <c r="S93" s="13"/>
      <c r="T93" s="13"/>
      <c r="U93" s="13"/>
      <c r="V93" s="13"/>
      <c r="W93" s="13"/>
      <c r="X93" s="13"/>
    </row>
    <row r="94" spans="1:24" ht="13.5" customHeight="1" thickBot="1">
      <c r="A94" s="1097" t="s">
        <v>0</v>
      </c>
      <c r="B94" s="986"/>
      <c r="C94" s="1080"/>
      <c r="D94" s="40"/>
      <c r="E94" s="80"/>
      <c r="F94" s="13"/>
      <c r="G94" s="13"/>
      <c r="H94" s="13"/>
      <c r="I94" s="13"/>
      <c r="J94" s="13"/>
      <c r="K94" s="13"/>
      <c r="L94" s="13"/>
      <c r="M94" s="13"/>
      <c r="N94" s="13"/>
      <c r="O94" s="13"/>
      <c r="P94" s="13"/>
      <c r="Q94" s="13"/>
      <c r="R94" s="13"/>
      <c r="S94" s="13"/>
      <c r="T94" s="13"/>
      <c r="U94" s="13"/>
      <c r="V94" s="13"/>
      <c r="W94" s="13"/>
      <c r="X94" s="13"/>
    </row>
    <row r="95" spans="1:24" ht="13.5" customHeight="1" thickBot="1">
      <c r="A95" s="988" t="s">
        <v>1</v>
      </c>
      <c r="B95" s="1093"/>
      <c r="C95" s="1156">
        <f>C97+C110+C124</f>
        <v>153008575.97000003</v>
      </c>
      <c r="D95" s="40"/>
      <c r="E95" s="80"/>
      <c r="F95" s="13"/>
      <c r="G95" s="13"/>
      <c r="H95" s="13"/>
      <c r="I95" s="13"/>
      <c r="J95" s="13"/>
      <c r="K95" s="13"/>
      <c r="L95" s="13"/>
      <c r="M95" s="13"/>
      <c r="N95" s="13"/>
      <c r="O95" s="13"/>
      <c r="P95" s="13"/>
      <c r="Q95" s="13"/>
      <c r="R95" s="13"/>
      <c r="S95" s="13"/>
      <c r="T95" s="13"/>
      <c r="U95" s="13"/>
      <c r="V95" s="13"/>
      <c r="W95" s="13"/>
      <c r="X95" s="13"/>
    </row>
    <row r="96" spans="1:24" ht="13.5" customHeight="1" thickBot="1">
      <c r="A96" s="15"/>
      <c r="B96" s="15"/>
      <c r="C96" s="16"/>
      <c r="D96" s="40"/>
      <c r="E96" s="80"/>
      <c r="F96" s="13"/>
      <c r="G96" s="13"/>
      <c r="H96" s="13"/>
      <c r="I96" s="13"/>
      <c r="J96" s="13"/>
      <c r="K96" s="13"/>
      <c r="L96" s="13"/>
      <c r="M96" s="13"/>
      <c r="N96" s="13"/>
      <c r="O96" s="13"/>
      <c r="P96" s="13"/>
      <c r="Q96" s="13"/>
      <c r="R96" s="13"/>
      <c r="S96" s="13"/>
      <c r="T96" s="13"/>
      <c r="U96" s="13"/>
      <c r="V96" s="13"/>
      <c r="W96" s="13"/>
      <c r="X96" s="13"/>
    </row>
    <row r="97" spans="1:24" ht="13.5" customHeight="1" thickBot="1">
      <c r="A97" s="1280" t="s">
        <v>9</v>
      </c>
      <c r="B97" s="1281"/>
      <c r="C97" s="31">
        <f>+C98+C100+C103+C107</f>
        <v>5355280.3</v>
      </c>
      <c r="D97" s="40"/>
      <c r="E97" s="80"/>
      <c r="F97" s="13"/>
      <c r="G97" s="13"/>
      <c r="H97" s="13"/>
      <c r="I97" s="13"/>
      <c r="J97" s="13"/>
      <c r="K97" s="13"/>
      <c r="L97" s="13"/>
      <c r="M97" s="13"/>
      <c r="N97" s="13"/>
      <c r="O97" s="13"/>
      <c r="P97" s="13"/>
      <c r="Q97" s="13"/>
      <c r="R97" s="13"/>
      <c r="S97" s="13"/>
      <c r="T97" s="13"/>
      <c r="U97" s="13"/>
      <c r="V97" s="13"/>
      <c r="W97" s="13"/>
      <c r="X97" s="13"/>
    </row>
    <row r="98" spans="1:24" ht="13.5" customHeight="1">
      <c r="A98" s="48">
        <v>211201</v>
      </c>
      <c r="B98" s="22" t="s">
        <v>459</v>
      </c>
      <c r="C98" s="617">
        <f>SUM(C99)</f>
        <v>300000</v>
      </c>
      <c r="D98" s="40"/>
      <c r="E98" s="80"/>
      <c r="F98" s="13"/>
      <c r="G98" s="13"/>
      <c r="H98" s="13"/>
      <c r="I98" s="13"/>
      <c r="J98" s="13"/>
      <c r="K98" s="13"/>
      <c r="L98" s="13"/>
      <c r="M98" s="13"/>
      <c r="N98" s="13"/>
      <c r="O98" s="13"/>
      <c r="P98" s="13"/>
      <c r="Q98" s="13"/>
      <c r="R98" s="13"/>
      <c r="S98" s="13"/>
      <c r="T98" s="13"/>
      <c r="U98" s="13"/>
      <c r="V98" s="13"/>
      <c r="W98" s="13"/>
      <c r="X98" s="13"/>
    </row>
    <row r="99" spans="1:24" ht="13.5" customHeight="1">
      <c r="A99" s="33">
        <v>21120101</v>
      </c>
      <c r="B99" s="13" t="s">
        <v>460</v>
      </c>
      <c r="C99" s="610">
        <v>300000</v>
      </c>
      <c r="D99" s="40"/>
      <c r="E99" s="80"/>
      <c r="F99" s="13"/>
      <c r="G99" s="13"/>
      <c r="H99" s="13"/>
      <c r="I99" s="13"/>
      <c r="J99" s="13"/>
      <c r="K99" s="13"/>
      <c r="L99" s="13"/>
      <c r="M99" s="13"/>
      <c r="N99" s="13"/>
      <c r="O99" s="13"/>
      <c r="P99" s="13"/>
      <c r="Q99" s="13"/>
      <c r="R99" s="13"/>
      <c r="S99" s="13"/>
      <c r="T99" s="13"/>
      <c r="U99" s="13"/>
      <c r="V99" s="13"/>
      <c r="W99" s="13"/>
      <c r="X99" s="13"/>
    </row>
    <row r="100" spans="1:24" ht="13.5" customHeight="1">
      <c r="A100" s="48">
        <v>211202</v>
      </c>
      <c r="B100" s="15" t="s">
        <v>529</v>
      </c>
      <c r="C100" s="615">
        <f>SUM(C101:C102)</f>
        <v>540000</v>
      </c>
      <c r="D100" s="40"/>
      <c r="E100" s="80"/>
      <c r="F100" s="13"/>
      <c r="G100" s="13"/>
      <c r="H100" s="13"/>
      <c r="I100" s="13"/>
      <c r="J100" s="13"/>
      <c r="K100" s="13"/>
      <c r="L100" s="13"/>
      <c r="M100" s="13"/>
      <c r="N100" s="13"/>
      <c r="O100" s="13"/>
      <c r="P100" s="13"/>
      <c r="Q100" s="13"/>
      <c r="R100" s="13"/>
      <c r="S100" s="13"/>
      <c r="T100" s="13"/>
      <c r="U100" s="13"/>
      <c r="V100" s="13"/>
      <c r="W100" s="13"/>
      <c r="X100" s="13"/>
    </row>
    <row r="101" spans="1:24" ht="13.5" customHeight="1">
      <c r="A101" s="33">
        <v>21120201</v>
      </c>
      <c r="B101" s="13" t="s">
        <v>540</v>
      </c>
      <c r="C101" s="616">
        <v>440000</v>
      </c>
      <c r="D101" s="40"/>
      <c r="E101" s="80"/>
      <c r="F101" s="13"/>
      <c r="G101" s="13"/>
      <c r="H101" s="13"/>
      <c r="I101" s="13"/>
      <c r="J101" s="13"/>
      <c r="K101" s="13"/>
      <c r="L101" s="13"/>
      <c r="M101" s="13"/>
      <c r="N101" s="13"/>
      <c r="O101" s="13"/>
      <c r="P101" s="13"/>
      <c r="Q101" s="13"/>
      <c r="R101" s="13"/>
      <c r="S101" s="13"/>
      <c r="T101" s="13"/>
      <c r="U101" s="13"/>
      <c r="V101" s="13"/>
      <c r="W101" s="13"/>
      <c r="X101" s="13"/>
    </row>
    <row r="102" spans="1:24" ht="13.5" customHeight="1">
      <c r="A102" s="33">
        <v>21120202</v>
      </c>
      <c r="B102" s="13" t="s">
        <v>530</v>
      </c>
      <c r="C102" s="616">
        <v>100000</v>
      </c>
      <c r="D102" s="40"/>
      <c r="E102" s="80"/>
      <c r="F102" s="13"/>
      <c r="G102" s="13"/>
      <c r="H102" s="13"/>
      <c r="I102" s="13"/>
      <c r="J102" s="13"/>
      <c r="K102" s="13"/>
      <c r="L102" s="13"/>
      <c r="M102" s="13"/>
      <c r="N102" s="13"/>
      <c r="O102" s="13"/>
      <c r="P102" s="13"/>
      <c r="Q102" s="13"/>
      <c r="R102" s="13"/>
      <c r="S102" s="13"/>
      <c r="T102" s="13"/>
      <c r="U102" s="13"/>
      <c r="V102" s="13"/>
      <c r="W102" s="13"/>
      <c r="X102" s="13"/>
    </row>
    <row r="103" spans="1:24" ht="13.5" customHeight="1">
      <c r="A103" s="48">
        <v>211206</v>
      </c>
      <c r="B103" s="15" t="s">
        <v>565</v>
      </c>
      <c r="C103" s="614">
        <f>SUM(C104:C106)</f>
        <v>4495280.3</v>
      </c>
      <c r="D103" s="40"/>
      <c r="E103" s="80"/>
      <c r="F103" s="13"/>
      <c r="G103" s="13"/>
      <c r="H103" s="13"/>
      <c r="I103" s="13"/>
      <c r="J103" s="13"/>
      <c r="K103" s="13"/>
      <c r="L103" s="13"/>
      <c r="M103" s="13"/>
      <c r="N103" s="13"/>
      <c r="O103" s="13"/>
      <c r="P103" s="13"/>
      <c r="Q103" s="13"/>
      <c r="R103" s="13"/>
      <c r="S103" s="13"/>
      <c r="T103" s="13"/>
      <c r="U103" s="13"/>
      <c r="V103" s="13"/>
      <c r="W103" s="13"/>
      <c r="X103" s="13"/>
    </row>
    <row r="104" spans="1:24" ht="13.5" customHeight="1">
      <c r="A104" s="33">
        <v>21120601</v>
      </c>
      <c r="B104" s="13" t="s">
        <v>574</v>
      </c>
      <c r="C104" s="616">
        <f>50000+4275280.3</f>
        <v>4325280.3</v>
      </c>
      <c r="D104" s="40"/>
      <c r="E104" s="80"/>
      <c r="F104" s="13"/>
      <c r="G104" s="13"/>
      <c r="H104" s="13"/>
      <c r="I104" s="13"/>
      <c r="J104" s="13"/>
      <c r="K104" s="13"/>
      <c r="L104" s="13"/>
      <c r="M104" s="13"/>
      <c r="N104" s="13"/>
      <c r="O104" s="13"/>
      <c r="P104" s="13"/>
      <c r="Q104" s="13"/>
      <c r="R104" s="13"/>
      <c r="S104" s="13"/>
      <c r="T104" s="13"/>
      <c r="U104" s="13"/>
      <c r="V104" s="13"/>
      <c r="W104" s="13"/>
      <c r="X104" s="13"/>
    </row>
    <row r="105" spans="1:24" ht="13.5" customHeight="1">
      <c r="A105" s="33">
        <v>21120602</v>
      </c>
      <c r="B105" s="13" t="s">
        <v>566</v>
      </c>
      <c r="C105" s="616">
        <v>120000</v>
      </c>
      <c r="D105" s="40"/>
      <c r="E105" s="80"/>
      <c r="F105" s="13"/>
      <c r="G105" s="13"/>
      <c r="H105" s="13"/>
      <c r="I105" s="13"/>
      <c r="J105" s="13"/>
      <c r="K105" s="13"/>
      <c r="L105" s="13"/>
      <c r="M105" s="13"/>
      <c r="N105" s="13"/>
      <c r="O105" s="13"/>
      <c r="P105" s="13"/>
      <c r="Q105" s="13"/>
      <c r="R105" s="13"/>
      <c r="S105" s="13"/>
      <c r="T105" s="13"/>
      <c r="U105" s="13"/>
      <c r="V105" s="13"/>
      <c r="W105" s="13"/>
      <c r="X105" s="13"/>
    </row>
    <row r="106" spans="1:24" ht="13.5" customHeight="1">
      <c r="A106" s="33">
        <v>21120604</v>
      </c>
      <c r="B106" s="13" t="s">
        <v>567</v>
      </c>
      <c r="C106" s="616">
        <v>50000</v>
      </c>
      <c r="D106" s="40"/>
      <c r="E106" s="80"/>
      <c r="F106" s="13"/>
      <c r="G106" s="13"/>
      <c r="H106" s="13"/>
      <c r="I106" s="13"/>
      <c r="J106" s="13"/>
      <c r="K106" s="13"/>
      <c r="L106" s="13"/>
      <c r="M106" s="13"/>
      <c r="N106" s="13"/>
      <c r="O106" s="13"/>
      <c r="P106" s="13"/>
      <c r="Q106" s="13"/>
      <c r="R106" s="13"/>
      <c r="S106" s="13"/>
      <c r="T106" s="13"/>
      <c r="U106" s="13"/>
      <c r="V106" s="13"/>
      <c r="W106" s="13"/>
      <c r="X106" s="13"/>
    </row>
    <row r="107" spans="1:24" ht="13.5" customHeight="1">
      <c r="A107" s="48">
        <v>211209</v>
      </c>
      <c r="B107" s="15" t="s">
        <v>477</v>
      </c>
      <c r="C107" s="614">
        <f>SUM(C108:C108)</f>
        <v>20000</v>
      </c>
      <c r="D107" s="40"/>
      <c r="E107" s="80"/>
      <c r="F107" s="13"/>
      <c r="G107" s="13"/>
      <c r="H107" s="13"/>
      <c r="I107" s="13"/>
      <c r="J107" s="13"/>
      <c r="K107" s="13"/>
      <c r="L107" s="13"/>
      <c r="M107" s="13"/>
      <c r="N107" s="13"/>
      <c r="O107" s="13"/>
      <c r="P107" s="13"/>
      <c r="Q107" s="13"/>
      <c r="R107" s="13"/>
      <c r="S107" s="13"/>
      <c r="T107" s="13"/>
      <c r="U107" s="13"/>
      <c r="V107" s="13"/>
      <c r="W107" s="13"/>
      <c r="X107" s="13"/>
    </row>
    <row r="108" spans="1:24" ht="13.5" customHeight="1">
      <c r="A108" s="33">
        <v>21120906</v>
      </c>
      <c r="B108" s="24" t="s">
        <v>479</v>
      </c>
      <c r="C108" s="616">
        <v>20000</v>
      </c>
      <c r="D108" s="40"/>
      <c r="E108" s="80"/>
      <c r="F108" s="13"/>
      <c r="G108" s="13"/>
      <c r="H108" s="13"/>
      <c r="I108" s="13"/>
      <c r="J108" s="13"/>
      <c r="K108" s="13"/>
      <c r="L108" s="13"/>
      <c r="M108" s="13"/>
      <c r="N108" s="13"/>
      <c r="O108" s="13"/>
      <c r="P108" s="13"/>
      <c r="Q108" s="13"/>
      <c r="R108" s="13"/>
      <c r="S108" s="13"/>
      <c r="T108" s="13"/>
      <c r="U108" s="13"/>
      <c r="V108" s="13"/>
      <c r="W108" s="13"/>
      <c r="X108" s="13"/>
    </row>
    <row r="109" spans="1:24" ht="14.25" customHeight="1" thickBot="1">
      <c r="A109" s="33"/>
      <c r="B109" s="24"/>
      <c r="C109" s="24"/>
      <c r="D109" s="40"/>
      <c r="E109" s="80"/>
      <c r="F109" s="13"/>
      <c r="G109" s="13"/>
      <c r="H109" s="13"/>
      <c r="I109" s="13"/>
      <c r="J109" s="13"/>
      <c r="K109" s="13"/>
      <c r="L109" s="13"/>
      <c r="M109" s="13"/>
      <c r="N109" s="13"/>
      <c r="O109" s="13"/>
      <c r="P109" s="13"/>
      <c r="Q109" s="13"/>
      <c r="R109" s="13"/>
      <c r="S109" s="13"/>
      <c r="T109" s="13"/>
      <c r="U109" s="13"/>
      <c r="V109" s="13"/>
      <c r="W109" s="13"/>
      <c r="X109" s="13"/>
    </row>
    <row r="110" spans="1:24" ht="13.5" customHeight="1" thickBot="1">
      <c r="A110" s="1282" t="s">
        <v>4</v>
      </c>
      <c r="B110" s="1281"/>
      <c r="C110" s="41">
        <f>C111+C113+C115+C118+C120</f>
        <v>147113295.67000002</v>
      </c>
      <c r="D110" s="40"/>
      <c r="E110" s="80"/>
      <c r="F110" s="13"/>
      <c r="G110" s="13"/>
      <c r="H110" s="13"/>
      <c r="I110" s="13"/>
      <c r="J110" s="13"/>
      <c r="K110" s="13"/>
      <c r="L110" s="13"/>
      <c r="M110" s="13"/>
      <c r="N110" s="13"/>
      <c r="O110" s="13"/>
      <c r="P110" s="13"/>
      <c r="Q110" s="13"/>
      <c r="R110" s="13"/>
      <c r="S110" s="13"/>
      <c r="T110" s="13"/>
      <c r="U110" s="13"/>
      <c r="V110" s="13"/>
      <c r="W110" s="13"/>
      <c r="X110" s="13"/>
    </row>
    <row r="111" spans="1:24" ht="13.5" customHeight="1">
      <c r="A111" s="22">
        <v>211303</v>
      </c>
      <c r="B111" s="15" t="s">
        <v>484</v>
      </c>
      <c r="C111" s="617">
        <f>SUM(C112:C112)</f>
        <v>116000</v>
      </c>
      <c r="D111" s="40"/>
      <c r="E111" s="80"/>
      <c r="F111" s="13"/>
      <c r="G111" s="13"/>
      <c r="H111" s="13"/>
      <c r="I111" s="13"/>
      <c r="J111" s="13"/>
      <c r="K111" s="13"/>
      <c r="L111" s="13"/>
      <c r="M111" s="13"/>
      <c r="N111" s="13"/>
      <c r="O111" s="13"/>
      <c r="P111" s="13"/>
      <c r="Q111" s="13"/>
      <c r="R111" s="13"/>
      <c r="S111" s="13"/>
      <c r="T111" s="13"/>
      <c r="U111" s="13"/>
      <c r="V111" s="13"/>
      <c r="W111" s="13"/>
      <c r="X111" s="13"/>
    </row>
    <row r="112" spans="1:24" ht="13.5" customHeight="1">
      <c r="A112" s="40">
        <v>21130307</v>
      </c>
      <c r="B112" s="13" t="s">
        <v>488</v>
      </c>
      <c r="C112" s="616">
        <f>100000+16000</f>
        <v>116000</v>
      </c>
      <c r="D112" s="40"/>
      <c r="E112" s="80"/>
      <c r="F112" s="13"/>
      <c r="G112" s="13"/>
      <c r="H112" s="13"/>
      <c r="I112" s="13"/>
      <c r="J112" s="13"/>
      <c r="K112" s="13"/>
      <c r="L112" s="13"/>
      <c r="M112" s="13"/>
      <c r="N112" s="13"/>
      <c r="O112" s="13"/>
      <c r="P112" s="13"/>
      <c r="Q112" s="13"/>
      <c r="R112" s="13"/>
      <c r="S112" s="13"/>
      <c r="T112" s="13"/>
      <c r="U112" s="13"/>
      <c r="V112" s="13"/>
      <c r="W112" s="13"/>
      <c r="X112" s="13"/>
    </row>
    <row r="113" spans="1:24" ht="13.5" customHeight="1">
      <c r="A113" s="48">
        <v>211304</v>
      </c>
      <c r="B113" s="15" t="s">
        <v>578</v>
      </c>
      <c r="C113" s="614">
        <f>C114</f>
        <v>2122500</v>
      </c>
      <c r="D113" s="40"/>
      <c r="E113" s="80"/>
      <c r="F113" s="13"/>
      <c r="G113" s="13"/>
      <c r="H113" s="13"/>
      <c r="I113" s="13"/>
      <c r="J113" s="13"/>
      <c r="K113" s="13"/>
      <c r="L113" s="13"/>
      <c r="M113" s="13"/>
      <c r="N113" s="13"/>
      <c r="O113" s="13"/>
      <c r="P113" s="13"/>
      <c r="Q113" s="13"/>
      <c r="R113" s="13"/>
      <c r="S113" s="13"/>
      <c r="T113" s="13"/>
      <c r="U113" s="13"/>
      <c r="V113" s="13"/>
      <c r="W113" s="13"/>
      <c r="X113" s="13"/>
    </row>
    <row r="114" spans="1:24" ht="13.5" customHeight="1">
      <c r="A114" s="40">
        <v>21130405</v>
      </c>
      <c r="B114" s="13" t="s">
        <v>655</v>
      </c>
      <c r="C114" s="616">
        <v>2122500</v>
      </c>
      <c r="D114" s="40"/>
      <c r="E114" s="80"/>
      <c r="F114" s="13"/>
      <c r="G114" s="13"/>
      <c r="H114" s="13"/>
      <c r="I114" s="13"/>
      <c r="J114" s="13"/>
      <c r="K114" s="13"/>
      <c r="L114" s="13"/>
      <c r="M114" s="13"/>
      <c r="N114" s="13"/>
      <c r="O114" s="13"/>
      <c r="P114" s="13"/>
      <c r="Q114" s="13"/>
      <c r="R114" s="13"/>
      <c r="S114" s="13"/>
      <c r="T114" s="13"/>
      <c r="U114" s="13"/>
      <c r="V114" s="13"/>
      <c r="W114" s="13"/>
      <c r="X114" s="13"/>
    </row>
    <row r="115" spans="1:24" ht="13.5" customHeight="1">
      <c r="A115" s="48">
        <v>211305</v>
      </c>
      <c r="B115" s="15" t="s">
        <v>489</v>
      </c>
      <c r="C115" s="614">
        <f>+SUM(C116:C117)</f>
        <v>128424295.67</v>
      </c>
      <c r="D115" s="40"/>
      <c r="E115" s="80"/>
      <c r="F115" s="13"/>
      <c r="G115" s="13"/>
      <c r="H115" s="13"/>
      <c r="I115" s="13"/>
      <c r="J115" s="13"/>
      <c r="K115" s="13"/>
      <c r="L115" s="13"/>
      <c r="M115" s="13"/>
      <c r="N115" s="13"/>
      <c r="O115" s="13"/>
      <c r="P115" s="13"/>
      <c r="Q115" s="13"/>
      <c r="R115" s="13"/>
      <c r="S115" s="13"/>
      <c r="T115" s="13"/>
      <c r="U115" s="13"/>
      <c r="V115" s="13"/>
      <c r="W115" s="13"/>
      <c r="X115" s="13"/>
    </row>
    <row r="116" spans="1:24" ht="13.5" customHeight="1">
      <c r="A116" s="33">
        <v>21130501</v>
      </c>
      <c r="B116" s="13" t="s">
        <v>490</v>
      </c>
      <c r="C116" s="616">
        <v>150000</v>
      </c>
      <c r="D116" s="40"/>
      <c r="E116" s="80"/>
      <c r="F116" s="13"/>
      <c r="G116" s="13"/>
      <c r="H116" s="13"/>
      <c r="I116" s="13"/>
      <c r="J116" s="13"/>
      <c r="K116" s="13"/>
      <c r="L116" s="13"/>
      <c r="M116" s="13"/>
      <c r="N116" s="13"/>
      <c r="O116" s="13"/>
      <c r="P116" s="13"/>
      <c r="Q116" s="13"/>
      <c r="R116" s="13"/>
      <c r="S116" s="13"/>
      <c r="T116" s="13"/>
      <c r="U116" s="13"/>
      <c r="V116" s="13"/>
      <c r="W116" s="13"/>
      <c r="X116" s="13"/>
    </row>
    <row r="117" spans="1:24" ht="13.5" customHeight="1">
      <c r="A117" s="40">
        <v>21130502</v>
      </c>
      <c r="B117" s="13" t="s">
        <v>491</v>
      </c>
      <c r="C117" s="616">
        <f>71406000+56868295.67</f>
        <v>128274295.67</v>
      </c>
      <c r="D117" s="40"/>
      <c r="E117" s="80"/>
      <c r="F117" s="13"/>
      <c r="G117" s="13"/>
      <c r="H117" s="13"/>
      <c r="I117" s="13"/>
      <c r="J117" s="13"/>
      <c r="K117" s="13"/>
      <c r="L117" s="13"/>
      <c r="M117" s="13"/>
      <c r="N117" s="13"/>
      <c r="O117" s="13"/>
      <c r="P117" s="13"/>
      <c r="Q117" s="13"/>
      <c r="R117" s="13"/>
      <c r="S117" s="13"/>
      <c r="T117" s="13"/>
      <c r="U117" s="13"/>
      <c r="V117" s="13"/>
      <c r="W117" s="13"/>
      <c r="X117" s="13"/>
    </row>
    <row r="118" spans="1:24" ht="13.5" customHeight="1">
      <c r="A118" s="48">
        <v>211306</v>
      </c>
      <c r="B118" s="26" t="s">
        <v>492</v>
      </c>
      <c r="C118" s="614">
        <f>C119</f>
        <v>350000</v>
      </c>
      <c r="D118" s="40"/>
      <c r="E118" s="80"/>
      <c r="F118" s="13"/>
      <c r="G118" s="13"/>
      <c r="H118" s="13"/>
      <c r="I118" s="13"/>
      <c r="J118" s="13"/>
      <c r="K118" s="13"/>
      <c r="L118" s="13"/>
      <c r="M118" s="13"/>
      <c r="N118" s="13"/>
      <c r="O118" s="13"/>
      <c r="P118" s="13"/>
      <c r="Q118" s="13"/>
      <c r="R118" s="13"/>
      <c r="S118" s="13"/>
      <c r="T118" s="13"/>
      <c r="U118" s="13"/>
      <c r="V118" s="13"/>
      <c r="W118" s="13"/>
      <c r="X118" s="13"/>
    </row>
    <row r="119" spans="1:24" ht="13.5" customHeight="1">
      <c r="A119" s="33">
        <v>21130604</v>
      </c>
      <c r="B119" s="13" t="s">
        <v>539</v>
      </c>
      <c r="C119" s="616">
        <v>350000</v>
      </c>
      <c r="D119" s="40"/>
      <c r="E119" s="80"/>
      <c r="F119" s="13"/>
      <c r="G119" s="13"/>
      <c r="H119" s="13"/>
      <c r="I119" s="13"/>
      <c r="J119" s="13"/>
      <c r="K119" s="13"/>
      <c r="L119" s="13"/>
      <c r="M119" s="13"/>
      <c r="N119" s="13"/>
      <c r="O119" s="13"/>
      <c r="P119" s="13"/>
      <c r="Q119" s="13"/>
      <c r="R119" s="13"/>
      <c r="S119" s="13"/>
      <c r="T119" s="13"/>
      <c r="U119" s="13"/>
      <c r="V119" s="13"/>
      <c r="W119" s="13"/>
      <c r="X119" s="13"/>
    </row>
    <row r="120" spans="1:24" ht="13.5" customHeight="1">
      <c r="A120" s="48">
        <v>211309</v>
      </c>
      <c r="B120" s="26" t="s">
        <v>496</v>
      </c>
      <c r="C120" s="614">
        <f>+SUM(C121:C122)</f>
        <v>16100500</v>
      </c>
      <c r="D120" s="40"/>
      <c r="E120" s="80"/>
      <c r="F120" s="13"/>
      <c r="G120" s="13"/>
      <c r="H120" s="13"/>
      <c r="I120" s="13"/>
      <c r="J120" s="13"/>
      <c r="K120" s="13"/>
      <c r="L120" s="13"/>
      <c r="M120" s="13"/>
      <c r="N120" s="13"/>
      <c r="O120" s="13"/>
      <c r="P120" s="13"/>
      <c r="Q120" s="13"/>
      <c r="R120" s="13"/>
      <c r="S120" s="13"/>
      <c r="T120" s="13"/>
      <c r="U120" s="13"/>
      <c r="V120" s="13"/>
      <c r="W120" s="13"/>
      <c r="X120" s="13"/>
    </row>
    <row r="121" spans="1:24" ht="13.5" customHeight="1">
      <c r="A121" s="40">
        <v>21130901</v>
      </c>
      <c r="B121" s="13" t="s">
        <v>497</v>
      </c>
      <c r="C121" s="616">
        <f>16077500-100000</f>
        <v>15977500</v>
      </c>
      <c r="D121" s="40"/>
      <c r="E121" s="80"/>
      <c r="F121" s="13"/>
      <c r="G121" s="13"/>
      <c r="H121" s="13"/>
      <c r="I121" s="13"/>
      <c r="J121" s="13"/>
      <c r="K121" s="13"/>
      <c r="L121" s="13"/>
      <c r="M121" s="13"/>
      <c r="N121" s="13"/>
      <c r="O121" s="13"/>
      <c r="P121" s="13"/>
      <c r="Q121" s="13"/>
      <c r="R121" s="13"/>
      <c r="S121" s="13"/>
      <c r="T121" s="13"/>
      <c r="U121" s="13"/>
      <c r="V121" s="13"/>
      <c r="W121" s="13"/>
      <c r="X121" s="13"/>
    </row>
    <row r="122" spans="1:24" ht="13.5" customHeight="1">
      <c r="A122" s="33">
        <v>21130908</v>
      </c>
      <c r="B122" s="24" t="s">
        <v>500</v>
      </c>
      <c r="C122" s="616">
        <v>123000</v>
      </c>
      <c r="D122" s="40"/>
      <c r="E122" s="80"/>
      <c r="F122" s="13"/>
      <c r="G122" s="13"/>
      <c r="H122" s="13"/>
      <c r="I122" s="13"/>
      <c r="J122" s="13"/>
      <c r="K122" s="13"/>
      <c r="L122" s="13"/>
      <c r="M122" s="13"/>
      <c r="N122" s="13"/>
      <c r="O122" s="13"/>
      <c r="P122" s="13"/>
      <c r="Q122" s="13"/>
      <c r="R122" s="13"/>
      <c r="S122" s="13"/>
      <c r="T122" s="13"/>
      <c r="U122" s="13"/>
      <c r="V122" s="13"/>
      <c r="W122" s="13"/>
      <c r="X122" s="13"/>
    </row>
    <row r="123" spans="1:24" ht="13.5" customHeight="1" thickBot="1">
      <c r="A123" s="33"/>
      <c r="B123" s="24"/>
      <c r="C123" s="14"/>
      <c r="D123" s="40"/>
      <c r="E123" s="80"/>
      <c r="F123" s="13"/>
      <c r="G123" s="13"/>
      <c r="H123" s="13"/>
      <c r="I123" s="13"/>
      <c r="J123" s="13"/>
      <c r="K123" s="13"/>
      <c r="L123" s="13"/>
      <c r="M123" s="13"/>
      <c r="N123" s="13"/>
      <c r="O123" s="13"/>
      <c r="P123" s="13"/>
      <c r="Q123" s="13"/>
      <c r="R123" s="13"/>
      <c r="S123" s="13"/>
      <c r="T123" s="13"/>
      <c r="U123" s="13"/>
      <c r="V123" s="13"/>
      <c r="W123" s="13"/>
      <c r="X123" s="13"/>
    </row>
    <row r="124" spans="1:24" ht="13.5" customHeight="1" thickBot="1">
      <c r="A124" s="1283" t="s">
        <v>48</v>
      </c>
      <c r="B124" s="1281"/>
      <c r="C124" s="52">
        <f>C125+C127</f>
        <v>540000</v>
      </c>
      <c r="D124" s="40"/>
      <c r="E124" s="80"/>
      <c r="F124" s="13"/>
      <c r="G124" s="13"/>
      <c r="H124" s="13"/>
      <c r="I124" s="13"/>
      <c r="J124" s="13"/>
      <c r="K124" s="13"/>
      <c r="L124" s="13"/>
      <c r="M124" s="13"/>
      <c r="N124" s="13"/>
      <c r="O124" s="13"/>
      <c r="P124" s="13"/>
      <c r="Q124" s="13"/>
      <c r="R124" s="13"/>
      <c r="S124" s="13"/>
      <c r="T124" s="13"/>
      <c r="U124" s="13"/>
      <c r="V124" s="13"/>
      <c r="W124" s="13"/>
      <c r="X124" s="13"/>
    </row>
    <row r="125" spans="1:24" ht="13.5" customHeight="1">
      <c r="A125" s="48">
        <v>221102</v>
      </c>
      <c r="B125" s="70" t="s">
        <v>543</v>
      </c>
      <c r="C125" s="82">
        <f>SUM(C126)</f>
        <v>500000</v>
      </c>
      <c r="D125" s="40"/>
      <c r="E125" s="14"/>
      <c r="F125" s="13"/>
      <c r="G125" s="13"/>
      <c r="H125" s="13"/>
      <c r="I125" s="13"/>
      <c r="J125" s="13"/>
      <c r="K125" s="13"/>
      <c r="L125" s="13"/>
      <c r="M125" s="13"/>
      <c r="N125" s="13"/>
      <c r="O125" s="13"/>
      <c r="P125" s="13"/>
      <c r="Q125" s="13"/>
      <c r="R125" s="13"/>
      <c r="S125" s="13"/>
      <c r="T125" s="13"/>
      <c r="U125" s="13"/>
      <c r="V125" s="13"/>
      <c r="W125" s="13"/>
      <c r="X125" s="13"/>
    </row>
    <row r="126" spans="1:24" ht="13.5" customHeight="1">
      <c r="A126" s="33">
        <v>22110201</v>
      </c>
      <c r="B126" s="24" t="s">
        <v>571</v>
      </c>
      <c r="C126" s="24">
        <v>500000</v>
      </c>
      <c r="D126" s="40"/>
      <c r="E126" s="14"/>
      <c r="F126" s="13"/>
      <c r="G126" s="13"/>
      <c r="H126" s="13"/>
      <c r="I126" s="13"/>
      <c r="J126" s="13"/>
      <c r="K126" s="13"/>
      <c r="L126" s="13"/>
      <c r="M126" s="13"/>
      <c r="N126" s="13"/>
      <c r="O126" s="13"/>
      <c r="P126" s="13"/>
      <c r="Q126" s="13"/>
      <c r="R126" s="13"/>
      <c r="S126" s="13"/>
      <c r="T126" s="13"/>
      <c r="U126" s="13"/>
      <c r="V126" s="13"/>
      <c r="W126" s="13"/>
      <c r="X126" s="13"/>
    </row>
    <row r="127" spans="1:24" ht="13.5" customHeight="1">
      <c r="A127" s="48">
        <v>221107</v>
      </c>
      <c r="B127" s="26" t="s">
        <v>514</v>
      </c>
      <c r="C127" s="26">
        <f>SUM(C128)</f>
        <v>40000</v>
      </c>
      <c r="D127" s="40"/>
      <c r="E127" s="14"/>
      <c r="F127" s="13"/>
      <c r="G127" s="13"/>
      <c r="H127" s="13"/>
      <c r="I127" s="13"/>
      <c r="J127" s="13"/>
      <c r="K127" s="13"/>
      <c r="L127" s="13"/>
      <c r="M127" s="13"/>
      <c r="N127" s="13"/>
      <c r="O127" s="13"/>
      <c r="P127" s="13"/>
      <c r="Q127" s="13"/>
      <c r="R127" s="13"/>
      <c r="S127" s="13"/>
      <c r="T127" s="13"/>
      <c r="U127" s="13"/>
      <c r="V127" s="13"/>
      <c r="W127" s="13"/>
      <c r="X127" s="13"/>
    </row>
    <row r="128" spans="1:24" ht="13.5" customHeight="1">
      <c r="A128" s="33">
        <v>22110702</v>
      </c>
      <c r="B128" s="24" t="s">
        <v>515</v>
      </c>
      <c r="C128" s="24">
        <v>40000</v>
      </c>
      <c r="D128" s="40"/>
      <c r="E128" s="14"/>
      <c r="F128" s="13"/>
      <c r="G128" s="13"/>
      <c r="H128" s="13"/>
      <c r="I128" s="13"/>
      <c r="J128" s="13"/>
      <c r="K128" s="13"/>
      <c r="L128" s="13"/>
      <c r="M128" s="13"/>
      <c r="N128" s="13"/>
      <c r="O128" s="13"/>
      <c r="P128" s="13"/>
      <c r="Q128" s="13"/>
      <c r="R128" s="13"/>
      <c r="S128" s="13"/>
      <c r="T128" s="13"/>
      <c r="U128" s="13"/>
      <c r="V128" s="13"/>
      <c r="W128" s="13"/>
      <c r="X128" s="13"/>
    </row>
    <row r="129" spans="1:24" ht="13.5" customHeight="1">
      <c r="A129" s="33"/>
      <c r="B129" s="24"/>
      <c r="C129" s="24"/>
      <c r="D129" s="40"/>
      <c r="E129" s="14"/>
      <c r="F129" s="13"/>
      <c r="G129" s="13"/>
      <c r="H129" s="13"/>
      <c r="I129" s="13"/>
      <c r="J129" s="13"/>
      <c r="K129" s="13"/>
      <c r="L129" s="13"/>
      <c r="M129" s="13"/>
      <c r="N129" s="13"/>
      <c r="O129" s="13"/>
      <c r="P129" s="13"/>
      <c r="Q129" s="13"/>
      <c r="R129" s="13"/>
      <c r="S129" s="13"/>
      <c r="T129" s="13"/>
      <c r="U129" s="13"/>
      <c r="V129" s="13"/>
      <c r="W129" s="13"/>
      <c r="X129" s="13"/>
    </row>
    <row r="130" spans="1:24" ht="13.5" customHeight="1" thickBot="1">
      <c r="A130" s="33"/>
      <c r="B130" s="24"/>
      <c r="C130" s="24"/>
      <c r="D130" s="40"/>
      <c r="E130" s="14"/>
      <c r="F130" s="13"/>
      <c r="G130" s="13"/>
      <c r="H130" s="13"/>
      <c r="I130" s="13"/>
      <c r="J130" s="13"/>
      <c r="K130" s="13"/>
      <c r="L130" s="13"/>
      <c r="M130" s="13"/>
      <c r="N130" s="13"/>
      <c r="O130" s="13"/>
      <c r="P130" s="13"/>
      <c r="Q130" s="13"/>
      <c r="R130" s="13"/>
      <c r="S130" s="13"/>
      <c r="T130" s="13"/>
      <c r="U130" s="13"/>
      <c r="V130" s="13"/>
      <c r="W130" s="13"/>
      <c r="X130" s="13"/>
    </row>
    <row r="131" spans="1:24" ht="13.5" customHeight="1">
      <c r="A131" s="1074" t="s">
        <v>705</v>
      </c>
      <c r="B131" s="1075" t="s">
        <v>750</v>
      </c>
      <c r="C131" s="1179" t="s">
        <v>798</v>
      </c>
      <c r="D131" s="40"/>
      <c r="E131" s="14"/>
      <c r="F131" s="13"/>
      <c r="G131" s="13"/>
      <c r="H131" s="13"/>
      <c r="I131" s="13"/>
      <c r="J131" s="13"/>
      <c r="K131" s="13"/>
      <c r="L131" s="13"/>
      <c r="M131" s="13"/>
      <c r="N131" s="13"/>
      <c r="O131" s="13"/>
      <c r="P131" s="13"/>
      <c r="Q131" s="13"/>
      <c r="R131" s="13"/>
      <c r="S131" s="13"/>
      <c r="T131" s="13"/>
      <c r="U131" s="13"/>
      <c r="V131" s="13"/>
      <c r="W131" s="13"/>
      <c r="X131" s="13"/>
    </row>
    <row r="132" spans="1:24" ht="13.5" customHeight="1" thickBot="1">
      <c r="A132" s="1076"/>
      <c r="B132" s="1077" t="s">
        <v>749</v>
      </c>
      <c r="C132" s="1181"/>
      <c r="D132" s="40"/>
      <c r="E132" s="14"/>
      <c r="F132" s="13"/>
      <c r="G132" s="13"/>
      <c r="H132" s="13"/>
      <c r="I132" s="13"/>
      <c r="J132" s="13"/>
      <c r="K132" s="13"/>
      <c r="L132" s="13"/>
      <c r="M132" s="13"/>
      <c r="N132" s="13"/>
      <c r="O132" s="13"/>
      <c r="P132" s="13"/>
      <c r="Q132" s="13"/>
      <c r="R132" s="13"/>
      <c r="S132" s="13"/>
      <c r="T132" s="13"/>
      <c r="U132" s="13"/>
      <c r="V132" s="13"/>
      <c r="W132" s="13"/>
      <c r="X132" s="13"/>
    </row>
    <row r="133" spans="1:24" ht="13.5" customHeight="1">
      <c r="A133" s="1097" t="s">
        <v>675</v>
      </c>
      <c r="B133" s="986"/>
      <c r="C133" s="1098"/>
      <c r="D133" s="40"/>
      <c r="E133" s="14"/>
      <c r="F133" s="13"/>
      <c r="G133" s="13"/>
      <c r="H133" s="13"/>
      <c r="I133" s="13"/>
      <c r="J133" s="13"/>
      <c r="K133" s="13"/>
      <c r="L133" s="13"/>
      <c r="M133" s="13"/>
      <c r="N133" s="13"/>
      <c r="O133" s="13"/>
      <c r="P133" s="13"/>
      <c r="Q133" s="13"/>
      <c r="R133" s="13"/>
      <c r="S133" s="13"/>
      <c r="T133" s="13"/>
      <c r="U133" s="13"/>
      <c r="V133" s="13"/>
      <c r="W133" s="13"/>
      <c r="X133" s="13"/>
    </row>
    <row r="134" spans="1:24" ht="13.5" customHeight="1">
      <c r="A134" s="1097" t="s">
        <v>113</v>
      </c>
      <c r="B134" s="986"/>
      <c r="C134" s="1098"/>
      <c r="D134" s="40"/>
      <c r="E134" s="14"/>
      <c r="F134" s="13"/>
      <c r="G134" s="13"/>
      <c r="H134" s="13"/>
      <c r="I134" s="13"/>
      <c r="J134" s="13"/>
      <c r="K134" s="13"/>
      <c r="L134" s="13"/>
      <c r="M134" s="13"/>
      <c r="N134" s="13"/>
      <c r="O134" s="13"/>
      <c r="P134" s="13"/>
      <c r="Q134" s="13"/>
      <c r="R134" s="13"/>
      <c r="S134" s="13"/>
      <c r="T134" s="13"/>
      <c r="U134" s="13"/>
      <c r="V134" s="13"/>
      <c r="W134" s="13"/>
      <c r="X134" s="13"/>
    </row>
    <row r="135" spans="1:24" ht="12.75" customHeight="1">
      <c r="A135" s="1097" t="s">
        <v>745</v>
      </c>
      <c r="B135" s="986"/>
      <c r="C135" s="1098"/>
      <c r="D135" s="13"/>
      <c r="E135" s="13"/>
      <c r="F135" s="13"/>
      <c r="G135" s="13"/>
      <c r="H135" s="13"/>
      <c r="I135" s="13"/>
      <c r="J135" s="13"/>
      <c r="K135" s="13"/>
      <c r="L135" s="13"/>
      <c r="M135" s="13"/>
      <c r="N135" s="13"/>
      <c r="O135" s="13"/>
      <c r="P135" s="13"/>
      <c r="Q135" s="13"/>
      <c r="R135" s="13"/>
      <c r="S135" s="13"/>
      <c r="T135" s="13"/>
      <c r="U135" s="13"/>
      <c r="V135" s="13"/>
      <c r="W135" s="13"/>
      <c r="X135" s="13"/>
    </row>
    <row r="136" spans="1:24" ht="13.5" customHeight="1" thickBot="1">
      <c r="A136" s="1150" t="s">
        <v>0</v>
      </c>
      <c r="B136" s="1151"/>
      <c r="C136" s="1098"/>
      <c r="D136" s="40"/>
      <c r="E136" s="14"/>
      <c r="F136" s="13"/>
      <c r="G136" s="13"/>
      <c r="H136" s="13"/>
      <c r="I136" s="13"/>
      <c r="J136" s="13"/>
      <c r="K136" s="13"/>
      <c r="L136" s="13"/>
      <c r="M136" s="13"/>
      <c r="N136" s="13"/>
      <c r="O136" s="13"/>
      <c r="P136" s="13"/>
      <c r="Q136" s="13"/>
      <c r="R136" s="13"/>
      <c r="S136" s="13"/>
      <c r="T136" s="13"/>
      <c r="U136" s="13"/>
      <c r="V136" s="13"/>
      <c r="W136" s="13"/>
      <c r="X136" s="13"/>
    </row>
    <row r="137" spans="1:24" ht="13.5" customHeight="1" thickBot="1">
      <c r="A137" s="1158" t="s">
        <v>1</v>
      </c>
      <c r="B137" s="1159"/>
      <c r="C137" s="1156">
        <f>C139+C162+C183+C189</f>
        <v>163660788.30000001</v>
      </c>
      <c r="D137" s="50"/>
      <c r="E137" s="14"/>
      <c r="F137" s="13"/>
      <c r="G137" s="13"/>
      <c r="H137" s="13"/>
      <c r="I137" s="13"/>
      <c r="J137" s="13"/>
      <c r="K137" s="13"/>
      <c r="L137" s="13"/>
      <c r="M137" s="13"/>
      <c r="N137" s="13"/>
      <c r="O137" s="13"/>
      <c r="P137" s="13"/>
      <c r="Q137" s="13"/>
      <c r="R137" s="13"/>
      <c r="S137" s="13"/>
      <c r="T137" s="13"/>
      <c r="U137" s="13"/>
      <c r="V137" s="13"/>
      <c r="W137" s="13"/>
      <c r="X137" s="13"/>
    </row>
    <row r="138" spans="1:24" ht="13.5" customHeight="1" thickBot="1">
      <c r="A138" s="15"/>
      <c r="B138" s="15"/>
      <c r="C138" s="16"/>
      <c r="D138" s="14"/>
      <c r="E138" s="14"/>
      <c r="F138" s="13"/>
      <c r="G138" s="13"/>
      <c r="H138" s="13"/>
      <c r="I138" s="13"/>
      <c r="J138" s="13"/>
      <c r="K138" s="13"/>
      <c r="L138" s="13"/>
      <c r="M138" s="13"/>
      <c r="N138" s="13"/>
      <c r="O138" s="13"/>
      <c r="P138" s="13"/>
      <c r="Q138" s="13"/>
      <c r="R138" s="13"/>
      <c r="S138" s="13"/>
      <c r="T138" s="13"/>
      <c r="U138" s="13"/>
      <c r="V138" s="13"/>
      <c r="W138" s="13"/>
      <c r="X138" s="13"/>
    </row>
    <row r="139" spans="1:24" ht="13.5" customHeight="1" thickBot="1">
      <c r="A139" s="1280" t="s">
        <v>9</v>
      </c>
      <c r="B139" s="1416"/>
      <c r="C139" s="31">
        <f>C140+C142+C144+C146+C148+C155+C157</f>
        <v>106938280.3</v>
      </c>
      <c r="D139" s="14"/>
      <c r="E139" s="14"/>
      <c r="F139" s="13"/>
      <c r="G139" s="13"/>
      <c r="H139" s="13"/>
      <c r="I139" s="13"/>
      <c r="J139" s="13"/>
      <c r="K139" s="13"/>
      <c r="L139" s="13"/>
      <c r="M139" s="13"/>
      <c r="N139" s="13"/>
      <c r="O139" s="13"/>
      <c r="P139" s="13"/>
      <c r="Q139" s="13"/>
      <c r="R139" s="13"/>
      <c r="S139" s="13"/>
      <c r="T139" s="13"/>
      <c r="U139" s="13"/>
      <c r="V139" s="13"/>
      <c r="W139" s="13"/>
      <c r="X139" s="13"/>
    </row>
    <row r="140" spans="1:24" ht="13.5" customHeight="1">
      <c r="A140" s="48">
        <v>211201</v>
      </c>
      <c r="B140" s="22" t="s">
        <v>459</v>
      </c>
      <c r="C140" s="614">
        <f>SUM(C141)</f>
        <v>84519500</v>
      </c>
      <c r="D140" s="14"/>
      <c r="E140" s="14"/>
      <c r="F140" s="13"/>
      <c r="G140" s="13"/>
      <c r="H140" s="13"/>
      <c r="I140" s="13"/>
      <c r="J140" s="13"/>
      <c r="K140" s="13"/>
      <c r="L140" s="13"/>
      <c r="M140" s="13"/>
      <c r="N140" s="13"/>
      <c r="O140" s="13"/>
      <c r="P140" s="13"/>
      <c r="Q140" s="13"/>
      <c r="R140" s="13"/>
      <c r="S140" s="13"/>
      <c r="T140" s="13"/>
      <c r="U140" s="13"/>
      <c r="V140" s="13"/>
      <c r="W140" s="13"/>
      <c r="X140" s="13"/>
    </row>
    <row r="141" spans="1:24" ht="13.5" customHeight="1">
      <c r="A141" s="33">
        <v>21120101</v>
      </c>
      <c r="B141" s="13" t="s">
        <v>460</v>
      </c>
      <c r="C141" s="610">
        <f>54519500+30000000</f>
        <v>84519500</v>
      </c>
      <c r="D141" s="14"/>
      <c r="E141" s="14"/>
      <c r="F141" s="13"/>
      <c r="G141" s="13"/>
      <c r="H141" s="13"/>
      <c r="I141" s="13"/>
      <c r="J141" s="13"/>
      <c r="K141" s="13"/>
      <c r="L141" s="13"/>
      <c r="M141" s="13"/>
      <c r="N141" s="13"/>
      <c r="O141" s="13"/>
      <c r="P141" s="13"/>
      <c r="Q141" s="13"/>
      <c r="R141" s="13"/>
      <c r="S141" s="13"/>
      <c r="T141" s="13"/>
      <c r="U141" s="13"/>
      <c r="V141" s="13"/>
      <c r="W141" s="13"/>
      <c r="X141" s="13"/>
    </row>
    <row r="142" spans="1:24" ht="13.5" customHeight="1">
      <c r="A142" s="48">
        <v>211203</v>
      </c>
      <c r="B142" s="15" t="s">
        <v>461</v>
      </c>
      <c r="C142" s="615">
        <f>C143</f>
        <v>552000</v>
      </c>
      <c r="D142" s="14"/>
      <c r="E142" s="14"/>
      <c r="F142" s="13"/>
      <c r="G142" s="13"/>
      <c r="H142" s="13"/>
      <c r="I142" s="13"/>
      <c r="J142" s="13"/>
      <c r="K142" s="13"/>
      <c r="L142" s="13"/>
      <c r="M142" s="13"/>
      <c r="N142" s="13"/>
      <c r="O142" s="13"/>
      <c r="P142" s="13"/>
      <c r="Q142" s="13"/>
      <c r="R142" s="13"/>
      <c r="S142" s="13"/>
      <c r="T142" s="13"/>
      <c r="U142" s="13"/>
      <c r="V142" s="13"/>
      <c r="W142" s="13"/>
      <c r="X142" s="13"/>
    </row>
    <row r="143" spans="1:24" ht="13.5" customHeight="1">
      <c r="A143" s="33">
        <v>21120302</v>
      </c>
      <c r="B143" s="13" t="s">
        <v>462</v>
      </c>
      <c r="C143" s="610">
        <f>500000+10000+42000</f>
        <v>552000</v>
      </c>
      <c r="D143" s="14"/>
      <c r="E143" s="14"/>
      <c r="F143" s="13"/>
      <c r="G143" s="13"/>
      <c r="H143" s="13"/>
      <c r="I143" s="13"/>
      <c r="J143" s="13"/>
      <c r="K143" s="13"/>
      <c r="L143" s="13"/>
      <c r="M143" s="13"/>
      <c r="N143" s="13"/>
      <c r="O143" s="13"/>
      <c r="P143" s="13"/>
      <c r="Q143" s="13"/>
      <c r="R143" s="13"/>
      <c r="S143" s="13"/>
      <c r="T143" s="13"/>
      <c r="U143" s="13"/>
      <c r="V143" s="13"/>
      <c r="W143" s="13"/>
      <c r="X143" s="13"/>
    </row>
    <row r="144" spans="1:24" ht="13.5" customHeight="1">
      <c r="A144" s="48">
        <v>211204</v>
      </c>
      <c r="B144" s="15" t="s">
        <v>463</v>
      </c>
      <c r="C144" s="615">
        <f>C145</f>
        <v>1180000</v>
      </c>
      <c r="D144" s="14"/>
      <c r="E144" s="14"/>
      <c r="F144" s="13"/>
      <c r="G144" s="13"/>
      <c r="H144" s="13"/>
      <c r="I144" s="13"/>
      <c r="J144" s="13"/>
      <c r="K144" s="13"/>
      <c r="L144" s="13"/>
      <c r="M144" s="13"/>
      <c r="N144" s="13"/>
      <c r="O144" s="13"/>
      <c r="P144" s="13"/>
      <c r="Q144" s="13"/>
      <c r="R144" s="13"/>
      <c r="S144" s="13"/>
      <c r="T144" s="13"/>
      <c r="U144" s="13"/>
      <c r="V144" s="13"/>
      <c r="W144" s="13"/>
      <c r="X144" s="13"/>
    </row>
    <row r="145" spans="1:24" ht="13.5" customHeight="1">
      <c r="A145" s="33">
        <v>21120401</v>
      </c>
      <c r="B145" s="24" t="s">
        <v>464</v>
      </c>
      <c r="C145" s="610">
        <f>1000000+180000</f>
        <v>1180000</v>
      </c>
      <c r="D145" s="14"/>
      <c r="E145" s="14"/>
      <c r="F145" s="13"/>
      <c r="G145" s="13"/>
      <c r="H145" s="13"/>
      <c r="I145" s="13"/>
      <c r="J145" s="13"/>
      <c r="K145" s="13"/>
      <c r="L145" s="13"/>
      <c r="M145" s="13"/>
      <c r="N145" s="13"/>
      <c r="O145" s="13"/>
      <c r="P145" s="13"/>
      <c r="Q145" s="13"/>
      <c r="R145" s="13"/>
      <c r="S145" s="13"/>
      <c r="T145" s="13"/>
      <c r="U145" s="13"/>
      <c r="V145" s="13"/>
      <c r="W145" s="13"/>
      <c r="X145" s="13"/>
    </row>
    <row r="146" spans="1:24" ht="13.5" customHeight="1">
      <c r="A146" s="48">
        <v>211205</v>
      </c>
      <c r="B146" s="15" t="s">
        <v>465</v>
      </c>
      <c r="C146" s="615">
        <f>C147</f>
        <v>10300000</v>
      </c>
      <c r="D146" s="14"/>
      <c r="E146" s="14"/>
      <c r="F146" s="13"/>
      <c r="G146" s="13"/>
      <c r="H146" s="13"/>
      <c r="I146" s="13"/>
      <c r="J146" s="13"/>
      <c r="K146" s="13"/>
      <c r="L146" s="13"/>
      <c r="M146" s="13"/>
      <c r="N146" s="13"/>
      <c r="O146" s="13"/>
      <c r="P146" s="13"/>
      <c r="Q146" s="13"/>
      <c r="R146" s="13"/>
      <c r="S146" s="13"/>
      <c r="T146" s="13"/>
      <c r="U146" s="13"/>
      <c r="V146" s="13"/>
      <c r="W146" s="13"/>
      <c r="X146" s="13"/>
    </row>
    <row r="147" spans="1:24" ht="13.5" customHeight="1">
      <c r="A147" s="33">
        <v>21120501</v>
      </c>
      <c r="B147" s="13" t="s">
        <v>466</v>
      </c>
      <c r="C147" s="616">
        <f>300000+10000000</f>
        <v>10300000</v>
      </c>
      <c r="D147" s="14"/>
      <c r="E147" s="14"/>
      <c r="F147" s="13"/>
      <c r="G147" s="13"/>
      <c r="H147" s="13"/>
      <c r="I147" s="13"/>
      <c r="J147" s="13"/>
      <c r="K147" s="13"/>
      <c r="L147" s="13"/>
      <c r="M147" s="13"/>
      <c r="N147" s="13"/>
      <c r="O147" s="13"/>
      <c r="P147" s="13"/>
      <c r="Q147" s="13"/>
      <c r="R147" s="13"/>
      <c r="S147" s="13"/>
      <c r="T147" s="13"/>
      <c r="U147" s="13"/>
      <c r="V147" s="13"/>
      <c r="W147" s="13"/>
      <c r="X147" s="13"/>
    </row>
    <row r="148" spans="1:24" ht="13.5" customHeight="1">
      <c r="A148" s="48">
        <v>211207</v>
      </c>
      <c r="B148" s="26" t="s">
        <v>467</v>
      </c>
      <c r="C148" s="614">
        <f>+SUM(C149:C154)</f>
        <v>3210000</v>
      </c>
      <c r="D148" s="14"/>
      <c r="E148" s="14"/>
      <c r="F148" s="13"/>
      <c r="G148" s="13"/>
      <c r="H148" s="13"/>
      <c r="I148" s="13"/>
      <c r="J148" s="13"/>
      <c r="K148" s="13"/>
      <c r="L148" s="13"/>
      <c r="M148" s="13"/>
      <c r="N148" s="13"/>
      <c r="O148" s="13"/>
      <c r="P148" s="13"/>
      <c r="Q148" s="13"/>
      <c r="R148" s="13"/>
      <c r="S148" s="13"/>
      <c r="T148" s="13"/>
      <c r="U148" s="13"/>
      <c r="V148" s="13"/>
      <c r="W148" s="13"/>
      <c r="X148" s="13"/>
    </row>
    <row r="149" spans="1:24" ht="13.5" customHeight="1">
      <c r="A149" s="33">
        <v>21120701</v>
      </c>
      <c r="B149" s="24" t="s">
        <v>541</v>
      </c>
      <c r="C149" s="616">
        <f>500000+60000</f>
        <v>560000</v>
      </c>
      <c r="D149" s="14"/>
      <c r="E149" s="14"/>
      <c r="F149" s="13"/>
      <c r="G149" s="13"/>
      <c r="H149" s="13"/>
      <c r="I149" s="13"/>
      <c r="J149" s="13"/>
      <c r="K149" s="13"/>
      <c r="L149" s="13"/>
      <c r="M149" s="13"/>
      <c r="N149" s="13"/>
      <c r="O149" s="13"/>
      <c r="P149" s="13"/>
      <c r="Q149" s="13"/>
      <c r="R149" s="13"/>
      <c r="S149" s="13"/>
      <c r="T149" s="13"/>
      <c r="U149" s="13"/>
      <c r="V149" s="13"/>
      <c r="W149" s="13"/>
      <c r="X149" s="13"/>
    </row>
    <row r="150" spans="1:24" ht="13.5" customHeight="1">
      <c r="A150" s="33">
        <v>21120702</v>
      </c>
      <c r="B150" s="24" t="s">
        <v>468</v>
      </c>
      <c r="C150" s="616">
        <v>500000</v>
      </c>
      <c r="D150" s="14"/>
      <c r="E150" s="14"/>
      <c r="F150" s="13"/>
      <c r="G150" s="13"/>
      <c r="H150" s="13"/>
      <c r="I150" s="13"/>
      <c r="J150" s="13"/>
      <c r="K150" s="13"/>
      <c r="L150" s="13"/>
      <c r="M150" s="13"/>
      <c r="N150" s="13"/>
      <c r="O150" s="13"/>
      <c r="P150" s="13"/>
      <c r="Q150" s="13"/>
      <c r="R150" s="13"/>
      <c r="S150" s="13"/>
      <c r="T150" s="13"/>
      <c r="U150" s="13"/>
      <c r="V150" s="13"/>
      <c r="W150" s="13"/>
      <c r="X150" s="13"/>
    </row>
    <row r="151" spans="1:24" ht="13.5" customHeight="1">
      <c r="A151" s="33">
        <v>21120704</v>
      </c>
      <c r="B151" s="24" t="s">
        <v>469</v>
      </c>
      <c r="C151" s="616">
        <f>500000+20000</f>
        <v>520000</v>
      </c>
      <c r="D151" s="14"/>
      <c r="E151" s="14"/>
      <c r="F151" s="13"/>
      <c r="G151" s="13"/>
      <c r="H151" s="13"/>
      <c r="I151" s="13"/>
      <c r="J151" s="13"/>
      <c r="K151" s="13"/>
      <c r="L151" s="13"/>
      <c r="M151" s="13"/>
      <c r="N151" s="13"/>
      <c r="O151" s="13"/>
      <c r="P151" s="13"/>
      <c r="Q151" s="13"/>
      <c r="R151" s="13"/>
      <c r="S151" s="13"/>
      <c r="T151" s="13"/>
      <c r="U151" s="13"/>
      <c r="V151" s="13"/>
      <c r="W151" s="13"/>
      <c r="X151" s="13"/>
    </row>
    <row r="152" spans="1:24" ht="12.75" customHeight="1">
      <c r="A152" s="33">
        <v>21120708</v>
      </c>
      <c r="B152" s="24" t="s">
        <v>470</v>
      </c>
      <c r="C152" s="610">
        <f>500000+20000</f>
        <v>520000</v>
      </c>
      <c r="D152" s="14"/>
      <c r="E152" s="8"/>
      <c r="F152" s="8"/>
      <c r="G152" s="8"/>
      <c r="H152" s="8"/>
      <c r="I152" s="8"/>
      <c r="J152" s="8"/>
      <c r="K152" s="8"/>
      <c r="L152" s="8"/>
      <c r="M152" s="8"/>
      <c r="N152" s="8"/>
      <c r="O152" s="8"/>
      <c r="P152" s="8"/>
      <c r="Q152" s="8"/>
      <c r="R152" s="8"/>
      <c r="S152" s="8"/>
      <c r="T152" s="8"/>
      <c r="U152" s="8"/>
      <c r="V152" s="8"/>
      <c r="W152" s="8"/>
      <c r="X152" s="8"/>
    </row>
    <row r="153" spans="1:24" ht="12.75" customHeight="1">
      <c r="A153" s="33">
        <v>21120709</v>
      </c>
      <c r="B153" s="24" t="s">
        <v>471</v>
      </c>
      <c r="C153" s="610">
        <f>500000+28000</f>
        <v>528000</v>
      </c>
      <c r="D153" s="14"/>
      <c r="E153" s="8"/>
      <c r="F153" s="8"/>
      <c r="G153" s="8"/>
      <c r="H153" s="8"/>
      <c r="I153" s="8"/>
      <c r="J153" s="8"/>
      <c r="K153" s="8"/>
      <c r="L153" s="8"/>
      <c r="M153" s="8"/>
      <c r="N153" s="8"/>
      <c r="O153" s="8"/>
      <c r="P153" s="8"/>
      <c r="Q153" s="8"/>
      <c r="R153" s="8"/>
      <c r="S153" s="8"/>
      <c r="T153" s="8"/>
      <c r="U153" s="8"/>
      <c r="V153" s="8"/>
      <c r="W153" s="8"/>
      <c r="X153" s="8"/>
    </row>
    <row r="154" spans="1:24" ht="12.75" customHeight="1">
      <c r="A154" s="33">
        <v>21120711</v>
      </c>
      <c r="B154" s="24" t="s">
        <v>473</v>
      </c>
      <c r="C154" s="610">
        <f>500000+82000</f>
        <v>582000</v>
      </c>
      <c r="D154" s="14"/>
      <c r="E154" s="8"/>
      <c r="F154" s="8"/>
      <c r="G154" s="8"/>
      <c r="H154" s="8"/>
      <c r="I154" s="8"/>
      <c r="J154" s="8"/>
      <c r="K154" s="8"/>
      <c r="L154" s="8"/>
      <c r="M154" s="8"/>
      <c r="N154" s="8"/>
      <c r="O154" s="8"/>
      <c r="P154" s="8"/>
      <c r="Q154" s="8"/>
      <c r="R154" s="8"/>
      <c r="S154" s="8"/>
      <c r="T154" s="8"/>
      <c r="U154" s="8"/>
      <c r="V154" s="8"/>
      <c r="W154" s="8"/>
      <c r="X154" s="8"/>
    </row>
    <row r="155" spans="1:24" ht="13.5" customHeight="1">
      <c r="A155" s="48">
        <v>211208</v>
      </c>
      <c r="B155" s="26" t="s">
        <v>474</v>
      </c>
      <c r="C155" s="614">
        <f>C156</f>
        <v>920000</v>
      </c>
      <c r="D155" s="14"/>
      <c r="E155" s="14"/>
      <c r="F155" s="13"/>
      <c r="G155" s="13"/>
      <c r="H155" s="13"/>
      <c r="I155" s="13"/>
      <c r="J155" s="13"/>
      <c r="K155" s="13"/>
      <c r="L155" s="13"/>
      <c r="M155" s="13"/>
      <c r="N155" s="13"/>
      <c r="O155" s="13"/>
      <c r="P155" s="13"/>
      <c r="Q155" s="13"/>
      <c r="R155" s="13"/>
      <c r="S155" s="13"/>
      <c r="T155" s="13"/>
      <c r="U155" s="13"/>
      <c r="V155" s="13"/>
      <c r="W155" s="13"/>
      <c r="X155" s="13"/>
    </row>
    <row r="156" spans="1:24" ht="13.5" customHeight="1">
      <c r="A156" s="33">
        <v>21120805</v>
      </c>
      <c r="B156" s="24" t="s">
        <v>476</v>
      </c>
      <c r="C156" s="616">
        <f>500000+420000</f>
        <v>920000</v>
      </c>
      <c r="D156" s="14"/>
      <c r="E156" s="14"/>
      <c r="F156" s="13"/>
      <c r="G156" s="13"/>
      <c r="H156" s="13"/>
      <c r="I156" s="13"/>
      <c r="J156" s="13"/>
      <c r="K156" s="13"/>
      <c r="L156" s="13"/>
      <c r="M156" s="13"/>
      <c r="N156" s="13"/>
      <c r="O156" s="13"/>
      <c r="P156" s="13"/>
      <c r="Q156" s="13"/>
      <c r="R156" s="13"/>
      <c r="S156" s="13"/>
      <c r="T156" s="13"/>
      <c r="U156" s="13"/>
      <c r="V156" s="13"/>
      <c r="W156" s="13"/>
      <c r="X156" s="13"/>
    </row>
    <row r="157" spans="1:24" ht="13.5" customHeight="1">
      <c r="A157" s="48">
        <v>211209</v>
      </c>
      <c r="B157" s="26" t="s">
        <v>477</v>
      </c>
      <c r="C157" s="614">
        <f>+SUM(C158:C160)</f>
        <v>6256780.2999999998</v>
      </c>
      <c r="D157" s="14"/>
      <c r="E157" s="14"/>
      <c r="F157" s="13"/>
      <c r="G157" s="13"/>
      <c r="H157" s="13"/>
      <c r="I157" s="13"/>
      <c r="J157" s="13"/>
      <c r="K157" s="13"/>
      <c r="L157" s="13"/>
      <c r="M157" s="13"/>
      <c r="N157" s="13"/>
      <c r="O157" s="13"/>
      <c r="P157" s="13"/>
      <c r="Q157" s="13"/>
      <c r="R157" s="13"/>
      <c r="S157" s="13"/>
      <c r="T157" s="13"/>
      <c r="U157" s="13"/>
      <c r="V157" s="13"/>
      <c r="W157" s="13"/>
      <c r="X157" s="13"/>
    </row>
    <row r="158" spans="1:24" ht="13.5" customHeight="1">
      <c r="A158" s="33">
        <v>21120901</v>
      </c>
      <c r="B158" s="24" t="s">
        <v>478</v>
      </c>
      <c r="C158" s="616">
        <f>360000+4275280.3</f>
        <v>4635280.3</v>
      </c>
      <c r="D158" s="14"/>
      <c r="E158" s="14"/>
      <c r="F158" s="13"/>
      <c r="G158" s="13"/>
      <c r="H158" s="13"/>
      <c r="I158" s="13"/>
      <c r="J158" s="13"/>
      <c r="K158" s="13"/>
      <c r="L158" s="13"/>
      <c r="M158" s="13"/>
      <c r="N158" s="13"/>
      <c r="O158" s="13"/>
      <c r="P158" s="13"/>
      <c r="Q158" s="13"/>
      <c r="R158" s="13"/>
      <c r="S158" s="13"/>
      <c r="T158" s="13"/>
      <c r="U158" s="13"/>
      <c r="V158" s="13"/>
      <c r="W158" s="13"/>
      <c r="X158" s="13"/>
    </row>
    <row r="159" spans="1:24" ht="13.5" customHeight="1">
      <c r="A159" s="33">
        <v>21120906</v>
      </c>
      <c r="B159" s="24" t="s">
        <v>479</v>
      </c>
      <c r="C159" s="616">
        <v>1501500</v>
      </c>
      <c r="D159" s="14"/>
      <c r="E159" s="14"/>
      <c r="F159" s="13"/>
      <c r="G159" s="13"/>
      <c r="H159" s="13"/>
      <c r="I159" s="13"/>
      <c r="J159" s="13"/>
      <c r="K159" s="13"/>
      <c r="L159" s="13"/>
      <c r="M159" s="13"/>
      <c r="N159" s="13"/>
      <c r="O159" s="13"/>
      <c r="P159" s="13"/>
      <c r="Q159" s="13"/>
      <c r="R159" s="13"/>
      <c r="S159" s="13"/>
      <c r="T159" s="13"/>
      <c r="U159" s="13"/>
      <c r="V159" s="13"/>
      <c r="W159" s="13"/>
      <c r="X159" s="13"/>
    </row>
    <row r="160" spans="1:24" ht="12.75" customHeight="1">
      <c r="A160" s="33">
        <v>21120907</v>
      </c>
      <c r="B160" s="24" t="s">
        <v>480</v>
      </c>
      <c r="C160" s="616">
        <v>120000</v>
      </c>
      <c r="D160" s="14"/>
      <c r="E160" s="10"/>
      <c r="F160" s="84"/>
      <c r="G160" s="84"/>
      <c r="H160" s="84"/>
      <c r="I160" s="84"/>
      <c r="J160" s="84"/>
      <c r="K160" s="84"/>
      <c r="L160" s="84"/>
      <c r="M160" s="84"/>
      <c r="N160" s="84"/>
      <c r="O160" s="84"/>
      <c r="P160" s="84"/>
      <c r="Q160" s="84"/>
      <c r="R160" s="84"/>
      <c r="S160" s="84"/>
      <c r="T160" s="84"/>
      <c r="U160" s="84"/>
      <c r="V160" s="84"/>
      <c r="W160" s="84"/>
      <c r="X160" s="84"/>
    </row>
    <row r="161" spans="1:24" ht="13.5" customHeight="1" thickBot="1">
      <c r="A161" s="23"/>
      <c r="B161" s="24"/>
      <c r="C161" s="14"/>
      <c r="D161" s="14"/>
      <c r="E161" s="14"/>
      <c r="F161" s="13"/>
      <c r="G161" s="13"/>
      <c r="H161" s="13"/>
      <c r="I161" s="13"/>
      <c r="J161" s="13"/>
      <c r="K161" s="13"/>
      <c r="L161" s="13"/>
      <c r="M161" s="13"/>
      <c r="N161" s="13"/>
      <c r="O161" s="13"/>
      <c r="P161" s="13"/>
      <c r="Q161" s="13"/>
      <c r="R161" s="13"/>
      <c r="S161" s="13"/>
      <c r="T161" s="13"/>
      <c r="U161" s="13"/>
      <c r="V161" s="13"/>
      <c r="W161" s="13"/>
      <c r="X161" s="13"/>
    </row>
    <row r="162" spans="1:24" ht="13.5" customHeight="1" thickBot="1">
      <c r="A162" s="1282" t="s">
        <v>4</v>
      </c>
      <c r="B162" s="1416"/>
      <c r="C162" s="41">
        <f>C163+C165+C169+C173+C177+C175</f>
        <v>26491505</v>
      </c>
      <c r="D162" s="14"/>
      <c r="E162" s="14"/>
      <c r="F162" s="13"/>
      <c r="G162" s="13"/>
      <c r="H162" s="13"/>
      <c r="I162" s="13"/>
      <c r="J162" s="13"/>
      <c r="K162" s="13"/>
      <c r="L162" s="13"/>
      <c r="M162" s="13"/>
      <c r="N162" s="13"/>
      <c r="O162" s="13"/>
      <c r="P162" s="13"/>
      <c r="Q162" s="13"/>
      <c r="R162" s="13"/>
      <c r="S162" s="13"/>
      <c r="T162" s="13"/>
      <c r="U162" s="13"/>
      <c r="V162" s="13"/>
      <c r="W162" s="13"/>
      <c r="X162" s="13"/>
    </row>
    <row r="163" spans="1:24" ht="13.5" customHeight="1">
      <c r="A163" s="706">
        <v>211302</v>
      </c>
      <c r="B163" s="706" t="s">
        <v>481</v>
      </c>
      <c r="C163" s="707">
        <f>C164</f>
        <v>66500</v>
      </c>
      <c r="D163" s="14"/>
      <c r="E163" s="14"/>
      <c r="F163" s="13"/>
      <c r="G163" s="13"/>
      <c r="H163" s="13"/>
      <c r="I163" s="13"/>
      <c r="J163" s="13"/>
      <c r="K163" s="13"/>
      <c r="L163" s="13"/>
      <c r="M163" s="13"/>
      <c r="N163" s="13"/>
      <c r="O163" s="13"/>
      <c r="P163" s="13"/>
      <c r="Q163" s="13"/>
      <c r="R163" s="13"/>
      <c r="S163" s="13"/>
      <c r="T163" s="13"/>
      <c r="U163" s="13"/>
      <c r="V163" s="13"/>
      <c r="W163" s="13"/>
      <c r="X163" s="13"/>
    </row>
    <row r="164" spans="1:24" ht="13.5" customHeight="1">
      <c r="A164" s="710">
        <v>21130204</v>
      </c>
      <c r="B164" s="671" t="s">
        <v>483</v>
      </c>
      <c r="C164" s="51">
        <v>66500</v>
      </c>
      <c r="D164" s="14"/>
      <c r="E164" s="708"/>
      <c r="F164" s="706"/>
      <c r="G164" s="707"/>
      <c r="H164" s="13"/>
      <c r="I164" s="13"/>
      <c r="J164" s="13"/>
      <c r="K164" s="13"/>
      <c r="L164" s="13"/>
      <c r="M164" s="13"/>
      <c r="N164" s="13"/>
      <c r="O164" s="13"/>
      <c r="P164" s="13"/>
      <c r="Q164" s="13"/>
      <c r="R164" s="13"/>
      <c r="S164" s="13"/>
      <c r="T164" s="13"/>
      <c r="U164" s="13"/>
      <c r="V164" s="13"/>
      <c r="W164" s="13"/>
      <c r="X164" s="13"/>
    </row>
    <row r="165" spans="1:24" ht="13.5" customHeight="1">
      <c r="A165" s="706">
        <v>211303</v>
      </c>
      <c r="B165" s="708" t="s">
        <v>484</v>
      </c>
      <c r="C165" s="707">
        <f>+SUM(C166:C168)</f>
        <v>3464000</v>
      </c>
      <c r="D165" s="14"/>
      <c r="E165" s="671"/>
      <c r="F165" s="671"/>
      <c r="G165" s="51"/>
      <c r="H165" s="13"/>
      <c r="I165" s="13"/>
      <c r="J165" s="13"/>
      <c r="K165" s="13"/>
      <c r="L165" s="13"/>
      <c r="M165" s="13"/>
      <c r="N165" s="13"/>
      <c r="O165" s="13"/>
      <c r="P165" s="13"/>
      <c r="Q165" s="13"/>
      <c r="R165" s="13"/>
      <c r="S165" s="13"/>
      <c r="T165" s="13"/>
      <c r="U165" s="13"/>
      <c r="V165" s="13"/>
      <c r="W165" s="13"/>
      <c r="X165" s="13"/>
    </row>
    <row r="166" spans="1:24" ht="13.5" customHeight="1">
      <c r="A166" s="710">
        <v>21130302</v>
      </c>
      <c r="B166" s="671" t="s">
        <v>520</v>
      </c>
      <c r="C166" s="43">
        <v>401500</v>
      </c>
      <c r="D166" s="14"/>
      <c r="E166" s="708"/>
      <c r="F166" s="708"/>
      <c r="G166" s="707"/>
      <c r="H166" s="13"/>
      <c r="I166" s="13"/>
      <c r="J166" s="13"/>
      <c r="K166" s="13"/>
      <c r="L166" s="13"/>
      <c r="M166" s="13"/>
      <c r="N166" s="13"/>
      <c r="O166" s="13"/>
      <c r="P166" s="13"/>
      <c r="Q166" s="13"/>
      <c r="R166" s="13"/>
      <c r="S166" s="13"/>
      <c r="T166" s="13"/>
      <c r="U166" s="13"/>
      <c r="V166" s="13"/>
      <c r="W166" s="13"/>
      <c r="X166" s="13"/>
    </row>
    <row r="167" spans="1:24" ht="13.5" customHeight="1">
      <c r="A167" s="710">
        <v>21130304</v>
      </c>
      <c r="B167" s="671" t="s">
        <v>486</v>
      </c>
      <c r="C167" s="43">
        <f>1500000+20000</f>
        <v>1520000</v>
      </c>
      <c r="D167" s="14"/>
      <c r="E167" s="671"/>
      <c r="F167" s="671"/>
      <c r="G167" s="43"/>
      <c r="H167" s="13"/>
      <c r="I167" s="13"/>
      <c r="J167" s="13"/>
      <c r="K167" s="13"/>
      <c r="L167" s="13"/>
      <c r="M167" s="13"/>
      <c r="N167" s="13"/>
      <c r="O167" s="13"/>
      <c r="P167" s="13"/>
      <c r="Q167" s="13"/>
      <c r="R167" s="13"/>
      <c r="S167" s="13"/>
      <c r="T167" s="13"/>
      <c r="U167" s="13"/>
      <c r="V167" s="13"/>
      <c r="W167" s="13"/>
      <c r="X167" s="13"/>
    </row>
    <row r="168" spans="1:24" ht="13.5" customHeight="1">
      <c r="A168" s="710">
        <v>21130307</v>
      </c>
      <c r="B168" s="671" t="s">
        <v>488</v>
      </c>
      <c r="C168" s="43">
        <f>1500000+42500</f>
        <v>1542500</v>
      </c>
      <c r="D168" s="14"/>
      <c r="E168" s="671"/>
      <c r="F168" s="671"/>
      <c r="G168" s="43"/>
      <c r="H168" s="13"/>
      <c r="I168" s="13"/>
      <c r="J168" s="13"/>
      <c r="K168" s="13"/>
      <c r="L168" s="13"/>
      <c r="M168" s="13"/>
      <c r="N168" s="13"/>
      <c r="O168" s="13"/>
      <c r="P168" s="13"/>
      <c r="Q168" s="13"/>
      <c r="R168" s="13"/>
      <c r="S168" s="13"/>
      <c r="T168" s="13"/>
      <c r="U168" s="13"/>
      <c r="V168" s="13"/>
      <c r="W168" s="13"/>
      <c r="X168" s="13"/>
    </row>
    <row r="169" spans="1:24" ht="13.5" customHeight="1">
      <c r="A169" s="1061">
        <v>211305</v>
      </c>
      <c r="B169" s="708" t="s">
        <v>489</v>
      </c>
      <c r="C169" s="709">
        <f>+SUM(C170:C172)</f>
        <v>17630505</v>
      </c>
      <c r="D169" s="14"/>
      <c r="E169" s="671"/>
      <c r="F169" s="671"/>
      <c r="G169" s="43"/>
      <c r="H169" s="13"/>
      <c r="I169" s="13"/>
      <c r="J169" s="13"/>
      <c r="K169" s="13"/>
      <c r="L169" s="13"/>
      <c r="M169" s="13"/>
      <c r="N169" s="13"/>
      <c r="O169" s="13"/>
      <c r="P169" s="13"/>
      <c r="Q169" s="13"/>
      <c r="R169" s="13"/>
      <c r="S169" s="13"/>
      <c r="T169" s="13"/>
      <c r="U169" s="13"/>
      <c r="V169" s="13"/>
      <c r="W169" s="13"/>
      <c r="X169" s="13"/>
    </row>
    <row r="170" spans="1:24" ht="13.5" customHeight="1">
      <c r="A170" s="1049">
        <v>21130501</v>
      </c>
      <c r="B170" s="671" t="s">
        <v>490</v>
      </c>
      <c r="C170" s="43">
        <v>100000</v>
      </c>
      <c r="D170" s="14"/>
      <c r="E170" s="705"/>
      <c r="F170" s="708"/>
      <c r="G170" s="709"/>
      <c r="H170" s="13"/>
      <c r="I170" s="13"/>
      <c r="J170" s="13"/>
      <c r="K170" s="13"/>
      <c r="L170" s="13"/>
      <c r="M170" s="13"/>
      <c r="N170" s="13"/>
      <c r="O170" s="13"/>
      <c r="P170" s="13"/>
      <c r="Q170" s="13"/>
      <c r="R170" s="13"/>
      <c r="S170" s="13"/>
      <c r="T170" s="13"/>
      <c r="U170" s="13"/>
      <c r="V170" s="13"/>
      <c r="W170" s="13"/>
      <c r="X170" s="13"/>
    </row>
    <row r="171" spans="1:24" ht="13.5" customHeight="1">
      <c r="A171" s="1049">
        <v>21130502</v>
      </c>
      <c r="B171" s="51" t="s">
        <v>491</v>
      </c>
      <c r="C171" s="43">
        <v>16530505</v>
      </c>
      <c r="D171" s="14"/>
      <c r="E171" s="667"/>
      <c r="F171" s="671"/>
      <c r="G171" s="43"/>
      <c r="H171" s="13"/>
      <c r="I171" s="13"/>
      <c r="J171" s="13"/>
      <c r="K171" s="13"/>
      <c r="L171" s="13"/>
      <c r="M171" s="13"/>
      <c r="N171" s="13"/>
      <c r="O171" s="13"/>
      <c r="P171" s="13"/>
      <c r="Q171" s="13"/>
      <c r="R171" s="13"/>
      <c r="S171" s="13"/>
      <c r="T171" s="13"/>
      <c r="U171" s="13"/>
      <c r="V171" s="13"/>
      <c r="W171" s="13"/>
      <c r="X171" s="13"/>
    </row>
    <row r="172" spans="1:24" ht="13.5" customHeight="1">
      <c r="A172" s="1049">
        <v>21130505</v>
      </c>
      <c r="B172" s="671" t="s">
        <v>651</v>
      </c>
      <c r="C172" s="43">
        <v>1000000</v>
      </c>
      <c r="D172" s="14"/>
      <c r="E172" s="667"/>
      <c r="F172" s="51"/>
      <c r="G172" s="43"/>
      <c r="H172" s="13"/>
      <c r="I172" s="13"/>
      <c r="J172" s="13"/>
      <c r="K172" s="13"/>
      <c r="L172" s="13"/>
      <c r="M172" s="13"/>
      <c r="N172" s="13"/>
      <c r="O172" s="13"/>
      <c r="P172" s="13"/>
      <c r="Q172" s="13"/>
      <c r="R172" s="13"/>
      <c r="S172" s="13"/>
      <c r="T172" s="13"/>
      <c r="U172" s="13"/>
      <c r="V172" s="13"/>
      <c r="W172" s="13"/>
      <c r="X172" s="13"/>
    </row>
    <row r="173" spans="1:24" ht="12.75" customHeight="1">
      <c r="A173" s="1061">
        <v>211306</v>
      </c>
      <c r="B173" s="709" t="s">
        <v>492</v>
      </c>
      <c r="C173" s="707">
        <f>C174</f>
        <v>50000</v>
      </c>
      <c r="D173" s="14"/>
      <c r="E173" s="667"/>
      <c r="F173" s="671"/>
      <c r="G173" s="43"/>
      <c r="H173" s="8"/>
      <c r="I173" s="8"/>
      <c r="J173" s="8"/>
      <c r="K173" s="8"/>
      <c r="L173" s="8"/>
      <c r="M173" s="8"/>
      <c r="N173" s="8"/>
      <c r="O173" s="8"/>
      <c r="P173" s="8"/>
      <c r="Q173" s="8"/>
      <c r="R173" s="8"/>
      <c r="S173" s="8"/>
      <c r="T173" s="8"/>
      <c r="U173" s="8"/>
      <c r="V173" s="8"/>
      <c r="W173" s="8"/>
      <c r="X173" s="8"/>
    </row>
    <row r="174" spans="1:24" ht="12.75" customHeight="1">
      <c r="A174" s="1049">
        <v>21130607</v>
      </c>
      <c r="B174" s="51" t="s">
        <v>493</v>
      </c>
      <c r="C174" s="43">
        <v>50000</v>
      </c>
      <c r="D174" s="14"/>
      <c r="E174" s="667"/>
      <c r="F174" s="671"/>
      <c r="G174" s="43"/>
      <c r="H174" s="8"/>
      <c r="I174" s="8"/>
      <c r="J174" s="8"/>
      <c r="K174" s="8"/>
      <c r="L174" s="8"/>
      <c r="M174" s="8"/>
      <c r="N174" s="8"/>
      <c r="O174" s="8"/>
      <c r="P174" s="8"/>
      <c r="Q174" s="8"/>
      <c r="R174" s="8"/>
      <c r="S174" s="8"/>
      <c r="T174" s="8"/>
      <c r="U174" s="8"/>
      <c r="V174" s="8"/>
      <c r="W174" s="8"/>
      <c r="X174" s="8"/>
    </row>
    <row r="175" spans="1:24" ht="12.75" customHeight="1">
      <c r="A175" s="1061">
        <v>211307</v>
      </c>
      <c r="B175" s="708" t="s">
        <v>494</v>
      </c>
      <c r="C175" s="707">
        <f>C176</f>
        <v>350000</v>
      </c>
      <c r="D175" s="14"/>
      <c r="E175" s="667"/>
      <c r="F175" s="671"/>
      <c r="G175" s="43"/>
      <c r="H175" s="8"/>
      <c r="I175" s="8"/>
      <c r="J175" s="8"/>
      <c r="K175" s="8"/>
      <c r="L175" s="8"/>
      <c r="M175" s="8"/>
      <c r="N175" s="8"/>
      <c r="O175" s="8"/>
      <c r="P175" s="8"/>
      <c r="Q175" s="8"/>
      <c r="R175" s="8"/>
      <c r="S175" s="8"/>
      <c r="T175" s="8"/>
      <c r="U175" s="8"/>
      <c r="V175" s="8"/>
      <c r="W175" s="8"/>
      <c r="X175" s="8"/>
    </row>
    <row r="176" spans="1:24" ht="12.75" customHeight="1">
      <c r="A176" s="1049">
        <v>21130701</v>
      </c>
      <c r="B176" s="671" t="s">
        <v>495</v>
      </c>
      <c r="C176" s="43">
        <v>350000</v>
      </c>
      <c r="D176" s="14"/>
      <c r="E176" s="667"/>
      <c r="F176" s="671"/>
      <c r="G176" s="43"/>
      <c r="H176" s="8"/>
      <c r="I176" s="8"/>
      <c r="J176" s="8"/>
      <c r="K176" s="8"/>
      <c r="L176" s="8"/>
      <c r="M176" s="8"/>
      <c r="N176" s="8"/>
      <c r="O176" s="8"/>
      <c r="P176" s="8"/>
      <c r="Q176" s="8"/>
      <c r="R176" s="8"/>
      <c r="S176" s="8"/>
      <c r="T176" s="8"/>
      <c r="U176" s="8"/>
      <c r="V176" s="8"/>
      <c r="W176" s="8"/>
      <c r="X176" s="8"/>
    </row>
    <row r="177" spans="1:24" ht="12.75" customHeight="1">
      <c r="A177" s="1061">
        <v>211309</v>
      </c>
      <c r="B177" s="709" t="s">
        <v>496</v>
      </c>
      <c r="C177" s="707">
        <f>+SUM(C178:C181)</f>
        <v>4930500</v>
      </c>
      <c r="D177" s="14"/>
      <c r="E177" s="667"/>
      <c r="F177" s="671"/>
      <c r="G177" s="43"/>
      <c r="H177" s="8"/>
      <c r="I177" s="8"/>
      <c r="J177" s="8"/>
      <c r="K177" s="8"/>
      <c r="L177" s="8"/>
      <c r="M177" s="8"/>
      <c r="N177" s="8"/>
      <c r="O177" s="8"/>
      <c r="P177" s="8"/>
      <c r="Q177" s="8"/>
      <c r="R177" s="8"/>
      <c r="S177" s="8"/>
      <c r="T177" s="8"/>
      <c r="U177" s="8"/>
      <c r="V177" s="8"/>
      <c r="W177" s="8"/>
      <c r="X177" s="8"/>
    </row>
    <row r="178" spans="1:24" ht="12.75" customHeight="1">
      <c r="A178" s="1049">
        <v>21130901</v>
      </c>
      <c r="B178" s="51" t="s">
        <v>497</v>
      </c>
      <c r="C178" s="43">
        <v>3720500</v>
      </c>
      <c r="D178" s="14"/>
      <c r="E178" s="667"/>
      <c r="F178" s="671"/>
      <c r="G178" s="43"/>
      <c r="H178" s="8"/>
      <c r="I178" s="8"/>
      <c r="J178" s="8"/>
      <c r="K178" s="8"/>
      <c r="L178" s="8"/>
      <c r="M178" s="8"/>
      <c r="N178" s="8"/>
      <c r="O178" s="8"/>
      <c r="P178" s="8"/>
      <c r="Q178" s="8"/>
      <c r="R178" s="8"/>
      <c r="S178" s="8"/>
      <c r="T178" s="8"/>
      <c r="U178" s="8"/>
      <c r="V178" s="8"/>
      <c r="W178" s="8"/>
      <c r="X178" s="8"/>
    </row>
    <row r="179" spans="1:24" ht="12.75" customHeight="1">
      <c r="A179" s="1049">
        <v>21130903</v>
      </c>
      <c r="B179" s="51" t="s">
        <v>498</v>
      </c>
      <c r="C179" s="43">
        <v>200000</v>
      </c>
      <c r="D179" s="14"/>
      <c r="E179" s="667"/>
      <c r="F179" s="671"/>
      <c r="G179" s="43"/>
      <c r="H179" s="8"/>
      <c r="I179" s="8"/>
      <c r="J179" s="8"/>
      <c r="K179" s="8"/>
      <c r="L179" s="8"/>
      <c r="M179" s="8"/>
      <c r="N179" s="8"/>
      <c r="O179" s="8"/>
      <c r="P179" s="8"/>
      <c r="Q179" s="8"/>
      <c r="R179" s="8"/>
      <c r="S179" s="8"/>
      <c r="T179" s="8"/>
      <c r="U179" s="8"/>
      <c r="V179" s="8"/>
      <c r="W179" s="8"/>
      <c r="X179" s="8"/>
    </row>
    <row r="180" spans="1:24" ht="12.75" customHeight="1">
      <c r="A180" s="1049">
        <v>21130906</v>
      </c>
      <c r="B180" s="671" t="s">
        <v>499</v>
      </c>
      <c r="C180" s="51">
        <v>500000</v>
      </c>
      <c r="D180" s="14"/>
      <c r="E180" s="667"/>
      <c r="F180" s="671"/>
      <c r="G180" s="43"/>
      <c r="H180" s="8"/>
      <c r="I180" s="8"/>
      <c r="J180" s="8"/>
      <c r="K180" s="8"/>
      <c r="L180" s="8"/>
      <c r="M180" s="8"/>
      <c r="N180" s="8"/>
      <c r="O180" s="8"/>
      <c r="P180" s="8"/>
      <c r="Q180" s="8"/>
      <c r="R180" s="8"/>
      <c r="S180" s="8"/>
      <c r="T180" s="8"/>
      <c r="U180" s="8"/>
      <c r="V180" s="8"/>
      <c r="W180" s="8"/>
      <c r="X180" s="8"/>
    </row>
    <row r="181" spans="1:24" ht="13.5" customHeight="1">
      <c r="A181" s="1049">
        <v>21130908</v>
      </c>
      <c r="B181" s="671" t="s">
        <v>500</v>
      </c>
      <c r="C181" s="51">
        <v>510000</v>
      </c>
      <c r="D181" s="14"/>
      <c r="E181" s="705"/>
      <c r="F181" s="709"/>
      <c r="G181" s="707"/>
      <c r="H181" s="13"/>
      <c r="I181" s="13"/>
      <c r="J181" s="13"/>
      <c r="K181" s="13"/>
      <c r="L181" s="13"/>
      <c r="M181" s="13"/>
      <c r="N181" s="13"/>
      <c r="O181" s="13"/>
      <c r="P181" s="13"/>
      <c r="Q181" s="13"/>
      <c r="R181" s="13"/>
      <c r="S181" s="13"/>
      <c r="T181" s="13"/>
      <c r="U181" s="13"/>
      <c r="V181" s="13"/>
      <c r="W181" s="13"/>
      <c r="X181" s="13"/>
    </row>
    <row r="182" spans="1:24" ht="13.5" customHeight="1" thickBot="1">
      <c r="A182" s="23"/>
      <c r="B182" s="24"/>
      <c r="C182" s="24"/>
      <c r="D182" s="14"/>
      <c r="E182" s="667"/>
      <c r="F182" s="51"/>
      <c r="G182" s="43"/>
      <c r="H182" s="13"/>
      <c r="I182" s="13"/>
      <c r="J182" s="13"/>
      <c r="K182" s="13"/>
      <c r="L182" s="13"/>
      <c r="M182" s="13"/>
      <c r="N182" s="13"/>
      <c r="O182" s="13"/>
      <c r="P182" s="13"/>
      <c r="Q182" s="13"/>
      <c r="R182" s="13"/>
      <c r="S182" s="13"/>
      <c r="T182" s="13"/>
      <c r="U182" s="13"/>
      <c r="V182" s="13"/>
      <c r="W182" s="13"/>
      <c r="X182" s="13"/>
    </row>
    <row r="183" spans="1:24" s="671" customFormat="1" ht="13.5" customHeight="1" thickBot="1">
      <c r="A183" s="1414" t="s">
        <v>45</v>
      </c>
      <c r="B183" s="1415"/>
      <c r="C183" s="711">
        <f>C184</f>
        <v>30000003</v>
      </c>
      <c r="D183" s="43"/>
    </row>
    <row r="184" spans="1:24" s="671" customFormat="1" ht="13.5" customHeight="1">
      <c r="A184" s="1061">
        <v>211402</v>
      </c>
      <c r="B184" s="706" t="s">
        <v>503</v>
      </c>
      <c r="C184" s="707">
        <f>SUM(C185:C187)</f>
        <v>30000003</v>
      </c>
      <c r="D184" s="43"/>
    </row>
    <row r="185" spans="1:24" s="671" customFormat="1" ht="13.5" customHeight="1">
      <c r="A185" s="1049">
        <v>21140208</v>
      </c>
      <c r="B185" s="710" t="s">
        <v>553</v>
      </c>
      <c r="C185" s="43">
        <f>10000000+1</f>
        <v>10000001</v>
      </c>
      <c r="D185" s="43"/>
    </row>
    <row r="186" spans="1:24" s="671" customFormat="1" ht="13.5" customHeight="1">
      <c r="A186" s="1049">
        <v>21140211</v>
      </c>
      <c r="B186" s="710" t="s">
        <v>654</v>
      </c>
      <c r="C186" s="43">
        <f>10000000+1</f>
        <v>10000001</v>
      </c>
      <c r="D186" s="43"/>
    </row>
    <row r="187" spans="1:24" s="671" customFormat="1" ht="13.5" customHeight="1">
      <c r="A187" s="1049">
        <v>21140213</v>
      </c>
      <c r="B187" s="51" t="s">
        <v>504</v>
      </c>
      <c r="C187" s="51">
        <f>10000000+1</f>
        <v>10000001</v>
      </c>
      <c r="D187" s="43"/>
    </row>
    <row r="188" spans="1:24" s="671" customFormat="1" ht="13.5" customHeight="1" thickBot="1">
      <c r="A188" s="1049"/>
      <c r="B188" s="51"/>
      <c r="C188" s="51"/>
      <c r="D188" s="43"/>
    </row>
    <row r="189" spans="1:24" ht="13.5" customHeight="1" thickBot="1">
      <c r="A189" s="1283" t="s">
        <v>48</v>
      </c>
      <c r="B189" s="1416"/>
      <c r="C189" s="52">
        <f>+C190+C194</f>
        <v>231000</v>
      </c>
      <c r="D189" s="14"/>
      <c r="E189" s="705"/>
      <c r="F189" s="708"/>
      <c r="G189" s="707"/>
      <c r="H189" s="13"/>
      <c r="I189" s="13"/>
      <c r="J189" s="13"/>
      <c r="K189" s="13"/>
      <c r="L189" s="13"/>
      <c r="M189" s="13"/>
      <c r="N189" s="13"/>
      <c r="O189" s="13"/>
      <c r="P189" s="13"/>
      <c r="Q189" s="13"/>
      <c r="R189" s="13"/>
      <c r="S189" s="13"/>
      <c r="T189" s="13"/>
      <c r="U189" s="13"/>
      <c r="V189" s="13"/>
      <c r="W189" s="13"/>
      <c r="X189" s="13"/>
    </row>
    <row r="190" spans="1:24" ht="13.5" customHeight="1">
      <c r="A190" s="48">
        <v>221104</v>
      </c>
      <c r="B190" s="603" t="s">
        <v>510</v>
      </c>
      <c r="C190" s="26">
        <f>SUM(C191:C193)</f>
        <v>81000</v>
      </c>
      <c r="D190" s="14"/>
      <c r="E190" s="667"/>
      <c r="F190" s="671"/>
      <c r="G190" s="43"/>
      <c r="H190" s="13"/>
      <c r="I190" s="13"/>
      <c r="J190" s="13"/>
      <c r="K190" s="13"/>
      <c r="L190" s="13"/>
      <c r="M190" s="13"/>
      <c r="N190" s="13"/>
      <c r="O190" s="13"/>
      <c r="P190" s="13"/>
      <c r="Q190" s="13"/>
      <c r="R190" s="13"/>
      <c r="S190" s="13"/>
      <c r="T190" s="13"/>
      <c r="U190" s="13"/>
      <c r="V190" s="13"/>
      <c r="W190" s="13"/>
      <c r="X190" s="13"/>
    </row>
    <row r="191" spans="1:24" ht="13.5" customHeight="1">
      <c r="A191" s="33">
        <v>22110401</v>
      </c>
      <c r="B191" s="24" t="s">
        <v>511</v>
      </c>
      <c r="C191" s="24">
        <v>41000</v>
      </c>
      <c r="D191" s="14"/>
      <c r="E191" s="705"/>
      <c r="F191" s="709"/>
      <c r="G191" s="707"/>
      <c r="H191" s="13"/>
      <c r="I191" s="13"/>
      <c r="J191" s="13"/>
      <c r="K191" s="13"/>
      <c r="L191" s="13"/>
      <c r="M191" s="13"/>
      <c r="N191" s="13"/>
      <c r="O191" s="13"/>
      <c r="P191" s="13"/>
      <c r="Q191" s="13"/>
      <c r="R191" s="13"/>
      <c r="S191" s="13"/>
      <c r="T191" s="13"/>
      <c r="U191" s="13"/>
      <c r="V191" s="13"/>
      <c r="W191" s="13"/>
      <c r="X191" s="13"/>
    </row>
    <row r="192" spans="1:24" ht="13.5" customHeight="1">
      <c r="A192" s="33">
        <v>22110404</v>
      </c>
      <c r="B192" s="24" t="s">
        <v>512</v>
      </c>
      <c r="C192" s="24">
        <v>20000</v>
      </c>
      <c r="D192" s="14"/>
      <c r="E192" s="667"/>
      <c r="F192" s="51"/>
      <c r="G192" s="43"/>
      <c r="H192" s="13"/>
      <c r="I192" s="13"/>
      <c r="J192" s="13"/>
      <c r="K192" s="13"/>
      <c r="L192" s="13"/>
      <c r="M192" s="13"/>
      <c r="N192" s="13"/>
      <c r="O192" s="13"/>
      <c r="P192" s="13"/>
      <c r="Q192" s="13"/>
      <c r="R192" s="13"/>
      <c r="S192" s="13"/>
      <c r="T192" s="13"/>
      <c r="U192" s="13"/>
      <c r="V192" s="13"/>
      <c r="W192" s="13"/>
      <c r="X192" s="13"/>
    </row>
    <row r="193" spans="1:24" ht="13.5" customHeight="1">
      <c r="A193" s="33">
        <v>22110409</v>
      </c>
      <c r="B193" s="24" t="s">
        <v>513</v>
      </c>
      <c r="C193" s="24">
        <v>20000</v>
      </c>
      <c r="D193" s="14"/>
      <c r="E193" s="667"/>
      <c r="F193" s="51"/>
      <c r="G193" s="43"/>
      <c r="H193" s="13"/>
      <c r="I193" s="13"/>
      <c r="J193" s="13"/>
      <c r="K193" s="13"/>
      <c r="L193" s="13"/>
      <c r="M193" s="13"/>
      <c r="N193" s="13"/>
      <c r="O193" s="13"/>
      <c r="P193" s="13"/>
      <c r="Q193" s="13"/>
      <c r="R193" s="13"/>
      <c r="S193" s="13"/>
      <c r="T193" s="13"/>
      <c r="U193" s="13"/>
      <c r="V193" s="13"/>
      <c r="W193" s="13"/>
      <c r="X193" s="13"/>
    </row>
    <row r="194" spans="1:24" ht="13.5" customHeight="1">
      <c r="A194" s="48">
        <v>221107</v>
      </c>
      <c r="B194" s="26" t="s">
        <v>514</v>
      </c>
      <c r="C194" s="26">
        <f>SUM(C195)</f>
        <v>150000</v>
      </c>
      <c r="D194" s="14"/>
      <c r="E194" s="667"/>
      <c r="F194" s="671"/>
      <c r="G194" s="51"/>
      <c r="H194" s="13"/>
      <c r="I194" s="13"/>
      <c r="J194" s="13"/>
      <c r="K194" s="13"/>
      <c r="L194" s="13"/>
      <c r="M194" s="13"/>
      <c r="N194" s="13"/>
      <c r="O194" s="13"/>
      <c r="P194" s="13"/>
      <c r="Q194" s="13"/>
      <c r="R194" s="13"/>
      <c r="S194" s="13"/>
      <c r="T194" s="13"/>
      <c r="U194" s="13"/>
      <c r="V194" s="13"/>
      <c r="W194" s="13"/>
      <c r="X194" s="13"/>
    </row>
    <row r="195" spans="1:24" ht="12.75" customHeight="1">
      <c r="A195" s="33">
        <v>22110702</v>
      </c>
      <c r="B195" s="24" t="s">
        <v>515</v>
      </c>
      <c r="C195" s="24">
        <v>150000</v>
      </c>
      <c r="D195" s="14"/>
      <c r="E195" s="667"/>
      <c r="F195" s="671"/>
      <c r="G195" s="51"/>
      <c r="H195" s="8"/>
      <c r="I195" s="8"/>
      <c r="J195" s="8"/>
      <c r="K195" s="8"/>
      <c r="L195" s="8"/>
      <c r="M195" s="8"/>
      <c r="N195" s="8"/>
      <c r="O195" s="8"/>
      <c r="P195" s="8"/>
      <c r="Q195" s="8"/>
      <c r="R195" s="8"/>
      <c r="S195" s="8"/>
      <c r="T195" s="8"/>
      <c r="U195" s="8"/>
      <c r="V195" s="8"/>
      <c r="W195" s="8"/>
      <c r="X195" s="8"/>
    </row>
    <row r="196" spans="1:24" ht="12.75" customHeight="1">
      <c r="A196" s="33"/>
      <c r="B196" s="24"/>
      <c r="C196" s="24"/>
      <c r="D196" s="14"/>
      <c r="E196" s="667"/>
      <c r="F196" s="671"/>
      <c r="G196" s="51"/>
      <c r="H196" s="8"/>
      <c r="I196" s="8"/>
      <c r="J196" s="8"/>
      <c r="K196" s="8"/>
      <c r="L196" s="8"/>
      <c r="M196" s="8"/>
      <c r="N196" s="8"/>
      <c r="O196" s="8"/>
      <c r="P196" s="8"/>
      <c r="Q196" s="8"/>
      <c r="R196" s="8"/>
      <c r="S196" s="8"/>
      <c r="T196" s="8"/>
      <c r="U196" s="8"/>
      <c r="V196" s="8"/>
      <c r="W196" s="8"/>
      <c r="X196" s="8"/>
    </row>
    <row r="197" spans="1:24" ht="12.75" customHeight="1" thickBot="1">
      <c r="A197" s="8"/>
      <c r="B197" s="8"/>
      <c r="C197" s="30"/>
      <c r="D197" s="14"/>
      <c r="E197" s="8"/>
      <c r="F197" s="8"/>
      <c r="G197" s="8"/>
      <c r="H197" s="8"/>
      <c r="I197" s="8"/>
      <c r="J197" s="8"/>
      <c r="K197" s="8"/>
      <c r="L197" s="8"/>
      <c r="M197" s="8"/>
      <c r="N197" s="8"/>
      <c r="O197" s="8"/>
      <c r="P197" s="8"/>
      <c r="Q197" s="8"/>
      <c r="R197" s="8"/>
      <c r="S197" s="8"/>
      <c r="T197" s="8"/>
      <c r="U197" s="8"/>
      <c r="V197" s="8"/>
      <c r="W197" s="8"/>
      <c r="X197" s="8"/>
    </row>
    <row r="198" spans="1:24" ht="12.75" customHeight="1">
      <c r="A198" s="1383" t="s">
        <v>751</v>
      </c>
      <c r="B198" s="1417"/>
      <c r="C198" s="1179" t="s">
        <v>799</v>
      </c>
      <c r="D198" s="14"/>
      <c r="E198" s="8"/>
      <c r="F198" s="8"/>
      <c r="G198" s="8"/>
      <c r="H198" s="8"/>
      <c r="I198" s="8"/>
      <c r="J198" s="8"/>
      <c r="K198" s="8"/>
      <c r="L198" s="8"/>
      <c r="M198" s="8"/>
      <c r="N198" s="8"/>
      <c r="O198" s="8"/>
      <c r="P198" s="8"/>
      <c r="Q198" s="8"/>
      <c r="R198" s="8"/>
      <c r="S198" s="8"/>
      <c r="T198" s="8"/>
      <c r="U198" s="8"/>
      <c r="V198" s="8"/>
      <c r="W198" s="8"/>
      <c r="X198" s="8"/>
    </row>
    <row r="199" spans="1:24" ht="12.75" customHeight="1" thickBot="1">
      <c r="A199" s="1418"/>
      <c r="B199" s="1419"/>
      <c r="C199" s="1180"/>
      <c r="D199" s="14"/>
      <c r="E199" s="8"/>
      <c r="F199" s="8"/>
      <c r="G199" s="8"/>
      <c r="H199" s="8"/>
      <c r="I199" s="8"/>
      <c r="J199" s="8"/>
      <c r="K199" s="8"/>
      <c r="L199" s="8"/>
      <c r="M199" s="8"/>
      <c r="N199" s="8"/>
      <c r="O199" s="8"/>
      <c r="P199" s="8"/>
      <c r="Q199" s="8"/>
      <c r="R199" s="8"/>
      <c r="S199" s="8"/>
      <c r="T199" s="8"/>
      <c r="U199" s="8"/>
      <c r="V199" s="8"/>
      <c r="W199" s="8"/>
      <c r="X199" s="8"/>
    </row>
    <row r="200" spans="1:24" ht="12.75" customHeight="1">
      <c r="A200" s="1097" t="s">
        <v>675</v>
      </c>
      <c r="B200" s="986"/>
      <c r="C200" s="1098"/>
      <c r="D200" s="16"/>
      <c r="E200" s="8"/>
      <c r="F200" s="8"/>
      <c r="G200" s="8"/>
      <c r="H200" s="8"/>
      <c r="I200" s="8"/>
      <c r="J200" s="8"/>
      <c r="K200" s="8"/>
      <c r="L200" s="8"/>
      <c r="M200" s="8"/>
      <c r="N200" s="8"/>
      <c r="O200" s="8"/>
      <c r="P200" s="8"/>
      <c r="Q200" s="8"/>
      <c r="R200" s="8"/>
      <c r="S200" s="8"/>
      <c r="T200" s="8"/>
      <c r="U200" s="8"/>
      <c r="V200" s="8"/>
      <c r="W200" s="8"/>
      <c r="X200" s="8"/>
    </row>
    <row r="201" spans="1:24" ht="12.75" customHeight="1">
      <c r="A201" s="1097" t="s">
        <v>113</v>
      </c>
      <c r="B201" s="986"/>
      <c r="C201" s="1098"/>
      <c r="D201" s="16"/>
      <c r="E201" s="8"/>
      <c r="F201" s="8"/>
      <c r="G201" s="8"/>
      <c r="H201" s="8"/>
      <c r="I201" s="8"/>
      <c r="J201" s="8"/>
      <c r="K201" s="8"/>
      <c r="L201" s="8"/>
      <c r="M201" s="8"/>
      <c r="N201" s="8"/>
      <c r="O201" s="8"/>
      <c r="P201" s="8"/>
      <c r="Q201" s="8"/>
      <c r="R201" s="8"/>
      <c r="S201" s="8"/>
      <c r="T201" s="8"/>
      <c r="U201" s="8"/>
      <c r="V201" s="8"/>
      <c r="W201" s="8"/>
      <c r="X201" s="8"/>
    </row>
    <row r="202" spans="1:24" ht="12.75" customHeight="1">
      <c r="A202" s="1097" t="s">
        <v>745</v>
      </c>
      <c r="B202" s="986"/>
      <c r="C202" s="1098"/>
      <c r="D202" s="16"/>
      <c r="E202" s="13"/>
      <c r="F202" s="13"/>
      <c r="G202" s="13"/>
      <c r="H202" s="13"/>
      <c r="I202" s="13"/>
      <c r="J202" s="13"/>
      <c r="K202" s="13"/>
      <c r="L202" s="13"/>
      <c r="M202" s="13"/>
      <c r="N202" s="13"/>
      <c r="O202" s="13"/>
      <c r="P202" s="13"/>
      <c r="Q202" s="13"/>
      <c r="R202" s="13"/>
      <c r="S202" s="13"/>
      <c r="T202" s="13"/>
      <c r="U202" s="13"/>
      <c r="V202" s="13"/>
      <c r="W202" s="13"/>
      <c r="X202" s="13"/>
    </row>
    <row r="203" spans="1:24" ht="12.75" customHeight="1" thickBot="1">
      <c r="A203" s="1097" t="s">
        <v>0</v>
      </c>
      <c r="B203" s="995"/>
      <c r="C203" s="1098"/>
      <c r="D203" s="16"/>
      <c r="E203" s="8"/>
      <c r="F203" s="8"/>
      <c r="G203" s="8"/>
      <c r="H203" s="8"/>
      <c r="I203" s="8"/>
      <c r="J203" s="8"/>
      <c r="K203" s="8"/>
      <c r="L203" s="8"/>
      <c r="M203" s="8"/>
      <c r="N203" s="8"/>
      <c r="O203" s="8"/>
      <c r="P203" s="8"/>
      <c r="Q203" s="8"/>
      <c r="R203" s="8"/>
      <c r="S203" s="8"/>
      <c r="T203" s="8"/>
      <c r="U203" s="8"/>
      <c r="V203" s="8"/>
      <c r="W203" s="8"/>
      <c r="X203" s="8"/>
    </row>
    <row r="204" spans="1:24" ht="12.75" customHeight="1" thickBot="1">
      <c r="A204" s="988" t="s">
        <v>66</v>
      </c>
      <c r="B204" s="989"/>
      <c r="C204" s="1156">
        <f>C206+C244+C270+C274</f>
        <v>887827094.99999988</v>
      </c>
      <c r="D204" s="16"/>
      <c r="E204" s="30"/>
      <c r="F204" s="8"/>
      <c r="G204" s="8"/>
      <c r="H204" s="8"/>
      <c r="I204" s="8"/>
      <c r="J204" s="8"/>
      <c r="K204" s="8"/>
      <c r="L204" s="8"/>
      <c r="M204" s="8"/>
      <c r="N204" s="8"/>
      <c r="O204" s="8"/>
      <c r="P204" s="8"/>
      <c r="Q204" s="8"/>
      <c r="R204" s="8"/>
      <c r="S204" s="8"/>
      <c r="T204" s="8"/>
      <c r="U204" s="8"/>
      <c r="V204" s="8"/>
      <c r="W204" s="8"/>
      <c r="X204" s="8"/>
    </row>
    <row r="205" spans="1:24" ht="12.75" customHeight="1" thickBot="1">
      <c r="A205" s="15"/>
      <c r="B205" s="15"/>
      <c r="C205" s="16"/>
      <c r="D205" s="14"/>
      <c r="E205" s="8"/>
      <c r="F205" s="8"/>
      <c r="G205" s="8"/>
      <c r="H205" s="8"/>
      <c r="I205" s="8"/>
      <c r="J205" s="8"/>
      <c r="K205" s="8"/>
      <c r="L205" s="8"/>
      <c r="M205" s="8"/>
      <c r="N205" s="8"/>
      <c r="O205" s="8"/>
      <c r="P205" s="8"/>
      <c r="Q205" s="8"/>
      <c r="R205" s="8"/>
      <c r="S205" s="8"/>
      <c r="T205" s="8"/>
      <c r="U205" s="8"/>
      <c r="V205" s="8"/>
      <c r="W205" s="8"/>
      <c r="X205" s="8"/>
    </row>
    <row r="206" spans="1:24" s="713" customFormat="1" ht="14.25" thickBot="1">
      <c r="A206" s="1420" t="s">
        <v>9</v>
      </c>
      <c r="B206" s="1421"/>
      <c r="C206" s="712">
        <f>C207+C209+C213+C215+C218+C221+C226+C234+C237</f>
        <v>236322285.30000001</v>
      </c>
    </row>
    <row r="207" spans="1:24" s="715" customFormat="1" ht="13.5">
      <c r="A207" s="1061">
        <v>211201</v>
      </c>
      <c r="B207" s="706" t="s">
        <v>459</v>
      </c>
      <c r="C207" s="714">
        <f>SUM(C208)</f>
        <v>28159500</v>
      </c>
    </row>
    <row r="208" spans="1:24" s="671" customFormat="1" ht="13.5" customHeight="1">
      <c r="A208" s="1049">
        <v>21120101</v>
      </c>
      <c r="B208" s="671" t="s">
        <v>460</v>
      </c>
      <c r="C208" s="51">
        <f>19659500+10000000-1500000</f>
        <v>28159500</v>
      </c>
      <c r="D208" s="43"/>
    </row>
    <row r="209" spans="1:6" s="671" customFormat="1" ht="13.5" customHeight="1">
      <c r="A209" s="1061">
        <v>211202</v>
      </c>
      <c r="B209" s="708" t="s">
        <v>529</v>
      </c>
      <c r="C209" s="709">
        <f>+SUM(C210:C212)</f>
        <v>1396000</v>
      </c>
      <c r="D209" s="43"/>
    </row>
    <row r="210" spans="1:6" s="671" customFormat="1" ht="13.5" customHeight="1">
      <c r="A210" s="1049">
        <v>21120201</v>
      </c>
      <c r="B210" s="671" t="s">
        <v>540</v>
      </c>
      <c r="C210" s="51">
        <v>150000</v>
      </c>
      <c r="D210" s="43"/>
    </row>
    <row r="211" spans="1:6" s="671" customFormat="1" ht="13.5" customHeight="1">
      <c r="A211" s="1049">
        <v>21120202</v>
      </c>
      <c r="B211" s="671" t="s">
        <v>530</v>
      </c>
      <c r="C211" s="43">
        <v>239000</v>
      </c>
      <c r="D211" s="43"/>
    </row>
    <row r="212" spans="1:6" s="671" customFormat="1" ht="13.5" customHeight="1">
      <c r="A212" s="1049">
        <v>21120203</v>
      </c>
      <c r="B212" s="671" t="s">
        <v>564</v>
      </c>
      <c r="C212" s="43">
        <f>1000000+7000</f>
        <v>1007000</v>
      </c>
      <c r="D212" s="43"/>
    </row>
    <row r="213" spans="1:6" s="671" customFormat="1" ht="13.5" customHeight="1">
      <c r="A213" s="1061">
        <v>211203</v>
      </c>
      <c r="B213" s="708" t="s">
        <v>461</v>
      </c>
      <c r="C213" s="709">
        <f>C214</f>
        <v>1262500</v>
      </c>
      <c r="D213" s="43"/>
    </row>
    <row r="214" spans="1:6" s="713" customFormat="1" ht="13.5">
      <c r="A214" s="1049">
        <v>21120302</v>
      </c>
      <c r="B214" s="671" t="s">
        <v>462</v>
      </c>
      <c r="C214" s="51">
        <v>1262500</v>
      </c>
    </row>
    <row r="215" spans="1:6" s="713" customFormat="1" ht="13.5">
      <c r="A215" s="1061">
        <v>211204</v>
      </c>
      <c r="B215" s="708" t="s">
        <v>463</v>
      </c>
      <c r="C215" s="709">
        <f>+SUM(C216:C217)</f>
        <v>7976000</v>
      </c>
    </row>
    <row r="216" spans="1:6" s="713" customFormat="1" ht="13.5">
      <c r="A216" s="1049">
        <v>21120401</v>
      </c>
      <c r="B216" s="51" t="s">
        <v>464</v>
      </c>
      <c r="C216" s="51">
        <v>7476000</v>
      </c>
    </row>
    <row r="217" spans="1:6" s="713" customFormat="1" ht="13.5">
      <c r="A217" s="1049">
        <v>21120403</v>
      </c>
      <c r="B217" s="51" t="s">
        <v>656</v>
      </c>
      <c r="C217" s="51">
        <v>500000</v>
      </c>
    </row>
    <row r="218" spans="1:6" s="713" customFormat="1" ht="13.5">
      <c r="A218" s="1061">
        <v>211205</v>
      </c>
      <c r="B218" s="709" t="s">
        <v>465</v>
      </c>
      <c r="C218" s="709">
        <f>+SUM(C219:C220)</f>
        <v>24740500</v>
      </c>
    </row>
    <row r="219" spans="1:6" s="713" customFormat="1" ht="13.5">
      <c r="A219" s="1049">
        <v>21120501</v>
      </c>
      <c r="B219" s="671" t="s">
        <v>466</v>
      </c>
      <c r="C219" s="43">
        <v>23940500</v>
      </c>
    </row>
    <row r="220" spans="1:6" s="717" customFormat="1" ht="13.5" customHeight="1">
      <c r="A220" s="1049">
        <v>21120503</v>
      </c>
      <c r="B220" s="51" t="s">
        <v>572</v>
      </c>
      <c r="C220" s="51">
        <f>200000+100000+500000</f>
        <v>800000</v>
      </c>
      <c r="F220" s="718"/>
    </row>
    <row r="221" spans="1:6" s="713" customFormat="1" ht="13.5">
      <c r="A221" s="1061">
        <v>211206</v>
      </c>
      <c r="B221" s="708" t="s">
        <v>565</v>
      </c>
      <c r="C221" s="707">
        <f>+SUM(C222:C225)</f>
        <v>153384285.30000001</v>
      </c>
    </row>
    <row r="222" spans="1:6" s="713" customFormat="1" ht="13.5">
      <c r="A222" s="1049">
        <v>21120601</v>
      </c>
      <c r="B222" s="671" t="s">
        <v>574</v>
      </c>
      <c r="C222" s="43">
        <f>115448000+14275280.3+5</f>
        <v>129723285.3</v>
      </c>
    </row>
    <row r="223" spans="1:6" s="713" customFormat="1" ht="13.5">
      <c r="A223" s="1049">
        <v>21120602</v>
      </c>
      <c r="B223" s="671" t="s">
        <v>566</v>
      </c>
      <c r="C223" s="43">
        <v>16526000</v>
      </c>
    </row>
    <row r="224" spans="1:6" s="713" customFormat="1" ht="13.5">
      <c r="A224" s="1049">
        <v>21120603</v>
      </c>
      <c r="B224" s="671" t="s">
        <v>657</v>
      </c>
      <c r="C224" s="43">
        <f>1300000+500000</f>
        <v>1800000</v>
      </c>
    </row>
    <row r="225" spans="1:4" s="713" customFormat="1" ht="13.5">
      <c r="A225" s="1049">
        <v>21120604</v>
      </c>
      <c r="B225" s="671" t="s">
        <v>567</v>
      </c>
      <c r="C225" s="43">
        <v>5335000</v>
      </c>
    </row>
    <row r="226" spans="1:4" s="713" customFormat="1" ht="13.5">
      <c r="A226" s="1061">
        <v>211207</v>
      </c>
      <c r="B226" s="709" t="s">
        <v>467</v>
      </c>
      <c r="C226" s="707">
        <f>+SUM(C227:C233)</f>
        <v>9572500</v>
      </c>
    </row>
    <row r="227" spans="1:4" s="713" customFormat="1" ht="13.5">
      <c r="A227" s="710">
        <v>21120701</v>
      </c>
      <c r="B227" s="51" t="s">
        <v>541</v>
      </c>
      <c r="C227" s="43">
        <v>4617000</v>
      </c>
    </row>
    <row r="228" spans="1:4" s="713" customFormat="1" ht="13.5">
      <c r="A228" s="710">
        <v>21120703</v>
      </c>
      <c r="B228" s="671" t="s">
        <v>568</v>
      </c>
      <c r="C228" s="43">
        <v>372500</v>
      </c>
    </row>
    <row r="229" spans="1:4" s="713" customFormat="1" ht="13.5">
      <c r="A229" s="710">
        <v>21120704</v>
      </c>
      <c r="B229" s="671" t="s">
        <v>469</v>
      </c>
      <c r="C229" s="43">
        <v>2001000</v>
      </c>
    </row>
    <row r="230" spans="1:4" s="713" customFormat="1" ht="13.5">
      <c r="A230" s="1049">
        <v>21120708</v>
      </c>
      <c r="B230" s="51" t="s">
        <v>470</v>
      </c>
      <c r="C230" s="51">
        <v>1000000</v>
      </c>
    </row>
    <row r="231" spans="1:4" s="713" customFormat="1" ht="13.5">
      <c r="A231" s="1049">
        <v>21120709</v>
      </c>
      <c r="B231" s="51" t="s">
        <v>471</v>
      </c>
      <c r="C231" s="51">
        <v>1000000</v>
      </c>
    </row>
    <row r="232" spans="1:4" s="713" customFormat="1" ht="13.5">
      <c r="A232" s="1049">
        <v>21120710</v>
      </c>
      <c r="B232" s="51" t="s">
        <v>472</v>
      </c>
      <c r="C232" s="51">
        <v>139500</v>
      </c>
    </row>
    <row r="233" spans="1:4" s="713" customFormat="1" ht="13.5">
      <c r="A233" s="1049">
        <v>21120711</v>
      </c>
      <c r="B233" s="51" t="s">
        <v>473</v>
      </c>
      <c r="C233" s="51">
        <v>442500</v>
      </c>
    </row>
    <row r="234" spans="1:4" s="713" customFormat="1" ht="13.5">
      <c r="A234" s="1061">
        <v>211208</v>
      </c>
      <c r="B234" s="709" t="s">
        <v>474</v>
      </c>
      <c r="C234" s="707">
        <f>+SUM(C235:C236)</f>
        <v>6715000</v>
      </c>
    </row>
    <row r="235" spans="1:4" s="713" customFormat="1" ht="13.5">
      <c r="A235" s="1049">
        <v>21120801</v>
      </c>
      <c r="B235" s="671" t="s">
        <v>475</v>
      </c>
      <c r="C235" s="43">
        <v>1503000</v>
      </c>
    </row>
    <row r="236" spans="1:4" s="713" customFormat="1" ht="13.5">
      <c r="A236" s="1049">
        <v>21120805</v>
      </c>
      <c r="B236" s="51" t="s">
        <v>476</v>
      </c>
      <c r="C236" s="43">
        <v>5212000</v>
      </c>
    </row>
    <row r="237" spans="1:4" s="713" customFormat="1" ht="13.5">
      <c r="A237" s="1061">
        <v>211209</v>
      </c>
      <c r="B237" s="708" t="s">
        <v>477</v>
      </c>
      <c r="C237" s="707">
        <f>+SUM(C238:C242)</f>
        <v>3116000</v>
      </c>
    </row>
    <row r="238" spans="1:4" s="671" customFormat="1" ht="13.5" customHeight="1">
      <c r="A238" s="1049">
        <v>21120901</v>
      </c>
      <c r="B238" s="51" t="s">
        <v>478</v>
      </c>
      <c r="C238" s="43">
        <v>1172000</v>
      </c>
      <c r="D238" s="43"/>
    </row>
    <row r="239" spans="1:4" s="671" customFormat="1" ht="13.5" customHeight="1">
      <c r="A239" s="1049">
        <v>21120902</v>
      </c>
      <c r="B239" s="51" t="s">
        <v>584</v>
      </c>
      <c r="C239" s="43">
        <v>281500</v>
      </c>
      <c r="D239" s="43"/>
    </row>
    <row r="240" spans="1:4" s="671" customFormat="1" ht="13.5" customHeight="1">
      <c r="A240" s="1049">
        <v>21120904</v>
      </c>
      <c r="B240" s="51" t="s">
        <v>528</v>
      </c>
      <c r="C240" s="43">
        <v>500000</v>
      </c>
      <c r="D240" s="43"/>
    </row>
    <row r="241" spans="1:4" s="713" customFormat="1" ht="13.5">
      <c r="A241" s="1049">
        <v>21120906</v>
      </c>
      <c r="B241" s="51" t="s">
        <v>479</v>
      </c>
      <c r="C241" s="51">
        <v>499000</v>
      </c>
    </row>
    <row r="242" spans="1:4" s="715" customFormat="1" ht="13.5">
      <c r="A242" s="1049">
        <v>21120907</v>
      </c>
      <c r="B242" s="51" t="s">
        <v>480</v>
      </c>
      <c r="C242" s="43">
        <v>663500</v>
      </c>
      <c r="D242" s="719"/>
    </row>
    <row r="243" spans="1:4" s="713" customFormat="1" ht="14.25" thickBot="1">
      <c r="A243" s="1049"/>
      <c r="B243" s="51"/>
      <c r="C243" s="51"/>
    </row>
    <row r="244" spans="1:4" s="713" customFormat="1" ht="14.25" thickBot="1">
      <c r="A244" s="1422" t="s">
        <v>4</v>
      </c>
      <c r="B244" s="1423"/>
      <c r="C244" s="720">
        <f>C245+C249+C255+C257+C260+C262+C264</f>
        <v>435684002</v>
      </c>
      <c r="D244" s="721"/>
    </row>
    <row r="245" spans="1:4" s="715" customFormat="1" ht="13.5">
      <c r="A245" s="706">
        <v>211302</v>
      </c>
      <c r="B245" s="706" t="s">
        <v>481</v>
      </c>
      <c r="C245" s="714">
        <f>+SUM(C246:C248)</f>
        <v>11090000</v>
      </c>
    </row>
    <row r="246" spans="1:4" s="715" customFormat="1" ht="13.5">
      <c r="A246" s="710">
        <v>21130201</v>
      </c>
      <c r="B246" s="710" t="s">
        <v>482</v>
      </c>
      <c r="C246" s="722">
        <v>8884000</v>
      </c>
      <c r="D246" s="719"/>
    </row>
    <row r="247" spans="1:4" s="715" customFormat="1" ht="13.5">
      <c r="A247" s="710">
        <v>21130202</v>
      </c>
      <c r="B247" s="710" t="s">
        <v>592</v>
      </c>
      <c r="C247" s="722">
        <f>500000+25000</f>
        <v>525000</v>
      </c>
      <c r="D247" s="719"/>
    </row>
    <row r="248" spans="1:4" s="715" customFormat="1" ht="13.5">
      <c r="A248" s="710">
        <v>21130204</v>
      </c>
      <c r="B248" s="671" t="s">
        <v>483</v>
      </c>
      <c r="C248" s="722">
        <f>-500000+2181000</f>
        <v>1681000</v>
      </c>
    </row>
    <row r="249" spans="1:4" s="715" customFormat="1" ht="13.5">
      <c r="A249" s="706">
        <v>211303</v>
      </c>
      <c r="B249" s="708" t="s">
        <v>484</v>
      </c>
      <c r="C249" s="714">
        <f>+SUM(C250:C254)</f>
        <v>47511500</v>
      </c>
    </row>
    <row r="250" spans="1:4" s="715" customFormat="1" ht="13.5">
      <c r="A250" s="1049">
        <v>21130301</v>
      </c>
      <c r="B250" s="667" t="s">
        <v>485</v>
      </c>
      <c r="C250" s="51">
        <v>32179000</v>
      </c>
    </row>
    <row r="251" spans="1:4" s="715" customFormat="1" ht="13.5">
      <c r="A251" s="710">
        <v>21130303</v>
      </c>
      <c r="B251" s="671" t="s">
        <v>570</v>
      </c>
      <c r="C251" s="43">
        <v>2320000</v>
      </c>
    </row>
    <row r="252" spans="1:4" s="715" customFormat="1" ht="13.5">
      <c r="A252" s="710">
        <v>21130304</v>
      </c>
      <c r="B252" s="671" t="s">
        <v>486</v>
      </c>
      <c r="C252" s="43">
        <v>4574500</v>
      </c>
    </row>
    <row r="253" spans="1:4" s="713" customFormat="1" ht="13.5">
      <c r="A253" s="710">
        <v>21130306</v>
      </c>
      <c r="B253" s="671" t="s">
        <v>487</v>
      </c>
      <c r="C253" s="43">
        <v>1236000</v>
      </c>
      <c r="D253" s="716"/>
    </row>
    <row r="254" spans="1:4" s="715" customFormat="1" ht="13.5">
      <c r="A254" s="710">
        <v>21130307</v>
      </c>
      <c r="B254" s="671" t="s">
        <v>488</v>
      </c>
      <c r="C254" s="43">
        <v>7202000</v>
      </c>
    </row>
    <row r="255" spans="1:4" s="715" customFormat="1" ht="13.5">
      <c r="A255" s="706">
        <v>211304</v>
      </c>
      <c r="B255" s="708" t="s">
        <v>578</v>
      </c>
      <c r="C255" s="707">
        <f>+SUM(C256)</f>
        <v>3951500</v>
      </c>
    </row>
    <row r="256" spans="1:4" s="715" customFormat="1" ht="13.5">
      <c r="A256" s="710">
        <v>21130403</v>
      </c>
      <c r="B256" s="671" t="s">
        <v>579</v>
      </c>
      <c r="C256" s="51">
        <v>3951500</v>
      </c>
      <c r="D256" s="723"/>
    </row>
    <row r="257" spans="1:6" s="715" customFormat="1" ht="13.5">
      <c r="A257" s="1061">
        <v>211305</v>
      </c>
      <c r="B257" s="708" t="s">
        <v>489</v>
      </c>
      <c r="C257" s="714">
        <f>+SUM(C258:C259)</f>
        <v>275176000</v>
      </c>
    </row>
    <row r="258" spans="1:6" s="713" customFormat="1" ht="13.5">
      <c r="A258" s="1049">
        <v>21130501</v>
      </c>
      <c r="B258" s="671" t="s">
        <v>490</v>
      </c>
      <c r="C258" s="43">
        <v>600000</v>
      </c>
    </row>
    <row r="259" spans="1:6" s="713" customFormat="1" ht="13.5">
      <c r="A259" s="1049">
        <v>21130502</v>
      </c>
      <c r="B259" s="51" t="s">
        <v>491</v>
      </c>
      <c r="C259" s="43">
        <f>284576000-10000000</f>
        <v>274576000</v>
      </c>
      <c r="F259" s="719"/>
    </row>
    <row r="260" spans="1:6" s="713" customFormat="1" ht="13.5">
      <c r="A260" s="1061">
        <v>211306</v>
      </c>
      <c r="B260" s="709" t="s">
        <v>492</v>
      </c>
      <c r="C260" s="707">
        <f>+SUM(C261)</f>
        <v>1044500</v>
      </c>
    </row>
    <row r="261" spans="1:6" s="713" customFormat="1" ht="13.5">
      <c r="A261" s="1049">
        <v>21130604</v>
      </c>
      <c r="B261" s="671" t="s">
        <v>539</v>
      </c>
      <c r="C261" s="43">
        <v>1044500</v>
      </c>
    </row>
    <row r="262" spans="1:6" s="713" customFormat="1" ht="13.5">
      <c r="A262" s="1061">
        <v>211307</v>
      </c>
      <c r="B262" s="708" t="s">
        <v>494</v>
      </c>
      <c r="C262" s="707">
        <f>C263</f>
        <v>26500</v>
      </c>
    </row>
    <row r="263" spans="1:6" s="713" customFormat="1" ht="13.5">
      <c r="A263" s="1049">
        <v>21130701</v>
      </c>
      <c r="B263" s="671" t="s">
        <v>495</v>
      </c>
      <c r="C263" s="43">
        <v>26500</v>
      </c>
    </row>
    <row r="264" spans="1:6" s="713" customFormat="1" ht="13.5">
      <c r="A264" s="1061">
        <v>211309</v>
      </c>
      <c r="B264" s="709" t="s">
        <v>496</v>
      </c>
      <c r="C264" s="707">
        <f>+SUM(C265:C268)</f>
        <v>96884002</v>
      </c>
      <c r="D264" s="724"/>
    </row>
    <row r="265" spans="1:6" s="713" customFormat="1" ht="13.5">
      <c r="A265" s="1049">
        <v>21130901</v>
      </c>
      <c r="B265" s="51" t="s">
        <v>497</v>
      </c>
      <c r="C265" s="43">
        <f>98613500-5000000</f>
        <v>93613500</v>
      </c>
    </row>
    <row r="266" spans="1:6" s="671" customFormat="1" ht="13.5" customHeight="1">
      <c r="A266" s="1049">
        <v>21130903</v>
      </c>
      <c r="B266" s="51" t="s">
        <v>498</v>
      </c>
      <c r="C266" s="43">
        <v>250002</v>
      </c>
      <c r="D266" s="43"/>
    </row>
    <row r="267" spans="1:6" s="713" customFormat="1" ht="13.5">
      <c r="A267" s="1049">
        <v>21130906</v>
      </c>
      <c r="B267" s="671" t="s">
        <v>499</v>
      </c>
      <c r="C267" s="43">
        <v>26500</v>
      </c>
    </row>
    <row r="268" spans="1:6" s="713" customFormat="1" ht="13.5">
      <c r="A268" s="1049">
        <v>21130908</v>
      </c>
      <c r="B268" s="51" t="s">
        <v>500</v>
      </c>
      <c r="C268" s="43">
        <f>10498000-5000000-1654000-850000</f>
        <v>2994000</v>
      </c>
    </row>
    <row r="269" spans="1:6" s="713" customFormat="1" ht="14.25" thickBot="1">
      <c r="A269" s="710"/>
      <c r="B269" s="671"/>
      <c r="C269" s="43"/>
    </row>
    <row r="270" spans="1:6" s="671" customFormat="1" ht="13.5" customHeight="1" thickBot="1">
      <c r="A270" s="1414" t="s">
        <v>45</v>
      </c>
      <c r="B270" s="1415"/>
      <c r="C270" s="711">
        <f>C271</f>
        <v>127798308.67</v>
      </c>
      <c r="D270" s="43"/>
    </row>
    <row r="271" spans="1:6" s="671" customFormat="1" ht="13.5" customHeight="1">
      <c r="A271" s="1061">
        <v>211402</v>
      </c>
      <c r="B271" s="706" t="s">
        <v>503</v>
      </c>
      <c r="C271" s="707">
        <f>SUM(C272:C272)</f>
        <v>127798308.67</v>
      </c>
      <c r="D271" s="43"/>
    </row>
    <row r="272" spans="1:6" s="671" customFormat="1" ht="13.5" customHeight="1">
      <c r="A272" s="1049">
        <v>21140208</v>
      </c>
      <c r="B272" s="710" t="s">
        <v>553</v>
      </c>
      <c r="C272" s="43">
        <f>90000000+37798308.67</f>
        <v>127798308.67</v>
      </c>
      <c r="D272" s="43"/>
    </row>
    <row r="273" spans="1:24" s="671" customFormat="1" ht="13.5" customHeight="1" thickBot="1">
      <c r="A273" s="1049"/>
      <c r="B273" s="51"/>
      <c r="C273" s="51"/>
      <c r="D273" s="43"/>
    </row>
    <row r="274" spans="1:24" s="713" customFormat="1" ht="14.25" thickBot="1">
      <c r="A274" s="1424" t="s">
        <v>48</v>
      </c>
      <c r="B274" s="1425"/>
      <c r="C274" s="725">
        <f>C275+C278+C283</f>
        <v>88022499.030000001</v>
      </c>
      <c r="D274" s="721"/>
    </row>
    <row r="275" spans="1:24" s="715" customFormat="1" ht="13.5">
      <c r="A275" s="1061">
        <v>221102</v>
      </c>
      <c r="B275" s="830" t="s">
        <v>543</v>
      </c>
      <c r="C275" s="714">
        <f>SUM(C276:C277)</f>
        <v>68515999.030000001</v>
      </c>
      <c r="D275" s="726"/>
    </row>
    <row r="276" spans="1:24" s="713" customFormat="1" ht="13.5">
      <c r="A276" s="1049">
        <v>22110201</v>
      </c>
      <c r="B276" s="51" t="s">
        <v>571</v>
      </c>
      <c r="C276" s="51">
        <f>12211000+54780999.03</f>
        <v>66991999.030000001</v>
      </c>
    </row>
    <row r="277" spans="1:24" s="713" customFormat="1" ht="13.5">
      <c r="A277" s="1049">
        <v>22110202</v>
      </c>
      <c r="B277" s="671" t="s">
        <v>544</v>
      </c>
      <c r="C277" s="51">
        <v>1524000</v>
      </c>
    </row>
    <row r="278" spans="1:24" s="713" customFormat="1" ht="13.5">
      <c r="A278" s="1061">
        <v>221104</v>
      </c>
      <c r="B278" s="829" t="s">
        <v>510</v>
      </c>
      <c r="C278" s="709">
        <f>+SUM(C279:C282)</f>
        <v>18855500</v>
      </c>
    </row>
    <row r="279" spans="1:24" s="713" customFormat="1" ht="13.5">
      <c r="A279" s="1049">
        <v>22110401</v>
      </c>
      <c r="B279" s="51" t="s">
        <v>511</v>
      </c>
      <c r="C279" s="51">
        <v>14365000</v>
      </c>
    </row>
    <row r="280" spans="1:24" s="671" customFormat="1" ht="13.5" customHeight="1">
      <c r="A280" s="1049">
        <v>22110404</v>
      </c>
      <c r="B280" s="51" t="s">
        <v>512</v>
      </c>
      <c r="C280" s="51">
        <v>281500</v>
      </c>
      <c r="D280" s="43"/>
    </row>
    <row r="281" spans="1:24" s="713" customFormat="1" ht="13.5">
      <c r="A281" s="1049">
        <v>22110405</v>
      </c>
      <c r="B281" s="51" t="s">
        <v>554</v>
      </c>
      <c r="C281" s="51">
        <v>3214500</v>
      </c>
    </row>
    <row r="282" spans="1:24" s="671" customFormat="1" ht="13.5" customHeight="1">
      <c r="A282" s="1049">
        <v>22110409</v>
      </c>
      <c r="B282" s="51" t="s">
        <v>513</v>
      </c>
      <c r="C282" s="51">
        <v>994500</v>
      </c>
      <c r="D282" s="43"/>
    </row>
    <row r="283" spans="1:24" s="713" customFormat="1" ht="13.5">
      <c r="A283" s="1061">
        <v>221107</v>
      </c>
      <c r="B283" s="709" t="s">
        <v>514</v>
      </c>
      <c r="C283" s="709">
        <f>C284</f>
        <v>651000</v>
      </c>
    </row>
    <row r="284" spans="1:24" s="713" customFormat="1" ht="13.5">
      <c r="A284" s="1049">
        <v>22110702</v>
      </c>
      <c r="B284" s="51" t="s">
        <v>515</v>
      </c>
      <c r="C284" s="51">
        <v>651000</v>
      </c>
    </row>
    <row r="285" spans="1:24" ht="12.75" customHeight="1">
      <c r="A285" s="84"/>
      <c r="B285" s="8"/>
      <c r="C285" s="30"/>
      <c r="D285" s="8"/>
      <c r="E285" s="8"/>
      <c r="F285" s="8"/>
      <c r="G285" s="8"/>
      <c r="H285" s="8"/>
      <c r="I285" s="8"/>
      <c r="J285" s="8"/>
      <c r="K285" s="8"/>
      <c r="L285" s="8"/>
      <c r="M285" s="8"/>
      <c r="N285" s="8"/>
      <c r="O285" s="8"/>
      <c r="P285" s="8"/>
      <c r="Q285" s="8"/>
      <c r="R285" s="8"/>
      <c r="S285" s="8"/>
      <c r="T285" s="8"/>
      <c r="U285" s="8"/>
      <c r="V285" s="8"/>
      <c r="W285" s="8"/>
      <c r="X285" s="8"/>
    </row>
    <row r="286" spans="1:24" ht="13.5" customHeight="1" thickBot="1">
      <c r="A286" s="23"/>
      <c r="B286" s="23"/>
      <c r="C286" s="24"/>
      <c r="D286" s="27"/>
      <c r="E286" s="27"/>
      <c r="F286" s="129"/>
      <c r="G286" s="129"/>
      <c r="H286" s="129"/>
      <c r="I286" s="129"/>
      <c r="J286" s="129"/>
      <c r="K286" s="129"/>
      <c r="L286" s="129"/>
      <c r="M286" s="129"/>
      <c r="N286" s="129"/>
      <c r="O286" s="129"/>
      <c r="P286" s="129"/>
      <c r="Q286" s="129"/>
      <c r="R286" s="129"/>
      <c r="S286" s="129"/>
      <c r="T286" s="129"/>
      <c r="U286" s="129"/>
      <c r="V286" s="129"/>
      <c r="W286" s="129"/>
      <c r="X286" s="129"/>
    </row>
    <row r="287" spans="1:24" ht="13.5" customHeight="1">
      <c r="A287" s="1063" t="s">
        <v>746</v>
      </c>
      <c r="B287" s="985"/>
      <c r="C287" s="1182">
        <v>1705</v>
      </c>
      <c r="D287" s="129"/>
      <c r="E287" s="129"/>
      <c r="F287" s="129"/>
      <c r="G287" s="129"/>
      <c r="H287" s="129"/>
      <c r="I287" s="129"/>
      <c r="J287" s="129"/>
      <c r="K287" s="129"/>
      <c r="L287" s="129"/>
      <c r="M287" s="129"/>
      <c r="N287" s="129"/>
      <c r="O287" s="129"/>
      <c r="P287" s="129"/>
      <c r="Q287" s="129"/>
      <c r="R287" s="129"/>
      <c r="S287" s="129"/>
      <c r="T287" s="129"/>
      <c r="U287" s="129"/>
      <c r="V287" s="129"/>
      <c r="W287" s="129"/>
      <c r="X287" s="129"/>
    </row>
    <row r="288" spans="1:24" ht="13.5" customHeight="1" thickBot="1">
      <c r="A288" s="1064"/>
      <c r="B288" s="1065"/>
      <c r="C288" s="1180"/>
      <c r="D288" s="129"/>
      <c r="E288" s="129"/>
      <c r="F288" s="129"/>
      <c r="G288" s="129"/>
      <c r="H288" s="129"/>
      <c r="I288" s="129"/>
      <c r="J288" s="129"/>
      <c r="K288" s="129"/>
      <c r="L288" s="129"/>
      <c r="M288" s="129"/>
      <c r="N288" s="129"/>
      <c r="O288" s="129"/>
      <c r="P288" s="129"/>
      <c r="Q288" s="129"/>
      <c r="R288" s="129"/>
      <c r="S288" s="129"/>
      <c r="T288" s="129"/>
      <c r="U288" s="129"/>
      <c r="V288" s="129"/>
      <c r="W288" s="129"/>
      <c r="X288" s="129"/>
    </row>
    <row r="289" spans="1:24" ht="13.5" customHeight="1">
      <c r="A289" s="1028" t="s">
        <v>675</v>
      </c>
      <c r="B289" s="807"/>
      <c r="C289" s="1080"/>
      <c r="D289" s="27"/>
      <c r="E289" s="27"/>
      <c r="F289" s="27"/>
      <c r="G289" s="27"/>
      <c r="H289" s="27"/>
      <c r="I289" s="27"/>
      <c r="J289" s="27"/>
      <c r="K289" s="27"/>
      <c r="L289" s="27"/>
      <c r="M289" s="27"/>
      <c r="N289" s="27"/>
      <c r="O289" s="27"/>
      <c r="P289" s="27"/>
      <c r="Q289" s="27"/>
      <c r="R289" s="27"/>
      <c r="S289" s="27"/>
      <c r="T289" s="27"/>
      <c r="U289" s="27"/>
      <c r="V289" s="27"/>
      <c r="W289" s="27"/>
      <c r="X289" s="27"/>
    </row>
    <row r="290" spans="1:24" ht="13.5" customHeight="1">
      <c r="A290" s="1097" t="s">
        <v>113</v>
      </c>
      <c r="B290" s="807"/>
      <c r="C290" s="1080"/>
      <c r="D290" s="27"/>
      <c r="E290" s="27"/>
      <c r="F290" s="27"/>
      <c r="G290" s="27"/>
      <c r="H290" s="27"/>
      <c r="I290" s="27"/>
      <c r="J290" s="27"/>
      <c r="K290" s="27"/>
      <c r="L290" s="27"/>
      <c r="M290" s="27"/>
      <c r="N290" s="27"/>
      <c r="O290" s="27"/>
      <c r="P290" s="27"/>
      <c r="Q290" s="27"/>
      <c r="R290" s="27"/>
      <c r="S290" s="27"/>
      <c r="T290" s="27"/>
      <c r="U290" s="27"/>
      <c r="V290" s="27"/>
      <c r="W290" s="27"/>
      <c r="X290" s="27"/>
    </row>
    <row r="291" spans="1:24" ht="12.75" customHeight="1">
      <c r="A291" s="1097" t="s">
        <v>745</v>
      </c>
      <c r="B291" s="986"/>
      <c r="C291" s="1080"/>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ustomHeight="1" thickBot="1">
      <c r="A292" s="1028" t="s">
        <v>59</v>
      </c>
      <c r="B292" s="807"/>
      <c r="C292" s="1080"/>
      <c r="D292" s="27"/>
      <c r="E292" s="27"/>
      <c r="F292" s="27"/>
      <c r="G292" s="27"/>
      <c r="H292" s="27"/>
      <c r="I292" s="27"/>
      <c r="J292" s="27"/>
      <c r="K292" s="27"/>
      <c r="L292" s="27"/>
      <c r="M292" s="27"/>
      <c r="N292" s="27"/>
      <c r="O292" s="27"/>
      <c r="P292" s="27"/>
      <c r="Q292" s="27"/>
      <c r="R292" s="27"/>
      <c r="S292" s="27"/>
      <c r="T292" s="27"/>
      <c r="U292" s="27"/>
      <c r="V292" s="27"/>
      <c r="W292" s="27"/>
      <c r="X292" s="27"/>
    </row>
    <row r="293" spans="1:24" ht="13.5" customHeight="1" thickBot="1">
      <c r="A293" s="1083" t="s">
        <v>92</v>
      </c>
      <c r="B293" s="1084"/>
      <c r="C293" s="1033">
        <f>SUM(+C295+C323+C343)</f>
        <v>470188575</v>
      </c>
      <c r="D293" s="107"/>
      <c r="E293" s="26"/>
      <c r="F293" s="27"/>
      <c r="G293" s="27"/>
      <c r="H293" s="27"/>
      <c r="I293" s="27"/>
      <c r="J293" s="27"/>
      <c r="K293" s="27"/>
      <c r="L293" s="27"/>
      <c r="M293" s="27"/>
      <c r="N293" s="27"/>
      <c r="O293" s="27"/>
      <c r="P293" s="27"/>
      <c r="Q293" s="27"/>
      <c r="R293" s="27"/>
      <c r="S293" s="27"/>
      <c r="T293" s="27"/>
      <c r="U293" s="27"/>
      <c r="V293" s="27"/>
      <c r="W293" s="27"/>
      <c r="X293" s="27"/>
    </row>
    <row r="294" spans="1:24" ht="13.5" customHeight="1" thickBot="1">
      <c r="A294" s="23"/>
      <c r="B294" s="23"/>
      <c r="C294" s="24"/>
      <c r="D294" s="27"/>
      <c r="E294" s="27"/>
      <c r="F294" s="27"/>
      <c r="G294" s="27"/>
      <c r="H294" s="27"/>
      <c r="I294" s="27"/>
      <c r="J294" s="27"/>
      <c r="K294" s="27"/>
      <c r="L294" s="27"/>
      <c r="M294" s="27"/>
      <c r="N294" s="27"/>
      <c r="O294" s="27"/>
      <c r="P294" s="27"/>
      <c r="Q294" s="27"/>
      <c r="R294" s="27"/>
      <c r="S294" s="27"/>
      <c r="T294" s="27"/>
      <c r="U294" s="27"/>
      <c r="V294" s="27"/>
      <c r="W294" s="27"/>
      <c r="X294" s="27"/>
    </row>
    <row r="295" spans="1:24" s="729" customFormat="1" ht="13.5" customHeight="1" thickBot="1">
      <c r="A295" s="1426" t="s">
        <v>9</v>
      </c>
      <c r="B295" s="1427"/>
      <c r="C295" s="727">
        <f>C296+C298+C301+C305+C314+C317+C309+C303</f>
        <v>140179780.30000001</v>
      </c>
      <c r="D295" s="728"/>
    </row>
    <row r="296" spans="1:24" s="731" customFormat="1" ht="13.5" customHeight="1">
      <c r="A296" s="1061">
        <v>211201</v>
      </c>
      <c r="B296" s="706" t="s">
        <v>459</v>
      </c>
      <c r="C296" s="730">
        <f>SUM(C297)</f>
        <v>92955500</v>
      </c>
    </row>
    <row r="297" spans="1:24" s="671" customFormat="1" ht="13.5" customHeight="1">
      <c r="A297" s="1049">
        <v>21120101</v>
      </c>
      <c r="B297" s="671" t="s">
        <v>460</v>
      </c>
      <c r="C297" s="51">
        <f>82955500+10000000</f>
        <v>92955500</v>
      </c>
      <c r="D297" s="732"/>
    </row>
    <row r="298" spans="1:24" s="671" customFormat="1" ht="13.5" customHeight="1">
      <c r="A298" s="1061">
        <v>211202</v>
      </c>
      <c r="B298" s="708" t="s">
        <v>529</v>
      </c>
      <c r="C298" s="709">
        <f>+SUM(C299:C300)</f>
        <v>3659000</v>
      </c>
      <c r="D298" s="163"/>
    </row>
    <row r="299" spans="1:24" s="713" customFormat="1" ht="13.5">
      <c r="A299" s="1049">
        <v>21120202</v>
      </c>
      <c r="B299" s="671" t="s">
        <v>530</v>
      </c>
      <c r="C299" s="43">
        <v>3203500</v>
      </c>
      <c r="D299" s="716"/>
    </row>
    <row r="300" spans="1:24" s="713" customFormat="1" ht="13.5">
      <c r="A300" s="1049">
        <v>21120203</v>
      </c>
      <c r="B300" s="671" t="s">
        <v>564</v>
      </c>
      <c r="C300" s="43">
        <v>455500</v>
      </c>
    </row>
    <row r="301" spans="1:24" s="713" customFormat="1" ht="13.5">
      <c r="A301" s="1061">
        <v>211204</v>
      </c>
      <c r="B301" s="708" t="s">
        <v>463</v>
      </c>
      <c r="C301" s="707">
        <f>C302</f>
        <v>649500</v>
      </c>
    </row>
    <row r="302" spans="1:24" s="713" customFormat="1" ht="13.5">
      <c r="A302" s="1049">
        <v>21120401</v>
      </c>
      <c r="B302" s="51" t="s">
        <v>464</v>
      </c>
      <c r="C302" s="51">
        <v>649500</v>
      </c>
    </row>
    <row r="303" spans="1:24" s="713" customFormat="1" ht="13.5">
      <c r="A303" s="1061">
        <v>211205</v>
      </c>
      <c r="B303" s="709" t="s">
        <v>465</v>
      </c>
      <c r="C303" s="709">
        <f>C304</f>
        <v>520000</v>
      </c>
    </row>
    <row r="304" spans="1:24" s="717" customFormat="1" ht="13.5" customHeight="1">
      <c r="A304" s="1049">
        <v>21120503</v>
      </c>
      <c r="B304" s="51" t="s">
        <v>572</v>
      </c>
      <c r="C304" s="51">
        <f>500000+20000</f>
        <v>520000</v>
      </c>
      <c r="F304" s="718"/>
    </row>
    <row r="305" spans="1:3" s="713" customFormat="1" ht="13.5">
      <c r="A305" s="1061">
        <v>211206</v>
      </c>
      <c r="B305" s="708" t="s">
        <v>565</v>
      </c>
      <c r="C305" s="709">
        <f>+SUM(C306:C308)</f>
        <v>28021780.300000001</v>
      </c>
    </row>
    <row r="306" spans="1:3" s="713" customFormat="1" ht="13.5">
      <c r="A306" s="1049">
        <v>21120601</v>
      </c>
      <c r="B306" s="671" t="s">
        <v>574</v>
      </c>
      <c r="C306" s="43">
        <f>7151000+5000000</f>
        <v>12151000</v>
      </c>
    </row>
    <row r="307" spans="1:3" s="713" customFormat="1" ht="13.5">
      <c r="A307" s="1049">
        <v>21120602</v>
      </c>
      <c r="B307" s="671" t="s">
        <v>566</v>
      </c>
      <c r="C307" s="43">
        <f>10751000+4275280.3</f>
        <v>15026280.300000001</v>
      </c>
    </row>
    <row r="308" spans="1:3" s="713" customFormat="1" ht="13.5">
      <c r="A308" s="1049">
        <v>21120604</v>
      </c>
      <c r="B308" s="671" t="s">
        <v>567</v>
      </c>
      <c r="C308" s="43">
        <f>700000+144500</f>
        <v>844500</v>
      </c>
    </row>
    <row r="309" spans="1:3" s="713" customFormat="1" ht="13.5">
      <c r="A309" s="1061">
        <v>211207</v>
      </c>
      <c r="B309" s="829" t="s">
        <v>467</v>
      </c>
      <c r="C309" s="707">
        <f>+SUM(C310:C313)</f>
        <v>1080000</v>
      </c>
    </row>
    <row r="310" spans="1:3" s="713" customFormat="1" ht="13.5">
      <c r="A310" s="1049">
        <v>21120708</v>
      </c>
      <c r="B310" s="51" t="s">
        <v>470</v>
      </c>
      <c r="C310" s="51">
        <v>500000</v>
      </c>
    </row>
    <row r="311" spans="1:3" s="713" customFormat="1" ht="13.5">
      <c r="A311" s="1049">
        <v>21120709</v>
      </c>
      <c r="B311" s="51" t="s">
        <v>471</v>
      </c>
      <c r="C311" s="51">
        <v>30000</v>
      </c>
    </row>
    <row r="312" spans="1:3" s="713" customFormat="1" ht="13.5">
      <c r="A312" s="1049">
        <v>21120710</v>
      </c>
      <c r="B312" s="51" t="s">
        <v>472</v>
      </c>
      <c r="C312" s="51">
        <v>200000</v>
      </c>
    </row>
    <row r="313" spans="1:3" s="713" customFormat="1" ht="13.5">
      <c r="A313" s="1049">
        <v>21120711</v>
      </c>
      <c r="B313" s="51" t="s">
        <v>473</v>
      </c>
      <c r="C313" s="51">
        <f>300000+50000</f>
        <v>350000</v>
      </c>
    </row>
    <row r="314" spans="1:3" s="713" customFormat="1" ht="13.5">
      <c r="A314" s="1061">
        <v>211208</v>
      </c>
      <c r="B314" s="709" t="s">
        <v>474</v>
      </c>
      <c r="C314" s="709">
        <f>+SUM(C315:C316)</f>
        <v>964000</v>
      </c>
    </row>
    <row r="315" spans="1:3" s="713" customFormat="1" ht="13.5">
      <c r="A315" s="1049">
        <v>21120801</v>
      </c>
      <c r="B315" s="671" t="s">
        <v>475</v>
      </c>
      <c r="C315" s="51">
        <v>119500</v>
      </c>
    </row>
    <row r="316" spans="1:3" s="713" customFormat="1" ht="13.5">
      <c r="A316" s="1049">
        <v>21120805</v>
      </c>
      <c r="B316" s="51" t="s">
        <v>476</v>
      </c>
      <c r="C316" s="43">
        <v>844500</v>
      </c>
    </row>
    <row r="317" spans="1:3" s="713" customFormat="1" ht="13.5">
      <c r="A317" s="1061">
        <v>211209</v>
      </c>
      <c r="B317" s="709" t="s">
        <v>477</v>
      </c>
      <c r="C317" s="707">
        <f>+SUM(C318:C321)</f>
        <v>12330000</v>
      </c>
    </row>
    <row r="318" spans="1:3" s="713" customFormat="1" ht="13.5">
      <c r="A318" s="1049">
        <v>21120901</v>
      </c>
      <c r="B318" s="51" t="s">
        <v>478</v>
      </c>
      <c r="C318" s="43">
        <f>5553500+5000000</f>
        <v>10553500</v>
      </c>
    </row>
    <row r="319" spans="1:3" s="713" customFormat="1" ht="13.5">
      <c r="A319" s="1049">
        <v>21120902</v>
      </c>
      <c r="B319" s="51" t="s">
        <v>584</v>
      </c>
      <c r="C319" s="51">
        <v>631000</v>
      </c>
    </row>
    <row r="320" spans="1:3" s="713" customFormat="1" ht="13.5">
      <c r="A320" s="1049">
        <v>21120906</v>
      </c>
      <c r="B320" s="51" t="s">
        <v>479</v>
      </c>
      <c r="C320" s="51">
        <f>-500000+1626500</f>
        <v>1126500</v>
      </c>
    </row>
    <row r="321" spans="1:7" s="715" customFormat="1" ht="13.5">
      <c r="A321" s="1049">
        <v>21120907</v>
      </c>
      <c r="B321" s="51" t="s">
        <v>480</v>
      </c>
      <c r="C321" s="43">
        <v>19000</v>
      </c>
      <c r="D321" s="719"/>
    </row>
    <row r="322" spans="1:7" s="729" customFormat="1" ht="13.5" customHeight="1" thickBot="1">
      <c r="A322" s="1049"/>
      <c r="B322" s="667"/>
      <c r="C322" s="51"/>
    </row>
    <row r="323" spans="1:7" s="729" customFormat="1" ht="13.5" customHeight="1" thickBot="1">
      <c r="A323" s="1428" t="s">
        <v>4</v>
      </c>
      <c r="B323" s="1429"/>
      <c r="C323" s="733">
        <f>C324+C326+C331+C333+C336+C338</f>
        <v>252677795.67000002</v>
      </c>
      <c r="D323" s="728"/>
    </row>
    <row r="324" spans="1:7" s="729" customFormat="1" ht="13.5" customHeight="1">
      <c r="A324" s="706">
        <v>211302</v>
      </c>
      <c r="B324" s="706" t="s">
        <v>481</v>
      </c>
      <c r="C324" s="730">
        <f>C325</f>
        <v>604500</v>
      </c>
      <c r="D324" s="728"/>
    </row>
    <row r="325" spans="1:7" s="671" customFormat="1" ht="13.5" customHeight="1">
      <c r="A325" s="710">
        <v>21130204</v>
      </c>
      <c r="B325" s="671" t="s">
        <v>483</v>
      </c>
      <c r="C325" s="51">
        <v>604500</v>
      </c>
      <c r="D325" s="43"/>
    </row>
    <row r="326" spans="1:7" s="713" customFormat="1" ht="13.5">
      <c r="A326" s="706">
        <v>211303</v>
      </c>
      <c r="B326" s="708" t="s">
        <v>484</v>
      </c>
      <c r="C326" s="707">
        <f>+SUM(C327:C330)</f>
        <v>46227000</v>
      </c>
    </row>
    <row r="327" spans="1:7" s="713" customFormat="1" ht="13.5" customHeight="1">
      <c r="A327" s="710">
        <v>21130301</v>
      </c>
      <c r="B327" s="671" t="s">
        <v>485</v>
      </c>
      <c r="C327" s="43">
        <v>42062500</v>
      </c>
      <c r="D327" s="43"/>
      <c r="E327" s="716"/>
      <c r="F327" s="716"/>
    </row>
    <row r="328" spans="1:7" s="713" customFormat="1" ht="13.5" customHeight="1">
      <c r="A328" s="710">
        <v>21130305</v>
      </c>
      <c r="B328" s="735" t="s">
        <v>577</v>
      </c>
      <c r="C328" s="43">
        <v>1785500</v>
      </c>
      <c r="D328" s="43"/>
      <c r="E328" s="716"/>
      <c r="F328" s="716"/>
    </row>
    <row r="329" spans="1:7" s="713" customFormat="1" ht="13.5" customHeight="1">
      <c r="A329" s="710">
        <v>21130306</v>
      </c>
      <c r="B329" s="671" t="s">
        <v>487</v>
      </c>
      <c r="C329" s="43">
        <v>773500</v>
      </c>
      <c r="D329" s="43"/>
      <c r="E329" s="716"/>
      <c r="F329" s="716"/>
    </row>
    <row r="330" spans="1:7" s="713" customFormat="1" ht="13.5" customHeight="1">
      <c r="A330" s="710">
        <v>21130307</v>
      </c>
      <c r="B330" s="671" t="s">
        <v>488</v>
      </c>
      <c r="C330" s="43">
        <v>1605500</v>
      </c>
      <c r="D330" s="43"/>
      <c r="E330" s="716"/>
    </row>
    <row r="331" spans="1:7" s="671" customFormat="1" ht="13.5" customHeight="1">
      <c r="A331" s="706">
        <v>211304</v>
      </c>
      <c r="B331" s="708" t="s">
        <v>578</v>
      </c>
      <c r="C331" s="709">
        <f>+SUM(C332)</f>
        <v>4966000</v>
      </c>
      <c r="D331" s="734"/>
      <c r="E331" s="709"/>
      <c r="F331" s="710"/>
      <c r="G331" s="43"/>
    </row>
    <row r="332" spans="1:7" s="671" customFormat="1" ht="13.5" customHeight="1">
      <c r="A332" s="710">
        <v>21130403</v>
      </c>
      <c r="B332" s="671" t="s">
        <v>579</v>
      </c>
      <c r="C332" s="51">
        <v>4966000</v>
      </c>
      <c r="D332" s="734"/>
      <c r="F332" s="710"/>
      <c r="G332" s="43"/>
    </row>
    <row r="333" spans="1:7" s="671" customFormat="1" ht="13.5" customHeight="1">
      <c r="A333" s="1061">
        <v>21130500</v>
      </c>
      <c r="B333" s="708" t="s">
        <v>489</v>
      </c>
      <c r="C333" s="709">
        <f>+SUM(C334:C335)</f>
        <v>106545795.67</v>
      </c>
      <c r="D333" s="734"/>
      <c r="E333" s="709"/>
      <c r="F333" s="710"/>
      <c r="G333" s="43"/>
    </row>
    <row r="334" spans="1:7" s="713" customFormat="1" ht="13.5" customHeight="1">
      <c r="A334" s="1049">
        <v>21130502</v>
      </c>
      <c r="B334" s="51" t="s">
        <v>491</v>
      </c>
      <c r="C334" s="43">
        <f>47527500+56868295.67</f>
        <v>104395795.67</v>
      </c>
      <c r="D334" s="716"/>
      <c r="F334" s="716"/>
    </row>
    <row r="335" spans="1:7" s="671" customFormat="1" ht="13.5" customHeight="1">
      <c r="A335" s="1049">
        <v>2113050</v>
      </c>
      <c r="B335" s="671" t="s">
        <v>651</v>
      </c>
      <c r="C335" s="43">
        <f>2000000+150000</f>
        <v>2150000</v>
      </c>
      <c r="D335" s="43"/>
    </row>
    <row r="336" spans="1:7" s="713" customFormat="1" ht="13.5">
      <c r="A336" s="1061">
        <v>211306</v>
      </c>
      <c r="B336" s="709" t="s">
        <v>492</v>
      </c>
      <c r="C336" s="707">
        <f>C337</f>
        <v>1606500</v>
      </c>
      <c r="D336" s="716"/>
      <c r="E336" s="716"/>
    </row>
    <row r="337" spans="1:6" s="713" customFormat="1" ht="13.5" customHeight="1">
      <c r="A337" s="1049">
        <v>21130604</v>
      </c>
      <c r="B337" s="671" t="s">
        <v>539</v>
      </c>
      <c r="C337" s="43">
        <f>1500000+106500</f>
        <v>1606500</v>
      </c>
      <c r="D337" s="43"/>
      <c r="E337" s="716"/>
      <c r="F337" s="716"/>
    </row>
    <row r="338" spans="1:6" s="713" customFormat="1" ht="13.5">
      <c r="A338" s="1061">
        <v>211309</v>
      </c>
      <c r="B338" s="709" t="s">
        <v>496</v>
      </c>
      <c r="C338" s="707">
        <f>+SUM(C339:C341)</f>
        <v>92728000</v>
      </c>
      <c r="D338" s="43"/>
      <c r="E338" s="716"/>
      <c r="F338" s="716"/>
    </row>
    <row r="339" spans="1:6" s="713" customFormat="1" ht="13.5" customHeight="1">
      <c r="A339" s="1049">
        <v>21130901</v>
      </c>
      <c r="B339" s="51" t="s">
        <v>497</v>
      </c>
      <c r="C339" s="43">
        <v>90196000</v>
      </c>
      <c r="D339" s="716"/>
    </row>
    <row r="340" spans="1:6" s="713" customFormat="1" ht="13.5">
      <c r="A340" s="1049">
        <v>21130906</v>
      </c>
      <c r="B340" s="671" t="s">
        <v>499</v>
      </c>
      <c r="C340" s="43">
        <f>800000+146000</f>
        <v>946000</v>
      </c>
    </row>
    <row r="341" spans="1:6" s="713" customFormat="1" ht="13.5" customHeight="1">
      <c r="A341" s="1049">
        <v>21130908</v>
      </c>
      <c r="B341" s="51" t="s">
        <v>500</v>
      </c>
      <c r="C341" s="43">
        <f>1500000+86000</f>
        <v>1586000</v>
      </c>
      <c r="D341" s="732"/>
      <c r="E341" s="721"/>
      <c r="F341" s="716"/>
    </row>
    <row r="342" spans="1:6" s="729" customFormat="1" ht="13.5" customHeight="1" thickBot="1">
      <c r="A342" s="1049"/>
      <c r="B342" s="667"/>
      <c r="C342" s="51"/>
      <c r="E342" s="51"/>
    </row>
    <row r="343" spans="1:6" s="729" customFormat="1" ht="13.5" customHeight="1" thickBot="1">
      <c r="A343" s="1430" t="s">
        <v>48</v>
      </c>
      <c r="B343" s="1431"/>
      <c r="C343" s="736">
        <f>C344+C347+C352</f>
        <v>77330999.030000001</v>
      </c>
      <c r="D343" s="716"/>
      <c r="E343" s="728"/>
    </row>
    <row r="344" spans="1:6" s="729" customFormat="1" ht="13.5" customHeight="1">
      <c r="A344" s="706">
        <v>221102</v>
      </c>
      <c r="B344" s="830" t="s">
        <v>543</v>
      </c>
      <c r="C344" s="730">
        <f>SUM(C345:C346)</f>
        <v>72830999.030000001</v>
      </c>
    </row>
    <row r="345" spans="1:6" s="729" customFormat="1" ht="13.5" customHeight="1">
      <c r="A345" s="710">
        <v>22110201</v>
      </c>
      <c r="B345" s="671" t="s">
        <v>571</v>
      </c>
      <c r="C345" s="43">
        <f>18000000+54780999.03</f>
        <v>72780999.030000001</v>
      </c>
      <c r="D345" s="732"/>
      <c r="E345" s="51"/>
    </row>
    <row r="346" spans="1:6" s="713" customFormat="1" ht="13.5">
      <c r="A346" s="1049">
        <v>22110202</v>
      </c>
      <c r="B346" s="671" t="s">
        <v>544</v>
      </c>
      <c r="C346" s="51">
        <v>50000</v>
      </c>
    </row>
    <row r="347" spans="1:6" s="729" customFormat="1" ht="13.5" customHeight="1">
      <c r="A347" s="1061">
        <v>221104</v>
      </c>
      <c r="B347" s="829" t="s">
        <v>510</v>
      </c>
      <c r="C347" s="707">
        <f>SUM(C348:C351)</f>
        <v>2200000</v>
      </c>
      <c r="D347" s="732"/>
      <c r="E347" s="51"/>
    </row>
    <row r="348" spans="1:6" s="729" customFormat="1" ht="13.5" customHeight="1">
      <c r="A348" s="1049">
        <v>22110401</v>
      </c>
      <c r="B348" s="51" t="s">
        <v>511</v>
      </c>
      <c r="C348" s="43">
        <v>350000</v>
      </c>
      <c r="D348" s="732"/>
      <c r="E348" s="51"/>
    </row>
    <row r="349" spans="1:6" s="671" customFormat="1" ht="13.5" customHeight="1">
      <c r="A349" s="1049">
        <v>22110404</v>
      </c>
      <c r="B349" s="51" t="s">
        <v>512</v>
      </c>
      <c r="C349" s="51">
        <v>440000</v>
      </c>
      <c r="D349" s="43"/>
    </row>
    <row r="350" spans="1:6" s="713" customFormat="1" ht="13.5">
      <c r="A350" s="1049">
        <v>22110405</v>
      </c>
      <c r="B350" s="51" t="s">
        <v>554</v>
      </c>
      <c r="C350" s="51">
        <v>860000</v>
      </c>
    </row>
    <row r="351" spans="1:6" s="671" customFormat="1" ht="13.5" customHeight="1">
      <c r="A351" s="1049">
        <v>22110409</v>
      </c>
      <c r="B351" s="51" t="s">
        <v>513</v>
      </c>
      <c r="C351" s="51">
        <v>550000</v>
      </c>
      <c r="D351" s="43"/>
    </row>
    <row r="352" spans="1:6" s="671" customFormat="1" ht="13.5">
      <c r="A352" s="1061">
        <v>221107</v>
      </c>
      <c r="B352" s="709" t="s">
        <v>514</v>
      </c>
      <c r="C352" s="707">
        <f>SUM(C353)</f>
        <v>2300000</v>
      </c>
      <c r="D352" s="729"/>
    </row>
    <row r="353" spans="1:24" s="671" customFormat="1" ht="13.5">
      <c r="A353" s="1049">
        <v>22110702</v>
      </c>
      <c r="B353" s="51" t="s">
        <v>515</v>
      </c>
      <c r="C353" s="43">
        <v>2300000</v>
      </c>
      <c r="D353" s="729"/>
    </row>
    <row r="354" spans="1:24" s="671" customFormat="1" ht="13.5">
      <c r="A354" s="1049"/>
      <c r="B354" s="51"/>
      <c r="C354" s="43"/>
      <c r="D354" s="729"/>
    </row>
    <row r="355" spans="1:24" ht="13.5" customHeight="1" thickBot="1">
      <c r="A355" s="23"/>
      <c r="B355" s="24"/>
      <c r="C355" s="24"/>
      <c r="D355" s="40"/>
      <c r="E355" s="14"/>
      <c r="F355" s="13"/>
      <c r="G355" s="13"/>
      <c r="H355" s="13"/>
      <c r="I355" s="13"/>
      <c r="J355" s="13"/>
      <c r="K355" s="13"/>
      <c r="L355" s="13"/>
      <c r="M355" s="13"/>
      <c r="N355" s="13"/>
      <c r="O355" s="13"/>
      <c r="P355" s="13"/>
      <c r="Q355" s="13"/>
      <c r="R355" s="13"/>
      <c r="S355" s="13"/>
      <c r="T355" s="13"/>
      <c r="U355" s="13"/>
      <c r="V355" s="13"/>
      <c r="W355" s="13"/>
      <c r="X355" s="13"/>
    </row>
    <row r="356" spans="1:24" ht="13.5" customHeight="1">
      <c r="A356" s="1334" t="s">
        <v>747</v>
      </c>
      <c r="B356" s="1352"/>
      <c r="C356" s="1153">
        <v>1706</v>
      </c>
      <c r="D356" s="81"/>
      <c r="E356" s="81"/>
      <c r="F356" s="81"/>
      <c r="G356" s="81"/>
      <c r="H356" s="81"/>
      <c r="I356" s="81"/>
      <c r="J356" s="81"/>
      <c r="K356" s="81"/>
      <c r="L356" s="81"/>
      <c r="M356" s="9"/>
      <c r="N356" s="9"/>
      <c r="O356" s="9"/>
      <c r="P356" s="9"/>
      <c r="Q356" s="9"/>
      <c r="R356" s="9"/>
      <c r="S356" s="9"/>
      <c r="T356" s="9"/>
      <c r="U356" s="9"/>
      <c r="V356" s="9"/>
      <c r="W356" s="9"/>
      <c r="X356" s="9"/>
    </row>
    <row r="357" spans="1:24" ht="13.5" customHeight="1" thickBot="1">
      <c r="A357" s="1337"/>
      <c r="B357" s="1353"/>
      <c r="C357" s="1170"/>
      <c r="D357" s="27"/>
      <c r="E357" s="27"/>
      <c r="F357" s="27"/>
      <c r="G357" s="27"/>
      <c r="H357" s="27"/>
      <c r="I357" s="27"/>
      <c r="J357" s="27"/>
      <c r="K357" s="27"/>
      <c r="L357" s="27"/>
      <c r="M357" s="9"/>
      <c r="N357" s="9"/>
      <c r="O357" s="9"/>
      <c r="P357" s="9"/>
      <c r="Q357" s="9"/>
      <c r="R357" s="9"/>
      <c r="S357" s="9"/>
      <c r="T357" s="9"/>
      <c r="U357" s="9"/>
      <c r="V357" s="9"/>
      <c r="W357" s="9"/>
      <c r="X357" s="9"/>
    </row>
    <row r="358" spans="1:24" ht="13.5" customHeight="1">
      <c r="A358" s="1028" t="s">
        <v>671</v>
      </c>
      <c r="B358" s="808"/>
      <c r="C358" s="1183"/>
      <c r="D358" s="27"/>
      <c r="E358" s="27"/>
      <c r="F358" s="27"/>
      <c r="G358" s="27"/>
      <c r="H358" s="27"/>
      <c r="I358" s="27"/>
      <c r="J358" s="27"/>
      <c r="K358" s="27"/>
      <c r="L358" s="27"/>
      <c r="M358" s="9"/>
      <c r="N358" s="9"/>
      <c r="O358" s="9"/>
      <c r="P358" s="9"/>
      <c r="Q358" s="9"/>
      <c r="R358" s="9"/>
      <c r="S358" s="9"/>
      <c r="T358" s="9"/>
      <c r="U358" s="9"/>
      <c r="V358" s="9"/>
      <c r="W358" s="9"/>
      <c r="X358" s="9"/>
    </row>
    <row r="359" spans="1:24" ht="13.5" customHeight="1">
      <c r="A359" s="1097" t="s">
        <v>113</v>
      </c>
      <c r="B359" s="808"/>
      <c r="C359" s="1184"/>
      <c r="D359" s="27"/>
      <c r="E359" s="27"/>
      <c r="F359" s="27"/>
      <c r="G359" s="27"/>
      <c r="H359" s="27"/>
      <c r="I359" s="27"/>
      <c r="J359" s="27"/>
      <c r="K359" s="27"/>
      <c r="L359" s="27"/>
      <c r="M359" s="9"/>
      <c r="N359" s="9"/>
      <c r="O359" s="9"/>
      <c r="P359" s="9"/>
      <c r="Q359" s="9"/>
      <c r="R359" s="9"/>
      <c r="S359" s="9"/>
      <c r="T359" s="9"/>
      <c r="U359" s="9"/>
      <c r="V359" s="9"/>
      <c r="W359" s="9"/>
      <c r="X359" s="9"/>
    </row>
    <row r="360" spans="1:24" ht="13.5" customHeight="1">
      <c r="A360" s="1097" t="s">
        <v>745</v>
      </c>
      <c r="B360" s="986"/>
      <c r="C360" s="1184"/>
      <c r="D360" s="27"/>
      <c r="E360" s="27"/>
      <c r="F360" s="27"/>
      <c r="G360" s="27"/>
      <c r="H360" s="27"/>
      <c r="I360" s="27"/>
      <c r="J360" s="27"/>
      <c r="K360" s="27"/>
      <c r="L360" s="27"/>
      <c r="M360" s="9"/>
      <c r="N360" s="9"/>
      <c r="O360" s="9"/>
      <c r="P360" s="9"/>
      <c r="Q360" s="9"/>
      <c r="R360" s="9"/>
      <c r="S360" s="9"/>
      <c r="T360" s="9"/>
      <c r="U360" s="9"/>
      <c r="V360" s="9"/>
      <c r="W360" s="9"/>
      <c r="X360" s="9"/>
    </row>
    <row r="361" spans="1:24" ht="13.5" customHeight="1" thickBot="1">
      <c r="A361" s="1125" t="s">
        <v>59</v>
      </c>
      <c r="B361" s="982"/>
      <c r="C361" s="1185"/>
      <c r="D361" s="27"/>
      <c r="E361" s="27"/>
      <c r="F361" s="27"/>
      <c r="G361" s="27"/>
      <c r="H361" s="27"/>
      <c r="I361" s="27"/>
      <c r="J361" s="27"/>
      <c r="K361" s="27"/>
      <c r="L361" s="27"/>
      <c r="M361" s="9"/>
      <c r="N361" s="9"/>
      <c r="O361" s="9"/>
      <c r="P361" s="9"/>
      <c r="Q361" s="9"/>
      <c r="R361" s="9"/>
      <c r="S361" s="9"/>
      <c r="T361" s="9"/>
      <c r="U361" s="9"/>
      <c r="V361" s="9"/>
      <c r="W361" s="9"/>
      <c r="X361" s="9"/>
    </row>
    <row r="362" spans="1:24" ht="13.5" customHeight="1" thickBot="1">
      <c r="A362" s="1171" t="s">
        <v>60</v>
      </c>
      <c r="B362" s="1186"/>
      <c r="C362" s="1173">
        <f>(C364+C381+C405+C400)</f>
        <v>66280500</v>
      </c>
      <c r="D362" s="27"/>
      <c r="E362" s="27"/>
      <c r="F362" s="27"/>
      <c r="G362" s="27"/>
      <c r="H362" s="27"/>
      <c r="I362" s="27"/>
      <c r="J362" s="27"/>
      <c r="K362" s="27"/>
      <c r="L362" s="27"/>
      <c r="M362" s="9"/>
      <c r="N362" s="9"/>
      <c r="O362" s="9"/>
      <c r="P362" s="9"/>
      <c r="Q362" s="9"/>
      <c r="R362" s="9"/>
      <c r="S362" s="9"/>
      <c r="T362" s="9"/>
      <c r="U362" s="9"/>
      <c r="V362" s="9"/>
      <c r="W362" s="9"/>
      <c r="X362" s="9"/>
    </row>
    <row r="363" spans="1:24" ht="13.5" customHeight="1" thickBot="1">
      <c r="A363" s="23"/>
      <c r="B363" s="13"/>
      <c r="C363" s="24"/>
      <c r="D363" s="27"/>
      <c r="E363" s="27"/>
      <c r="F363" s="27"/>
      <c r="G363" s="27"/>
      <c r="H363" s="27"/>
      <c r="I363" s="27"/>
      <c r="J363" s="27"/>
      <c r="K363" s="27"/>
      <c r="L363" s="27"/>
      <c r="M363" s="9"/>
      <c r="N363" s="9"/>
      <c r="O363" s="9"/>
      <c r="P363" s="9"/>
      <c r="Q363" s="9"/>
      <c r="R363" s="9"/>
      <c r="S363" s="9"/>
      <c r="T363" s="9"/>
      <c r="U363" s="9"/>
      <c r="V363" s="9"/>
      <c r="W363" s="9"/>
      <c r="X363" s="9"/>
    </row>
    <row r="364" spans="1:24" ht="13.5" customHeight="1" thickBot="1">
      <c r="A364" s="1297" t="s">
        <v>9</v>
      </c>
      <c r="B364" s="1281"/>
      <c r="C364" s="62">
        <f>(C365+C367+C369+C371+C375+C377)</f>
        <v>2976500</v>
      </c>
      <c r="D364" s="27"/>
      <c r="E364" s="27"/>
      <c r="F364" s="27"/>
      <c r="G364" s="27"/>
      <c r="H364" s="27"/>
      <c r="I364" s="27"/>
      <c r="J364" s="27"/>
      <c r="K364" s="27"/>
      <c r="L364" s="27"/>
      <c r="M364" s="9"/>
      <c r="N364" s="9"/>
      <c r="O364" s="9"/>
      <c r="P364" s="9"/>
      <c r="Q364" s="9"/>
      <c r="R364" s="9"/>
      <c r="S364" s="9"/>
      <c r="T364" s="9"/>
      <c r="U364" s="9"/>
      <c r="V364" s="9"/>
      <c r="W364" s="9"/>
      <c r="X364" s="9"/>
    </row>
    <row r="365" spans="1:24" ht="12.75" customHeight="1">
      <c r="A365" s="48">
        <v>211201</v>
      </c>
      <c r="B365" s="48" t="s">
        <v>459</v>
      </c>
      <c r="C365" s="82">
        <f>C366</f>
        <v>950000</v>
      </c>
      <c r="D365" s="40"/>
      <c r="E365" s="40"/>
      <c r="F365" s="40"/>
      <c r="G365" s="40"/>
      <c r="H365" s="40"/>
      <c r="I365" s="40"/>
      <c r="J365" s="40"/>
      <c r="K365" s="40"/>
      <c r="L365" s="40"/>
      <c r="M365" s="84"/>
      <c r="N365" s="84"/>
      <c r="O365" s="84"/>
      <c r="P365" s="84"/>
      <c r="Q365" s="84"/>
      <c r="R365" s="84"/>
      <c r="S365" s="84"/>
      <c r="T365" s="84"/>
      <c r="U365" s="84"/>
      <c r="V365" s="84"/>
      <c r="W365" s="84"/>
      <c r="X365" s="84"/>
    </row>
    <row r="366" spans="1:24" ht="12.75" customHeight="1">
      <c r="A366" s="33">
        <v>21120101</v>
      </c>
      <c r="B366" s="13" t="s">
        <v>460</v>
      </c>
      <c r="C366" s="14">
        <v>950000</v>
      </c>
      <c r="D366" s="40"/>
      <c r="E366" s="40"/>
      <c r="F366" s="40"/>
      <c r="G366" s="40"/>
      <c r="H366" s="40"/>
      <c r="I366" s="40"/>
      <c r="J366" s="40"/>
      <c r="K366" s="40"/>
      <c r="L366" s="40"/>
      <c r="M366" s="8"/>
      <c r="N366" s="8"/>
      <c r="O366" s="8"/>
      <c r="P366" s="8"/>
      <c r="Q366" s="8"/>
      <c r="R366" s="8"/>
      <c r="S366" s="8"/>
      <c r="T366" s="8"/>
      <c r="U366" s="8"/>
      <c r="V366" s="8"/>
      <c r="W366" s="8"/>
      <c r="X366" s="8"/>
    </row>
    <row r="367" spans="1:24" ht="12.75" customHeight="1">
      <c r="A367" s="48">
        <v>211203</v>
      </c>
      <c r="B367" s="15" t="s">
        <v>461</v>
      </c>
      <c r="C367" s="16">
        <f>C368</f>
        <v>580000</v>
      </c>
      <c r="D367" s="40"/>
      <c r="E367" s="40"/>
      <c r="F367" s="40"/>
      <c r="G367" s="40"/>
      <c r="H367" s="40"/>
      <c r="I367" s="40"/>
      <c r="J367" s="40"/>
      <c r="K367" s="40"/>
      <c r="L367" s="40"/>
      <c r="M367" s="8"/>
      <c r="N367" s="8"/>
      <c r="O367" s="8"/>
      <c r="P367" s="8"/>
      <c r="Q367" s="8"/>
      <c r="R367" s="8"/>
      <c r="S367" s="8"/>
      <c r="T367" s="8"/>
      <c r="U367" s="8"/>
      <c r="V367" s="8"/>
      <c r="W367" s="8"/>
      <c r="X367" s="8"/>
    </row>
    <row r="368" spans="1:24" ht="12.75" customHeight="1">
      <c r="A368" s="33">
        <v>21120302</v>
      </c>
      <c r="B368" s="13" t="s">
        <v>462</v>
      </c>
      <c r="C368" s="24">
        <v>580000</v>
      </c>
      <c r="D368" s="32"/>
      <c r="E368" s="32"/>
      <c r="F368" s="32"/>
      <c r="G368" s="32"/>
      <c r="H368" s="32"/>
      <c r="I368" s="32"/>
      <c r="J368" s="32"/>
      <c r="K368" s="32"/>
      <c r="L368" s="32"/>
      <c r="M368" s="13"/>
      <c r="N368" s="13"/>
      <c r="O368" s="13"/>
      <c r="P368" s="13"/>
      <c r="Q368" s="13"/>
      <c r="R368" s="13"/>
      <c r="S368" s="13"/>
      <c r="T368" s="13"/>
      <c r="U368" s="13"/>
      <c r="V368" s="13"/>
      <c r="W368" s="13"/>
      <c r="X368" s="13"/>
    </row>
    <row r="369" spans="1:24" ht="13.5" customHeight="1">
      <c r="A369" s="48">
        <v>211204</v>
      </c>
      <c r="B369" s="15" t="s">
        <v>463</v>
      </c>
      <c r="C369" s="16">
        <f>C370</f>
        <v>315500</v>
      </c>
      <c r="D369" s="27"/>
      <c r="E369" s="27"/>
      <c r="F369" s="27"/>
      <c r="G369" s="27"/>
      <c r="H369" s="27"/>
      <c r="I369" s="27"/>
      <c r="J369" s="27"/>
      <c r="K369" s="27"/>
      <c r="L369" s="27"/>
      <c r="M369" s="9"/>
      <c r="N369" s="9"/>
      <c r="O369" s="9"/>
      <c r="P369" s="9"/>
      <c r="Q369" s="9"/>
      <c r="R369" s="9"/>
      <c r="S369" s="9"/>
      <c r="T369" s="9"/>
      <c r="U369" s="9"/>
      <c r="V369" s="9"/>
      <c r="W369" s="9"/>
      <c r="X369" s="9"/>
    </row>
    <row r="370" spans="1:24" ht="13.5" customHeight="1">
      <c r="A370" s="33">
        <v>21120401</v>
      </c>
      <c r="B370" s="24" t="s">
        <v>464</v>
      </c>
      <c r="C370" s="24">
        <v>315500</v>
      </c>
      <c r="D370" s="27"/>
      <c r="E370" s="27"/>
      <c r="F370" s="27"/>
      <c r="G370" s="27"/>
      <c r="H370" s="27"/>
      <c r="I370" s="27"/>
      <c r="J370" s="27"/>
      <c r="K370" s="27"/>
      <c r="L370" s="27"/>
      <c r="M370" s="9"/>
      <c r="N370" s="9"/>
      <c r="O370" s="9"/>
      <c r="P370" s="9"/>
      <c r="Q370" s="9"/>
      <c r="R370" s="9"/>
      <c r="S370" s="9"/>
      <c r="T370" s="9"/>
      <c r="U370" s="9"/>
      <c r="V370" s="9"/>
      <c r="W370" s="9"/>
      <c r="X370" s="9"/>
    </row>
    <row r="371" spans="1:24" ht="13.5" customHeight="1">
      <c r="A371" s="48">
        <v>211207</v>
      </c>
      <c r="B371" s="828" t="s">
        <v>467</v>
      </c>
      <c r="C371" s="16">
        <f>SUM(C372:C374)</f>
        <v>219000</v>
      </c>
      <c r="D371" s="14"/>
      <c r="E371" s="14"/>
      <c r="F371" s="14"/>
      <c r="G371" s="14"/>
      <c r="H371" s="14"/>
      <c r="I371" s="14"/>
      <c r="J371" s="14"/>
      <c r="K371" s="14"/>
      <c r="L371" s="14"/>
      <c r="M371" s="8"/>
      <c r="N371" s="8"/>
      <c r="O371" s="8"/>
      <c r="P371" s="8"/>
      <c r="Q371" s="8"/>
      <c r="R371" s="8"/>
      <c r="S371" s="8"/>
      <c r="T371" s="8"/>
      <c r="U371" s="8"/>
      <c r="V371" s="8"/>
      <c r="W371" s="8"/>
      <c r="X371" s="8"/>
    </row>
    <row r="372" spans="1:24" ht="12.75" customHeight="1">
      <c r="A372" s="33">
        <v>21120709</v>
      </c>
      <c r="B372" s="24" t="s">
        <v>471</v>
      </c>
      <c r="C372" s="24">
        <v>40000</v>
      </c>
      <c r="D372" s="8"/>
      <c r="E372" s="8"/>
      <c r="F372" s="8"/>
      <c r="G372" s="8"/>
      <c r="H372" s="8"/>
      <c r="I372" s="8"/>
      <c r="J372" s="8"/>
      <c r="K372" s="8"/>
      <c r="L372" s="8"/>
      <c r="M372" s="8"/>
      <c r="N372" s="8"/>
      <c r="O372" s="8"/>
      <c r="P372" s="8"/>
      <c r="Q372" s="8"/>
      <c r="R372" s="8"/>
      <c r="S372" s="8"/>
      <c r="T372" s="8"/>
      <c r="U372" s="8"/>
      <c r="V372" s="8"/>
      <c r="W372" s="8"/>
      <c r="X372" s="8"/>
    </row>
    <row r="373" spans="1:24" ht="12.75" customHeight="1">
      <c r="A373" s="33">
        <v>21120710</v>
      </c>
      <c r="B373" s="24" t="s">
        <v>472</v>
      </c>
      <c r="C373" s="24">
        <f>80000+50000</f>
        <v>130000</v>
      </c>
      <c r="D373" s="8"/>
      <c r="E373" s="8"/>
      <c r="F373" s="8"/>
      <c r="G373" s="8"/>
      <c r="H373" s="8"/>
      <c r="I373" s="8"/>
      <c r="J373" s="8"/>
      <c r="K373" s="8"/>
      <c r="L373" s="8"/>
      <c r="M373" s="8"/>
      <c r="N373" s="8"/>
      <c r="O373" s="8"/>
      <c r="P373" s="8"/>
      <c r="Q373" s="8"/>
      <c r="R373" s="8"/>
      <c r="S373" s="8"/>
      <c r="T373" s="8"/>
      <c r="U373" s="8"/>
      <c r="V373" s="8"/>
      <c r="W373" s="8"/>
      <c r="X373" s="8"/>
    </row>
    <row r="374" spans="1:24" ht="12.75" customHeight="1">
      <c r="A374" s="33">
        <v>21120711</v>
      </c>
      <c r="B374" s="24" t="s">
        <v>473</v>
      </c>
      <c r="C374" s="24">
        <f>30000+19000</f>
        <v>49000</v>
      </c>
      <c r="D374" s="8"/>
      <c r="E374" s="8"/>
      <c r="F374" s="8"/>
      <c r="G374" s="8"/>
      <c r="H374" s="8"/>
      <c r="I374" s="8"/>
      <c r="J374" s="8"/>
      <c r="K374" s="8"/>
      <c r="L374" s="8"/>
      <c r="M374" s="8"/>
      <c r="N374" s="8"/>
      <c r="O374" s="8"/>
      <c r="P374" s="8"/>
      <c r="Q374" s="8"/>
      <c r="R374" s="8"/>
      <c r="S374" s="8"/>
      <c r="T374" s="8"/>
      <c r="U374" s="8"/>
      <c r="V374" s="8"/>
      <c r="W374" s="8"/>
      <c r="X374" s="8"/>
    </row>
    <row r="375" spans="1:24" ht="13.5" customHeight="1">
      <c r="A375" s="48">
        <v>211208</v>
      </c>
      <c r="B375" s="26" t="s">
        <v>474</v>
      </c>
      <c r="C375" s="26">
        <f>C376</f>
        <v>250000</v>
      </c>
      <c r="D375" s="27"/>
      <c r="E375" s="27"/>
      <c r="F375" s="27"/>
      <c r="G375" s="27"/>
      <c r="H375" s="27"/>
      <c r="I375" s="27"/>
      <c r="J375" s="27"/>
      <c r="K375" s="27"/>
      <c r="L375" s="27"/>
      <c r="M375" s="9"/>
      <c r="N375" s="9"/>
      <c r="O375" s="9"/>
      <c r="P375" s="9"/>
      <c r="Q375" s="9"/>
      <c r="R375" s="9"/>
      <c r="S375" s="9"/>
      <c r="T375" s="9"/>
      <c r="U375" s="9"/>
      <c r="V375" s="9"/>
      <c r="W375" s="9"/>
      <c r="X375" s="9"/>
    </row>
    <row r="376" spans="1:24" ht="13.5" customHeight="1">
      <c r="A376" s="33">
        <v>21120805</v>
      </c>
      <c r="B376" s="24" t="s">
        <v>476</v>
      </c>
      <c r="C376" s="14">
        <v>250000</v>
      </c>
      <c r="D376" s="27"/>
      <c r="E376" s="27"/>
      <c r="F376" s="27"/>
      <c r="G376" s="27"/>
      <c r="H376" s="27"/>
      <c r="I376" s="27"/>
      <c r="J376" s="27"/>
      <c r="K376" s="27"/>
      <c r="L376" s="27"/>
      <c r="M376" s="9"/>
      <c r="N376" s="9"/>
      <c r="O376" s="9"/>
      <c r="P376" s="9"/>
      <c r="Q376" s="9"/>
      <c r="R376" s="9"/>
      <c r="S376" s="9"/>
      <c r="T376" s="9"/>
      <c r="U376" s="9"/>
      <c r="V376" s="9"/>
      <c r="W376" s="9"/>
      <c r="X376" s="9"/>
    </row>
    <row r="377" spans="1:24" ht="13.5" customHeight="1">
      <c r="A377" s="48">
        <v>211209</v>
      </c>
      <c r="B377" s="26" t="s">
        <v>477</v>
      </c>
      <c r="C377" s="16">
        <f>+SUM(C378:C379)</f>
        <v>662000</v>
      </c>
      <c r="D377" s="27"/>
      <c r="E377" s="27"/>
      <c r="F377" s="27"/>
      <c r="G377" s="27"/>
      <c r="H377" s="27"/>
      <c r="I377" s="27"/>
      <c r="J377" s="27"/>
      <c r="K377" s="27"/>
      <c r="L377" s="27"/>
      <c r="M377" s="9"/>
      <c r="N377" s="9"/>
      <c r="O377" s="9"/>
      <c r="P377" s="9"/>
      <c r="Q377" s="9"/>
      <c r="R377" s="9"/>
      <c r="S377" s="9"/>
      <c r="T377" s="9"/>
      <c r="U377" s="9"/>
      <c r="V377" s="9"/>
      <c r="W377" s="9"/>
      <c r="X377" s="9"/>
    </row>
    <row r="378" spans="1:24" ht="13.5" customHeight="1">
      <c r="A378" s="33">
        <v>21120901</v>
      </c>
      <c r="B378" s="24" t="s">
        <v>478</v>
      </c>
      <c r="C378" s="14">
        <f>454500</f>
        <v>454500</v>
      </c>
      <c r="D378" s="27"/>
      <c r="E378" s="27"/>
      <c r="F378" s="27"/>
      <c r="G378" s="27"/>
      <c r="H378" s="27"/>
      <c r="I378" s="27"/>
      <c r="J378" s="27"/>
      <c r="K378" s="27"/>
      <c r="L378" s="27"/>
      <c r="M378" s="9"/>
      <c r="N378" s="9"/>
      <c r="O378" s="9"/>
      <c r="P378" s="9"/>
      <c r="Q378" s="9"/>
      <c r="R378" s="9"/>
      <c r="S378" s="9"/>
      <c r="T378" s="9"/>
      <c r="U378" s="9"/>
      <c r="V378" s="9"/>
      <c r="W378" s="9"/>
      <c r="X378" s="9"/>
    </row>
    <row r="379" spans="1:24" ht="13.5" customHeight="1">
      <c r="A379" s="33">
        <v>21120906</v>
      </c>
      <c r="B379" s="24" t="s">
        <v>479</v>
      </c>
      <c r="C379" s="24">
        <f>200000+7500</f>
        <v>207500</v>
      </c>
      <c r="D379" s="27"/>
      <c r="E379" s="27"/>
      <c r="F379" s="27"/>
      <c r="G379" s="27"/>
      <c r="H379" s="27"/>
      <c r="I379" s="27"/>
      <c r="J379" s="27"/>
      <c r="K379" s="27"/>
      <c r="L379" s="27"/>
      <c r="M379" s="9"/>
      <c r="N379" s="9"/>
      <c r="O379" s="9"/>
      <c r="P379" s="9"/>
      <c r="Q379" s="9"/>
      <c r="R379" s="9"/>
      <c r="S379" s="9"/>
      <c r="T379" s="9"/>
      <c r="U379" s="9"/>
      <c r="V379" s="9"/>
      <c r="W379" s="9"/>
      <c r="X379" s="9"/>
    </row>
    <row r="380" spans="1:24" ht="13.5" customHeight="1" thickBot="1">
      <c r="A380" s="33"/>
      <c r="B380" s="23"/>
      <c r="C380" s="24"/>
      <c r="D380" s="27"/>
      <c r="E380" s="27"/>
      <c r="F380" s="27"/>
      <c r="G380" s="27"/>
      <c r="H380" s="27"/>
      <c r="I380" s="27"/>
      <c r="J380" s="27"/>
      <c r="K380" s="27"/>
      <c r="L380" s="27"/>
      <c r="M380" s="9"/>
      <c r="N380" s="9"/>
      <c r="O380" s="9"/>
      <c r="P380" s="9"/>
      <c r="Q380" s="9"/>
      <c r="R380" s="9"/>
      <c r="S380" s="9"/>
      <c r="T380" s="9"/>
      <c r="U380" s="9"/>
      <c r="V380" s="9"/>
      <c r="W380" s="9"/>
      <c r="X380" s="9"/>
    </row>
    <row r="381" spans="1:24" ht="13.5" customHeight="1" thickBot="1">
      <c r="A381" s="1298" t="s">
        <v>4</v>
      </c>
      <c r="B381" s="1281"/>
      <c r="C381" s="64">
        <f>(C382+C385+C389+C391+C393+C395)</f>
        <v>21654000</v>
      </c>
      <c r="D381" s="27"/>
      <c r="E381" s="27"/>
      <c r="F381" s="27"/>
      <c r="G381" s="27"/>
      <c r="H381" s="27"/>
      <c r="I381" s="27"/>
      <c r="J381" s="27"/>
      <c r="K381" s="27"/>
      <c r="L381" s="27"/>
      <c r="M381" s="9"/>
      <c r="N381" s="9"/>
      <c r="O381" s="9"/>
      <c r="P381" s="9"/>
      <c r="Q381" s="9"/>
      <c r="R381" s="9"/>
      <c r="S381" s="9"/>
      <c r="T381" s="9"/>
      <c r="U381" s="9"/>
      <c r="V381" s="9"/>
      <c r="W381" s="9"/>
      <c r="X381" s="9"/>
    </row>
    <row r="382" spans="1:24" ht="13.5" customHeight="1">
      <c r="A382" s="22">
        <v>211302</v>
      </c>
      <c r="B382" s="22" t="s">
        <v>481</v>
      </c>
      <c r="C382" s="49">
        <f>SUM(C383:C384)</f>
        <v>1140500</v>
      </c>
      <c r="D382" s="27"/>
      <c r="E382" s="27"/>
      <c r="F382" s="27"/>
      <c r="G382" s="27"/>
      <c r="H382" s="27"/>
      <c r="I382" s="27"/>
      <c r="J382" s="27"/>
      <c r="K382" s="27"/>
      <c r="L382" s="27"/>
      <c r="M382" s="9"/>
      <c r="N382" s="9"/>
      <c r="O382" s="9"/>
      <c r="P382" s="9"/>
      <c r="Q382" s="9"/>
      <c r="R382" s="9"/>
      <c r="S382" s="9"/>
      <c r="T382" s="9"/>
      <c r="U382" s="9"/>
      <c r="V382" s="9"/>
      <c r="W382" s="9"/>
      <c r="X382" s="9"/>
    </row>
    <row r="383" spans="1:24" ht="13.5" customHeight="1">
      <c r="A383" s="33">
        <v>21130201</v>
      </c>
      <c r="B383" s="33" t="s">
        <v>482</v>
      </c>
      <c r="C383" s="24">
        <v>962000</v>
      </c>
      <c r="D383" s="27"/>
      <c r="E383" s="27"/>
      <c r="F383" s="27"/>
      <c r="G383" s="27"/>
      <c r="H383" s="27"/>
      <c r="I383" s="27"/>
      <c r="J383" s="27"/>
      <c r="K383" s="27"/>
      <c r="L383" s="27"/>
      <c r="M383" s="9"/>
      <c r="N383" s="9"/>
      <c r="O383" s="9"/>
      <c r="P383" s="9"/>
      <c r="Q383" s="9"/>
      <c r="R383" s="9"/>
      <c r="S383" s="9"/>
      <c r="T383" s="9"/>
      <c r="U383" s="9"/>
      <c r="V383" s="9"/>
      <c r="W383" s="9"/>
      <c r="X383" s="9"/>
    </row>
    <row r="384" spans="1:24" ht="13.5" customHeight="1">
      <c r="A384" s="40">
        <v>21130204</v>
      </c>
      <c r="B384" s="13" t="s">
        <v>483</v>
      </c>
      <c r="C384" s="24">
        <v>178500</v>
      </c>
      <c r="D384" s="27"/>
      <c r="E384" s="27"/>
      <c r="F384" s="27"/>
      <c r="G384" s="27"/>
      <c r="H384" s="27"/>
      <c r="I384" s="27"/>
      <c r="J384" s="27"/>
      <c r="K384" s="27"/>
      <c r="L384" s="27"/>
      <c r="M384" s="9"/>
      <c r="N384" s="9"/>
      <c r="O384" s="9"/>
      <c r="P384" s="9"/>
      <c r="Q384" s="9"/>
      <c r="R384" s="9"/>
      <c r="S384" s="9"/>
      <c r="T384" s="9"/>
      <c r="U384" s="9"/>
      <c r="V384" s="9"/>
      <c r="W384" s="9"/>
      <c r="X384" s="9"/>
    </row>
    <row r="385" spans="1:24" ht="13.5" customHeight="1">
      <c r="A385" s="22">
        <v>211303</v>
      </c>
      <c r="B385" s="15" t="s">
        <v>484</v>
      </c>
      <c r="C385" s="16">
        <f>SUM(C386:C388)</f>
        <v>412500</v>
      </c>
      <c r="D385" s="27"/>
      <c r="E385" s="27"/>
      <c r="F385" s="27"/>
      <c r="G385" s="27"/>
      <c r="H385" s="27"/>
      <c r="I385" s="27"/>
      <c r="J385" s="27"/>
      <c r="K385" s="27"/>
      <c r="L385" s="27"/>
      <c r="M385" s="9"/>
      <c r="N385" s="9"/>
      <c r="O385" s="9"/>
      <c r="P385" s="9"/>
      <c r="Q385" s="9"/>
      <c r="R385" s="9"/>
      <c r="S385" s="9"/>
      <c r="T385" s="9"/>
      <c r="U385" s="9"/>
      <c r="V385" s="9"/>
      <c r="W385" s="9"/>
      <c r="X385" s="9"/>
    </row>
    <row r="386" spans="1:24" ht="13.5" customHeight="1">
      <c r="A386" s="40">
        <v>21130301</v>
      </c>
      <c r="B386" s="13" t="s">
        <v>485</v>
      </c>
      <c r="C386" s="14">
        <f>100000+20000</f>
        <v>120000</v>
      </c>
      <c r="D386" s="27"/>
      <c r="E386" s="27"/>
      <c r="F386" s="27"/>
      <c r="G386" s="27"/>
      <c r="H386" s="27"/>
      <c r="I386" s="27"/>
      <c r="J386" s="27"/>
      <c r="K386" s="27"/>
      <c r="L386" s="27"/>
      <c r="M386" s="9"/>
      <c r="N386" s="9"/>
      <c r="O386" s="9"/>
      <c r="P386" s="9"/>
      <c r="Q386" s="9"/>
      <c r="R386" s="9"/>
      <c r="S386" s="9"/>
      <c r="T386" s="9"/>
      <c r="U386" s="9"/>
      <c r="V386" s="9"/>
      <c r="W386" s="9"/>
      <c r="X386" s="9"/>
    </row>
    <row r="387" spans="1:24" ht="13.5" customHeight="1">
      <c r="A387" s="40">
        <v>21130306</v>
      </c>
      <c r="B387" s="13" t="s">
        <v>487</v>
      </c>
      <c r="C387" s="14">
        <f>100000+43000</f>
        <v>143000</v>
      </c>
      <c r="D387" s="27"/>
      <c r="E387" s="27"/>
      <c r="F387" s="27"/>
      <c r="G387" s="27"/>
      <c r="H387" s="27"/>
      <c r="I387" s="27"/>
      <c r="J387" s="27"/>
      <c r="K387" s="27"/>
      <c r="L387" s="27"/>
      <c r="M387" s="9"/>
      <c r="N387" s="9"/>
      <c r="O387" s="9"/>
      <c r="P387" s="9"/>
      <c r="Q387" s="9"/>
      <c r="R387" s="9"/>
      <c r="S387" s="9"/>
      <c r="T387" s="9"/>
      <c r="U387" s="9"/>
      <c r="V387" s="9"/>
      <c r="W387" s="9"/>
      <c r="X387" s="9"/>
    </row>
    <row r="388" spans="1:24" ht="13.5" customHeight="1">
      <c r="A388" s="40">
        <v>21130307</v>
      </c>
      <c r="B388" s="13" t="s">
        <v>488</v>
      </c>
      <c r="C388" s="14">
        <f>100000+49500</f>
        <v>149500</v>
      </c>
      <c r="D388" s="27"/>
      <c r="E388" s="27"/>
      <c r="F388" s="27"/>
      <c r="G388" s="27"/>
      <c r="H388" s="27"/>
      <c r="I388" s="27"/>
      <c r="J388" s="27"/>
      <c r="K388" s="27"/>
      <c r="L388" s="27"/>
      <c r="M388" s="9"/>
      <c r="N388" s="9"/>
      <c r="O388" s="9"/>
      <c r="P388" s="9"/>
      <c r="Q388" s="9"/>
      <c r="R388" s="9"/>
      <c r="S388" s="9"/>
      <c r="T388" s="9"/>
      <c r="U388" s="9"/>
      <c r="V388" s="9"/>
      <c r="W388" s="9"/>
      <c r="X388" s="9"/>
    </row>
    <row r="389" spans="1:24" ht="13.5" customHeight="1">
      <c r="A389" s="48">
        <v>211305</v>
      </c>
      <c r="B389" s="15" t="s">
        <v>489</v>
      </c>
      <c r="C389" s="26">
        <f>+C390</f>
        <v>10000000</v>
      </c>
      <c r="D389" s="27"/>
      <c r="E389" s="27"/>
      <c r="F389" s="27"/>
      <c r="G389" s="27"/>
      <c r="H389" s="27"/>
      <c r="I389" s="27"/>
      <c r="J389" s="27"/>
      <c r="K389" s="27"/>
      <c r="L389" s="27"/>
      <c r="M389" s="9"/>
      <c r="N389" s="9"/>
      <c r="O389" s="9"/>
      <c r="P389" s="9"/>
      <c r="Q389" s="9"/>
      <c r="R389" s="9"/>
      <c r="S389" s="9"/>
      <c r="T389" s="9"/>
      <c r="U389" s="9"/>
      <c r="V389" s="9"/>
      <c r="W389" s="9"/>
      <c r="X389" s="9"/>
    </row>
    <row r="390" spans="1:24" ht="13.5" customHeight="1">
      <c r="A390" s="33">
        <v>21130502</v>
      </c>
      <c r="B390" s="24" t="s">
        <v>491</v>
      </c>
      <c r="C390" s="43">
        <v>10000000</v>
      </c>
      <c r="D390" s="27"/>
      <c r="E390" s="27"/>
      <c r="F390" s="27"/>
      <c r="G390" s="27"/>
      <c r="H390" s="27"/>
      <c r="I390" s="27"/>
      <c r="J390" s="27"/>
      <c r="K390" s="27"/>
      <c r="L390" s="27"/>
      <c r="M390" s="9"/>
      <c r="N390" s="9"/>
      <c r="O390" s="9"/>
      <c r="P390" s="9"/>
      <c r="Q390" s="9"/>
      <c r="R390" s="9"/>
      <c r="S390" s="9"/>
      <c r="T390" s="9"/>
      <c r="U390" s="9"/>
      <c r="V390" s="9"/>
      <c r="W390" s="9"/>
      <c r="X390" s="9"/>
    </row>
    <row r="391" spans="1:24" ht="13.5" customHeight="1">
      <c r="A391" s="48">
        <v>211306</v>
      </c>
      <c r="B391" s="26" t="s">
        <v>492</v>
      </c>
      <c r="C391" s="16">
        <f>C392</f>
        <v>524500</v>
      </c>
      <c r="D391" s="27"/>
      <c r="E391" s="27"/>
      <c r="F391" s="27"/>
      <c r="G391" s="27"/>
      <c r="H391" s="27"/>
      <c r="I391" s="27"/>
      <c r="J391" s="27"/>
      <c r="K391" s="27"/>
      <c r="L391" s="27"/>
      <c r="M391" s="9"/>
      <c r="N391" s="9"/>
      <c r="O391" s="9"/>
      <c r="P391" s="9"/>
      <c r="Q391" s="9"/>
      <c r="R391" s="9"/>
      <c r="S391" s="9"/>
      <c r="T391" s="9"/>
      <c r="U391" s="9"/>
      <c r="V391" s="9"/>
      <c r="W391" s="9"/>
      <c r="X391" s="9"/>
    </row>
    <row r="392" spans="1:24" ht="13.5" customHeight="1">
      <c r="A392" s="33">
        <v>21130604</v>
      </c>
      <c r="B392" s="13" t="s">
        <v>539</v>
      </c>
      <c r="C392" s="14">
        <f>500000+24500</f>
        <v>524500</v>
      </c>
      <c r="D392" s="27"/>
      <c r="E392" s="27"/>
      <c r="F392" s="27"/>
      <c r="G392" s="27"/>
      <c r="H392" s="27"/>
      <c r="I392" s="27"/>
      <c r="J392" s="27"/>
      <c r="K392" s="27"/>
      <c r="L392" s="27"/>
      <c r="M392" s="9"/>
      <c r="N392" s="9"/>
      <c r="O392" s="9"/>
      <c r="P392" s="9"/>
      <c r="Q392" s="9"/>
      <c r="R392" s="9"/>
      <c r="S392" s="9"/>
      <c r="T392" s="9"/>
      <c r="U392" s="9"/>
      <c r="V392" s="9"/>
      <c r="W392" s="9"/>
      <c r="X392" s="9"/>
    </row>
    <row r="393" spans="1:24" ht="12.75" customHeight="1">
      <c r="A393" s="48">
        <v>211307</v>
      </c>
      <c r="B393" s="26" t="s">
        <v>494</v>
      </c>
      <c r="C393" s="16">
        <f>C394</f>
        <v>566000</v>
      </c>
      <c r="D393" s="30"/>
      <c r="E393" s="30"/>
      <c r="F393" s="30"/>
      <c r="G393" s="30"/>
      <c r="H393" s="30"/>
      <c r="I393" s="30"/>
      <c r="J393" s="30"/>
      <c r="K393" s="30"/>
      <c r="L393" s="30"/>
      <c r="M393" s="8"/>
      <c r="N393" s="8"/>
      <c r="O393" s="8"/>
      <c r="P393" s="8"/>
      <c r="Q393" s="8"/>
      <c r="R393" s="8"/>
      <c r="S393" s="8"/>
      <c r="T393" s="8"/>
      <c r="U393" s="8"/>
      <c r="V393" s="8"/>
      <c r="W393" s="8"/>
      <c r="X393" s="8"/>
    </row>
    <row r="394" spans="1:24" ht="12.75" customHeight="1">
      <c r="A394" s="33">
        <v>21130701</v>
      </c>
      <c r="B394" s="13" t="s">
        <v>495</v>
      </c>
      <c r="C394" s="14">
        <f>500000+66000</f>
        <v>566000</v>
      </c>
      <c r="D394" s="85"/>
      <c r="E394" s="85"/>
      <c r="F394" s="85"/>
      <c r="G394" s="85"/>
      <c r="H394" s="85"/>
      <c r="I394" s="85"/>
      <c r="J394" s="85"/>
      <c r="K394" s="85"/>
      <c r="L394" s="85"/>
      <c r="M394" s="8"/>
      <c r="N394" s="8"/>
      <c r="O394" s="8"/>
      <c r="P394" s="8"/>
      <c r="Q394" s="8"/>
      <c r="R394" s="8"/>
      <c r="S394" s="8"/>
      <c r="T394" s="8"/>
      <c r="U394" s="8"/>
      <c r="V394" s="8"/>
      <c r="W394" s="8"/>
      <c r="X394" s="8"/>
    </row>
    <row r="395" spans="1:24" ht="13.5" customHeight="1">
      <c r="A395" s="48">
        <v>211309</v>
      </c>
      <c r="B395" s="26" t="s">
        <v>496</v>
      </c>
      <c r="C395" s="16">
        <f>+SUM(C396:C398)</f>
        <v>9010500</v>
      </c>
      <c r="D395" s="27"/>
      <c r="E395" s="27"/>
      <c r="F395" s="27"/>
      <c r="G395" s="27"/>
      <c r="H395" s="27"/>
      <c r="I395" s="27"/>
      <c r="J395" s="27"/>
      <c r="K395" s="27"/>
      <c r="L395" s="27"/>
      <c r="M395" s="9"/>
      <c r="N395" s="9"/>
      <c r="O395" s="9"/>
      <c r="P395" s="9"/>
      <c r="Q395" s="9"/>
      <c r="R395" s="9"/>
      <c r="S395" s="9"/>
      <c r="T395" s="9"/>
      <c r="U395" s="9"/>
      <c r="V395" s="9"/>
      <c r="W395" s="9"/>
      <c r="X395" s="9"/>
    </row>
    <row r="396" spans="1:24" ht="13.5" customHeight="1">
      <c r="A396" s="33">
        <v>21130901</v>
      </c>
      <c r="B396" s="24" t="s">
        <v>497</v>
      </c>
      <c r="C396" s="14">
        <v>7000000</v>
      </c>
      <c r="D396" s="27"/>
      <c r="E396" s="27"/>
      <c r="F396" s="27"/>
      <c r="G396" s="27"/>
      <c r="H396" s="27"/>
      <c r="I396" s="27"/>
      <c r="J396" s="27"/>
      <c r="K396" s="27"/>
      <c r="L396" s="27"/>
      <c r="M396" s="9"/>
      <c r="N396" s="9"/>
      <c r="O396" s="9"/>
      <c r="P396" s="9"/>
      <c r="Q396" s="9"/>
      <c r="R396" s="9"/>
      <c r="S396" s="9"/>
      <c r="T396" s="9"/>
      <c r="U396" s="9"/>
      <c r="V396" s="9"/>
      <c r="W396" s="9"/>
      <c r="X396" s="9"/>
    </row>
    <row r="397" spans="1:24" ht="12.75" customHeight="1">
      <c r="A397" s="33">
        <v>21130903</v>
      </c>
      <c r="B397" s="13" t="s">
        <v>498</v>
      </c>
      <c r="C397" s="14">
        <f>200000+10500</f>
        <v>210500</v>
      </c>
      <c r="D397" s="40"/>
      <c r="E397" s="40"/>
      <c r="F397" s="40"/>
      <c r="G397" s="40"/>
      <c r="H397" s="40"/>
      <c r="I397" s="40"/>
      <c r="J397" s="40"/>
      <c r="K397" s="40"/>
      <c r="L397" s="40"/>
      <c r="M397" s="8"/>
      <c r="N397" s="8"/>
      <c r="O397" s="8"/>
      <c r="P397" s="8"/>
      <c r="Q397" s="8"/>
      <c r="R397" s="8"/>
      <c r="S397" s="8"/>
      <c r="T397" s="8"/>
      <c r="U397" s="8"/>
      <c r="V397" s="8"/>
      <c r="W397" s="8"/>
      <c r="X397" s="8"/>
    </row>
    <row r="398" spans="1:24" ht="13.5" customHeight="1">
      <c r="A398" s="33">
        <v>21130908</v>
      </c>
      <c r="B398" s="24" t="s">
        <v>500</v>
      </c>
      <c r="C398" s="14">
        <v>1800000</v>
      </c>
      <c r="D398" s="27"/>
      <c r="E398" s="27"/>
      <c r="F398" s="27"/>
      <c r="G398" s="27"/>
      <c r="H398" s="27"/>
      <c r="I398" s="27"/>
      <c r="J398" s="27"/>
      <c r="K398" s="27"/>
      <c r="L398" s="27"/>
      <c r="M398" s="9"/>
      <c r="N398" s="9"/>
      <c r="O398" s="9"/>
      <c r="P398" s="9"/>
      <c r="Q398" s="9"/>
      <c r="R398" s="9"/>
      <c r="S398" s="9"/>
      <c r="T398" s="9"/>
      <c r="U398" s="9"/>
      <c r="V398" s="9"/>
      <c r="W398" s="9"/>
      <c r="X398" s="9"/>
    </row>
    <row r="399" spans="1:24" ht="13.5" customHeight="1" thickBot="1">
      <c r="A399" s="23"/>
      <c r="B399" s="23"/>
      <c r="C399" s="24"/>
      <c r="D399" s="27"/>
      <c r="E399" s="27"/>
      <c r="F399" s="27"/>
      <c r="G399" s="27"/>
      <c r="H399" s="27"/>
      <c r="I399" s="27"/>
      <c r="J399" s="27"/>
      <c r="K399" s="27"/>
      <c r="L399" s="27"/>
      <c r="M399" s="9"/>
      <c r="N399" s="9"/>
      <c r="O399" s="9"/>
      <c r="P399" s="9"/>
      <c r="Q399" s="9"/>
      <c r="R399" s="9"/>
      <c r="S399" s="9"/>
      <c r="T399" s="9"/>
      <c r="U399" s="9"/>
      <c r="V399" s="9"/>
      <c r="W399" s="9"/>
      <c r="X399" s="9"/>
    </row>
    <row r="400" spans="1:24" ht="12.75" customHeight="1" thickBot="1">
      <c r="A400" s="1315" t="s">
        <v>45</v>
      </c>
      <c r="B400" s="1281"/>
      <c r="C400" s="87">
        <f>C401</f>
        <v>40400000</v>
      </c>
      <c r="D400" s="40"/>
      <c r="E400" s="40"/>
      <c r="F400" s="40"/>
      <c r="G400" s="40"/>
      <c r="H400" s="40"/>
      <c r="I400" s="40"/>
      <c r="J400" s="40"/>
      <c r="K400" s="40"/>
      <c r="L400" s="40"/>
      <c r="M400" s="8"/>
      <c r="N400" s="8"/>
      <c r="O400" s="8"/>
      <c r="P400" s="8"/>
      <c r="Q400" s="8"/>
      <c r="R400" s="8"/>
      <c r="S400" s="8"/>
      <c r="T400" s="8"/>
      <c r="U400" s="8"/>
      <c r="V400" s="8"/>
      <c r="W400" s="8"/>
      <c r="X400" s="8"/>
    </row>
    <row r="401" spans="1:24" ht="12.75" customHeight="1">
      <c r="A401" s="22">
        <v>211402</v>
      </c>
      <c r="B401" s="22" t="s">
        <v>503</v>
      </c>
      <c r="C401" s="82">
        <f>SUM(C402:C403)</f>
        <v>40400000</v>
      </c>
      <c r="D401" s="40"/>
      <c r="E401" s="40"/>
      <c r="F401" s="40"/>
      <c r="G401" s="40"/>
      <c r="H401" s="40"/>
      <c r="I401" s="40"/>
      <c r="J401" s="40"/>
      <c r="K401" s="40"/>
      <c r="L401" s="40"/>
      <c r="M401" s="84"/>
      <c r="N401" s="84"/>
      <c r="O401" s="84"/>
      <c r="P401" s="84"/>
      <c r="Q401" s="84"/>
      <c r="R401" s="84"/>
      <c r="S401" s="84"/>
      <c r="T401" s="84"/>
      <c r="U401" s="84"/>
      <c r="V401" s="84"/>
      <c r="W401" s="84"/>
      <c r="X401" s="84"/>
    </row>
    <row r="402" spans="1:24" ht="12.75" customHeight="1">
      <c r="A402" s="40">
        <v>21140208</v>
      </c>
      <c r="B402" s="13" t="s">
        <v>553</v>
      </c>
      <c r="C402" s="14">
        <f>25000000+350000</f>
        <v>25350000</v>
      </c>
      <c r="D402" s="40"/>
      <c r="E402" s="40"/>
      <c r="F402" s="40"/>
      <c r="G402" s="40"/>
      <c r="H402" s="40"/>
      <c r="I402" s="40"/>
      <c r="J402" s="40"/>
      <c r="K402" s="40"/>
      <c r="L402" s="40"/>
      <c r="M402" s="8"/>
      <c r="N402" s="8"/>
      <c r="O402" s="8"/>
      <c r="P402" s="8"/>
      <c r="Q402" s="8"/>
      <c r="R402" s="8"/>
      <c r="S402" s="8"/>
      <c r="T402" s="8"/>
      <c r="U402" s="8"/>
      <c r="V402" s="8"/>
      <c r="W402" s="8"/>
      <c r="X402" s="8"/>
    </row>
    <row r="403" spans="1:24" ht="12.75" customHeight="1">
      <c r="A403" s="40">
        <v>21140213</v>
      </c>
      <c r="B403" s="13" t="s">
        <v>504</v>
      </c>
      <c r="C403" s="14">
        <f>15000000+50000</f>
        <v>15050000</v>
      </c>
      <c r="D403" s="40"/>
      <c r="E403" s="40"/>
      <c r="F403" s="40"/>
      <c r="G403" s="40"/>
      <c r="H403" s="40"/>
      <c r="I403" s="40"/>
      <c r="J403" s="40"/>
      <c r="K403" s="40"/>
      <c r="L403" s="40"/>
      <c r="M403" s="8"/>
      <c r="N403" s="8"/>
      <c r="O403" s="8"/>
      <c r="P403" s="8"/>
      <c r="Q403" s="8"/>
      <c r="R403" s="8"/>
      <c r="S403" s="8"/>
      <c r="T403" s="8"/>
      <c r="U403" s="8"/>
      <c r="V403" s="8"/>
      <c r="W403" s="8"/>
      <c r="X403" s="8"/>
    </row>
    <row r="404" spans="1:24" ht="12.75" customHeight="1" thickBot="1">
      <c r="A404" s="40"/>
      <c r="B404" s="13"/>
      <c r="C404" s="14"/>
      <c r="D404" s="40"/>
      <c r="E404" s="40"/>
      <c r="F404" s="40"/>
      <c r="G404" s="40"/>
      <c r="H404" s="40"/>
      <c r="I404" s="40"/>
      <c r="J404" s="40"/>
      <c r="K404" s="40"/>
      <c r="L404" s="40"/>
      <c r="M404" s="8"/>
      <c r="N404" s="8"/>
      <c r="O404" s="8"/>
      <c r="P404" s="8"/>
      <c r="Q404" s="8"/>
      <c r="R404" s="8"/>
      <c r="S404" s="8"/>
      <c r="T404" s="8"/>
      <c r="U404" s="8"/>
      <c r="V404" s="8"/>
      <c r="W404" s="8"/>
      <c r="X404" s="8"/>
    </row>
    <row r="405" spans="1:24" ht="13.5" customHeight="1" thickBot="1">
      <c r="A405" s="1312" t="s">
        <v>48</v>
      </c>
      <c r="B405" s="1281"/>
      <c r="C405" s="65">
        <f>+C406+C410</f>
        <v>1250000</v>
      </c>
      <c r="D405" s="27"/>
      <c r="E405" s="27"/>
      <c r="F405" s="27"/>
      <c r="G405" s="27"/>
      <c r="H405" s="27"/>
      <c r="I405" s="27"/>
      <c r="J405" s="27"/>
      <c r="K405" s="27"/>
      <c r="L405" s="27"/>
      <c r="M405" s="9"/>
      <c r="N405" s="9"/>
      <c r="O405" s="9"/>
      <c r="P405" s="9"/>
      <c r="Q405" s="9"/>
      <c r="R405" s="9"/>
      <c r="S405" s="9"/>
      <c r="T405" s="9"/>
      <c r="U405" s="9"/>
      <c r="V405" s="9"/>
      <c r="W405" s="9"/>
      <c r="X405" s="9"/>
    </row>
    <row r="406" spans="1:24" ht="13.5" customHeight="1">
      <c r="A406" s="48">
        <v>221104</v>
      </c>
      <c r="B406" s="603" t="s">
        <v>510</v>
      </c>
      <c r="C406" s="16">
        <f>SUM(C407:C409)</f>
        <v>810000</v>
      </c>
      <c r="D406" s="27"/>
      <c r="E406" s="27"/>
      <c r="F406" s="27"/>
      <c r="G406" s="27"/>
      <c r="H406" s="27"/>
      <c r="I406" s="27"/>
      <c r="J406" s="27"/>
      <c r="K406" s="27"/>
      <c r="L406" s="27"/>
      <c r="M406" s="9"/>
      <c r="N406" s="9"/>
      <c r="O406" s="9"/>
      <c r="P406" s="9"/>
      <c r="Q406" s="9"/>
      <c r="R406" s="9"/>
      <c r="S406" s="9"/>
      <c r="T406" s="9"/>
      <c r="U406" s="9"/>
      <c r="V406" s="9"/>
      <c r="W406" s="9"/>
      <c r="X406" s="9"/>
    </row>
    <row r="407" spans="1:24" ht="13.5" customHeight="1">
      <c r="A407" s="33">
        <v>22110401</v>
      </c>
      <c r="B407" s="24" t="s">
        <v>511</v>
      </c>
      <c r="C407" s="14">
        <v>150000</v>
      </c>
      <c r="D407" s="27"/>
      <c r="E407" s="27"/>
      <c r="F407" s="27"/>
      <c r="G407" s="27"/>
      <c r="H407" s="27"/>
      <c r="I407" s="27"/>
      <c r="J407" s="27"/>
      <c r="K407" s="27"/>
      <c r="L407" s="27"/>
      <c r="M407" s="9"/>
      <c r="N407" s="9"/>
      <c r="O407" s="9"/>
      <c r="P407" s="9"/>
      <c r="Q407" s="9"/>
      <c r="R407" s="9"/>
      <c r="S407" s="9"/>
      <c r="T407" s="9"/>
      <c r="U407" s="9"/>
      <c r="V407" s="9"/>
      <c r="W407" s="9"/>
      <c r="X407" s="9"/>
    </row>
    <row r="408" spans="1:24" ht="13.5" customHeight="1">
      <c r="A408" s="33">
        <v>22110405</v>
      </c>
      <c r="B408" s="24" t="s">
        <v>554</v>
      </c>
      <c r="C408" s="14">
        <v>440000</v>
      </c>
      <c r="D408" s="27"/>
      <c r="E408" s="27"/>
      <c r="F408" s="27"/>
      <c r="G408" s="27"/>
      <c r="H408" s="27"/>
      <c r="I408" s="27"/>
      <c r="J408" s="27"/>
      <c r="K408" s="27"/>
      <c r="L408" s="27"/>
      <c r="M408" s="9"/>
      <c r="N408" s="9"/>
      <c r="O408" s="9"/>
      <c r="P408" s="9"/>
      <c r="Q408" s="9"/>
      <c r="R408" s="9"/>
      <c r="S408" s="9"/>
      <c r="T408" s="9"/>
      <c r="U408" s="9"/>
      <c r="V408" s="9"/>
      <c r="W408" s="9"/>
      <c r="X408" s="9"/>
    </row>
    <row r="409" spans="1:24" ht="13.5" customHeight="1">
      <c r="A409" s="33">
        <v>22110409</v>
      </c>
      <c r="B409" s="24" t="s">
        <v>513</v>
      </c>
      <c r="C409" s="24">
        <v>220000</v>
      </c>
      <c r="D409" s="40"/>
      <c r="E409" s="40"/>
      <c r="F409" s="40"/>
      <c r="G409" s="40"/>
      <c r="H409" s="40"/>
      <c r="I409" s="40"/>
      <c r="J409" s="40"/>
      <c r="K409" s="40"/>
      <c r="L409" s="40"/>
      <c r="M409" s="13"/>
      <c r="N409" s="13"/>
      <c r="O409" s="13"/>
      <c r="P409" s="13"/>
      <c r="Q409" s="13"/>
      <c r="R409" s="13"/>
      <c r="S409" s="13"/>
      <c r="T409" s="13"/>
      <c r="U409" s="13"/>
      <c r="V409" s="13"/>
      <c r="W409" s="13"/>
      <c r="X409" s="13"/>
    </row>
    <row r="410" spans="1:24" ht="13.5" customHeight="1">
      <c r="A410" s="48">
        <v>221107</v>
      </c>
      <c r="B410" s="26" t="s">
        <v>514</v>
      </c>
      <c r="C410" s="16">
        <f>SUM(C411)</f>
        <v>440000</v>
      </c>
      <c r="D410" s="27"/>
      <c r="E410" s="27"/>
      <c r="F410" s="27"/>
      <c r="G410" s="27"/>
      <c r="H410" s="27"/>
      <c r="I410" s="27"/>
      <c r="J410" s="27"/>
      <c r="K410" s="27"/>
      <c r="L410" s="27"/>
      <c r="M410" s="9"/>
      <c r="N410" s="9"/>
      <c r="O410" s="9"/>
      <c r="P410" s="9"/>
      <c r="Q410" s="9"/>
      <c r="R410" s="9"/>
      <c r="S410" s="9"/>
      <c r="T410" s="9"/>
      <c r="U410" s="9"/>
      <c r="V410" s="9"/>
      <c r="W410" s="9"/>
      <c r="X410" s="9"/>
    </row>
    <row r="411" spans="1:24" ht="13.5" customHeight="1">
      <c r="A411" s="33">
        <v>22110702</v>
      </c>
      <c r="B411" s="24" t="s">
        <v>515</v>
      </c>
      <c r="C411" s="14">
        <v>440000</v>
      </c>
      <c r="D411" s="27"/>
      <c r="E411" s="27"/>
      <c r="F411" s="27"/>
      <c r="G411" s="27"/>
      <c r="H411" s="27"/>
      <c r="I411" s="27"/>
      <c r="J411" s="27"/>
      <c r="K411" s="27"/>
      <c r="L411" s="27"/>
      <c r="M411" s="9"/>
      <c r="N411" s="9"/>
      <c r="O411" s="9"/>
      <c r="P411" s="9"/>
      <c r="Q411" s="9"/>
      <c r="R411" s="9"/>
      <c r="S411" s="9"/>
      <c r="T411" s="9"/>
      <c r="U411" s="9"/>
      <c r="V411" s="9"/>
      <c r="W411" s="9"/>
      <c r="X411" s="9"/>
    </row>
    <row r="412" spans="1:24" ht="13.5" customHeight="1">
      <c r="A412" s="33"/>
      <c r="B412" s="24"/>
      <c r="C412" s="14"/>
      <c r="D412" s="27"/>
      <c r="E412" s="27"/>
      <c r="F412" s="27"/>
      <c r="G412" s="27"/>
      <c r="H412" s="27"/>
      <c r="I412" s="27"/>
      <c r="J412" s="27"/>
      <c r="K412" s="27"/>
      <c r="L412" s="27"/>
      <c r="M412" s="9"/>
      <c r="N412" s="9"/>
      <c r="O412" s="9"/>
      <c r="P412" s="9"/>
      <c r="Q412" s="9"/>
      <c r="R412" s="9"/>
      <c r="S412" s="9"/>
      <c r="T412" s="9"/>
      <c r="U412" s="9"/>
      <c r="V412" s="9"/>
      <c r="W412" s="9"/>
      <c r="X412" s="9"/>
    </row>
    <row r="413" spans="1:24" ht="13.5" customHeight="1" thickBot="1">
      <c r="A413" s="23"/>
      <c r="B413" s="24"/>
      <c r="C413" s="24"/>
      <c r="D413" s="40"/>
      <c r="E413" s="14"/>
      <c r="F413" s="13"/>
      <c r="G413" s="13"/>
      <c r="H413" s="13"/>
      <c r="I413" s="13"/>
      <c r="J413" s="13"/>
      <c r="K413" s="13"/>
      <c r="L413" s="13"/>
      <c r="M413" s="13"/>
      <c r="N413" s="13"/>
      <c r="O413" s="13"/>
      <c r="P413" s="13"/>
      <c r="Q413" s="13"/>
      <c r="R413" s="13"/>
      <c r="S413" s="13"/>
      <c r="T413" s="13"/>
      <c r="U413" s="13"/>
      <c r="V413" s="13"/>
      <c r="W413" s="13"/>
      <c r="X413" s="13"/>
    </row>
    <row r="414" spans="1:24" ht="13.5" customHeight="1">
      <c r="A414" s="1403" t="s">
        <v>800</v>
      </c>
      <c r="B414" s="1404"/>
      <c r="C414" s="1153">
        <v>1707</v>
      </c>
      <c r="D414" s="81"/>
      <c r="E414" s="81"/>
      <c r="F414" s="81"/>
      <c r="G414" s="81"/>
      <c r="H414" s="81"/>
      <c r="I414" s="81"/>
      <c r="J414" s="81"/>
      <c r="K414" s="81"/>
      <c r="L414" s="81"/>
      <c r="M414" s="9"/>
      <c r="N414" s="9"/>
      <c r="O414" s="9"/>
      <c r="P414" s="9"/>
      <c r="Q414" s="9"/>
      <c r="R414" s="9"/>
      <c r="S414" s="9"/>
      <c r="T414" s="9"/>
      <c r="U414" s="9"/>
      <c r="V414" s="9"/>
      <c r="W414" s="9"/>
      <c r="X414" s="9"/>
    </row>
    <row r="415" spans="1:24" ht="13.5" customHeight="1" thickBot="1">
      <c r="A415" s="1405"/>
      <c r="B415" s="1406"/>
      <c r="C415" s="1170"/>
      <c r="D415" s="27"/>
      <c r="E415" s="27"/>
      <c r="F415" s="27"/>
      <c r="G415" s="27"/>
      <c r="H415" s="27"/>
      <c r="I415" s="27"/>
      <c r="J415" s="27"/>
      <c r="K415" s="27"/>
      <c r="L415" s="27"/>
      <c r="M415" s="9"/>
      <c r="N415" s="9"/>
      <c r="O415" s="9"/>
      <c r="P415" s="9"/>
      <c r="Q415" s="9"/>
      <c r="R415" s="9"/>
      <c r="S415" s="9"/>
      <c r="T415" s="9"/>
      <c r="U415" s="9"/>
      <c r="V415" s="9"/>
      <c r="W415" s="9"/>
      <c r="X415" s="9"/>
    </row>
    <row r="416" spans="1:24" ht="13.5" customHeight="1">
      <c r="A416" s="1028" t="s">
        <v>671</v>
      </c>
      <c r="B416" s="808"/>
      <c r="C416" s="1183"/>
      <c r="D416" s="27"/>
      <c r="E416" s="27"/>
      <c r="F416" s="27"/>
      <c r="G416" s="27"/>
      <c r="H416" s="27"/>
      <c r="I416" s="27"/>
      <c r="J416" s="27"/>
      <c r="K416" s="27"/>
      <c r="L416" s="27"/>
      <c r="M416" s="9"/>
      <c r="N416" s="9"/>
      <c r="O416" s="9"/>
      <c r="P416" s="9"/>
      <c r="Q416" s="9"/>
      <c r="R416" s="9"/>
      <c r="S416" s="9"/>
      <c r="T416" s="9"/>
      <c r="U416" s="9"/>
      <c r="V416" s="9"/>
      <c r="W416" s="9"/>
      <c r="X416" s="9"/>
    </row>
    <row r="417" spans="1:24" ht="13.5" customHeight="1">
      <c r="A417" s="1097" t="s">
        <v>113</v>
      </c>
      <c r="B417" s="808"/>
      <c r="C417" s="1184"/>
      <c r="D417" s="27"/>
      <c r="E417" s="27"/>
      <c r="F417" s="27"/>
      <c r="G417" s="27"/>
      <c r="H417" s="27"/>
      <c r="I417" s="27"/>
      <c r="J417" s="27"/>
      <c r="K417" s="27"/>
      <c r="L417" s="27"/>
      <c r="M417" s="9"/>
      <c r="N417" s="9"/>
      <c r="O417" s="9"/>
      <c r="P417" s="9"/>
      <c r="Q417" s="9"/>
      <c r="R417" s="9"/>
      <c r="S417" s="9"/>
      <c r="T417" s="9"/>
      <c r="U417" s="9"/>
      <c r="V417" s="9"/>
      <c r="W417" s="9"/>
      <c r="X417" s="9"/>
    </row>
    <row r="418" spans="1:24" ht="13.5" customHeight="1">
      <c r="A418" s="1097" t="s">
        <v>745</v>
      </c>
      <c r="B418" s="986"/>
      <c r="C418" s="1184"/>
      <c r="D418" s="27"/>
      <c r="E418" s="27"/>
      <c r="F418" s="27"/>
      <c r="G418" s="27"/>
      <c r="H418" s="27"/>
      <c r="I418" s="27"/>
      <c r="J418" s="27"/>
      <c r="K418" s="27"/>
      <c r="L418" s="27"/>
      <c r="M418" s="9"/>
      <c r="N418" s="9"/>
      <c r="O418" s="9"/>
      <c r="P418" s="9"/>
      <c r="Q418" s="9"/>
      <c r="R418" s="9"/>
      <c r="S418" s="9"/>
      <c r="T418" s="9"/>
      <c r="U418" s="9"/>
      <c r="V418" s="9"/>
      <c r="W418" s="9"/>
      <c r="X418" s="9"/>
    </row>
    <row r="419" spans="1:24" ht="13.5" customHeight="1" thickBot="1">
      <c r="A419" s="1125" t="s">
        <v>59</v>
      </c>
      <c r="B419" s="982"/>
      <c r="C419" s="1185"/>
      <c r="D419" s="27"/>
      <c r="E419" s="27"/>
      <c r="F419" s="27"/>
      <c r="G419" s="27"/>
      <c r="H419" s="27"/>
      <c r="I419" s="27"/>
      <c r="J419" s="27"/>
      <c r="K419" s="27"/>
      <c r="L419" s="27"/>
      <c r="M419" s="9"/>
      <c r="N419" s="9"/>
      <c r="O419" s="9"/>
      <c r="P419" s="9"/>
      <c r="Q419" s="9"/>
      <c r="R419" s="9"/>
      <c r="S419" s="9"/>
      <c r="T419" s="9"/>
      <c r="U419" s="9"/>
      <c r="V419" s="9"/>
      <c r="W419" s="9"/>
      <c r="X419" s="9"/>
    </row>
    <row r="420" spans="1:24" ht="13.5" customHeight="1" thickBot="1">
      <c r="A420" s="1171" t="s">
        <v>60</v>
      </c>
      <c r="B420" s="1186"/>
      <c r="C420" s="1173">
        <f>(C422+C440+C465+C460)</f>
        <v>34681000</v>
      </c>
      <c r="D420" s="27"/>
      <c r="E420" s="27"/>
      <c r="F420" s="27"/>
      <c r="G420" s="27"/>
      <c r="H420" s="27"/>
      <c r="I420" s="27"/>
      <c r="J420" s="27"/>
      <c r="K420" s="27"/>
      <c r="L420" s="27"/>
      <c r="M420" s="9"/>
      <c r="N420" s="9"/>
      <c r="O420" s="9"/>
      <c r="P420" s="9"/>
      <c r="Q420" s="9"/>
      <c r="R420" s="9"/>
      <c r="S420" s="9"/>
      <c r="T420" s="9"/>
      <c r="U420" s="9"/>
      <c r="V420" s="9"/>
      <c r="W420" s="9"/>
      <c r="X420" s="9"/>
    </row>
    <row r="421" spans="1:24" ht="13.5" customHeight="1" thickBot="1">
      <c r="A421" s="23"/>
      <c r="B421" s="13"/>
      <c r="C421" s="24"/>
      <c r="D421" s="27"/>
      <c r="E421" s="27"/>
      <c r="F421" s="27"/>
      <c r="G421" s="27"/>
      <c r="H421" s="27"/>
      <c r="I421" s="27"/>
      <c r="J421" s="27"/>
      <c r="K421" s="27"/>
      <c r="L421" s="27"/>
      <c r="M421" s="9"/>
      <c r="N421" s="9"/>
      <c r="O421" s="9"/>
      <c r="P421" s="9"/>
      <c r="Q421" s="9"/>
      <c r="R421" s="9"/>
      <c r="S421" s="9"/>
      <c r="T421" s="9"/>
      <c r="U421" s="9"/>
      <c r="V421" s="9"/>
      <c r="W421" s="9"/>
      <c r="X421" s="9"/>
    </row>
    <row r="422" spans="1:24" ht="13.5" customHeight="1" thickBot="1">
      <c r="A422" s="1297" t="s">
        <v>9</v>
      </c>
      <c r="B422" s="1281"/>
      <c r="C422" s="62">
        <f>(C423+C425+C427+C429+C434+C436)</f>
        <v>8817000</v>
      </c>
      <c r="D422" s="27"/>
      <c r="E422" s="27"/>
      <c r="F422" s="27"/>
      <c r="G422" s="27"/>
      <c r="H422" s="27"/>
      <c r="I422" s="27"/>
      <c r="J422" s="27"/>
      <c r="K422" s="27"/>
      <c r="L422" s="27"/>
      <c r="M422" s="9"/>
      <c r="N422" s="9"/>
      <c r="O422" s="9"/>
      <c r="P422" s="9"/>
      <c r="Q422" s="9"/>
      <c r="R422" s="9"/>
      <c r="S422" s="9"/>
      <c r="T422" s="9"/>
      <c r="U422" s="9"/>
      <c r="V422" s="9"/>
      <c r="W422" s="9"/>
      <c r="X422" s="9"/>
    </row>
    <row r="423" spans="1:24" ht="12.75" customHeight="1">
      <c r="A423" s="48">
        <v>211201</v>
      </c>
      <c r="B423" s="48" t="s">
        <v>459</v>
      </c>
      <c r="C423" s="82">
        <f>C424</f>
        <v>2450500</v>
      </c>
      <c r="D423" s="40"/>
      <c r="E423" s="40"/>
      <c r="F423" s="40"/>
      <c r="G423" s="40"/>
      <c r="H423" s="40"/>
      <c r="I423" s="40"/>
      <c r="J423" s="40"/>
      <c r="K423" s="40"/>
      <c r="L423" s="40"/>
      <c r="M423" s="84"/>
      <c r="N423" s="84"/>
      <c r="O423" s="84"/>
      <c r="P423" s="84"/>
      <c r="Q423" s="84"/>
      <c r="R423" s="84"/>
      <c r="S423" s="84"/>
      <c r="T423" s="84"/>
      <c r="U423" s="84"/>
      <c r="V423" s="84"/>
      <c r="W423" s="84"/>
      <c r="X423" s="84"/>
    </row>
    <row r="424" spans="1:24" ht="12.75" customHeight="1">
      <c r="A424" s="33">
        <v>21120101</v>
      </c>
      <c r="B424" s="13" t="s">
        <v>460</v>
      </c>
      <c r="C424" s="14">
        <f>1500000+450500+500000</f>
        <v>2450500</v>
      </c>
      <c r="D424" s="40"/>
      <c r="E424" s="40"/>
      <c r="F424" s="40"/>
      <c r="G424" s="40"/>
      <c r="H424" s="40"/>
      <c r="I424" s="40"/>
      <c r="J424" s="40"/>
      <c r="K424" s="40"/>
      <c r="L424" s="40"/>
      <c r="M424" s="8"/>
      <c r="N424" s="8"/>
      <c r="O424" s="8"/>
      <c r="P424" s="8"/>
      <c r="Q424" s="8"/>
      <c r="R424" s="8"/>
      <c r="S424" s="8"/>
      <c r="T424" s="8"/>
      <c r="U424" s="8"/>
      <c r="V424" s="8"/>
      <c r="W424" s="8"/>
      <c r="X424" s="8"/>
    </row>
    <row r="425" spans="1:24" ht="12.75" customHeight="1">
      <c r="A425" s="48">
        <v>211203</v>
      </c>
      <c r="B425" s="15" t="s">
        <v>461</v>
      </c>
      <c r="C425" s="16">
        <f>C426</f>
        <v>1680000</v>
      </c>
      <c r="D425" s="40"/>
      <c r="E425" s="40"/>
      <c r="F425" s="40"/>
      <c r="G425" s="40"/>
      <c r="H425" s="40"/>
      <c r="I425" s="40"/>
      <c r="J425" s="40"/>
      <c r="K425" s="40"/>
      <c r="L425" s="40"/>
      <c r="M425" s="8"/>
      <c r="N425" s="8"/>
      <c r="O425" s="8"/>
      <c r="P425" s="8"/>
      <c r="Q425" s="8"/>
      <c r="R425" s="8"/>
      <c r="S425" s="8"/>
      <c r="T425" s="8"/>
      <c r="U425" s="8"/>
      <c r="V425" s="8"/>
      <c r="W425" s="8"/>
      <c r="X425" s="8"/>
    </row>
    <row r="426" spans="1:24" ht="12.75" customHeight="1">
      <c r="A426" s="33">
        <v>21120302</v>
      </c>
      <c r="B426" s="13" t="s">
        <v>462</v>
      </c>
      <c r="C426" s="24">
        <f>500000+180000+1000000</f>
        <v>1680000</v>
      </c>
      <c r="D426" s="32"/>
      <c r="E426" s="32"/>
      <c r="F426" s="32"/>
      <c r="G426" s="32"/>
      <c r="H426" s="32"/>
      <c r="I426" s="32"/>
      <c r="J426" s="32"/>
      <c r="K426" s="32"/>
      <c r="L426" s="32"/>
      <c r="M426" s="13"/>
      <c r="N426" s="13"/>
      <c r="O426" s="13"/>
      <c r="P426" s="13"/>
      <c r="Q426" s="13"/>
      <c r="R426" s="13"/>
      <c r="S426" s="13"/>
      <c r="T426" s="13"/>
      <c r="U426" s="13"/>
      <c r="V426" s="13"/>
      <c r="W426" s="13"/>
      <c r="X426" s="13"/>
    </row>
    <row r="427" spans="1:24" ht="13.5" customHeight="1">
      <c r="A427" s="48">
        <v>211204</v>
      </c>
      <c r="B427" s="15" t="s">
        <v>463</v>
      </c>
      <c r="C427" s="16">
        <f>C428</f>
        <v>1315500</v>
      </c>
      <c r="D427" s="27"/>
      <c r="E427" s="27"/>
      <c r="F427" s="27"/>
      <c r="G427" s="27"/>
      <c r="H427" s="27"/>
      <c r="I427" s="27"/>
      <c r="J427" s="27"/>
      <c r="K427" s="27"/>
      <c r="L427" s="27"/>
      <c r="M427" s="9"/>
      <c r="N427" s="9"/>
      <c r="O427" s="9"/>
      <c r="P427" s="9"/>
      <c r="Q427" s="9"/>
      <c r="R427" s="9"/>
      <c r="S427" s="9"/>
      <c r="T427" s="9"/>
      <c r="U427" s="9"/>
      <c r="V427" s="9"/>
      <c r="W427" s="9"/>
      <c r="X427" s="9"/>
    </row>
    <row r="428" spans="1:24" ht="13.5" customHeight="1">
      <c r="A428" s="33">
        <v>21120401</v>
      </c>
      <c r="B428" s="24" t="s">
        <v>464</v>
      </c>
      <c r="C428" s="24">
        <f>1000000+315500</f>
        <v>1315500</v>
      </c>
      <c r="D428" s="27"/>
      <c r="E428" s="27"/>
      <c r="F428" s="27"/>
      <c r="G428" s="27"/>
      <c r="H428" s="27"/>
      <c r="I428" s="27"/>
      <c r="J428" s="27"/>
      <c r="K428" s="27"/>
      <c r="L428" s="27"/>
      <c r="M428" s="9"/>
      <c r="N428" s="9"/>
      <c r="O428" s="9"/>
      <c r="P428" s="9"/>
      <c r="Q428" s="9"/>
      <c r="R428" s="9"/>
      <c r="S428" s="9"/>
      <c r="T428" s="9"/>
      <c r="U428" s="9"/>
      <c r="V428" s="9"/>
      <c r="W428" s="9"/>
      <c r="X428" s="9"/>
    </row>
    <row r="429" spans="1:24" ht="13.5" customHeight="1">
      <c r="A429" s="48">
        <v>211207</v>
      </c>
      <c r="B429" s="828" t="s">
        <v>467</v>
      </c>
      <c r="C429" s="16">
        <f>SUM(C430:C433)</f>
        <v>1609000</v>
      </c>
      <c r="D429" s="14"/>
      <c r="E429" s="14"/>
      <c r="F429" s="14"/>
      <c r="G429" s="14"/>
      <c r="H429" s="14"/>
      <c r="I429" s="14"/>
      <c r="J429" s="14"/>
      <c r="K429" s="14"/>
      <c r="L429" s="14"/>
      <c r="M429" s="8"/>
      <c r="N429" s="8"/>
      <c r="O429" s="8"/>
      <c r="P429" s="8"/>
      <c r="Q429" s="8"/>
      <c r="R429" s="8"/>
      <c r="S429" s="8"/>
      <c r="T429" s="8"/>
      <c r="U429" s="8"/>
      <c r="V429" s="8"/>
      <c r="W429" s="8"/>
      <c r="X429" s="8"/>
    </row>
    <row r="430" spans="1:24" ht="13.5" customHeight="1">
      <c r="A430" s="33">
        <v>21120708</v>
      </c>
      <c r="B430" s="13" t="s">
        <v>470</v>
      </c>
      <c r="C430" s="14">
        <f>500000+20000</f>
        <v>520000</v>
      </c>
      <c r="D430" s="14"/>
      <c r="E430" s="14"/>
      <c r="F430" s="14"/>
      <c r="G430" s="14"/>
      <c r="H430" s="14"/>
      <c r="I430" s="14"/>
      <c r="J430" s="14"/>
      <c r="K430" s="14"/>
      <c r="L430" s="14"/>
      <c r="M430" s="8"/>
      <c r="N430" s="8"/>
      <c r="O430" s="8"/>
      <c r="P430" s="8"/>
      <c r="Q430" s="8"/>
      <c r="R430" s="8"/>
      <c r="S430" s="8"/>
      <c r="T430" s="8"/>
      <c r="U430" s="8"/>
      <c r="V430" s="8"/>
      <c r="W430" s="8"/>
      <c r="X430" s="8"/>
    </row>
    <row r="431" spans="1:24" ht="12.75" customHeight="1">
      <c r="A431" s="33">
        <v>21120709</v>
      </c>
      <c r="B431" s="24" t="s">
        <v>471</v>
      </c>
      <c r="C431" s="24">
        <f>500000+20000</f>
        <v>520000</v>
      </c>
      <c r="D431" s="8"/>
      <c r="E431" s="8"/>
      <c r="F431" s="8"/>
      <c r="G431" s="8"/>
      <c r="H431" s="8"/>
      <c r="I431" s="8"/>
      <c r="J431" s="8"/>
      <c r="K431" s="8"/>
      <c r="L431" s="8"/>
      <c r="M431" s="8"/>
      <c r="N431" s="8"/>
      <c r="O431" s="8"/>
      <c r="P431" s="8"/>
      <c r="Q431" s="8"/>
      <c r="R431" s="8"/>
      <c r="S431" s="8"/>
      <c r="T431" s="8"/>
      <c r="U431" s="8"/>
      <c r="V431" s="8"/>
      <c r="W431" s="8"/>
      <c r="X431" s="8"/>
    </row>
    <row r="432" spans="1:24" ht="12.75" customHeight="1">
      <c r="A432" s="33">
        <v>21120710</v>
      </c>
      <c r="B432" s="24" t="s">
        <v>472</v>
      </c>
      <c r="C432" s="24">
        <f>250000+50000</f>
        <v>300000</v>
      </c>
      <c r="D432" s="8"/>
      <c r="E432" s="8"/>
      <c r="F432" s="8"/>
      <c r="G432" s="8"/>
      <c r="H432" s="8"/>
      <c r="I432" s="8"/>
      <c r="J432" s="8"/>
      <c r="K432" s="8"/>
      <c r="L432" s="8"/>
      <c r="M432" s="8"/>
      <c r="N432" s="8"/>
      <c r="O432" s="8"/>
      <c r="P432" s="8"/>
      <c r="Q432" s="8"/>
      <c r="R432" s="8"/>
      <c r="S432" s="8"/>
      <c r="T432" s="8"/>
      <c r="U432" s="8"/>
      <c r="V432" s="8"/>
      <c r="W432" s="8"/>
      <c r="X432" s="8"/>
    </row>
    <row r="433" spans="1:24" ht="12.75" customHeight="1">
      <c r="A433" s="33">
        <v>21120711</v>
      </c>
      <c r="B433" s="24" t="s">
        <v>473</v>
      </c>
      <c r="C433" s="24">
        <f>250000+19000</f>
        <v>269000</v>
      </c>
      <c r="D433" s="8"/>
      <c r="E433" s="8"/>
      <c r="F433" s="8"/>
      <c r="G433" s="8"/>
      <c r="H433" s="8"/>
      <c r="I433" s="8"/>
      <c r="J433" s="8"/>
      <c r="K433" s="8"/>
      <c r="L433" s="8"/>
      <c r="M433" s="8"/>
      <c r="N433" s="8"/>
      <c r="O433" s="8"/>
      <c r="P433" s="8"/>
      <c r="Q433" s="8"/>
      <c r="R433" s="8"/>
      <c r="S433" s="8"/>
      <c r="T433" s="8"/>
      <c r="U433" s="8"/>
      <c r="V433" s="8"/>
      <c r="W433" s="8"/>
      <c r="X433" s="8"/>
    </row>
    <row r="434" spans="1:24" ht="13.5" customHeight="1">
      <c r="A434" s="48">
        <v>211208</v>
      </c>
      <c r="B434" s="26" t="s">
        <v>474</v>
      </c>
      <c r="C434" s="26">
        <f>C435</f>
        <v>700000</v>
      </c>
      <c r="D434" s="27"/>
      <c r="E434" s="27"/>
      <c r="F434" s="27"/>
      <c r="G434" s="27"/>
      <c r="H434" s="27"/>
      <c r="I434" s="27"/>
      <c r="J434" s="27"/>
      <c r="K434" s="27"/>
      <c r="L434" s="27"/>
      <c r="M434" s="9"/>
      <c r="N434" s="9"/>
      <c r="O434" s="9"/>
      <c r="P434" s="9"/>
      <c r="Q434" s="9"/>
      <c r="R434" s="9"/>
      <c r="S434" s="9"/>
      <c r="T434" s="9"/>
      <c r="U434" s="9"/>
      <c r="V434" s="9"/>
      <c r="W434" s="9"/>
      <c r="X434" s="9"/>
    </row>
    <row r="435" spans="1:24" ht="13.5" customHeight="1">
      <c r="A435" s="33">
        <v>21120805</v>
      </c>
      <c r="B435" s="24" t="s">
        <v>476</v>
      </c>
      <c r="C435" s="14">
        <f>500000+200000</f>
        <v>700000</v>
      </c>
      <c r="D435" s="27"/>
      <c r="E435" s="27"/>
      <c r="F435" s="27"/>
      <c r="G435" s="27"/>
      <c r="H435" s="27"/>
      <c r="I435" s="27"/>
      <c r="J435" s="27"/>
      <c r="K435" s="27"/>
      <c r="L435" s="27"/>
      <c r="M435" s="9"/>
      <c r="N435" s="9"/>
      <c r="O435" s="9"/>
      <c r="P435" s="9"/>
      <c r="Q435" s="9"/>
      <c r="R435" s="9"/>
      <c r="S435" s="9"/>
      <c r="T435" s="9"/>
      <c r="U435" s="9"/>
      <c r="V435" s="9"/>
      <c r="W435" s="9"/>
      <c r="X435" s="9"/>
    </row>
    <row r="436" spans="1:24" ht="13.5" customHeight="1">
      <c r="A436" s="48">
        <v>211209</v>
      </c>
      <c r="B436" s="26" t="s">
        <v>477</v>
      </c>
      <c r="C436" s="16">
        <f>+SUM(C437:C438)</f>
        <v>1062000</v>
      </c>
      <c r="D436" s="27"/>
      <c r="E436" s="27"/>
      <c r="F436" s="27"/>
      <c r="G436" s="27"/>
      <c r="H436" s="27"/>
      <c r="I436" s="27"/>
      <c r="J436" s="27"/>
      <c r="K436" s="27"/>
      <c r="L436" s="27"/>
      <c r="M436" s="9"/>
      <c r="N436" s="9"/>
      <c r="O436" s="9"/>
      <c r="P436" s="9"/>
      <c r="Q436" s="9"/>
      <c r="R436" s="9"/>
      <c r="S436" s="9"/>
      <c r="T436" s="9"/>
      <c r="U436" s="9"/>
      <c r="V436" s="9"/>
      <c r="W436" s="9"/>
      <c r="X436" s="9"/>
    </row>
    <row r="437" spans="1:24" ht="13.5" customHeight="1">
      <c r="A437" s="33">
        <v>21120901</v>
      </c>
      <c r="B437" s="24" t="s">
        <v>478</v>
      </c>
      <c r="C437" s="14">
        <f>300000+54500+500000</f>
        <v>854500</v>
      </c>
      <c r="D437" s="27"/>
      <c r="E437" s="27"/>
      <c r="F437" s="27"/>
      <c r="G437" s="27"/>
      <c r="H437" s="27"/>
      <c r="I437" s="27"/>
      <c r="J437" s="27"/>
      <c r="K437" s="27"/>
      <c r="L437" s="27"/>
      <c r="M437" s="9"/>
      <c r="N437" s="9"/>
      <c r="O437" s="9"/>
      <c r="P437" s="9"/>
      <c r="Q437" s="9"/>
      <c r="R437" s="9"/>
      <c r="S437" s="9"/>
      <c r="T437" s="9"/>
      <c r="U437" s="9"/>
      <c r="V437" s="9"/>
      <c r="W437" s="9"/>
      <c r="X437" s="9"/>
    </row>
    <row r="438" spans="1:24" ht="13.5" customHeight="1">
      <c r="A438" s="33">
        <v>21120906</v>
      </c>
      <c r="B438" s="24" t="s">
        <v>479</v>
      </c>
      <c r="C438" s="24">
        <f>200000+7500</f>
        <v>207500</v>
      </c>
      <c r="D438" s="27"/>
      <c r="E438" s="27"/>
      <c r="F438" s="27"/>
      <c r="G438" s="27"/>
      <c r="H438" s="27"/>
      <c r="I438" s="27"/>
      <c r="J438" s="27"/>
      <c r="K438" s="27"/>
      <c r="L438" s="27"/>
      <c r="M438" s="9"/>
      <c r="N438" s="9"/>
      <c r="O438" s="9"/>
      <c r="P438" s="9"/>
      <c r="Q438" s="9"/>
      <c r="R438" s="9"/>
      <c r="S438" s="9"/>
      <c r="T438" s="9"/>
      <c r="U438" s="9"/>
      <c r="V438" s="9"/>
      <c r="W438" s="9"/>
      <c r="X438" s="9"/>
    </row>
    <row r="439" spans="1:24" ht="13.5" customHeight="1" thickBot="1">
      <c r="A439" s="33"/>
      <c r="B439" s="23"/>
      <c r="C439" s="24"/>
      <c r="D439" s="27"/>
      <c r="E439" s="27"/>
      <c r="F439" s="27"/>
      <c r="G439" s="27"/>
      <c r="H439" s="27"/>
      <c r="I439" s="27"/>
      <c r="J439" s="27"/>
      <c r="K439" s="27"/>
      <c r="L439" s="27"/>
      <c r="M439" s="9"/>
      <c r="N439" s="9"/>
      <c r="O439" s="9"/>
      <c r="P439" s="9"/>
      <c r="Q439" s="9"/>
      <c r="R439" s="9"/>
      <c r="S439" s="9"/>
      <c r="T439" s="9"/>
      <c r="U439" s="9"/>
      <c r="V439" s="9"/>
      <c r="W439" s="9"/>
      <c r="X439" s="9"/>
    </row>
    <row r="440" spans="1:24" ht="13.5" customHeight="1" thickBot="1">
      <c r="A440" s="1298" t="s">
        <v>4</v>
      </c>
      <c r="B440" s="1281"/>
      <c r="C440" s="64">
        <f>(C441+C444+C448+C450+C452+C454)</f>
        <v>22474000</v>
      </c>
      <c r="D440" s="27"/>
      <c r="E440" s="27"/>
      <c r="F440" s="27"/>
      <c r="G440" s="27"/>
      <c r="H440" s="27"/>
      <c r="I440" s="27"/>
      <c r="J440" s="27"/>
      <c r="K440" s="27"/>
      <c r="L440" s="27"/>
      <c r="M440" s="9"/>
      <c r="N440" s="9"/>
      <c r="O440" s="9"/>
      <c r="P440" s="9"/>
      <c r="Q440" s="9"/>
      <c r="R440" s="9"/>
      <c r="S440" s="9"/>
      <c r="T440" s="9"/>
      <c r="U440" s="9"/>
      <c r="V440" s="9"/>
      <c r="W440" s="9"/>
      <c r="X440" s="9"/>
    </row>
    <row r="441" spans="1:24" ht="13.5" customHeight="1">
      <c r="A441" s="22">
        <v>211302</v>
      </c>
      <c r="B441" s="22" t="s">
        <v>481</v>
      </c>
      <c r="C441" s="49">
        <f>SUM(C442:C443)</f>
        <v>1140500</v>
      </c>
      <c r="D441" s="27"/>
      <c r="E441" s="27"/>
      <c r="F441" s="27"/>
      <c r="G441" s="27"/>
      <c r="H441" s="27"/>
      <c r="I441" s="27"/>
      <c r="J441" s="27"/>
      <c r="K441" s="27"/>
      <c r="L441" s="27"/>
      <c r="M441" s="9"/>
      <c r="N441" s="9"/>
      <c r="O441" s="9"/>
      <c r="P441" s="9"/>
      <c r="Q441" s="9"/>
      <c r="R441" s="9"/>
      <c r="S441" s="9"/>
      <c r="T441" s="9"/>
      <c r="U441" s="9"/>
      <c r="V441" s="9"/>
      <c r="W441" s="9"/>
      <c r="X441" s="9"/>
    </row>
    <row r="442" spans="1:24" ht="13.5" customHeight="1">
      <c r="A442" s="33">
        <v>21130201</v>
      </c>
      <c r="B442" s="33" t="s">
        <v>482</v>
      </c>
      <c r="C442" s="24">
        <v>962000</v>
      </c>
      <c r="D442" s="27"/>
      <c r="E442" s="27"/>
      <c r="F442" s="27"/>
      <c r="G442" s="27"/>
      <c r="H442" s="27"/>
      <c r="I442" s="27"/>
      <c r="J442" s="27"/>
      <c r="K442" s="27"/>
      <c r="L442" s="27"/>
      <c r="M442" s="9"/>
      <c r="N442" s="9"/>
      <c r="O442" s="9"/>
      <c r="P442" s="9"/>
      <c r="Q442" s="9"/>
      <c r="R442" s="9"/>
      <c r="S442" s="9"/>
      <c r="T442" s="9"/>
      <c r="U442" s="9"/>
      <c r="V442" s="9"/>
      <c r="W442" s="9"/>
      <c r="X442" s="9"/>
    </row>
    <row r="443" spans="1:24" ht="13.5" customHeight="1">
      <c r="A443" s="40">
        <v>21130204</v>
      </c>
      <c r="B443" s="13" t="s">
        <v>483</v>
      </c>
      <c r="C443" s="24">
        <v>178500</v>
      </c>
      <c r="D443" s="27"/>
      <c r="E443" s="27"/>
      <c r="F443" s="27"/>
      <c r="G443" s="27"/>
      <c r="H443" s="27"/>
      <c r="I443" s="27"/>
      <c r="J443" s="27"/>
      <c r="K443" s="27"/>
      <c r="L443" s="27"/>
      <c r="M443" s="9"/>
      <c r="N443" s="9"/>
      <c r="O443" s="9"/>
      <c r="P443" s="9"/>
      <c r="Q443" s="9"/>
      <c r="R443" s="9"/>
      <c r="S443" s="9"/>
      <c r="T443" s="9"/>
      <c r="U443" s="9"/>
      <c r="V443" s="9"/>
      <c r="W443" s="9"/>
      <c r="X443" s="9"/>
    </row>
    <row r="444" spans="1:24" ht="13.5" customHeight="1">
      <c r="A444" s="22">
        <v>211303</v>
      </c>
      <c r="B444" s="15" t="s">
        <v>484</v>
      </c>
      <c r="C444" s="16">
        <f>SUM(C445:C447)</f>
        <v>112500</v>
      </c>
      <c r="D444" s="27"/>
      <c r="E444" s="27"/>
      <c r="F444" s="27"/>
      <c r="G444" s="27"/>
      <c r="H444" s="27"/>
      <c r="I444" s="27"/>
      <c r="J444" s="27"/>
      <c r="K444" s="27"/>
      <c r="L444" s="27"/>
      <c r="M444" s="9"/>
      <c r="N444" s="9"/>
      <c r="O444" s="9"/>
      <c r="P444" s="9"/>
      <c r="Q444" s="9"/>
      <c r="R444" s="9"/>
      <c r="S444" s="9"/>
      <c r="T444" s="9"/>
      <c r="U444" s="9"/>
      <c r="V444" s="9"/>
      <c r="W444" s="9"/>
      <c r="X444" s="9"/>
    </row>
    <row r="445" spans="1:24" ht="13.5" customHeight="1">
      <c r="A445" s="40">
        <v>21130301</v>
      </c>
      <c r="B445" s="13" t="s">
        <v>485</v>
      </c>
      <c r="C445" s="14">
        <v>20000</v>
      </c>
      <c r="D445" s="27"/>
      <c r="E445" s="27"/>
      <c r="F445" s="27"/>
      <c r="G445" s="27"/>
      <c r="H445" s="27"/>
      <c r="I445" s="27"/>
      <c r="J445" s="27"/>
      <c r="K445" s="27"/>
      <c r="L445" s="27"/>
      <c r="M445" s="9"/>
      <c r="N445" s="9"/>
      <c r="O445" s="9"/>
      <c r="P445" s="9"/>
      <c r="Q445" s="9"/>
      <c r="R445" s="9"/>
      <c r="S445" s="9"/>
      <c r="T445" s="9"/>
      <c r="U445" s="9"/>
      <c r="V445" s="9"/>
      <c r="W445" s="9"/>
      <c r="X445" s="9"/>
    </row>
    <row r="446" spans="1:24" ht="13.5" customHeight="1">
      <c r="A446" s="40">
        <v>21130306</v>
      </c>
      <c r="B446" s="13" t="s">
        <v>487</v>
      </c>
      <c r="C446" s="14">
        <v>43000</v>
      </c>
      <c r="D446" s="27"/>
      <c r="E446" s="27"/>
      <c r="F446" s="27"/>
      <c r="G446" s="27"/>
      <c r="H446" s="27"/>
      <c r="I446" s="27"/>
      <c r="J446" s="27"/>
      <c r="K446" s="27"/>
      <c r="L446" s="27"/>
      <c r="M446" s="9"/>
      <c r="N446" s="9"/>
      <c r="O446" s="9"/>
      <c r="P446" s="9"/>
      <c r="Q446" s="9"/>
      <c r="R446" s="9"/>
      <c r="S446" s="9"/>
      <c r="T446" s="9"/>
      <c r="U446" s="9"/>
      <c r="V446" s="9"/>
      <c r="W446" s="9"/>
      <c r="X446" s="9"/>
    </row>
    <row r="447" spans="1:24" ht="13.5" customHeight="1">
      <c r="A447" s="40">
        <v>21130307</v>
      </c>
      <c r="B447" s="13" t="s">
        <v>488</v>
      </c>
      <c r="C447" s="14">
        <v>49500</v>
      </c>
      <c r="D447" s="27"/>
      <c r="E447" s="27"/>
      <c r="F447" s="27"/>
      <c r="G447" s="27"/>
      <c r="H447" s="27"/>
      <c r="I447" s="27"/>
      <c r="J447" s="27"/>
      <c r="K447" s="27"/>
      <c r="L447" s="27"/>
      <c r="M447" s="9"/>
      <c r="N447" s="9"/>
      <c r="O447" s="9"/>
      <c r="P447" s="9"/>
      <c r="Q447" s="9"/>
      <c r="R447" s="9"/>
      <c r="S447" s="9"/>
      <c r="T447" s="9"/>
      <c r="U447" s="9"/>
      <c r="V447" s="9"/>
      <c r="W447" s="9"/>
      <c r="X447" s="9"/>
    </row>
    <row r="448" spans="1:24" ht="13.5" customHeight="1">
      <c r="A448" s="48">
        <v>211305</v>
      </c>
      <c r="B448" s="15" t="s">
        <v>489</v>
      </c>
      <c r="C448" s="26">
        <f>+C449</f>
        <v>10000000</v>
      </c>
      <c r="D448" s="27"/>
      <c r="E448" s="27"/>
      <c r="F448" s="27"/>
      <c r="G448" s="27"/>
      <c r="H448" s="27"/>
      <c r="I448" s="27"/>
      <c r="J448" s="27"/>
      <c r="K448" s="27"/>
      <c r="L448" s="27"/>
      <c r="M448" s="9"/>
      <c r="N448" s="9"/>
      <c r="O448" s="9"/>
      <c r="P448" s="9"/>
      <c r="Q448" s="9"/>
      <c r="R448" s="9"/>
      <c r="S448" s="9"/>
      <c r="T448" s="9"/>
      <c r="U448" s="9"/>
      <c r="V448" s="9"/>
      <c r="W448" s="9"/>
      <c r="X448" s="9"/>
    </row>
    <row r="449" spans="1:24" ht="13.5" customHeight="1">
      <c r="A449" s="33">
        <v>21130502</v>
      </c>
      <c r="B449" s="24" t="s">
        <v>491</v>
      </c>
      <c r="C449" s="43">
        <v>10000000</v>
      </c>
      <c r="D449" s="27"/>
      <c r="E449" s="27"/>
      <c r="F449" s="27"/>
      <c r="G449" s="27"/>
      <c r="H449" s="27"/>
      <c r="I449" s="27"/>
      <c r="J449" s="27"/>
      <c r="K449" s="27"/>
      <c r="L449" s="27"/>
      <c r="M449" s="9"/>
      <c r="N449" s="9"/>
      <c r="O449" s="9"/>
      <c r="P449" s="9"/>
      <c r="Q449" s="9"/>
      <c r="R449" s="9"/>
      <c r="S449" s="9"/>
      <c r="T449" s="9"/>
      <c r="U449" s="9"/>
      <c r="V449" s="9"/>
      <c r="W449" s="9"/>
      <c r="X449" s="9"/>
    </row>
    <row r="450" spans="1:24" ht="13.5" customHeight="1">
      <c r="A450" s="48">
        <v>211306</v>
      </c>
      <c r="B450" s="26" t="s">
        <v>492</v>
      </c>
      <c r="C450" s="16">
        <f>C451</f>
        <v>524500</v>
      </c>
      <c r="D450" s="27"/>
      <c r="E450" s="27"/>
      <c r="F450" s="27"/>
      <c r="G450" s="27"/>
      <c r="H450" s="27"/>
      <c r="I450" s="27"/>
      <c r="J450" s="27"/>
      <c r="K450" s="27"/>
      <c r="L450" s="27"/>
      <c r="M450" s="9"/>
      <c r="N450" s="9"/>
      <c r="O450" s="9"/>
      <c r="P450" s="9"/>
      <c r="Q450" s="9"/>
      <c r="R450" s="9"/>
      <c r="S450" s="9"/>
      <c r="T450" s="9"/>
      <c r="U450" s="9"/>
      <c r="V450" s="9"/>
      <c r="W450" s="9"/>
      <c r="X450" s="9"/>
    </row>
    <row r="451" spans="1:24" ht="13.5" customHeight="1">
      <c r="A451" s="33">
        <v>21130604</v>
      </c>
      <c r="B451" s="13" t="s">
        <v>539</v>
      </c>
      <c r="C451" s="14">
        <f>500000+24500</f>
        <v>524500</v>
      </c>
      <c r="D451" s="27"/>
      <c r="E451" s="27"/>
      <c r="F451" s="27"/>
      <c r="G451" s="27"/>
      <c r="H451" s="27"/>
      <c r="I451" s="27"/>
      <c r="J451" s="27"/>
      <c r="K451" s="27"/>
      <c r="L451" s="27"/>
      <c r="M451" s="9"/>
      <c r="N451" s="9"/>
      <c r="O451" s="9"/>
      <c r="P451" s="9"/>
      <c r="Q451" s="9"/>
      <c r="R451" s="9"/>
      <c r="S451" s="9"/>
      <c r="T451" s="9"/>
      <c r="U451" s="9"/>
      <c r="V451" s="9"/>
      <c r="W451" s="9"/>
      <c r="X451" s="9"/>
    </row>
    <row r="452" spans="1:24" ht="12.75" customHeight="1">
      <c r="A452" s="48">
        <v>211307</v>
      </c>
      <c r="B452" s="26" t="s">
        <v>494</v>
      </c>
      <c r="C452" s="16">
        <f>C453</f>
        <v>566000</v>
      </c>
      <c r="D452" s="30"/>
      <c r="E452" s="30"/>
      <c r="F452" s="30"/>
      <c r="G452" s="30"/>
      <c r="H452" s="30"/>
      <c r="I452" s="30"/>
      <c r="J452" s="30"/>
      <c r="K452" s="30"/>
      <c r="L452" s="30"/>
      <c r="M452" s="8"/>
      <c r="N452" s="8"/>
      <c r="O452" s="8"/>
      <c r="P452" s="8"/>
      <c r="Q452" s="8"/>
      <c r="R452" s="8"/>
      <c r="S452" s="8"/>
      <c r="T452" s="8"/>
      <c r="U452" s="8"/>
      <c r="V452" s="8"/>
      <c r="W452" s="8"/>
      <c r="X452" s="8"/>
    </row>
    <row r="453" spans="1:24" ht="12.75" customHeight="1">
      <c r="A453" s="33">
        <v>21130701</v>
      </c>
      <c r="B453" s="13" t="s">
        <v>495</v>
      </c>
      <c r="C453" s="14">
        <f>500000+66000</f>
        <v>566000</v>
      </c>
      <c r="D453" s="85"/>
      <c r="E453" s="85"/>
      <c r="F453" s="85"/>
      <c r="G453" s="85"/>
      <c r="H453" s="85"/>
      <c r="I453" s="85"/>
      <c r="J453" s="85"/>
      <c r="K453" s="85"/>
      <c r="L453" s="85"/>
      <c r="M453" s="8"/>
      <c r="N453" s="8"/>
      <c r="O453" s="8"/>
      <c r="P453" s="8"/>
      <c r="Q453" s="8"/>
      <c r="R453" s="8"/>
      <c r="S453" s="8"/>
      <c r="T453" s="8"/>
      <c r="U453" s="8"/>
      <c r="V453" s="8"/>
      <c r="W453" s="8"/>
      <c r="X453" s="8"/>
    </row>
    <row r="454" spans="1:24" ht="13.5" customHeight="1">
      <c r="A454" s="48">
        <v>211309</v>
      </c>
      <c r="B454" s="26" t="s">
        <v>496</v>
      </c>
      <c r="C454" s="16">
        <f>+SUM(C455:C458)</f>
        <v>10130500</v>
      </c>
      <c r="D454" s="27"/>
      <c r="E454" s="27"/>
      <c r="F454" s="27"/>
      <c r="G454" s="27"/>
      <c r="H454" s="27"/>
      <c r="I454" s="27"/>
      <c r="J454" s="27"/>
      <c r="K454" s="27"/>
      <c r="L454" s="27"/>
      <c r="M454" s="9"/>
      <c r="N454" s="9"/>
      <c r="O454" s="9"/>
      <c r="P454" s="9"/>
      <c r="Q454" s="9"/>
      <c r="R454" s="9"/>
      <c r="S454" s="9"/>
      <c r="T454" s="9"/>
      <c r="U454" s="9"/>
      <c r="V454" s="9"/>
      <c r="W454" s="9"/>
      <c r="X454" s="9"/>
    </row>
    <row r="455" spans="1:24" ht="13.5" customHeight="1">
      <c r="A455" s="33">
        <v>21130901</v>
      </c>
      <c r="B455" s="24" t="s">
        <v>497</v>
      </c>
      <c r="C455" s="14">
        <v>7000000</v>
      </c>
      <c r="D455" s="27"/>
      <c r="E455" s="27"/>
      <c r="F455" s="27"/>
      <c r="G455" s="27"/>
      <c r="H455" s="27"/>
      <c r="I455" s="27"/>
      <c r="J455" s="27"/>
      <c r="K455" s="27"/>
      <c r="L455" s="27"/>
      <c r="M455" s="9"/>
      <c r="N455" s="9"/>
      <c r="O455" s="9"/>
      <c r="P455" s="9"/>
      <c r="Q455" s="9"/>
      <c r="R455" s="9"/>
      <c r="S455" s="9"/>
      <c r="T455" s="9"/>
      <c r="U455" s="9"/>
      <c r="V455" s="9"/>
      <c r="W455" s="9"/>
      <c r="X455" s="9"/>
    </row>
    <row r="456" spans="1:24" ht="12.75" customHeight="1">
      <c r="A456" s="33">
        <v>21130903</v>
      </c>
      <c r="B456" s="13" t="s">
        <v>498</v>
      </c>
      <c r="C456" s="14">
        <f>200000+10500</f>
        <v>210500</v>
      </c>
      <c r="D456" s="40"/>
      <c r="E456" s="40"/>
      <c r="F456" s="40"/>
      <c r="G456" s="40"/>
      <c r="H456" s="40"/>
      <c r="I456" s="40"/>
      <c r="J456" s="40"/>
      <c r="K456" s="40"/>
      <c r="L456" s="40"/>
      <c r="M456" s="8"/>
      <c r="N456" s="8"/>
      <c r="O456" s="8"/>
      <c r="P456" s="8"/>
      <c r="Q456" s="8"/>
      <c r="R456" s="8"/>
      <c r="S456" s="8"/>
      <c r="T456" s="8"/>
      <c r="U456" s="8"/>
      <c r="V456" s="8"/>
      <c r="W456" s="8"/>
      <c r="X456" s="8"/>
    </row>
    <row r="457" spans="1:24" ht="12.75" customHeight="1">
      <c r="A457" s="40">
        <v>21130906</v>
      </c>
      <c r="B457" s="13" t="s">
        <v>499</v>
      </c>
      <c r="C457" s="14">
        <v>120000</v>
      </c>
      <c r="D457" s="40"/>
      <c r="E457" s="40"/>
      <c r="F457" s="40"/>
      <c r="G457" s="40"/>
      <c r="H457" s="40"/>
      <c r="I457" s="40"/>
      <c r="J457" s="40"/>
      <c r="K457" s="40"/>
      <c r="L457" s="40"/>
      <c r="M457" s="8"/>
      <c r="N457" s="8"/>
      <c r="O457" s="8"/>
      <c r="P457" s="8"/>
      <c r="Q457" s="8"/>
      <c r="R457" s="8"/>
      <c r="S457" s="8"/>
      <c r="T457" s="8"/>
      <c r="U457" s="8"/>
      <c r="V457" s="8"/>
      <c r="W457" s="8"/>
      <c r="X457" s="8"/>
    </row>
    <row r="458" spans="1:24" ht="13.5" customHeight="1">
      <c r="A458" s="33">
        <v>21130908</v>
      </c>
      <c r="B458" s="24" t="s">
        <v>500</v>
      </c>
      <c r="C458" s="14">
        <v>2800000</v>
      </c>
      <c r="D458" s="27"/>
      <c r="E458" s="27"/>
      <c r="F458" s="27"/>
      <c r="G458" s="27"/>
      <c r="H458" s="27"/>
      <c r="I458" s="27"/>
      <c r="J458" s="27"/>
      <c r="K458" s="27"/>
      <c r="L458" s="27"/>
      <c r="M458" s="9"/>
      <c r="N458" s="9"/>
      <c r="O458" s="9"/>
      <c r="P458" s="9"/>
      <c r="Q458" s="9"/>
      <c r="R458" s="9"/>
      <c r="S458" s="9"/>
      <c r="T458" s="9"/>
      <c r="U458" s="9"/>
      <c r="V458" s="9"/>
      <c r="W458" s="9"/>
      <c r="X458" s="9"/>
    </row>
    <row r="459" spans="1:24" ht="13.5" customHeight="1" thickBot="1">
      <c r="A459" s="33"/>
      <c r="B459" s="23"/>
      <c r="C459" s="24"/>
      <c r="D459" s="27"/>
      <c r="E459" s="27"/>
      <c r="F459" s="27"/>
      <c r="G459" s="27"/>
      <c r="H459" s="27"/>
      <c r="I459" s="27"/>
      <c r="J459" s="27"/>
      <c r="K459" s="27"/>
      <c r="L459" s="27"/>
      <c r="M459" s="9"/>
      <c r="N459" s="9"/>
      <c r="O459" s="9"/>
      <c r="P459" s="9"/>
      <c r="Q459" s="9"/>
      <c r="R459" s="9"/>
      <c r="S459" s="9"/>
      <c r="T459" s="9"/>
      <c r="U459" s="9"/>
      <c r="V459" s="9"/>
      <c r="W459" s="9"/>
      <c r="X459" s="9"/>
    </row>
    <row r="460" spans="1:24" ht="12.75" customHeight="1" thickBot="1">
      <c r="A460" s="1315" t="s">
        <v>45</v>
      </c>
      <c r="B460" s="1281"/>
      <c r="C460" s="87">
        <f>C461</f>
        <v>2140000</v>
      </c>
      <c r="D460" s="40"/>
      <c r="E460" s="40"/>
      <c r="F460" s="40"/>
      <c r="G460" s="40"/>
      <c r="H460" s="40"/>
      <c r="I460" s="40"/>
      <c r="J460" s="40"/>
      <c r="K460" s="40"/>
      <c r="L460" s="40"/>
      <c r="M460" s="8"/>
      <c r="N460" s="8"/>
      <c r="O460" s="8"/>
      <c r="P460" s="8"/>
      <c r="Q460" s="8"/>
      <c r="R460" s="8"/>
      <c r="S460" s="8"/>
      <c r="T460" s="8"/>
      <c r="U460" s="8"/>
      <c r="V460" s="8"/>
      <c r="W460" s="8"/>
      <c r="X460" s="8"/>
    </row>
    <row r="461" spans="1:24" ht="12.75" customHeight="1">
      <c r="A461" s="22">
        <v>211402</v>
      </c>
      <c r="B461" s="22" t="s">
        <v>503</v>
      </c>
      <c r="C461" s="82">
        <f>SUM(C462:C463)</f>
        <v>2140000</v>
      </c>
      <c r="D461" s="40"/>
      <c r="E461" s="40"/>
      <c r="F461" s="40"/>
      <c r="G461" s="40"/>
      <c r="H461" s="40"/>
      <c r="I461" s="40"/>
      <c r="J461" s="40"/>
      <c r="K461" s="40"/>
      <c r="L461" s="40"/>
      <c r="M461" s="84"/>
      <c r="N461" s="84"/>
      <c r="O461" s="84"/>
      <c r="P461" s="84"/>
      <c r="Q461" s="84"/>
      <c r="R461" s="84"/>
      <c r="S461" s="84"/>
      <c r="T461" s="84"/>
      <c r="U461" s="84"/>
      <c r="V461" s="84"/>
      <c r="W461" s="84"/>
      <c r="X461" s="84"/>
    </row>
    <row r="462" spans="1:24" ht="12.75" customHeight="1">
      <c r="A462" s="40">
        <v>21140208</v>
      </c>
      <c r="B462" s="13" t="s">
        <v>553</v>
      </c>
      <c r="C462" s="14">
        <f>1500000+90000</f>
        <v>1590000</v>
      </c>
      <c r="D462" s="40"/>
      <c r="E462" s="40"/>
      <c r="F462" s="40"/>
      <c r="G462" s="40"/>
      <c r="H462" s="40"/>
      <c r="I462" s="40"/>
      <c r="J462" s="40"/>
      <c r="K462" s="40"/>
      <c r="L462" s="40"/>
      <c r="M462" s="8"/>
      <c r="N462" s="8"/>
      <c r="O462" s="8"/>
      <c r="P462" s="8"/>
      <c r="Q462" s="8"/>
      <c r="R462" s="8"/>
      <c r="S462" s="8"/>
      <c r="T462" s="8"/>
      <c r="U462" s="8"/>
      <c r="V462" s="8"/>
      <c r="W462" s="8"/>
      <c r="X462" s="8"/>
    </row>
    <row r="463" spans="1:24" ht="12.75" customHeight="1">
      <c r="A463" s="40">
        <v>21140213</v>
      </c>
      <c r="B463" s="13" t="s">
        <v>504</v>
      </c>
      <c r="C463" s="14">
        <f>500000+50000</f>
        <v>550000</v>
      </c>
      <c r="D463" s="40"/>
      <c r="E463" s="40"/>
      <c r="F463" s="40"/>
      <c r="G463" s="40"/>
      <c r="H463" s="40"/>
      <c r="I463" s="40"/>
      <c r="J463" s="40"/>
      <c r="K463" s="40"/>
      <c r="L463" s="40"/>
      <c r="M463" s="8"/>
      <c r="N463" s="8"/>
      <c r="O463" s="8"/>
      <c r="P463" s="8"/>
      <c r="Q463" s="8"/>
      <c r="R463" s="8"/>
      <c r="S463" s="8"/>
      <c r="T463" s="8"/>
      <c r="U463" s="8"/>
      <c r="V463" s="8"/>
      <c r="W463" s="8"/>
      <c r="X463" s="8"/>
    </row>
    <row r="464" spans="1:24" ht="12.75" customHeight="1" thickBot="1">
      <c r="A464" s="13"/>
      <c r="B464" s="13"/>
      <c r="C464" s="14"/>
      <c r="D464" s="40"/>
      <c r="E464" s="40"/>
      <c r="F464" s="40"/>
      <c r="G464" s="40"/>
      <c r="H464" s="40"/>
      <c r="I464" s="40"/>
      <c r="J464" s="40"/>
      <c r="K464" s="40"/>
      <c r="L464" s="40"/>
      <c r="M464" s="8"/>
      <c r="N464" s="8"/>
      <c r="O464" s="8"/>
      <c r="P464" s="8"/>
      <c r="Q464" s="8"/>
      <c r="R464" s="8"/>
      <c r="S464" s="8"/>
      <c r="T464" s="8"/>
      <c r="U464" s="8"/>
      <c r="V464" s="8"/>
      <c r="W464" s="8"/>
      <c r="X464" s="8"/>
    </row>
    <row r="465" spans="1:24" ht="13.5" customHeight="1" thickBot="1">
      <c r="A465" s="1312" t="s">
        <v>48</v>
      </c>
      <c r="B465" s="1281"/>
      <c r="C465" s="65">
        <f>+C466+C470</f>
        <v>1250000</v>
      </c>
      <c r="D465" s="27"/>
      <c r="E465" s="27"/>
      <c r="F465" s="27"/>
      <c r="G465" s="27"/>
      <c r="H465" s="27"/>
      <c r="I465" s="27"/>
      <c r="J465" s="27"/>
      <c r="K465" s="27"/>
      <c r="L465" s="27"/>
      <c r="M465" s="9"/>
      <c r="N465" s="9"/>
      <c r="O465" s="9"/>
      <c r="P465" s="9"/>
      <c r="Q465" s="9"/>
      <c r="R465" s="9"/>
      <c r="S465" s="9"/>
      <c r="T465" s="9"/>
      <c r="U465" s="9"/>
      <c r="V465" s="9"/>
      <c r="W465" s="9"/>
      <c r="X465" s="9"/>
    </row>
    <row r="466" spans="1:24" ht="13.5" customHeight="1">
      <c r="A466" s="48">
        <v>221104</v>
      </c>
      <c r="B466" s="603" t="s">
        <v>510</v>
      </c>
      <c r="C466" s="16">
        <f>SUM(C467:C469)</f>
        <v>710000</v>
      </c>
      <c r="D466" s="27"/>
      <c r="E466" s="27"/>
      <c r="F466" s="27"/>
      <c r="G466" s="27"/>
      <c r="H466" s="27"/>
      <c r="I466" s="27"/>
      <c r="J466" s="27"/>
      <c r="K466" s="27"/>
      <c r="L466" s="27"/>
      <c r="M466" s="9"/>
      <c r="N466" s="9"/>
      <c r="O466" s="9"/>
      <c r="P466" s="9"/>
      <c r="Q466" s="9"/>
      <c r="R466" s="9"/>
      <c r="S466" s="9"/>
      <c r="T466" s="9"/>
      <c r="U466" s="9"/>
      <c r="V466" s="9"/>
      <c r="W466" s="9"/>
      <c r="X466" s="9"/>
    </row>
    <row r="467" spans="1:24" ht="13.5" customHeight="1">
      <c r="A467" s="33">
        <v>22110401</v>
      </c>
      <c r="B467" s="24" t="s">
        <v>511</v>
      </c>
      <c r="C467" s="14">
        <v>150000</v>
      </c>
      <c r="D467" s="27"/>
      <c r="E467" s="27"/>
      <c r="F467" s="27"/>
      <c r="G467" s="27"/>
      <c r="H467" s="27"/>
      <c r="I467" s="27"/>
      <c r="J467" s="27"/>
      <c r="K467" s="27"/>
      <c r="L467" s="27"/>
      <c r="M467" s="9"/>
      <c r="N467" s="9"/>
      <c r="O467" s="9"/>
      <c r="P467" s="9"/>
      <c r="Q467" s="9"/>
      <c r="R467" s="9"/>
      <c r="S467" s="9"/>
      <c r="T467" s="9"/>
      <c r="U467" s="9"/>
      <c r="V467" s="9"/>
      <c r="W467" s="9"/>
      <c r="X467" s="9"/>
    </row>
    <row r="468" spans="1:24" ht="13.5" customHeight="1">
      <c r="A468" s="33">
        <v>22110405</v>
      </c>
      <c r="B468" s="24" t="s">
        <v>554</v>
      </c>
      <c r="C468" s="14">
        <f>500000+40000</f>
        <v>540000</v>
      </c>
      <c r="D468" s="27"/>
      <c r="E468" s="27"/>
      <c r="F468" s="27"/>
      <c r="G468" s="27"/>
      <c r="H468" s="27"/>
      <c r="I468" s="27"/>
      <c r="J468" s="27"/>
      <c r="K468" s="27"/>
      <c r="L468" s="27"/>
      <c r="M468" s="9"/>
      <c r="N468" s="9"/>
      <c r="O468" s="9"/>
      <c r="P468" s="9"/>
      <c r="Q468" s="9"/>
      <c r="R468" s="9"/>
      <c r="S468" s="9"/>
      <c r="T468" s="9"/>
      <c r="U468" s="9"/>
      <c r="V468" s="9"/>
      <c r="W468" s="9"/>
      <c r="X468" s="9"/>
    </row>
    <row r="469" spans="1:24" ht="13.5" customHeight="1">
      <c r="A469" s="33">
        <v>22110409</v>
      </c>
      <c r="B469" s="24" t="s">
        <v>513</v>
      </c>
      <c r="C469" s="24">
        <v>20000</v>
      </c>
      <c r="D469" s="40"/>
      <c r="E469" s="40"/>
      <c r="F469" s="40"/>
      <c r="G469" s="40"/>
      <c r="H469" s="40"/>
      <c r="I469" s="40"/>
      <c r="J469" s="40"/>
      <c r="K469" s="40"/>
      <c r="L469" s="40"/>
      <c r="M469" s="13"/>
      <c r="N469" s="13"/>
      <c r="O469" s="13"/>
      <c r="P469" s="13"/>
      <c r="Q469" s="13"/>
      <c r="R469" s="13"/>
      <c r="S469" s="13"/>
      <c r="T469" s="13"/>
      <c r="U469" s="13"/>
      <c r="V469" s="13"/>
      <c r="W469" s="13"/>
      <c r="X469" s="13"/>
    </row>
    <row r="470" spans="1:24" ht="13.5" customHeight="1">
      <c r="A470" s="48">
        <v>221107</v>
      </c>
      <c r="B470" s="26" t="s">
        <v>514</v>
      </c>
      <c r="C470" s="16">
        <f>SUM(C471)</f>
        <v>540000</v>
      </c>
      <c r="D470" s="27"/>
      <c r="E470" s="27"/>
      <c r="F470" s="27"/>
      <c r="G470" s="27"/>
      <c r="H470" s="27"/>
      <c r="I470" s="27"/>
      <c r="J470" s="27"/>
      <c r="K470" s="27"/>
      <c r="L470" s="27"/>
      <c r="M470" s="9"/>
      <c r="N470" s="9"/>
      <c r="O470" s="9"/>
      <c r="P470" s="9"/>
      <c r="Q470" s="9"/>
      <c r="R470" s="9"/>
      <c r="S470" s="9"/>
      <c r="T470" s="9"/>
      <c r="U470" s="9"/>
      <c r="V470" s="9"/>
      <c r="W470" s="9"/>
      <c r="X470" s="9"/>
    </row>
    <row r="471" spans="1:24" ht="13.5" customHeight="1">
      <c r="A471" s="33">
        <v>22110702</v>
      </c>
      <c r="B471" s="24" t="s">
        <v>515</v>
      </c>
      <c r="C471" s="14">
        <f>500000+40000</f>
        <v>540000</v>
      </c>
      <c r="D471" s="27"/>
      <c r="E471" s="27"/>
      <c r="F471" s="27"/>
      <c r="G471" s="27"/>
      <c r="H471" s="27"/>
      <c r="I471" s="27"/>
      <c r="J471" s="27"/>
      <c r="K471" s="27"/>
      <c r="L471" s="27"/>
      <c r="M471" s="9"/>
      <c r="N471" s="9"/>
      <c r="O471" s="9"/>
      <c r="P471" s="9"/>
      <c r="Q471" s="9"/>
      <c r="R471" s="9"/>
      <c r="S471" s="9"/>
      <c r="T471" s="9"/>
      <c r="U471" s="9"/>
      <c r="V471" s="9"/>
      <c r="W471" s="9"/>
      <c r="X471" s="9"/>
    </row>
    <row r="472" spans="1:24" ht="13.5" customHeight="1">
      <c r="A472" s="23"/>
      <c r="C472" s="14"/>
      <c r="D472" s="27"/>
      <c r="E472" s="27"/>
      <c r="F472" s="27"/>
      <c r="G472" s="27"/>
      <c r="H472" s="27"/>
      <c r="I472" s="27"/>
      <c r="J472" s="27"/>
      <c r="K472" s="27"/>
      <c r="L472" s="27"/>
      <c r="M472" s="9"/>
      <c r="N472" s="9"/>
      <c r="O472" s="9"/>
      <c r="P472" s="9"/>
      <c r="Q472" s="9"/>
      <c r="R472" s="9"/>
      <c r="S472" s="9"/>
      <c r="T472" s="9"/>
      <c r="U472" s="9"/>
      <c r="V472" s="9"/>
      <c r="W472" s="9"/>
      <c r="X472" s="9"/>
    </row>
    <row r="498" spans="1:24" ht="12.75" customHeight="1">
      <c r="A498" s="21"/>
      <c r="B498" s="26"/>
      <c r="C498" s="16"/>
      <c r="D498" s="8"/>
      <c r="E498" s="8"/>
      <c r="F498" s="8"/>
      <c r="G498" s="8"/>
      <c r="H498" s="8"/>
      <c r="I498" s="8"/>
      <c r="J498" s="8"/>
      <c r="K498" s="8"/>
      <c r="L498" s="8"/>
      <c r="M498" s="8"/>
      <c r="N498" s="8"/>
      <c r="O498" s="8"/>
      <c r="P498" s="8"/>
      <c r="Q498" s="8"/>
      <c r="R498" s="8"/>
      <c r="S498" s="8"/>
      <c r="T498" s="8"/>
      <c r="U498" s="8"/>
      <c r="V498" s="8"/>
      <c r="W498" s="8"/>
      <c r="X498" s="8"/>
    </row>
    <row r="499" spans="1:24" ht="12.75" customHeight="1">
      <c r="A499" s="23"/>
      <c r="B499" s="24"/>
      <c r="C499" s="14"/>
      <c r="D499" s="8"/>
      <c r="E499" s="8"/>
      <c r="F499" s="8"/>
      <c r="G499" s="8"/>
      <c r="H499" s="8"/>
      <c r="I499" s="8"/>
      <c r="J499" s="8"/>
      <c r="K499" s="8"/>
      <c r="L499" s="8"/>
      <c r="M499" s="8"/>
      <c r="N499" s="8"/>
      <c r="O499" s="8"/>
      <c r="P499" s="8"/>
      <c r="Q499" s="8"/>
      <c r="R499" s="8"/>
      <c r="S499" s="8"/>
      <c r="T499" s="8"/>
      <c r="U499" s="8"/>
      <c r="V499" s="8"/>
      <c r="W499" s="8"/>
      <c r="X499" s="8"/>
    </row>
    <row r="500" spans="1:24" ht="12.75" customHeight="1">
      <c r="A500" s="23"/>
      <c r="B500" s="24"/>
      <c r="C500" s="14"/>
      <c r="D500" s="8"/>
      <c r="E500" s="8"/>
      <c r="F500" s="8"/>
      <c r="G500" s="8"/>
      <c r="H500" s="8"/>
      <c r="I500" s="8"/>
      <c r="J500" s="8"/>
      <c r="K500" s="8"/>
      <c r="L500" s="8"/>
      <c r="M500" s="8"/>
      <c r="N500" s="8"/>
      <c r="O500" s="8"/>
      <c r="P500" s="8"/>
      <c r="Q500" s="8"/>
      <c r="R500" s="8"/>
      <c r="S500" s="8"/>
      <c r="T500" s="8"/>
      <c r="U500" s="8"/>
      <c r="V500" s="8"/>
      <c r="W500" s="8"/>
      <c r="X500" s="8"/>
    </row>
    <row r="501" spans="1:24" ht="12.75" customHeight="1">
      <c r="A501" s="23"/>
      <c r="B501" s="24"/>
      <c r="C501" s="14"/>
      <c r="D501" s="8"/>
      <c r="E501" s="8"/>
      <c r="F501" s="8"/>
      <c r="G501" s="8"/>
      <c r="H501" s="8"/>
      <c r="I501" s="8"/>
      <c r="J501" s="8"/>
      <c r="K501" s="8"/>
      <c r="L501" s="8"/>
      <c r="M501" s="8"/>
      <c r="N501" s="8"/>
      <c r="O501" s="8"/>
      <c r="P501" s="8"/>
      <c r="Q501" s="8"/>
      <c r="R501" s="8"/>
      <c r="S501" s="8"/>
      <c r="T501" s="8"/>
      <c r="U501" s="8"/>
      <c r="V501" s="8"/>
      <c r="W501" s="8"/>
      <c r="X501" s="8"/>
    </row>
    <row r="502" spans="1:24" ht="12.75" customHeight="1">
      <c r="A502" s="21"/>
      <c r="B502" s="26"/>
      <c r="C502" s="16"/>
      <c r="D502" s="8"/>
      <c r="E502" s="8"/>
      <c r="F502" s="8"/>
      <c r="G502" s="8"/>
      <c r="H502" s="8"/>
      <c r="I502" s="8"/>
      <c r="J502" s="8"/>
      <c r="K502" s="8"/>
      <c r="L502" s="8"/>
      <c r="M502" s="8"/>
      <c r="N502" s="8"/>
      <c r="O502" s="8"/>
      <c r="P502" s="8"/>
      <c r="Q502" s="8"/>
      <c r="R502" s="8"/>
      <c r="S502" s="8"/>
      <c r="T502" s="8"/>
      <c r="U502" s="8"/>
      <c r="V502" s="8"/>
      <c r="W502" s="8"/>
      <c r="X502" s="8"/>
    </row>
    <row r="503" spans="1:24" ht="13.5" customHeight="1">
      <c r="A503" s="23"/>
      <c r="B503" s="24"/>
      <c r="C503" s="14"/>
      <c r="D503" s="8"/>
      <c r="E503" s="8"/>
      <c r="F503" s="8"/>
      <c r="G503" s="13"/>
      <c r="H503" s="13"/>
      <c r="I503" s="13"/>
      <c r="J503" s="13"/>
      <c r="K503" s="13"/>
      <c r="L503" s="13"/>
      <c r="M503" s="13"/>
      <c r="N503" s="13"/>
      <c r="O503" s="13"/>
      <c r="P503" s="13"/>
      <c r="Q503" s="13"/>
      <c r="R503" s="13"/>
      <c r="S503" s="13"/>
      <c r="T503" s="13"/>
      <c r="U503" s="13"/>
      <c r="V503" s="13"/>
      <c r="W503" s="13"/>
      <c r="X503" s="13"/>
    </row>
    <row r="504" spans="1:24" ht="13.5" customHeight="1">
      <c r="A504" s="21"/>
      <c r="B504" s="26"/>
      <c r="C504" s="16"/>
      <c r="D504" s="8"/>
      <c r="E504" s="8"/>
      <c r="F504" s="8"/>
      <c r="G504" s="13"/>
      <c r="H504" s="13"/>
      <c r="I504" s="13"/>
      <c r="J504" s="13"/>
      <c r="K504" s="13"/>
      <c r="L504" s="13"/>
      <c r="M504" s="13"/>
      <c r="N504" s="13"/>
      <c r="O504" s="13"/>
      <c r="P504" s="13"/>
      <c r="Q504" s="13"/>
      <c r="R504" s="13"/>
      <c r="S504" s="13"/>
      <c r="T504" s="13"/>
      <c r="U504" s="13"/>
      <c r="V504" s="13"/>
      <c r="W504" s="13"/>
      <c r="X504" s="13"/>
    </row>
    <row r="505" spans="1:24" ht="12.75" customHeight="1">
      <c r="A505" s="23"/>
      <c r="B505" s="24"/>
      <c r="C505" s="14"/>
      <c r="D505" s="8"/>
      <c r="E505" s="8"/>
      <c r="F505" s="8"/>
      <c r="G505" s="8"/>
      <c r="H505" s="8"/>
      <c r="I505" s="8"/>
      <c r="J505" s="8"/>
      <c r="K505" s="8"/>
      <c r="L505" s="8"/>
      <c r="M505" s="8"/>
      <c r="N505" s="8"/>
      <c r="O505" s="8"/>
      <c r="P505" s="8"/>
      <c r="Q505" s="8"/>
      <c r="R505" s="8"/>
      <c r="S505" s="8"/>
      <c r="T505" s="8"/>
      <c r="U505" s="8"/>
      <c r="V505" s="8"/>
      <c r="W505" s="8"/>
      <c r="X505" s="8"/>
    </row>
    <row r="506" spans="1:24" ht="12.75" customHeight="1">
      <c r="A506" s="23"/>
      <c r="B506" s="24"/>
      <c r="C506" s="24"/>
      <c r="D506" s="22"/>
      <c r="E506" s="14"/>
      <c r="F506" s="9"/>
      <c r="G506" s="8"/>
      <c r="H506" s="8"/>
      <c r="I506" s="8"/>
      <c r="J506" s="8"/>
      <c r="K506" s="8"/>
      <c r="L506" s="8"/>
      <c r="M506" s="8"/>
      <c r="N506" s="8"/>
      <c r="O506" s="8"/>
      <c r="P506" s="8"/>
      <c r="Q506" s="8"/>
      <c r="R506" s="8"/>
      <c r="S506" s="8"/>
      <c r="T506" s="8"/>
      <c r="U506" s="8"/>
      <c r="V506" s="8"/>
      <c r="W506" s="8"/>
      <c r="X506" s="8"/>
    </row>
    <row r="507" spans="1:24" ht="12.75" customHeight="1">
      <c r="A507" s="23"/>
      <c r="B507" s="24"/>
      <c r="C507" s="14"/>
      <c r="D507" s="8"/>
      <c r="E507" s="8"/>
      <c r="F507" s="8"/>
      <c r="G507" s="8"/>
      <c r="H507" s="8"/>
      <c r="I507" s="8"/>
      <c r="J507" s="8"/>
      <c r="K507" s="8"/>
      <c r="L507" s="8"/>
      <c r="M507" s="8"/>
      <c r="N507" s="8"/>
      <c r="O507" s="8"/>
      <c r="P507" s="8"/>
      <c r="Q507" s="8"/>
      <c r="R507" s="8"/>
      <c r="S507" s="8"/>
      <c r="T507" s="8"/>
      <c r="U507" s="8"/>
      <c r="V507" s="8"/>
      <c r="W507" s="8"/>
      <c r="X507" s="8"/>
    </row>
    <row r="508" spans="1:24" ht="12.75" customHeight="1">
      <c r="A508" s="23"/>
      <c r="B508" s="24"/>
      <c r="C508" s="14"/>
      <c r="D508" s="8"/>
      <c r="E508" s="8"/>
      <c r="F508" s="8"/>
      <c r="G508" s="8"/>
      <c r="H508" s="8"/>
      <c r="I508" s="8"/>
      <c r="J508" s="8"/>
      <c r="K508" s="8"/>
      <c r="L508" s="8"/>
      <c r="M508" s="8"/>
      <c r="N508" s="8"/>
      <c r="O508" s="8"/>
      <c r="P508" s="8"/>
      <c r="Q508" s="8"/>
      <c r="R508" s="8"/>
      <c r="S508" s="8"/>
      <c r="T508" s="8"/>
      <c r="U508" s="8"/>
      <c r="V508" s="8"/>
      <c r="W508" s="8"/>
      <c r="X508" s="8"/>
    </row>
    <row r="509" spans="1:24" ht="12.75" customHeight="1">
      <c r="A509" s="1432"/>
      <c r="B509" s="1433"/>
      <c r="C509" s="16"/>
      <c r="D509" s="49"/>
      <c r="E509" s="118"/>
      <c r="F509" s="8"/>
      <c r="G509" s="8"/>
      <c r="H509" s="8"/>
      <c r="I509" s="8"/>
      <c r="J509" s="8"/>
      <c r="K509" s="8"/>
      <c r="L509" s="8"/>
      <c r="M509" s="8"/>
      <c r="N509" s="8"/>
      <c r="O509" s="8"/>
      <c r="P509" s="8"/>
      <c r="Q509" s="8"/>
      <c r="R509" s="8"/>
      <c r="S509" s="8"/>
      <c r="T509" s="8"/>
      <c r="U509" s="8"/>
      <c r="V509" s="8"/>
      <c r="W509" s="8"/>
      <c r="X509" s="8"/>
    </row>
    <row r="510" spans="1:24" ht="12.75" customHeight="1">
      <c r="A510" s="15"/>
      <c r="B510" s="22"/>
      <c r="C510" s="16"/>
      <c r="D510" s="25"/>
      <c r="E510" s="8"/>
      <c r="F510" s="8"/>
      <c r="G510" s="8"/>
      <c r="H510" s="8"/>
      <c r="I510" s="8"/>
      <c r="J510" s="8"/>
      <c r="K510" s="8"/>
      <c r="L510" s="8"/>
      <c r="M510" s="8"/>
      <c r="N510" s="8"/>
      <c r="O510" s="8"/>
      <c r="P510" s="8"/>
      <c r="Q510" s="8"/>
      <c r="R510" s="8"/>
      <c r="S510" s="8"/>
      <c r="T510" s="8"/>
      <c r="U510" s="8"/>
      <c r="V510" s="8"/>
      <c r="W510" s="8"/>
      <c r="X510" s="8"/>
    </row>
    <row r="511" spans="1:24" ht="13.5" customHeight="1">
      <c r="A511" s="13"/>
      <c r="B511" s="13"/>
      <c r="C511" s="24"/>
      <c r="D511" s="40"/>
      <c r="E511" s="50"/>
      <c r="F511" s="13"/>
      <c r="G511" s="13"/>
      <c r="H511" s="13"/>
      <c r="I511" s="13"/>
      <c r="J511" s="13"/>
      <c r="K511" s="13"/>
      <c r="L511" s="13"/>
      <c r="M511" s="13"/>
      <c r="N511" s="13"/>
      <c r="O511" s="13"/>
      <c r="P511" s="13"/>
      <c r="Q511" s="13"/>
      <c r="R511" s="13"/>
      <c r="S511" s="13"/>
      <c r="T511" s="13"/>
      <c r="U511" s="13"/>
      <c r="V511" s="13"/>
      <c r="W511" s="13"/>
      <c r="X511" s="13"/>
    </row>
    <row r="512" spans="1:24" ht="12.75" customHeight="1">
      <c r="A512" s="15"/>
      <c r="B512" s="15"/>
      <c r="C512" s="16"/>
      <c r="D512" s="30"/>
      <c r="E512" s="14"/>
      <c r="F512" s="30"/>
      <c r="G512" s="8"/>
      <c r="H512" s="8"/>
      <c r="I512" s="8"/>
      <c r="J512" s="8"/>
      <c r="K512" s="8"/>
      <c r="L512" s="8"/>
      <c r="M512" s="8"/>
      <c r="N512" s="8"/>
      <c r="O512" s="8"/>
      <c r="P512" s="8"/>
      <c r="Q512" s="8"/>
      <c r="R512" s="8"/>
      <c r="S512" s="8"/>
      <c r="T512" s="8"/>
      <c r="U512" s="8"/>
      <c r="V512" s="8"/>
      <c r="W512" s="8"/>
      <c r="X512" s="8"/>
    </row>
    <row r="513" spans="1:24" ht="12.75" customHeight="1">
      <c r="A513" s="13"/>
      <c r="B513" s="13"/>
      <c r="C513" s="14"/>
      <c r="D513" s="30"/>
      <c r="E513" s="14"/>
      <c r="F513" s="30"/>
      <c r="G513" s="8"/>
      <c r="H513" s="8"/>
      <c r="I513" s="8"/>
      <c r="J513" s="8"/>
      <c r="K513" s="8"/>
      <c r="L513" s="8"/>
      <c r="M513" s="8"/>
      <c r="N513" s="8"/>
      <c r="O513" s="8"/>
      <c r="P513" s="8"/>
      <c r="Q513" s="8"/>
      <c r="R513" s="8"/>
      <c r="S513" s="8"/>
      <c r="T513" s="8"/>
      <c r="U513" s="8"/>
      <c r="V513" s="8"/>
      <c r="W513" s="8"/>
      <c r="X513" s="8"/>
    </row>
    <row r="514" spans="1:24" ht="12.75" customHeight="1">
      <c r="A514" s="13"/>
      <c r="B514" s="13"/>
      <c r="C514" s="14"/>
      <c r="D514" s="30"/>
      <c r="E514" s="14"/>
      <c r="F514" s="30"/>
      <c r="G514" s="8"/>
      <c r="H514" s="8"/>
      <c r="I514" s="8"/>
      <c r="J514" s="8"/>
      <c r="K514" s="8"/>
      <c r="L514" s="8"/>
      <c r="M514" s="8"/>
      <c r="N514" s="8"/>
      <c r="O514" s="8"/>
      <c r="P514" s="8"/>
      <c r="Q514" s="8"/>
      <c r="R514" s="8"/>
      <c r="S514" s="8"/>
      <c r="T514" s="8"/>
      <c r="U514" s="8"/>
      <c r="V514" s="8"/>
      <c r="W514" s="8"/>
      <c r="X514" s="8"/>
    </row>
    <row r="515" spans="1:24" ht="12.75" customHeight="1">
      <c r="A515" s="13"/>
      <c r="B515" s="13"/>
      <c r="C515" s="14"/>
      <c r="D515" s="8"/>
      <c r="E515" s="30"/>
      <c r="F515" s="30"/>
      <c r="G515" s="8"/>
      <c r="H515" s="8"/>
      <c r="I515" s="8"/>
      <c r="J515" s="8"/>
      <c r="K515" s="8"/>
      <c r="L515" s="8"/>
      <c r="M515" s="8"/>
      <c r="N515" s="8"/>
      <c r="O515" s="8"/>
      <c r="P515" s="8"/>
      <c r="Q515" s="8"/>
      <c r="R515" s="8"/>
      <c r="S515" s="8"/>
      <c r="T515" s="8"/>
      <c r="U515" s="8"/>
      <c r="V515" s="8"/>
      <c r="W515" s="8"/>
      <c r="X515" s="8"/>
    </row>
    <row r="516" spans="1:24" ht="13.5" customHeight="1">
      <c r="A516" s="21"/>
      <c r="B516" s="15"/>
      <c r="C516" s="26"/>
      <c r="D516" s="40"/>
      <c r="E516" s="50"/>
      <c r="F516" s="13"/>
      <c r="G516" s="13"/>
      <c r="H516" s="13"/>
      <c r="I516" s="13"/>
      <c r="J516" s="13"/>
      <c r="K516" s="13"/>
      <c r="L516" s="13"/>
      <c r="M516" s="13"/>
      <c r="N516" s="13"/>
      <c r="O516" s="13"/>
      <c r="P516" s="13"/>
      <c r="Q516" s="13"/>
      <c r="R516" s="13"/>
      <c r="S516" s="13"/>
      <c r="T516" s="13"/>
      <c r="U516" s="13"/>
      <c r="V516" s="13"/>
      <c r="W516" s="13"/>
      <c r="X516" s="13"/>
    </row>
    <row r="517" spans="1:24" ht="12.75" customHeight="1">
      <c r="A517" s="23"/>
      <c r="B517" s="13"/>
      <c r="C517" s="14"/>
      <c r="D517" s="8"/>
      <c r="E517" s="16"/>
      <c r="F517" s="30"/>
      <c r="G517" s="8"/>
      <c r="H517" s="8"/>
      <c r="I517" s="8"/>
      <c r="J517" s="8"/>
      <c r="K517" s="8"/>
      <c r="L517" s="8"/>
      <c r="M517" s="8"/>
      <c r="N517" s="8"/>
      <c r="O517" s="8"/>
      <c r="P517" s="8"/>
      <c r="Q517" s="8"/>
      <c r="R517" s="8"/>
      <c r="S517" s="8"/>
      <c r="T517" s="8"/>
      <c r="U517" s="8"/>
      <c r="V517" s="8"/>
      <c r="W517" s="8"/>
      <c r="X517" s="8"/>
    </row>
    <row r="518" spans="1:24" ht="12.75" customHeight="1">
      <c r="A518" s="23"/>
      <c r="B518" s="24"/>
      <c r="C518" s="14"/>
      <c r="D518" s="30"/>
      <c r="E518" s="14"/>
      <c r="F518" s="30"/>
      <c r="G518" s="8"/>
      <c r="H518" s="8"/>
      <c r="I518" s="8"/>
      <c r="J518" s="8"/>
      <c r="K518" s="8"/>
      <c r="L518" s="8"/>
      <c r="M518" s="8"/>
      <c r="N518" s="8"/>
      <c r="O518" s="8"/>
      <c r="P518" s="8"/>
      <c r="Q518" s="8"/>
      <c r="R518" s="8"/>
      <c r="S518" s="8"/>
      <c r="T518" s="8"/>
      <c r="U518" s="8"/>
      <c r="V518" s="8"/>
      <c r="W518" s="8"/>
      <c r="X518" s="8"/>
    </row>
    <row r="519" spans="1:24" ht="12.75" customHeight="1">
      <c r="A519" s="21"/>
      <c r="B519" s="26"/>
      <c r="C519" s="16"/>
      <c r="D519" s="30"/>
      <c r="E519" s="14"/>
      <c r="F519" s="30"/>
      <c r="G519" s="8"/>
      <c r="H519" s="8"/>
      <c r="I519" s="8"/>
      <c r="J519" s="8"/>
      <c r="K519" s="8"/>
      <c r="L519" s="8"/>
      <c r="M519" s="8"/>
      <c r="N519" s="8"/>
      <c r="O519" s="8"/>
      <c r="P519" s="8"/>
      <c r="Q519" s="8"/>
      <c r="R519" s="8"/>
      <c r="S519" s="8"/>
      <c r="T519" s="8"/>
      <c r="U519" s="8"/>
      <c r="V519" s="8"/>
      <c r="W519" s="8"/>
      <c r="X519" s="8"/>
    </row>
    <row r="520" spans="1:24" ht="12.75" customHeight="1">
      <c r="A520" s="23"/>
      <c r="B520" s="13"/>
      <c r="C520" s="14"/>
      <c r="D520" s="30"/>
      <c r="E520" s="14"/>
      <c r="F520" s="30"/>
      <c r="G520" s="8"/>
      <c r="H520" s="8"/>
      <c r="I520" s="8"/>
      <c r="J520" s="8"/>
      <c r="K520" s="8"/>
      <c r="L520" s="8"/>
      <c r="M520" s="8"/>
      <c r="N520" s="8"/>
      <c r="O520" s="8"/>
      <c r="P520" s="8"/>
      <c r="Q520" s="8"/>
      <c r="R520" s="8"/>
      <c r="S520" s="8"/>
      <c r="T520" s="8"/>
      <c r="U520" s="8"/>
      <c r="V520" s="8"/>
      <c r="W520" s="8"/>
      <c r="X520" s="8"/>
    </row>
    <row r="521" spans="1:24" ht="12.75" customHeight="1">
      <c r="A521" s="23"/>
      <c r="B521" s="24"/>
      <c r="C521" s="14"/>
      <c r="D521" s="30"/>
      <c r="E521" s="14"/>
      <c r="F521" s="30"/>
      <c r="G521" s="8"/>
      <c r="H521" s="8"/>
      <c r="I521" s="8"/>
      <c r="J521" s="8"/>
      <c r="K521" s="8"/>
      <c r="L521" s="8"/>
      <c r="M521" s="8"/>
      <c r="N521" s="8"/>
      <c r="O521" s="8"/>
      <c r="P521" s="8"/>
      <c r="Q521" s="8"/>
      <c r="R521" s="8"/>
      <c r="S521" s="8"/>
      <c r="T521" s="8"/>
      <c r="U521" s="8"/>
      <c r="V521" s="8"/>
      <c r="W521" s="8"/>
      <c r="X521" s="8"/>
    </row>
    <row r="522" spans="1:24" ht="12.75" customHeight="1">
      <c r="A522" s="21"/>
      <c r="B522" s="15"/>
      <c r="C522" s="16"/>
      <c r="D522" s="30"/>
      <c r="E522" s="14"/>
      <c r="F522" s="30"/>
      <c r="G522" s="8"/>
      <c r="H522" s="8"/>
      <c r="I522" s="8"/>
      <c r="J522" s="8"/>
      <c r="K522" s="8"/>
      <c r="L522" s="8"/>
      <c r="M522" s="8"/>
      <c r="N522" s="8"/>
      <c r="O522" s="8"/>
      <c r="P522" s="8"/>
      <c r="Q522" s="8"/>
      <c r="R522" s="8"/>
      <c r="S522" s="8"/>
      <c r="T522" s="8"/>
      <c r="U522" s="8"/>
      <c r="V522" s="8"/>
      <c r="W522" s="8"/>
      <c r="X522" s="8"/>
    </row>
    <row r="523" spans="1:24" ht="12.75" customHeight="1">
      <c r="A523" s="23"/>
      <c r="B523" s="13"/>
      <c r="C523" s="14"/>
      <c r="D523" s="30"/>
      <c r="E523" s="14"/>
      <c r="F523" s="30"/>
      <c r="G523" s="8"/>
      <c r="H523" s="8"/>
      <c r="I523" s="8"/>
      <c r="J523" s="8"/>
      <c r="K523" s="8"/>
      <c r="L523" s="8"/>
      <c r="M523" s="8"/>
      <c r="N523" s="8"/>
      <c r="O523" s="8"/>
      <c r="P523" s="8"/>
      <c r="Q523" s="8"/>
      <c r="R523" s="8"/>
      <c r="S523" s="8"/>
      <c r="T523" s="8"/>
      <c r="U523" s="8"/>
      <c r="V523" s="8"/>
      <c r="W523" s="8"/>
      <c r="X523" s="8"/>
    </row>
    <row r="524" spans="1:24" ht="12.75" customHeight="1">
      <c r="A524" s="21"/>
      <c r="B524" s="26"/>
      <c r="C524" s="16"/>
      <c r="D524" s="30"/>
      <c r="E524" s="14"/>
      <c r="F524" s="30"/>
      <c r="G524" s="8"/>
      <c r="H524" s="8"/>
      <c r="I524" s="8"/>
      <c r="J524" s="8"/>
      <c r="K524" s="8"/>
      <c r="L524" s="8"/>
      <c r="M524" s="8"/>
      <c r="N524" s="8"/>
      <c r="O524" s="8"/>
      <c r="P524" s="8"/>
      <c r="Q524" s="8"/>
      <c r="R524" s="8"/>
      <c r="S524" s="8"/>
      <c r="T524" s="8"/>
      <c r="U524" s="8"/>
      <c r="V524" s="8"/>
      <c r="W524" s="8"/>
      <c r="X524" s="8"/>
    </row>
    <row r="525" spans="1:24" ht="12.75" customHeight="1">
      <c r="A525" s="23"/>
      <c r="B525" s="24"/>
      <c r="C525" s="14"/>
      <c r="D525" s="30"/>
      <c r="E525" s="30"/>
      <c r="F525" s="8"/>
      <c r="G525" s="8"/>
      <c r="H525" s="8"/>
      <c r="I525" s="8"/>
      <c r="J525" s="8"/>
      <c r="K525" s="8"/>
      <c r="L525" s="8"/>
      <c r="M525" s="8"/>
      <c r="N525" s="8"/>
      <c r="O525" s="8"/>
      <c r="P525" s="8"/>
      <c r="Q525" s="8"/>
      <c r="R525" s="8"/>
      <c r="S525" s="8"/>
      <c r="T525" s="8"/>
      <c r="U525" s="8"/>
      <c r="V525" s="8"/>
      <c r="W525" s="8"/>
      <c r="X525" s="8"/>
    </row>
    <row r="526" spans="1:24" ht="12.75" customHeight="1">
      <c r="A526" s="23"/>
      <c r="B526" s="24"/>
      <c r="C526" s="14"/>
      <c r="D526" s="30"/>
      <c r="E526" s="16"/>
      <c r="F526" s="30"/>
      <c r="G526" s="8"/>
      <c r="H526" s="8"/>
      <c r="I526" s="8"/>
      <c r="J526" s="8"/>
      <c r="K526" s="8"/>
      <c r="L526" s="8"/>
      <c r="M526" s="8"/>
      <c r="N526" s="8"/>
      <c r="O526" s="8"/>
      <c r="P526" s="8"/>
      <c r="Q526" s="8"/>
      <c r="R526" s="8"/>
      <c r="S526" s="8"/>
      <c r="T526" s="8"/>
      <c r="U526" s="8"/>
      <c r="V526" s="8"/>
      <c r="W526" s="8"/>
      <c r="X526" s="8"/>
    </row>
    <row r="527" spans="1:24" ht="12.75" customHeight="1">
      <c r="A527" s="23"/>
      <c r="B527" s="24"/>
      <c r="C527" s="14"/>
      <c r="D527" s="30"/>
      <c r="E527" s="24"/>
      <c r="F527" s="118"/>
      <c r="G527" s="8"/>
      <c r="H527" s="8"/>
      <c r="I527" s="8"/>
      <c r="J527" s="8"/>
      <c r="K527" s="8"/>
      <c r="L527" s="8"/>
      <c r="M527" s="8"/>
      <c r="N527" s="8"/>
      <c r="O527" s="8"/>
      <c r="P527" s="8"/>
      <c r="Q527" s="8"/>
      <c r="R527" s="8"/>
      <c r="S527" s="8"/>
      <c r="T527" s="8"/>
      <c r="U527" s="8"/>
      <c r="V527" s="8"/>
      <c r="W527" s="8"/>
      <c r="X527" s="8"/>
    </row>
    <row r="528" spans="1:24" ht="12.75" customHeight="1">
      <c r="A528" s="23"/>
      <c r="B528" s="24"/>
      <c r="C528" s="14"/>
      <c r="D528" s="30"/>
      <c r="E528" s="8"/>
      <c r="F528" s="8"/>
      <c r="G528" s="8"/>
      <c r="H528" s="8"/>
      <c r="I528" s="8"/>
      <c r="J528" s="8"/>
      <c r="K528" s="8"/>
      <c r="L528" s="8"/>
      <c r="M528" s="8"/>
      <c r="N528" s="8"/>
      <c r="O528" s="8"/>
      <c r="P528" s="8"/>
      <c r="Q528" s="8"/>
      <c r="R528" s="8"/>
      <c r="S528" s="8"/>
      <c r="T528" s="8"/>
      <c r="U528" s="8"/>
      <c r="V528" s="8"/>
      <c r="W528" s="8"/>
      <c r="X528" s="8"/>
    </row>
    <row r="529" spans="1:24" ht="12.75" customHeight="1">
      <c r="A529" s="1432"/>
      <c r="B529" s="1433"/>
      <c r="C529" s="16"/>
      <c r="D529" s="8"/>
      <c r="E529" s="8"/>
      <c r="F529" s="8"/>
      <c r="G529" s="8"/>
      <c r="H529" s="8"/>
      <c r="I529" s="8"/>
      <c r="J529" s="8"/>
      <c r="K529" s="8"/>
      <c r="L529" s="8"/>
      <c r="M529" s="8"/>
      <c r="N529" s="8"/>
      <c r="O529" s="8"/>
      <c r="P529" s="8"/>
      <c r="Q529" s="8"/>
      <c r="R529" s="8"/>
      <c r="S529" s="8"/>
      <c r="T529" s="8"/>
      <c r="U529" s="8"/>
      <c r="V529" s="8"/>
      <c r="W529" s="8"/>
      <c r="X529" s="8"/>
    </row>
    <row r="530" spans="1:24" ht="12.75" customHeight="1">
      <c r="A530" s="21"/>
      <c r="B530" s="22"/>
      <c r="C530" s="16"/>
      <c r="D530" s="8"/>
      <c r="E530" s="8"/>
      <c r="F530" s="8"/>
      <c r="G530" s="8"/>
      <c r="H530" s="8"/>
      <c r="I530" s="8"/>
      <c r="J530" s="8"/>
      <c r="K530" s="8"/>
      <c r="L530" s="8"/>
      <c r="M530" s="8"/>
      <c r="N530" s="8"/>
      <c r="O530" s="8"/>
      <c r="P530" s="8"/>
      <c r="Q530" s="8"/>
      <c r="R530" s="8"/>
      <c r="S530" s="8"/>
      <c r="T530" s="8"/>
      <c r="U530" s="8"/>
      <c r="V530" s="8"/>
      <c r="W530" s="8"/>
      <c r="X530" s="8"/>
    </row>
    <row r="531" spans="1:24" ht="12.75" customHeight="1">
      <c r="A531" s="23"/>
      <c r="B531" s="40"/>
      <c r="C531" s="14"/>
      <c r="D531" s="8"/>
      <c r="E531" s="8"/>
      <c r="F531" s="8"/>
      <c r="G531" s="8"/>
      <c r="H531" s="8"/>
      <c r="I531" s="8"/>
      <c r="J531" s="8"/>
      <c r="K531" s="8"/>
      <c r="L531" s="8"/>
      <c r="M531" s="8"/>
      <c r="N531" s="8"/>
      <c r="O531" s="8"/>
      <c r="P531" s="8"/>
      <c r="Q531" s="8"/>
      <c r="R531" s="8"/>
      <c r="S531" s="8"/>
      <c r="T531" s="8"/>
      <c r="U531" s="8"/>
      <c r="V531" s="8"/>
      <c r="W531" s="8"/>
      <c r="X531" s="8"/>
    </row>
    <row r="532" spans="1:24" ht="12.75" customHeight="1">
      <c r="A532" s="23"/>
      <c r="B532" s="40"/>
      <c r="C532" s="14"/>
      <c r="D532" s="8"/>
      <c r="E532" s="8"/>
      <c r="F532" s="8"/>
      <c r="G532" s="8"/>
      <c r="H532" s="8"/>
      <c r="I532" s="8"/>
      <c r="J532" s="8"/>
      <c r="K532" s="8"/>
      <c r="L532" s="8"/>
      <c r="M532" s="8"/>
      <c r="N532" s="8"/>
      <c r="O532" s="8"/>
      <c r="P532" s="8"/>
      <c r="Q532" s="8"/>
      <c r="R532" s="8"/>
      <c r="S532" s="8"/>
      <c r="T532" s="8"/>
      <c r="U532" s="8"/>
      <c r="V532" s="8"/>
      <c r="W532" s="8"/>
      <c r="X532" s="8"/>
    </row>
    <row r="533" spans="1:24" ht="12.75" customHeight="1">
      <c r="A533" s="23"/>
      <c r="B533" s="24"/>
      <c r="C533" s="24"/>
      <c r="D533" s="8"/>
      <c r="E533" s="30"/>
      <c r="F533" s="8"/>
      <c r="G533" s="8"/>
      <c r="H533" s="8"/>
      <c r="I533" s="8"/>
      <c r="J533" s="8"/>
      <c r="K533" s="8"/>
      <c r="L533" s="8"/>
      <c r="M533" s="8"/>
      <c r="N533" s="8"/>
      <c r="O533" s="8"/>
      <c r="P533" s="8"/>
      <c r="Q533" s="8"/>
      <c r="R533" s="8"/>
      <c r="S533" s="8"/>
      <c r="T533" s="8"/>
      <c r="U533" s="8"/>
      <c r="V533" s="8"/>
      <c r="W533" s="8"/>
      <c r="X533" s="8"/>
    </row>
    <row r="534" spans="1:24" ht="12.75" customHeight="1">
      <c r="A534" s="23"/>
      <c r="B534" s="24"/>
      <c r="C534" s="24"/>
      <c r="D534" s="8"/>
      <c r="E534" s="30"/>
      <c r="F534" s="8"/>
      <c r="G534" s="8"/>
      <c r="H534" s="8"/>
      <c r="I534" s="8"/>
      <c r="J534" s="8"/>
      <c r="K534" s="8"/>
      <c r="L534" s="8"/>
      <c r="M534" s="8"/>
      <c r="N534" s="8"/>
      <c r="O534" s="8"/>
      <c r="P534" s="8"/>
      <c r="Q534" s="8"/>
      <c r="R534" s="8"/>
      <c r="S534" s="8"/>
      <c r="T534" s="8"/>
      <c r="U534" s="8"/>
      <c r="V534" s="8"/>
      <c r="W534" s="8"/>
      <c r="X534" s="8"/>
    </row>
    <row r="535" spans="1:24" ht="12.75" customHeight="1">
      <c r="A535" s="1432"/>
      <c r="B535" s="1433"/>
      <c r="C535" s="16"/>
      <c r="D535" s="8"/>
      <c r="E535" s="8"/>
      <c r="F535" s="8"/>
      <c r="G535" s="8"/>
      <c r="H535" s="8"/>
      <c r="I535" s="8"/>
      <c r="J535" s="8"/>
      <c r="K535" s="8"/>
      <c r="L535" s="8"/>
      <c r="M535" s="8"/>
      <c r="N535" s="8"/>
      <c r="O535" s="8"/>
      <c r="P535" s="8"/>
      <c r="Q535" s="8"/>
      <c r="R535" s="8"/>
      <c r="S535" s="8"/>
      <c r="T535" s="8"/>
      <c r="U535" s="8"/>
      <c r="V535" s="8"/>
      <c r="W535" s="8"/>
      <c r="X535" s="8"/>
    </row>
    <row r="536" spans="1:24" ht="12.75" customHeight="1">
      <c r="A536" s="21"/>
      <c r="B536" s="22"/>
      <c r="C536" s="16"/>
      <c r="D536" s="8"/>
      <c r="E536" s="8"/>
      <c r="F536" s="8"/>
      <c r="G536" s="8"/>
      <c r="H536" s="8"/>
      <c r="I536" s="8"/>
      <c r="J536" s="8"/>
      <c r="K536" s="8"/>
      <c r="L536" s="8"/>
      <c r="M536" s="8"/>
      <c r="N536" s="8"/>
      <c r="O536" s="8"/>
      <c r="P536" s="8"/>
      <c r="Q536" s="8"/>
      <c r="R536" s="8"/>
      <c r="S536" s="8"/>
      <c r="T536" s="8"/>
      <c r="U536" s="8"/>
      <c r="V536" s="8"/>
      <c r="W536" s="8"/>
      <c r="X536" s="8"/>
    </row>
    <row r="537" spans="1:24" ht="13.5" customHeight="1">
      <c r="A537" s="23"/>
      <c r="B537" s="24"/>
      <c r="C537" s="24"/>
      <c r="D537" s="13"/>
      <c r="E537" s="27"/>
      <c r="F537" s="13"/>
      <c r="G537" s="13"/>
      <c r="H537" s="13"/>
      <c r="I537" s="13"/>
      <c r="J537" s="13"/>
      <c r="K537" s="13"/>
      <c r="L537" s="13"/>
      <c r="M537" s="13"/>
      <c r="N537" s="13"/>
      <c r="O537" s="13"/>
      <c r="P537" s="13"/>
      <c r="Q537" s="13"/>
      <c r="R537" s="13"/>
      <c r="S537" s="13"/>
      <c r="T537" s="13"/>
      <c r="U537" s="13"/>
      <c r="V537" s="13"/>
      <c r="W537" s="13"/>
      <c r="X537" s="13"/>
    </row>
    <row r="538" spans="1:24" ht="13.5" customHeight="1">
      <c r="A538" s="21"/>
      <c r="B538" s="26"/>
      <c r="C538" s="26"/>
      <c r="D538" s="13"/>
      <c r="E538" s="27"/>
      <c r="F538" s="13"/>
      <c r="G538" s="13"/>
      <c r="H538" s="13"/>
      <c r="I538" s="13"/>
      <c r="J538" s="13"/>
      <c r="K538" s="13"/>
      <c r="L538" s="13"/>
      <c r="M538" s="13"/>
      <c r="N538" s="13"/>
      <c r="O538" s="13"/>
      <c r="P538" s="13"/>
      <c r="Q538" s="13"/>
      <c r="R538" s="13"/>
      <c r="S538" s="13"/>
      <c r="T538" s="13"/>
      <c r="U538" s="13"/>
      <c r="V538" s="13"/>
      <c r="W538" s="13"/>
      <c r="X538" s="13"/>
    </row>
    <row r="539" spans="1:24" ht="13.5" customHeight="1">
      <c r="A539" s="23"/>
      <c r="B539" s="24"/>
      <c r="C539" s="24"/>
      <c r="D539" s="40"/>
      <c r="E539" s="14"/>
      <c r="F539" s="13"/>
      <c r="G539" s="13"/>
      <c r="H539" s="13"/>
      <c r="I539" s="13"/>
      <c r="J539" s="13"/>
      <c r="K539" s="13"/>
      <c r="L539" s="13"/>
      <c r="M539" s="13"/>
      <c r="N539" s="13"/>
      <c r="O539" s="13"/>
      <c r="P539" s="13"/>
      <c r="Q539" s="13"/>
      <c r="R539" s="13"/>
      <c r="S539" s="13"/>
      <c r="T539" s="13"/>
      <c r="U539" s="13"/>
      <c r="V539" s="13"/>
      <c r="W539" s="13"/>
      <c r="X539" s="13"/>
    </row>
    <row r="540" spans="1:24" ht="13.5" customHeight="1">
      <c r="A540" s="21"/>
      <c r="B540" s="26"/>
      <c r="C540" s="26"/>
      <c r="D540" s="40"/>
      <c r="E540" s="14"/>
      <c r="F540" s="13"/>
      <c r="G540" s="13"/>
      <c r="H540" s="13"/>
      <c r="I540" s="13"/>
      <c r="J540" s="13"/>
      <c r="K540" s="13"/>
      <c r="L540" s="13"/>
      <c r="M540" s="13"/>
      <c r="N540" s="13"/>
      <c r="O540" s="13"/>
      <c r="P540" s="13"/>
      <c r="Q540" s="13"/>
      <c r="R540" s="13"/>
      <c r="S540" s="13"/>
      <c r="T540" s="13"/>
      <c r="U540" s="13"/>
      <c r="V540" s="13"/>
      <c r="W540" s="13"/>
      <c r="X540" s="13"/>
    </row>
    <row r="541" spans="1:24" ht="13.5" customHeight="1">
      <c r="A541" s="23"/>
      <c r="B541" s="24"/>
      <c r="C541" s="24"/>
      <c r="D541" s="13"/>
      <c r="E541" s="27"/>
      <c r="F541" s="13"/>
      <c r="G541" s="13"/>
      <c r="H541" s="13"/>
      <c r="I541" s="13"/>
      <c r="J541" s="13"/>
      <c r="K541" s="13"/>
      <c r="L541" s="13"/>
      <c r="M541" s="13"/>
      <c r="N541" s="13"/>
      <c r="O541" s="13"/>
      <c r="P541" s="13"/>
      <c r="Q541" s="13"/>
      <c r="R541" s="13"/>
      <c r="S541" s="13"/>
      <c r="T541" s="13"/>
      <c r="U541" s="13"/>
      <c r="V541" s="13"/>
      <c r="W541" s="13"/>
      <c r="X541" s="13"/>
    </row>
    <row r="542" spans="1:24" ht="13.5" customHeight="1">
      <c r="A542" s="21"/>
      <c r="B542" s="26"/>
      <c r="C542" s="26"/>
      <c r="D542" s="13"/>
      <c r="E542" s="27"/>
      <c r="F542" s="13"/>
      <c r="G542" s="13"/>
      <c r="H542" s="13"/>
      <c r="I542" s="13"/>
      <c r="J542" s="13"/>
      <c r="K542" s="13"/>
      <c r="L542" s="13"/>
      <c r="M542" s="13"/>
      <c r="N542" s="13"/>
      <c r="O542" s="13"/>
      <c r="P542" s="13"/>
      <c r="Q542" s="13"/>
      <c r="R542" s="13"/>
      <c r="S542" s="13"/>
      <c r="T542" s="13"/>
      <c r="U542" s="13"/>
      <c r="V542" s="13"/>
      <c r="W542" s="13"/>
      <c r="X542" s="13"/>
    </row>
    <row r="543" spans="1:24" ht="13.5" customHeight="1">
      <c r="A543" s="23"/>
      <c r="B543" s="24"/>
      <c r="C543" s="24"/>
      <c r="D543" s="40"/>
      <c r="E543" s="14"/>
      <c r="F543" s="13"/>
      <c r="G543" s="13"/>
      <c r="H543" s="13"/>
      <c r="I543" s="13"/>
      <c r="J543" s="13"/>
      <c r="K543" s="13"/>
      <c r="L543" s="13"/>
      <c r="M543" s="13"/>
      <c r="N543" s="13"/>
      <c r="O543" s="13"/>
      <c r="P543" s="13"/>
      <c r="Q543" s="13"/>
      <c r="R543" s="13"/>
      <c r="S543" s="13"/>
      <c r="T543" s="13"/>
      <c r="U543" s="13"/>
      <c r="V543" s="13"/>
      <c r="W543" s="13"/>
      <c r="X543" s="13"/>
    </row>
    <row r="544" spans="1:24" ht="12.75" customHeight="1">
      <c r="A544" s="13"/>
      <c r="B544" s="13"/>
      <c r="C544" s="14"/>
      <c r="D544" s="8"/>
      <c r="E544" s="8"/>
      <c r="F544" s="8"/>
      <c r="G544" s="8"/>
      <c r="H544" s="8"/>
      <c r="I544" s="8"/>
      <c r="J544" s="8"/>
      <c r="K544" s="8"/>
      <c r="L544" s="8"/>
      <c r="M544" s="8"/>
      <c r="N544" s="8"/>
      <c r="O544" s="8"/>
      <c r="P544" s="8"/>
      <c r="Q544" s="8"/>
      <c r="R544" s="8"/>
      <c r="S544" s="8"/>
      <c r="T544" s="8"/>
      <c r="U544" s="8"/>
      <c r="V544" s="8"/>
      <c r="W544" s="8"/>
      <c r="X544" s="8"/>
    </row>
    <row r="545" spans="1:24" ht="12.75" customHeight="1">
      <c r="A545" s="13"/>
      <c r="B545" s="13"/>
      <c r="C545" s="14"/>
      <c r="D545" s="8"/>
      <c r="E545" s="8"/>
      <c r="F545" s="8"/>
      <c r="G545" s="8"/>
      <c r="H545" s="8"/>
      <c r="I545" s="8"/>
      <c r="J545" s="8"/>
      <c r="K545" s="8"/>
      <c r="L545" s="8"/>
      <c r="M545" s="8"/>
      <c r="N545" s="8"/>
      <c r="O545" s="8"/>
      <c r="P545" s="8"/>
      <c r="Q545" s="8"/>
      <c r="R545" s="8"/>
      <c r="S545" s="8"/>
      <c r="T545" s="8"/>
      <c r="U545" s="8"/>
      <c r="V545" s="8"/>
      <c r="W545" s="8"/>
      <c r="X545" s="8"/>
    </row>
    <row r="546" spans="1:24" ht="12.75" customHeight="1">
      <c r="A546" s="265"/>
      <c r="B546" s="265"/>
      <c r="C546" s="118"/>
      <c r="D546" s="8"/>
      <c r="E546" s="8"/>
      <c r="F546" s="8"/>
      <c r="G546" s="8"/>
      <c r="H546" s="8"/>
      <c r="I546" s="8"/>
      <c r="J546" s="8"/>
      <c r="K546" s="8"/>
      <c r="L546" s="8"/>
      <c r="M546" s="8"/>
      <c r="N546" s="8"/>
      <c r="O546" s="8"/>
      <c r="P546" s="8"/>
      <c r="Q546" s="8"/>
      <c r="R546" s="8"/>
      <c r="S546" s="8"/>
      <c r="T546" s="8"/>
      <c r="U546" s="8"/>
      <c r="V546" s="8"/>
      <c r="W546" s="8"/>
      <c r="X546" s="8"/>
    </row>
    <row r="547" spans="1:24" ht="12.75" customHeight="1">
      <c r="A547" s="265"/>
      <c r="B547" s="265"/>
      <c r="C547" s="118"/>
      <c r="D547" s="8"/>
      <c r="E547" s="8"/>
      <c r="F547" s="8"/>
      <c r="G547" s="8"/>
      <c r="H547" s="8"/>
      <c r="I547" s="8"/>
      <c r="J547" s="8"/>
      <c r="K547" s="8"/>
      <c r="L547" s="8"/>
      <c r="M547" s="8"/>
      <c r="N547" s="8"/>
      <c r="O547" s="8"/>
      <c r="P547" s="8"/>
      <c r="Q547" s="8"/>
      <c r="R547" s="8"/>
      <c r="S547" s="8"/>
      <c r="T547" s="8"/>
      <c r="U547" s="8"/>
      <c r="V547" s="8"/>
      <c r="W547" s="8"/>
      <c r="X547" s="8"/>
    </row>
    <row r="548" spans="1:24" ht="12.75" customHeight="1">
      <c r="A548" s="8"/>
      <c r="B548" s="8"/>
      <c r="C548" s="30"/>
      <c r="D548" s="8"/>
      <c r="E548" s="8"/>
      <c r="F548" s="8"/>
      <c r="G548" s="8"/>
      <c r="H548" s="8"/>
      <c r="I548" s="8"/>
      <c r="J548" s="8"/>
      <c r="K548" s="8"/>
      <c r="L548" s="8"/>
      <c r="M548" s="8"/>
      <c r="N548" s="8"/>
      <c r="O548" s="8"/>
      <c r="P548" s="8"/>
      <c r="Q548" s="8"/>
      <c r="R548" s="8"/>
      <c r="S548" s="8"/>
      <c r="T548" s="8"/>
      <c r="U548" s="8"/>
      <c r="V548" s="8"/>
      <c r="W548" s="8"/>
      <c r="X548" s="8"/>
    </row>
    <row r="549" spans="1:24" ht="12.75" customHeight="1">
      <c r="A549" s="8"/>
      <c r="B549" s="8"/>
      <c r="C549" s="30"/>
      <c r="D549" s="8"/>
      <c r="E549" s="8"/>
      <c r="F549" s="8"/>
      <c r="G549" s="8"/>
      <c r="H549" s="8"/>
      <c r="I549" s="8"/>
      <c r="J549" s="8"/>
      <c r="K549" s="8"/>
      <c r="L549" s="8"/>
      <c r="M549" s="8"/>
      <c r="N549" s="8"/>
      <c r="O549" s="8"/>
      <c r="P549" s="8"/>
      <c r="Q549" s="8"/>
      <c r="R549" s="8"/>
      <c r="S549" s="8"/>
      <c r="T549" s="8"/>
      <c r="U549" s="8"/>
      <c r="V549" s="8"/>
      <c r="W549" s="8"/>
      <c r="X549" s="8"/>
    </row>
    <row r="550" spans="1:24" ht="12.75" customHeight="1">
      <c r="A550" s="13"/>
      <c r="B550" s="13"/>
      <c r="C550" s="14"/>
      <c r="D550" s="13"/>
      <c r="E550" s="13"/>
      <c r="F550" s="13"/>
      <c r="G550" s="13"/>
      <c r="H550" s="13"/>
      <c r="I550" s="13"/>
      <c r="J550" s="13"/>
      <c r="K550" s="13"/>
      <c r="L550" s="13"/>
      <c r="M550" s="13"/>
      <c r="N550" s="13"/>
      <c r="O550" s="13"/>
      <c r="P550" s="13"/>
      <c r="Q550" s="13"/>
      <c r="R550" s="13"/>
      <c r="S550" s="13"/>
      <c r="T550" s="13"/>
      <c r="U550" s="13"/>
      <c r="V550" s="13"/>
      <c r="W550" s="13"/>
      <c r="X550" s="13"/>
    </row>
    <row r="551" spans="1:24" ht="12.75" customHeight="1">
      <c r="A551" s="13"/>
      <c r="B551" s="13"/>
      <c r="C551" s="14"/>
      <c r="D551" s="8"/>
      <c r="E551" s="8"/>
      <c r="F551" s="8"/>
      <c r="G551" s="8"/>
      <c r="H551" s="8"/>
      <c r="I551" s="8"/>
      <c r="J551" s="8"/>
      <c r="K551" s="8"/>
      <c r="L551" s="8"/>
      <c r="M551" s="8"/>
      <c r="N551" s="8"/>
      <c r="O551" s="8"/>
      <c r="P551" s="8"/>
      <c r="Q551" s="8"/>
      <c r="R551" s="8"/>
      <c r="S551" s="8"/>
      <c r="T551" s="8"/>
      <c r="U551" s="8"/>
      <c r="V551" s="8"/>
      <c r="W551" s="8"/>
      <c r="X551" s="8"/>
    </row>
    <row r="552" spans="1:24" ht="12.75" customHeight="1">
      <c r="A552" s="13"/>
      <c r="B552" s="13"/>
      <c r="C552" s="14"/>
      <c r="D552" s="8"/>
      <c r="E552" s="8"/>
      <c r="F552" s="8"/>
      <c r="G552" s="8"/>
      <c r="H552" s="8"/>
      <c r="I552" s="8"/>
      <c r="J552" s="8"/>
      <c r="K552" s="8"/>
      <c r="L552" s="8"/>
      <c r="M552" s="8"/>
      <c r="N552" s="8"/>
      <c r="O552" s="8"/>
      <c r="P552" s="8"/>
      <c r="Q552" s="8"/>
      <c r="R552" s="8"/>
      <c r="S552" s="8"/>
      <c r="T552" s="8"/>
      <c r="U552" s="8"/>
      <c r="V552" s="8"/>
      <c r="W552" s="8"/>
      <c r="X552" s="8"/>
    </row>
    <row r="553" spans="1:24" ht="12.75" customHeight="1">
      <c r="A553" s="13"/>
      <c r="B553" s="13"/>
      <c r="C553" s="14"/>
      <c r="D553" s="8"/>
      <c r="E553" s="8"/>
      <c r="F553" s="8"/>
      <c r="G553" s="8"/>
      <c r="H553" s="8"/>
      <c r="I553" s="8"/>
      <c r="J553" s="8"/>
      <c r="K553" s="8"/>
      <c r="L553" s="8"/>
      <c r="M553" s="8"/>
      <c r="N553" s="8"/>
      <c r="O553" s="8"/>
      <c r="P553" s="8"/>
      <c r="Q553" s="8"/>
      <c r="R553" s="8"/>
      <c r="S553" s="8"/>
      <c r="T553" s="8"/>
      <c r="U553" s="8"/>
      <c r="V553" s="8"/>
      <c r="W553" s="8"/>
      <c r="X553" s="8"/>
    </row>
    <row r="554" spans="1:24" ht="12.75" customHeight="1">
      <c r="A554" s="15"/>
      <c r="B554" s="267"/>
      <c r="C554" s="16"/>
      <c r="D554" s="30"/>
      <c r="E554" s="30"/>
      <c r="F554" s="8"/>
      <c r="G554" s="8"/>
      <c r="H554" s="8"/>
      <c r="I554" s="8"/>
      <c r="J554" s="8"/>
      <c r="K554" s="8"/>
      <c r="L554" s="8"/>
      <c r="M554" s="8"/>
      <c r="N554" s="8"/>
      <c r="O554" s="8"/>
      <c r="P554" s="8"/>
      <c r="Q554" s="8"/>
      <c r="R554" s="8"/>
      <c r="S554" s="8"/>
      <c r="T554" s="8"/>
      <c r="U554" s="8"/>
      <c r="V554" s="8"/>
      <c r="W554" s="8"/>
      <c r="X554" s="8"/>
    </row>
    <row r="555" spans="1:24" ht="12.75" customHeight="1">
      <c r="A555" s="15"/>
      <c r="B555" s="15"/>
      <c r="C555" s="16"/>
      <c r="D555" s="8"/>
      <c r="E555" s="8"/>
      <c r="F555" s="8"/>
      <c r="G555" s="8"/>
      <c r="H555" s="8"/>
      <c r="I555" s="8"/>
      <c r="J555" s="8"/>
      <c r="K555" s="8"/>
      <c r="L555" s="8"/>
      <c r="M555" s="8"/>
      <c r="N555" s="8"/>
      <c r="O555" s="8"/>
      <c r="P555" s="8"/>
      <c r="Q555" s="8"/>
      <c r="R555" s="8"/>
      <c r="S555" s="8"/>
      <c r="T555" s="8"/>
      <c r="U555" s="8"/>
      <c r="V555" s="8"/>
      <c r="W555" s="8"/>
      <c r="X555" s="8"/>
    </row>
    <row r="556" spans="1:24" ht="12.75" customHeight="1">
      <c r="A556" s="1432"/>
      <c r="B556" s="1433"/>
      <c r="C556" s="16"/>
      <c r="D556" s="80"/>
      <c r="E556" s="8"/>
      <c r="F556" s="8"/>
      <c r="G556" s="8"/>
      <c r="H556" s="8"/>
      <c r="I556" s="8"/>
      <c r="J556" s="8"/>
      <c r="K556" s="8"/>
      <c r="L556" s="8"/>
      <c r="M556" s="8"/>
      <c r="N556" s="8"/>
      <c r="O556" s="8"/>
      <c r="P556" s="8"/>
      <c r="Q556" s="8"/>
      <c r="R556" s="8"/>
      <c r="S556" s="8"/>
      <c r="T556" s="8"/>
      <c r="U556" s="8"/>
      <c r="V556" s="8"/>
      <c r="W556" s="8"/>
      <c r="X556" s="8"/>
    </row>
    <row r="557" spans="1:24" ht="12.75" customHeight="1">
      <c r="A557" s="21"/>
      <c r="B557" s="22"/>
      <c r="C557" s="82"/>
      <c r="D557" s="83"/>
      <c r="E557" s="10"/>
      <c r="F557" s="84"/>
      <c r="G557" s="84"/>
      <c r="H557" s="84"/>
      <c r="I557" s="84"/>
      <c r="J557" s="84"/>
      <c r="K557" s="84"/>
      <c r="L557" s="84"/>
      <c r="M557" s="84"/>
      <c r="N557" s="84"/>
      <c r="O557" s="84"/>
      <c r="P557" s="84"/>
      <c r="Q557" s="84"/>
      <c r="R557" s="84"/>
      <c r="S557" s="84"/>
      <c r="T557" s="84"/>
      <c r="U557" s="84"/>
      <c r="V557" s="84"/>
      <c r="W557" s="84"/>
      <c r="X557" s="84"/>
    </row>
    <row r="558" spans="1:24" ht="13.5" customHeight="1">
      <c r="A558" s="23"/>
      <c r="B558" s="13"/>
      <c r="C558" s="24"/>
      <c r="D558" s="13"/>
      <c r="E558" s="24"/>
      <c r="F558" s="13"/>
      <c r="G558" s="13"/>
      <c r="H558" s="13"/>
      <c r="I558" s="13"/>
      <c r="J558" s="13"/>
      <c r="K558" s="13"/>
      <c r="L558" s="13"/>
      <c r="M558" s="13"/>
      <c r="N558" s="13"/>
      <c r="O558" s="13"/>
      <c r="P558" s="13"/>
      <c r="Q558" s="13"/>
      <c r="R558" s="13"/>
      <c r="S558" s="13"/>
      <c r="T558" s="13"/>
      <c r="U558" s="13"/>
      <c r="V558" s="13"/>
      <c r="W558" s="13"/>
      <c r="X558" s="13"/>
    </row>
    <row r="559" spans="1:24" ht="13.5" customHeight="1">
      <c r="A559" s="21"/>
      <c r="B559" s="15"/>
      <c r="C559" s="26"/>
      <c r="D559" s="13"/>
      <c r="E559" s="25"/>
      <c r="F559" s="13"/>
      <c r="G559" s="13"/>
      <c r="H559" s="13"/>
      <c r="I559" s="13"/>
      <c r="J559" s="13"/>
      <c r="K559" s="13"/>
      <c r="L559" s="13"/>
      <c r="M559" s="13"/>
      <c r="N559" s="13"/>
      <c r="O559" s="13"/>
      <c r="P559" s="13"/>
      <c r="Q559" s="13"/>
      <c r="R559" s="13"/>
      <c r="S559" s="13"/>
      <c r="T559" s="13"/>
      <c r="U559" s="13"/>
      <c r="V559" s="13"/>
      <c r="W559" s="13"/>
      <c r="X559" s="13"/>
    </row>
    <row r="560" spans="1:24" ht="12.75" customHeight="1">
      <c r="A560" s="23"/>
      <c r="B560" s="13"/>
      <c r="C560" s="14"/>
      <c r="D560" s="49"/>
      <c r="E560" s="30"/>
      <c r="F560" s="8"/>
      <c r="G560" s="8"/>
      <c r="H560" s="8"/>
      <c r="I560" s="8"/>
      <c r="J560" s="8"/>
      <c r="K560" s="8"/>
      <c r="L560" s="8"/>
      <c r="M560" s="8"/>
      <c r="N560" s="8"/>
      <c r="O560" s="8"/>
      <c r="P560" s="8"/>
      <c r="Q560" s="8"/>
      <c r="R560" s="8"/>
      <c r="S560" s="8"/>
      <c r="T560" s="8"/>
      <c r="U560" s="8"/>
      <c r="V560" s="8"/>
      <c r="W560" s="8"/>
      <c r="X560" s="8"/>
    </row>
    <row r="561" spans="1:24" ht="12.75" customHeight="1">
      <c r="A561" s="23"/>
      <c r="B561" s="13"/>
      <c r="C561" s="14"/>
      <c r="D561" s="49"/>
      <c r="E561" s="30"/>
      <c r="F561" s="8"/>
      <c r="G561" s="8"/>
      <c r="H561" s="8"/>
      <c r="I561" s="8"/>
      <c r="J561" s="8"/>
      <c r="K561" s="8"/>
      <c r="L561" s="8"/>
      <c r="M561" s="8"/>
      <c r="N561" s="8"/>
      <c r="O561" s="8"/>
      <c r="P561" s="8"/>
      <c r="Q561" s="8"/>
      <c r="R561" s="8"/>
      <c r="S561" s="8"/>
      <c r="T561" s="8"/>
      <c r="U561" s="8"/>
      <c r="V561" s="8"/>
      <c r="W561" s="8"/>
      <c r="X561" s="8"/>
    </row>
    <row r="562" spans="1:24" ht="12.75" customHeight="1">
      <c r="A562" s="21"/>
      <c r="B562" s="15"/>
      <c r="C562" s="16"/>
      <c r="D562" s="8"/>
      <c r="E562" s="30"/>
      <c r="F562" s="8"/>
      <c r="G562" s="8"/>
      <c r="H562" s="8"/>
      <c r="I562" s="8"/>
      <c r="J562" s="8"/>
      <c r="K562" s="8"/>
      <c r="L562" s="8"/>
      <c r="M562" s="8"/>
      <c r="N562" s="8"/>
      <c r="O562" s="8"/>
      <c r="P562" s="8"/>
      <c r="Q562" s="8"/>
      <c r="R562" s="8"/>
      <c r="S562" s="8"/>
      <c r="T562" s="8"/>
      <c r="U562" s="8"/>
      <c r="V562" s="8"/>
      <c r="W562" s="8"/>
      <c r="X562" s="8"/>
    </row>
    <row r="563" spans="1:24" ht="12.75" customHeight="1">
      <c r="A563" s="23"/>
      <c r="B563" s="13"/>
      <c r="C563" s="14"/>
      <c r="D563" s="8"/>
      <c r="E563" s="30"/>
      <c r="F563" s="8"/>
      <c r="G563" s="8"/>
      <c r="H563" s="8"/>
      <c r="I563" s="8"/>
      <c r="J563" s="8"/>
      <c r="K563" s="8"/>
      <c r="L563" s="8"/>
      <c r="M563" s="8"/>
      <c r="N563" s="8"/>
      <c r="O563" s="8"/>
      <c r="P563" s="8"/>
      <c r="Q563" s="8"/>
      <c r="R563" s="8"/>
      <c r="S563" s="8"/>
      <c r="T563" s="8"/>
      <c r="U563" s="8"/>
      <c r="V563" s="8"/>
      <c r="W563" s="8"/>
      <c r="X563" s="8"/>
    </row>
    <row r="564" spans="1:24" ht="12.75" customHeight="1">
      <c r="A564" s="23"/>
      <c r="B564" s="13"/>
      <c r="C564" s="14"/>
      <c r="D564" s="8"/>
      <c r="E564" s="30"/>
      <c r="F564" s="8"/>
      <c r="G564" s="8"/>
      <c r="H564" s="8"/>
      <c r="I564" s="8"/>
      <c r="J564" s="8"/>
      <c r="K564" s="8"/>
      <c r="L564" s="8"/>
      <c r="M564" s="8"/>
      <c r="N564" s="8"/>
      <c r="O564" s="8"/>
      <c r="P564" s="8"/>
      <c r="Q564" s="8"/>
      <c r="R564" s="8"/>
      <c r="S564" s="8"/>
      <c r="T564" s="8"/>
      <c r="U564" s="8"/>
      <c r="V564" s="8"/>
      <c r="W564" s="8"/>
      <c r="X564" s="8"/>
    </row>
    <row r="565" spans="1:24" ht="12.75" customHeight="1">
      <c r="A565" s="23"/>
      <c r="B565" s="13"/>
      <c r="C565" s="14"/>
      <c r="D565" s="8"/>
      <c r="E565" s="30"/>
      <c r="F565" s="8"/>
      <c r="G565" s="8"/>
      <c r="H565" s="8"/>
      <c r="I565" s="8"/>
      <c r="J565" s="8"/>
      <c r="K565" s="8"/>
      <c r="L565" s="8"/>
      <c r="M565" s="8"/>
      <c r="N565" s="8"/>
      <c r="O565" s="8"/>
      <c r="P565" s="8"/>
      <c r="Q565" s="8"/>
      <c r="R565" s="8"/>
      <c r="S565" s="8"/>
      <c r="T565" s="8"/>
      <c r="U565" s="8"/>
      <c r="V565" s="8"/>
      <c r="W565" s="8"/>
      <c r="X565" s="8"/>
    </row>
    <row r="566" spans="1:24" ht="12.75" customHeight="1">
      <c r="A566" s="21"/>
      <c r="B566" s="26"/>
      <c r="C566" s="16"/>
      <c r="D566" s="8"/>
      <c r="E566" s="30"/>
      <c r="F566" s="8"/>
      <c r="G566" s="8"/>
      <c r="H566" s="8"/>
      <c r="I566" s="8"/>
      <c r="J566" s="8"/>
      <c r="K566" s="8"/>
      <c r="L566" s="8"/>
      <c r="M566" s="8"/>
      <c r="N566" s="8"/>
      <c r="O566" s="8"/>
      <c r="P566" s="8"/>
      <c r="Q566" s="8"/>
      <c r="R566" s="8"/>
      <c r="S566" s="8"/>
      <c r="T566" s="8"/>
      <c r="U566" s="8"/>
      <c r="V566" s="8"/>
      <c r="W566" s="8"/>
      <c r="X566" s="8"/>
    </row>
    <row r="567" spans="1:24" ht="12.75" customHeight="1">
      <c r="A567" s="23"/>
      <c r="B567" s="13"/>
      <c r="C567" s="14"/>
      <c r="D567" s="8"/>
      <c r="E567" s="30"/>
      <c r="F567" s="8"/>
      <c r="G567" s="8"/>
      <c r="H567" s="8"/>
      <c r="I567" s="8"/>
      <c r="J567" s="8"/>
      <c r="K567" s="8"/>
      <c r="L567" s="8"/>
      <c r="M567" s="8"/>
      <c r="N567" s="8"/>
      <c r="O567" s="8"/>
      <c r="P567" s="8"/>
      <c r="Q567" s="8"/>
      <c r="R567" s="8"/>
      <c r="S567" s="8"/>
      <c r="T567" s="8"/>
      <c r="U567" s="8"/>
      <c r="V567" s="8"/>
      <c r="W567" s="8"/>
      <c r="X567" s="8"/>
    </row>
    <row r="568" spans="1:24" ht="12.75" customHeight="1">
      <c r="A568" s="21"/>
      <c r="B568" s="15"/>
      <c r="C568" s="16"/>
      <c r="D568" s="8"/>
      <c r="E568" s="8"/>
      <c r="F568" s="8"/>
      <c r="G568" s="8"/>
      <c r="H568" s="8"/>
      <c r="I568" s="8"/>
      <c r="J568" s="8"/>
      <c r="K568" s="8"/>
      <c r="L568" s="8"/>
      <c r="M568" s="8"/>
      <c r="N568" s="8"/>
      <c r="O568" s="8"/>
      <c r="P568" s="8"/>
      <c r="Q568" s="8"/>
      <c r="R568" s="8"/>
      <c r="S568" s="8"/>
      <c r="T568" s="8"/>
      <c r="U568" s="8"/>
      <c r="V568" s="8"/>
      <c r="W568" s="8"/>
      <c r="X568" s="8"/>
    </row>
    <row r="569" spans="1:24" ht="12.75" customHeight="1">
      <c r="A569" s="23"/>
      <c r="B569" s="13"/>
      <c r="C569" s="14"/>
      <c r="D569" s="8"/>
      <c r="E569" s="8"/>
      <c r="F569" s="8"/>
      <c r="G569" s="8"/>
      <c r="H569" s="8"/>
      <c r="I569" s="8"/>
      <c r="J569" s="8"/>
      <c r="K569" s="8"/>
      <c r="L569" s="8"/>
      <c r="M569" s="8"/>
      <c r="N569" s="8"/>
      <c r="O569" s="8"/>
      <c r="P569" s="8"/>
      <c r="Q569" s="8"/>
      <c r="R569" s="8"/>
      <c r="S569" s="8"/>
      <c r="T569" s="8"/>
      <c r="U569" s="8"/>
      <c r="V569" s="8"/>
      <c r="W569" s="8"/>
      <c r="X569" s="8"/>
    </row>
    <row r="570" spans="1:24" ht="12.75" customHeight="1">
      <c r="A570" s="23"/>
      <c r="B570" s="24"/>
      <c r="C570" s="14"/>
      <c r="D570" s="8"/>
      <c r="E570" s="8"/>
      <c r="F570" s="8"/>
      <c r="G570" s="8"/>
      <c r="H570" s="8"/>
      <c r="I570" s="8"/>
      <c r="J570" s="8"/>
      <c r="K570" s="8"/>
      <c r="L570" s="8"/>
      <c r="M570" s="8"/>
      <c r="N570" s="8"/>
      <c r="O570" s="8"/>
      <c r="P570" s="8"/>
      <c r="Q570" s="8"/>
      <c r="R570" s="8"/>
      <c r="S570" s="8"/>
      <c r="T570" s="8"/>
      <c r="U570" s="8"/>
      <c r="V570" s="8"/>
      <c r="W570" s="8"/>
      <c r="X570" s="8"/>
    </row>
    <row r="571" spans="1:24" ht="12.75" customHeight="1">
      <c r="A571" s="23"/>
      <c r="B571" s="24"/>
      <c r="C571" s="24"/>
      <c r="D571" s="8"/>
      <c r="E571" s="8"/>
      <c r="F571" s="8"/>
      <c r="G571" s="8"/>
      <c r="H571" s="8"/>
      <c r="I571" s="8"/>
      <c r="J571" s="8"/>
      <c r="K571" s="8"/>
      <c r="L571" s="8"/>
      <c r="M571" s="8"/>
      <c r="N571" s="8"/>
      <c r="O571" s="8"/>
      <c r="P571" s="8"/>
      <c r="Q571" s="8"/>
      <c r="R571" s="8"/>
      <c r="S571" s="8"/>
      <c r="T571" s="8"/>
      <c r="U571" s="8"/>
      <c r="V571" s="8"/>
      <c r="W571" s="8"/>
      <c r="X571" s="8"/>
    </row>
    <row r="572" spans="1:24" ht="12.75" customHeight="1">
      <c r="A572" s="1432"/>
      <c r="B572" s="1433"/>
      <c r="C572" s="16"/>
      <c r="D572" s="8"/>
      <c r="E572" s="8"/>
      <c r="F572" s="8"/>
      <c r="G572" s="8"/>
      <c r="H572" s="8"/>
      <c r="I572" s="8"/>
      <c r="J572" s="8"/>
      <c r="K572" s="8"/>
      <c r="L572" s="8"/>
      <c r="M572" s="8"/>
      <c r="N572" s="8"/>
      <c r="O572" s="8"/>
      <c r="P572" s="8"/>
      <c r="Q572" s="8"/>
      <c r="R572" s="8"/>
      <c r="S572" s="8"/>
      <c r="T572" s="8"/>
      <c r="U572" s="8"/>
      <c r="V572" s="8"/>
      <c r="W572" s="8"/>
      <c r="X572" s="8"/>
    </row>
    <row r="573" spans="1:24" ht="12.75" customHeight="1">
      <c r="A573" s="15"/>
      <c r="B573" s="15"/>
      <c r="C573" s="82"/>
      <c r="D573" s="84"/>
      <c r="E573" s="10"/>
      <c r="F573" s="84"/>
      <c r="G573" s="84"/>
      <c r="H573" s="84"/>
      <c r="I573" s="84"/>
      <c r="J573" s="84"/>
      <c r="K573" s="84"/>
      <c r="L573" s="84"/>
      <c r="M573" s="84"/>
      <c r="N573" s="84"/>
      <c r="O573" s="84"/>
      <c r="P573" s="84"/>
      <c r="Q573" s="84"/>
      <c r="R573" s="84"/>
      <c r="S573" s="84"/>
      <c r="T573" s="84"/>
      <c r="U573" s="84"/>
      <c r="V573" s="84"/>
      <c r="W573" s="84"/>
      <c r="X573" s="84"/>
    </row>
    <row r="574" spans="1:24" ht="12.75" customHeight="1">
      <c r="A574" s="13"/>
      <c r="B574" s="13"/>
      <c r="C574" s="14"/>
      <c r="D574" s="30"/>
      <c r="E574" s="14"/>
      <c r="F574" s="8"/>
      <c r="G574" s="8"/>
      <c r="H574" s="8"/>
      <c r="I574" s="8"/>
      <c r="J574" s="8"/>
      <c r="K574" s="8"/>
      <c r="L574" s="8"/>
      <c r="M574" s="8"/>
      <c r="N574" s="8"/>
      <c r="O574" s="8"/>
      <c r="P574" s="8"/>
      <c r="Q574" s="8"/>
      <c r="R574" s="8"/>
      <c r="S574" s="8"/>
      <c r="T574" s="8"/>
      <c r="U574" s="8"/>
      <c r="V574" s="8"/>
      <c r="W574" s="8"/>
      <c r="X574" s="8"/>
    </row>
    <row r="575" spans="1:24" ht="12.75" customHeight="1">
      <c r="A575" s="13"/>
      <c r="B575" s="13"/>
      <c r="C575" s="14"/>
      <c r="D575" s="30"/>
      <c r="E575" s="16"/>
      <c r="F575" s="8"/>
      <c r="G575" s="8"/>
      <c r="H575" s="8"/>
      <c r="I575" s="8"/>
      <c r="J575" s="8"/>
      <c r="K575" s="8"/>
      <c r="L575" s="8"/>
      <c r="M575" s="8"/>
      <c r="N575" s="8"/>
      <c r="O575" s="8"/>
      <c r="P575" s="8"/>
      <c r="Q575" s="8"/>
      <c r="R575" s="8"/>
      <c r="S575" s="8"/>
      <c r="T575" s="8"/>
      <c r="U575" s="8"/>
      <c r="V575" s="8"/>
      <c r="W575" s="8"/>
      <c r="X575" s="8"/>
    </row>
    <row r="576" spans="1:24" ht="12.75" customHeight="1">
      <c r="A576" s="13"/>
      <c r="B576" s="13"/>
      <c r="C576" s="14"/>
      <c r="D576" s="30"/>
      <c r="E576" s="14"/>
      <c r="F576" s="8"/>
      <c r="G576" s="8"/>
      <c r="H576" s="8"/>
      <c r="I576" s="8"/>
      <c r="J576" s="8"/>
      <c r="K576" s="8"/>
      <c r="L576" s="8"/>
      <c r="M576" s="8"/>
      <c r="N576" s="8"/>
      <c r="O576" s="8"/>
      <c r="P576" s="8"/>
      <c r="Q576" s="8"/>
      <c r="R576" s="8"/>
      <c r="S576" s="8"/>
      <c r="T576" s="8"/>
      <c r="U576" s="8"/>
      <c r="V576" s="8"/>
      <c r="W576" s="8"/>
      <c r="X576" s="8"/>
    </row>
    <row r="577" spans="1:24" ht="12.75" customHeight="1">
      <c r="A577" s="21"/>
      <c r="B577" s="15"/>
      <c r="C577" s="16"/>
      <c r="D577" s="30"/>
      <c r="E577" s="14"/>
      <c r="F577" s="8"/>
      <c r="G577" s="8"/>
      <c r="H577" s="8"/>
      <c r="I577" s="8"/>
      <c r="J577" s="8"/>
      <c r="K577" s="8"/>
      <c r="L577" s="8"/>
      <c r="M577" s="8"/>
      <c r="N577" s="8"/>
      <c r="O577" s="8"/>
      <c r="P577" s="8"/>
      <c r="Q577" s="8"/>
      <c r="R577" s="8"/>
      <c r="S577" s="8"/>
      <c r="T577" s="8"/>
      <c r="U577" s="8"/>
      <c r="V577" s="8"/>
      <c r="W577" s="8"/>
      <c r="X577" s="8"/>
    </row>
    <row r="578" spans="1:24" ht="12.75" customHeight="1">
      <c r="A578" s="23"/>
      <c r="B578" s="13"/>
      <c r="C578" s="14"/>
      <c r="D578" s="30"/>
      <c r="E578" s="14"/>
      <c r="F578" s="8"/>
      <c r="G578" s="8"/>
      <c r="H578" s="8"/>
      <c r="I578" s="8"/>
      <c r="J578" s="8"/>
      <c r="K578" s="8"/>
      <c r="L578" s="8"/>
      <c r="M578" s="8"/>
      <c r="N578" s="8"/>
      <c r="O578" s="8"/>
      <c r="P578" s="8"/>
      <c r="Q578" s="8"/>
      <c r="R578" s="8"/>
      <c r="S578" s="8"/>
      <c r="T578" s="8"/>
      <c r="U578" s="8"/>
      <c r="V578" s="8"/>
      <c r="W578" s="8"/>
      <c r="X578" s="8"/>
    </row>
    <row r="579" spans="1:24" ht="12.75" customHeight="1">
      <c r="A579" s="21"/>
      <c r="B579" s="15"/>
      <c r="C579" s="16"/>
      <c r="D579" s="30"/>
      <c r="E579" s="30"/>
      <c r="F579" s="8"/>
      <c r="G579" s="8"/>
      <c r="H579" s="8"/>
      <c r="I579" s="8"/>
      <c r="J579" s="8"/>
      <c r="K579" s="8"/>
      <c r="L579" s="8"/>
      <c r="M579" s="8"/>
      <c r="N579" s="8"/>
      <c r="O579" s="8"/>
      <c r="P579" s="8"/>
      <c r="Q579" s="8"/>
      <c r="R579" s="8"/>
      <c r="S579" s="8"/>
      <c r="T579" s="8"/>
      <c r="U579" s="8"/>
      <c r="V579" s="8"/>
      <c r="W579" s="8"/>
      <c r="X579" s="8"/>
    </row>
    <row r="580" spans="1:24" ht="12.75" customHeight="1">
      <c r="A580" s="23"/>
      <c r="B580" s="13"/>
      <c r="C580" s="14"/>
      <c r="D580" s="30"/>
      <c r="E580" s="16"/>
      <c r="F580" s="8"/>
      <c r="G580" s="8"/>
      <c r="H580" s="8"/>
      <c r="I580" s="8"/>
      <c r="J580" s="8"/>
      <c r="K580" s="8"/>
      <c r="L580" s="8"/>
      <c r="M580" s="8"/>
      <c r="N580" s="8"/>
      <c r="O580" s="8"/>
      <c r="P580" s="8"/>
      <c r="Q580" s="8"/>
      <c r="R580" s="8"/>
      <c r="S580" s="8"/>
      <c r="T580" s="8"/>
      <c r="U580" s="8"/>
      <c r="V580" s="8"/>
      <c r="W580" s="8"/>
      <c r="X580" s="8"/>
    </row>
    <row r="581" spans="1:24" ht="12.75" customHeight="1">
      <c r="A581" s="23"/>
      <c r="B581" s="24"/>
      <c r="C581" s="14"/>
      <c r="D581" s="8"/>
      <c r="E581" s="14"/>
      <c r="F581" s="30"/>
      <c r="G581" s="30"/>
      <c r="H581" s="8"/>
      <c r="I581" s="8"/>
      <c r="J581" s="8"/>
      <c r="K581" s="8"/>
      <c r="L581" s="8"/>
      <c r="M581" s="8"/>
      <c r="N581" s="8"/>
      <c r="O581" s="8"/>
      <c r="P581" s="8"/>
      <c r="Q581" s="8"/>
      <c r="R581" s="8"/>
      <c r="S581" s="8"/>
      <c r="T581" s="8"/>
      <c r="U581" s="8"/>
      <c r="V581" s="8"/>
      <c r="W581" s="8"/>
      <c r="X581" s="8"/>
    </row>
    <row r="582" spans="1:24" ht="12.75" customHeight="1">
      <c r="A582" s="21"/>
      <c r="B582" s="26"/>
      <c r="C582" s="16"/>
      <c r="D582" s="8"/>
      <c r="E582" s="14"/>
      <c r="F582" s="30"/>
      <c r="G582" s="30"/>
      <c r="H582" s="8"/>
      <c r="I582" s="8"/>
      <c r="J582" s="8"/>
      <c r="K582" s="8"/>
      <c r="L582" s="8"/>
      <c r="M582" s="8"/>
      <c r="N582" s="8"/>
      <c r="O582" s="8"/>
      <c r="P582" s="8"/>
      <c r="Q582" s="8"/>
      <c r="R582" s="8"/>
      <c r="S582" s="8"/>
      <c r="T582" s="8"/>
      <c r="U582" s="8"/>
      <c r="V582" s="8"/>
      <c r="W582" s="8"/>
      <c r="X582" s="8"/>
    </row>
    <row r="583" spans="1:24" ht="12.75" customHeight="1">
      <c r="A583" s="23"/>
      <c r="B583" s="13"/>
      <c r="C583" s="14"/>
      <c r="D583" s="30"/>
      <c r="E583" s="14"/>
      <c r="F583" s="8"/>
      <c r="G583" s="8"/>
      <c r="H583" s="8"/>
      <c r="I583" s="8"/>
      <c r="J583" s="8"/>
      <c r="K583" s="8"/>
      <c r="L583" s="8"/>
      <c r="M583" s="8"/>
      <c r="N583" s="8"/>
      <c r="O583" s="8"/>
      <c r="P583" s="8"/>
      <c r="Q583" s="8"/>
      <c r="R583" s="8"/>
      <c r="S583" s="8"/>
      <c r="T583" s="8"/>
      <c r="U583" s="8"/>
      <c r="V583" s="8"/>
      <c r="W583" s="8"/>
      <c r="X583" s="8"/>
    </row>
    <row r="584" spans="1:24" ht="12.75" customHeight="1">
      <c r="A584" s="21"/>
      <c r="B584" s="26"/>
      <c r="C584" s="16"/>
      <c r="D584" s="30"/>
      <c r="E584" s="14"/>
      <c r="F584" s="8"/>
      <c r="G584" s="8"/>
      <c r="H584" s="8"/>
      <c r="I584" s="8"/>
      <c r="J584" s="8"/>
      <c r="K584" s="8"/>
      <c r="L584" s="8"/>
      <c r="M584" s="8"/>
      <c r="N584" s="8"/>
      <c r="O584" s="8"/>
      <c r="P584" s="8"/>
      <c r="Q584" s="8"/>
      <c r="R584" s="8"/>
      <c r="S584" s="8"/>
      <c r="T584" s="8"/>
      <c r="U584" s="8"/>
      <c r="V584" s="8"/>
      <c r="W584" s="8"/>
      <c r="X584" s="8"/>
    </row>
    <row r="585" spans="1:24" ht="12.75" customHeight="1">
      <c r="A585" s="23"/>
      <c r="B585" s="24"/>
      <c r="C585" s="14"/>
      <c r="D585" s="8"/>
      <c r="E585" s="8"/>
      <c r="F585" s="8"/>
      <c r="G585" s="8"/>
      <c r="H585" s="8"/>
      <c r="I585" s="8"/>
      <c r="J585" s="8"/>
      <c r="K585" s="8"/>
      <c r="L585" s="8"/>
      <c r="M585" s="8"/>
      <c r="N585" s="8"/>
      <c r="O585" s="8"/>
      <c r="P585" s="8"/>
      <c r="Q585" s="8"/>
      <c r="R585" s="8"/>
      <c r="S585" s="8"/>
      <c r="T585" s="8"/>
      <c r="U585" s="8"/>
      <c r="V585" s="8"/>
      <c r="W585" s="8"/>
      <c r="X585" s="8"/>
    </row>
    <row r="586" spans="1:24" ht="12.75" customHeight="1">
      <c r="A586" s="23"/>
      <c r="B586" s="24"/>
      <c r="C586" s="14"/>
      <c r="D586" s="8"/>
      <c r="E586" s="30"/>
      <c r="F586" s="8"/>
      <c r="G586" s="8"/>
      <c r="H586" s="8"/>
      <c r="I586" s="8"/>
      <c r="J586" s="8"/>
      <c r="K586" s="8"/>
      <c r="L586" s="8"/>
      <c r="M586" s="8"/>
      <c r="N586" s="8"/>
      <c r="O586" s="8"/>
      <c r="P586" s="8"/>
      <c r="Q586" s="8"/>
      <c r="R586" s="8"/>
      <c r="S586" s="8"/>
      <c r="T586" s="8"/>
      <c r="U586" s="8"/>
      <c r="V586" s="8"/>
      <c r="W586" s="8"/>
      <c r="X586" s="8"/>
    </row>
    <row r="587" spans="1:24" ht="12.75" customHeight="1">
      <c r="A587" s="23"/>
      <c r="B587" s="24"/>
      <c r="C587" s="14"/>
      <c r="D587" s="8"/>
      <c r="E587" s="8"/>
      <c r="F587" s="8"/>
      <c r="G587" s="8"/>
      <c r="H587" s="8"/>
      <c r="I587" s="8"/>
      <c r="J587" s="8"/>
      <c r="K587" s="8"/>
      <c r="L587" s="8"/>
      <c r="M587" s="8"/>
      <c r="N587" s="8"/>
      <c r="O587" s="8"/>
      <c r="P587" s="8"/>
      <c r="Q587" s="8"/>
      <c r="R587" s="8"/>
      <c r="S587" s="8"/>
      <c r="T587" s="8"/>
      <c r="U587" s="8"/>
      <c r="V587" s="8"/>
      <c r="W587" s="8"/>
      <c r="X587" s="8"/>
    </row>
    <row r="588" spans="1:24" ht="12.75" customHeight="1">
      <c r="A588" s="1432"/>
      <c r="B588" s="1433"/>
      <c r="C588" s="16"/>
      <c r="D588" s="8"/>
      <c r="E588" s="8"/>
      <c r="F588" s="8"/>
      <c r="G588" s="8"/>
      <c r="H588" s="8"/>
      <c r="I588" s="8"/>
      <c r="J588" s="8"/>
      <c r="K588" s="8"/>
      <c r="L588" s="8"/>
      <c r="M588" s="8"/>
      <c r="N588" s="8"/>
      <c r="O588" s="8"/>
      <c r="P588" s="8"/>
      <c r="Q588" s="8"/>
      <c r="R588" s="8"/>
      <c r="S588" s="8"/>
      <c r="T588" s="8"/>
      <c r="U588" s="8"/>
      <c r="V588" s="8"/>
      <c r="W588" s="8"/>
      <c r="X588" s="8"/>
    </row>
    <row r="589" spans="1:24" ht="12.75" customHeight="1">
      <c r="A589" s="21"/>
      <c r="B589" s="22"/>
      <c r="C589" s="82"/>
      <c r="D589" s="84"/>
      <c r="E589" s="84"/>
      <c r="F589" s="84"/>
      <c r="G589" s="84"/>
      <c r="H589" s="84"/>
      <c r="I589" s="84"/>
      <c r="J589" s="84"/>
      <c r="K589" s="84"/>
      <c r="L589" s="84"/>
      <c r="M589" s="84"/>
      <c r="N589" s="84"/>
      <c r="O589" s="84"/>
      <c r="P589" s="84"/>
      <c r="Q589" s="84"/>
      <c r="R589" s="84"/>
      <c r="S589" s="84"/>
      <c r="T589" s="84"/>
      <c r="U589" s="84"/>
      <c r="V589" s="84"/>
      <c r="W589" s="84"/>
      <c r="X589" s="84"/>
    </row>
    <row r="590" spans="1:24" ht="13.5" customHeight="1">
      <c r="A590" s="23"/>
      <c r="B590" s="24"/>
      <c r="C590" s="24"/>
      <c r="D590" s="13"/>
      <c r="E590" s="27"/>
      <c r="F590" s="13"/>
      <c r="G590" s="13"/>
      <c r="H590" s="13"/>
      <c r="I590" s="13"/>
      <c r="J590" s="13"/>
      <c r="K590" s="13"/>
      <c r="L590" s="13"/>
      <c r="M590" s="13"/>
      <c r="N590" s="13"/>
      <c r="O590" s="13"/>
      <c r="P590" s="13"/>
      <c r="Q590" s="13"/>
      <c r="R590" s="13"/>
      <c r="S590" s="13"/>
      <c r="T590" s="13"/>
      <c r="U590" s="13"/>
      <c r="V590" s="13"/>
      <c r="W590" s="13"/>
      <c r="X590" s="13"/>
    </row>
    <row r="591" spans="1:24" ht="13.5" customHeight="1">
      <c r="A591" s="21"/>
      <c r="B591" s="26"/>
      <c r="C591" s="26"/>
      <c r="D591" s="13"/>
      <c r="E591" s="27"/>
      <c r="F591" s="13"/>
      <c r="G591" s="13"/>
      <c r="H591" s="13"/>
      <c r="I591" s="13"/>
      <c r="J591" s="13"/>
      <c r="K591" s="13"/>
      <c r="L591" s="13"/>
      <c r="M591" s="13"/>
      <c r="N591" s="13"/>
      <c r="O591" s="13"/>
      <c r="P591" s="13"/>
      <c r="Q591" s="13"/>
      <c r="R591" s="13"/>
      <c r="S591" s="13"/>
      <c r="T591" s="13"/>
      <c r="U591" s="13"/>
      <c r="V591" s="13"/>
      <c r="W591" s="13"/>
      <c r="X591" s="13"/>
    </row>
    <row r="592" spans="1:24" ht="13.5" customHeight="1">
      <c r="A592" s="23"/>
      <c r="B592" s="24"/>
      <c r="C592" s="24"/>
      <c r="D592" s="13"/>
      <c r="E592" s="27"/>
      <c r="F592" s="13"/>
      <c r="G592" s="13"/>
      <c r="H592" s="13"/>
      <c r="I592" s="13"/>
      <c r="J592" s="13"/>
      <c r="K592" s="13"/>
      <c r="L592" s="13"/>
      <c r="M592" s="13"/>
      <c r="N592" s="13"/>
      <c r="O592" s="13"/>
      <c r="P592" s="13"/>
      <c r="Q592" s="13"/>
      <c r="R592" s="13"/>
      <c r="S592" s="13"/>
      <c r="T592" s="13"/>
      <c r="U592" s="13"/>
      <c r="V592" s="13"/>
      <c r="W592" s="13"/>
      <c r="X592" s="13"/>
    </row>
    <row r="593" spans="1:24" ht="13.5" customHeight="1">
      <c r="A593" s="21"/>
      <c r="B593" s="26"/>
      <c r="C593" s="26"/>
      <c r="D593" s="13"/>
      <c r="E593" s="27"/>
      <c r="F593" s="13"/>
      <c r="G593" s="13"/>
      <c r="H593" s="13"/>
      <c r="I593" s="13"/>
      <c r="J593" s="13"/>
      <c r="K593" s="13"/>
      <c r="L593" s="13"/>
      <c r="M593" s="13"/>
      <c r="N593" s="13"/>
      <c r="O593" s="13"/>
      <c r="P593" s="13"/>
      <c r="Q593" s="13"/>
      <c r="R593" s="13"/>
      <c r="S593" s="13"/>
      <c r="T593" s="13"/>
      <c r="U593" s="13"/>
      <c r="V593" s="13"/>
      <c r="W593" s="13"/>
      <c r="X593" s="13"/>
    </row>
    <row r="594" spans="1:24" ht="13.5" customHeight="1">
      <c r="A594" s="23"/>
      <c r="B594" s="24"/>
      <c r="C594" s="24"/>
      <c r="D594" s="40"/>
      <c r="E594" s="14"/>
      <c r="F594" s="13"/>
      <c r="G594" s="13"/>
      <c r="H594" s="13"/>
      <c r="I594" s="13"/>
      <c r="J594" s="13"/>
      <c r="K594" s="13"/>
      <c r="L594" s="13"/>
      <c r="M594" s="13"/>
      <c r="N594" s="13"/>
      <c r="O594" s="13"/>
      <c r="P594" s="13"/>
      <c r="Q594" s="13"/>
      <c r="R594" s="13"/>
      <c r="S594" s="13"/>
      <c r="T594" s="13"/>
      <c r="U594" s="13"/>
      <c r="V594" s="13"/>
      <c r="W594" s="13"/>
      <c r="X594" s="13"/>
    </row>
    <row r="595" spans="1:24" ht="12.75" customHeight="1">
      <c r="A595" s="8"/>
      <c r="B595" s="8"/>
      <c r="C595" s="30"/>
      <c r="D595" s="8"/>
      <c r="E595" s="8"/>
      <c r="F595" s="8"/>
      <c r="G595" s="8"/>
      <c r="H595" s="8"/>
      <c r="I595" s="8"/>
      <c r="J595" s="8"/>
      <c r="K595" s="8"/>
      <c r="L595" s="8"/>
      <c r="M595" s="8"/>
      <c r="N595" s="8"/>
      <c r="O595" s="8"/>
      <c r="P595" s="8"/>
      <c r="Q595" s="8"/>
      <c r="R595" s="8"/>
      <c r="S595" s="8"/>
      <c r="T595" s="8"/>
      <c r="U595" s="8"/>
      <c r="V595" s="8"/>
      <c r="W595" s="8"/>
      <c r="X595" s="8"/>
    </row>
    <row r="596" spans="1:24" ht="12.75" customHeight="1">
      <c r="A596" s="8"/>
      <c r="B596" s="8"/>
      <c r="C596" s="30"/>
      <c r="D596" s="8"/>
      <c r="E596" s="8"/>
      <c r="F596" s="8"/>
      <c r="G596" s="8"/>
      <c r="H596" s="8"/>
      <c r="I596" s="8"/>
      <c r="J596" s="8"/>
      <c r="K596" s="8"/>
      <c r="L596" s="8"/>
      <c r="M596" s="8"/>
      <c r="N596" s="8"/>
      <c r="O596" s="8"/>
      <c r="P596" s="8"/>
      <c r="Q596" s="8"/>
      <c r="R596" s="8"/>
      <c r="S596" s="8"/>
      <c r="T596" s="8"/>
      <c r="U596" s="8"/>
      <c r="V596" s="8"/>
      <c r="W596" s="8"/>
      <c r="X596" s="8"/>
    </row>
    <row r="597" spans="1:24" ht="12.75" customHeight="1">
      <c r="A597" s="265"/>
      <c r="B597" s="265"/>
      <c r="C597" s="118"/>
      <c r="D597" s="8"/>
      <c r="E597" s="8"/>
      <c r="F597" s="8"/>
      <c r="G597" s="8"/>
      <c r="H597" s="8"/>
      <c r="I597" s="8"/>
      <c r="J597" s="8"/>
      <c r="K597" s="8"/>
      <c r="L597" s="8"/>
      <c r="M597" s="8"/>
      <c r="N597" s="8"/>
      <c r="O597" s="8"/>
      <c r="P597" s="8"/>
      <c r="Q597" s="8"/>
      <c r="R597" s="8"/>
      <c r="S597" s="8"/>
      <c r="T597" s="8"/>
      <c r="U597" s="8"/>
      <c r="V597" s="8"/>
      <c r="W597" s="8"/>
      <c r="X597" s="8"/>
    </row>
    <row r="598" spans="1:24" ht="12.75" customHeight="1">
      <c r="A598" s="265"/>
      <c r="B598" s="265"/>
      <c r="C598" s="118"/>
      <c r="D598" s="8"/>
      <c r="E598" s="8"/>
      <c r="F598" s="8"/>
      <c r="G598" s="8"/>
      <c r="H598" s="8"/>
      <c r="I598" s="8"/>
      <c r="J598" s="8"/>
      <c r="K598" s="8"/>
      <c r="L598" s="8"/>
      <c r="M598" s="8"/>
      <c r="N598" s="8"/>
      <c r="O598" s="8"/>
      <c r="P598" s="8"/>
      <c r="Q598" s="8"/>
      <c r="R598" s="8"/>
      <c r="S598" s="8"/>
      <c r="T598" s="8"/>
      <c r="U598" s="8"/>
      <c r="V598" s="8"/>
      <c r="W598" s="8"/>
      <c r="X598" s="8"/>
    </row>
    <row r="599" spans="1:24" ht="12.75" customHeight="1">
      <c r="A599" s="8"/>
      <c r="B599" s="8"/>
      <c r="C599" s="30"/>
      <c r="D599" s="8"/>
      <c r="E599" s="8"/>
      <c r="F599" s="8"/>
      <c r="G599" s="8"/>
      <c r="H599" s="8"/>
      <c r="I599" s="8"/>
      <c r="J599" s="8"/>
      <c r="K599" s="8"/>
      <c r="L599" s="8"/>
      <c r="M599" s="8"/>
      <c r="N599" s="8"/>
      <c r="O599" s="8"/>
      <c r="P599" s="8"/>
      <c r="Q599" s="8"/>
      <c r="R599" s="8"/>
      <c r="S599" s="8"/>
      <c r="T599" s="8"/>
      <c r="U599" s="8"/>
      <c r="V599" s="8"/>
      <c r="W599" s="8"/>
      <c r="X599" s="8"/>
    </row>
    <row r="600" spans="1:24" ht="12.75" customHeight="1">
      <c r="A600" s="8"/>
      <c r="B600" s="8"/>
      <c r="C600" s="30"/>
      <c r="D600" s="8"/>
      <c r="E600" s="8"/>
      <c r="F600" s="8"/>
      <c r="G600" s="8"/>
      <c r="H600" s="8"/>
      <c r="I600" s="8"/>
      <c r="J600" s="8"/>
      <c r="K600" s="8"/>
      <c r="L600" s="8"/>
      <c r="M600" s="8"/>
      <c r="N600" s="8"/>
      <c r="O600" s="8"/>
      <c r="P600" s="8"/>
      <c r="Q600" s="8"/>
      <c r="R600" s="8"/>
      <c r="S600" s="8"/>
      <c r="T600" s="8"/>
      <c r="U600" s="8"/>
      <c r="V600" s="8"/>
      <c r="W600" s="8"/>
      <c r="X600" s="8"/>
    </row>
    <row r="601" spans="1:24" ht="12.75" customHeight="1">
      <c r="A601" s="8"/>
      <c r="B601" s="8"/>
      <c r="C601" s="30"/>
      <c r="D601" s="8"/>
      <c r="E601" s="8"/>
      <c r="F601" s="8"/>
      <c r="G601" s="8"/>
      <c r="H601" s="8"/>
      <c r="I601" s="8"/>
      <c r="J601" s="8"/>
      <c r="K601" s="8"/>
      <c r="L601" s="8"/>
      <c r="M601" s="8"/>
      <c r="N601" s="8"/>
      <c r="O601" s="8"/>
      <c r="P601" s="8"/>
      <c r="Q601" s="8"/>
      <c r="R601" s="8"/>
      <c r="S601" s="8"/>
      <c r="T601" s="8"/>
      <c r="U601" s="8"/>
      <c r="V601" s="8"/>
      <c r="W601" s="8"/>
      <c r="X601" s="8"/>
    </row>
    <row r="602" spans="1:24" ht="12.75" customHeight="1">
      <c r="A602" s="8"/>
      <c r="B602" s="8"/>
      <c r="C602" s="30"/>
      <c r="D602" s="8"/>
      <c r="E602" s="8"/>
      <c r="F602" s="8"/>
      <c r="G602" s="8"/>
      <c r="H602" s="8"/>
      <c r="I602" s="8"/>
      <c r="J602" s="8"/>
      <c r="K602" s="8"/>
      <c r="L602" s="8"/>
      <c r="M602" s="8"/>
      <c r="N602" s="8"/>
      <c r="O602" s="8"/>
      <c r="P602" s="8"/>
      <c r="Q602" s="8"/>
      <c r="R602" s="8"/>
      <c r="S602" s="8"/>
      <c r="T602" s="8"/>
      <c r="U602" s="8"/>
      <c r="V602" s="8"/>
      <c r="W602" s="8"/>
      <c r="X602" s="8"/>
    </row>
    <row r="603" spans="1:24" ht="12.75" customHeight="1">
      <c r="A603" s="8"/>
      <c r="B603" s="8"/>
      <c r="C603" s="30"/>
      <c r="D603" s="8"/>
      <c r="E603" s="8"/>
      <c r="F603" s="8"/>
      <c r="G603" s="8"/>
      <c r="H603" s="8"/>
      <c r="I603" s="8"/>
      <c r="J603" s="8"/>
      <c r="K603" s="8"/>
      <c r="L603" s="8"/>
      <c r="M603" s="8"/>
      <c r="N603" s="8"/>
      <c r="O603" s="8"/>
      <c r="P603" s="8"/>
      <c r="Q603" s="8"/>
      <c r="R603" s="8"/>
      <c r="S603" s="8"/>
      <c r="T603" s="8"/>
      <c r="U603" s="8"/>
      <c r="V603" s="8"/>
      <c r="W603" s="8"/>
      <c r="X603" s="8"/>
    </row>
    <row r="604" spans="1:24" ht="12.75" customHeight="1">
      <c r="A604" s="8"/>
      <c r="B604" s="8"/>
      <c r="C604" s="30"/>
      <c r="D604" s="8"/>
      <c r="E604" s="8"/>
      <c r="F604" s="8"/>
      <c r="G604" s="8"/>
      <c r="H604" s="8"/>
      <c r="I604" s="8"/>
      <c r="J604" s="8"/>
      <c r="K604" s="8"/>
      <c r="L604" s="8"/>
      <c r="M604" s="8"/>
      <c r="N604" s="8"/>
      <c r="O604" s="8"/>
      <c r="P604" s="8"/>
      <c r="Q604" s="8"/>
      <c r="R604" s="8"/>
      <c r="S604" s="8"/>
      <c r="T604" s="8"/>
      <c r="U604" s="8"/>
      <c r="V604" s="8"/>
      <c r="W604" s="8"/>
      <c r="X604" s="8"/>
    </row>
    <row r="605" spans="1:24" ht="12.75" customHeight="1">
      <c r="A605" s="8"/>
      <c r="B605" s="8"/>
      <c r="C605" s="30"/>
      <c r="D605" s="8"/>
      <c r="E605" s="8"/>
      <c r="F605" s="8"/>
      <c r="G605" s="8"/>
      <c r="H605" s="8"/>
      <c r="I605" s="8"/>
      <c r="J605" s="8"/>
      <c r="K605" s="8"/>
      <c r="L605" s="8"/>
      <c r="M605" s="8"/>
      <c r="N605" s="8"/>
      <c r="O605" s="8"/>
      <c r="P605" s="8"/>
      <c r="Q605" s="8"/>
      <c r="R605" s="8"/>
      <c r="S605" s="8"/>
      <c r="T605" s="8"/>
      <c r="U605" s="8"/>
      <c r="V605" s="8"/>
      <c r="W605" s="8"/>
      <c r="X605" s="8"/>
    </row>
    <row r="606" spans="1:24" ht="12.75" customHeight="1">
      <c r="A606" s="8"/>
      <c r="B606" s="8"/>
      <c r="C606" s="30"/>
      <c r="D606" s="8"/>
      <c r="E606" s="8"/>
      <c r="F606" s="8"/>
      <c r="G606" s="8"/>
      <c r="H606" s="8"/>
      <c r="I606" s="8"/>
      <c r="J606" s="8"/>
      <c r="K606" s="8"/>
      <c r="L606" s="8"/>
      <c r="M606" s="8"/>
      <c r="N606" s="8"/>
      <c r="O606" s="8"/>
      <c r="P606" s="8"/>
      <c r="Q606" s="8"/>
      <c r="R606" s="8"/>
      <c r="S606" s="8"/>
      <c r="T606" s="8"/>
      <c r="U606" s="8"/>
      <c r="V606" s="8"/>
      <c r="W606" s="8"/>
      <c r="X606" s="8"/>
    </row>
    <row r="607" spans="1:24" ht="12.75" customHeight="1">
      <c r="A607" s="8"/>
      <c r="B607" s="8"/>
      <c r="C607" s="30"/>
      <c r="D607" s="8"/>
      <c r="E607" s="8"/>
      <c r="F607" s="8"/>
      <c r="G607" s="8"/>
      <c r="H607" s="8"/>
      <c r="I607" s="8"/>
      <c r="J607" s="8"/>
      <c r="K607" s="8"/>
      <c r="L607" s="8"/>
      <c r="M607" s="8"/>
      <c r="N607" s="8"/>
      <c r="O607" s="8"/>
      <c r="P607" s="8"/>
      <c r="Q607" s="8"/>
      <c r="R607" s="8"/>
      <c r="S607" s="8"/>
      <c r="T607" s="8"/>
      <c r="U607" s="8"/>
      <c r="V607" s="8"/>
      <c r="W607" s="8"/>
      <c r="X607" s="8"/>
    </row>
    <row r="608" spans="1:24" ht="12.75" customHeight="1">
      <c r="A608" s="8"/>
      <c r="B608" s="8"/>
      <c r="C608" s="30"/>
      <c r="D608" s="8"/>
      <c r="E608" s="8"/>
      <c r="F608" s="8"/>
      <c r="G608" s="8"/>
      <c r="H608" s="8"/>
      <c r="I608" s="8"/>
      <c r="J608" s="8"/>
      <c r="K608" s="8"/>
      <c r="L608" s="8"/>
      <c r="M608" s="8"/>
      <c r="N608" s="8"/>
      <c r="O608" s="8"/>
      <c r="P608" s="8"/>
      <c r="Q608" s="8"/>
      <c r="R608" s="8"/>
      <c r="S608" s="8"/>
      <c r="T608" s="8"/>
      <c r="U608" s="8"/>
      <c r="V608" s="8"/>
      <c r="W608" s="8"/>
      <c r="X608" s="8"/>
    </row>
    <row r="609" spans="1:24" ht="12.75" customHeight="1">
      <c r="A609" s="8"/>
      <c r="B609" s="8"/>
      <c r="C609" s="30"/>
      <c r="D609" s="8"/>
      <c r="E609" s="8"/>
      <c r="F609" s="8"/>
      <c r="G609" s="8"/>
      <c r="H609" s="8"/>
      <c r="I609" s="8"/>
      <c r="J609" s="8"/>
      <c r="K609" s="8"/>
      <c r="L609" s="8"/>
      <c r="M609" s="8"/>
      <c r="N609" s="8"/>
      <c r="O609" s="8"/>
      <c r="P609" s="8"/>
      <c r="Q609" s="8"/>
      <c r="R609" s="8"/>
      <c r="S609" s="8"/>
      <c r="T609" s="8"/>
      <c r="U609" s="8"/>
      <c r="V609" s="8"/>
      <c r="W609" s="8"/>
      <c r="X609" s="8"/>
    </row>
    <row r="610" spans="1:24" ht="12.75" customHeight="1">
      <c r="A610" s="8"/>
      <c r="B610" s="8"/>
      <c r="C610" s="30"/>
      <c r="D610" s="8"/>
      <c r="E610" s="8"/>
      <c r="F610" s="8"/>
      <c r="G610" s="8"/>
      <c r="H610" s="8"/>
      <c r="I610" s="8"/>
      <c r="J610" s="8"/>
      <c r="K610" s="8"/>
      <c r="L610" s="8"/>
      <c r="M610" s="8"/>
      <c r="N610" s="8"/>
      <c r="O610" s="8"/>
      <c r="P610" s="8"/>
      <c r="Q610" s="8"/>
      <c r="R610" s="8"/>
      <c r="S610" s="8"/>
      <c r="T610" s="8"/>
      <c r="U610" s="8"/>
      <c r="V610" s="8"/>
      <c r="W610" s="8"/>
      <c r="X610" s="8"/>
    </row>
    <row r="611" spans="1:24" ht="12.75" customHeight="1">
      <c r="A611" s="8"/>
      <c r="B611" s="8"/>
      <c r="C611" s="30"/>
      <c r="D611" s="8"/>
      <c r="E611" s="8"/>
      <c r="F611" s="8"/>
      <c r="G611" s="8"/>
      <c r="H611" s="8"/>
      <c r="I611" s="8"/>
      <c r="J611" s="8"/>
      <c r="K611" s="8"/>
      <c r="L611" s="8"/>
      <c r="M611" s="8"/>
      <c r="N611" s="8"/>
      <c r="O611" s="8"/>
      <c r="P611" s="8"/>
      <c r="Q611" s="8"/>
      <c r="R611" s="8"/>
      <c r="S611" s="8"/>
      <c r="T611" s="8"/>
      <c r="U611" s="8"/>
      <c r="V611" s="8"/>
      <c r="W611" s="8"/>
      <c r="X611" s="8"/>
    </row>
    <row r="612" spans="1:24" ht="12.75" customHeight="1">
      <c r="A612" s="8"/>
      <c r="B612" s="8"/>
      <c r="C612" s="30"/>
      <c r="D612" s="8"/>
      <c r="E612" s="8"/>
      <c r="F612" s="8"/>
      <c r="G612" s="8"/>
      <c r="H612" s="8"/>
      <c r="I612" s="8"/>
      <c r="J612" s="8"/>
      <c r="K612" s="8"/>
      <c r="L612" s="8"/>
      <c r="M612" s="8"/>
      <c r="N612" s="8"/>
      <c r="O612" s="8"/>
      <c r="P612" s="8"/>
      <c r="Q612" s="8"/>
      <c r="R612" s="8"/>
      <c r="S612" s="8"/>
      <c r="T612" s="8"/>
      <c r="U612" s="8"/>
      <c r="V612" s="8"/>
      <c r="W612" s="8"/>
      <c r="X612" s="8"/>
    </row>
    <row r="613" spans="1:24" ht="12.75" customHeight="1">
      <c r="A613" s="8"/>
      <c r="B613" s="8"/>
      <c r="C613" s="30"/>
      <c r="D613" s="8"/>
      <c r="E613" s="8"/>
      <c r="F613" s="8"/>
      <c r="G613" s="8"/>
      <c r="H613" s="8"/>
      <c r="I613" s="8"/>
      <c r="J613" s="8"/>
      <c r="K613" s="8"/>
      <c r="L613" s="8"/>
      <c r="M613" s="8"/>
      <c r="N613" s="8"/>
      <c r="O613" s="8"/>
      <c r="P613" s="8"/>
      <c r="Q613" s="8"/>
      <c r="R613" s="8"/>
      <c r="S613" s="8"/>
      <c r="T613" s="8"/>
      <c r="U613" s="8"/>
      <c r="V613" s="8"/>
      <c r="W613" s="8"/>
      <c r="X613" s="8"/>
    </row>
    <row r="614" spans="1:24" ht="12.75" customHeight="1">
      <c r="A614" s="8"/>
      <c r="B614" s="8"/>
      <c r="C614" s="30"/>
      <c r="D614" s="8"/>
      <c r="E614" s="8"/>
      <c r="F614" s="8"/>
      <c r="G614" s="8"/>
      <c r="H614" s="8"/>
      <c r="I614" s="8"/>
      <c r="J614" s="8"/>
      <c r="K614" s="8"/>
      <c r="L614" s="8"/>
      <c r="M614" s="8"/>
      <c r="N614" s="8"/>
      <c r="O614" s="8"/>
      <c r="P614" s="8"/>
      <c r="Q614" s="8"/>
      <c r="R614" s="8"/>
      <c r="S614" s="8"/>
      <c r="T614" s="8"/>
      <c r="U614" s="8"/>
      <c r="V614" s="8"/>
      <c r="W614" s="8"/>
      <c r="X614" s="8"/>
    </row>
    <row r="615" spans="1:24" ht="12.75" customHeight="1">
      <c r="A615" s="8"/>
      <c r="B615" s="8"/>
      <c r="C615" s="30"/>
      <c r="D615" s="8"/>
      <c r="E615" s="8"/>
      <c r="F615" s="8"/>
      <c r="G615" s="8"/>
      <c r="H615" s="8"/>
      <c r="I615" s="8"/>
      <c r="J615" s="8"/>
      <c r="K615" s="8"/>
      <c r="L615" s="8"/>
      <c r="M615" s="8"/>
      <c r="N615" s="8"/>
      <c r="O615" s="8"/>
      <c r="P615" s="8"/>
      <c r="Q615" s="8"/>
      <c r="R615" s="8"/>
      <c r="S615" s="8"/>
      <c r="T615" s="8"/>
      <c r="U615" s="8"/>
      <c r="V615" s="8"/>
      <c r="W615" s="8"/>
      <c r="X615" s="8"/>
    </row>
    <row r="616" spans="1:24" ht="12.75" customHeight="1">
      <c r="A616" s="8"/>
      <c r="B616" s="8"/>
      <c r="C616" s="30"/>
      <c r="D616" s="8"/>
      <c r="E616" s="8"/>
      <c r="F616" s="8"/>
      <c r="G616" s="8"/>
      <c r="H616" s="8"/>
      <c r="I616" s="8"/>
      <c r="J616" s="8"/>
      <c r="K616" s="8"/>
      <c r="L616" s="8"/>
      <c r="M616" s="8"/>
      <c r="N616" s="8"/>
      <c r="O616" s="8"/>
      <c r="P616" s="8"/>
      <c r="Q616" s="8"/>
      <c r="R616" s="8"/>
      <c r="S616" s="8"/>
      <c r="T616" s="8"/>
      <c r="U616" s="8"/>
      <c r="V616" s="8"/>
      <c r="W616" s="8"/>
      <c r="X616" s="8"/>
    </row>
    <row r="617" spans="1:24" ht="12.75" customHeight="1">
      <c r="A617" s="8"/>
      <c r="B617" s="8"/>
      <c r="C617" s="30"/>
      <c r="D617" s="8"/>
      <c r="E617" s="8"/>
      <c r="F617" s="8"/>
      <c r="G617" s="8"/>
      <c r="H617" s="8"/>
      <c r="I617" s="8"/>
      <c r="J617" s="8"/>
      <c r="K617" s="8"/>
      <c r="L617" s="8"/>
      <c r="M617" s="8"/>
      <c r="N617" s="8"/>
      <c r="O617" s="8"/>
      <c r="P617" s="8"/>
      <c r="Q617" s="8"/>
      <c r="R617" s="8"/>
      <c r="S617" s="8"/>
      <c r="T617" s="8"/>
      <c r="U617" s="8"/>
      <c r="V617" s="8"/>
      <c r="W617" s="8"/>
      <c r="X617" s="8"/>
    </row>
    <row r="618" spans="1:24" ht="12.75" customHeight="1">
      <c r="A618" s="8"/>
      <c r="B618" s="8"/>
      <c r="C618" s="30"/>
      <c r="D618" s="8"/>
      <c r="E618" s="8"/>
      <c r="F618" s="8"/>
      <c r="G618" s="8"/>
      <c r="H618" s="8"/>
      <c r="I618" s="8"/>
      <c r="J618" s="8"/>
      <c r="K618" s="8"/>
      <c r="L618" s="8"/>
      <c r="M618" s="8"/>
      <c r="N618" s="8"/>
      <c r="O618" s="8"/>
      <c r="P618" s="8"/>
      <c r="Q618" s="8"/>
      <c r="R618" s="8"/>
      <c r="S618" s="8"/>
      <c r="T618" s="8"/>
      <c r="U618" s="8"/>
      <c r="V618" s="8"/>
      <c r="W618" s="8"/>
      <c r="X618" s="8"/>
    </row>
    <row r="619" spans="1:24" ht="12.75" customHeight="1">
      <c r="A619" s="8"/>
      <c r="B619" s="8"/>
      <c r="C619" s="30"/>
      <c r="D619" s="8"/>
      <c r="E619" s="8"/>
      <c r="F619" s="8"/>
      <c r="G619" s="8"/>
      <c r="H619" s="8"/>
      <c r="I619" s="8"/>
      <c r="J619" s="8"/>
      <c r="K619" s="8"/>
      <c r="L619" s="8"/>
      <c r="M619" s="8"/>
      <c r="N619" s="8"/>
      <c r="O619" s="8"/>
      <c r="P619" s="8"/>
      <c r="Q619" s="8"/>
      <c r="R619" s="8"/>
      <c r="S619" s="8"/>
      <c r="T619" s="8"/>
      <c r="U619" s="8"/>
      <c r="V619" s="8"/>
      <c r="W619" s="8"/>
      <c r="X619" s="8"/>
    </row>
    <row r="620" spans="1:24" ht="12.75" customHeight="1">
      <c r="A620" s="8"/>
      <c r="B620" s="8"/>
      <c r="C620" s="30"/>
      <c r="D620" s="8"/>
      <c r="E620" s="8"/>
      <c r="F620" s="8"/>
      <c r="G620" s="8"/>
      <c r="H620" s="8"/>
      <c r="I620" s="8"/>
      <c r="J620" s="8"/>
      <c r="K620" s="8"/>
      <c r="L620" s="8"/>
      <c r="M620" s="8"/>
      <c r="N620" s="8"/>
      <c r="O620" s="8"/>
      <c r="P620" s="8"/>
      <c r="Q620" s="8"/>
      <c r="R620" s="8"/>
      <c r="S620" s="8"/>
      <c r="T620" s="8"/>
      <c r="U620" s="8"/>
      <c r="V620" s="8"/>
      <c r="W620" s="8"/>
      <c r="X620" s="8"/>
    </row>
    <row r="621" spans="1:24" ht="12.75" customHeight="1">
      <c r="A621" s="8"/>
      <c r="B621" s="8"/>
      <c r="C621" s="30"/>
      <c r="D621" s="8"/>
      <c r="E621" s="8"/>
      <c r="F621" s="8"/>
      <c r="G621" s="8"/>
      <c r="H621" s="8"/>
      <c r="I621" s="8"/>
      <c r="J621" s="8"/>
      <c r="K621" s="8"/>
      <c r="L621" s="8"/>
      <c r="M621" s="8"/>
      <c r="N621" s="8"/>
      <c r="O621" s="8"/>
      <c r="P621" s="8"/>
      <c r="Q621" s="8"/>
      <c r="R621" s="8"/>
      <c r="S621" s="8"/>
      <c r="T621" s="8"/>
      <c r="U621" s="8"/>
      <c r="V621" s="8"/>
      <c r="W621" s="8"/>
      <c r="X621" s="8"/>
    </row>
    <row r="622" spans="1:24" ht="12.75" customHeight="1">
      <c r="A622" s="8"/>
      <c r="B622" s="8"/>
      <c r="C622" s="30"/>
      <c r="D622" s="8"/>
      <c r="E622" s="8"/>
      <c r="F622" s="8"/>
      <c r="G622" s="8"/>
      <c r="H622" s="8"/>
      <c r="I622" s="8"/>
      <c r="J622" s="8"/>
      <c r="K622" s="8"/>
      <c r="L622" s="8"/>
      <c r="M622" s="8"/>
      <c r="N622" s="8"/>
      <c r="O622" s="8"/>
      <c r="P622" s="8"/>
      <c r="Q622" s="8"/>
      <c r="R622" s="8"/>
      <c r="S622" s="8"/>
      <c r="T622" s="8"/>
      <c r="U622" s="8"/>
      <c r="V622" s="8"/>
      <c r="W622" s="8"/>
      <c r="X622" s="8"/>
    </row>
    <row r="623" spans="1:24" ht="12.75" customHeight="1">
      <c r="A623" s="8"/>
      <c r="B623" s="8"/>
      <c r="C623" s="30"/>
      <c r="D623" s="8"/>
      <c r="E623" s="8"/>
      <c r="F623" s="8"/>
      <c r="G623" s="8"/>
      <c r="H623" s="8"/>
      <c r="I623" s="8"/>
      <c r="J623" s="8"/>
      <c r="K623" s="8"/>
      <c r="L623" s="8"/>
      <c r="M623" s="8"/>
      <c r="N623" s="8"/>
      <c r="O623" s="8"/>
      <c r="P623" s="8"/>
      <c r="Q623" s="8"/>
      <c r="R623" s="8"/>
      <c r="S623" s="8"/>
      <c r="T623" s="8"/>
      <c r="U623" s="8"/>
      <c r="V623" s="8"/>
      <c r="W623" s="8"/>
      <c r="X623" s="8"/>
    </row>
    <row r="624" spans="1:24" ht="12.75" customHeight="1">
      <c r="A624" s="8"/>
      <c r="B624" s="8"/>
      <c r="C624" s="30"/>
      <c r="D624" s="8"/>
      <c r="E624" s="8"/>
      <c r="F624" s="8"/>
      <c r="G624" s="8"/>
      <c r="H624" s="8"/>
      <c r="I624" s="8"/>
      <c r="J624" s="8"/>
      <c r="K624" s="8"/>
      <c r="L624" s="8"/>
      <c r="M624" s="8"/>
      <c r="N624" s="8"/>
      <c r="O624" s="8"/>
      <c r="P624" s="8"/>
      <c r="Q624" s="8"/>
      <c r="R624" s="8"/>
      <c r="S624" s="8"/>
      <c r="T624" s="8"/>
      <c r="U624" s="8"/>
      <c r="V624" s="8"/>
      <c r="W624" s="8"/>
      <c r="X624" s="8"/>
    </row>
    <row r="625" spans="1:24" ht="12.75" customHeight="1">
      <c r="A625" s="8"/>
      <c r="B625" s="8"/>
      <c r="C625" s="30"/>
      <c r="D625" s="8"/>
      <c r="E625" s="8"/>
      <c r="F625" s="8"/>
      <c r="G625" s="8"/>
      <c r="H625" s="8"/>
      <c r="I625" s="8"/>
      <c r="J625" s="8"/>
      <c r="K625" s="8"/>
      <c r="L625" s="8"/>
      <c r="M625" s="8"/>
      <c r="N625" s="8"/>
      <c r="O625" s="8"/>
      <c r="P625" s="8"/>
      <c r="Q625" s="8"/>
      <c r="R625" s="8"/>
      <c r="S625" s="8"/>
      <c r="T625" s="8"/>
      <c r="U625" s="8"/>
      <c r="V625" s="8"/>
      <c r="W625" s="8"/>
      <c r="X625" s="8"/>
    </row>
    <row r="626" spans="1:24" ht="12.75" customHeight="1">
      <c r="A626" s="8"/>
      <c r="B626" s="8"/>
      <c r="C626" s="30"/>
      <c r="D626" s="8"/>
      <c r="E626" s="8"/>
      <c r="F626" s="8"/>
      <c r="G626" s="8"/>
      <c r="H626" s="8"/>
      <c r="I626" s="8"/>
      <c r="J626" s="8"/>
      <c r="K626" s="8"/>
      <c r="L626" s="8"/>
      <c r="M626" s="8"/>
      <c r="N626" s="8"/>
      <c r="O626" s="8"/>
      <c r="P626" s="8"/>
      <c r="Q626" s="8"/>
      <c r="R626" s="8"/>
      <c r="S626" s="8"/>
      <c r="T626" s="8"/>
      <c r="U626" s="8"/>
      <c r="V626" s="8"/>
      <c r="W626" s="8"/>
      <c r="X626" s="8"/>
    </row>
    <row r="627" spans="1:24" ht="12.75" customHeight="1">
      <c r="A627" s="8"/>
      <c r="B627" s="8"/>
      <c r="C627" s="268"/>
      <c r="D627" s="8"/>
      <c r="E627" s="8"/>
      <c r="F627" s="8"/>
      <c r="G627" s="8"/>
      <c r="H627" s="8"/>
      <c r="I627" s="8"/>
      <c r="J627" s="8"/>
      <c r="K627" s="8"/>
      <c r="L627" s="8"/>
      <c r="M627" s="8"/>
      <c r="N627" s="8"/>
      <c r="O627" s="8"/>
      <c r="P627" s="8"/>
      <c r="Q627" s="8"/>
      <c r="R627" s="8"/>
      <c r="S627" s="8"/>
      <c r="T627" s="8"/>
      <c r="U627" s="8"/>
      <c r="V627" s="8"/>
      <c r="W627" s="8"/>
      <c r="X627" s="8"/>
    </row>
    <row r="628" spans="1:24" ht="12.75" customHeight="1">
      <c r="A628" s="8"/>
      <c r="B628" s="8"/>
      <c r="C628" s="268"/>
      <c r="D628" s="8"/>
      <c r="E628" s="8"/>
      <c r="F628" s="8"/>
      <c r="G628" s="8"/>
      <c r="H628" s="8"/>
      <c r="I628" s="8"/>
      <c r="J628" s="8"/>
      <c r="K628" s="8"/>
      <c r="L628" s="8"/>
      <c r="M628" s="8"/>
      <c r="N628" s="8"/>
      <c r="O628" s="8"/>
      <c r="P628" s="8"/>
      <c r="Q628" s="8"/>
      <c r="R628" s="8"/>
      <c r="S628" s="8"/>
      <c r="T628" s="8"/>
      <c r="U628" s="8"/>
      <c r="V628" s="8"/>
      <c r="W628" s="8"/>
      <c r="X628" s="8"/>
    </row>
    <row r="629" spans="1:24" ht="12.75" customHeight="1">
      <c r="A629" s="8"/>
      <c r="B629" s="8"/>
      <c r="C629" s="268"/>
      <c r="D629" s="8"/>
      <c r="E629" s="8"/>
      <c r="F629" s="8"/>
      <c r="G629" s="8"/>
      <c r="H629" s="8"/>
      <c r="I629" s="8"/>
      <c r="J629" s="8"/>
      <c r="K629" s="8"/>
      <c r="L629" s="8"/>
      <c r="M629" s="8"/>
      <c r="N629" s="8"/>
      <c r="O629" s="8"/>
      <c r="P629" s="8"/>
      <c r="Q629" s="8"/>
      <c r="R629" s="8"/>
      <c r="S629" s="8"/>
      <c r="T629" s="8"/>
      <c r="U629" s="8"/>
      <c r="V629" s="8"/>
      <c r="W629" s="8"/>
      <c r="X629" s="8"/>
    </row>
    <row r="630" spans="1:24" ht="12.75" customHeight="1">
      <c r="A630" s="8"/>
      <c r="B630" s="8"/>
      <c r="C630" s="268"/>
      <c r="D630" s="8"/>
      <c r="E630" s="8"/>
      <c r="F630" s="8"/>
      <c r="G630" s="8"/>
      <c r="H630" s="8"/>
      <c r="I630" s="8"/>
      <c r="J630" s="8"/>
      <c r="K630" s="8"/>
      <c r="L630" s="8"/>
      <c r="M630" s="8"/>
      <c r="N630" s="8"/>
      <c r="O630" s="8"/>
      <c r="P630" s="8"/>
      <c r="Q630" s="8"/>
      <c r="R630" s="8"/>
      <c r="S630" s="8"/>
      <c r="T630" s="8"/>
      <c r="U630" s="8"/>
      <c r="V630" s="8"/>
      <c r="W630" s="8"/>
      <c r="X630" s="8"/>
    </row>
    <row r="631" spans="1:24" ht="12.75" customHeight="1">
      <c r="A631" s="8"/>
      <c r="B631" s="8"/>
      <c r="C631" s="30"/>
      <c r="D631" s="8"/>
      <c r="E631" s="8"/>
      <c r="F631" s="8"/>
      <c r="G631" s="8"/>
      <c r="H631" s="8"/>
      <c r="I631" s="8"/>
      <c r="J631" s="8"/>
      <c r="K631" s="8"/>
      <c r="L631" s="8"/>
      <c r="M631" s="8"/>
      <c r="N631" s="8"/>
      <c r="O631" s="8"/>
      <c r="P631" s="8"/>
      <c r="Q631" s="8"/>
      <c r="R631" s="8"/>
      <c r="S631" s="8"/>
      <c r="T631" s="8"/>
      <c r="U631" s="8"/>
      <c r="V631" s="8"/>
      <c r="W631" s="8"/>
      <c r="X631" s="8"/>
    </row>
    <row r="632" spans="1:24" ht="12.75" customHeight="1">
      <c r="A632" s="8"/>
      <c r="B632" s="8"/>
      <c r="C632" s="30"/>
      <c r="D632" s="8"/>
      <c r="E632" s="8"/>
      <c r="F632" s="8"/>
      <c r="G632" s="8"/>
      <c r="H632" s="8"/>
      <c r="I632" s="8"/>
      <c r="J632" s="8"/>
      <c r="K632" s="8"/>
      <c r="L632" s="8"/>
      <c r="M632" s="8"/>
      <c r="N632" s="8"/>
      <c r="O632" s="8"/>
      <c r="P632" s="8"/>
      <c r="Q632" s="8"/>
      <c r="R632" s="8"/>
      <c r="S632" s="8"/>
      <c r="T632" s="8"/>
      <c r="U632" s="8"/>
      <c r="V632" s="8"/>
      <c r="W632" s="8"/>
      <c r="X632" s="8"/>
    </row>
    <row r="633" spans="1:24" ht="12.75" customHeight="1">
      <c r="A633" s="8"/>
      <c r="B633" s="8"/>
      <c r="C633" s="30"/>
      <c r="D633" s="8"/>
      <c r="E633" s="8"/>
      <c r="F633" s="8"/>
      <c r="G633" s="8"/>
      <c r="H633" s="8"/>
      <c r="I633" s="8"/>
      <c r="J633" s="8"/>
      <c r="K633" s="8"/>
      <c r="L633" s="8"/>
      <c r="M633" s="8"/>
      <c r="N633" s="8"/>
      <c r="O633" s="8"/>
      <c r="P633" s="8"/>
      <c r="Q633" s="8"/>
      <c r="R633" s="8"/>
      <c r="S633" s="8"/>
      <c r="T633" s="8"/>
      <c r="U633" s="8"/>
      <c r="V633" s="8"/>
      <c r="W633" s="8"/>
      <c r="X633" s="8"/>
    </row>
    <row r="634" spans="1:24" ht="12.75" customHeight="1">
      <c r="A634" s="8"/>
      <c r="B634" s="8"/>
      <c r="C634" s="30"/>
      <c r="D634" s="8"/>
      <c r="E634" s="8"/>
      <c r="F634" s="8"/>
      <c r="G634" s="8"/>
      <c r="H634" s="8"/>
      <c r="I634" s="8"/>
      <c r="J634" s="8"/>
      <c r="K634" s="8"/>
      <c r="L634" s="8"/>
      <c r="M634" s="8"/>
      <c r="N634" s="8"/>
      <c r="O634" s="8"/>
      <c r="P634" s="8"/>
      <c r="Q634" s="8"/>
      <c r="R634" s="8"/>
      <c r="S634" s="8"/>
      <c r="T634" s="8"/>
      <c r="U634" s="8"/>
      <c r="V634" s="8"/>
      <c r="W634" s="8"/>
      <c r="X634" s="8"/>
    </row>
    <row r="635" spans="1:24" ht="12.75" customHeight="1">
      <c r="A635" s="269"/>
      <c r="B635" s="8"/>
      <c r="C635" s="30"/>
      <c r="D635" s="8"/>
      <c r="E635" s="8"/>
      <c r="F635" s="8"/>
      <c r="G635" s="8"/>
      <c r="H635" s="8"/>
      <c r="I635" s="8"/>
      <c r="J635" s="8"/>
      <c r="K635" s="8"/>
      <c r="L635" s="8"/>
      <c r="M635" s="8"/>
      <c r="N635" s="8"/>
      <c r="O635" s="8"/>
      <c r="P635" s="8"/>
      <c r="Q635" s="8"/>
      <c r="R635" s="8"/>
      <c r="S635" s="8"/>
      <c r="T635" s="8"/>
      <c r="U635" s="8"/>
      <c r="V635" s="8"/>
      <c r="W635" s="8"/>
      <c r="X635" s="8"/>
    </row>
    <row r="636" spans="1:24" ht="12.75" customHeight="1">
      <c r="A636" s="269"/>
      <c r="B636" s="8"/>
      <c r="C636" s="30"/>
      <c r="D636" s="8"/>
      <c r="E636" s="8"/>
      <c r="F636" s="8"/>
      <c r="G636" s="8"/>
      <c r="H636" s="8"/>
      <c r="I636" s="8"/>
      <c r="J636" s="8"/>
      <c r="K636" s="8"/>
      <c r="L636" s="8"/>
      <c r="M636" s="8"/>
      <c r="N636" s="8"/>
      <c r="O636" s="8"/>
      <c r="P636" s="8"/>
      <c r="Q636" s="8"/>
      <c r="R636" s="8"/>
      <c r="S636" s="8"/>
      <c r="T636" s="8"/>
      <c r="U636" s="8"/>
      <c r="V636" s="8"/>
      <c r="W636" s="8"/>
      <c r="X636" s="8"/>
    </row>
    <row r="637" spans="1:24" ht="12.75" customHeight="1">
      <c r="A637" s="13"/>
      <c r="B637" s="13"/>
      <c r="C637" s="14"/>
      <c r="D637" s="8"/>
      <c r="E637" s="8"/>
      <c r="F637" s="8"/>
      <c r="G637" s="8"/>
      <c r="H637" s="8"/>
      <c r="I637" s="8"/>
      <c r="J637" s="8"/>
      <c r="K637" s="8"/>
      <c r="L637" s="8"/>
      <c r="M637" s="8"/>
      <c r="N637" s="8"/>
      <c r="O637" s="8"/>
      <c r="P637" s="8"/>
      <c r="Q637" s="8"/>
      <c r="R637" s="8"/>
      <c r="S637" s="8"/>
      <c r="T637" s="8"/>
      <c r="U637" s="8"/>
      <c r="V637" s="8"/>
      <c r="W637" s="8"/>
      <c r="X637" s="8"/>
    </row>
    <row r="638" spans="1:24" ht="12.75" customHeight="1">
      <c r="A638" s="13"/>
      <c r="B638" s="13"/>
      <c r="C638" s="14"/>
      <c r="D638" s="8"/>
      <c r="E638" s="8"/>
      <c r="F638" s="8"/>
      <c r="G638" s="8"/>
      <c r="H638" s="8"/>
      <c r="I638" s="8"/>
      <c r="J638" s="8"/>
      <c r="K638" s="8"/>
      <c r="L638" s="8"/>
      <c r="M638" s="8"/>
      <c r="N638" s="8"/>
      <c r="O638" s="8"/>
      <c r="P638" s="8"/>
      <c r="Q638" s="8"/>
      <c r="R638" s="8"/>
      <c r="S638" s="8"/>
      <c r="T638" s="8"/>
      <c r="U638" s="8"/>
      <c r="V638" s="8"/>
      <c r="W638" s="8"/>
      <c r="X638" s="8"/>
    </row>
    <row r="639" spans="1:24" ht="12.75" customHeight="1">
      <c r="A639" s="13"/>
      <c r="B639" s="13"/>
      <c r="C639" s="14"/>
      <c r="D639" s="8"/>
      <c r="E639" s="8"/>
      <c r="F639" s="8"/>
      <c r="G639" s="8"/>
      <c r="H639" s="8"/>
      <c r="I639" s="8"/>
      <c r="J639" s="8"/>
      <c r="K639" s="8"/>
      <c r="L639" s="8"/>
      <c r="M639" s="8"/>
      <c r="N639" s="8"/>
      <c r="O639" s="8"/>
      <c r="P639" s="8"/>
      <c r="Q639" s="8"/>
      <c r="R639" s="8"/>
      <c r="S639" s="8"/>
      <c r="T639" s="8"/>
      <c r="U639" s="8"/>
      <c r="V639" s="8"/>
      <c r="W639" s="8"/>
      <c r="X639" s="8"/>
    </row>
    <row r="640" spans="1:24" ht="12.75" customHeight="1">
      <c r="A640" s="13"/>
      <c r="B640" s="267"/>
      <c r="C640" s="14"/>
      <c r="D640" s="8"/>
      <c r="E640" s="8"/>
      <c r="F640" s="8"/>
      <c r="G640" s="8"/>
      <c r="H640" s="8"/>
      <c r="I640" s="8"/>
      <c r="J640" s="8"/>
      <c r="K640" s="8"/>
      <c r="L640" s="8"/>
      <c r="M640" s="8"/>
      <c r="N640" s="8"/>
      <c r="O640" s="8"/>
      <c r="P640" s="8"/>
      <c r="Q640" s="8"/>
      <c r="R640" s="8"/>
      <c r="S640" s="8"/>
      <c r="T640" s="8"/>
      <c r="U640" s="8"/>
      <c r="V640" s="8"/>
      <c r="W640" s="8"/>
      <c r="X640" s="8"/>
    </row>
    <row r="641" spans="1:24" ht="12.75" customHeight="1">
      <c r="A641" s="15"/>
      <c r="B641" s="15"/>
      <c r="C641" s="16"/>
      <c r="D641" s="30"/>
      <c r="E641" s="30"/>
      <c r="F641" s="8"/>
      <c r="G641" s="8"/>
      <c r="H641" s="8"/>
      <c r="I641" s="8"/>
      <c r="J641" s="8"/>
      <c r="K641" s="8"/>
      <c r="L641" s="8"/>
      <c r="M641" s="8"/>
      <c r="N641" s="8"/>
      <c r="O641" s="8"/>
      <c r="P641" s="8"/>
      <c r="Q641" s="8"/>
      <c r="R641" s="8"/>
      <c r="S641" s="8"/>
      <c r="T641" s="8"/>
      <c r="U641" s="8"/>
      <c r="V641" s="8"/>
      <c r="W641" s="8"/>
      <c r="X641" s="8"/>
    </row>
    <row r="642" spans="1:24" ht="12.75" customHeight="1">
      <c r="A642" s="15"/>
      <c r="B642" s="15"/>
      <c r="C642" s="16"/>
      <c r="D642" s="8"/>
      <c r="E642" s="8"/>
      <c r="F642" s="8"/>
      <c r="G642" s="8"/>
      <c r="H642" s="8"/>
      <c r="I642" s="8"/>
      <c r="J642" s="8"/>
      <c r="K642" s="8"/>
      <c r="L642" s="8"/>
      <c r="M642" s="8"/>
      <c r="N642" s="8"/>
      <c r="O642" s="8"/>
      <c r="P642" s="8"/>
      <c r="Q642" s="8"/>
      <c r="R642" s="8"/>
      <c r="S642" s="8"/>
      <c r="T642" s="8"/>
      <c r="U642" s="8"/>
      <c r="V642" s="8"/>
      <c r="W642" s="8"/>
      <c r="X642" s="8"/>
    </row>
    <row r="643" spans="1:24" ht="12.75" customHeight="1">
      <c r="A643" s="1432"/>
      <c r="B643" s="1433"/>
      <c r="C643" s="16"/>
      <c r="D643" s="118"/>
      <c r="E643" s="8"/>
      <c r="F643" s="8"/>
      <c r="G643" s="8"/>
      <c r="H643" s="8"/>
      <c r="I643" s="8"/>
      <c r="J643" s="8"/>
      <c r="K643" s="8"/>
      <c r="L643" s="8"/>
      <c r="M643" s="8"/>
      <c r="N643" s="8"/>
      <c r="O643" s="8"/>
      <c r="P643" s="8"/>
      <c r="Q643" s="8"/>
      <c r="R643" s="8"/>
      <c r="S643" s="8"/>
      <c r="T643" s="8"/>
      <c r="U643" s="8"/>
      <c r="V643" s="8"/>
      <c r="W643" s="8"/>
      <c r="X643" s="8"/>
    </row>
    <row r="644" spans="1:24" ht="12.75" customHeight="1">
      <c r="A644" s="21"/>
      <c r="B644" s="22"/>
      <c r="C644" s="82"/>
      <c r="D644" s="84"/>
      <c r="E644" s="84"/>
      <c r="F644" s="84"/>
      <c r="G644" s="84"/>
      <c r="H644" s="84"/>
      <c r="I644" s="84"/>
      <c r="J644" s="84"/>
      <c r="K644" s="84"/>
      <c r="L644" s="84"/>
      <c r="M644" s="84"/>
      <c r="N644" s="84"/>
      <c r="O644" s="84"/>
      <c r="P644" s="84"/>
      <c r="Q644" s="84"/>
      <c r="R644" s="84"/>
      <c r="S644" s="84"/>
      <c r="T644" s="84"/>
      <c r="U644" s="84"/>
      <c r="V644" s="84"/>
      <c r="W644" s="84"/>
      <c r="X644" s="84"/>
    </row>
    <row r="645" spans="1:24" ht="13.5" customHeight="1">
      <c r="A645" s="23"/>
      <c r="B645" s="13"/>
      <c r="C645" s="24"/>
      <c r="D645" s="13"/>
      <c r="E645" s="14"/>
      <c r="F645" s="13"/>
      <c r="G645" s="13"/>
      <c r="H645" s="13"/>
      <c r="I645" s="13"/>
      <c r="J645" s="13"/>
      <c r="K645" s="13"/>
      <c r="L645" s="13"/>
      <c r="M645" s="13"/>
      <c r="N645" s="13"/>
      <c r="O645" s="13"/>
      <c r="P645" s="13"/>
      <c r="Q645" s="13"/>
      <c r="R645" s="13"/>
      <c r="S645" s="13"/>
      <c r="T645" s="13"/>
      <c r="U645" s="13"/>
      <c r="V645" s="13"/>
      <c r="W645" s="13"/>
      <c r="X645" s="13"/>
    </row>
    <row r="646" spans="1:24" ht="13.5" customHeight="1">
      <c r="A646" s="21"/>
      <c r="B646" s="15"/>
      <c r="C646" s="26"/>
      <c r="D646" s="13"/>
      <c r="E646" s="14"/>
      <c r="F646" s="13"/>
      <c r="G646" s="13"/>
      <c r="H646" s="13"/>
      <c r="I646" s="13"/>
      <c r="J646" s="13"/>
      <c r="K646" s="13"/>
      <c r="L646" s="13"/>
      <c r="M646" s="13"/>
      <c r="N646" s="13"/>
      <c r="O646" s="13"/>
      <c r="P646" s="13"/>
      <c r="Q646" s="13"/>
      <c r="R646" s="13"/>
      <c r="S646" s="13"/>
      <c r="T646" s="13"/>
      <c r="U646" s="13"/>
      <c r="V646" s="13"/>
      <c r="W646" s="13"/>
      <c r="X646" s="13"/>
    </row>
    <row r="647" spans="1:24" ht="13.5" customHeight="1">
      <c r="A647" s="23"/>
      <c r="B647" s="13"/>
      <c r="C647" s="24"/>
      <c r="D647" s="13"/>
      <c r="E647" s="14"/>
      <c r="F647" s="13"/>
      <c r="G647" s="13"/>
      <c r="H647" s="13"/>
      <c r="I647" s="13"/>
      <c r="J647" s="13"/>
      <c r="K647" s="13"/>
      <c r="L647" s="13"/>
      <c r="M647" s="13"/>
      <c r="N647" s="13"/>
      <c r="O647" s="13"/>
      <c r="P647" s="13"/>
      <c r="Q647" s="13"/>
      <c r="R647" s="13"/>
      <c r="S647" s="13"/>
      <c r="T647" s="13"/>
      <c r="U647" s="13"/>
      <c r="V647" s="13"/>
      <c r="W647" s="13"/>
      <c r="X647" s="13"/>
    </row>
    <row r="648" spans="1:24" ht="13.5" customHeight="1">
      <c r="A648" s="23"/>
      <c r="B648" s="13"/>
      <c r="C648" s="14"/>
      <c r="D648" s="13"/>
      <c r="E648" s="14"/>
      <c r="F648" s="13"/>
      <c r="G648" s="13"/>
      <c r="H648" s="13"/>
      <c r="I648" s="13"/>
      <c r="J648" s="13"/>
      <c r="K648" s="13"/>
      <c r="L648" s="13"/>
      <c r="M648" s="13"/>
      <c r="N648" s="13"/>
      <c r="O648" s="13"/>
      <c r="P648" s="13"/>
      <c r="Q648" s="13"/>
      <c r="R648" s="13"/>
      <c r="S648" s="13"/>
      <c r="T648" s="13"/>
      <c r="U648" s="13"/>
      <c r="V648" s="13"/>
      <c r="W648" s="13"/>
      <c r="X648" s="13"/>
    </row>
    <row r="649" spans="1:24" ht="13.5" customHeight="1">
      <c r="A649" s="23"/>
      <c r="B649" s="13"/>
      <c r="C649" s="14"/>
      <c r="D649" s="13"/>
      <c r="E649" s="14"/>
      <c r="F649" s="13"/>
      <c r="G649" s="13"/>
      <c r="H649" s="13"/>
      <c r="I649" s="13"/>
      <c r="J649" s="13"/>
      <c r="K649" s="13"/>
      <c r="L649" s="13"/>
      <c r="M649" s="13"/>
      <c r="N649" s="13"/>
      <c r="O649" s="13"/>
      <c r="P649" s="13"/>
      <c r="Q649" s="13"/>
      <c r="R649" s="13"/>
      <c r="S649" s="13"/>
      <c r="T649" s="13"/>
      <c r="U649" s="13"/>
      <c r="V649" s="13"/>
      <c r="W649" s="13"/>
      <c r="X649" s="13"/>
    </row>
    <row r="650" spans="1:24" ht="13.5" customHeight="1">
      <c r="A650" s="21"/>
      <c r="B650" s="15"/>
      <c r="C650" s="26"/>
      <c r="D650" s="13"/>
      <c r="E650" s="14"/>
      <c r="F650" s="13"/>
      <c r="G650" s="13"/>
      <c r="H650" s="13"/>
      <c r="I650" s="13"/>
      <c r="J650" s="13"/>
      <c r="K650" s="13"/>
      <c r="L650" s="13"/>
      <c r="M650" s="13"/>
      <c r="N650" s="13"/>
      <c r="O650" s="13"/>
      <c r="P650" s="13"/>
      <c r="Q650" s="13"/>
      <c r="R650" s="13"/>
      <c r="S650" s="13"/>
      <c r="T650" s="13"/>
      <c r="U650" s="13"/>
      <c r="V650" s="13"/>
      <c r="W650" s="13"/>
      <c r="X650" s="13"/>
    </row>
    <row r="651" spans="1:24" ht="12.75" customHeight="1">
      <c r="A651" s="23"/>
      <c r="B651" s="13"/>
      <c r="C651" s="24"/>
      <c r="D651" s="8"/>
      <c r="E651" s="8"/>
      <c r="F651" s="8"/>
      <c r="G651" s="8"/>
      <c r="H651" s="8"/>
      <c r="I651" s="8"/>
      <c r="J651" s="8"/>
      <c r="K651" s="8"/>
      <c r="L651" s="8"/>
      <c r="M651" s="8"/>
      <c r="N651" s="8"/>
      <c r="O651" s="8"/>
      <c r="P651" s="8"/>
      <c r="Q651" s="8"/>
      <c r="R651" s="8"/>
      <c r="S651" s="8"/>
      <c r="T651" s="8"/>
      <c r="U651" s="8"/>
      <c r="V651" s="8"/>
      <c r="W651" s="8"/>
      <c r="X651" s="8"/>
    </row>
    <row r="652" spans="1:24" ht="12.75" customHeight="1">
      <c r="A652" s="21"/>
      <c r="B652" s="15"/>
      <c r="C652" s="26"/>
      <c r="D652" s="8"/>
      <c r="E652" s="8"/>
      <c r="F652" s="8"/>
      <c r="G652" s="8"/>
      <c r="H652" s="8"/>
      <c r="I652" s="8"/>
      <c r="J652" s="8"/>
      <c r="K652" s="8"/>
      <c r="L652" s="8"/>
      <c r="M652" s="8"/>
      <c r="N652" s="8"/>
      <c r="O652" s="8"/>
      <c r="P652" s="8"/>
      <c r="Q652" s="8"/>
      <c r="R652" s="8"/>
      <c r="S652" s="8"/>
      <c r="T652" s="8"/>
      <c r="U652" s="8"/>
      <c r="V652" s="8"/>
      <c r="W652" s="8"/>
      <c r="X652" s="8"/>
    </row>
    <row r="653" spans="1:24" ht="12.75" customHeight="1">
      <c r="A653" s="23"/>
      <c r="B653" s="24"/>
      <c r="C653" s="24"/>
      <c r="D653" s="8"/>
      <c r="E653" s="8"/>
      <c r="F653" s="8"/>
      <c r="G653" s="8"/>
      <c r="H653" s="8"/>
      <c r="I653" s="8"/>
      <c r="J653" s="8"/>
      <c r="K653" s="8"/>
      <c r="L653" s="8"/>
      <c r="M653" s="8"/>
      <c r="N653" s="8"/>
      <c r="O653" s="8"/>
      <c r="P653" s="8"/>
      <c r="Q653" s="8"/>
      <c r="R653" s="8"/>
      <c r="S653" s="8"/>
      <c r="T653" s="8"/>
      <c r="U653" s="8"/>
      <c r="V653" s="8"/>
      <c r="W653" s="8"/>
      <c r="X653" s="8"/>
    </row>
    <row r="654" spans="1:24" ht="12.75" customHeight="1">
      <c r="A654" s="23"/>
      <c r="B654" s="24"/>
      <c r="C654" s="24"/>
      <c r="D654" s="8"/>
      <c r="E654" s="8"/>
      <c r="F654" s="8"/>
      <c r="G654" s="8"/>
      <c r="H654" s="8"/>
      <c r="I654" s="8"/>
      <c r="J654" s="8"/>
      <c r="K654" s="8"/>
      <c r="L654" s="8"/>
      <c r="M654" s="8"/>
      <c r="N654" s="8"/>
      <c r="O654" s="8"/>
      <c r="P654" s="8"/>
      <c r="Q654" s="8"/>
      <c r="R654" s="8"/>
      <c r="S654" s="8"/>
      <c r="T654" s="8"/>
      <c r="U654" s="8"/>
      <c r="V654" s="8"/>
      <c r="W654" s="8"/>
      <c r="X654" s="8"/>
    </row>
    <row r="655" spans="1:24" ht="12.75" customHeight="1">
      <c r="A655" s="21"/>
      <c r="B655" s="26"/>
      <c r="C655" s="26"/>
      <c r="D655" s="8"/>
      <c r="E655" s="8"/>
      <c r="F655" s="8"/>
      <c r="G655" s="8"/>
      <c r="H655" s="8"/>
      <c r="I655" s="8"/>
      <c r="J655" s="8"/>
      <c r="K655" s="8"/>
      <c r="L655" s="8"/>
      <c r="M655" s="8"/>
      <c r="N655" s="8"/>
      <c r="O655" s="8"/>
      <c r="P655" s="8"/>
      <c r="Q655" s="8"/>
      <c r="R655" s="8"/>
      <c r="S655" s="8"/>
      <c r="T655" s="8"/>
      <c r="U655" s="8"/>
      <c r="V655" s="8"/>
      <c r="W655" s="8"/>
      <c r="X655" s="8"/>
    </row>
    <row r="656" spans="1:24" ht="12.75" customHeight="1">
      <c r="A656" s="23"/>
      <c r="B656" s="13"/>
      <c r="C656" s="14"/>
      <c r="D656" s="8"/>
      <c r="E656" s="8"/>
      <c r="F656" s="8"/>
      <c r="G656" s="8"/>
      <c r="H656" s="8"/>
      <c r="I656" s="8"/>
      <c r="J656" s="8"/>
      <c r="K656" s="8"/>
      <c r="L656" s="8"/>
      <c r="M656" s="8"/>
      <c r="N656" s="8"/>
      <c r="O656" s="8"/>
      <c r="P656" s="8"/>
      <c r="Q656" s="8"/>
      <c r="R656" s="8"/>
      <c r="S656" s="8"/>
      <c r="T656" s="8"/>
      <c r="U656" s="8"/>
      <c r="V656" s="8"/>
      <c r="W656" s="8"/>
      <c r="X656" s="8"/>
    </row>
    <row r="657" spans="1:24" ht="12.75" customHeight="1">
      <c r="A657" s="21"/>
      <c r="B657" s="15"/>
      <c r="C657" s="16"/>
      <c r="D657" s="8"/>
      <c r="E657" s="8"/>
      <c r="F657" s="8"/>
      <c r="G657" s="8"/>
      <c r="H657" s="8"/>
      <c r="I657" s="8"/>
      <c r="J657" s="8"/>
      <c r="K657" s="8"/>
      <c r="L657" s="8"/>
      <c r="M657" s="8"/>
      <c r="N657" s="8"/>
      <c r="O657" s="8"/>
      <c r="P657" s="8"/>
      <c r="Q657" s="8"/>
      <c r="R657" s="8"/>
      <c r="S657" s="8"/>
      <c r="T657" s="8"/>
      <c r="U657" s="8"/>
      <c r="V657" s="8"/>
      <c r="W657" s="8"/>
      <c r="X657" s="8"/>
    </row>
    <row r="658" spans="1:24" ht="12.75" customHeight="1">
      <c r="A658" s="23"/>
      <c r="B658" s="13"/>
      <c r="C658" s="14"/>
      <c r="D658" s="8"/>
      <c r="E658" s="8"/>
      <c r="F658" s="8"/>
      <c r="G658" s="8"/>
      <c r="H658" s="8"/>
      <c r="I658" s="8"/>
      <c r="J658" s="8"/>
      <c r="K658" s="8"/>
      <c r="L658" s="8"/>
      <c r="M658" s="8"/>
      <c r="N658" s="8"/>
      <c r="O658" s="8"/>
      <c r="P658" s="8"/>
      <c r="Q658" s="8"/>
      <c r="R658" s="8"/>
      <c r="S658" s="8"/>
      <c r="T658" s="8"/>
      <c r="U658" s="8"/>
      <c r="V658" s="8"/>
      <c r="W658" s="8"/>
      <c r="X658" s="8"/>
    </row>
    <row r="659" spans="1:24" ht="12.75" customHeight="1">
      <c r="A659" s="23"/>
      <c r="B659" s="13"/>
      <c r="C659" s="14"/>
      <c r="D659" s="8"/>
      <c r="E659" s="8"/>
      <c r="F659" s="8"/>
      <c r="G659" s="8"/>
      <c r="H659" s="8"/>
      <c r="I659" s="8"/>
      <c r="J659" s="8"/>
      <c r="K659" s="8"/>
      <c r="L659" s="8"/>
      <c r="M659" s="8"/>
      <c r="N659" s="8"/>
      <c r="O659" s="8"/>
      <c r="P659" s="8"/>
      <c r="Q659" s="8"/>
      <c r="R659" s="8"/>
      <c r="S659" s="8"/>
      <c r="T659" s="8"/>
      <c r="U659" s="8"/>
      <c r="V659" s="8"/>
      <c r="W659" s="8"/>
      <c r="X659" s="8"/>
    </row>
    <row r="660" spans="1:24" ht="12.75" customHeight="1">
      <c r="A660" s="23"/>
      <c r="B660" s="13"/>
      <c r="C660" s="14"/>
      <c r="D660" s="8"/>
      <c r="E660" s="8"/>
      <c r="F660" s="8"/>
      <c r="G660" s="8"/>
      <c r="H660" s="8"/>
      <c r="I660" s="8"/>
      <c r="J660" s="8"/>
      <c r="K660" s="8"/>
      <c r="L660" s="8"/>
      <c r="M660" s="8"/>
      <c r="N660" s="8"/>
      <c r="O660" s="8"/>
      <c r="P660" s="8"/>
      <c r="Q660" s="8"/>
      <c r="R660" s="8"/>
      <c r="S660" s="8"/>
      <c r="T660" s="8"/>
      <c r="U660" s="8"/>
      <c r="V660" s="8"/>
      <c r="W660" s="8"/>
      <c r="X660" s="8"/>
    </row>
    <row r="661" spans="1:24" ht="12.75" customHeight="1">
      <c r="A661" s="23"/>
      <c r="B661" s="13"/>
      <c r="C661" s="14"/>
      <c r="D661" s="8"/>
      <c r="E661" s="8"/>
      <c r="F661" s="8"/>
      <c r="G661" s="8"/>
      <c r="H661" s="8"/>
      <c r="I661" s="8"/>
      <c r="J661" s="8"/>
      <c r="K661" s="8"/>
      <c r="L661" s="8"/>
      <c r="M661" s="8"/>
      <c r="N661" s="8"/>
      <c r="O661" s="8"/>
      <c r="P661" s="8"/>
      <c r="Q661" s="8"/>
      <c r="R661" s="8"/>
      <c r="S661" s="8"/>
      <c r="T661" s="8"/>
      <c r="U661" s="8"/>
      <c r="V661" s="8"/>
      <c r="W661" s="8"/>
      <c r="X661" s="8"/>
    </row>
    <row r="662" spans="1:24" ht="12.75" customHeight="1">
      <c r="A662" s="21"/>
      <c r="B662" s="26"/>
      <c r="C662" s="16"/>
      <c r="D662" s="8"/>
      <c r="E662" s="8"/>
      <c r="F662" s="8"/>
      <c r="G662" s="8"/>
      <c r="H662" s="8"/>
      <c r="I662" s="8"/>
      <c r="J662" s="8"/>
      <c r="K662" s="8"/>
      <c r="L662" s="8"/>
      <c r="M662" s="8"/>
      <c r="N662" s="8"/>
      <c r="O662" s="8"/>
      <c r="P662" s="8"/>
      <c r="Q662" s="8"/>
      <c r="R662" s="8"/>
      <c r="S662" s="8"/>
      <c r="T662" s="8"/>
      <c r="U662" s="8"/>
      <c r="V662" s="8"/>
      <c r="W662" s="8"/>
      <c r="X662" s="8"/>
    </row>
    <row r="663" spans="1:24" ht="12.75" customHeight="1">
      <c r="A663" s="13"/>
      <c r="B663" s="24"/>
      <c r="C663" s="14"/>
      <c r="D663" s="8"/>
      <c r="E663" s="8"/>
      <c r="F663" s="8"/>
      <c r="G663" s="8"/>
      <c r="H663" s="8"/>
      <c r="I663" s="8"/>
      <c r="J663" s="8"/>
      <c r="K663" s="8"/>
      <c r="L663" s="8"/>
      <c r="M663" s="8"/>
      <c r="N663" s="8"/>
      <c r="O663" s="8"/>
      <c r="P663" s="8"/>
      <c r="Q663" s="8"/>
      <c r="R663" s="8"/>
      <c r="S663" s="8"/>
      <c r="T663" s="8"/>
      <c r="U663" s="8"/>
      <c r="V663" s="8"/>
      <c r="W663" s="8"/>
      <c r="X663" s="8"/>
    </row>
    <row r="664" spans="1:24" ht="12.75" customHeight="1">
      <c r="A664" s="13"/>
      <c r="B664" s="13"/>
      <c r="C664" s="14"/>
      <c r="D664" s="8"/>
      <c r="E664" s="8"/>
      <c r="F664" s="8"/>
      <c r="G664" s="8"/>
      <c r="H664" s="8"/>
      <c r="I664" s="8"/>
      <c r="J664" s="8"/>
      <c r="K664" s="8"/>
      <c r="L664" s="8"/>
      <c r="M664" s="8"/>
      <c r="N664" s="8"/>
      <c r="O664" s="8"/>
      <c r="P664" s="8"/>
      <c r="Q664" s="8"/>
      <c r="R664" s="8"/>
      <c r="S664" s="8"/>
      <c r="T664" s="8"/>
      <c r="U664" s="8"/>
      <c r="V664" s="8"/>
      <c r="W664" s="8"/>
      <c r="X664" s="8"/>
    </row>
    <row r="665" spans="1:24" ht="12.75" customHeight="1">
      <c r="A665" s="13"/>
      <c r="B665" s="13"/>
      <c r="C665" s="14"/>
      <c r="D665" s="8"/>
      <c r="E665" s="8"/>
      <c r="F665" s="8"/>
      <c r="G665" s="8"/>
      <c r="H665" s="8"/>
      <c r="I665" s="8"/>
      <c r="J665" s="8"/>
      <c r="K665" s="8"/>
      <c r="L665" s="8"/>
      <c r="M665" s="8"/>
      <c r="N665" s="8"/>
      <c r="O665" s="8"/>
      <c r="P665" s="8"/>
      <c r="Q665" s="8"/>
      <c r="R665" s="8"/>
      <c r="S665" s="8"/>
      <c r="T665" s="8"/>
      <c r="U665" s="8"/>
      <c r="V665" s="8"/>
      <c r="W665" s="8"/>
      <c r="X665" s="8"/>
    </row>
    <row r="666" spans="1:24" ht="12.75" customHeight="1">
      <c r="A666" s="21"/>
      <c r="B666" s="26"/>
      <c r="C666" s="16"/>
      <c r="D666" s="8"/>
      <c r="E666" s="8"/>
      <c r="F666" s="8"/>
      <c r="G666" s="8"/>
      <c r="H666" s="8"/>
      <c r="I666" s="8"/>
      <c r="J666" s="8"/>
      <c r="K666" s="8"/>
      <c r="L666" s="8"/>
      <c r="M666" s="8"/>
      <c r="N666" s="8"/>
      <c r="O666" s="8"/>
      <c r="P666" s="8"/>
      <c r="Q666" s="8"/>
      <c r="R666" s="8"/>
      <c r="S666" s="8"/>
      <c r="T666" s="8"/>
      <c r="U666" s="8"/>
      <c r="V666" s="8"/>
      <c r="W666" s="8"/>
      <c r="X666" s="8"/>
    </row>
    <row r="667" spans="1:24" ht="12.75" customHeight="1">
      <c r="A667" s="23"/>
      <c r="B667" s="13"/>
      <c r="C667" s="14"/>
      <c r="D667" s="8"/>
      <c r="E667" s="8"/>
      <c r="F667" s="8"/>
      <c r="G667" s="8"/>
      <c r="H667" s="8"/>
      <c r="I667" s="8"/>
      <c r="J667" s="8"/>
      <c r="K667" s="8"/>
      <c r="L667" s="8"/>
      <c r="M667" s="8"/>
      <c r="N667" s="8"/>
      <c r="O667" s="8"/>
      <c r="P667" s="8"/>
      <c r="Q667" s="8"/>
      <c r="R667" s="8"/>
      <c r="S667" s="8"/>
      <c r="T667" s="8"/>
      <c r="U667" s="8"/>
      <c r="V667" s="8"/>
      <c r="W667" s="8"/>
      <c r="X667" s="8"/>
    </row>
    <row r="668" spans="1:24" ht="12.75" customHeight="1">
      <c r="A668" s="23"/>
      <c r="B668" s="24"/>
      <c r="C668" s="14"/>
      <c r="D668" s="8"/>
      <c r="E668" s="8"/>
      <c r="F668" s="8"/>
      <c r="G668" s="8"/>
      <c r="H668" s="8"/>
      <c r="I668" s="8"/>
      <c r="J668" s="8"/>
      <c r="K668" s="8"/>
      <c r="L668" s="8"/>
      <c r="M668" s="8"/>
      <c r="N668" s="8"/>
      <c r="O668" s="8"/>
      <c r="P668" s="8"/>
      <c r="Q668" s="8"/>
      <c r="R668" s="8"/>
      <c r="S668" s="8"/>
      <c r="T668" s="8"/>
      <c r="U668" s="8"/>
      <c r="V668" s="8"/>
      <c r="W668" s="8"/>
      <c r="X668" s="8"/>
    </row>
    <row r="669" spans="1:24" ht="12.75" customHeight="1">
      <c r="A669" s="21"/>
      <c r="B669" s="15"/>
      <c r="C669" s="16"/>
      <c r="D669" s="8"/>
      <c r="E669" s="8"/>
      <c r="F669" s="8"/>
      <c r="G669" s="8"/>
      <c r="H669" s="8"/>
      <c r="I669" s="8"/>
      <c r="J669" s="8"/>
      <c r="K669" s="8"/>
      <c r="L669" s="8"/>
      <c r="M669" s="8"/>
      <c r="N669" s="8"/>
      <c r="O669" s="8"/>
      <c r="P669" s="8"/>
      <c r="Q669" s="8"/>
      <c r="R669" s="8"/>
      <c r="S669" s="8"/>
      <c r="T669" s="8"/>
      <c r="U669" s="8"/>
      <c r="V669" s="8"/>
      <c r="W669" s="8"/>
      <c r="X669" s="8"/>
    </row>
    <row r="670" spans="1:24" ht="13.5" customHeight="1">
      <c r="A670" s="23"/>
      <c r="B670" s="24"/>
      <c r="C670" s="14"/>
      <c r="D670" s="13"/>
      <c r="E670" s="14"/>
      <c r="F670" s="13"/>
      <c r="G670" s="13"/>
      <c r="H670" s="13"/>
      <c r="I670" s="13"/>
      <c r="J670" s="13"/>
      <c r="K670" s="13"/>
      <c r="L670" s="13"/>
      <c r="M670" s="13"/>
      <c r="N670" s="13"/>
      <c r="O670" s="13"/>
      <c r="P670" s="13"/>
      <c r="Q670" s="13"/>
      <c r="R670" s="13"/>
      <c r="S670" s="13"/>
      <c r="T670" s="13"/>
      <c r="U670" s="13"/>
      <c r="V670" s="13"/>
      <c r="W670" s="13"/>
      <c r="X670" s="13"/>
    </row>
    <row r="671" spans="1:24" ht="13.5" customHeight="1">
      <c r="A671" s="23"/>
      <c r="B671" s="24"/>
      <c r="C671" s="14"/>
      <c r="D671" s="13"/>
      <c r="E671" s="14"/>
      <c r="F671" s="13"/>
      <c r="G671" s="13"/>
      <c r="H671" s="13"/>
      <c r="I671" s="13"/>
      <c r="J671" s="13"/>
      <c r="K671" s="13"/>
      <c r="L671" s="13"/>
      <c r="M671" s="13"/>
      <c r="N671" s="13"/>
      <c r="O671" s="13"/>
      <c r="P671" s="13"/>
      <c r="Q671" s="13"/>
      <c r="R671" s="13"/>
      <c r="S671" s="13"/>
      <c r="T671" s="13"/>
      <c r="U671" s="13"/>
      <c r="V671" s="13"/>
      <c r="W671" s="13"/>
      <c r="X671" s="13"/>
    </row>
    <row r="672" spans="1:24" ht="13.5" customHeight="1">
      <c r="A672" s="23"/>
      <c r="B672" s="24"/>
      <c r="C672" s="14"/>
      <c r="D672" s="13"/>
      <c r="E672" s="14"/>
      <c r="F672" s="13"/>
      <c r="G672" s="13"/>
      <c r="H672" s="13"/>
      <c r="I672" s="13"/>
      <c r="J672" s="13"/>
      <c r="K672" s="13"/>
      <c r="L672" s="13"/>
      <c r="M672" s="13"/>
      <c r="N672" s="13"/>
      <c r="O672" s="13"/>
      <c r="P672" s="13"/>
      <c r="Q672" s="13"/>
      <c r="R672" s="13"/>
      <c r="S672" s="13"/>
      <c r="T672" s="13"/>
      <c r="U672" s="13"/>
      <c r="V672" s="13"/>
      <c r="W672" s="13"/>
      <c r="X672" s="13"/>
    </row>
    <row r="673" spans="1:24" ht="12.75" customHeight="1">
      <c r="A673" s="23"/>
      <c r="B673" s="24"/>
      <c r="C673" s="24"/>
      <c r="D673" s="8"/>
      <c r="E673" s="8"/>
      <c r="F673" s="8"/>
      <c r="G673" s="8"/>
      <c r="H673" s="8"/>
      <c r="I673" s="8"/>
      <c r="J673" s="8"/>
      <c r="K673" s="8"/>
      <c r="L673" s="8"/>
      <c r="M673" s="8"/>
      <c r="N673" s="8"/>
      <c r="O673" s="8"/>
      <c r="P673" s="8"/>
      <c r="Q673" s="8"/>
      <c r="R673" s="8"/>
      <c r="S673" s="8"/>
      <c r="T673" s="8"/>
      <c r="U673" s="8"/>
      <c r="V673" s="8"/>
      <c r="W673" s="8"/>
      <c r="X673" s="8"/>
    </row>
    <row r="674" spans="1:24" ht="12.75" customHeight="1">
      <c r="A674" s="23"/>
      <c r="B674" s="24"/>
      <c r="C674" s="24"/>
      <c r="D674" s="8"/>
      <c r="E674" s="8"/>
      <c r="F674" s="8"/>
      <c r="G674" s="8"/>
      <c r="H674" s="8"/>
      <c r="I674" s="8"/>
      <c r="J674" s="8"/>
      <c r="K674" s="8"/>
      <c r="L674" s="8"/>
      <c r="M674" s="8"/>
      <c r="N674" s="8"/>
      <c r="O674" s="8"/>
      <c r="P674" s="8"/>
      <c r="Q674" s="8"/>
      <c r="R674" s="8"/>
      <c r="S674" s="8"/>
      <c r="T674" s="8"/>
      <c r="U674" s="8"/>
      <c r="V674" s="8"/>
      <c r="W674" s="8"/>
      <c r="X674" s="8"/>
    </row>
    <row r="675" spans="1:24" ht="12.75" customHeight="1">
      <c r="A675" s="1432"/>
      <c r="B675" s="1433"/>
      <c r="C675" s="16"/>
      <c r="D675" s="8"/>
      <c r="E675" s="118"/>
      <c r="F675" s="8"/>
      <c r="G675" s="8"/>
      <c r="H675" s="8"/>
      <c r="I675" s="8"/>
      <c r="J675" s="8"/>
      <c r="K675" s="8"/>
      <c r="L675" s="8"/>
      <c r="M675" s="8"/>
      <c r="N675" s="8"/>
      <c r="O675" s="8"/>
      <c r="P675" s="8"/>
      <c r="Q675" s="8"/>
      <c r="R675" s="8"/>
      <c r="S675" s="8"/>
      <c r="T675" s="8"/>
      <c r="U675" s="8"/>
      <c r="V675" s="8"/>
      <c r="W675" s="8"/>
      <c r="X675" s="8"/>
    </row>
    <row r="676" spans="1:24" ht="12.75" customHeight="1">
      <c r="A676" s="15"/>
      <c r="B676" s="22"/>
      <c r="C676" s="82"/>
      <c r="D676" s="84"/>
      <c r="E676" s="84"/>
      <c r="F676" s="84"/>
      <c r="G676" s="84"/>
      <c r="H676" s="84"/>
      <c r="I676" s="84"/>
      <c r="J676" s="84"/>
      <c r="K676" s="84"/>
      <c r="L676" s="84"/>
      <c r="M676" s="84"/>
      <c r="N676" s="84"/>
      <c r="O676" s="84"/>
      <c r="P676" s="84"/>
      <c r="Q676" s="84"/>
      <c r="R676" s="84"/>
      <c r="S676" s="84"/>
      <c r="T676" s="84"/>
      <c r="U676" s="84"/>
      <c r="V676" s="84"/>
      <c r="W676" s="84"/>
      <c r="X676" s="84"/>
    </row>
    <row r="677" spans="1:24" ht="12.75" customHeight="1">
      <c r="A677" s="13"/>
      <c r="B677" s="40"/>
      <c r="C677" s="66"/>
      <c r="D677" s="84"/>
      <c r="E677" s="10"/>
      <c r="F677" s="84"/>
      <c r="G677" s="84"/>
      <c r="H677" s="84"/>
      <c r="I677" s="84"/>
      <c r="J677" s="84"/>
      <c r="K677" s="84"/>
      <c r="L677" s="84"/>
      <c r="M677" s="84"/>
      <c r="N677" s="84"/>
      <c r="O677" s="84"/>
      <c r="P677" s="84"/>
      <c r="Q677" s="84"/>
      <c r="R677" s="84"/>
      <c r="S677" s="84"/>
      <c r="T677" s="84"/>
      <c r="U677" s="84"/>
      <c r="V677" s="84"/>
      <c r="W677" s="84"/>
      <c r="X677" s="84"/>
    </row>
    <row r="678" spans="1:24" ht="12.75" customHeight="1">
      <c r="A678" s="13"/>
      <c r="B678" s="40"/>
      <c r="C678" s="66"/>
      <c r="D678" s="84"/>
      <c r="E678" s="10"/>
      <c r="F678" s="84"/>
      <c r="G678" s="84"/>
      <c r="H678" s="84"/>
      <c r="I678" s="84"/>
      <c r="J678" s="84"/>
      <c r="K678" s="84"/>
      <c r="L678" s="84"/>
      <c r="M678" s="84"/>
      <c r="N678" s="84"/>
      <c r="O678" s="84"/>
      <c r="P678" s="84"/>
      <c r="Q678" s="84"/>
      <c r="R678" s="84"/>
      <c r="S678" s="84"/>
      <c r="T678" s="84"/>
      <c r="U678" s="84"/>
      <c r="V678" s="84"/>
      <c r="W678" s="84"/>
      <c r="X678" s="84"/>
    </row>
    <row r="679" spans="1:24" ht="12.75" customHeight="1">
      <c r="A679" s="13"/>
      <c r="B679" s="13"/>
      <c r="C679" s="66"/>
      <c r="D679" s="84"/>
      <c r="E679" s="84"/>
      <c r="F679" s="84"/>
      <c r="G679" s="84"/>
      <c r="H679" s="84"/>
      <c r="I679" s="84"/>
      <c r="J679" s="84"/>
      <c r="K679" s="84"/>
      <c r="L679" s="84"/>
      <c r="M679" s="84"/>
      <c r="N679" s="84"/>
      <c r="O679" s="84"/>
      <c r="P679" s="84"/>
      <c r="Q679" s="84"/>
      <c r="R679" s="84"/>
      <c r="S679" s="84"/>
      <c r="T679" s="84"/>
      <c r="U679" s="84"/>
      <c r="V679" s="84"/>
      <c r="W679" s="84"/>
      <c r="X679" s="84"/>
    </row>
    <row r="680" spans="1:24" ht="12.75" customHeight="1">
      <c r="A680" s="15"/>
      <c r="B680" s="15"/>
      <c r="C680" s="82"/>
      <c r="D680" s="84"/>
      <c r="E680" s="84"/>
      <c r="F680" s="84"/>
      <c r="G680" s="84"/>
      <c r="H680" s="84"/>
      <c r="I680" s="84"/>
      <c r="J680" s="84"/>
      <c r="K680" s="84"/>
      <c r="L680" s="84"/>
      <c r="M680" s="84"/>
      <c r="N680" s="84"/>
      <c r="O680" s="84"/>
      <c r="P680" s="84"/>
      <c r="Q680" s="84"/>
      <c r="R680" s="84"/>
      <c r="S680" s="84"/>
      <c r="T680" s="84"/>
      <c r="U680" s="84"/>
      <c r="V680" s="84"/>
      <c r="W680" s="84"/>
      <c r="X680" s="84"/>
    </row>
    <row r="681" spans="1:24" ht="12.75" customHeight="1">
      <c r="A681" s="23"/>
      <c r="B681" s="23"/>
      <c r="C681" s="24"/>
      <c r="D681" s="84"/>
      <c r="E681" s="84"/>
      <c r="F681" s="84"/>
      <c r="G681" s="84"/>
      <c r="H681" s="84"/>
      <c r="I681" s="84"/>
      <c r="J681" s="84"/>
      <c r="K681" s="84"/>
      <c r="L681" s="84"/>
      <c r="M681" s="84"/>
      <c r="N681" s="84"/>
      <c r="O681" s="84"/>
      <c r="P681" s="84"/>
      <c r="Q681" s="84"/>
      <c r="R681" s="84"/>
      <c r="S681" s="84"/>
      <c r="T681" s="84"/>
      <c r="U681" s="84"/>
      <c r="V681" s="84"/>
      <c r="W681" s="84"/>
      <c r="X681" s="84"/>
    </row>
    <row r="682" spans="1:24" ht="12.75" customHeight="1">
      <c r="A682" s="13"/>
      <c r="B682" s="13"/>
      <c r="C682" s="14"/>
      <c r="D682" s="84"/>
      <c r="E682" s="84"/>
      <c r="F682" s="84"/>
      <c r="G682" s="84"/>
      <c r="H682" s="84"/>
      <c r="I682" s="84"/>
      <c r="J682" s="84"/>
      <c r="K682" s="84"/>
      <c r="L682" s="84"/>
      <c r="M682" s="84"/>
      <c r="N682" s="84"/>
      <c r="O682" s="84"/>
      <c r="P682" s="84"/>
      <c r="Q682" s="84"/>
      <c r="R682" s="84"/>
      <c r="S682" s="84"/>
      <c r="T682" s="84"/>
      <c r="U682" s="84"/>
      <c r="V682" s="84"/>
      <c r="W682" s="84"/>
      <c r="X682" s="84"/>
    </row>
    <row r="683" spans="1:24" ht="12.75" customHeight="1">
      <c r="A683" s="13"/>
      <c r="B683" s="13"/>
      <c r="C683" s="14"/>
      <c r="D683" s="84"/>
      <c r="E683" s="84"/>
      <c r="F683" s="84"/>
      <c r="G683" s="84"/>
      <c r="H683" s="84"/>
      <c r="I683" s="84"/>
      <c r="J683" s="84"/>
      <c r="K683" s="84"/>
      <c r="L683" s="84"/>
      <c r="M683" s="84"/>
      <c r="N683" s="84"/>
      <c r="O683" s="84"/>
      <c r="P683" s="84"/>
      <c r="Q683" s="84"/>
      <c r="R683" s="84"/>
      <c r="S683" s="84"/>
      <c r="T683" s="84"/>
      <c r="U683" s="84"/>
      <c r="V683" s="84"/>
      <c r="W683" s="84"/>
      <c r="X683" s="84"/>
    </row>
    <row r="684" spans="1:24" ht="12.75" customHeight="1">
      <c r="A684" s="13"/>
      <c r="B684" s="13"/>
      <c r="C684" s="14"/>
      <c r="D684" s="84"/>
      <c r="E684" s="84"/>
      <c r="F684" s="84"/>
      <c r="G684" s="84"/>
      <c r="H684" s="84"/>
      <c r="I684" s="84"/>
      <c r="J684" s="84"/>
      <c r="K684" s="84"/>
      <c r="L684" s="84"/>
      <c r="M684" s="84"/>
      <c r="N684" s="84"/>
      <c r="O684" s="84"/>
      <c r="P684" s="84"/>
      <c r="Q684" s="84"/>
      <c r="R684" s="84"/>
      <c r="S684" s="84"/>
      <c r="T684" s="84"/>
      <c r="U684" s="84"/>
      <c r="V684" s="84"/>
      <c r="W684" s="84"/>
      <c r="X684" s="84"/>
    </row>
    <row r="685" spans="1:24" ht="12.75" customHeight="1">
      <c r="A685" s="15"/>
      <c r="B685" s="15"/>
      <c r="C685" s="16"/>
      <c r="D685" s="84"/>
      <c r="E685" s="84"/>
      <c r="F685" s="84"/>
      <c r="G685" s="84"/>
      <c r="H685" s="84"/>
      <c r="I685" s="84"/>
      <c r="J685" s="84"/>
      <c r="K685" s="84"/>
      <c r="L685" s="84"/>
      <c r="M685" s="84"/>
      <c r="N685" s="84"/>
      <c r="O685" s="84"/>
      <c r="P685" s="84"/>
      <c r="Q685" s="84"/>
      <c r="R685" s="84"/>
      <c r="S685" s="84"/>
      <c r="T685" s="84"/>
      <c r="U685" s="84"/>
      <c r="V685" s="84"/>
      <c r="W685" s="84"/>
      <c r="X685" s="84"/>
    </row>
    <row r="686" spans="1:24" ht="12.75" customHeight="1">
      <c r="A686" s="13"/>
      <c r="B686" s="13"/>
      <c r="C686" s="24"/>
      <c r="D686" s="84"/>
      <c r="E686" s="266"/>
      <c r="F686" s="84"/>
      <c r="G686" s="84"/>
      <c r="H686" s="84"/>
      <c r="I686" s="84"/>
      <c r="J686" s="84"/>
      <c r="K686" s="84"/>
      <c r="L686" s="84"/>
      <c r="M686" s="84"/>
      <c r="N686" s="84"/>
      <c r="O686" s="84"/>
      <c r="P686" s="84"/>
      <c r="Q686" s="84"/>
      <c r="R686" s="84"/>
      <c r="S686" s="84"/>
      <c r="T686" s="84"/>
      <c r="U686" s="84"/>
      <c r="V686" s="84"/>
      <c r="W686" s="84"/>
      <c r="X686" s="84"/>
    </row>
    <row r="687" spans="1:24" ht="12.75" customHeight="1">
      <c r="A687" s="21"/>
      <c r="B687" s="15"/>
      <c r="C687" s="82"/>
      <c r="D687" s="84"/>
      <c r="E687" s="84"/>
      <c r="F687" s="84"/>
      <c r="G687" s="84"/>
      <c r="H687" s="84"/>
      <c r="I687" s="84"/>
      <c r="J687" s="84"/>
      <c r="K687" s="84"/>
      <c r="L687" s="84"/>
      <c r="M687" s="84"/>
      <c r="N687" s="84"/>
      <c r="O687" s="84"/>
      <c r="P687" s="84"/>
      <c r="Q687" s="84"/>
      <c r="R687" s="84"/>
      <c r="S687" s="84"/>
      <c r="T687" s="84"/>
      <c r="U687" s="84"/>
      <c r="V687" s="84"/>
      <c r="W687" s="84"/>
      <c r="X687" s="84"/>
    </row>
    <row r="688" spans="1:24" ht="12.75" customHeight="1">
      <c r="A688" s="23"/>
      <c r="B688" s="13"/>
      <c r="C688" s="14"/>
      <c r="D688" s="30"/>
      <c r="E688" s="8"/>
      <c r="F688" s="8"/>
      <c r="G688" s="8"/>
      <c r="H688" s="8"/>
      <c r="I688" s="8"/>
      <c r="J688" s="8"/>
      <c r="K688" s="8"/>
      <c r="L688" s="8"/>
      <c r="M688" s="8"/>
      <c r="N688" s="8"/>
      <c r="O688" s="8"/>
      <c r="P688" s="8"/>
      <c r="Q688" s="8"/>
      <c r="R688" s="8"/>
      <c r="S688" s="8"/>
      <c r="T688" s="8"/>
      <c r="U688" s="8"/>
      <c r="V688" s="8"/>
      <c r="W688" s="8"/>
      <c r="X688" s="8"/>
    </row>
    <row r="689" spans="1:24" ht="12.75" customHeight="1">
      <c r="A689" s="23"/>
      <c r="B689" s="24"/>
      <c r="C689" s="14"/>
      <c r="D689" s="30"/>
      <c r="E689" s="8"/>
      <c r="F689" s="8"/>
      <c r="G689" s="10"/>
      <c r="H689" s="8"/>
      <c r="I689" s="8"/>
      <c r="J689" s="8"/>
      <c r="K689" s="8"/>
      <c r="L689" s="8"/>
      <c r="M689" s="8"/>
      <c r="N689" s="8"/>
      <c r="O689" s="8"/>
      <c r="P689" s="8"/>
      <c r="Q689" s="8"/>
      <c r="R689" s="8"/>
      <c r="S689" s="8"/>
      <c r="T689" s="8"/>
      <c r="U689" s="8"/>
      <c r="V689" s="8"/>
      <c r="W689" s="8"/>
      <c r="X689" s="8"/>
    </row>
    <row r="690" spans="1:24" ht="12.75" customHeight="1">
      <c r="A690" s="21"/>
      <c r="B690" s="26"/>
      <c r="C690" s="16"/>
      <c r="D690" s="30"/>
      <c r="E690" s="8"/>
      <c r="F690" s="8"/>
      <c r="G690" s="8"/>
      <c r="H690" s="8"/>
      <c r="I690" s="8"/>
      <c r="J690" s="8"/>
      <c r="K690" s="8"/>
      <c r="L690" s="8"/>
      <c r="M690" s="8"/>
      <c r="N690" s="8"/>
      <c r="O690" s="8"/>
      <c r="P690" s="8"/>
      <c r="Q690" s="8"/>
      <c r="R690" s="8"/>
      <c r="S690" s="8"/>
      <c r="T690" s="8"/>
      <c r="U690" s="8"/>
      <c r="V690" s="8"/>
      <c r="W690" s="8"/>
      <c r="X690" s="8"/>
    </row>
    <row r="691" spans="1:24" ht="12.75" customHeight="1">
      <c r="A691" s="23"/>
      <c r="B691" s="13"/>
      <c r="C691" s="14"/>
      <c r="D691" s="30"/>
      <c r="E691" s="8"/>
      <c r="F691" s="8"/>
      <c r="G691" s="8"/>
      <c r="H691" s="8"/>
      <c r="I691" s="8"/>
      <c r="J691" s="8"/>
      <c r="K691" s="8"/>
      <c r="L691" s="8"/>
      <c r="M691" s="8"/>
      <c r="N691" s="8"/>
      <c r="O691" s="8"/>
      <c r="P691" s="8"/>
      <c r="Q691" s="8"/>
      <c r="R691" s="8"/>
      <c r="S691" s="8"/>
      <c r="T691" s="8"/>
      <c r="U691" s="8"/>
      <c r="V691" s="8"/>
      <c r="W691" s="8"/>
      <c r="X691" s="8"/>
    </row>
    <row r="692" spans="1:24" ht="12.75" customHeight="1">
      <c r="A692" s="21"/>
      <c r="B692" s="15"/>
      <c r="C692" s="16"/>
      <c r="D692" s="30"/>
      <c r="E692" s="8"/>
      <c r="F692" s="8"/>
      <c r="G692" s="8"/>
      <c r="H692" s="8"/>
      <c r="I692" s="8"/>
      <c r="J692" s="8"/>
      <c r="K692" s="8"/>
      <c r="L692" s="8"/>
      <c r="M692" s="8"/>
      <c r="N692" s="8"/>
      <c r="O692" s="8"/>
      <c r="P692" s="8"/>
      <c r="Q692" s="8"/>
      <c r="R692" s="8"/>
      <c r="S692" s="8"/>
      <c r="T692" s="8"/>
      <c r="U692" s="8"/>
      <c r="V692" s="8"/>
      <c r="W692" s="8"/>
      <c r="X692" s="8"/>
    </row>
    <row r="693" spans="1:24" ht="12.75" customHeight="1">
      <c r="A693" s="23"/>
      <c r="B693" s="13"/>
      <c r="C693" s="14"/>
      <c r="D693" s="8"/>
      <c r="E693" s="8"/>
      <c r="F693" s="8"/>
      <c r="G693" s="8"/>
      <c r="H693" s="8"/>
      <c r="I693" s="8"/>
      <c r="J693" s="8"/>
      <c r="K693" s="8"/>
      <c r="L693" s="8"/>
      <c r="M693" s="8"/>
      <c r="N693" s="8"/>
      <c r="O693" s="8"/>
      <c r="P693" s="8"/>
      <c r="Q693" s="8"/>
      <c r="R693" s="8"/>
      <c r="S693" s="8"/>
      <c r="T693" s="8"/>
      <c r="U693" s="8"/>
      <c r="V693" s="8"/>
      <c r="W693" s="8"/>
      <c r="X693" s="8"/>
    </row>
    <row r="694" spans="1:2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row>
    <row r="695" spans="1:24"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row>
    <row r="696" spans="1:24"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row>
    <row r="697" spans="1:24"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row>
    <row r="698" spans="1:24"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row>
    <row r="699" spans="1:24"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row>
    <row r="700" spans="1:24"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row>
    <row r="701" spans="1:24"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row>
    <row r="702" spans="1:24" ht="12.75" customHeight="1">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row>
    <row r="703" spans="1:24"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row>
    <row r="704" spans="1:2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row>
    <row r="705" spans="1:24" ht="12.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row>
    <row r="707" spans="1:24"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row>
    <row r="708" spans="1:24"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row>
    <row r="709" spans="1:24"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row>
    <row r="710" spans="1:24"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row>
    <row r="711" spans="1:24"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row>
    <row r="712" spans="1:24" ht="12.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row>
    <row r="713" spans="1:24" ht="12.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row>
    <row r="714" spans="1:24" ht="12.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row>
    <row r="715" spans="1:24" ht="12.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row>
    <row r="716" spans="1:24" ht="12.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row>
    <row r="717" spans="1:24" ht="12.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row>
    <row r="718" spans="1:24" ht="12.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row>
    <row r="719" spans="1:24" ht="12.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row>
    <row r="720" spans="1:24"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row>
    <row r="721" spans="1:24" ht="12.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row>
    <row r="722" spans="1:24" ht="12.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row>
    <row r="723" spans="1:24" ht="12.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row>
    <row r="724" spans="1:24" ht="12.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row>
    <row r="725" spans="1:24" ht="12.75" customHeight="1">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row>
    <row r="726" spans="1:24" ht="12.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2.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row>
    <row r="729" spans="1:24"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row>
    <row r="730" spans="1:24"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row>
    <row r="731" spans="1:24"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row>
    <row r="732" spans="1:24"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row>
    <row r="733" spans="1:24"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row>
    <row r="734" spans="1:2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row>
    <row r="735" spans="1:24"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row>
    <row r="736" spans="1:24"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row>
    <row r="737" spans="1:24"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row>
    <row r="738" spans="1:24"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row>
    <row r="739" spans="1:24"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row>
    <row r="740" spans="1:24"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row>
    <row r="741" spans="1:24"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row>
    <row r="742" spans="1:24"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row>
    <row r="743" spans="1:24" ht="12.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row>
    <row r="744" spans="1:24" ht="12.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row>
    <row r="745" spans="1:24" ht="12.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row>
    <row r="746" spans="1:24" ht="12.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row>
    <row r="748" spans="1:24"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row>
    <row r="749" spans="1:24"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row>
    <row r="750" spans="1:24"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row>
    <row r="751" spans="1:24" ht="12.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2.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2.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row>
    <row r="755" spans="1:24"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row>
    <row r="756" spans="1:24"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row>
    <row r="757" spans="1:24"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row>
    <row r="758" spans="1:24"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row>
    <row r="759" spans="1:24"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row>
    <row r="760" spans="1:24" ht="12.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row>
    <row r="761" spans="1:24" ht="12.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row>
    <row r="762" spans="1:24" ht="12.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row>
    <row r="763" spans="1:24" ht="12.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row>
    <row r="764" spans="1:24" ht="12.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row>
    <row r="765" spans="1:24" ht="12.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row>
    <row r="766" spans="1:24" ht="12.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row>
    <row r="767" spans="1:24" ht="12.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row>
    <row r="768" spans="1:24" ht="12.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2.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2.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row>
    <row r="772" spans="1:24" ht="12.75" customHeight="1">
      <c r="A772" s="8"/>
      <c r="B772" s="8"/>
      <c r="C772" s="30"/>
      <c r="D772" s="8"/>
      <c r="E772" s="8"/>
      <c r="F772" s="8"/>
      <c r="G772" s="8"/>
      <c r="H772" s="8"/>
      <c r="I772" s="8"/>
      <c r="J772" s="8"/>
      <c r="K772" s="8"/>
      <c r="L772" s="8"/>
      <c r="M772" s="8"/>
      <c r="N772" s="8"/>
      <c r="O772" s="8"/>
      <c r="P772" s="8"/>
      <c r="Q772" s="8"/>
      <c r="R772" s="8"/>
      <c r="S772" s="8"/>
      <c r="T772" s="8"/>
      <c r="U772" s="8"/>
      <c r="V772" s="8"/>
      <c r="W772" s="8"/>
      <c r="X772" s="8"/>
    </row>
    <row r="773" spans="1:24" ht="12.75" customHeight="1">
      <c r="A773" s="8"/>
      <c r="B773" s="8"/>
      <c r="C773" s="30"/>
      <c r="D773" s="8"/>
      <c r="E773" s="8"/>
      <c r="F773" s="8"/>
      <c r="G773" s="8"/>
      <c r="H773" s="8"/>
      <c r="I773" s="8"/>
      <c r="J773" s="8"/>
      <c r="K773" s="8"/>
      <c r="L773" s="8"/>
      <c r="M773" s="8"/>
      <c r="N773" s="8"/>
      <c r="O773" s="8"/>
      <c r="P773" s="8"/>
      <c r="Q773" s="8"/>
      <c r="R773" s="8"/>
      <c r="S773" s="8"/>
      <c r="T773" s="8"/>
      <c r="U773" s="8"/>
      <c r="V773" s="8"/>
      <c r="W773" s="8"/>
      <c r="X773" s="8"/>
    </row>
    <row r="774" spans="1:24" ht="12.75" customHeight="1">
      <c r="A774" s="8"/>
      <c r="B774" s="8"/>
      <c r="C774" s="30"/>
      <c r="D774" s="8"/>
      <c r="E774" s="8"/>
      <c r="F774" s="8"/>
      <c r="G774" s="8"/>
      <c r="H774" s="8"/>
      <c r="I774" s="8"/>
      <c r="J774" s="8"/>
      <c r="K774" s="8"/>
      <c r="L774" s="8"/>
      <c r="M774" s="8"/>
      <c r="N774" s="8"/>
      <c r="O774" s="8"/>
      <c r="P774" s="8"/>
      <c r="Q774" s="8"/>
      <c r="R774" s="8"/>
      <c r="S774" s="8"/>
      <c r="T774" s="8"/>
      <c r="U774" s="8"/>
      <c r="V774" s="8"/>
      <c r="W774" s="8"/>
      <c r="X774" s="8"/>
    </row>
    <row r="775" spans="1:24" ht="12.75" customHeight="1">
      <c r="A775" s="8"/>
      <c r="B775" s="8"/>
      <c r="C775" s="30"/>
      <c r="D775" s="8"/>
      <c r="E775" s="8"/>
      <c r="F775" s="8"/>
      <c r="G775" s="8"/>
      <c r="H775" s="8"/>
      <c r="I775" s="8"/>
      <c r="J775" s="8"/>
      <c r="K775" s="8"/>
      <c r="L775" s="8"/>
      <c r="M775" s="8"/>
      <c r="N775" s="8"/>
      <c r="O775" s="8"/>
      <c r="P775" s="8"/>
      <c r="Q775" s="8"/>
      <c r="R775" s="8"/>
      <c r="S775" s="8"/>
      <c r="T775" s="8"/>
      <c r="U775" s="8"/>
      <c r="V775" s="8"/>
      <c r="W775" s="8"/>
      <c r="X775" s="8"/>
    </row>
    <row r="776" spans="1:24" ht="12.75" customHeight="1">
      <c r="A776" s="8"/>
      <c r="B776" s="8"/>
      <c r="C776" s="30"/>
      <c r="D776" s="8"/>
      <c r="E776" s="8"/>
      <c r="F776" s="8"/>
      <c r="G776" s="8"/>
      <c r="H776" s="8"/>
      <c r="I776" s="8"/>
      <c r="J776" s="8"/>
      <c r="K776" s="8"/>
      <c r="L776" s="8"/>
      <c r="M776" s="8"/>
      <c r="N776" s="8"/>
      <c r="O776" s="8"/>
      <c r="P776" s="8"/>
      <c r="Q776" s="8"/>
      <c r="R776" s="8"/>
      <c r="S776" s="8"/>
      <c r="T776" s="8"/>
      <c r="U776" s="8"/>
      <c r="V776" s="8"/>
      <c r="W776" s="8"/>
      <c r="X776" s="8"/>
    </row>
    <row r="777" spans="1:24" ht="12.75" customHeight="1">
      <c r="A777" s="8"/>
      <c r="B777" s="8"/>
      <c r="C777" s="30"/>
      <c r="D777" s="8"/>
      <c r="E777" s="8"/>
      <c r="F777" s="8"/>
      <c r="G777" s="8"/>
      <c r="H777" s="8"/>
      <c r="I777" s="8"/>
      <c r="J777" s="8"/>
      <c r="K777" s="8"/>
      <c r="L777" s="8"/>
      <c r="M777" s="8"/>
      <c r="N777" s="8"/>
      <c r="O777" s="8"/>
      <c r="P777" s="8"/>
      <c r="Q777" s="8"/>
      <c r="R777" s="8"/>
      <c r="S777" s="8"/>
      <c r="T777" s="8"/>
      <c r="U777" s="8"/>
      <c r="V777" s="8"/>
      <c r="W777" s="8"/>
      <c r="X777" s="8"/>
    </row>
    <row r="778" spans="1:24" ht="12.75" customHeight="1">
      <c r="A778" s="8"/>
      <c r="B778" s="8"/>
      <c r="C778" s="30"/>
      <c r="D778" s="8"/>
      <c r="E778" s="8"/>
      <c r="F778" s="8"/>
      <c r="G778" s="8"/>
      <c r="H778" s="8"/>
      <c r="I778" s="8"/>
      <c r="J778" s="8"/>
      <c r="K778" s="8"/>
      <c r="L778" s="8"/>
      <c r="M778" s="8"/>
      <c r="N778" s="8"/>
      <c r="O778" s="8"/>
      <c r="P778" s="8"/>
      <c r="Q778" s="8"/>
      <c r="R778" s="8"/>
      <c r="S778" s="8"/>
      <c r="T778" s="8"/>
      <c r="U778" s="8"/>
      <c r="V778" s="8"/>
      <c r="W778" s="8"/>
      <c r="X778" s="8"/>
    </row>
    <row r="779" spans="1:24" ht="12.75" customHeight="1">
      <c r="A779" s="8"/>
      <c r="B779" s="8"/>
      <c r="C779" s="30"/>
      <c r="D779" s="8"/>
      <c r="E779" s="8"/>
      <c r="F779" s="8"/>
      <c r="G779" s="8"/>
      <c r="H779" s="8"/>
      <c r="I779" s="8"/>
      <c r="J779" s="8"/>
      <c r="K779" s="8"/>
      <c r="L779" s="8"/>
      <c r="M779" s="8"/>
      <c r="N779" s="8"/>
      <c r="O779" s="8"/>
      <c r="P779" s="8"/>
      <c r="Q779" s="8"/>
      <c r="R779" s="8"/>
      <c r="S779" s="8"/>
      <c r="T779" s="8"/>
      <c r="U779" s="8"/>
      <c r="V779" s="8"/>
      <c r="W779" s="8"/>
      <c r="X779" s="8"/>
    </row>
    <row r="780" spans="1:24" ht="12.75" customHeight="1">
      <c r="A780" s="8"/>
      <c r="B780" s="8"/>
      <c r="C780" s="30"/>
      <c r="D780" s="8"/>
      <c r="E780" s="8"/>
      <c r="F780" s="8"/>
      <c r="G780" s="8"/>
      <c r="H780" s="8"/>
      <c r="I780" s="8"/>
      <c r="J780" s="8"/>
      <c r="K780" s="8"/>
      <c r="L780" s="8"/>
      <c r="M780" s="8"/>
      <c r="N780" s="8"/>
      <c r="O780" s="8"/>
      <c r="P780" s="8"/>
      <c r="Q780" s="8"/>
      <c r="R780" s="8"/>
      <c r="S780" s="8"/>
      <c r="T780" s="8"/>
      <c r="U780" s="8"/>
      <c r="V780" s="8"/>
      <c r="W780" s="8"/>
      <c r="X780" s="8"/>
    </row>
    <row r="781" spans="1:24" ht="12.75" customHeight="1">
      <c r="A781" s="8"/>
      <c r="B781" s="8"/>
      <c r="C781" s="30"/>
      <c r="D781" s="8"/>
      <c r="E781" s="8"/>
      <c r="F781" s="8"/>
      <c r="G781" s="8"/>
      <c r="H781" s="8"/>
      <c r="I781" s="8"/>
      <c r="J781" s="8"/>
      <c r="K781" s="8"/>
      <c r="L781" s="8"/>
      <c r="M781" s="8"/>
      <c r="N781" s="8"/>
      <c r="O781" s="8"/>
      <c r="P781" s="8"/>
      <c r="Q781" s="8"/>
      <c r="R781" s="8"/>
      <c r="S781" s="8"/>
      <c r="T781" s="8"/>
      <c r="U781" s="8"/>
      <c r="V781" s="8"/>
      <c r="W781" s="8"/>
      <c r="X781" s="8"/>
    </row>
    <row r="782" spans="1:24" ht="12.75" customHeight="1">
      <c r="A782" s="8"/>
      <c r="B782" s="8"/>
      <c r="C782" s="30"/>
      <c r="D782" s="8"/>
      <c r="E782" s="8"/>
      <c r="F782" s="8"/>
      <c r="G782" s="8"/>
      <c r="H782" s="8"/>
      <c r="I782" s="8"/>
      <c r="J782" s="8"/>
      <c r="K782" s="8"/>
      <c r="L782" s="8"/>
      <c r="M782" s="8"/>
      <c r="N782" s="8"/>
      <c r="O782" s="8"/>
      <c r="P782" s="8"/>
      <c r="Q782" s="8"/>
      <c r="R782" s="8"/>
      <c r="S782" s="8"/>
      <c r="T782" s="8"/>
      <c r="U782" s="8"/>
      <c r="V782" s="8"/>
      <c r="W782" s="8"/>
      <c r="X782" s="8"/>
    </row>
    <row r="783" spans="1:24" ht="12.75" customHeight="1">
      <c r="A783" s="8"/>
      <c r="B783" s="8"/>
      <c r="C783" s="30"/>
      <c r="D783" s="8"/>
      <c r="E783" s="8"/>
      <c r="F783" s="8"/>
      <c r="G783" s="8"/>
      <c r="H783" s="8"/>
      <c r="I783" s="8"/>
      <c r="J783" s="8"/>
      <c r="K783" s="8"/>
      <c r="L783" s="8"/>
      <c r="M783" s="8"/>
      <c r="N783" s="8"/>
      <c r="O783" s="8"/>
      <c r="P783" s="8"/>
      <c r="Q783" s="8"/>
      <c r="R783" s="8"/>
      <c r="S783" s="8"/>
      <c r="T783" s="8"/>
      <c r="U783" s="8"/>
      <c r="V783" s="8"/>
      <c r="W783" s="8"/>
      <c r="X783" s="8"/>
    </row>
    <row r="784" spans="1:24" ht="12.75" customHeight="1">
      <c r="A784" s="8"/>
      <c r="B784" s="8"/>
      <c r="C784" s="30"/>
      <c r="D784" s="8"/>
      <c r="E784" s="8"/>
      <c r="F784" s="8"/>
      <c r="G784" s="8"/>
      <c r="H784" s="8"/>
      <c r="I784" s="8"/>
      <c r="J784" s="8"/>
      <c r="K784" s="8"/>
      <c r="L784" s="8"/>
      <c r="M784" s="8"/>
      <c r="N784" s="8"/>
      <c r="O784" s="8"/>
      <c r="P784" s="8"/>
      <c r="Q784" s="8"/>
      <c r="R784" s="8"/>
      <c r="S784" s="8"/>
      <c r="T784" s="8"/>
      <c r="U784" s="8"/>
      <c r="V784" s="8"/>
      <c r="W784" s="8"/>
      <c r="X784" s="8"/>
    </row>
    <row r="785" spans="1:24" ht="12.75" customHeight="1">
      <c r="A785" s="8"/>
      <c r="B785" s="8"/>
      <c r="C785" s="30"/>
      <c r="D785" s="8"/>
      <c r="E785" s="8"/>
      <c r="F785" s="8"/>
      <c r="G785" s="8"/>
      <c r="H785" s="8"/>
      <c r="I785" s="8"/>
      <c r="J785" s="8"/>
      <c r="K785" s="8"/>
      <c r="L785" s="8"/>
      <c r="M785" s="8"/>
      <c r="N785" s="8"/>
      <c r="O785" s="8"/>
      <c r="P785" s="8"/>
      <c r="Q785" s="8"/>
      <c r="R785" s="8"/>
      <c r="S785" s="8"/>
      <c r="T785" s="8"/>
      <c r="U785" s="8"/>
      <c r="V785" s="8"/>
      <c r="W785" s="8"/>
      <c r="X785" s="8"/>
    </row>
    <row r="786" spans="1:24" ht="12.75" customHeight="1">
      <c r="A786" s="8"/>
      <c r="B786" s="8"/>
      <c r="C786" s="30"/>
      <c r="D786" s="8"/>
      <c r="E786" s="8"/>
      <c r="F786" s="8"/>
      <c r="G786" s="8"/>
      <c r="H786" s="8"/>
      <c r="I786" s="8"/>
      <c r="J786" s="8"/>
      <c r="K786" s="8"/>
      <c r="L786" s="8"/>
      <c r="M786" s="8"/>
      <c r="N786" s="8"/>
      <c r="O786" s="8"/>
      <c r="P786" s="8"/>
      <c r="Q786" s="8"/>
      <c r="R786" s="8"/>
      <c r="S786" s="8"/>
      <c r="T786" s="8"/>
      <c r="U786" s="8"/>
      <c r="V786" s="8"/>
      <c r="W786" s="8"/>
      <c r="X786" s="8"/>
    </row>
    <row r="787" spans="1:24" ht="12.75" customHeight="1">
      <c r="A787" s="8"/>
      <c r="B787" s="8"/>
      <c r="C787" s="30"/>
      <c r="D787" s="8"/>
      <c r="E787" s="8"/>
      <c r="F787" s="8"/>
      <c r="G787" s="8"/>
      <c r="H787" s="8"/>
      <c r="I787" s="8"/>
      <c r="J787" s="8"/>
      <c r="K787" s="8"/>
      <c r="L787" s="8"/>
      <c r="M787" s="8"/>
      <c r="N787" s="8"/>
      <c r="O787" s="8"/>
      <c r="P787" s="8"/>
      <c r="Q787" s="8"/>
      <c r="R787" s="8"/>
      <c r="S787" s="8"/>
      <c r="T787" s="8"/>
      <c r="U787" s="8"/>
      <c r="V787" s="8"/>
      <c r="W787" s="8"/>
      <c r="X787" s="8"/>
    </row>
    <row r="788" spans="1:24" ht="12.75" customHeight="1">
      <c r="A788" s="8"/>
      <c r="B788" s="8"/>
      <c r="C788" s="30"/>
      <c r="D788" s="8"/>
      <c r="E788" s="8"/>
      <c r="F788" s="8"/>
      <c r="G788" s="8"/>
      <c r="H788" s="8"/>
      <c r="I788" s="8"/>
      <c r="J788" s="8"/>
      <c r="K788" s="8"/>
      <c r="L788" s="8"/>
      <c r="M788" s="8"/>
      <c r="N788" s="8"/>
      <c r="O788" s="8"/>
      <c r="P788" s="8"/>
      <c r="Q788" s="8"/>
      <c r="R788" s="8"/>
      <c r="S788" s="8"/>
      <c r="T788" s="8"/>
      <c r="U788" s="8"/>
      <c r="V788" s="8"/>
      <c r="W788" s="8"/>
      <c r="X788" s="8"/>
    </row>
    <row r="789" spans="1:24" ht="12.75" customHeight="1">
      <c r="A789" s="8"/>
      <c r="B789" s="8"/>
      <c r="C789" s="30"/>
      <c r="D789" s="8"/>
      <c r="E789" s="8"/>
      <c r="F789" s="8"/>
      <c r="G789" s="8"/>
      <c r="H789" s="8"/>
      <c r="I789" s="8"/>
      <c r="J789" s="8"/>
      <c r="K789" s="8"/>
      <c r="L789" s="8"/>
      <c r="M789" s="8"/>
      <c r="N789" s="8"/>
      <c r="O789" s="8"/>
      <c r="P789" s="8"/>
      <c r="Q789" s="8"/>
      <c r="R789" s="8"/>
      <c r="S789" s="8"/>
      <c r="T789" s="8"/>
      <c r="U789" s="8"/>
      <c r="V789" s="8"/>
      <c r="W789" s="8"/>
      <c r="X789" s="8"/>
    </row>
    <row r="790" spans="1:24" ht="12.75" customHeight="1">
      <c r="A790" s="8"/>
      <c r="B790" s="8"/>
      <c r="C790" s="30"/>
      <c r="D790" s="8"/>
      <c r="E790" s="8"/>
      <c r="F790" s="8"/>
      <c r="G790" s="8"/>
      <c r="H790" s="8"/>
      <c r="I790" s="8"/>
      <c r="J790" s="8"/>
      <c r="K790" s="8"/>
      <c r="L790" s="8"/>
      <c r="M790" s="8"/>
      <c r="N790" s="8"/>
      <c r="O790" s="8"/>
      <c r="P790" s="8"/>
      <c r="Q790" s="8"/>
      <c r="R790" s="8"/>
      <c r="S790" s="8"/>
      <c r="T790" s="8"/>
      <c r="U790" s="8"/>
      <c r="V790" s="8"/>
      <c r="W790" s="8"/>
      <c r="X790" s="8"/>
    </row>
    <row r="791" spans="1:24" ht="12.75" customHeight="1">
      <c r="A791" s="8"/>
      <c r="B791" s="8"/>
      <c r="C791" s="30"/>
      <c r="D791" s="8"/>
      <c r="E791" s="8"/>
      <c r="F791" s="8"/>
      <c r="G791" s="8"/>
      <c r="H791" s="8"/>
      <c r="I791" s="8"/>
      <c r="J791" s="8"/>
      <c r="K791" s="8"/>
      <c r="L791" s="8"/>
      <c r="M791" s="8"/>
      <c r="N791" s="8"/>
      <c r="O791" s="8"/>
      <c r="P791" s="8"/>
      <c r="Q791" s="8"/>
      <c r="R791" s="8"/>
      <c r="S791" s="8"/>
      <c r="T791" s="8"/>
      <c r="U791" s="8"/>
      <c r="V791" s="8"/>
      <c r="W791" s="8"/>
      <c r="X791" s="8"/>
    </row>
    <row r="792" spans="1:24" ht="12.75" customHeight="1">
      <c r="A792" s="8"/>
      <c r="B792" s="8"/>
      <c r="C792" s="30"/>
      <c r="D792" s="8"/>
      <c r="E792" s="8"/>
      <c r="F792" s="8"/>
      <c r="G792" s="8"/>
      <c r="H792" s="8"/>
      <c r="I792" s="8"/>
      <c r="J792" s="8"/>
      <c r="K792" s="8"/>
      <c r="L792" s="8"/>
      <c r="M792" s="8"/>
      <c r="N792" s="8"/>
      <c r="O792" s="8"/>
      <c r="P792" s="8"/>
      <c r="Q792" s="8"/>
      <c r="R792" s="8"/>
      <c r="S792" s="8"/>
      <c r="T792" s="8"/>
      <c r="U792" s="8"/>
      <c r="V792" s="8"/>
      <c r="W792" s="8"/>
      <c r="X792" s="8"/>
    </row>
    <row r="793" spans="1:24" ht="12.75" customHeight="1">
      <c r="A793" s="8"/>
      <c r="B793" s="8"/>
      <c r="C793" s="30"/>
      <c r="D793" s="8"/>
      <c r="E793" s="8"/>
      <c r="F793" s="8"/>
      <c r="G793" s="8"/>
      <c r="H793" s="8"/>
      <c r="I793" s="8"/>
      <c r="J793" s="8"/>
      <c r="K793" s="8"/>
      <c r="L793" s="8"/>
      <c r="M793" s="8"/>
      <c r="N793" s="8"/>
      <c r="O793" s="8"/>
      <c r="P793" s="8"/>
      <c r="Q793" s="8"/>
      <c r="R793" s="8"/>
      <c r="S793" s="8"/>
      <c r="T793" s="8"/>
      <c r="U793" s="8"/>
      <c r="V793" s="8"/>
      <c r="W793" s="8"/>
      <c r="X793" s="8"/>
    </row>
    <row r="794" spans="1:24" ht="12.75" customHeight="1">
      <c r="A794" s="8"/>
      <c r="B794" s="8"/>
      <c r="C794" s="30"/>
      <c r="D794" s="8"/>
      <c r="E794" s="8"/>
      <c r="F794" s="8"/>
      <c r="G794" s="8"/>
      <c r="H794" s="8"/>
      <c r="I794" s="8"/>
      <c r="J794" s="8"/>
      <c r="K794" s="8"/>
      <c r="L794" s="8"/>
      <c r="M794" s="8"/>
      <c r="N794" s="8"/>
      <c r="O794" s="8"/>
      <c r="P794" s="8"/>
      <c r="Q794" s="8"/>
      <c r="R794" s="8"/>
      <c r="S794" s="8"/>
      <c r="T794" s="8"/>
      <c r="U794" s="8"/>
      <c r="V794" s="8"/>
      <c r="W794" s="8"/>
      <c r="X794" s="8"/>
    </row>
    <row r="795" spans="1:24" ht="12.75" customHeight="1">
      <c r="A795" s="8"/>
      <c r="B795" s="8"/>
      <c r="C795" s="30"/>
      <c r="D795" s="8"/>
      <c r="E795" s="8"/>
      <c r="F795" s="8"/>
      <c r="G795" s="8"/>
      <c r="H795" s="8"/>
      <c r="I795" s="8"/>
      <c r="J795" s="8"/>
      <c r="K795" s="8"/>
      <c r="L795" s="8"/>
      <c r="M795" s="8"/>
      <c r="N795" s="8"/>
      <c r="O795" s="8"/>
      <c r="P795" s="8"/>
      <c r="Q795" s="8"/>
      <c r="R795" s="8"/>
      <c r="S795" s="8"/>
      <c r="T795" s="8"/>
      <c r="U795" s="8"/>
      <c r="V795" s="8"/>
      <c r="W795" s="8"/>
      <c r="X795" s="8"/>
    </row>
    <row r="796" spans="1:24" ht="12.75" customHeight="1">
      <c r="A796" s="8"/>
      <c r="B796" s="8"/>
      <c r="C796" s="30"/>
      <c r="D796" s="8"/>
      <c r="E796" s="8"/>
      <c r="F796" s="8"/>
      <c r="G796" s="8"/>
      <c r="H796" s="8"/>
      <c r="I796" s="8"/>
      <c r="J796" s="8"/>
      <c r="K796" s="8"/>
      <c r="L796" s="8"/>
      <c r="M796" s="8"/>
      <c r="N796" s="8"/>
      <c r="O796" s="8"/>
      <c r="P796" s="8"/>
      <c r="Q796" s="8"/>
      <c r="R796" s="8"/>
      <c r="S796" s="8"/>
      <c r="T796" s="8"/>
      <c r="U796" s="8"/>
      <c r="V796" s="8"/>
      <c r="W796" s="8"/>
      <c r="X796" s="8"/>
    </row>
    <row r="797" spans="1:24" ht="12.75" customHeight="1">
      <c r="A797" s="8"/>
      <c r="B797" s="8"/>
      <c r="C797" s="30"/>
      <c r="D797" s="8"/>
      <c r="E797" s="8"/>
      <c r="F797" s="8"/>
      <c r="G797" s="8"/>
      <c r="H797" s="8"/>
      <c r="I797" s="8"/>
      <c r="J797" s="8"/>
      <c r="K797" s="8"/>
      <c r="L797" s="8"/>
      <c r="M797" s="8"/>
      <c r="N797" s="8"/>
      <c r="O797" s="8"/>
      <c r="P797" s="8"/>
      <c r="Q797" s="8"/>
      <c r="R797" s="8"/>
      <c r="S797" s="8"/>
      <c r="T797" s="8"/>
      <c r="U797" s="8"/>
      <c r="V797" s="8"/>
      <c r="W797" s="8"/>
      <c r="X797" s="8"/>
    </row>
    <row r="798" spans="1:24" ht="12.75" customHeight="1">
      <c r="A798" s="8"/>
      <c r="B798" s="8"/>
      <c r="C798" s="30"/>
      <c r="D798" s="8"/>
      <c r="E798" s="8"/>
      <c r="F798" s="8"/>
      <c r="G798" s="8"/>
      <c r="H798" s="8"/>
      <c r="I798" s="8"/>
      <c r="J798" s="8"/>
      <c r="K798" s="8"/>
      <c r="L798" s="8"/>
      <c r="M798" s="8"/>
      <c r="N798" s="8"/>
      <c r="O798" s="8"/>
      <c r="P798" s="8"/>
      <c r="Q798" s="8"/>
      <c r="R798" s="8"/>
      <c r="S798" s="8"/>
      <c r="T798" s="8"/>
      <c r="U798" s="8"/>
      <c r="V798" s="8"/>
      <c r="W798" s="8"/>
      <c r="X798" s="8"/>
    </row>
    <row r="799" spans="1:24" ht="12.75" customHeight="1">
      <c r="A799" s="8"/>
      <c r="B799" s="8"/>
      <c r="C799" s="30"/>
      <c r="D799" s="8"/>
      <c r="E799" s="8"/>
      <c r="F799" s="8"/>
      <c r="G799" s="8"/>
      <c r="H799" s="8"/>
      <c r="I799" s="8"/>
      <c r="J799" s="8"/>
      <c r="K799" s="8"/>
      <c r="L799" s="8"/>
      <c r="M799" s="8"/>
      <c r="N799" s="8"/>
      <c r="O799" s="8"/>
      <c r="P799" s="8"/>
      <c r="Q799" s="8"/>
      <c r="R799" s="8"/>
      <c r="S799" s="8"/>
      <c r="T799" s="8"/>
      <c r="U799" s="8"/>
      <c r="V799" s="8"/>
      <c r="W799" s="8"/>
      <c r="X799" s="8"/>
    </row>
    <row r="800" spans="1:24" ht="12.75" customHeight="1">
      <c r="A800" s="8"/>
      <c r="B800" s="8"/>
      <c r="C800" s="30"/>
      <c r="D800" s="8"/>
      <c r="E800" s="8"/>
      <c r="F800" s="8"/>
      <c r="G800" s="8"/>
      <c r="H800" s="8"/>
      <c r="I800" s="8"/>
      <c r="J800" s="8"/>
      <c r="K800" s="8"/>
      <c r="L800" s="8"/>
      <c r="M800" s="8"/>
      <c r="N800" s="8"/>
      <c r="O800" s="8"/>
      <c r="P800" s="8"/>
      <c r="Q800" s="8"/>
      <c r="R800" s="8"/>
      <c r="S800" s="8"/>
      <c r="T800" s="8"/>
      <c r="U800" s="8"/>
      <c r="V800" s="8"/>
      <c r="W800" s="8"/>
      <c r="X800" s="8"/>
    </row>
    <row r="801" spans="1:24" ht="12.75" customHeight="1">
      <c r="A801" s="8"/>
      <c r="B801" s="8"/>
      <c r="C801" s="30"/>
      <c r="D801" s="8"/>
      <c r="E801" s="8"/>
      <c r="F801" s="8"/>
      <c r="G801" s="8"/>
      <c r="H801" s="8"/>
      <c r="I801" s="8"/>
      <c r="J801" s="8"/>
      <c r="K801" s="8"/>
      <c r="L801" s="8"/>
      <c r="M801" s="8"/>
      <c r="N801" s="8"/>
      <c r="O801" s="8"/>
      <c r="P801" s="8"/>
      <c r="Q801" s="8"/>
      <c r="R801" s="8"/>
      <c r="S801" s="8"/>
      <c r="T801" s="8"/>
      <c r="U801" s="8"/>
      <c r="V801" s="8"/>
      <c r="W801" s="8"/>
      <c r="X801" s="8"/>
    </row>
    <row r="802" spans="1:24" ht="12.75" customHeight="1">
      <c r="A802" s="8"/>
      <c r="B802" s="8"/>
      <c r="C802" s="30"/>
      <c r="D802" s="8"/>
      <c r="E802" s="8"/>
      <c r="F802" s="8"/>
      <c r="G802" s="8"/>
      <c r="H802" s="8"/>
      <c r="I802" s="8"/>
      <c r="J802" s="8"/>
      <c r="K802" s="8"/>
      <c r="L802" s="8"/>
      <c r="M802" s="8"/>
      <c r="N802" s="8"/>
      <c r="O802" s="8"/>
      <c r="P802" s="8"/>
      <c r="Q802" s="8"/>
      <c r="R802" s="8"/>
      <c r="S802" s="8"/>
      <c r="T802" s="8"/>
      <c r="U802" s="8"/>
      <c r="V802" s="8"/>
      <c r="W802" s="8"/>
      <c r="X802" s="8"/>
    </row>
    <row r="803" spans="1:24" ht="12.75" customHeight="1">
      <c r="A803" s="8"/>
      <c r="B803" s="8"/>
      <c r="C803" s="30"/>
      <c r="D803" s="8"/>
      <c r="E803" s="8"/>
      <c r="F803" s="8"/>
      <c r="G803" s="8"/>
      <c r="H803" s="8"/>
      <c r="I803" s="8"/>
      <c r="J803" s="8"/>
      <c r="K803" s="8"/>
      <c r="L803" s="8"/>
      <c r="M803" s="8"/>
      <c r="N803" s="8"/>
      <c r="O803" s="8"/>
      <c r="P803" s="8"/>
      <c r="Q803" s="8"/>
      <c r="R803" s="8"/>
      <c r="S803" s="8"/>
      <c r="T803" s="8"/>
      <c r="U803" s="8"/>
      <c r="V803" s="8"/>
      <c r="W803" s="8"/>
      <c r="X803" s="8"/>
    </row>
    <row r="804" spans="1:24" ht="12.75" customHeight="1">
      <c r="A804" s="8"/>
      <c r="B804" s="8"/>
      <c r="C804" s="30"/>
      <c r="D804" s="8"/>
      <c r="E804" s="8"/>
      <c r="F804" s="8"/>
      <c r="G804" s="8"/>
      <c r="H804" s="8"/>
      <c r="I804" s="8"/>
      <c r="J804" s="8"/>
      <c r="K804" s="8"/>
      <c r="L804" s="8"/>
      <c r="M804" s="8"/>
      <c r="N804" s="8"/>
      <c r="O804" s="8"/>
      <c r="P804" s="8"/>
      <c r="Q804" s="8"/>
      <c r="R804" s="8"/>
      <c r="S804" s="8"/>
      <c r="T804" s="8"/>
      <c r="U804" s="8"/>
      <c r="V804" s="8"/>
      <c r="W804" s="8"/>
      <c r="X804" s="8"/>
    </row>
    <row r="805" spans="1:24" ht="12.75" customHeight="1">
      <c r="A805" s="8"/>
      <c r="B805" s="8"/>
      <c r="C805" s="30"/>
      <c r="D805" s="8"/>
      <c r="E805" s="8"/>
      <c r="F805" s="8"/>
      <c r="G805" s="8"/>
      <c r="H805" s="8"/>
      <c r="I805" s="8"/>
      <c r="J805" s="8"/>
      <c r="K805" s="8"/>
      <c r="L805" s="8"/>
      <c r="M805" s="8"/>
      <c r="N805" s="8"/>
      <c r="O805" s="8"/>
      <c r="P805" s="8"/>
      <c r="Q805" s="8"/>
      <c r="R805" s="8"/>
      <c r="S805" s="8"/>
      <c r="T805" s="8"/>
      <c r="U805" s="8"/>
      <c r="V805" s="8"/>
      <c r="W805" s="8"/>
      <c r="X805" s="8"/>
    </row>
    <row r="806" spans="1:24" ht="12.75" customHeight="1">
      <c r="A806" s="8"/>
      <c r="B806" s="8"/>
      <c r="C806" s="30"/>
      <c r="D806" s="8"/>
      <c r="E806" s="8"/>
      <c r="F806" s="8"/>
      <c r="G806" s="8"/>
      <c r="H806" s="8"/>
      <c r="I806" s="8"/>
      <c r="J806" s="8"/>
      <c r="K806" s="8"/>
      <c r="L806" s="8"/>
      <c r="M806" s="8"/>
      <c r="N806" s="8"/>
      <c r="O806" s="8"/>
      <c r="P806" s="8"/>
      <c r="Q806" s="8"/>
      <c r="R806" s="8"/>
      <c r="S806" s="8"/>
      <c r="T806" s="8"/>
      <c r="U806" s="8"/>
      <c r="V806" s="8"/>
      <c r="W806" s="8"/>
      <c r="X806" s="8"/>
    </row>
    <row r="807" spans="1:24" ht="12.75" customHeight="1">
      <c r="A807" s="8"/>
      <c r="B807" s="8"/>
      <c r="C807" s="30"/>
      <c r="D807" s="8"/>
      <c r="E807" s="8"/>
      <c r="F807" s="8"/>
      <c r="G807" s="8"/>
      <c r="H807" s="8"/>
      <c r="I807" s="8"/>
      <c r="J807" s="8"/>
      <c r="K807" s="8"/>
      <c r="L807" s="8"/>
      <c r="M807" s="8"/>
      <c r="N807" s="8"/>
      <c r="O807" s="8"/>
      <c r="P807" s="8"/>
      <c r="Q807" s="8"/>
      <c r="R807" s="8"/>
      <c r="S807" s="8"/>
      <c r="T807" s="8"/>
      <c r="U807" s="8"/>
      <c r="V807" s="8"/>
      <c r="W807" s="8"/>
      <c r="X807" s="8"/>
    </row>
    <row r="808" spans="1:24" ht="12.75" customHeight="1">
      <c r="A808" s="8"/>
      <c r="B808" s="8"/>
      <c r="C808" s="30"/>
      <c r="D808" s="8"/>
      <c r="E808" s="8"/>
      <c r="F808" s="8"/>
      <c r="G808" s="8"/>
      <c r="H808" s="8"/>
      <c r="I808" s="8"/>
      <c r="J808" s="8"/>
      <c r="K808" s="8"/>
      <c r="L808" s="8"/>
      <c r="M808" s="8"/>
      <c r="N808" s="8"/>
      <c r="O808" s="8"/>
      <c r="P808" s="8"/>
      <c r="Q808" s="8"/>
      <c r="R808" s="8"/>
      <c r="S808" s="8"/>
      <c r="T808" s="8"/>
      <c r="U808" s="8"/>
      <c r="V808" s="8"/>
      <c r="W808" s="8"/>
      <c r="X808" s="8"/>
    </row>
    <row r="809" spans="1:24" ht="12.75" customHeight="1">
      <c r="A809" s="8"/>
      <c r="B809" s="8"/>
      <c r="C809" s="30"/>
      <c r="D809" s="8"/>
      <c r="E809" s="8"/>
      <c r="F809" s="8"/>
      <c r="G809" s="8"/>
      <c r="H809" s="8"/>
      <c r="I809" s="8"/>
      <c r="J809" s="8"/>
      <c r="K809" s="8"/>
      <c r="L809" s="8"/>
      <c r="M809" s="8"/>
      <c r="N809" s="8"/>
      <c r="O809" s="8"/>
      <c r="P809" s="8"/>
      <c r="Q809" s="8"/>
      <c r="R809" s="8"/>
      <c r="S809" s="8"/>
      <c r="T809" s="8"/>
      <c r="U809" s="8"/>
      <c r="V809" s="8"/>
      <c r="W809" s="8"/>
      <c r="X809" s="8"/>
    </row>
    <row r="810" spans="1:24" ht="12.75" customHeight="1">
      <c r="A810" s="8"/>
      <c r="B810" s="8"/>
      <c r="C810" s="30"/>
      <c r="D810" s="8"/>
      <c r="E810" s="8"/>
      <c r="F810" s="8"/>
      <c r="G810" s="8"/>
      <c r="H810" s="8"/>
      <c r="I810" s="8"/>
      <c r="J810" s="8"/>
      <c r="K810" s="8"/>
      <c r="L810" s="8"/>
      <c r="M810" s="8"/>
      <c r="N810" s="8"/>
      <c r="O810" s="8"/>
      <c r="P810" s="8"/>
      <c r="Q810" s="8"/>
      <c r="R810" s="8"/>
      <c r="S810" s="8"/>
      <c r="T810" s="8"/>
      <c r="U810" s="8"/>
      <c r="V810" s="8"/>
      <c r="W810" s="8"/>
      <c r="X810" s="8"/>
    </row>
    <row r="811" spans="1:24" ht="12.75" customHeight="1">
      <c r="A811" s="8"/>
      <c r="B811" s="8"/>
      <c r="C811" s="30"/>
      <c r="D811" s="8"/>
      <c r="E811" s="8"/>
      <c r="F811" s="8"/>
      <c r="G811" s="8"/>
      <c r="H811" s="8"/>
      <c r="I811" s="8"/>
      <c r="J811" s="8"/>
      <c r="K811" s="8"/>
      <c r="L811" s="8"/>
      <c r="M811" s="8"/>
      <c r="N811" s="8"/>
      <c r="O811" s="8"/>
      <c r="P811" s="8"/>
      <c r="Q811" s="8"/>
      <c r="R811" s="8"/>
      <c r="S811" s="8"/>
      <c r="T811" s="8"/>
      <c r="U811" s="8"/>
      <c r="V811" s="8"/>
      <c r="W811" s="8"/>
      <c r="X811" s="8"/>
    </row>
    <row r="812" spans="1:24" ht="12.75" customHeight="1">
      <c r="A812" s="8"/>
      <c r="B812" s="8"/>
      <c r="C812" s="30"/>
      <c r="D812" s="8"/>
      <c r="E812" s="8"/>
      <c r="F812" s="8"/>
      <c r="G812" s="8"/>
      <c r="H812" s="8"/>
      <c r="I812" s="8"/>
      <c r="J812" s="8"/>
      <c r="K812" s="8"/>
      <c r="L812" s="8"/>
      <c r="M812" s="8"/>
      <c r="N812" s="8"/>
      <c r="O812" s="8"/>
      <c r="P812" s="8"/>
      <c r="Q812" s="8"/>
      <c r="R812" s="8"/>
      <c r="S812" s="8"/>
      <c r="T812" s="8"/>
      <c r="U812" s="8"/>
      <c r="V812" s="8"/>
      <c r="W812" s="8"/>
      <c r="X812" s="8"/>
    </row>
    <row r="813" spans="1:24" ht="12.75" customHeight="1">
      <c r="A813" s="8"/>
      <c r="B813" s="8"/>
      <c r="C813" s="30"/>
      <c r="D813" s="8"/>
      <c r="E813" s="8"/>
      <c r="F813" s="8"/>
      <c r="G813" s="8"/>
      <c r="H813" s="8"/>
      <c r="I813" s="8"/>
      <c r="J813" s="8"/>
      <c r="K813" s="8"/>
      <c r="L813" s="8"/>
      <c r="M813" s="8"/>
      <c r="N813" s="8"/>
      <c r="O813" s="8"/>
      <c r="P813" s="8"/>
      <c r="Q813" s="8"/>
      <c r="R813" s="8"/>
      <c r="S813" s="8"/>
      <c r="T813" s="8"/>
      <c r="U813" s="8"/>
      <c r="V813" s="8"/>
      <c r="W813" s="8"/>
      <c r="X813" s="8"/>
    </row>
    <row r="814" spans="1:24" ht="12.75" customHeight="1">
      <c r="A814" s="8"/>
      <c r="B814" s="8"/>
      <c r="C814" s="30"/>
      <c r="D814" s="8"/>
      <c r="E814" s="8"/>
      <c r="F814" s="8"/>
      <c r="G814" s="8"/>
      <c r="H814" s="8"/>
      <c r="I814" s="8"/>
      <c r="J814" s="8"/>
      <c r="K814" s="8"/>
      <c r="L814" s="8"/>
      <c r="M814" s="8"/>
      <c r="N814" s="8"/>
      <c r="O814" s="8"/>
      <c r="P814" s="8"/>
      <c r="Q814" s="8"/>
      <c r="R814" s="8"/>
      <c r="S814" s="8"/>
      <c r="T814" s="8"/>
      <c r="U814" s="8"/>
      <c r="V814" s="8"/>
      <c r="W814" s="8"/>
      <c r="X814" s="8"/>
    </row>
    <row r="815" spans="1:24" ht="12.75" customHeight="1">
      <c r="A815" s="8"/>
      <c r="B815" s="8"/>
      <c r="C815" s="30"/>
      <c r="D815" s="8"/>
      <c r="E815" s="8"/>
      <c r="F815" s="8"/>
      <c r="G815" s="8"/>
      <c r="H815" s="8"/>
      <c r="I815" s="8"/>
      <c r="J815" s="8"/>
      <c r="K815" s="8"/>
      <c r="L815" s="8"/>
      <c r="M815" s="8"/>
      <c r="N815" s="8"/>
      <c r="O815" s="8"/>
      <c r="P815" s="8"/>
      <c r="Q815" s="8"/>
      <c r="R815" s="8"/>
      <c r="S815" s="8"/>
      <c r="T815" s="8"/>
      <c r="U815" s="8"/>
      <c r="V815" s="8"/>
      <c r="W815" s="8"/>
      <c r="X815" s="8"/>
    </row>
    <row r="816" spans="1:24" ht="12.75" customHeight="1">
      <c r="A816" s="8"/>
      <c r="B816" s="8"/>
      <c r="C816" s="30"/>
      <c r="D816" s="8"/>
      <c r="E816" s="8"/>
      <c r="F816" s="8"/>
      <c r="G816" s="8"/>
      <c r="H816" s="8"/>
      <c r="I816" s="8"/>
      <c r="J816" s="8"/>
      <c r="K816" s="8"/>
      <c r="L816" s="8"/>
      <c r="M816" s="8"/>
      <c r="N816" s="8"/>
      <c r="O816" s="8"/>
      <c r="P816" s="8"/>
      <c r="Q816" s="8"/>
      <c r="R816" s="8"/>
      <c r="S816" s="8"/>
      <c r="T816" s="8"/>
      <c r="U816" s="8"/>
      <c r="V816" s="8"/>
      <c r="W816" s="8"/>
      <c r="X816" s="8"/>
    </row>
    <row r="817" spans="1:24" ht="12.75" customHeight="1">
      <c r="A817" s="8"/>
      <c r="B817" s="8"/>
      <c r="C817" s="30"/>
      <c r="D817" s="8"/>
      <c r="E817" s="8"/>
      <c r="F817" s="8"/>
      <c r="G817" s="8"/>
      <c r="H817" s="8"/>
      <c r="I817" s="8"/>
      <c r="J817" s="8"/>
      <c r="K817" s="8"/>
      <c r="L817" s="8"/>
      <c r="M817" s="8"/>
      <c r="N817" s="8"/>
      <c r="O817" s="8"/>
      <c r="P817" s="8"/>
      <c r="Q817" s="8"/>
      <c r="R817" s="8"/>
      <c r="S817" s="8"/>
      <c r="T817" s="8"/>
      <c r="U817" s="8"/>
      <c r="V817" s="8"/>
      <c r="W817" s="8"/>
      <c r="X817" s="8"/>
    </row>
    <row r="818" spans="1:24" ht="12.75" customHeight="1">
      <c r="A818" s="8"/>
      <c r="B818" s="8"/>
      <c r="C818" s="30"/>
      <c r="D818" s="8"/>
      <c r="E818" s="8"/>
      <c r="F818" s="8"/>
      <c r="G818" s="8"/>
      <c r="H818" s="8"/>
      <c r="I818" s="8"/>
      <c r="J818" s="8"/>
      <c r="K818" s="8"/>
      <c r="L818" s="8"/>
      <c r="M818" s="8"/>
      <c r="N818" s="8"/>
      <c r="O818" s="8"/>
      <c r="P818" s="8"/>
      <c r="Q818" s="8"/>
      <c r="R818" s="8"/>
      <c r="S818" s="8"/>
      <c r="T818" s="8"/>
      <c r="U818" s="8"/>
      <c r="V818" s="8"/>
      <c r="W818" s="8"/>
      <c r="X818" s="8"/>
    </row>
    <row r="819" spans="1:24" ht="12.75" customHeight="1">
      <c r="A819" s="8"/>
      <c r="B819" s="8"/>
      <c r="C819" s="30"/>
      <c r="D819" s="8"/>
      <c r="E819" s="8"/>
      <c r="F819" s="8"/>
      <c r="G819" s="8"/>
      <c r="H819" s="8"/>
      <c r="I819" s="8"/>
      <c r="J819" s="8"/>
      <c r="K819" s="8"/>
      <c r="L819" s="8"/>
      <c r="M819" s="8"/>
      <c r="N819" s="8"/>
      <c r="O819" s="8"/>
      <c r="P819" s="8"/>
      <c r="Q819" s="8"/>
      <c r="R819" s="8"/>
      <c r="S819" s="8"/>
      <c r="T819" s="8"/>
      <c r="U819" s="8"/>
      <c r="V819" s="8"/>
      <c r="W819" s="8"/>
      <c r="X819" s="8"/>
    </row>
    <row r="820" spans="1:24" ht="12.75" customHeight="1">
      <c r="A820" s="8"/>
      <c r="B820" s="8"/>
      <c r="C820" s="30"/>
      <c r="D820" s="8"/>
      <c r="E820" s="8"/>
      <c r="F820" s="8"/>
      <c r="G820" s="8"/>
      <c r="H820" s="8"/>
      <c r="I820" s="8"/>
      <c r="J820" s="8"/>
      <c r="K820" s="8"/>
      <c r="L820" s="8"/>
      <c r="M820" s="8"/>
      <c r="N820" s="8"/>
      <c r="O820" s="8"/>
      <c r="P820" s="8"/>
      <c r="Q820" s="8"/>
      <c r="R820" s="8"/>
      <c r="S820" s="8"/>
      <c r="T820" s="8"/>
      <c r="U820" s="8"/>
      <c r="V820" s="8"/>
      <c r="W820" s="8"/>
      <c r="X820" s="8"/>
    </row>
    <row r="821" spans="1:24" ht="12.75" customHeight="1">
      <c r="A821" s="8"/>
      <c r="B821" s="8"/>
      <c r="C821" s="30"/>
      <c r="D821" s="8"/>
      <c r="E821" s="8"/>
      <c r="F821" s="8"/>
      <c r="G821" s="8"/>
      <c r="H821" s="8"/>
      <c r="I821" s="8"/>
      <c r="J821" s="8"/>
      <c r="K821" s="8"/>
      <c r="L821" s="8"/>
      <c r="M821" s="8"/>
      <c r="N821" s="8"/>
      <c r="O821" s="8"/>
      <c r="P821" s="8"/>
      <c r="Q821" s="8"/>
      <c r="R821" s="8"/>
      <c r="S821" s="8"/>
      <c r="T821" s="8"/>
      <c r="U821" s="8"/>
      <c r="V821" s="8"/>
      <c r="W821" s="8"/>
      <c r="X821" s="8"/>
    </row>
    <row r="822" spans="1:24" ht="12.75" customHeight="1">
      <c r="A822" s="8"/>
      <c r="B822" s="8"/>
      <c r="C822" s="30"/>
      <c r="D822" s="8"/>
      <c r="E822" s="8"/>
      <c r="F822" s="8"/>
      <c r="G822" s="8"/>
      <c r="H822" s="8"/>
      <c r="I822" s="8"/>
      <c r="J822" s="8"/>
      <c r="K822" s="8"/>
      <c r="L822" s="8"/>
      <c r="M822" s="8"/>
      <c r="N822" s="8"/>
      <c r="O822" s="8"/>
      <c r="P822" s="8"/>
      <c r="Q822" s="8"/>
      <c r="R822" s="8"/>
      <c r="S822" s="8"/>
      <c r="T822" s="8"/>
      <c r="U822" s="8"/>
      <c r="V822" s="8"/>
      <c r="W822" s="8"/>
      <c r="X822" s="8"/>
    </row>
    <row r="823" spans="1:24" ht="12.75" customHeight="1">
      <c r="A823" s="8"/>
      <c r="B823" s="8"/>
      <c r="C823" s="30"/>
      <c r="D823" s="8"/>
      <c r="E823" s="8"/>
      <c r="F823" s="8"/>
      <c r="G823" s="8"/>
      <c r="H823" s="8"/>
      <c r="I823" s="8"/>
      <c r="J823" s="8"/>
      <c r="K823" s="8"/>
      <c r="L823" s="8"/>
      <c r="M823" s="8"/>
      <c r="N823" s="8"/>
      <c r="O823" s="8"/>
      <c r="P823" s="8"/>
      <c r="Q823" s="8"/>
      <c r="R823" s="8"/>
      <c r="S823" s="8"/>
      <c r="T823" s="8"/>
      <c r="U823" s="8"/>
      <c r="V823" s="8"/>
      <c r="W823" s="8"/>
      <c r="X823" s="8"/>
    </row>
    <row r="824" spans="1:24" ht="12.75" customHeight="1">
      <c r="A824" s="8"/>
      <c r="B824" s="8"/>
      <c r="C824" s="30"/>
      <c r="D824" s="8"/>
      <c r="E824" s="8"/>
      <c r="F824" s="8"/>
      <c r="G824" s="8"/>
      <c r="H824" s="8"/>
      <c r="I824" s="8"/>
      <c r="J824" s="8"/>
      <c r="K824" s="8"/>
      <c r="L824" s="8"/>
      <c r="M824" s="8"/>
      <c r="N824" s="8"/>
      <c r="O824" s="8"/>
      <c r="P824" s="8"/>
      <c r="Q824" s="8"/>
      <c r="R824" s="8"/>
      <c r="S824" s="8"/>
      <c r="T824" s="8"/>
      <c r="U824" s="8"/>
      <c r="V824" s="8"/>
      <c r="W824" s="8"/>
      <c r="X824" s="8"/>
    </row>
    <row r="825" spans="1:24" ht="12.75" customHeight="1">
      <c r="A825" s="8"/>
      <c r="B825" s="8"/>
      <c r="C825" s="30"/>
      <c r="D825" s="8"/>
      <c r="E825" s="8"/>
      <c r="F825" s="8"/>
      <c r="G825" s="8"/>
      <c r="H825" s="8"/>
      <c r="I825" s="8"/>
      <c r="J825" s="8"/>
      <c r="K825" s="8"/>
      <c r="L825" s="8"/>
      <c r="M825" s="8"/>
      <c r="N825" s="8"/>
      <c r="O825" s="8"/>
      <c r="P825" s="8"/>
      <c r="Q825" s="8"/>
      <c r="R825" s="8"/>
      <c r="S825" s="8"/>
      <c r="T825" s="8"/>
      <c r="U825" s="8"/>
      <c r="V825" s="8"/>
      <c r="W825" s="8"/>
      <c r="X825" s="8"/>
    </row>
    <row r="826" spans="1:24" ht="12.75" customHeight="1">
      <c r="A826" s="8"/>
      <c r="B826" s="8"/>
      <c r="C826" s="30"/>
      <c r="D826" s="8"/>
      <c r="E826" s="8"/>
      <c r="F826" s="8"/>
      <c r="G826" s="8"/>
      <c r="H826" s="8"/>
      <c r="I826" s="8"/>
      <c r="J826" s="8"/>
      <c r="K826" s="8"/>
      <c r="L826" s="8"/>
      <c r="M826" s="8"/>
      <c r="N826" s="8"/>
      <c r="O826" s="8"/>
      <c r="P826" s="8"/>
      <c r="Q826" s="8"/>
      <c r="R826" s="8"/>
      <c r="S826" s="8"/>
      <c r="T826" s="8"/>
      <c r="U826" s="8"/>
      <c r="V826" s="8"/>
      <c r="W826" s="8"/>
      <c r="X826" s="8"/>
    </row>
    <row r="827" spans="1:24" ht="12.75" customHeight="1">
      <c r="A827" s="8"/>
      <c r="B827" s="8"/>
      <c r="C827" s="30"/>
      <c r="D827" s="8"/>
      <c r="E827" s="8"/>
      <c r="F827" s="8"/>
      <c r="G827" s="8"/>
      <c r="H827" s="8"/>
      <c r="I827" s="8"/>
      <c r="J827" s="8"/>
      <c r="K827" s="8"/>
      <c r="L827" s="8"/>
      <c r="M827" s="8"/>
      <c r="N827" s="8"/>
      <c r="O827" s="8"/>
      <c r="P827" s="8"/>
      <c r="Q827" s="8"/>
      <c r="R827" s="8"/>
      <c r="S827" s="8"/>
      <c r="T827" s="8"/>
      <c r="U827" s="8"/>
      <c r="V827" s="8"/>
      <c r="W827" s="8"/>
      <c r="X827" s="8"/>
    </row>
    <row r="828" spans="1:24" ht="12.75" customHeight="1">
      <c r="A828" s="8"/>
      <c r="B828" s="8"/>
      <c r="C828" s="30"/>
      <c r="D828" s="8"/>
      <c r="E828" s="8"/>
      <c r="F828" s="8"/>
      <c r="G828" s="8"/>
      <c r="H828" s="8"/>
      <c r="I828" s="8"/>
      <c r="J828" s="8"/>
      <c r="K828" s="8"/>
      <c r="L828" s="8"/>
      <c r="M828" s="8"/>
      <c r="N828" s="8"/>
      <c r="O828" s="8"/>
      <c r="P828" s="8"/>
      <c r="Q828" s="8"/>
      <c r="R828" s="8"/>
      <c r="S828" s="8"/>
      <c r="T828" s="8"/>
      <c r="U828" s="8"/>
      <c r="V828" s="8"/>
      <c r="W828" s="8"/>
      <c r="X828" s="8"/>
    </row>
    <row r="829" spans="1:24" ht="12.75" customHeight="1">
      <c r="A829" s="8"/>
      <c r="B829" s="8"/>
      <c r="C829" s="30"/>
      <c r="D829" s="8"/>
      <c r="E829" s="8"/>
      <c r="F829" s="8"/>
      <c r="G829" s="8"/>
      <c r="H829" s="8"/>
      <c r="I829" s="8"/>
      <c r="J829" s="8"/>
      <c r="K829" s="8"/>
      <c r="L829" s="8"/>
      <c r="M829" s="8"/>
      <c r="N829" s="8"/>
      <c r="O829" s="8"/>
      <c r="P829" s="8"/>
      <c r="Q829" s="8"/>
      <c r="R829" s="8"/>
      <c r="S829" s="8"/>
      <c r="T829" s="8"/>
      <c r="U829" s="8"/>
      <c r="V829" s="8"/>
      <c r="W829" s="8"/>
      <c r="X829" s="8"/>
    </row>
    <row r="830" spans="1:24" ht="12.75" customHeight="1">
      <c r="A830" s="8"/>
      <c r="B830" s="8"/>
      <c r="C830" s="30"/>
      <c r="D830" s="8"/>
      <c r="E830" s="8"/>
      <c r="F830" s="8"/>
      <c r="G830" s="8"/>
      <c r="H830" s="8"/>
      <c r="I830" s="8"/>
      <c r="J830" s="8"/>
      <c r="K830" s="8"/>
      <c r="L830" s="8"/>
      <c r="M830" s="8"/>
      <c r="N830" s="8"/>
      <c r="O830" s="8"/>
      <c r="P830" s="8"/>
      <c r="Q830" s="8"/>
      <c r="R830" s="8"/>
      <c r="S830" s="8"/>
      <c r="T830" s="8"/>
      <c r="U830" s="8"/>
      <c r="V830" s="8"/>
      <c r="W830" s="8"/>
      <c r="X830" s="8"/>
    </row>
    <row r="831" spans="1:24" ht="12.75" customHeight="1">
      <c r="A831" s="8"/>
      <c r="B831" s="8"/>
      <c r="C831" s="30"/>
      <c r="D831" s="8"/>
      <c r="E831" s="8"/>
      <c r="F831" s="8"/>
      <c r="G831" s="8"/>
      <c r="H831" s="8"/>
      <c r="I831" s="8"/>
      <c r="J831" s="8"/>
      <c r="K831" s="8"/>
      <c r="L831" s="8"/>
      <c r="M831" s="8"/>
      <c r="N831" s="8"/>
      <c r="O831" s="8"/>
      <c r="P831" s="8"/>
      <c r="Q831" s="8"/>
      <c r="R831" s="8"/>
      <c r="S831" s="8"/>
      <c r="T831" s="8"/>
      <c r="U831" s="8"/>
      <c r="V831" s="8"/>
      <c r="W831" s="8"/>
      <c r="X831" s="8"/>
    </row>
    <row r="832" spans="1:24" ht="12.75" customHeight="1">
      <c r="A832" s="8"/>
      <c r="B832" s="8"/>
      <c r="C832" s="30"/>
      <c r="D832" s="8"/>
      <c r="E832" s="8"/>
      <c r="F832" s="8"/>
      <c r="G832" s="8"/>
      <c r="H832" s="8"/>
      <c r="I832" s="8"/>
      <c r="J832" s="8"/>
      <c r="K832" s="8"/>
      <c r="L832" s="8"/>
      <c r="M832" s="8"/>
      <c r="N832" s="8"/>
      <c r="O832" s="8"/>
      <c r="P832" s="8"/>
      <c r="Q832" s="8"/>
      <c r="R832" s="8"/>
      <c r="S832" s="8"/>
      <c r="T832" s="8"/>
      <c r="U832" s="8"/>
      <c r="V832" s="8"/>
      <c r="W832" s="8"/>
      <c r="X832" s="8"/>
    </row>
    <row r="833" spans="1:24" ht="12.75" customHeight="1">
      <c r="A833" s="8"/>
      <c r="B833" s="8"/>
      <c r="C833" s="30"/>
      <c r="D833" s="8"/>
      <c r="E833" s="8"/>
      <c r="F833" s="8"/>
      <c r="G833" s="8"/>
      <c r="H833" s="8"/>
      <c r="I833" s="8"/>
      <c r="J833" s="8"/>
      <c r="K833" s="8"/>
      <c r="L833" s="8"/>
      <c r="M833" s="8"/>
      <c r="N833" s="8"/>
      <c r="O833" s="8"/>
      <c r="P833" s="8"/>
      <c r="Q833" s="8"/>
      <c r="R833" s="8"/>
      <c r="S833" s="8"/>
      <c r="T833" s="8"/>
      <c r="U833" s="8"/>
      <c r="V833" s="8"/>
      <c r="W833" s="8"/>
      <c r="X833" s="8"/>
    </row>
    <row r="834" spans="1:24" ht="12.75" customHeight="1">
      <c r="A834" s="8"/>
      <c r="B834" s="8"/>
      <c r="C834" s="30"/>
      <c r="D834" s="8"/>
      <c r="E834" s="8"/>
      <c r="F834" s="8"/>
      <c r="G834" s="8"/>
      <c r="H834" s="8"/>
      <c r="I834" s="8"/>
      <c r="J834" s="8"/>
      <c r="K834" s="8"/>
      <c r="L834" s="8"/>
      <c r="M834" s="8"/>
      <c r="N834" s="8"/>
      <c r="O834" s="8"/>
      <c r="P834" s="8"/>
      <c r="Q834" s="8"/>
      <c r="R834" s="8"/>
      <c r="S834" s="8"/>
      <c r="T834" s="8"/>
      <c r="U834" s="8"/>
      <c r="V834" s="8"/>
      <c r="W834" s="8"/>
      <c r="X834" s="8"/>
    </row>
    <row r="835" spans="1:24" ht="12.75" customHeight="1">
      <c r="A835" s="8"/>
      <c r="B835" s="8"/>
      <c r="C835" s="30"/>
      <c r="D835" s="8"/>
      <c r="E835" s="8"/>
      <c r="F835" s="8"/>
      <c r="G835" s="8"/>
      <c r="H835" s="8"/>
      <c r="I835" s="8"/>
      <c r="J835" s="8"/>
      <c r="K835" s="8"/>
      <c r="L835" s="8"/>
      <c r="M835" s="8"/>
      <c r="N835" s="8"/>
      <c r="O835" s="8"/>
      <c r="P835" s="8"/>
      <c r="Q835" s="8"/>
      <c r="R835" s="8"/>
      <c r="S835" s="8"/>
      <c r="T835" s="8"/>
      <c r="U835" s="8"/>
      <c r="V835" s="8"/>
      <c r="W835" s="8"/>
      <c r="X835" s="8"/>
    </row>
    <row r="836" spans="1:24" ht="12.75" customHeight="1">
      <c r="A836" s="8"/>
      <c r="B836" s="8"/>
      <c r="C836" s="30"/>
      <c r="D836" s="8"/>
      <c r="E836" s="8"/>
      <c r="F836" s="8"/>
      <c r="G836" s="8"/>
      <c r="H836" s="8"/>
      <c r="I836" s="8"/>
      <c r="J836" s="8"/>
      <c r="K836" s="8"/>
      <c r="L836" s="8"/>
      <c r="M836" s="8"/>
      <c r="N836" s="8"/>
      <c r="O836" s="8"/>
      <c r="P836" s="8"/>
      <c r="Q836" s="8"/>
      <c r="R836" s="8"/>
      <c r="S836" s="8"/>
      <c r="T836" s="8"/>
      <c r="U836" s="8"/>
      <c r="V836" s="8"/>
      <c r="W836" s="8"/>
      <c r="X836" s="8"/>
    </row>
    <row r="837" spans="1:24" ht="12.75" customHeight="1">
      <c r="A837" s="8"/>
      <c r="B837" s="8"/>
      <c r="C837" s="30"/>
      <c r="D837" s="8"/>
      <c r="E837" s="8"/>
      <c r="F837" s="8"/>
      <c r="G837" s="8"/>
      <c r="H837" s="8"/>
      <c r="I837" s="8"/>
      <c r="J837" s="8"/>
      <c r="K837" s="8"/>
      <c r="L837" s="8"/>
      <c r="M837" s="8"/>
      <c r="N837" s="8"/>
      <c r="O837" s="8"/>
      <c r="P837" s="8"/>
      <c r="Q837" s="8"/>
      <c r="R837" s="8"/>
      <c r="S837" s="8"/>
      <c r="T837" s="8"/>
      <c r="U837" s="8"/>
      <c r="V837" s="8"/>
      <c r="W837" s="8"/>
      <c r="X837" s="8"/>
    </row>
    <row r="838" spans="1:24" ht="12.75" customHeight="1">
      <c r="A838" s="8"/>
      <c r="B838" s="8"/>
      <c r="C838" s="30"/>
      <c r="D838" s="8"/>
      <c r="E838" s="8"/>
      <c r="F838" s="8"/>
      <c r="G838" s="8"/>
      <c r="H838" s="8"/>
      <c r="I838" s="8"/>
      <c r="J838" s="8"/>
      <c r="K838" s="8"/>
      <c r="L838" s="8"/>
      <c r="M838" s="8"/>
      <c r="N838" s="8"/>
      <c r="O838" s="8"/>
      <c r="P838" s="8"/>
      <c r="Q838" s="8"/>
      <c r="R838" s="8"/>
      <c r="S838" s="8"/>
      <c r="T838" s="8"/>
      <c r="U838" s="8"/>
      <c r="V838" s="8"/>
      <c r="W838" s="8"/>
      <c r="X838" s="8"/>
    </row>
    <row r="839" spans="1:24" ht="12.75" customHeight="1">
      <c r="A839" s="8"/>
      <c r="B839" s="8"/>
      <c r="C839" s="30"/>
      <c r="D839" s="8"/>
      <c r="E839" s="8"/>
      <c r="F839" s="8"/>
      <c r="G839" s="8"/>
      <c r="H839" s="8"/>
      <c r="I839" s="8"/>
      <c r="J839" s="8"/>
      <c r="K839" s="8"/>
      <c r="L839" s="8"/>
      <c r="M839" s="8"/>
      <c r="N839" s="8"/>
      <c r="O839" s="8"/>
      <c r="P839" s="8"/>
      <c r="Q839" s="8"/>
      <c r="R839" s="8"/>
      <c r="S839" s="8"/>
      <c r="T839" s="8"/>
      <c r="U839" s="8"/>
      <c r="V839" s="8"/>
      <c r="W839" s="8"/>
      <c r="X839" s="8"/>
    </row>
    <row r="840" spans="1:24" ht="12.75" customHeight="1">
      <c r="A840" s="8"/>
      <c r="B840" s="8"/>
      <c r="C840" s="30"/>
      <c r="D840" s="8"/>
      <c r="E840" s="8"/>
      <c r="F840" s="8"/>
      <c r="G840" s="8"/>
      <c r="H840" s="8"/>
      <c r="I840" s="8"/>
      <c r="J840" s="8"/>
      <c r="K840" s="8"/>
      <c r="L840" s="8"/>
      <c r="M840" s="8"/>
      <c r="N840" s="8"/>
      <c r="O840" s="8"/>
      <c r="P840" s="8"/>
      <c r="Q840" s="8"/>
      <c r="R840" s="8"/>
      <c r="S840" s="8"/>
      <c r="T840" s="8"/>
      <c r="U840" s="8"/>
      <c r="V840" s="8"/>
      <c r="W840" s="8"/>
      <c r="X840" s="8"/>
    </row>
    <row r="841" spans="1:24" ht="12.75" customHeight="1">
      <c r="A841" s="8"/>
      <c r="B841" s="8"/>
      <c r="C841" s="30"/>
      <c r="D841" s="8"/>
      <c r="E841" s="8"/>
      <c r="F841" s="8"/>
      <c r="G841" s="8"/>
      <c r="H841" s="8"/>
      <c r="I841" s="8"/>
      <c r="J841" s="8"/>
      <c r="K841" s="8"/>
      <c r="L841" s="8"/>
      <c r="M841" s="8"/>
      <c r="N841" s="8"/>
      <c r="O841" s="8"/>
      <c r="P841" s="8"/>
      <c r="Q841" s="8"/>
      <c r="R841" s="8"/>
      <c r="S841" s="8"/>
      <c r="T841" s="8"/>
      <c r="U841" s="8"/>
      <c r="V841" s="8"/>
      <c r="W841" s="8"/>
      <c r="X841" s="8"/>
    </row>
    <row r="842" spans="1:24" ht="12.75" customHeight="1">
      <c r="A842" s="8"/>
      <c r="B842" s="8"/>
      <c r="C842" s="30"/>
      <c r="D842" s="8"/>
      <c r="E842" s="8"/>
      <c r="F842" s="8"/>
      <c r="G842" s="8"/>
      <c r="H842" s="8"/>
      <c r="I842" s="8"/>
      <c r="J842" s="8"/>
      <c r="K842" s="8"/>
      <c r="L842" s="8"/>
      <c r="M842" s="8"/>
      <c r="N842" s="8"/>
      <c r="O842" s="8"/>
      <c r="P842" s="8"/>
      <c r="Q842" s="8"/>
      <c r="R842" s="8"/>
      <c r="S842" s="8"/>
      <c r="T842" s="8"/>
      <c r="U842" s="8"/>
      <c r="V842" s="8"/>
      <c r="W842" s="8"/>
      <c r="X842" s="8"/>
    </row>
    <row r="843" spans="1:24" ht="12.75" customHeight="1">
      <c r="A843" s="8"/>
      <c r="B843" s="8"/>
      <c r="C843" s="30"/>
      <c r="D843" s="8"/>
      <c r="E843" s="8"/>
      <c r="F843" s="8"/>
      <c r="G843" s="8"/>
      <c r="H843" s="8"/>
      <c r="I843" s="8"/>
      <c r="J843" s="8"/>
      <c r="K843" s="8"/>
      <c r="L843" s="8"/>
      <c r="M843" s="8"/>
      <c r="N843" s="8"/>
      <c r="O843" s="8"/>
      <c r="P843" s="8"/>
      <c r="Q843" s="8"/>
      <c r="R843" s="8"/>
      <c r="S843" s="8"/>
      <c r="T843" s="8"/>
      <c r="U843" s="8"/>
      <c r="V843" s="8"/>
      <c r="W843" s="8"/>
      <c r="X843" s="8"/>
    </row>
    <row r="844" spans="1:24" ht="12.75" customHeight="1">
      <c r="A844" s="8"/>
      <c r="B844" s="8"/>
      <c r="C844" s="30"/>
      <c r="D844" s="8"/>
      <c r="E844" s="8"/>
      <c r="F844" s="8"/>
      <c r="G844" s="8"/>
      <c r="H844" s="8"/>
      <c r="I844" s="8"/>
      <c r="J844" s="8"/>
      <c r="K844" s="8"/>
      <c r="L844" s="8"/>
      <c r="M844" s="8"/>
      <c r="N844" s="8"/>
      <c r="O844" s="8"/>
      <c r="P844" s="8"/>
      <c r="Q844" s="8"/>
      <c r="R844" s="8"/>
      <c r="S844" s="8"/>
      <c r="T844" s="8"/>
      <c r="U844" s="8"/>
      <c r="V844" s="8"/>
      <c r="W844" s="8"/>
      <c r="X844" s="8"/>
    </row>
    <row r="845" spans="1:24" ht="12.75" customHeight="1">
      <c r="A845" s="8"/>
      <c r="B845" s="8"/>
      <c r="C845" s="30"/>
      <c r="D845" s="8"/>
      <c r="E845" s="8"/>
      <c r="F845" s="8"/>
      <c r="G845" s="8"/>
      <c r="H845" s="8"/>
      <c r="I845" s="8"/>
      <c r="J845" s="8"/>
      <c r="K845" s="8"/>
      <c r="L845" s="8"/>
      <c r="M845" s="8"/>
      <c r="N845" s="8"/>
      <c r="O845" s="8"/>
      <c r="P845" s="8"/>
      <c r="Q845" s="8"/>
      <c r="R845" s="8"/>
      <c r="S845" s="8"/>
      <c r="T845" s="8"/>
      <c r="U845" s="8"/>
      <c r="V845" s="8"/>
      <c r="W845" s="8"/>
      <c r="X845" s="8"/>
    </row>
    <row r="846" spans="1:24" ht="12.75" customHeight="1">
      <c r="A846" s="8"/>
      <c r="B846" s="8"/>
      <c r="C846" s="30"/>
      <c r="D846" s="8"/>
      <c r="E846" s="8"/>
      <c r="F846" s="8"/>
      <c r="G846" s="8"/>
      <c r="H846" s="8"/>
      <c r="I846" s="8"/>
      <c r="J846" s="8"/>
      <c r="K846" s="8"/>
      <c r="L846" s="8"/>
      <c r="M846" s="8"/>
      <c r="N846" s="8"/>
      <c r="O846" s="8"/>
      <c r="P846" s="8"/>
      <c r="Q846" s="8"/>
      <c r="R846" s="8"/>
      <c r="S846" s="8"/>
      <c r="T846" s="8"/>
      <c r="U846" s="8"/>
      <c r="V846" s="8"/>
      <c r="W846" s="8"/>
      <c r="X846" s="8"/>
    </row>
    <row r="847" spans="1:24" ht="12.75" customHeight="1">
      <c r="A847" s="8"/>
      <c r="B847" s="8"/>
      <c r="C847" s="30"/>
      <c r="D847" s="8"/>
      <c r="E847" s="8"/>
      <c r="F847" s="8"/>
      <c r="G847" s="8"/>
      <c r="H847" s="8"/>
      <c r="I847" s="8"/>
      <c r="J847" s="8"/>
      <c r="K847" s="8"/>
      <c r="L847" s="8"/>
      <c r="M847" s="8"/>
      <c r="N847" s="8"/>
      <c r="O847" s="8"/>
      <c r="P847" s="8"/>
      <c r="Q847" s="8"/>
      <c r="R847" s="8"/>
      <c r="S847" s="8"/>
      <c r="T847" s="8"/>
      <c r="U847" s="8"/>
      <c r="V847" s="8"/>
      <c r="W847" s="8"/>
      <c r="X847" s="8"/>
    </row>
    <row r="848" spans="1:24" ht="12.75" customHeight="1">
      <c r="A848" s="8"/>
      <c r="B848" s="8"/>
      <c r="C848" s="30"/>
      <c r="D848" s="8"/>
      <c r="E848" s="8"/>
      <c r="F848" s="8"/>
      <c r="G848" s="8"/>
      <c r="H848" s="8"/>
      <c r="I848" s="8"/>
      <c r="J848" s="8"/>
      <c r="K848" s="8"/>
      <c r="L848" s="8"/>
      <c r="M848" s="8"/>
      <c r="N848" s="8"/>
      <c r="O848" s="8"/>
      <c r="P848" s="8"/>
      <c r="Q848" s="8"/>
      <c r="R848" s="8"/>
      <c r="S848" s="8"/>
      <c r="T848" s="8"/>
      <c r="U848" s="8"/>
      <c r="V848" s="8"/>
      <c r="W848" s="8"/>
      <c r="X848" s="8"/>
    </row>
    <row r="849" spans="1:24" ht="12.75" customHeight="1">
      <c r="A849" s="8"/>
      <c r="B849" s="8"/>
      <c r="C849" s="30"/>
      <c r="D849" s="8"/>
      <c r="E849" s="8"/>
      <c r="F849" s="8"/>
      <c r="G849" s="8"/>
      <c r="H849" s="8"/>
      <c r="I849" s="8"/>
      <c r="J849" s="8"/>
      <c r="K849" s="8"/>
      <c r="L849" s="8"/>
      <c r="M849" s="8"/>
      <c r="N849" s="8"/>
      <c r="O849" s="8"/>
      <c r="P849" s="8"/>
      <c r="Q849" s="8"/>
      <c r="R849" s="8"/>
      <c r="S849" s="8"/>
      <c r="T849" s="8"/>
      <c r="U849" s="8"/>
      <c r="V849" s="8"/>
      <c r="W849" s="8"/>
      <c r="X849" s="8"/>
    </row>
    <row r="850" spans="1:24" ht="12.75" customHeight="1">
      <c r="A850" s="8"/>
      <c r="B850" s="8"/>
      <c r="C850" s="30"/>
      <c r="D850" s="8"/>
      <c r="E850" s="8"/>
      <c r="F850" s="8"/>
      <c r="G850" s="8"/>
      <c r="H850" s="8"/>
      <c r="I850" s="8"/>
      <c r="J850" s="8"/>
      <c r="K850" s="8"/>
      <c r="L850" s="8"/>
      <c r="M850" s="8"/>
      <c r="N850" s="8"/>
      <c r="O850" s="8"/>
      <c r="P850" s="8"/>
      <c r="Q850" s="8"/>
      <c r="R850" s="8"/>
      <c r="S850" s="8"/>
      <c r="T850" s="8"/>
      <c r="U850" s="8"/>
      <c r="V850" s="8"/>
      <c r="W850" s="8"/>
      <c r="X850" s="8"/>
    </row>
    <row r="851" spans="1:24" ht="12.75" customHeight="1">
      <c r="A851" s="8"/>
      <c r="B851" s="8"/>
      <c r="C851" s="30"/>
      <c r="D851" s="8"/>
      <c r="E851" s="8"/>
      <c r="F851" s="8"/>
      <c r="G851" s="8"/>
      <c r="H851" s="8"/>
      <c r="I851" s="8"/>
      <c r="J851" s="8"/>
      <c r="K851" s="8"/>
      <c r="L851" s="8"/>
      <c r="M851" s="8"/>
      <c r="N851" s="8"/>
      <c r="O851" s="8"/>
      <c r="P851" s="8"/>
      <c r="Q851" s="8"/>
      <c r="R851" s="8"/>
      <c r="S851" s="8"/>
      <c r="T851" s="8"/>
      <c r="U851" s="8"/>
      <c r="V851" s="8"/>
      <c r="W851" s="8"/>
      <c r="X851" s="8"/>
    </row>
    <row r="852" spans="1:24" ht="12.75" customHeight="1">
      <c r="A852" s="8"/>
      <c r="B852" s="8"/>
      <c r="C852" s="30"/>
      <c r="D852" s="8"/>
      <c r="E852" s="8"/>
      <c r="F852" s="8"/>
      <c r="G852" s="8"/>
      <c r="H852" s="8"/>
      <c r="I852" s="8"/>
      <c r="J852" s="8"/>
      <c r="K852" s="8"/>
      <c r="L852" s="8"/>
      <c r="M852" s="8"/>
      <c r="N852" s="8"/>
      <c r="O852" s="8"/>
      <c r="P852" s="8"/>
      <c r="Q852" s="8"/>
      <c r="R852" s="8"/>
      <c r="S852" s="8"/>
      <c r="T852" s="8"/>
      <c r="U852" s="8"/>
      <c r="V852" s="8"/>
      <c r="W852" s="8"/>
      <c r="X852" s="8"/>
    </row>
    <row r="853" spans="1:24" ht="12.75" customHeight="1">
      <c r="A853" s="8"/>
      <c r="B853" s="8"/>
      <c r="C853" s="30"/>
      <c r="D853" s="8"/>
      <c r="E853" s="8"/>
      <c r="F853" s="8"/>
      <c r="G853" s="8"/>
      <c r="H853" s="8"/>
      <c r="I853" s="8"/>
      <c r="J853" s="8"/>
      <c r="K853" s="8"/>
      <c r="L853" s="8"/>
      <c r="M853" s="8"/>
      <c r="N853" s="8"/>
      <c r="O853" s="8"/>
      <c r="P853" s="8"/>
      <c r="Q853" s="8"/>
      <c r="R853" s="8"/>
      <c r="S853" s="8"/>
      <c r="T853" s="8"/>
      <c r="U853" s="8"/>
      <c r="V853" s="8"/>
      <c r="W853" s="8"/>
      <c r="X853" s="8"/>
    </row>
    <row r="854" spans="1:24" ht="12.75" customHeight="1">
      <c r="A854" s="8"/>
      <c r="B854" s="8"/>
      <c r="C854" s="30"/>
      <c r="D854" s="8"/>
      <c r="E854" s="8"/>
      <c r="F854" s="8"/>
      <c r="G854" s="8"/>
      <c r="H854" s="8"/>
      <c r="I854" s="8"/>
      <c r="J854" s="8"/>
      <c r="K854" s="8"/>
      <c r="L854" s="8"/>
      <c r="M854" s="8"/>
      <c r="N854" s="8"/>
      <c r="O854" s="8"/>
      <c r="P854" s="8"/>
      <c r="Q854" s="8"/>
      <c r="R854" s="8"/>
      <c r="S854" s="8"/>
      <c r="T854" s="8"/>
      <c r="U854" s="8"/>
      <c r="V854" s="8"/>
      <c r="W854" s="8"/>
      <c r="X854" s="8"/>
    </row>
    <row r="855" spans="1:24" ht="12.75" customHeight="1">
      <c r="A855" s="8"/>
      <c r="B855" s="8"/>
      <c r="C855" s="30"/>
      <c r="D855" s="8"/>
      <c r="E855" s="8"/>
      <c r="F855" s="8"/>
      <c r="G855" s="8"/>
      <c r="H855" s="8"/>
      <c r="I855" s="8"/>
      <c r="J855" s="8"/>
      <c r="K855" s="8"/>
      <c r="L855" s="8"/>
      <c r="M855" s="8"/>
      <c r="N855" s="8"/>
      <c r="O855" s="8"/>
      <c r="P855" s="8"/>
      <c r="Q855" s="8"/>
      <c r="R855" s="8"/>
      <c r="S855" s="8"/>
      <c r="T855" s="8"/>
      <c r="U855" s="8"/>
      <c r="V855" s="8"/>
      <c r="W855" s="8"/>
      <c r="X855" s="8"/>
    </row>
    <row r="856" spans="1:24" ht="12.75" customHeight="1">
      <c r="A856" s="8"/>
      <c r="B856" s="8"/>
      <c r="C856" s="30"/>
      <c r="D856" s="8"/>
      <c r="E856" s="8"/>
      <c r="F856" s="8"/>
      <c r="G856" s="8"/>
      <c r="H856" s="8"/>
      <c r="I856" s="8"/>
      <c r="J856" s="8"/>
      <c r="K856" s="8"/>
      <c r="L856" s="8"/>
      <c r="M856" s="8"/>
      <c r="N856" s="8"/>
      <c r="O856" s="8"/>
      <c r="P856" s="8"/>
      <c r="Q856" s="8"/>
      <c r="R856" s="8"/>
      <c r="S856" s="8"/>
      <c r="T856" s="8"/>
      <c r="U856" s="8"/>
      <c r="V856" s="8"/>
      <c r="W856" s="8"/>
      <c r="X856" s="8"/>
    </row>
    <row r="857" spans="1:24" ht="12.75" customHeight="1">
      <c r="A857" s="8"/>
      <c r="B857" s="8"/>
      <c r="C857" s="30"/>
      <c r="D857" s="8"/>
      <c r="E857" s="8"/>
      <c r="F857" s="8"/>
      <c r="G857" s="8"/>
      <c r="H857" s="8"/>
      <c r="I857" s="8"/>
      <c r="J857" s="8"/>
      <c r="K857" s="8"/>
      <c r="L857" s="8"/>
      <c r="M857" s="8"/>
      <c r="N857" s="8"/>
      <c r="O857" s="8"/>
      <c r="P857" s="8"/>
      <c r="Q857" s="8"/>
      <c r="R857" s="8"/>
      <c r="S857" s="8"/>
      <c r="T857" s="8"/>
      <c r="U857" s="8"/>
      <c r="V857" s="8"/>
      <c r="W857" s="8"/>
      <c r="X857" s="8"/>
    </row>
    <row r="858" spans="1:24" ht="12.75" customHeight="1">
      <c r="A858" s="8"/>
      <c r="B858" s="8"/>
      <c r="C858" s="30"/>
      <c r="D858" s="8"/>
      <c r="E858" s="8"/>
      <c r="F858" s="8"/>
      <c r="G858" s="8"/>
      <c r="H858" s="8"/>
      <c r="I858" s="8"/>
      <c r="J858" s="8"/>
      <c r="K858" s="8"/>
      <c r="L858" s="8"/>
      <c r="M858" s="8"/>
      <c r="N858" s="8"/>
      <c r="O858" s="8"/>
      <c r="P858" s="8"/>
      <c r="Q858" s="8"/>
      <c r="R858" s="8"/>
      <c r="S858" s="8"/>
      <c r="T858" s="8"/>
      <c r="U858" s="8"/>
      <c r="V858" s="8"/>
      <c r="W858" s="8"/>
      <c r="X858" s="8"/>
    </row>
    <row r="859" spans="1:24" ht="12.75" customHeight="1">
      <c r="A859" s="8"/>
      <c r="B859" s="8"/>
      <c r="C859" s="30"/>
      <c r="D859" s="8"/>
      <c r="E859" s="8"/>
      <c r="F859" s="8"/>
      <c r="G859" s="8"/>
      <c r="H859" s="8"/>
      <c r="I859" s="8"/>
      <c r="J859" s="8"/>
      <c r="K859" s="8"/>
      <c r="L859" s="8"/>
      <c r="M859" s="8"/>
      <c r="N859" s="8"/>
      <c r="O859" s="8"/>
      <c r="P859" s="8"/>
      <c r="Q859" s="8"/>
      <c r="R859" s="8"/>
      <c r="S859" s="8"/>
      <c r="T859" s="8"/>
      <c r="U859" s="8"/>
      <c r="V859" s="8"/>
      <c r="W859" s="8"/>
      <c r="X859" s="8"/>
    </row>
    <row r="860" spans="1:24" ht="12.75" customHeight="1">
      <c r="A860" s="8"/>
      <c r="B860" s="8"/>
      <c r="C860" s="30"/>
      <c r="D860" s="8"/>
      <c r="E860" s="8"/>
      <c r="F860" s="8"/>
      <c r="G860" s="8"/>
      <c r="H860" s="8"/>
      <c r="I860" s="8"/>
      <c r="J860" s="8"/>
      <c r="K860" s="8"/>
      <c r="L860" s="8"/>
      <c r="M860" s="8"/>
      <c r="N860" s="8"/>
      <c r="O860" s="8"/>
      <c r="P860" s="8"/>
      <c r="Q860" s="8"/>
      <c r="R860" s="8"/>
      <c r="S860" s="8"/>
      <c r="T860" s="8"/>
      <c r="U860" s="8"/>
      <c r="V860" s="8"/>
      <c r="W860" s="8"/>
      <c r="X860" s="8"/>
    </row>
    <row r="861" spans="1:24" ht="12.75" customHeight="1">
      <c r="A861" s="8"/>
      <c r="B861" s="8"/>
      <c r="C861" s="30"/>
      <c r="D861" s="8"/>
      <c r="E861" s="8"/>
      <c r="F861" s="8"/>
      <c r="G861" s="8"/>
      <c r="H861" s="8"/>
      <c r="I861" s="8"/>
      <c r="J861" s="8"/>
      <c r="K861" s="8"/>
      <c r="L861" s="8"/>
      <c r="M861" s="8"/>
      <c r="N861" s="8"/>
      <c r="O861" s="8"/>
      <c r="P861" s="8"/>
      <c r="Q861" s="8"/>
      <c r="R861" s="8"/>
      <c r="S861" s="8"/>
      <c r="T861" s="8"/>
      <c r="U861" s="8"/>
      <c r="V861" s="8"/>
      <c r="W861" s="8"/>
      <c r="X861" s="8"/>
    </row>
    <row r="862" spans="1:24" ht="12.75" customHeight="1">
      <c r="A862" s="8"/>
      <c r="B862" s="8"/>
      <c r="C862" s="30"/>
      <c r="D862" s="8"/>
      <c r="E862" s="8"/>
      <c r="F862" s="8"/>
      <c r="G862" s="8"/>
      <c r="H862" s="8"/>
      <c r="I862" s="8"/>
      <c r="J862" s="8"/>
      <c r="K862" s="8"/>
      <c r="L862" s="8"/>
      <c r="M862" s="8"/>
      <c r="N862" s="8"/>
      <c r="O862" s="8"/>
      <c r="P862" s="8"/>
      <c r="Q862" s="8"/>
      <c r="R862" s="8"/>
      <c r="S862" s="8"/>
      <c r="T862" s="8"/>
      <c r="U862" s="8"/>
      <c r="V862" s="8"/>
      <c r="W862" s="8"/>
      <c r="X862" s="8"/>
    </row>
    <row r="863" spans="1:24" ht="12.75" customHeight="1">
      <c r="A863" s="8"/>
      <c r="B863" s="8"/>
      <c r="C863" s="30"/>
      <c r="D863" s="8"/>
      <c r="E863" s="8"/>
      <c r="F863" s="8"/>
      <c r="G863" s="8"/>
      <c r="H863" s="8"/>
      <c r="I863" s="8"/>
      <c r="J863" s="8"/>
      <c r="K863" s="8"/>
      <c r="L863" s="8"/>
      <c r="M863" s="8"/>
      <c r="N863" s="8"/>
      <c r="O863" s="8"/>
      <c r="P863" s="8"/>
      <c r="Q863" s="8"/>
      <c r="R863" s="8"/>
      <c r="S863" s="8"/>
      <c r="T863" s="8"/>
      <c r="U863" s="8"/>
      <c r="V863" s="8"/>
      <c r="W863" s="8"/>
      <c r="X863" s="8"/>
    </row>
    <row r="864" spans="1:24" ht="12.75" customHeight="1">
      <c r="A864" s="8"/>
      <c r="B864" s="8"/>
      <c r="C864" s="30"/>
      <c r="D864" s="8"/>
      <c r="E864" s="8"/>
      <c r="F864" s="8"/>
      <c r="G864" s="8"/>
      <c r="H864" s="8"/>
      <c r="I864" s="8"/>
      <c r="J864" s="8"/>
      <c r="K864" s="8"/>
      <c r="L864" s="8"/>
      <c r="M864" s="8"/>
      <c r="N864" s="8"/>
      <c r="O864" s="8"/>
      <c r="P864" s="8"/>
      <c r="Q864" s="8"/>
      <c r="R864" s="8"/>
      <c r="S864" s="8"/>
      <c r="T864" s="8"/>
      <c r="U864" s="8"/>
      <c r="V864" s="8"/>
      <c r="W864" s="8"/>
      <c r="X864" s="8"/>
    </row>
    <row r="865" spans="1:24" ht="12.75" customHeight="1">
      <c r="A865" s="8"/>
      <c r="B865" s="8"/>
      <c r="C865" s="30"/>
      <c r="D865" s="8"/>
      <c r="E865" s="8"/>
      <c r="F865" s="8"/>
      <c r="G865" s="8"/>
      <c r="H865" s="8"/>
      <c r="I865" s="8"/>
      <c r="J865" s="8"/>
      <c r="K865" s="8"/>
      <c r="L865" s="8"/>
      <c r="M865" s="8"/>
      <c r="N865" s="8"/>
      <c r="O865" s="8"/>
      <c r="P865" s="8"/>
      <c r="Q865" s="8"/>
      <c r="R865" s="8"/>
      <c r="S865" s="8"/>
      <c r="T865" s="8"/>
      <c r="U865" s="8"/>
      <c r="V865" s="8"/>
      <c r="W865" s="8"/>
      <c r="X865" s="8"/>
    </row>
    <row r="866" spans="1:24" ht="12.75" customHeight="1">
      <c r="A866" s="8"/>
      <c r="B866" s="8"/>
      <c r="C866" s="30"/>
      <c r="D866" s="8"/>
      <c r="E866" s="8"/>
      <c r="F866" s="8"/>
      <c r="G866" s="8"/>
      <c r="H866" s="8"/>
      <c r="I866" s="8"/>
      <c r="J866" s="8"/>
      <c r="K866" s="8"/>
      <c r="L866" s="8"/>
      <c r="M866" s="8"/>
      <c r="N866" s="8"/>
      <c r="O866" s="8"/>
      <c r="P866" s="8"/>
      <c r="Q866" s="8"/>
      <c r="R866" s="8"/>
      <c r="S866" s="8"/>
      <c r="T866" s="8"/>
      <c r="U866" s="8"/>
      <c r="V866" s="8"/>
      <c r="W866" s="8"/>
      <c r="X866" s="8"/>
    </row>
    <row r="867" spans="1:24" ht="12.75" customHeight="1">
      <c r="A867" s="8"/>
      <c r="B867" s="8"/>
      <c r="C867" s="30"/>
      <c r="D867" s="8"/>
      <c r="E867" s="8"/>
      <c r="F867" s="8"/>
      <c r="G867" s="8"/>
      <c r="H867" s="8"/>
      <c r="I867" s="8"/>
      <c r="J867" s="8"/>
      <c r="K867" s="8"/>
      <c r="L867" s="8"/>
      <c r="M867" s="8"/>
      <c r="N867" s="8"/>
      <c r="O867" s="8"/>
      <c r="P867" s="8"/>
      <c r="Q867" s="8"/>
      <c r="R867" s="8"/>
      <c r="S867" s="8"/>
      <c r="T867" s="8"/>
      <c r="U867" s="8"/>
      <c r="V867" s="8"/>
      <c r="W867" s="8"/>
      <c r="X867" s="8"/>
    </row>
    <row r="868" spans="1:24" ht="12.75" customHeight="1">
      <c r="A868" s="8"/>
      <c r="B868" s="8"/>
      <c r="C868" s="30"/>
      <c r="D868" s="8"/>
      <c r="E868" s="8"/>
      <c r="F868" s="8"/>
      <c r="G868" s="8"/>
      <c r="H868" s="8"/>
      <c r="I868" s="8"/>
      <c r="J868" s="8"/>
      <c r="K868" s="8"/>
      <c r="L868" s="8"/>
      <c r="M868" s="8"/>
      <c r="N868" s="8"/>
      <c r="O868" s="8"/>
      <c r="P868" s="8"/>
      <c r="Q868" s="8"/>
      <c r="R868" s="8"/>
      <c r="S868" s="8"/>
      <c r="T868" s="8"/>
      <c r="U868" s="8"/>
      <c r="V868" s="8"/>
      <c r="W868" s="8"/>
      <c r="X868" s="8"/>
    </row>
    <row r="869" spans="1:24" ht="12.75" customHeight="1">
      <c r="A869" s="8"/>
      <c r="B869" s="8"/>
      <c r="C869" s="30"/>
      <c r="D869" s="8"/>
      <c r="E869" s="8"/>
      <c r="F869" s="8"/>
      <c r="G869" s="8"/>
      <c r="H869" s="8"/>
      <c r="I869" s="8"/>
      <c r="J869" s="8"/>
      <c r="K869" s="8"/>
      <c r="L869" s="8"/>
      <c r="M869" s="8"/>
      <c r="N869" s="8"/>
      <c r="O869" s="8"/>
      <c r="P869" s="8"/>
      <c r="Q869" s="8"/>
      <c r="R869" s="8"/>
      <c r="S869" s="8"/>
      <c r="T869" s="8"/>
      <c r="U869" s="8"/>
      <c r="V869" s="8"/>
      <c r="W869" s="8"/>
      <c r="X869" s="8"/>
    </row>
    <row r="870" spans="1:24" ht="12.75" customHeight="1">
      <c r="A870" s="8"/>
      <c r="B870" s="8"/>
      <c r="C870" s="30"/>
      <c r="D870" s="8"/>
      <c r="E870" s="8"/>
      <c r="F870" s="8"/>
      <c r="G870" s="8"/>
      <c r="H870" s="8"/>
      <c r="I870" s="8"/>
      <c r="J870" s="8"/>
      <c r="K870" s="8"/>
      <c r="L870" s="8"/>
      <c r="M870" s="8"/>
      <c r="N870" s="8"/>
      <c r="O870" s="8"/>
      <c r="P870" s="8"/>
      <c r="Q870" s="8"/>
      <c r="R870" s="8"/>
      <c r="S870" s="8"/>
      <c r="T870" s="8"/>
      <c r="U870" s="8"/>
      <c r="V870" s="8"/>
      <c r="W870" s="8"/>
      <c r="X870" s="8"/>
    </row>
    <row r="871" spans="1:24" ht="12.75" customHeight="1">
      <c r="A871" s="8"/>
      <c r="B871" s="8"/>
      <c r="C871" s="30"/>
      <c r="D871" s="8"/>
      <c r="E871" s="8"/>
      <c r="F871" s="8"/>
      <c r="G871" s="8"/>
      <c r="H871" s="8"/>
      <c r="I871" s="8"/>
      <c r="J871" s="8"/>
      <c r="K871" s="8"/>
      <c r="L871" s="8"/>
      <c r="M871" s="8"/>
      <c r="N871" s="8"/>
      <c r="O871" s="8"/>
      <c r="P871" s="8"/>
      <c r="Q871" s="8"/>
      <c r="R871" s="8"/>
      <c r="S871" s="8"/>
      <c r="T871" s="8"/>
      <c r="U871" s="8"/>
      <c r="V871" s="8"/>
      <c r="W871" s="8"/>
      <c r="X871" s="8"/>
    </row>
    <row r="872" spans="1:24" ht="12.75" customHeight="1">
      <c r="A872" s="8"/>
      <c r="B872" s="8"/>
      <c r="C872" s="30"/>
      <c r="D872" s="8"/>
      <c r="E872" s="8"/>
      <c r="F872" s="8"/>
      <c r="G872" s="8"/>
      <c r="H872" s="8"/>
      <c r="I872" s="8"/>
      <c r="J872" s="8"/>
      <c r="K872" s="8"/>
      <c r="L872" s="8"/>
      <c r="M872" s="8"/>
      <c r="N872" s="8"/>
      <c r="O872" s="8"/>
      <c r="P872" s="8"/>
      <c r="Q872" s="8"/>
      <c r="R872" s="8"/>
      <c r="S872" s="8"/>
      <c r="T872" s="8"/>
      <c r="U872" s="8"/>
      <c r="V872" s="8"/>
      <c r="W872" s="8"/>
      <c r="X872" s="8"/>
    </row>
    <row r="873" spans="1:24" ht="12.75" customHeight="1">
      <c r="A873" s="8"/>
      <c r="B873" s="8"/>
      <c r="C873" s="30"/>
      <c r="D873" s="8"/>
      <c r="E873" s="8"/>
      <c r="F873" s="8"/>
      <c r="G873" s="8"/>
      <c r="H873" s="8"/>
      <c r="I873" s="8"/>
      <c r="J873" s="8"/>
      <c r="K873" s="8"/>
      <c r="L873" s="8"/>
      <c r="M873" s="8"/>
      <c r="N873" s="8"/>
      <c r="O873" s="8"/>
      <c r="P873" s="8"/>
      <c r="Q873" s="8"/>
      <c r="R873" s="8"/>
      <c r="S873" s="8"/>
      <c r="T873" s="8"/>
      <c r="U873" s="8"/>
      <c r="V873" s="8"/>
      <c r="W873" s="8"/>
      <c r="X873" s="8"/>
    </row>
    <row r="874" spans="1:24" ht="12.75" customHeight="1">
      <c r="A874" s="8"/>
      <c r="B874" s="8"/>
      <c r="C874" s="30"/>
      <c r="D874" s="8"/>
      <c r="E874" s="8"/>
      <c r="F874" s="8"/>
      <c r="G874" s="8"/>
      <c r="H874" s="8"/>
      <c r="I874" s="8"/>
      <c r="J874" s="8"/>
      <c r="K874" s="8"/>
      <c r="L874" s="8"/>
      <c r="M874" s="8"/>
      <c r="N874" s="8"/>
      <c r="O874" s="8"/>
      <c r="P874" s="8"/>
      <c r="Q874" s="8"/>
      <c r="R874" s="8"/>
      <c r="S874" s="8"/>
      <c r="T874" s="8"/>
      <c r="U874" s="8"/>
      <c r="V874" s="8"/>
      <c r="W874" s="8"/>
      <c r="X874" s="8"/>
    </row>
    <row r="875" spans="1:24" ht="12.75" customHeight="1">
      <c r="A875" s="8"/>
      <c r="B875" s="8"/>
      <c r="C875" s="30"/>
      <c r="D875" s="8"/>
      <c r="E875" s="8"/>
      <c r="F875" s="8"/>
      <c r="G875" s="8"/>
      <c r="H875" s="8"/>
      <c r="I875" s="8"/>
      <c r="J875" s="8"/>
      <c r="K875" s="8"/>
      <c r="L875" s="8"/>
      <c r="M875" s="8"/>
      <c r="N875" s="8"/>
      <c r="O875" s="8"/>
      <c r="P875" s="8"/>
      <c r="Q875" s="8"/>
      <c r="R875" s="8"/>
      <c r="S875" s="8"/>
      <c r="T875" s="8"/>
      <c r="U875" s="8"/>
      <c r="V875" s="8"/>
      <c r="W875" s="8"/>
      <c r="X875" s="8"/>
    </row>
    <row r="876" spans="1:24" ht="12.75" customHeight="1">
      <c r="A876" s="8"/>
      <c r="B876" s="8"/>
      <c r="C876" s="30"/>
      <c r="D876" s="8"/>
      <c r="E876" s="8"/>
      <c r="F876" s="8"/>
      <c r="G876" s="8"/>
      <c r="H876" s="8"/>
      <c r="I876" s="8"/>
      <c r="J876" s="8"/>
      <c r="K876" s="8"/>
      <c r="L876" s="8"/>
      <c r="M876" s="8"/>
      <c r="N876" s="8"/>
      <c r="O876" s="8"/>
      <c r="P876" s="8"/>
      <c r="Q876" s="8"/>
      <c r="R876" s="8"/>
      <c r="S876" s="8"/>
      <c r="T876" s="8"/>
      <c r="U876" s="8"/>
      <c r="V876" s="8"/>
      <c r="W876" s="8"/>
      <c r="X876" s="8"/>
    </row>
    <row r="877" spans="1:24" ht="12.75" customHeight="1">
      <c r="A877" s="8"/>
      <c r="B877" s="8"/>
      <c r="C877" s="30"/>
      <c r="D877" s="8"/>
      <c r="E877" s="8"/>
      <c r="F877" s="8"/>
      <c r="G877" s="8"/>
      <c r="H877" s="8"/>
      <c r="I877" s="8"/>
      <c r="J877" s="8"/>
      <c r="K877" s="8"/>
      <c r="L877" s="8"/>
      <c r="M877" s="8"/>
      <c r="N877" s="8"/>
      <c r="O877" s="8"/>
      <c r="P877" s="8"/>
      <c r="Q877" s="8"/>
      <c r="R877" s="8"/>
      <c r="S877" s="8"/>
      <c r="T877" s="8"/>
      <c r="U877" s="8"/>
      <c r="V877" s="8"/>
      <c r="W877" s="8"/>
      <c r="X877" s="8"/>
    </row>
    <row r="878" spans="1:24" ht="12.75" customHeight="1">
      <c r="A878" s="8"/>
      <c r="B878" s="8"/>
      <c r="C878" s="30"/>
      <c r="D878" s="8"/>
      <c r="E878" s="8"/>
      <c r="F878" s="8"/>
      <c r="G878" s="8"/>
      <c r="H878" s="8"/>
      <c r="I878" s="8"/>
      <c r="J878" s="8"/>
      <c r="K878" s="8"/>
      <c r="L878" s="8"/>
      <c r="M878" s="8"/>
      <c r="N878" s="8"/>
      <c r="O878" s="8"/>
      <c r="P878" s="8"/>
      <c r="Q878" s="8"/>
      <c r="R878" s="8"/>
      <c r="S878" s="8"/>
      <c r="T878" s="8"/>
      <c r="U878" s="8"/>
      <c r="V878" s="8"/>
      <c r="W878" s="8"/>
      <c r="X878" s="8"/>
    </row>
    <row r="879" spans="1:24" ht="12.75" customHeight="1">
      <c r="A879" s="8"/>
      <c r="B879" s="8"/>
      <c r="C879" s="30"/>
      <c r="D879" s="8"/>
      <c r="E879" s="8"/>
      <c r="F879" s="8"/>
      <c r="G879" s="8"/>
      <c r="H879" s="8"/>
      <c r="I879" s="8"/>
      <c r="J879" s="8"/>
      <c r="K879" s="8"/>
      <c r="L879" s="8"/>
      <c r="M879" s="8"/>
      <c r="N879" s="8"/>
      <c r="O879" s="8"/>
      <c r="P879" s="8"/>
      <c r="Q879" s="8"/>
      <c r="R879" s="8"/>
      <c r="S879" s="8"/>
      <c r="T879" s="8"/>
      <c r="U879" s="8"/>
      <c r="V879" s="8"/>
      <c r="W879" s="8"/>
      <c r="X879" s="8"/>
    </row>
    <row r="880" spans="1:24" ht="12.75" customHeight="1">
      <c r="A880" s="8"/>
      <c r="B880" s="8"/>
      <c r="C880" s="30"/>
      <c r="D880" s="8"/>
      <c r="E880" s="8"/>
      <c r="F880" s="8"/>
      <c r="G880" s="8"/>
      <c r="H880" s="8"/>
      <c r="I880" s="8"/>
      <c r="J880" s="8"/>
      <c r="K880" s="8"/>
      <c r="L880" s="8"/>
      <c r="M880" s="8"/>
      <c r="N880" s="8"/>
      <c r="O880" s="8"/>
      <c r="P880" s="8"/>
      <c r="Q880" s="8"/>
      <c r="R880" s="8"/>
      <c r="S880" s="8"/>
      <c r="T880" s="8"/>
      <c r="U880" s="8"/>
      <c r="V880" s="8"/>
      <c r="W880" s="8"/>
      <c r="X880" s="8"/>
    </row>
    <row r="881" spans="1:24" ht="12.75" customHeight="1">
      <c r="A881" s="8"/>
      <c r="B881" s="8"/>
      <c r="C881" s="30"/>
      <c r="D881" s="8"/>
      <c r="E881" s="8"/>
      <c r="F881" s="8"/>
      <c r="G881" s="8"/>
      <c r="H881" s="8"/>
      <c r="I881" s="8"/>
      <c r="J881" s="8"/>
      <c r="K881" s="8"/>
      <c r="L881" s="8"/>
      <c r="M881" s="8"/>
      <c r="N881" s="8"/>
      <c r="O881" s="8"/>
      <c r="P881" s="8"/>
      <c r="Q881" s="8"/>
      <c r="R881" s="8"/>
      <c r="S881" s="8"/>
      <c r="T881" s="8"/>
      <c r="U881" s="8"/>
      <c r="V881" s="8"/>
      <c r="W881" s="8"/>
      <c r="X881" s="8"/>
    </row>
    <row r="882" spans="1:24" ht="12.75" customHeight="1">
      <c r="A882" s="8"/>
      <c r="B882" s="8"/>
      <c r="C882" s="30"/>
      <c r="D882" s="8"/>
      <c r="E882" s="8"/>
      <c r="F882" s="8"/>
      <c r="G882" s="8"/>
      <c r="H882" s="8"/>
      <c r="I882" s="8"/>
      <c r="J882" s="8"/>
      <c r="K882" s="8"/>
      <c r="L882" s="8"/>
      <c r="M882" s="8"/>
      <c r="N882" s="8"/>
      <c r="O882" s="8"/>
      <c r="P882" s="8"/>
      <c r="Q882" s="8"/>
      <c r="R882" s="8"/>
      <c r="S882" s="8"/>
      <c r="T882" s="8"/>
      <c r="U882" s="8"/>
      <c r="V882" s="8"/>
      <c r="W882" s="8"/>
      <c r="X882" s="8"/>
    </row>
    <row r="883" spans="1:24" ht="12.75" customHeight="1">
      <c r="A883" s="8"/>
      <c r="B883" s="8"/>
      <c r="C883" s="30"/>
      <c r="D883" s="8"/>
      <c r="E883" s="8"/>
      <c r="F883" s="8"/>
      <c r="G883" s="8"/>
      <c r="H883" s="8"/>
      <c r="I883" s="8"/>
      <c r="J883" s="8"/>
      <c r="K883" s="8"/>
      <c r="L883" s="8"/>
      <c r="M883" s="8"/>
      <c r="N883" s="8"/>
      <c r="O883" s="8"/>
      <c r="P883" s="8"/>
      <c r="Q883" s="8"/>
      <c r="R883" s="8"/>
      <c r="S883" s="8"/>
      <c r="T883" s="8"/>
      <c r="U883" s="8"/>
      <c r="V883" s="8"/>
      <c r="W883" s="8"/>
      <c r="X883" s="8"/>
    </row>
    <row r="884" spans="1:24" ht="12.75" customHeight="1">
      <c r="A884" s="8"/>
      <c r="B884" s="8"/>
      <c r="C884" s="30"/>
      <c r="D884" s="8"/>
      <c r="E884" s="8"/>
      <c r="F884" s="8"/>
      <c r="G884" s="8"/>
      <c r="H884" s="8"/>
      <c r="I884" s="8"/>
      <c r="J884" s="8"/>
      <c r="K884" s="8"/>
      <c r="L884" s="8"/>
      <c r="M884" s="8"/>
      <c r="N884" s="8"/>
      <c r="O884" s="8"/>
      <c r="P884" s="8"/>
      <c r="Q884" s="8"/>
      <c r="R884" s="8"/>
      <c r="S884" s="8"/>
      <c r="T884" s="8"/>
      <c r="U884" s="8"/>
      <c r="V884" s="8"/>
      <c r="W884" s="8"/>
      <c r="X884" s="8"/>
    </row>
    <row r="885" spans="1:24" ht="12.75" customHeight="1">
      <c r="A885" s="8"/>
      <c r="B885" s="8"/>
      <c r="C885" s="30"/>
      <c r="D885" s="8"/>
      <c r="E885" s="8"/>
      <c r="F885" s="8"/>
      <c r="G885" s="8"/>
      <c r="H885" s="8"/>
      <c r="I885" s="8"/>
      <c r="J885" s="8"/>
      <c r="K885" s="8"/>
      <c r="L885" s="8"/>
      <c r="M885" s="8"/>
      <c r="N885" s="8"/>
      <c r="O885" s="8"/>
      <c r="P885" s="8"/>
      <c r="Q885" s="8"/>
      <c r="R885" s="8"/>
      <c r="S885" s="8"/>
      <c r="T885" s="8"/>
      <c r="U885" s="8"/>
      <c r="V885" s="8"/>
      <c r="W885" s="8"/>
      <c r="X885" s="8"/>
    </row>
    <row r="886" spans="1:24" ht="12.75" customHeight="1">
      <c r="A886" s="8"/>
      <c r="B886" s="8"/>
      <c r="C886" s="30"/>
      <c r="D886" s="8"/>
      <c r="E886" s="8"/>
      <c r="F886" s="8"/>
      <c r="G886" s="8"/>
      <c r="H886" s="8"/>
      <c r="I886" s="8"/>
      <c r="J886" s="8"/>
      <c r="K886" s="8"/>
      <c r="L886" s="8"/>
      <c r="M886" s="8"/>
      <c r="N886" s="8"/>
      <c r="O886" s="8"/>
      <c r="P886" s="8"/>
      <c r="Q886" s="8"/>
      <c r="R886" s="8"/>
      <c r="S886" s="8"/>
      <c r="T886" s="8"/>
      <c r="U886" s="8"/>
      <c r="V886" s="8"/>
      <c r="W886" s="8"/>
      <c r="X886" s="8"/>
    </row>
    <row r="887" spans="1:24" ht="12.75" customHeight="1">
      <c r="A887" s="8"/>
      <c r="B887" s="8"/>
      <c r="C887" s="30"/>
      <c r="D887" s="8"/>
      <c r="E887" s="8"/>
      <c r="F887" s="8"/>
      <c r="G887" s="8"/>
      <c r="H887" s="8"/>
      <c r="I887" s="8"/>
      <c r="J887" s="8"/>
      <c r="K887" s="8"/>
      <c r="L887" s="8"/>
      <c r="M887" s="8"/>
      <c r="N887" s="8"/>
      <c r="O887" s="8"/>
      <c r="P887" s="8"/>
      <c r="Q887" s="8"/>
      <c r="R887" s="8"/>
      <c r="S887" s="8"/>
      <c r="T887" s="8"/>
      <c r="U887" s="8"/>
      <c r="V887" s="8"/>
      <c r="W887" s="8"/>
      <c r="X887" s="8"/>
    </row>
    <row r="888" spans="1:24" ht="12.75" customHeight="1">
      <c r="A888" s="8"/>
      <c r="B888" s="8"/>
      <c r="C888" s="30"/>
      <c r="D888" s="8"/>
      <c r="E888" s="8"/>
      <c r="F888" s="8"/>
      <c r="G888" s="8"/>
      <c r="H888" s="8"/>
      <c r="I888" s="8"/>
      <c r="J888" s="8"/>
      <c r="K888" s="8"/>
      <c r="L888" s="8"/>
      <c r="M888" s="8"/>
      <c r="N888" s="8"/>
      <c r="O888" s="8"/>
      <c r="P888" s="8"/>
      <c r="Q888" s="8"/>
      <c r="R888" s="8"/>
      <c r="S888" s="8"/>
      <c r="T888" s="8"/>
      <c r="U888" s="8"/>
      <c r="V888" s="8"/>
      <c r="W888" s="8"/>
      <c r="X888" s="8"/>
    </row>
    <row r="889" spans="1:24" ht="12.75" customHeight="1">
      <c r="A889" s="8"/>
      <c r="B889" s="8"/>
      <c r="C889" s="30"/>
      <c r="D889" s="8"/>
      <c r="E889" s="8"/>
      <c r="F889" s="8"/>
      <c r="G889" s="8"/>
      <c r="H889" s="8"/>
      <c r="I889" s="8"/>
      <c r="J889" s="8"/>
      <c r="K889" s="8"/>
      <c r="L889" s="8"/>
      <c r="M889" s="8"/>
      <c r="N889" s="8"/>
      <c r="O889" s="8"/>
      <c r="P889" s="8"/>
      <c r="Q889" s="8"/>
      <c r="R889" s="8"/>
      <c r="S889" s="8"/>
      <c r="T889" s="8"/>
      <c r="U889" s="8"/>
      <c r="V889" s="8"/>
      <c r="W889" s="8"/>
      <c r="X889" s="8"/>
    </row>
    <row r="890" spans="1:24" ht="12.75" customHeight="1">
      <c r="A890" s="8"/>
      <c r="B890" s="8"/>
      <c r="C890" s="30"/>
      <c r="D890" s="8"/>
      <c r="E890" s="8"/>
      <c r="F890" s="8"/>
      <c r="G890" s="8"/>
      <c r="H890" s="8"/>
      <c r="I890" s="8"/>
      <c r="J890" s="8"/>
      <c r="K890" s="8"/>
      <c r="L890" s="8"/>
      <c r="M890" s="8"/>
      <c r="N890" s="8"/>
      <c r="O890" s="8"/>
      <c r="P890" s="8"/>
      <c r="Q890" s="8"/>
      <c r="R890" s="8"/>
      <c r="S890" s="8"/>
      <c r="T890" s="8"/>
      <c r="U890" s="8"/>
      <c r="V890" s="8"/>
      <c r="W890" s="8"/>
      <c r="X890" s="8"/>
    </row>
    <row r="891" spans="1:24" ht="12.75" customHeight="1">
      <c r="A891" s="8"/>
      <c r="B891" s="8"/>
      <c r="C891" s="30"/>
      <c r="D891" s="8"/>
      <c r="E891" s="8"/>
      <c r="F891" s="8"/>
      <c r="G891" s="8"/>
      <c r="H891" s="8"/>
      <c r="I891" s="8"/>
      <c r="J891" s="8"/>
      <c r="K891" s="8"/>
      <c r="L891" s="8"/>
      <c r="M891" s="8"/>
      <c r="N891" s="8"/>
      <c r="O891" s="8"/>
      <c r="P891" s="8"/>
      <c r="Q891" s="8"/>
      <c r="R891" s="8"/>
      <c r="S891" s="8"/>
      <c r="T891" s="8"/>
      <c r="U891" s="8"/>
      <c r="V891" s="8"/>
      <c r="W891" s="8"/>
      <c r="X891" s="8"/>
    </row>
    <row r="892" spans="1:24" ht="12.75" customHeight="1">
      <c r="A892" s="8"/>
      <c r="B892" s="8"/>
      <c r="C892" s="30"/>
      <c r="D892" s="8"/>
      <c r="E892" s="8"/>
      <c r="F892" s="8"/>
      <c r="G892" s="8"/>
      <c r="H892" s="8"/>
      <c r="I892" s="8"/>
      <c r="J892" s="8"/>
      <c r="K892" s="8"/>
      <c r="L892" s="8"/>
      <c r="M892" s="8"/>
      <c r="N892" s="8"/>
      <c r="O892" s="8"/>
      <c r="P892" s="8"/>
      <c r="Q892" s="8"/>
      <c r="R892" s="8"/>
      <c r="S892" s="8"/>
      <c r="T892" s="8"/>
      <c r="U892" s="8"/>
      <c r="V892" s="8"/>
      <c r="W892" s="8"/>
      <c r="X892" s="8"/>
    </row>
    <row r="893" spans="1:24" ht="12.75" customHeight="1">
      <c r="A893" s="8"/>
      <c r="B893" s="8"/>
      <c r="C893" s="30"/>
      <c r="D893" s="8"/>
      <c r="E893" s="8"/>
      <c r="F893" s="8"/>
      <c r="G893" s="8"/>
      <c r="H893" s="8"/>
      <c r="I893" s="8"/>
      <c r="J893" s="8"/>
      <c r="K893" s="8"/>
      <c r="L893" s="8"/>
      <c r="M893" s="8"/>
      <c r="N893" s="8"/>
      <c r="O893" s="8"/>
      <c r="P893" s="8"/>
      <c r="Q893" s="8"/>
      <c r="R893" s="8"/>
      <c r="S893" s="8"/>
      <c r="T893" s="8"/>
      <c r="U893" s="8"/>
      <c r="V893" s="8"/>
      <c r="W893" s="8"/>
      <c r="X893" s="8"/>
    </row>
    <row r="894" spans="1:24" ht="12.75" customHeight="1">
      <c r="A894" s="8"/>
      <c r="B894" s="8"/>
      <c r="C894" s="30"/>
      <c r="D894" s="8"/>
      <c r="E894" s="8"/>
      <c r="F894" s="8"/>
      <c r="G894" s="8"/>
      <c r="H894" s="8"/>
      <c r="I894" s="8"/>
      <c r="J894" s="8"/>
      <c r="K894" s="8"/>
      <c r="L894" s="8"/>
      <c r="M894" s="8"/>
      <c r="N894" s="8"/>
      <c r="O894" s="8"/>
      <c r="P894" s="8"/>
      <c r="Q894" s="8"/>
      <c r="R894" s="8"/>
      <c r="S894" s="8"/>
      <c r="T894" s="8"/>
      <c r="U894" s="8"/>
      <c r="V894" s="8"/>
      <c r="W894" s="8"/>
      <c r="X894" s="8"/>
    </row>
    <row r="895" spans="1:24" ht="12.75" customHeight="1">
      <c r="A895" s="8"/>
      <c r="B895" s="8"/>
      <c r="C895" s="30"/>
      <c r="D895" s="8"/>
      <c r="E895" s="8"/>
      <c r="F895" s="8"/>
      <c r="G895" s="8"/>
      <c r="H895" s="8"/>
      <c r="I895" s="8"/>
      <c r="J895" s="8"/>
      <c r="K895" s="8"/>
      <c r="L895" s="8"/>
      <c r="M895" s="8"/>
      <c r="N895" s="8"/>
      <c r="O895" s="8"/>
      <c r="P895" s="8"/>
      <c r="Q895" s="8"/>
      <c r="R895" s="8"/>
      <c r="S895" s="8"/>
      <c r="T895" s="8"/>
      <c r="U895" s="8"/>
      <c r="V895" s="8"/>
      <c r="W895" s="8"/>
      <c r="X895" s="8"/>
    </row>
    <row r="896" spans="1:24" ht="12.75" customHeight="1">
      <c r="A896" s="8"/>
      <c r="B896" s="8"/>
      <c r="C896" s="30"/>
      <c r="D896" s="8"/>
      <c r="E896" s="8"/>
      <c r="F896" s="8"/>
      <c r="G896" s="8"/>
      <c r="H896" s="8"/>
      <c r="I896" s="8"/>
      <c r="J896" s="8"/>
      <c r="K896" s="8"/>
      <c r="L896" s="8"/>
      <c r="M896" s="8"/>
      <c r="N896" s="8"/>
      <c r="O896" s="8"/>
      <c r="P896" s="8"/>
      <c r="Q896" s="8"/>
      <c r="R896" s="8"/>
      <c r="S896" s="8"/>
      <c r="T896" s="8"/>
      <c r="U896" s="8"/>
      <c r="V896" s="8"/>
      <c r="W896" s="8"/>
      <c r="X896" s="8"/>
    </row>
    <row r="897" spans="1:24" ht="12.75" customHeight="1">
      <c r="A897" s="8"/>
      <c r="B897" s="8"/>
      <c r="C897" s="30"/>
      <c r="D897" s="8"/>
      <c r="E897" s="8"/>
      <c r="F897" s="8"/>
      <c r="G897" s="8"/>
      <c r="H897" s="8"/>
      <c r="I897" s="8"/>
      <c r="J897" s="8"/>
      <c r="K897" s="8"/>
      <c r="L897" s="8"/>
      <c r="M897" s="8"/>
      <c r="N897" s="8"/>
      <c r="O897" s="8"/>
      <c r="P897" s="8"/>
      <c r="Q897" s="8"/>
      <c r="R897" s="8"/>
      <c r="S897" s="8"/>
      <c r="T897" s="8"/>
      <c r="U897" s="8"/>
      <c r="V897" s="8"/>
      <c r="W897" s="8"/>
      <c r="X897" s="8"/>
    </row>
    <row r="898" spans="1:24" ht="12.75" customHeight="1">
      <c r="A898" s="8"/>
      <c r="B898" s="8"/>
      <c r="C898" s="30"/>
      <c r="D898" s="8"/>
      <c r="E898" s="8"/>
      <c r="F898" s="8"/>
      <c r="G898" s="8"/>
      <c r="H898" s="8"/>
      <c r="I898" s="8"/>
      <c r="J898" s="8"/>
      <c r="K898" s="8"/>
      <c r="L898" s="8"/>
      <c r="M898" s="8"/>
      <c r="N898" s="8"/>
      <c r="O898" s="8"/>
      <c r="P898" s="8"/>
      <c r="Q898" s="8"/>
      <c r="R898" s="8"/>
      <c r="S898" s="8"/>
      <c r="T898" s="8"/>
      <c r="U898" s="8"/>
      <c r="V898" s="8"/>
      <c r="W898" s="8"/>
      <c r="X898" s="8"/>
    </row>
    <row r="899" spans="1:24" ht="12.75" customHeight="1">
      <c r="A899" s="8"/>
      <c r="B899" s="8"/>
      <c r="C899" s="30"/>
      <c r="D899" s="8"/>
      <c r="E899" s="8"/>
      <c r="F899" s="8"/>
      <c r="G899" s="8"/>
      <c r="H899" s="8"/>
      <c r="I899" s="8"/>
      <c r="J899" s="8"/>
      <c r="K899" s="8"/>
      <c r="L899" s="8"/>
      <c r="M899" s="8"/>
      <c r="N899" s="8"/>
      <c r="O899" s="8"/>
      <c r="P899" s="8"/>
      <c r="Q899" s="8"/>
      <c r="R899" s="8"/>
      <c r="S899" s="8"/>
      <c r="T899" s="8"/>
      <c r="U899" s="8"/>
      <c r="V899" s="8"/>
      <c r="W899" s="8"/>
      <c r="X899" s="8"/>
    </row>
    <row r="900" spans="1:24" ht="12.75" customHeight="1">
      <c r="A900" s="8"/>
      <c r="B900" s="8"/>
      <c r="C900" s="30"/>
      <c r="D900" s="8"/>
      <c r="E900" s="8"/>
      <c r="F900" s="8"/>
      <c r="G900" s="8"/>
      <c r="H900" s="8"/>
      <c r="I900" s="8"/>
      <c r="J900" s="8"/>
      <c r="K900" s="8"/>
      <c r="L900" s="8"/>
      <c r="M900" s="8"/>
      <c r="N900" s="8"/>
      <c r="O900" s="8"/>
      <c r="P900" s="8"/>
      <c r="Q900" s="8"/>
      <c r="R900" s="8"/>
      <c r="S900" s="8"/>
      <c r="T900" s="8"/>
      <c r="U900" s="8"/>
      <c r="V900" s="8"/>
      <c r="W900" s="8"/>
      <c r="X900" s="8"/>
    </row>
    <row r="901" spans="1:24" ht="12.75" customHeight="1">
      <c r="A901" s="8"/>
      <c r="B901" s="8"/>
      <c r="C901" s="30"/>
      <c r="D901" s="8"/>
      <c r="E901" s="8"/>
      <c r="F901" s="8"/>
      <c r="G901" s="8"/>
      <c r="H901" s="8"/>
      <c r="I901" s="8"/>
      <c r="J901" s="8"/>
      <c r="K901" s="8"/>
      <c r="L901" s="8"/>
      <c r="M901" s="8"/>
      <c r="N901" s="8"/>
      <c r="O901" s="8"/>
      <c r="P901" s="8"/>
      <c r="Q901" s="8"/>
      <c r="R901" s="8"/>
      <c r="S901" s="8"/>
      <c r="T901" s="8"/>
      <c r="U901" s="8"/>
      <c r="V901" s="8"/>
      <c r="W901" s="8"/>
      <c r="X901" s="8"/>
    </row>
    <row r="902" spans="1:24" ht="12.75" customHeight="1">
      <c r="A902" s="8"/>
      <c r="B902" s="8"/>
      <c r="C902" s="30"/>
      <c r="D902" s="8"/>
      <c r="E902" s="8"/>
      <c r="F902" s="8"/>
      <c r="G902" s="8"/>
      <c r="H902" s="8"/>
      <c r="I902" s="8"/>
      <c r="J902" s="8"/>
      <c r="K902" s="8"/>
      <c r="L902" s="8"/>
      <c r="M902" s="8"/>
      <c r="N902" s="8"/>
      <c r="O902" s="8"/>
      <c r="P902" s="8"/>
      <c r="Q902" s="8"/>
      <c r="R902" s="8"/>
      <c r="S902" s="8"/>
      <c r="T902" s="8"/>
      <c r="U902" s="8"/>
      <c r="V902" s="8"/>
      <c r="W902" s="8"/>
      <c r="X902" s="8"/>
    </row>
    <row r="903" spans="1:24" ht="12.75" customHeight="1">
      <c r="A903" s="8"/>
      <c r="B903" s="8"/>
      <c r="C903" s="30"/>
      <c r="D903" s="8"/>
      <c r="E903" s="8"/>
      <c r="F903" s="8"/>
      <c r="G903" s="8"/>
      <c r="H903" s="8"/>
      <c r="I903" s="8"/>
      <c r="J903" s="8"/>
      <c r="K903" s="8"/>
      <c r="L903" s="8"/>
      <c r="M903" s="8"/>
      <c r="N903" s="8"/>
      <c r="O903" s="8"/>
      <c r="P903" s="8"/>
      <c r="Q903" s="8"/>
      <c r="R903" s="8"/>
      <c r="S903" s="8"/>
      <c r="T903" s="8"/>
      <c r="U903" s="8"/>
      <c r="V903" s="8"/>
      <c r="W903" s="8"/>
      <c r="X903" s="8"/>
    </row>
    <row r="904" spans="1:24" ht="12.75" customHeight="1">
      <c r="A904" s="8"/>
      <c r="B904" s="8"/>
      <c r="C904" s="30"/>
      <c r="D904" s="8"/>
      <c r="E904" s="8"/>
      <c r="F904" s="8"/>
      <c r="G904" s="8"/>
      <c r="H904" s="8"/>
      <c r="I904" s="8"/>
      <c r="J904" s="8"/>
      <c r="K904" s="8"/>
      <c r="L904" s="8"/>
      <c r="M904" s="8"/>
      <c r="N904" s="8"/>
      <c r="O904" s="8"/>
      <c r="P904" s="8"/>
      <c r="Q904" s="8"/>
      <c r="R904" s="8"/>
      <c r="S904" s="8"/>
      <c r="T904" s="8"/>
      <c r="U904" s="8"/>
      <c r="V904" s="8"/>
      <c r="W904" s="8"/>
      <c r="X904" s="8"/>
    </row>
    <row r="905" spans="1:24" ht="12.75" customHeight="1">
      <c r="A905" s="8"/>
      <c r="B905" s="8"/>
      <c r="C905" s="30"/>
      <c r="D905" s="8"/>
      <c r="E905" s="8"/>
      <c r="F905" s="8"/>
      <c r="G905" s="8"/>
      <c r="H905" s="8"/>
      <c r="I905" s="8"/>
      <c r="J905" s="8"/>
      <c r="K905" s="8"/>
      <c r="L905" s="8"/>
      <c r="M905" s="8"/>
      <c r="N905" s="8"/>
      <c r="O905" s="8"/>
      <c r="P905" s="8"/>
      <c r="Q905" s="8"/>
      <c r="R905" s="8"/>
      <c r="S905" s="8"/>
      <c r="T905" s="8"/>
      <c r="U905" s="8"/>
      <c r="V905" s="8"/>
      <c r="W905" s="8"/>
      <c r="X905" s="8"/>
    </row>
    <row r="906" spans="1:24" ht="12.75" customHeight="1">
      <c r="A906" s="8"/>
      <c r="B906" s="8"/>
      <c r="C906" s="30"/>
      <c r="D906" s="8"/>
      <c r="E906" s="8"/>
      <c r="F906" s="8"/>
      <c r="G906" s="8"/>
      <c r="H906" s="8"/>
      <c r="I906" s="8"/>
      <c r="J906" s="8"/>
      <c r="K906" s="8"/>
      <c r="L906" s="8"/>
      <c r="M906" s="8"/>
      <c r="N906" s="8"/>
      <c r="O906" s="8"/>
      <c r="P906" s="8"/>
      <c r="Q906" s="8"/>
      <c r="R906" s="8"/>
      <c r="S906" s="8"/>
      <c r="T906" s="8"/>
      <c r="U906" s="8"/>
      <c r="V906" s="8"/>
      <c r="W906" s="8"/>
      <c r="X906" s="8"/>
    </row>
    <row r="907" spans="1:24" ht="12.75" customHeight="1">
      <c r="A907" s="8"/>
      <c r="B907" s="8"/>
      <c r="C907" s="30"/>
      <c r="D907" s="8"/>
      <c r="E907" s="8"/>
      <c r="F907" s="8"/>
      <c r="G907" s="8"/>
      <c r="H907" s="8"/>
      <c r="I907" s="8"/>
      <c r="J907" s="8"/>
      <c r="K907" s="8"/>
      <c r="L907" s="8"/>
      <c r="M907" s="8"/>
      <c r="N907" s="8"/>
      <c r="O907" s="8"/>
      <c r="P907" s="8"/>
      <c r="Q907" s="8"/>
      <c r="R907" s="8"/>
      <c r="S907" s="8"/>
      <c r="T907" s="8"/>
      <c r="U907" s="8"/>
      <c r="V907" s="8"/>
      <c r="W907" s="8"/>
      <c r="X907" s="8"/>
    </row>
    <row r="908" spans="1:24" ht="12.75" customHeight="1">
      <c r="A908" s="8"/>
      <c r="B908" s="8"/>
      <c r="C908" s="30"/>
      <c r="D908" s="8"/>
      <c r="E908" s="8"/>
      <c r="F908" s="8"/>
      <c r="G908" s="8"/>
      <c r="H908" s="8"/>
      <c r="I908" s="8"/>
      <c r="J908" s="8"/>
      <c r="K908" s="8"/>
      <c r="L908" s="8"/>
      <c r="M908" s="8"/>
      <c r="N908" s="8"/>
      <c r="O908" s="8"/>
      <c r="P908" s="8"/>
      <c r="Q908" s="8"/>
      <c r="R908" s="8"/>
      <c r="S908" s="8"/>
      <c r="T908" s="8"/>
      <c r="U908" s="8"/>
      <c r="V908" s="8"/>
      <c r="W908" s="8"/>
      <c r="X908" s="8"/>
    </row>
    <row r="909" spans="1:24" ht="12.75" customHeight="1">
      <c r="A909" s="8"/>
      <c r="B909" s="8"/>
      <c r="C909" s="30"/>
      <c r="D909" s="8"/>
      <c r="E909" s="8"/>
      <c r="F909" s="8"/>
      <c r="G909" s="8"/>
      <c r="H909" s="8"/>
      <c r="I909" s="8"/>
      <c r="J909" s="8"/>
      <c r="K909" s="8"/>
      <c r="L909" s="8"/>
      <c r="M909" s="8"/>
      <c r="N909" s="8"/>
      <c r="O909" s="8"/>
      <c r="P909" s="8"/>
      <c r="Q909" s="8"/>
      <c r="R909" s="8"/>
      <c r="S909" s="8"/>
      <c r="T909" s="8"/>
      <c r="U909" s="8"/>
      <c r="V909" s="8"/>
      <c r="W909" s="8"/>
      <c r="X909" s="8"/>
    </row>
    <row r="910" spans="1:24" ht="12.75" customHeight="1">
      <c r="A910" s="8"/>
      <c r="B910" s="8"/>
      <c r="C910" s="30"/>
      <c r="D910" s="8"/>
      <c r="E910" s="8"/>
      <c r="F910" s="8"/>
      <c r="G910" s="8"/>
      <c r="H910" s="8"/>
      <c r="I910" s="8"/>
      <c r="J910" s="8"/>
      <c r="K910" s="8"/>
      <c r="L910" s="8"/>
      <c r="M910" s="8"/>
      <c r="N910" s="8"/>
      <c r="O910" s="8"/>
      <c r="P910" s="8"/>
      <c r="Q910" s="8"/>
      <c r="R910" s="8"/>
      <c r="S910" s="8"/>
      <c r="T910" s="8"/>
      <c r="U910" s="8"/>
      <c r="V910" s="8"/>
      <c r="W910" s="8"/>
      <c r="X910" s="8"/>
    </row>
    <row r="911" spans="1:24" ht="12.75" customHeight="1">
      <c r="A911" s="8"/>
      <c r="B911" s="8"/>
      <c r="C911" s="30"/>
      <c r="D911" s="8"/>
      <c r="E911" s="8"/>
      <c r="F911" s="8"/>
      <c r="G911" s="8"/>
      <c r="H911" s="8"/>
      <c r="I911" s="8"/>
      <c r="J911" s="8"/>
      <c r="K911" s="8"/>
      <c r="L911" s="8"/>
      <c r="M911" s="8"/>
      <c r="N911" s="8"/>
      <c r="O911" s="8"/>
      <c r="P911" s="8"/>
      <c r="Q911" s="8"/>
      <c r="R911" s="8"/>
      <c r="S911" s="8"/>
      <c r="T911" s="8"/>
      <c r="U911" s="8"/>
      <c r="V911" s="8"/>
      <c r="W911" s="8"/>
      <c r="X911" s="8"/>
    </row>
    <row r="912" spans="1:24" ht="12.75" customHeight="1">
      <c r="A912" s="8"/>
      <c r="B912" s="8"/>
      <c r="C912" s="30"/>
      <c r="D912" s="8"/>
      <c r="E912" s="8"/>
      <c r="F912" s="8"/>
      <c r="G912" s="8"/>
      <c r="H912" s="8"/>
      <c r="I912" s="8"/>
      <c r="J912" s="8"/>
      <c r="K912" s="8"/>
      <c r="L912" s="8"/>
      <c r="M912" s="8"/>
      <c r="N912" s="8"/>
      <c r="O912" s="8"/>
      <c r="P912" s="8"/>
      <c r="Q912" s="8"/>
      <c r="R912" s="8"/>
      <c r="S912" s="8"/>
      <c r="T912" s="8"/>
      <c r="U912" s="8"/>
      <c r="V912" s="8"/>
      <c r="W912" s="8"/>
      <c r="X912" s="8"/>
    </row>
    <row r="913" spans="1:24" ht="12.75" customHeight="1">
      <c r="A913" s="8"/>
      <c r="B913" s="8"/>
      <c r="C913" s="30"/>
      <c r="D913" s="8"/>
      <c r="E913" s="8"/>
      <c r="F913" s="8"/>
      <c r="G913" s="8"/>
      <c r="H913" s="8"/>
      <c r="I913" s="8"/>
      <c r="J913" s="8"/>
      <c r="K913" s="8"/>
      <c r="L913" s="8"/>
      <c r="M913" s="8"/>
      <c r="N913" s="8"/>
      <c r="O913" s="8"/>
      <c r="P913" s="8"/>
      <c r="Q913" s="8"/>
      <c r="R913" s="8"/>
      <c r="S913" s="8"/>
      <c r="T913" s="8"/>
      <c r="U913" s="8"/>
      <c r="V913" s="8"/>
      <c r="W913" s="8"/>
      <c r="X913" s="8"/>
    </row>
    <row r="914" spans="1:24" ht="12.75" customHeight="1">
      <c r="A914" s="8"/>
      <c r="B914" s="8"/>
      <c r="C914" s="30"/>
      <c r="D914" s="8"/>
      <c r="E914" s="8"/>
      <c r="F914" s="8"/>
      <c r="G914" s="8"/>
      <c r="H914" s="8"/>
      <c r="I914" s="8"/>
      <c r="J914" s="8"/>
      <c r="K914" s="8"/>
      <c r="L914" s="8"/>
      <c r="M914" s="8"/>
      <c r="N914" s="8"/>
      <c r="O914" s="8"/>
      <c r="P914" s="8"/>
      <c r="Q914" s="8"/>
      <c r="R914" s="8"/>
      <c r="S914" s="8"/>
      <c r="T914" s="8"/>
      <c r="U914" s="8"/>
      <c r="V914" s="8"/>
      <c r="W914" s="8"/>
      <c r="X914" s="8"/>
    </row>
    <row r="915" spans="1:24" ht="12.75" customHeight="1">
      <c r="A915" s="8"/>
      <c r="B915" s="8"/>
      <c r="C915" s="30"/>
      <c r="D915" s="8"/>
      <c r="E915" s="8"/>
      <c r="F915" s="8"/>
      <c r="G915" s="8"/>
      <c r="H915" s="8"/>
      <c r="I915" s="8"/>
      <c r="J915" s="8"/>
      <c r="K915" s="8"/>
      <c r="L915" s="8"/>
      <c r="M915" s="8"/>
      <c r="N915" s="8"/>
      <c r="O915" s="8"/>
      <c r="P915" s="8"/>
      <c r="Q915" s="8"/>
      <c r="R915" s="8"/>
      <c r="S915" s="8"/>
      <c r="T915" s="8"/>
      <c r="U915" s="8"/>
      <c r="V915" s="8"/>
      <c r="W915" s="8"/>
      <c r="X915" s="8"/>
    </row>
    <row r="916" spans="1:24" ht="12.75" customHeight="1">
      <c r="A916" s="8"/>
      <c r="B916" s="8"/>
      <c r="C916" s="30"/>
      <c r="D916" s="8"/>
      <c r="E916" s="8"/>
      <c r="F916" s="8"/>
      <c r="G916" s="8"/>
      <c r="H916" s="8"/>
      <c r="I916" s="8"/>
      <c r="J916" s="8"/>
      <c r="K916" s="8"/>
      <c r="L916" s="8"/>
      <c r="M916" s="8"/>
      <c r="N916" s="8"/>
      <c r="O916" s="8"/>
      <c r="P916" s="8"/>
      <c r="Q916" s="8"/>
      <c r="R916" s="8"/>
      <c r="S916" s="8"/>
      <c r="T916" s="8"/>
      <c r="U916" s="8"/>
      <c r="V916" s="8"/>
      <c r="W916" s="8"/>
      <c r="X916" s="8"/>
    </row>
    <row r="917" spans="1:24" ht="12.75" customHeight="1">
      <c r="A917" s="8"/>
      <c r="B917" s="8"/>
      <c r="C917" s="30"/>
      <c r="D917" s="8"/>
      <c r="E917" s="8"/>
      <c r="F917" s="8"/>
      <c r="G917" s="8"/>
      <c r="H917" s="8"/>
      <c r="I917" s="8"/>
      <c r="J917" s="8"/>
      <c r="K917" s="8"/>
      <c r="L917" s="8"/>
      <c r="M917" s="8"/>
      <c r="N917" s="8"/>
      <c r="O917" s="8"/>
      <c r="P917" s="8"/>
      <c r="Q917" s="8"/>
      <c r="R917" s="8"/>
      <c r="S917" s="8"/>
      <c r="T917" s="8"/>
      <c r="U917" s="8"/>
      <c r="V917" s="8"/>
      <c r="W917" s="8"/>
      <c r="X917" s="8"/>
    </row>
    <row r="918" spans="1:24" ht="12.75" customHeight="1">
      <c r="A918" s="8"/>
      <c r="B918" s="8"/>
      <c r="C918" s="30"/>
      <c r="D918" s="8"/>
      <c r="E918" s="8"/>
      <c r="F918" s="8"/>
      <c r="G918" s="8"/>
      <c r="H918" s="8"/>
      <c r="I918" s="8"/>
      <c r="J918" s="8"/>
      <c r="K918" s="8"/>
      <c r="L918" s="8"/>
      <c r="M918" s="8"/>
      <c r="N918" s="8"/>
      <c r="O918" s="8"/>
      <c r="P918" s="8"/>
      <c r="Q918" s="8"/>
      <c r="R918" s="8"/>
      <c r="S918" s="8"/>
      <c r="T918" s="8"/>
      <c r="U918" s="8"/>
      <c r="V918" s="8"/>
      <c r="W918" s="8"/>
      <c r="X918" s="8"/>
    </row>
    <row r="919" spans="1:24" ht="12.75" customHeight="1">
      <c r="A919" s="8"/>
      <c r="B919" s="8"/>
      <c r="C919" s="30"/>
      <c r="D919" s="8"/>
      <c r="E919" s="8"/>
      <c r="F919" s="8"/>
      <c r="G919" s="8"/>
      <c r="H919" s="8"/>
      <c r="I919" s="8"/>
      <c r="J919" s="8"/>
      <c r="K919" s="8"/>
      <c r="L919" s="8"/>
      <c r="M919" s="8"/>
      <c r="N919" s="8"/>
      <c r="O919" s="8"/>
      <c r="P919" s="8"/>
      <c r="Q919" s="8"/>
      <c r="R919" s="8"/>
      <c r="S919" s="8"/>
      <c r="T919" s="8"/>
      <c r="U919" s="8"/>
      <c r="V919" s="8"/>
      <c r="W919" s="8"/>
      <c r="X919" s="8"/>
    </row>
    <row r="920" spans="1:24" ht="12.75" customHeight="1">
      <c r="A920" s="8"/>
      <c r="B920" s="8"/>
      <c r="C920" s="30"/>
      <c r="D920" s="8"/>
      <c r="E920" s="8"/>
      <c r="F920" s="8"/>
      <c r="G920" s="8"/>
      <c r="H920" s="8"/>
      <c r="I920" s="8"/>
      <c r="J920" s="8"/>
      <c r="K920" s="8"/>
      <c r="L920" s="8"/>
      <c r="M920" s="8"/>
      <c r="N920" s="8"/>
      <c r="O920" s="8"/>
      <c r="P920" s="8"/>
      <c r="Q920" s="8"/>
      <c r="R920" s="8"/>
      <c r="S920" s="8"/>
      <c r="T920" s="8"/>
      <c r="U920" s="8"/>
      <c r="V920" s="8"/>
      <c r="W920" s="8"/>
      <c r="X920" s="8"/>
    </row>
    <row r="921" spans="1:24" ht="12.75" customHeight="1">
      <c r="A921" s="8"/>
      <c r="B921" s="8"/>
      <c r="C921" s="30"/>
      <c r="D921" s="8"/>
      <c r="E921" s="8"/>
      <c r="F921" s="8"/>
      <c r="G921" s="8"/>
      <c r="H921" s="8"/>
      <c r="I921" s="8"/>
      <c r="J921" s="8"/>
      <c r="K921" s="8"/>
      <c r="L921" s="8"/>
      <c r="M921" s="8"/>
      <c r="N921" s="8"/>
      <c r="O921" s="8"/>
      <c r="P921" s="8"/>
      <c r="Q921" s="8"/>
      <c r="R921" s="8"/>
      <c r="S921" s="8"/>
      <c r="T921" s="8"/>
      <c r="U921" s="8"/>
      <c r="V921" s="8"/>
      <c r="W921" s="8"/>
      <c r="X921" s="8"/>
    </row>
    <row r="922" spans="1:24" ht="12.75" customHeight="1">
      <c r="A922" s="8"/>
      <c r="B922" s="8"/>
      <c r="C922" s="30"/>
      <c r="D922" s="8"/>
      <c r="E922" s="8"/>
      <c r="F922" s="8"/>
      <c r="G922" s="8"/>
      <c r="H922" s="8"/>
      <c r="I922" s="8"/>
      <c r="J922" s="8"/>
      <c r="K922" s="8"/>
      <c r="L922" s="8"/>
      <c r="M922" s="8"/>
      <c r="N922" s="8"/>
      <c r="O922" s="8"/>
      <c r="P922" s="8"/>
      <c r="Q922" s="8"/>
      <c r="R922" s="8"/>
      <c r="S922" s="8"/>
      <c r="T922" s="8"/>
      <c r="U922" s="8"/>
      <c r="V922" s="8"/>
      <c r="W922" s="8"/>
      <c r="X922" s="8"/>
    </row>
    <row r="923" spans="1:24" ht="12.75" customHeight="1">
      <c r="A923" s="8"/>
      <c r="B923" s="8"/>
      <c r="C923" s="30"/>
      <c r="D923" s="8"/>
      <c r="E923" s="8"/>
      <c r="F923" s="8"/>
      <c r="G923" s="8"/>
      <c r="H923" s="8"/>
      <c r="I923" s="8"/>
      <c r="J923" s="8"/>
      <c r="K923" s="8"/>
      <c r="L923" s="8"/>
      <c r="M923" s="8"/>
      <c r="N923" s="8"/>
      <c r="O923" s="8"/>
      <c r="P923" s="8"/>
      <c r="Q923" s="8"/>
      <c r="R923" s="8"/>
      <c r="S923" s="8"/>
      <c r="T923" s="8"/>
      <c r="U923" s="8"/>
      <c r="V923" s="8"/>
      <c r="W923" s="8"/>
      <c r="X923" s="8"/>
    </row>
    <row r="924" spans="1:24" ht="12.75" customHeight="1">
      <c r="A924" s="8"/>
      <c r="B924" s="8"/>
      <c r="C924" s="30"/>
      <c r="D924" s="8"/>
      <c r="E924" s="8"/>
      <c r="F924" s="8"/>
      <c r="G924" s="8"/>
      <c r="H924" s="8"/>
      <c r="I924" s="8"/>
      <c r="J924" s="8"/>
      <c r="K924" s="8"/>
      <c r="L924" s="8"/>
      <c r="M924" s="8"/>
      <c r="N924" s="8"/>
      <c r="O924" s="8"/>
      <c r="P924" s="8"/>
      <c r="Q924" s="8"/>
      <c r="R924" s="8"/>
      <c r="S924" s="8"/>
      <c r="T924" s="8"/>
      <c r="U924" s="8"/>
      <c r="V924" s="8"/>
      <c r="W924" s="8"/>
      <c r="X924" s="8"/>
    </row>
    <row r="925" spans="1:24" ht="12.75" customHeight="1">
      <c r="A925" s="8"/>
      <c r="B925" s="8"/>
      <c r="C925" s="30"/>
      <c r="D925" s="8"/>
      <c r="E925" s="8"/>
      <c r="F925" s="8"/>
      <c r="G925" s="8"/>
      <c r="H925" s="8"/>
      <c r="I925" s="8"/>
      <c r="J925" s="8"/>
      <c r="K925" s="8"/>
      <c r="L925" s="8"/>
      <c r="M925" s="8"/>
      <c r="N925" s="8"/>
      <c r="O925" s="8"/>
      <c r="P925" s="8"/>
      <c r="Q925" s="8"/>
      <c r="R925" s="8"/>
      <c r="S925" s="8"/>
      <c r="T925" s="8"/>
      <c r="U925" s="8"/>
      <c r="V925" s="8"/>
      <c r="W925" s="8"/>
      <c r="X925" s="8"/>
    </row>
    <row r="926" spans="1:24" ht="12.75" customHeight="1">
      <c r="A926" s="8"/>
      <c r="B926" s="8"/>
      <c r="C926" s="30"/>
      <c r="D926" s="8"/>
      <c r="E926" s="8"/>
      <c r="F926" s="8"/>
      <c r="G926" s="8"/>
      <c r="H926" s="8"/>
      <c r="I926" s="8"/>
      <c r="J926" s="8"/>
      <c r="K926" s="8"/>
      <c r="L926" s="8"/>
      <c r="M926" s="8"/>
      <c r="N926" s="8"/>
      <c r="O926" s="8"/>
      <c r="P926" s="8"/>
      <c r="Q926" s="8"/>
      <c r="R926" s="8"/>
      <c r="S926" s="8"/>
      <c r="T926" s="8"/>
      <c r="U926" s="8"/>
      <c r="V926" s="8"/>
      <c r="W926" s="8"/>
      <c r="X926" s="8"/>
    </row>
    <row r="927" spans="1:24" ht="12.75" customHeight="1">
      <c r="A927" s="8"/>
      <c r="B927" s="8"/>
      <c r="C927" s="30"/>
      <c r="D927" s="8"/>
      <c r="E927" s="8"/>
      <c r="F927" s="8"/>
      <c r="G927" s="8"/>
      <c r="H927" s="8"/>
      <c r="I927" s="8"/>
      <c r="J927" s="8"/>
      <c r="K927" s="8"/>
      <c r="L927" s="8"/>
      <c r="M927" s="8"/>
      <c r="N927" s="8"/>
      <c r="O927" s="8"/>
      <c r="P927" s="8"/>
      <c r="Q927" s="8"/>
      <c r="R927" s="8"/>
      <c r="S927" s="8"/>
      <c r="T927" s="8"/>
      <c r="U927" s="8"/>
      <c r="V927" s="8"/>
      <c r="W927" s="8"/>
      <c r="X927" s="8"/>
    </row>
    <row r="928" spans="1:24" ht="12.75" customHeight="1">
      <c r="A928" s="8"/>
      <c r="B928" s="8"/>
      <c r="C928" s="30"/>
      <c r="D928" s="8"/>
      <c r="E928" s="8"/>
      <c r="F928" s="8"/>
      <c r="G928" s="8"/>
      <c r="H928" s="8"/>
      <c r="I928" s="8"/>
      <c r="J928" s="8"/>
      <c r="K928" s="8"/>
      <c r="L928" s="8"/>
      <c r="M928" s="8"/>
      <c r="N928" s="8"/>
      <c r="O928" s="8"/>
      <c r="P928" s="8"/>
      <c r="Q928" s="8"/>
      <c r="R928" s="8"/>
      <c r="S928" s="8"/>
      <c r="T928" s="8"/>
      <c r="U928" s="8"/>
      <c r="V928" s="8"/>
      <c r="W928" s="8"/>
      <c r="X928" s="8"/>
    </row>
    <row r="929" spans="1:24" ht="12.75" customHeight="1">
      <c r="A929" s="8"/>
      <c r="B929" s="8"/>
      <c r="C929" s="30"/>
      <c r="D929" s="8"/>
      <c r="E929" s="8"/>
      <c r="F929" s="8"/>
      <c r="G929" s="8"/>
      <c r="H929" s="8"/>
      <c r="I929" s="8"/>
      <c r="J929" s="8"/>
      <c r="K929" s="8"/>
      <c r="L929" s="8"/>
      <c r="M929" s="8"/>
      <c r="N929" s="8"/>
      <c r="O929" s="8"/>
      <c r="P929" s="8"/>
      <c r="Q929" s="8"/>
      <c r="R929" s="8"/>
      <c r="S929" s="8"/>
      <c r="T929" s="8"/>
      <c r="U929" s="8"/>
      <c r="V929" s="8"/>
      <c r="W929" s="8"/>
      <c r="X929" s="8"/>
    </row>
    <row r="930" spans="1:24" ht="12.75" customHeight="1">
      <c r="A930" s="8"/>
      <c r="B930" s="8"/>
      <c r="C930" s="30"/>
      <c r="D930" s="8"/>
      <c r="E930" s="8"/>
      <c r="F930" s="8"/>
      <c r="G930" s="8"/>
      <c r="H930" s="8"/>
      <c r="I930" s="8"/>
      <c r="J930" s="8"/>
      <c r="K930" s="8"/>
      <c r="L930" s="8"/>
      <c r="M930" s="8"/>
      <c r="N930" s="8"/>
      <c r="O930" s="8"/>
      <c r="P930" s="8"/>
      <c r="Q930" s="8"/>
      <c r="R930" s="8"/>
      <c r="S930" s="8"/>
      <c r="T930" s="8"/>
      <c r="U930" s="8"/>
      <c r="V930" s="8"/>
      <c r="W930" s="8"/>
      <c r="X930" s="8"/>
    </row>
    <row r="931" spans="1:24" ht="12.75" customHeight="1">
      <c r="A931" s="8"/>
      <c r="B931" s="8"/>
      <c r="C931" s="30"/>
      <c r="D931" s="8"/>
      <c r="E931" s="8"/>
      <c r="F931" s="8"/>
      <c r="G931" s="8"/>
      <c r="H931" s="8"/>
      <c r="I931" s="8"/>
      <c r="J931" s="8"/>
      <c r="K931" s="8"/>
      <c r="L931" s="8"/>
      <c r="M931" s="8"/>
      <c r="N931" s="8"/>
      <c r="O931" s="8"/>
      <c r="P931" s="8"/>
      <c r="Q931" s="8"/>
      <c r="R931" s="8"/>
      <c r="S931" s="8"/>
      <c r="T931" s="8"/>
      <c r="U931" s="8"/>
      <c r="V931" s="8"/>
      <c r="W931" s="8"/>
      <c r="X931" s="8"/>
    </row>
    <row r="932" spans="1:24" ht="12.75" customHeight="1">
      <c r="A932" s="8"/>
      <c r="B932" s="8"/>
      <c r="C932" s="30"/>
      <c r="D932" s="8"/>
      <c r="E932" s="8"/>
      <c r="F932" s="8"/>
      <c r="G932" s="8"/>
      <c r="H932" s="8"/>
      <c r="I932" s="8"/>
      <c r="J932" s="8"/>
      <c r="K932" s="8"/>
      <c r="L932" s="8"/>
      <c r="M932" s="8"/>
      <c r="N932" s="8"/>
      <c r="O932" s="8"/>
      <c r="P932" s="8"/>
      <c r="Q932" s="8"/>
      <c r="R932" s="8"/>
      <c r="S932" s="8"/>
      <c r="T932" s="8"/>
      <c r="U932" s="8"/>
      <c r="V932" s="8"/>
      <c r="W932" s="8"/>
      <c r="X932" s="8"/>
    </row>
    <row r="933" spans="1:24" ht="12.75" customHeight="1">
      <c r="A933" s="8"/>
      <c r="B933" s="8"/>
      <c r="C933" s="30"/>
      <c r="D933" s="8"/>
      <c r="E933" s="8"/>
      <c r="F933" s="8"/>
      <c r="G933" s="8"/>
      <c r="H933" s="8"/>
      <c r="I933" s="8"/>
      <c r="J933" s="8"/>
      <c r="K933" s="8"/>
      <c r="L933" s="8"/>
      <c r="M933" s="8"/>
      <c r="N933" s="8"/>
      <c r="O933" s="8"/>
      <c r="P933" s="8"/>
      <c r="Q933" s="8"/>
      <c r="R933" s="8"/>
      <c r="S933" s="8"/>
      <c r="T933" s="8"/>
      <c r="U933" s="8"/>
      <c r="V933" s="8"/>
      <c r="W933" s="8"/>
      <c r="X933" s="8"/>
    </row>
    <row r="934" spans="1:24" ht="12.75" customHeight="1">
      <c r="A934" s="8"/>
      <c r="B934" s="8"/>
      <c r="C934" s="30"/>
      <c r="D934" s="8"/>
      <c r="E934" s="8"/>
      <c r="F934" s="8"/>
      <c r="G934" s="8"/>
      <c r="H934" s="8"/>
      <c r="I934" s="8"/>
      <c r="J934" s="8"/>
      <c r="K934" s="8"/>
      <c r="L934" s="8"/>
      <c r="M934" s="8"/>
      <c r="N934" s="8"/>
      <c r="O934" s="8"/>
      <c r="P934" s="8"/>
      <c r="Q934" s="8"/>
      <c r="R934" s="8"/>
      <c r="S934" s="8"/>
      <c r="T934" s="8"/>
      <c r="U934" s="8"/>
      <c r="V934" s="8"/>
      <c r="W934" s="8"/>
      <c r="X934" s="8"/>
    </row>
    <row r="935" spans="1:24" ht="12.75" customHeight="1">
      <c r="A935" s="8"/>
      <c r="B935" s="8"/>
      <c r="C935" s="30"/>
      <c r="D935" s="8"/>
      <c r="E935" s="8"/>
      <c r="F935" s="8"/>
      <c r="G935" s="8"/>
      <c r="H935" s="8"/>
      <c r="I935" s="8"/>
      <c r="J935" s="8"/>
      <c r="K935" s="8"/>
      <c r="L935" s="8"/>
      <c r="M935" s="8"/>
      <c r="N935" s="8"/>
      <c r="O935" s="8"/>
      <c r="P935" s="8"/>
      <c r="Q935" s="8"/>
      <c r="R935" s="8"/>
      <c r="S935" s="8"/>
      <c r="T935" s="8"/>
      <c r="U935" s="8"/>
      <c r="V935" s="8"/>
      <c r="W935" s="8"/>
      <c r="X935" s="8"/>
    </row>
    <row r="936" spans="1:24" ht="12.75" customHeight="1">
      <c r="A936" s="8"/>
      <c r="B936" s="8"/>
      <c r="C936" s="30"/>
      <c r="D936" s="8"/>
      <c r="E936" s="8"/>
      <c r="F936" s="8"/>
      <c r="G936" s="8"/>
      <c r="H936" s="8"/>
      <c r="I936" s="8"/>
      <c r="J936" s="8"/>
      <c r="K936" s="8"/>
      <c r="L936" s="8"/>
      <c r="M936" s="8"/>
      <c r="N936" s="8"/>
      <c r="O936" s="8"/>
      <c r="P936" s="8"/>
      <c r="Q936" s="8"/>
      <c r="R936" s="8"/>
      <c r="S936" s="8"/>
      <c r="T936" s="8"/>
      <c r="U936" s="8"/>
      <c r="V936" s="8"/>
      <c r="W936" s="8"/>
      <c r="X936" s="8"/>
    </row>
    <row r="937" spans="1:24" ht="12.75" customHeight="1">
      <c r="A937" s="8"/>
      <c r="B937" s="8"/>
      <c r="C937" s="30"/>
      <c r="D937" s="8"/>
      <c r="E937" s="8"/>
      <c r="F937" s="8"/>
      <c r="G937" s="8"/>
      <c r="H937" s="8"/>
      <c r="I937" s="8"/>
      <c r="J937" s="8"/>
      <c r="K937" s="8"/>
      <c r="L937" s="8"/>
      <c r="M937" s="8"/>
      <c r="N937" s="8"/>
      <c r="O937" s="8"/>
      <c r="P937" s="8"/>
      <c r="Q937" s="8"/>
      <c r="R937" s="8"/>
      <c r="S937" s="8"/>
      <c r="T937" s="8"/>
      <c r="U937" s="8"/>
      <c r="V937" s="8"/>
      <c r="W937" s="8"/>
      <c r="X937" s="8"/>
    </row>
    <row r="938" spans="1:24" ht="12.75" customHeight="1">
      <c r="A938" s="8"/>
      <c r="B938" s="8"/>
      <c r="C938" s="30"/>
      <c r="D938" s="8"/>
      <c r="E938" s="8"/>
      <c r="F938" s="8"/>
      <c r="G938" s="8"/>
      <c r="H938" s="8"/>
      <c r="I938" s="8"/>
      <c r="J938" s="8"/>
      <c r="K938" s="8"/>
      <c r="L938" s="8"/>
      <c r="M938" s="8"/>
      <c r="N938" s="8"/>
      <c r="O938" s="8"/>
      <c r="P938" s="8"/>
      <c r="Q938" s="8"/>
      <c r="R938" s="8"/>
      <c r="S938" s="8"/>
      <c r="T938" s="8"/>
      <c r="U938" s="8"/>
      <c r="V938" s="8"/>
      <c r="W938" s="8"/>
      <c r="X938" s="8"/>
    </row>
    <row r="939" spans="1:24" ht="12.75" customHeight="1">
      <c r="A939" s="8"/>
      <c r="B939" s="8"/>
      <c r="C939" s="30"/>
      <c r="D939" s="8"/>
      <c r="E939" s="8"/>
      <c r="F939" s="8"/>
      <c r="G939" s="8"/>
      <c r="H939" s="8"/>
      <c r="I939" s="8"/>
      <c r="J939" s="8"/>
      <c r="K939" s="8"/>
      <c r="L939" s="8"/>
      <c r="M939" s="8"/>
      <c r="N939" s="8"/>
      <c r="O939" s="8"/>
      <c r="P939" s="8"/>
      <c r="Q939" s="8"/>
      <c r="R939" s="8"/>
      <c r="S939" s="8"/>
      <c r="T939" s="8"/>
      <c r="U939" s="8"/>
      <c r="V939" s="8"/>
      <c r="W939" s="8"/>
      <c r="X939" s="8"/>
    </row>
    <row r="940" spans="1:24" ht="12.75" customHeight="1">
      <c r="A940" s="8"/>
      <c r="B940" s="8"/>
      <c r="C940" s="30"/>
      <c r="D940" s="8"/>
      <c r="E940" s="8"/>
      <c r="F940" s="8"/>
      <c r="G940" s="8"/>
      <c r="H940" s="8"/>
      <c r="I940" s="8"/>
      <c r="J940" s="8"/>
      <c r="K940" s="8"/>
      <c r="L940" s="8"/>
      <c r="M940" s="8"/>
      <c r="N940" s="8"/>
      <c r="O940" s="8"/>
      <c r="P940" s="8"/>
      <c r="Q940" s="8"/>
      <c r="R940" s="8"/>
      <c r="S940" s="8"/>
      <c r="T940" s="8"/>
      <c r="U940" s="8"/>
      <c r="V940" s="8"/>
      <c r="W940" s="8"/>
      <c r="X940" s="8"/>
    </row>
    <row r="941" spans="1:24" ht="12.75" customHeight="1">
      <c r="A941" s="8"/>
      <c r="B941" s="8"/>
      <c r="C941" s="30"/>
      <c r="D941" s="8"/>
      <c r="E941" s="8"/>
      <c r="F941" s="8"/>
      <c r="G941" s="8"/>
      <c r="H941" s="8"/>
      <c r="I941" s="8"/>
      <c r="J941" s="8"/>
      <c r="K941" s="8"/>
      <c r="L941" s="8"/>
      <c r="M941" s="8"/>
      <c r="N941" s="8"/>
      <c r="O941" s="8"/>
      <c r="P941" s="8"/>
      <c r="Q941" s="8"/>
      <c r="R941" s="8"/>
      <c r="S941" s="8"/>
      <c r="T941" s="8"/>
      <c r="U941" s="8"/>
      <c r="V941" s="8"/>
      <c r="W941" s="8"/>
      <c r="X941" s="8"/>
    </row>
    <row r="942" spans="1:24" ht="12.75" customHeight="1">
      <c r="A942" s="8"/>
      <c r="B942" s="8"/>
      <c r="C942" s="30"/>
      <c r="D942" s="8"/>
      <c r="E942" s="8"/>
      <c r="F942" s="8"/>
      <c r="G942" s="8"/>
      <c r="H942" s="8"/>
      <c r="I942" s="8"/>
      <c r="J942" s="8"/>
      <c r="K942" s="8"/>
      <c r="L942" s="8"/>
      <c r="M942" s="8"/>
      <c r="N942" s="8"/>
      <c r="O942" s="8"/>
      <c r="P942" s="8"/>
      <c r="Q942" s="8"/>
      <c r="R942" s="8"/>
      <c r="S942" s="8"/>
      <c r="T942" s="8"/>
      <c r="U942" s="8"/>
      <c r="V942" s="8"/>
      <c r="W942" s="8"/>
      <c r="X942" s="8"/>
    </row>
    <row r="943" spans="1:24" ht="12.75" customHeight="1">
      <c r="A943" s="8"/>
      <c r="B943" s="8"/>
      <c r="C943" s="30"/>
      <c r="D943" s="8"/>
      <c r="E943" s="8"/>
      <c r="F943" s="8"/>
      <c r="G943" s="8"/>
      <c r="H943" s="8"/>
      <c r="I943" s="8"/>
      <c r="J943" s="8"/>
      <c r="K943" s="8"/>
      <c r="L943" s="8"/>
      <c r="M943" s="8"/>
      <c r="N943" s="8"/>
      <c r="O943" s="8"/>
      <c r="P943" s="8"/>
      <c r="Q943" s="8"/>
      <c r="R943" s="8"/>
      <c r="S943" s="8"/>
      <c r="T943" s="8"/>
      <c r="U943" s="8"/>
      <c r="V943" s="8"/>
      <c r="W943" s="8"/>
      <c r="X943" s="8"/>
    </row>
    <row r="944" spans="1:24" ht="12.75" customHeight="1">
      <c r="A944" s="8"/>
      <c r="B944" s="8"/>
      <c r="C944" s="30"/>
      <c r="D944" s="8"/>
      <c r="E944" s="8"/>
      <c r="F944" s="8"/>
      <c r="G944" s="8"/>
      <c r="H944" s="8"/>
      <c r="I944" s="8"/>
      <c r="J944" s="8"/>
      <c r="K944" s="8"/>
      <c r="L944" s="8"/>
      <c r="M944" s="8"/>
      <c r="N944" s="8"/>
      <c r="O944" s="8"/>
      <c r="P944" s="8"/>
      <c r="Q944" s="8"/>
      <c r="R944" s="8"/>
      <c r="S944" s="8"/>
      <c r="T944" s="8"/>
      <c r="U944" s="8"/>
      <c r="V944" s="8"/>
      <c r="W944" s="8"/>
      <c r="X944" s="8"/>
    </row>
    <row r="945" spans="1:24" ht="12.75" customHeight="1">
      <c r="A945" s="8"/>
      <c r="B945" s="8"/>
      <c r="C945" s="30"/>
      <c r="D945" s="8"/>
      <c r="E945" s="8"/>
      <c r="F945" s="8"/>
      <c r="G945" s="8"/>
      <c r="H945" s="8"/>
      <c r="I945" s="8"/>
      <c r="J945" s="8"/>
      <c r="K945" s="8"/>
      <c r="L945" s="8"/>
      <c r="M945" s="8"/>
      <c r="N945" s="8"/>
      <c r="O945" s="8"/>
      <c r="P945" s="8"/>
      <c r="Q945" s="8"/>
      <c r="R945" s="8"/>
      <c r="S945" s="8"/>
      <c r="T945" s="8"/>
      <c r="U945" s="8"/>
      <c r="V945" s="8"/>
      <c r="W945" s="8"/>
      <c r="X945" s="8"/>
    </row>
    <row r="946" spans="1:24" ht="12.75" customHeight="1">
      <c r="A946" s="8"/>
      <c r="B946" s="8"/>
      <c r="C946" s="30"/>
      <c r="D946" s="8"/>
      <c r="E946" s="8"/>
      <c r="F946" s="8"/>
      <c r="G946" s="8"/>
      <c r="H946" s="8"/>
      <c r="I946" s="8"/>
      <c r="J946" s="8"/>
      <c r="K946" s="8"/>
      <c r="L946" s="8"/>
      <c r="M946" s="8"/>
      <c r="N946" s="8"/>
      <c r="O946" s="8"/>
      <c r="P946" s="8"/>
      <c r="Q946" s="8"/>
      <c r="R946" s="8"/>
      <c r="S946" s="8"/>
      <c r="T946" s="8"/>
      <c r="U946" s="8"/>
      <c r="V946" s="8"/>
      <c r="W946" s="8"/>
      <c r="X946" s="8"/>
    </row>
    <row r="947" spans="1:24" ht="12.75" customHeight="1">
      <c r="A947" s="8"/>
      <c r="B947" s="8"/>
      <c r="C947" s="30"/>
      <c r="D947" s="8"/>
      <c r="E947" s="8"/>
      <c r="F947" s="8"/>
      <c r="G947" s="8"/>
      <c r="H947" s="8"/>
      <c r="I947" s="8"/>
      <c r="J947" s="8"/>
      <c r="K947" s="8"/>
      <c r="L947" s="8"/>
      <c r="M947" s="8"/>
      <c r="N947" s="8"/>
      <c r="O947" s="8"/>
      <c r="P947" s="8"/>
      <c r="Q947" s="8"/>
      <c r="R947" s="8"/>
      <c r="S947" s="8"/>
      <c r="T947" s="8"/>
      <c r="U947" s="8"/>
      <c r="V947" s="8"/>
      <c r="W947" s="8"/>
      <c r="X947" s="8"/>
    </row>
    <row r="948" spans="1:24" ht="12.75" customHeight="1">
      <c r="A948" s="8"/>
      <c r="B948" s="8"/>
      <c r="C948" s="30"/>
      <c r="D948" s="8"/>
      <c r="E948" s="8"/>
      <c r="F948" s="8"/>
      <c r="G948" s="8"/>
      <c r="H948" s="8"/>
      <c r="I948" s="8"/>
      <c r="J948" s="8"/>
      <c r="K948" s="8"/>
      <c r="L948" s="8"/>
      <c r="M948" s="8"/>
      <c r="N948" s="8"/>
      <c r="O948" s="8"/>
      <c r="P948" s="8"/>
      <c r="Q948" s="8"/>
      <c r="R948" s="8"/>
      <c r="S948" s="8"/>
      <c r="T948" s="8"/>
      <c r="U948" s="8"/>
      <c r="V948" s="8"/>
      <c r="W948" s="8"/>
      <c r="X948" s="8"/>
    </row>
    <row r="949" spans="1:24" ht="12.75" customHeight="1">
      <c r="A949" s="8"/>
      <c r="B949" s="8"/>
      <c r="C949" s="30"/>
      <c r="D949" s="8"/>
      <c r="E949" s="8"/>
      <c r="F949" s="8"/>
      <c r="G949" s="8"/>
      <c r="H949" s="8"/>
      <c r="I949" s="8"/>
      <c r="J949" s="8"/>
      <c r="K949" s="8"/>
      <c r="L949" s="8"/>
      <c r="M949" s="8"/>
      <c r="N949" s="8"/>
      <c r="O949" s="8"/>
      <c r="P949" s="8"/>
      <c r="Q949" s="8"/>
      <c r="R949" s="8"/>
      <c r="S949" s="8"/>
      <c r="T949" s="8"/>
      <c r="U949" s="8"/>
      <c r="V949" s="8"/>
      <c r="W949" s="8"/>
      <c r="X949" s="8"/>
    </row>
    <row r="950" spans="1:24" ht="12.75" customHeight="1">
      <c r="A950" s="8"/>
      <c r="B950" s="8"/>
      <c r="C950" s="30"/>
      <c r="D950" s="8"/>
      <c r="E950" s="8"/>
      <c r="F950" s="8"/>
      <c r="G950" s="8"/>
      <c r="H950" s="8"/>
      <c r="I950" s="8"/>
      <c r="J950" s="8"/>
      <c r="K950" s="8"/>
      <c r="L950" s="8"/>
      <c r="M950" s="8"/>
      <c r="N950" s="8"/>
      <c r="O950" s="8"/>
      <c r="P950" s="8"/>
      <c r="Q950" s="8"/>
      <c r="R950" s="8"/>
      <c r="S950" s="8"/>
      <c r="T950" s="8"/>
      <c r="U950" s="8"/>
      <c r="V950" s="8"/>
      <c r="W950" s="8"/>
      <c r="X950" s="8"/>
    </row>
    <row r="951" spans="1:24" ht="12.75" customHeight="1">
      <c r="A951" s="8"/>
      <c r="B951" s="8"/>
      <c r="C951" s="30"/>
      <c r="D951" s="8"/>
      <c r="E951" s="8"/>
      <c r="F951" s="8"/>
      <c r="G951" s="8"/>
      <c r="H951" s="8"/>
      <c r="I951" s="8"/>
      <c r="J951" s="8"/>
      <c r="K951" s="8"/>
      <c r="L951" s="8"/>
      <c r="M951" s="8"/>
      <c r="N951" s="8"/>
      <c r="O951" s="8"/>
      <c r="P951" s="8"/>
      <c r="Q951" s="8"/>
      <c r="R951" s="8"/>
      <c r="S951" s="8"/>
      <c r="T951" s="8"/>
      <c r="U951" s="8"/>
      <c r="V951" s="8"/>
      <c r="W951" s="8"/>
      <c r="X951" s="8"/>
    </row>
    <row r="952" spans="1:24" ht="12.75" customHeight="1">
      <c r="A952" s="8"/>
      <c r="B952" s="8"/>
      <c r="C952" s="30"/>
      <c r="D952" s="8"/>
      <c r="E952" s="8"/>
      <c r="F952" s="8"/>
      <c r="G952" s="8"/>
      <c r="H952" s="8"/>
      <c r="I952" s="8"/>
      <c r="J952" s="8"/>
      <c r="K952" s="8"/>
      <c r="L952" s="8"/>
      <c r="M952" s="8"/>
      <c r="N952" s="8"/>
      <c r="O952" s="8"/>
      <c r="P952" s="8"/>
      <c r="Q952" s="8"/>
      <c r="R952" s="8"/>
      <c r="S952" s="8"/>
      <c r="T952" s="8"/>
      <c r="U952" s="8"/>
      <c r="V952" s="8"/>
      <c r="W952" s="8"/>
      <c r="X952" s="8"/>
    </row>
    <row r="953" spans="1:24" ht="12.75" customHeight="1">
      <c r="A953" s="8"/>
      <c r="B953" s="8"/>
      <c r="C953" s="30"/>
      <c r="D953" s="8"/>
      <c r="E953" s="8"/>
      <c r="F953" s="8"/>
      <c r="G953" s="8"/>
      <c r="H953" s="8"/>
      <c r="I953" s="8"/>
      <c r="J953" s="8"/>
      <c r="K953" s="8"/>
      <c r="L953" s="8"/>
      <c r="M953" s="8"/>
      <c r="N953" s="8"/>
      <c r="O953" s="8"/>
      <c r="P953" s="8"/>
      <c r="Q953" s="8"/>
      <c r="R953" s="8"/>
      <c r="S953" s="8"/>
      <c r="T953" s="8"/>
      <c r="U953" s="8"/>
      <c r="V953" s="8"/>
      <c r="W953" s="8"/>
      <c r="X953" s="8"/>
    </row>
    <row r="954" spans="1:24" ht="12.75" customHeight="1">
      <c r="A954" s="8"/>
      <c r="B954" s="8"/>
      <c r="C954" s="30"/>
      <c r="D954" s="8"/>
      <c r="E954" s="8"/>
      <c r="F954" s="8"/>
      <c r="G954" s="8"/>
      <c r="H954" s="8"/>
      <c r="I954" s="8"/>
      <c r="J954" s="8"/>
      <c r="K954" s="8"/>
      <c r="L954" s="8"/>
      <c r="M954" s="8"/>
      <c r="N954" s="8"/>
      <c r="O954" s="8"/>
      <c r="P954" s="8"/>
      <c r="Q954" s="8"/>
      <c r="R954" s="8"/>
      <c r="S954" s="8"/>
      <c r="T954" s="8"/>
      <c r="U954" s="8"/>
      <c r="V954" s="8"/>
      <c r="W954" s="8"/>
      <c r="X954" s="8"/>
    </row>
    <row r="955" spans="1:24" ht="12.75" customHeight="1">
      <c r="A955" s="8"/>
      <c r="B955" s="8"/>
      <c r="C955" s="30"/>
      <c r="D955" s="8"/>
      <c r="E955" s="8"/>
      <c r="F955" s="8"/>
      <c r="G955" s="8"/>
      <c r="H955" s="8"/>
      <c r="I955" s="8"/>
      <c r="J955" s="8"/>
      <c r="K955" s="8"/>
      <c r="L955" s="8"/>
      <c r="M955" s="8"/>
      <c r="N955" s="8"/>
      <c r="O955" s="8"/>
      <c r="P955" s="8"/>
      <c r="Q955" s="8"/>
      <c r="R955" s="8"/>
      <c r="S955" s="8"/>
      <c r="T955" s="8"/>
      <c r="U955" s="8"/>
      <c r="V955" s="8"/>
      <c r="W955" s="8"/>
      <c r="X955" s="8"/>
    </row>
    <row r="956" spans="1:24" ht="12.75" customHeight="1">
      <c r="A956" s="8"/>
      <c r="B956" s="8"/>
      <c r="C956" s="30"/>
      <c r="D956" s="8"/>
      <c r="E956" s="8"/>
      <c r="F956" s="8"/>
      <c r="G956" s="8"/>
      <c r="H956" s="8"/>
      <c r="I956" s="8"/>
      <c r="J956" s="8"/>
      <c r="K956" s="8"/>
      <c r="L956" s="8"/>
      <c r="M956" s="8"/>
      <c r="N956" s="8"/>
      <c r="O956" s="8"/>
      <c r="P956" s="8"/>
      <c r="Q956" s="8"/>
      <c r="R956" s="8"/>
      <c r="S956" s="8"/>
      <c r="T956" s="8"/>
      <c r="U956" s="8"/>
      <c r="V956" s="8"/>
      <c r="W956" s="8"/>
      <c r="X956" s="8"/>
    </row>
    <row r="957" spans="1:24" ht="12.75" customHeight="1">
      <c r="A957" s="8"/>
      <c r="B957" s="8"/>
      <c r="C957" s="30"/>
      <c r="D957" s="8"/>
      <c r="E957" s="8"/>
      <c r="F957" s="8"/>
      <c r="G957" s="8"/>
      <c r="H957" s="8"/>
      <c r="I957" s="8"/>
      <c r="J957" s="8"/>
      <c r="K957" s="8"/>
      <c r="L957" s="8"/>
      <c r="M957" s="8"/>
      <c r="N957" s="8"/>
      <c r="O957" s="8"/>
      <c r="P957" s="8"/>
      <c r="Q957" s="8"/>
      <c r="R957" s="8"/>
      <c r="S957" s="8"/>
      <c r="T957" s="8"/>
      <c r="U957" s="8"/>
      <c r="V957" s="8"/>
      <c r="W957" s="8"/>
      <c r="X957" s="8"/>
    </row>
    <row r="958" spans="1:24" ht="12.75" customHeight="1">
      <c r="A958" s="8"/>
      <c r="B958" s="8"/>
      <c r="C958" s="30"/>
      <c r="D958" s="8"/>
      <c r="E958" s="8"/>
      <c r="F958" s="8"/>
      <c r="G958" s="8"/>
      <c r="H958" s="8"/>
      <c r="I958" s="8"/>
      <c r="J958" s="8"/>
      <c r="K958" s="8"/>
      <c r="L958" s="8"/>
      <c r="M958" s="8"/>
      <c r="N958" s="8"/>
      <c r="O958" s="8"/>
      <c r="P958" s="8"/>
      <c r="Q958" s="8"/>
      <c r="R958" s="8"/>
      <c r="S958" s="8"/>
      <c r="T958" s="8"/>
      <c r="U958" s="8"/>
      <c r="V958" s="8"/>
      <c r="W958" s="8"/>
      <c r="X958" s="8"/>
    </row>
    <row r="959" spans="1:24" ht="12.75" customHeight="1">
      <c r="A959" s="8"/>
      <c r="B959" s="8"/>
      <c r="C959" s="30"/>
      <c r="D959" s="8"/>
      <c r="E959" s="8"/>
      <c r="F959" s="8"/>
      <c r="G959" s="8"/>
      <c r="H959" s="8"/>
      <c r="I959" s="8"/>
      <c r="J959" s="8"/>
      <c r="K959" s="8"/>
      <c r="L959" s="8"/>
      <c r="M959" s="8"/>
      <c r="N959" s="8"/>
      <c r="O959" s="8"/>
      <c r="P959" s="8"/>
      <c r="Q959" s="8"/>
      <c r="R959" s="8"/>
      <c r="S959" s="8"/>
      <c r="T959" s="8"/>
      <c r="U959" s="8"/>
      <c r="V959" s="8"/>
      <c r="W959" s="8"/>
      <c r="X959" s="8"/>
    </row>
    <row r="960" spans="1:24" ht="12.75" customHeight="1">
      <c r="A960" s="8"/>
      <c r="B960" s="8"/>
      <c r="C960" s="30"/>
      <c r="D960" s="8"/>
      <c r="E960" s="8"/>
      <c r="F960" s="8"/>
      <c r="G960" s="8"/>
      <c r="H960" s="8"/>
      <c r="I960" s="8"/>
      <c r="J960" s="8"/>
      <c r="K960" s="8"/>
      <c r="L960" s="8"/>
      <c r="M960" s="8"/>
      <c r="N960" s="8"/>
      <c r="O960" s="8"/>
      <c r="P960" s="8"/>
      <c r="Q960" s="8"/>
      <c r="R960" s="8"/>
      <c r="S960" s="8"/>
      <c r="T960" s="8"/>
      <c r="U960" s="8"/>
      <c r="V960" s="8"/>
      <c r="W960" s="8"/>
      <c r="X960" s="8"/>
    </row>
    <row r="961" spans="1:24" ht="12.75" customHeight="1">
      <c r="A961" s="8"/>
      <c r="B961" s="8"/>
      <c r="C961" s="30"/>
      <c r="D961" s="8"/>
      <c r="E961" s="8"/>
      <c r="F961" s="8"/>
      <c r="G961" s="8"/>
      <c r="H961" s="8"/>
      <c r="I961" s="8"/>
      <c r="J961" s="8"/>
      <c r="K961" s="8"/>
      <c r="L961" s="8"/>
      <c r="M961" s="8"/>
      <c r="N961" s="8"/>
      <c r="O961" s="8"/>
      <c r="P961" s="8"/>
      <c r="Q961" s="8"/>
      <c r="R961" s="8"/>
      <c r="S961" s="8"/>
      <c r="T961" s="8"/>
      <c r="U961" s="8"/>
      <c r="V961" s="8"/>
      <c r="W961" s="8"/>
      <c r="X961" s="8"/>
    </row>
    <row r="962" spans="1:24" ht="12.75" customHeight="1">
      <c r="A962" s="8"/>
      <c r="B962" s="8"/>
      <c r="C962" s="30"/>
      <c r="D962" s="8"/>
      <c r="E962" s="8"/>
      <c r="F962" s="8"/>
      <c r="G962" s="8"/>
      <c r="H962" s="8"/>
      <c r="I962" s="8"/>
      <c r="J962" s="8"/>
      <c r="K962" s="8"/>
      <c r="L962" s="8"/>
      <c r="M962" s="8"/>
      <c r="N962" s="8"/>
      <c r="O962" s="8"/>
      <c r="P962" s="8"/>
      <c r="Q962" s="8"/>
      <c r="R962" s="8"/>
      <c r="S962" s="8"/>
      <c r="T962" s="8"/>
      <c r="U962" s="8"/>
      <c r="V962" s="8"/>
      <c r="W962" s="8"/>
      <c r="X962" s="8"/>
    </row>
    <row r="963" spans="1:24" ht="12.75" customHeight="1">
      <c r="A963" s="8"/>
      <c r="B963" s="8"/>
      <c r="C963" s="30"/>
      <c r="D963" s="8"/>
      <c r="E963" s="8"/>
      <c r="F963" s="8"/>
      <c r="G963" s="8"/>
      <c r="H963" s="8"/>
      <c r="I963" s="8"/>
      <c r="J963" s="8"/>
      <c r="K963" s="8"/>
      <c r="L963" s="8"/>
      <c r="M963" s="8"/>
      <c r="N963" s="8"/>
      <c r="O963" s="8"/>
      <c r="P963" s="8"/>
      <c r="Q963" s="8"/>
      <c r="R963" s="8"/>
      <c r="S963" s="8"/>
      <c r="T963" s="8"/>
      <c r="U963" s="8"/>
      <c r="V963" s="8"/>
      <c r="W963" s="8"/>
      <c r="X963" s="8"/>
    </row>
    <row r="964" spans="1:24" ht="12.75" customHeight="1">
      <c r="A964" s="8"/>
      <c r="B964" s="8"/>
      <c r="C964" s="30"/>
      <c r="D964" s="8"/>
      <c r="E964" s="8"/>
      <c r="F964" s="8"/>
      <c r="G964" s="8"/>
      <c r="H964" s="8"/>
      <c r="I964" s="8"/>
      <c r="J964" s="8"/>
      <c r="K964" s="8"/>
      <c r="L964" s="8"/>
      <c r="M964" s="8"/>
      <c r="N964" s="8"/>
      <c r="O964" s="8"/>
      <c r="P964" s="8"/>
      <c r="Q964" s="8"/>
      <c r="R964" s="8"/>
      <c r="S964" s="8"/>
      <c r="T964" s="8"/>
      <c r="U964" s="8"/>
      <c r="V964" s="8"/>
      <c r="W964" s="8"/>
      <c r="X964" s="8"/>
    </row>
    <row r="965" spans="1:24" ht="12.75" customHeight="1">
      <c r="A965" s="8"/>
      <c r="B965" s="8"/>
      <c r="C965" s="30"/>
      <c r="D965" s="8"/>
      <c r="E965" s="8"/>
      <c r="F965" s="8"/>
      <c r="G965" s="8"/>
      <c r="H965" s="8"/>
      <c r="I965" s="8"/>
      <c r="J965" s="8"/>
      <c r="K965" s="8"/>
      <c r="L965" s="8"/>
      <c r="M965" s="8"/>
      <c r="N965" s="8"/>
      <c r="O965" s="8"/>
      <c r="P965" s="8"/>
      <c r="Q965" s="8"/>
      <c r="R965" s="8"/>
      <c r="S965" s="8"/>
      <c r="T965" s="8"/>
      <c r="U965" s="8"/>
      <c r="V965" s="8"/>
      <c r="W965" s="8"/>
      <c r="X965" s="8"/>
    </row>
    <row r="966" spans="1:24" ht="12.75" customHeight="1">
      <c r="A966" s="8"/>
      <c r="B966" s="8"/>
      <c r="C966" s="30"/>
      <c r="D966" s="8"/>
      <c r="E966" s="8"/>
      <c r="F966" s="8"/>
      <c r="G966" s="8"/>
      <c r="H966" s="8"/>
      <c r="I966" s="8"/>
      <c r="J966" s="8"/>
      <c r="K966" s="8"/>
      <c r="L966" s="8"/>
      <c r="M966" s="8"/>
      <c r="N966" s="8"/>
      <c r="O966" s="8"/>
      <c r="P966" s="8"/>
      <c r="Q966" s="8"/>
      <c r="R966" s="8"/>
      <c r="S966" s="8"/>
      <c r="T966" s="8"/>
      <c r="U966" s="8"/>
      <c r="V966" s="8"/>
      <c r="W966" s="8"/>
      <c r="X966" s="8"/>
    </row>
    <row r="967" spans="1:24" ht="12.75" customHeight="1">
      <c r="A967" s="8"/>
      <c r="B967" s="8"/>
      <c r="C967" s="30"/>
      <c r="D967" s="8"/>
      <c r="E967" s="8"/>
      <c r="F967" s="8"/>
      <c r="G967" s="8"/>
      <c r="H967" s="8"/>
      <c r="I967" s="8"/>
      <c r="J967" s="8"/>
      <c r="K967" s="8"/>
      <c r="L967" s="8"/>
      <c r="M967" s="8"/>
      <c r="N967" s="8"/>
      <c r="O967" s="8"/>
      <c r="P967" s="8"/>
      <c r="Q967" s="8"/>
      <c r="R967" s="8"/>
      <c r="S967" s="8"/>
      <c r="T967" s="8"/>
      <c r="U967" s="8"/>
      <c r="V967" s="8"/>
      <c r="W967" s="8"/>
      <c r="X967" s="8"/>
    </row>
    <row r="968" spans="1:24" ht="12.75" customHeight="1">
      <c r="A968" s="8"/>
      <c r="B968" s="8"/>
      <c r="C968" s="30"/>
      <c r="D968" s="8"/>
      <c r="E968" s="8"/>
      <c r="F968" s="8"/>
      <c r="G968" s="8"/>
      <c r="H968" s="8"/>
      <c r="I968" s="8"/>
      <c r="J968" s="8"/>
      <c r="K968" s="8"/>
      <c r="L968" s="8"/>
      <c r="M968" s="8"/>
      <c r="N968" s="8"/>
      <c r="O968" s="8"/>
      <c r="P968" s="8"/>
      <c r="Q968" s="8"/>
      <c r="R968" s="8"/>
      <c r="S968" s="8"/>
      <c r="T968" s="8"/>
      <c r="U968" s="8"/>
      <c r="V968" s="8"/>
      <c r="W968" s="8"/>
      <c r="X968" s="8"/>
    </row>
    <row r="969" spans="1:24" ht="12.75" customHeight="1">
      <c r="A969" s="8"/>
      <c r="B969" s="8"/>
      <c r="C969" s="30"/>
      <c r="D969" s="8"/>
      <c r="E969" s="8"/>
      <c r="F969" s="8"/>
      <c r="G969" s="8"/>
      <c r="H969" s="8"/>
      <c r="I969" s="8"/>
      <c r="J969" s="8"/>
      <c r="K969" s="8"/>
      <c r="L969" s="8"/>
      <c r="M969" s="8"/>
      <c r="N969" s="8"/>
      <c r="O969" s="8"/>
      <c r="P969" s="8"/>
      <c r="Q969" s="8"/>
      <c r="R969" s="8"/>
      <c r="S969" s="8"/>
      <c r="T969" s="8"/>
      <c r="U969" s="8"/>
      <c r="V969" s="8"/>
      <c r="W969" s="8"/>
      <c r="X969" s="8"/>
    </row>
    <row r="970" spans="1:24" ht="12.75" customHeight="1">
      <c r="A970" s="8"/>
      <c r="B970" s="8"/>
      <c r="C970" s="30"/>
      <c r="D970" s="8"/>
      <c r="E970" s="8"/>
      <c r="F970" s="8"/>
      <c r="G970" s="8"/>
      <c r="H970" s="8"/>
      <c r="I970" s="8"/>
      <c r="J970" s="8"/>
      <c r="K970" s="8"/>
      <c r="L970" s="8"/>
      <c r="M970" s="8"/>
      <c r="N970" s="8"/>
      <c r="O970" s="8"/>
      <c r="P970" s="8"/>
      <c r="Q970" s="8"/>
      <c r="R970" s="8"/>
      <c r="S970" s="8"/>
      <c r="T970" s="8"/>
      <c r="U970" s="8"/>
      <c r="V970" s="8"/>
      <c r="W970" s="8"/>
      <c r="X970" s="8"/>
    </row>
    <row r="971" spans="1:24" ht="12.75" customHeight="1">
      <c r="A971" s="8"/>
      <c r="B971" s="8"/>
      <c r="C971" s="30"/>
      <c r="D971" s="8"/>
      <c r="E971" s="8"/>
      <c r="F971" s="8"/>
      <c r="G971" s="8"/>
      <c r="H971" s="8"/>
      <c r="I971" s="8"/>
      <c r="J971" s="8"/>
      <c r="K971" s="8"/>
      <c r="L971" s="8"/>
      <c r="M971" s="8"/>
      <c r="N971" s="8"/>
      <c r="O971" s="8"/>
      <c r="P971" s="8"/>
      <c r="Q971" s="8"/>
      <c r="R971" s="8"/>
      <c r="S971" s="8"/>
      <c r="T971" s="8"/>
      <c r="U971" s="8"/>
      <c r="V971" s="8"/>
      <c r="W971" s="8"/>
      <c r="X971" s="8"/>
    </row>
    <row r="972" spans="1:24" ht="12.75" customHeight="1">
      <c r="A972" s="8"/>
      <c r="B972" s="8"/>
      <c r="C972" s="30"/>
      <c r="D972" s="8"/>
      <c r="E972" s="8"/>
      <c r="F972" s="8"/>
      <c r="G972" s="8"/>
      <c r="H972" s="8"/>
      <c r="I972" s="8"/>
      <c r="J972" s="8"/>
      <c r="K972" s="8"/>
      <c r="L972" s="8"/>
      <c r="M972" s="8"/>
      <c r="N972" s="8"/>
      <c r="O972" s="8"/>
      <c r="P972" s="8"/>
      <c r="Q972" s="8"/>
      <c r="R972" s="8"/>
      <c r="S972" s="8"/>
      <c r="T972" s="8"/>
      <c r="U972" s="8"/>
      <c r="V972" s="8"/>
      <c r="W972" s="8"/>
      <c r="X972" s="8"/>
    </row>
    <row r="973" spans="1:24" ht="12.75" customHeight="1">
      <c r="A973" s="8"/>
      <c r="B973" s="8"/>
      <c r="C973" s="30"/>
      <c r="D973" s="8"/>
      <c r="E973" s="8"/>
      <c r="F973" s="8"/>
      <c r="G973" s="8"/>
      <c r="H973" s="8"/>
      <c r="I973" s="8"/>
      <c r="J973" s="8"/>
      <c r="K973" s="8"/>
      <c r="L973" s="8"/>
      <c r="M973" s="8"/>
      <c r="N973" s="8"/>
      <c r="O973" s="8"/>
      <c r="P973" s="8"/>
      <c r="Q973" s="8"/>
      <c r="R973" s="8"/>
      <c r="S973" s="8"/>
      <c r="T973" s="8"/>
      <c r="U973" s="8"/>
      <c r="V973" s="8"/>
      <c r="W973" s="8"/>
      <c r="X973" s="8"/>
    </row>
    <row r="974" spans="1:24" ht="12.75" customHeight="1">
      <c r="A974" s="8"/>
      <c r="B974" s="8"/>
      <c r="C974" s="30"/>
      <c r="D974" s="8"/>
      <c r="E974" s="8"/>
      <c r="F974" s="8"/>
      <c r="G974" s="8"/>
      <c r="H974" s="8"/>
      <c r="I974" s="8"/>
      <c r="J974" s="8"/>
      <c r="K974" s="8"/>
      <c r="L974" s="8"/>
      <c r="M974" s="8"/>
      <c r="N974" s="8"/>
      <c r="O974" s="8"/>
      <c r="P974" s="8"/>
      <c r="Q974" s="8"/>
      <c r="R974" s="8"/>
      <c r="S974" s="8"/>
      <c r="T974" s="8"/>
      <c r="U974" s="8"/>
      <c r="V974" s="8"/>
      <c r="W974" s="8"/>
      <c r="X974" s="8"/>
    </row>
    <row r="975" spans="1:24" ht="12.75" customHeight="1">
      <c r="A975" s="8"/>
      <c r="B975" s="8"/>
      <c r="C975" s="30"/>
      <c r="D975" s="8"/>
      <c r="E975" s="8"/>
      <c r="F975" s="8"/>
      <c r="G975" s="8"/>
      <c r="H975" s="8"/>
      <c r="I975" s="8"/>
      <c r="J975" s="8"/>
      <c r="K975" s="8"/>
      <c r="L975" s="8"/>
      <c r="M975" s="8"/>
      <c r="N975" s="8"/>
      <c r="O975" s="8"/>
      <c r="P975" s="8"/>
      <c r="Q975" s="8"/>
      <c r="R975" s="8"/>
      <c r="S975" s="8"/>
      <c r="T975" s="8"/>
      <c r="U975" s="8"/>
      <c r="V975" s="8"/>
      <c r="W975" s="8"/>
      <c r="X975" s="8"/>
    </row>
    <row r="976" spans="1:24" ht="12.75" customHeight="1">
      <c r="A976" s="8"/>
      <c r="B976" s="8"/>
      <c r="C976" s="30"/>
      <c r="D976" s="8"/>
      <c r="E976" s="8"/>
      <c r="F976" s="8"/>
      <c r="G976" s="8"/>
      <c r="H976" s="8"/>
      <c r="I976" s="8"/>
      <c r="J976" s="8"/>
      <c r="K976" s="8"/>
      <c r="L976" s="8"/>
      <c r="M976" s="8"/>
      <c r="N976" s="8"/>
      <c r="O976" s="8"/>
      <c r="P976" s="8"/>
      <c r="Q976" s="8"/>
      <c r="R976" s="8"/>
      <c r="S976" s="8"/>
      <c r="T976" s="8"/>
      <c r="U976" s="8"/>
      <c r="V976" s="8"/>
      <c r="W976" s="8"/>
      <c r="X976" s="8"/>
    </row>
    <row r="977" spans="1:24" ht="12.75" customHeight="1">
      <c r="A977" s="8"/>
      <c r="B977" s="8"/>
      <c r="C977" s="30"/>
      <c r="D977" s="8"/>
      <c r="E977" s="8"/>
      <c r="F977" s="8"/>
      <c r="G977" s="8"/>
      <c r="H977" s="8"/>
      <c r="I977" s="8"/>
      <c r="J977" s="8"/>
      <c r="K977" s="8"/>
      <c r="L977" s="8"/>
      <c r="M977" s="8"/>
      <c r="N977" s="8"/>
      <c r="O977" s="8"/>
      <c r="P977" s="8"/>
      <c r="Q977" s="8"/>
      <c r="R977" s="8"/>
      <c r="S977" s="8"/>
      <c r="T977" s="8"/>
      <c r="U977" s="8"/>
      <c r="V977" s="8"/>
      <c r="W977" s="8"/>
      <c r="X977" s="8"/>
    </row>
    <row r="978" spans="1:24" ht="12.75" customHeight="1">
      <c r="A978" s="8"/>
      <c r="B978" s="8"/>
      <c r="C978" s="30"/>
      <c r="D978" s="8"/>
      <c r="E978" s="8"/>
      <c r="F978" s="8"/>
      <c r="G978" s="8"/>
      <c r="H978" s="8"/>
      <c r="I978" s="8"/>
      <c r="J978" s="8"/>
      <c r="K978" s="8"/>
      <c r="L978" s="8"/>
      <c r="M978" s="8"/>
      <c r="N978" s="8"/>
      <c r="O978" s="8"/>
      <c r="P978" s="8"/>
      <c r="Q978" s="8"/>
      <c r="R978" s="8"/>
      <c r="S978" s="8"/>
      <c r="T978" s="8"/>
      <c r="U978" s="8"/>
      <c r="V978" s="8"/>
      <c r="W978" s="8"/>
      <c r="X978" s="8"/>
    </row>
    <row r="979" spans="1:24" ht="12.75" customHeight="1">
      <c r="A979" s="8"/>
      <c r="B979" s="8"/>
      <c r="C979" s="30"/>
      <c r="D979" s="8"/>
      <c r="E979" s="8"/>
      <c r="F979" s="8"/>
      <c r="G979" s="8"/>
      <c r="H979" s="8"/>
      <c r="I979" s="8"/>
      <c r="J979" s="8"/>
      <c r="K979" s="8"/>
      <c r="L979" s="8"/>
      <c r="M979" s="8"/>
      <c r="N979" s="8"/>
      <c r="O979" s="8"/>
      <c r="P979" s="8"/>
      <c r="Q979" s="8"/>
      <c r="R979" s="8"/>
      <c r="S979" s="8"/>
      <c r="T979" s="8"/>
      <c r="U979" s="8"/>
      <c r="V979" s="8"/>
      <c r="W979" s="8"/>
      <c r="X979" s="8"/>
    </row>
    <row r="980" spans="1:24" ht="12.75" customHeight="1">
      <c r="A980" s="8"/>
      <c r="B980" s="8"/>
      <c r="C980" s="30"/>
      <c r="D980" s="8"/>
      <c r="E980" s="8"/>
      <c r="F980" s="8"/>
      <c r="G980" s="8"/>
      <c r="H980" s="8"/>
      <c r="I980" s="8"/>
      <c r="J980" s="8"/>
      <c r="K980" s="8"/>
      <c r="L980" s="8"/>
      <c r="M980" s="8"/>
      <c r="N980" s="8"/>
      <c r="O980" s="8"/>
      <c r="P980" s="8"/>
      <c r="Q980" s="8"/>
      <c r="R980" s="8"/>
      <c r="S980" s="8"/>
      <c r="T980" s="8"/>
      <c r="U980" s="8"/>
      <c r="V980" s="8"/>
      <c r="W980" s="8"/>
      <c r="X980" s="8"/>
    </row>
    <row r="981" spans="1:24" ht="12.75" customHeight="1">
      <c r="A981" s="8"/>
      <c r="B981" s="8"/>
      <c r="C981" s="30"/>
      <c r="D981" s="8"/>
      <c r="E981" s="8"/>
      <c r="F981" s="8"/>
      <c r="G981" s="8"/>
      <c r="H981" s="8"/>
      <c r="I981" s="8"/>
      <c r="J981" s="8"/>
      <c r="K981" s="8"/>
      <c r="L981" s="8"/>
      <c r="M981" s="8"/>
      <c r="N981" s="8"/>
      <c r="O981" s="8"/>
      <c r="P981" s="8"/>
      <c r="Q981" s="8"/>
      <c r="R981" s="8"/>
      <c r="S981" s="8"/>
      <c r="T981" s="8"/>
      <c r="U981" s="8"/>
      <c r="V981" s="8"/>
      <c r="W981" s="8"/>
      <c r="X981" s="8"/>
    </row>
    <row r="982" spans="1:24" ht="12.75" customHeight="1">
      <c r="A982" s="8"/>
      <c r="B982" s="8"/>
      <c r="C982" s="30"/>
      <c r="D982" s="8"/>
      <c r="E982" s="8"/>
      <c r="F982" s="8"/>
      <c r="G982" s="8"/>
      <c r="H982" s="8"/>
      <c r="I982" s="8"/>
      <c r="J982" s="8"/>
      <c r="K982" s="8"/>
      <c r="L982" s="8"/>
      <c r="M982" s="8"/>
      <c r="N982" s="8"/>
      <c r="O982" s="8"/>
      <c r="P982" s="8"/>
      <c r="Q982" s="8"/>
      <c r="R982" s="8"/>
      <c r="S982" s="8"/>
      <c r="T982" s="8"/>
      <c r="U982" s="8"/>
      <c r="V982" s="8"/>
      <c r="W982" s="8"/>
      <c r="X982" s="8"/>
    </row>
    <row r="983" spans="1:24" ht="12.75" customHeight="1">
      <c r="A983" s="8"/>
      <c r="B983" s="8"/>
      <c r="C983" s="30"/>
      <c r="D983" s="8"/>
      <c r="E983" s="8"/>
      <c r="F983" s="8"/>
      <c r="G983" s="8"/>
      <c r="H983" s="8"/>
      <c r="I983" s="8"/>
      <c r="J983" s="8"/>
      <c r="K983" s="8"/>
      <c r="L983" s="8"/>
      <c r="M983" s="8"/>
      <c r="N983" s="8"/>
      <c r="O983" s="8"/>
      <c r="P983" s="8"/>
      <c r="Q983" s="8"/>
      <c r="R983" s="8"/>
      <c r="S983" s="8"/>
      <c r="T983" s="8"/>
      <c r="U983" s="8"/>
      <c r="V983" s="8"/>
      <c r="W983" s="8"/>
      <c r="X983" s="8"/>
    </row>
    <row r="984" spans="1:24" ht="12.75" customHeight="1">
      <c r="A984" s="8"/>
      <c r="B984" s="8"/>
      <c r="C984" s="30"/>
      <c r="D984" s="8"/>
      <c r="E984" s="8"/>
      <c r="F984" s="8"/>
      <c r="G984" s="8"/>
      <c r="H984" s="8"/>
      <c r="I984" s="8"/>
      <c r="J984" s="8"/>
      <c r="K984" s="8"/>
      <c r="L984" s="8"/>
      <c r="M984" s="8"/>
      <c r="N984" s="8"/>
      <c r="O984" s="8"/>
      <c r="P984" s="8"/>
      <c r="Q984" s="8"/>
      <c r="R984" s="8"/>
      <c r="S984" s="8"/>
      <c r="T984" s="8"/>
      <c r="U984" s="8"/>
      <c r="V984" s="8"/>
      <c r="W984" s="8"/>
      <c r="X984" s="8"/>
    </row>
    <row r="985" spans="1:24" ht="12.75" customHeight="1">
      <c r="A985" s="8"/>
      <c r="B985" s="8"/>
      <c r="C985" s="30"/>
      <c r="D985" s="8"/>
      <c r="E985" s="8"/>
      <c r="F985" s="8"/>
      <c r="G985" s="8"/>
      <c r="H985" s="8"/>
      <c r="I985" s="8"/>
      <c r="J985" s="8"/>
      <c r="K985" s="8"/>
      <c r="L985" s="8"/>
      <c r="M985" s="8"/>
      <c r="N985" s="8"/>
      <c r="O985" s="8"/>
      <c r="P985" s="8"/>
      <c r="Q985" s="8"/>
      <c r="R985" s="8"/>
      <c r="S985" s="8"/>
      <c r="T985" s="8"/>
      <c r="U985" s="8"/>
      <c r="V985" s="8"/>
      <c r="W985" s="8"/>
      <c r="X985" s="8"/>
    </row>
    <row r="986" spans="1:24" ht="12.75" customHeight="1">
      <c r="A986" s="8"/>
      <c r="B986" s="8"/>
      <c r="C986" s="30"/>
      <c r="D986" s="8"/>
      <c r="E986" s="8"/>
      <c r="F986" s="8"/>
      <c r="G986" s="8"/>
      <c r="H986" s="8"/>
      <c r="I986" s="8"/>
      <c r="J986" s="8"/>
      <c r="K986" s="8"/>
      <c r="L986" s="8"/>
      <c r="M986" s="8"/>
      <c r="N986" s="8"/>
      <c r="O986" s="8"/>
      <c r="P986" s="8"/>
      <c r="Q986" s="8"/>
      <c r="R986" s="8"/>
      <c r="S986" s="8"/>
      <c r="T986" s="8"/>
      <c r="U986" s="8"/>
      <c r="V986" s="8"/>
      <c r="W986" s="8"/>
      <c r="X986" s="8"/>
    </row>
    <row r="987" spans="1:24" ht="12.75" customHeight="1">
      <c r="A987" s="8"/>
      <c r="B987" s="8"/>
      <c r="C987" s="30"/>
      <c r="D987" s="8"/>
      <c r="E987" s="8"/>
      <c r="F987" s="8"/>
      <c r="G987" s="8"/>
      <c r="H987" s="8"/>
      <c r="I987" s="8"/>
      <c r="J987" s="8"/>
      <c r="K987" s="8"/>
      <c r="L987" s="8"/>
      <c r="M987" s="8"/>
      <c r="N987" s="8"/>
      <c r="O987" s="8"/>
      <c r="P987" s="8"/>
      <c r="Q987" s="8"/>
      <c r="R987" s="8"/>
      <c r="S987" s="8"/>
      <c r="T987" s="8"/>
      <c r="U987" s="8"/>
      <c r="V987" s="8"/>
      <c r="W987" s="8"/>
      <c r="X987" s="8"/>
    </row>
    <row r="988" spans="1:24" ht="12.75" customHeight="1">
      <c r="A988" s="8"/>
      <c r="B988" s="8"/>
      <c r="C988" s="30"/>
      <c r="D988" s="8"/>
      <c r="E988" s="8"/>
      <c r="F988" s="8"/>
      <c r="G988" s="8"/>
      <c r="H988" s="8"/>
      <c r="I988" s="8"/>
      <c r="J988" s="8"/>
      <c r="K988" s="8"/>
      <c r="L988" s="8"/>
      <c r="M988" s="8"/>
      <c r="N988" s="8"/>
      <c r="O988" s="8"/>
      <c r="P988" s="8"/>
      <c r="Q988" s="8"/>
      <c r="R988" s="8"/>
      <c r="S988" s="8"/>
      <c r="T988" s="8"/>
      <c r="U988" s="8"/>
      <c r="V988" s="8"/>
      <c r="W988" s="8"/>
      <c r="X988" s="8"/>
    </row>
    <row r="989" spans="1:24" ht="12.75" customHeight="1">
      <c r="A989" s="8"/>
      <c r="B989" s="8"/>
      <c r="C989" s="30"/>
      <c r="D989" s="8"/>
      <c r="E989" s="8"/>
      <c r="F989" s="8"/>
      <c r="G989" s="8"/>
      <c r="H989" s="8"/>
      <c r="I989" s="8"/>
      <c r="J989" s="8"/>
      <c r="K989" s="8"/>
      <c r="L989" s="8"/>
      <c r="M989" s="8"/>
      <c r="N989" s="8"/>
      <c r="O989" s="8"/>
      <c r="P989" s="8"/>
      <c r="Q989" s="8"/>
      <c r="R989" s="8"/>
      <c r="S989" s="8"/>
      <c r="T989" s="8"/>
      <c r="U989" s="8"/>
      <c r="V989" s="8"/>
      <c r="W989" s="8"/>
      <c r="X989" s="8"/>
    </row>
    <row r="990" spans="1:24" ht="12.75" customHeight="1">
      <c r="A990" s="8"/>
      <c r="B990" s="8"/>
      <c r="C990" s="30"/>
      <c r="D990" s="8"/>
      <c r="E990" s="8"/>
      <c r="F990" s="8"/>
      <c r="G990" s="8"/>
      <c r="H990" s="8"/>
      <c r="I990" s="8"/>
      <c r="J990" s="8"/>
      <c r="K990" s="8"/>
      <c r="L990" s="8"/>
      <c r="M990" s="8"/>
      <c r="N990" s="8"/>
      <c r="O990" s="8"/>
      <c r="P990" s="8"/>
      <c r="Q990" s="8"/>
      <c r="R990" s="8"/>
      <c r="S990" s="8"/>
      <c r="T990" s="8"/>
      <c r="U990" s="8"/>
      <c r="V990" s="8"/>
      <c r="W990" s="8"/>
      <c r="X990" s="8"/>
    </row>
    <row r="991" spans="1:24" ht="12.75" customHeight="1">
      <c r="A991" s="8"/>
      <c r="B991" s="8"/>
      <c r="C991" s="30"/>
      <c r="D991" s="8"/>
      <c r="E991" s="8"/>
      <c r="F991" s="8"/>
      <c r="G991" s="8"/>
      <c r="H991" s="8"/>
      <c r="I991" s="8"/>
      <c r="J991" s="8"/>
      <c r="K991" s="8"/>
      <c r="L991" s="8"/>
      <c r="M991" s="8"/>
      <c r="N991" s="8"/>
      <c r="O991" s="8"/>
      <c r="P991" s="8"/>
      <c r="Q991" s="8"/>
      <c r="R991" s="8"/>
      <c r="S991" s="8"/>
      <c r="T991" s="8"/>
      <c r="U991" s="8"/>
      <c r="V991" s="8"/>
      <c r="W991" s="8"/>
      <c r="X991" s="8"/>
    </row>
    <row r="992" spans="1:24" ht="12.75" customHeight="1">
      <c r="A992" s="8"/>
      <c r="B992" s="8"/>
      <c r="C992" s="30"/>
      <c r="D992" s="8"/>
      <c r="E992" s="8"/>
      <c r="F992" s="8"/>
      <c r="G992" s="8"/>
      <c r="H992" s="8"/>
      <c r="I992" s="8"/>
      <c r="J992" s="8"/>
      <c r="K992" s="8"/>
      <c r="L992" s="8"/>
      <c r="M992" s="8"/>
      <c r="N992" s="8"/>
      <c r="O992" s="8"/>
      <c r="P992" s="8"/>
      <c r="Q992" s="8"/>
      <c r="R992" s="8"/>
      <c r="S992" s="8"/>
      <c r="T992" s="8"/>
      <c r="U992" s="8"/>
      <c r="V992" s="8"/>
      <c r="W992" s="8"/>
      <c r="X992" s="8"/>
    </row>
    <row r="993" spans="1:24" ht="12.75" customHeight="1">
      <c r="A993" s="8"/>
      <c r="B993" s="8"/>
      <c r="C993" s="30"/>
      <c r="D993" s="8"/>
      <c r="E993" s="8"/>
      <c r="F993" s="8"/>
      <c r="G993" s="8"/>
      <c r="H993" s="8"/>
      <c r="I993" s="8"/>
      <c r="J993" s="8"/>
      <c r="K993" s="8"/>
      <c r="L993" s="8"/>
      <c r="M993" s="8"/>
      <c r="N993" s="8"/>
      <c r="O993" s="8"/>
      <c r="P993" s="8"/>
      <c r="Q993" s="8"/>
      <c r="R993" s="8"/>
      <c r="S993" s="8"/>
      <c r="T993" s="8"/>
      <c r="U993" s="8"/>
      <c r="V993" s="8"/>
      <c r="W993" s="8"/>
      <c r="X993" s="8"/>
    </row>
    <row r="994" spans="1:24" ht="12.75" customHeight="1">
      <c r="A994" s="8"/>
      <c r="B994" s="8"/>
      <c r="C994" s="30"/>
      <c r="D994" s="8"/>
      <c r="E994" s="8"/>
      <c r="F994" s="8"/>
      <c r="G994" s="8"/>
      <c r="H994" s="8"/>
      <c r="I994" s="8"/>
      <c r="J994" s="8"/>
      <c r="K994" s="8"/>
      <c r="L994" s="8"/>
      <c r="M994" s="8"/>
      <c r="N994" s="8"/>
      <c r="O994" s="8"/>
      <c r="P994" s="8"/>
      <c r="Q994" s="8"/>
      <c r="R994" s="8"/>
      <c r="S994" s="8"/>
      <c r="T994" s="8"/>
      <c r="U994" s="8"/>
      <c r="V994" s="8"/>
      <c r="W994" s="8"/>
      <c r="X994" s="8"/>
    </row>
    <row r="995" spans="1:24" ht="12.75" customHeight="1">
      <c r="A995" s="8"/>
      <c r="B995" s="8"/>
      <c r="C995" s="30"/>
      <c r="D995" s="8"/>
      <c r="E995" s="8"/>
      <c r="F995" s="8"/>
      <c r="G995" s="8"/>
      <c r="H995" s="8"/>
      <c r="I995" s="8"/>
      <c r="J995" s="8"/>
      <c r="K995" s="8"/>
      <c r="L995" s="8"/>
      <c r="M995" s="8"/>
      <c r="N995" s="8"/>
      <c r="O995" s="8"/>
      <c r="P995" s="8"/>
      <c r="Q995" s="8"/>
      <c r="R995" s="8"/>
      <c r="S995" s="8"/>
      <c r="T995" s="8"/>
      <c r="U995" s="8"/>
      <c r="V995" s="8"/>
      <c r="W995" s="8"/>
      <c r="X995" s="8"/>
    </row>
    <row r="996" spans="1:24" ht="12.75" customHeight="1">
      <c r="A996" s="8"/>
      <c r="B996" s="8"/>
      <c r="C996" s="30"/>
      <c r="D996" s="8"/>
      <c r="E996" s="8"/>
      <c r="F996" s="8"/>
      <c r="G996" s="8"/>
      <c r="H996" s="8"/>
      <c r="I996" s="8"/>
      <c r="J996" s="8"/>
      <c r="K996" s="8"/>
      <c r="L996" s="8"/>
      <c r="M996" s="8"/>
      <c r="N996" s="8"/>
      <c r="O996" s="8"/>
      <c r="P996" s="8"/>
      <c r="Q996" s="8"/>
      <c r="R996" s="8"/>
      <c r="S996" s="8"/>
      <c r="T996" s="8"/>
      <c r="U996" s="8"/>
      <c r="V996" s="8"/>
      <c r="W996" s="8"/>
      <c r="X996" s="8"/>
    </row>
    <row r="997" spans="1:24" ht="12.75" customHeight="1">
      <c r="A997" s="8"/>
      <c r="B997" s="8"/>
      <c r="C997" s="30"/>
      <c r="D997" s="8"/>
      <c r="E997" s="8"/>
      <c r="F997" s="8"/>
      <c r="G997" s="8"/>
      <c r="H997" s="8"/>
      <c r="I997" s="8"/>
      <c r="J997" s="8"/>
      <c r="K997" s="8"/>
      <c r="L997" s="8"/>
      <c r="M997" s="8"/>
      <c r="N997" s="8"/>
      <c r="O997" s="8"/>
      <c r="P997" s="8"/>
      <c r="Q997" s="8"/>
      <c r="R997" s="8"/>
      <c r="S997" s="8"/>
      <c r="T997" s="8"/>
      <c r="U997" s="8"/>
      <c r="V997" s="8"/>
      <c r="W997" s="8"/>
      <c r="X997" s="8"/>
    </row>
    <row r="998" spans="1:24" ht="12.75" customHeight="1">
      <c r="A998" s="8"/>
      <c r="B998" s="8"/>
      <c r="C998" s="30"/>
      <c r="D998" s="8"/>
      <c r="E998" s="8"/>
      <c r="F998" s="8"/>
      <c r="G998" s="8"/>
      <c r="H998" s="8"/>
      <c r="I998" s="8"/>
      <c r="J998" s="8"/>
      <c r="K998" s="8"/>
      <c r="L998" s="8"/>
      <c r="M998" s="8"/>
      <c r="N998" s="8"/>
      <c r="O998" s="8"/>
      <c r="P998" s="8"/>
      <c r="Q998" s="8"/>
      <c r="R998" s="8"/>
      <c r="S998" s="8"/>
      <c r="T998" s="8"/>
      <c r="U998" s="8"/>
      <c r="V998" s="8"/>
      <c r="W998" s="8"/>
      <c r="X998" s="8"/>
    </row>
    <row r="999" spans="1:24" ht="12.75" customHeight="1">
      <c r="A999" s="8"/>
      <c r="B999" s="8"/>
      <c r="C999" s="30"/>
      <c r="D999" s="8"/>
      <c r="E999" s="8"/>
      <c r="F999" s="8"/>
      <c r="G999" s="8"/>
      <c r="H999" s="8"/>
      <c r="I999" s="8"/>
      <c r="J999" s="8"/>
      <c r="K999" s="8"/>
      <c r="L999" s="8"/>
      <c r="M999" s="8"/>
      <c r="N999" s="8"/>
      <c r="O999" s="8"/>
      <c r="P999" s="8"/>
      <c r="Q999" s="8"/>
      <c r="R999" s="8"/>
      <c r="S999" s="8"/>
      <c r="T999" s="8"/>
      <c r="U999" s="8"/>
      <c r="V999" s="8"/>
      <c r="W999" s="8"/>
      <c r="X999" s="8"/>
    </row>
    <row r="1000" spans="1:24" ht="12.75" customHeight="1">
      <c r="A1000" s="8"/>
      <c r="B1000" s="8"/>
      <c r="C1000" s="30"/>
      <c r="D1000" s="8"/>
      <c r="E1000" s="8"/>
      <c r="F1000" s="8"/>
      <c r="G1000" s="8"/>
      <c r="H1000" s="8"/>
      <c r="I1000" s="8"/>
      <c r="J1000" s="8"/>
      <c r="K1000" s="8"/>
      <c r="L1000" s="8"/>
      <c r="M1000" s="8"/>
      <c r="N1000" s="8"/>
      <c r="O1000" s="8"/>
      <c r="P1000" s="8"/>
      <c r="Q1000" s="8"/>
      <c r="R1000" s="8"/>
      <c r="S1000" s="8"/>
      <c r="T1000" s="8"/>
      <c r="U1000" s="8"/>
      <c r="V1000" s="8"/>
      <c r="W1000" s="8"/>
      <c r="X1000" s="8"/>
    </row>
    <row r="1001" spans="1:24" ht="12.75" customHeight="1">
      <c r="A1001" s="8"/>
      <c r="B1001" s="8"/>
      <c r="C1001" s="30"/>
      <c r="D1001" s="8"/>
      <c r="E1001" s="8"/>
      <c r="F1001" s="8"/>
      <c r="G1001" s="8"/>
      <c r="H1001" s="8"/>
      <c r="I1001" s="8"/>
      <c r="J1001" s="8"/>
      <c r="K1001" s="8"/>
      <c r="L1001" s="8"/>
      <c r="M1001" s="8"/>
      <c r="N1001" s="8"/>
      <c r="O1001" s="8"/>
      <c r="P1001" s="8"/>
      <c r="Q1001" s="8"/>
      <c r="R1001" s="8"/>
      <c r="S1001" s="8"/>
      <c r="T1001" s="8"/>
      <c r="U1001" s="8"/>
      <c r="V1001" s="8"/>
      <c r="W1001" s="8"/>
      <c r="X1001" s="8"/>
    </row>
    <row r="1002" spans="1:24" ht="12.75" customHeight="1">
      <c r="A1002" s="8"/>
      <c r="B1002" s="8"/>
      <c r="C1002" s="30"/>
      <c r="D1002" s="8"/>
      <c r="E1002" s="8"/>
      <c r="F1002" s="8"/>
      <c r="G1002" s="8"/>
      <c r="H1002" s="8"/>
      <c r="I1002" s="8"/>
      <c r="J1002" s="8"/>
      <c r="K1002" s="8"/>
      <c r="L1002" s="8"/>
      <c r="M1002" s="8"/>
      <c r="N1002" s="8"/>
      <c r="O1002" s="8"/>
      <c r="P1002" s="8"/>
      <c r="Q1002" s="8"/>
      <c r="R1002" s="8"/>
      <c r="S1002" s="8"/>
      <c r="T1002" s="8"/>
      <c r="U1002" s="8"/>
      <c r="V1002" s="8"/>
      <c r="W1002" s="8"/>
      <c r="X1002" s="8"/>
    </row>
    <row r="1003" spans="1:24" ht="12.75" customHeight="1">
      <c r="A1003" s="8"/>
      <c r="B1003" s="8"/>
      <c r="C1003" s="30"/>
      <c r="D1003" s="8"/>
      <c r="E1003" s="8"/>
      <c r="F1003" s="8"/>
      <c r="G1003" s="8"/>
      <c r="H1003" s="8"/>
      <c r="I1003" s="8"/>
      <c r="J1003" s="8"/>
      <c r="K1003" s="8"/>
      <c r="L1003" s="8"/>
      <c r="M1003" s="8"/>
      <c r="N1003" s="8"/>
      <c r="O1003" s="8"/>
      <c r="P1003" s="8"/>
      <c r="Q1003" s="8"/>
      <c r="R1003" s="8"/>
      <c r="S1003" s="8"/>
      <c r="T1003" s="8"/>
      <c r="U1003" s="8"/>
      <c r="V1003" s="8"/>
      <c r="W1003" s="8"/>
      <c r="X1003" s="8"/>
    </row>
    <row r="1004" spans="1:24" ht="12.75" customHeight="1">
      <c r="A1004" s="8"/>
      <c r="B1004" s="8"/>
      <c r="C1004" s="30"/>
      <c r="D1004" s="8"/>
      <c r="E1004" s="8"/>
      <c r="F1004" s="8"/>
      <c r="G1004" s="8"/>
      <c r="H1004" s="8"/>
      <c r="I1004" s="8"/>
      <c r="J1004" s="8"/>
      <c r="K1004" s="8"/>
      <c r="L1004" s="8"/>
      <c r="M1004" s="8"/>
      <c r="N1004" s="8"/>
      <c r="O1004" s="8"/>
      <c r="P1004" s="8"/>
      <c r="Q1004" s="8"/>
      <c r="R1004" s="8"/>
      <c r="S1004" s="8"/>
      <c r="T1004" s="8"/>
      <c r="U1004" s="8"/>
      <c r="V1004" s="8"/>
      <c r="W1004" s="8"/>
      <c r="X1004" s="8"/>
    </row>
    <row r="1005" spans="1:24" ht="12.75" customHeight="1">
      <c r="A1005" s="8"/>
      <c r="B1005" s="8"/>
      <c r="C1005" s="30"/>
      <c r="D1005" s="8"/>
      <c r="E1005" s="8"/>
      <c r="F1005" s="8"/>
      <c r="G1005" s="8"/>
      <c r="H1005" s="8"/>
      <c r="I1005" s="8"/>
      <c r="J1005" s="8"/>
      <c r="K1005" s="8"/>
      <c r="L1005" s="8"/>
      <c r="M1005" s="8"/>
      <c r="N1005" s="8"/>
      <c r="O1005" s="8"/>
      <c r="P1005" s="8"/>
      <c r="Q1005" s="8"/>
      <c r="R1005" s="8"/>
      <c r="S1005" s="8"/>
      <c r="T1005" s="8"/>
      <c r="U1005" s="8"/>
      <c r="V1005" s="8"/>
      <c r="W1005" s="8"/>
      <c r="X1005" s="8"/>
    </row>
    <row r="1006" spans="1:24" ht="12.75" customHeight="1">
      <c r="A1006" s="8"/>
      <c r="B1006" s="8"/>
      <c r="C1006" s="30"/>
      <c r="D1006" s="8"/>
      <c r="E1006" s="8"/>
      <c r="F1006" s="8"/>
      <c r="G1006" s="8"/>
      <c r="H1006" s="8"/>
      <c r="I1006" s="8"/>
      <c r="J1006" s="8"/>
      <c r="K1006" s="8"/>
      <c r="L1006" s="8"/>
      <c r="M1006" s="8"/>
      <c r="N1006" s="8"/>
      <c r="O1006" s="8"/>
      <c r="P1006" s="8"/>
      <c r="Q1006" s="8"/>
      <c r="R1006" s="8"/>
      <c r="S1006" s="8"/>
      <c r="T1006" s="8"/>
      <c r="U1006" s="8"/>
      <c r="V1006" s="8"/>
      <c r="W1006" s="8"/>
      <c r="X1006" s="8"/>
    </row>
    <row r="1007" spans="1:24" ht="12.75" customHeight="1">
      <c r="A1007" s="8"/>
      <c r="B1007" s="8"/>
      <c r="C1007" s="30"/>
      <c r="D1007" s="8"/>
      <c r="E1007" s="8"/>
      <c r="F1007" s="8"/>
      <c r="G1007" s="8"/>
      <c r="H1007" s="8"/>
      <c r="I1007" s="8"/>
      <c r="J1007" s="8"/>
      <c r="K1007" s="8"/>
      <c r="L1007" s="8"/>
      <c r="M1007" s="8"/>
      <c r="N1007" s="8"/>
      <c r="O1007" s="8"/>
      <c r="P1007" s="8"/>
      <c r="Q1007" s="8"/>
      <c r="R1007" s="8"/>
      <c r="S1007" s="8"/>
      <c r="T1007" s="8"/>
      <c r="U1007" s="8"/>
      <c r="V1007" s="8"/>
      <c r="W1007" s="8"/>
      <c r="X1007" s="8"/>
    </row>
    <row r="1008" spans="1:24" ht="12.75" customHeight="1">
      <c r="A1008" s="8"/>
      <c r="B1008" s="8"/>
      <c r="C1008" s="30"/>
      <c r="D1008" s="8"/>
      <c r="E1008" s="8"/>
      <c r="F1008" s="8"/>
      <c r="G1008" s="8"/>
      <c r="H1008" s="8"/>
      <c r="I1008" s="8"/>
      <c r="J1008" s="8"/>
      <c r="K1008" s="8"/>
      <c r="L1008" s="8"/>
      <c r="M1008" s="8"/>
      <c r="N1008" s="8"/>
      <c r="O1008" s="8"/>
      <c r="P1008" s="8"/>
      <c r="Q1008" s="8"/>
      <c r="R1008" s="8"/>
      <c r="S1008" s="8"/>
      <c r="T1008" s="8"/>
      <c r="U1008" s="8"/>
      <c r="V1008" s="8"/>
      <c r="W1008" s="8"/>
      <c r="X1008" s="8"/>
    </row>
    <row r="1009" spans="1:24" ht="12.75" customHeight="1">
      <c r="A1009" s="8"/>
      <c r="B1009" s="8"/>
      <c r="C1009" s="30"/>
      <c r="D1009" s="8"/>
      <c r="E1009" s="8"/>
      <c r="F1009" s="8"/>
      <c r="G1009" s="8"/>
      <c r="H1009" s="8"/>
      <c r="I1009" s="8"/>
      <c r="J1009" s="8"/>
      <c r="K1009" s="8"/>
      <c r="L1009" s="8"/>
      <c r="M1009" s="8"/>
      <c r="N1009" s="8"/>
      <c r="O1009" s="8"/>
      <c r="P1009" s="8"/>
      <c r="Q1009" s="8"/>
      <c r="R1009" s="8"/>
      <c r="S1009" s="8"/>
      <c r="T1009" s="8"/>
      <c r="U1009" s="8"/>
      <c r="V1009" s="8"/>
      <c r="W1009" s="8"/>
      <c r="X1009" s="8"/>
    </row>
    <row r="1010" spans="1:24" ht="12.75" customHeight="1">
      <c r="A1010" s="8"/>
      <c r="B1010" s="8"/>
      <c r="C1010" s="30"/>
      <c r="D1010" s="8"/>
      <c r="E1010" s="8"/>
      <c r="F1010" s="8"/>
      <c r="G1010" s="8"/>
      <c r="H1010" s="8"/>
      <c r="I1010" s="8"/>
      <c r="J1010" s="8"/>
      <c r="K1010" s="8"/>
      <c r="L1010" s="8"/>
      <c r="M1010" s="8"/>
      <c r="N1010" s="8"/>
      <c r="O1010" s="8"/>
      <c r="P1010" s="8"/>
      <c r="Q1010" s="8"/>
      <c r="R1010" s="8"/>
      <c r="S1010" s="8"/>
      <c r="T1010" s="8"/>
      <c r="U1010" s="8"/>
      <c r="V1010" s="8"/>
      <c r="W1010" s="8"/>
      <c r="X1010" s="8"/>
    </row>
    <row r="1011" spans="1:24" ht="12.75" customHeight="1">
      <c r="A1011" s="8"/>
      <c r="B1011" s="8"/>
      <c r="C1011" s="30"/>
      <c r="D1011" s="8"/>
      <c r="E1011" s="8"/>
      <c r="F1011" s="8"/>
      <c r="G1011" s="8"/>
      <c r="H1011" s="8"/>
      <c r="I1011" s="8"/>
      <c r="J1011" s="8"/>
      <c r="K1011" s="8"/>
      <c r="L1011" s="8"/>
      <c r="M1011" s="8"/>
      <c r="N1011" s="8"/>
      <c r="O1011" s="8"/>
      <c r="P1011" s="8"/>
      <c r="Q1011" s="8"/>
      <c r="R1011" s="8"/>
      <c r="S1011" s="8"/>
      <c r="T1011" s="8"/>
      <c r="U1011" s="8"/>
      <c r="V1011" s="8"/>
      <c r="W1011" s="8"/>
      <c r="X1011" s="8"/>
    </row>
    <row r="1012" spans="1:24" ht="12.75" customHeight="1">
      <c r="A1012" s="8"/>
      <c r="B1012" s="8"/>
      <c r="C1012" s="30"/>
      <c r="D1012" s="8"/>
      <c r="E1012" s="8"/>
      <c r="F1012" s="8"/>
      <c r="G1012" s="8"/>
      <c r="H1012" s="8"/>
      <c r="I1012" s="8"/>
      <c r="J1012" s="8"/>
      <c r="K1012" s="8"/>
      <c r="L1012" s="8"/>
      <c r="M1012" s="8"/>
      <c r="N1012" s="8"/>
      <c r="O1012" s="8"/>
      <c r="P1012" s="8"/>
      <c r="Q1012" s="8"/>
      <c r="R1012" s="8"/>
      <c r="S1012" s="8"/>
      <c r="T1012" s="8"/>
      <c r="U1012" s="8"/>
      <c r="V1012" s="8"/>
      <c r="W1012" s="8"/>
      <c r="X1012" s="8"/>
    </row>
    <row r="1013" spans="1:24" ht="12.75" customHeight="1">
      <c r="A1013" s="8"/>
      <c r="B1013" s="8"/>
      <c r="C1013" s="30"/>
      <c r="D1013" s="8"/>
      <c r="E1013" s="8"/>
      <c r="F1013" s="8"/>
      <c r="G1013" s="8"/>
      <c r="H1013" s="8"/>
      <c r="I1013" s="8"/>
      <c r="J1013" s="8"/>
      <c r="K1013" s="8"/>
      <c r="L1013" s="8"/>
      <c r="M1013" s="8"/>
      <c r="N1013" s="8"/>
      <c r="O1013" s="8"/>
      <c r="P1013" s="8"/>
      <c r="Q1013" s="8"/>
      <c r="R1013" s="8"/>
      <c r="S1013" s="8"/>
      <c r="T1013" s="8"/>
      <c r="U1013" s="8"/>
      <c r="V1013" s="8"/>
      <c r="W1013" s="8"/>
      <c r="X1013" s="8"/>
    </row>
    <row r="1014" spans="1:24" ht="12.75" customHeight="1">
      <c r="A1014" s="8"/>
      <c r="B1014" s="8"/>
      <c r="C1014" s="30"/>
      <c r="D1014" s="8"/>
      <c r="E1014" s="8"/>
      <c r="F1014" s="8"/>
      <c r="G1014" s="8"/>
      <c r="H1014" s="8"/>
      <c r="I1014" s="8"/>
      <c r="J1014" s="8"/>
      <c r="K1014" s="8"/>
      <c r="L1014" s="8"/>
      <c r="M1014" s="8"/>
      <c r="N1014" s="8"/>
      <c r="O1014" s="8"/>
      <c r="P1014" s="8"/>
      <c r="Q1014" s="8"/>
      <c r="R1014" s="8"/>
      <c r="S1014" s="8"/>
      <c r="T1014" s="8"/>
      <c r="U1014" s="8"/>
      <c r="V1014" s="8"/>
      <c r="W1014" s="8"/>
      <c r="X1014" s="8"/>
    </row>
    <row r="1015" spans="1:24" ht="12.75" customHeight="1">
      <c r="A1015" s="8"/>
      <c r="B1015" s="8"/>
      <c r="C1015" s="30"/>
      <c r="D1015" s="8"/>
      <c r="E1015" s="8"/>
      <c r="F1015" s="8"/>
      <c r="G1015" s="8"/>
      <c r="H1015" s="8"/>
      <c r="I1015" s="8"/>
      <c r="J1015" s="8"/>
      <c r="K1015" s="8"/>
      <c r="L1015" s="8"/>
      <c r="M1015" s="8"/>
      <c r="N1015" s="8"/>
      <c r="O1015" s="8"/>
      <c r="P1015" s="8"/>
      <c r="Q1015" s="8"/>
      <c r="R1015" s="8"/>
      <c r="S1015" s="8"/>
      <c r="T1015" s="8"/>
      <c r="U1015" s="8"/>
      <c r="V1015" s="8"/>
      <c r="W1015" s="8"/>
      <c r="X1015" s="8"/>
    </row>
    <row r="1016" spans="1:24" ht="12.75" customHeight="1">
      <c r="A1016" s="8"/>
      <c r="B1016" s="8"/>
      <c r="C1016" s="30"/>
      <c r="D1016" s="8"/>
      <c r="E1016" s="8"/>
      <c r="F1016" s="8"/>
      <c r="G1016" s="8"/>
      <c r="H1016" s="8"/>
      <c r="I1016" s="8"/>
      <c r="J1016" s="8"/>
      <c r="K1016" s="8"/>
      <c r="L1016" s="8"/>
      <c r="M1016" s="8"/>
      <c r="N1016" s="8"/>
      <c r="O1016" s="8"/>
      <c r="P1016" s="8"/>
      <c r="Q1016" s="8"/>
      <c r="R1016" s="8"/>
      <c r="S1016" s="8"/>
      <c r="T1016" s="8"/>
      <c r="U1016" s="8"/>
      <c r="V1016" s="8"/>
      <c r="W1016" s="8"/>
      <c r="X1016" s="8"/>
    </row>
    <row r="1017" spans="1:24" ht="12.75" customHeight="1">
      <c r="A1017" s="8"/>
      <c r="B1017" s="8"/>
      <c r="C1017" s="30"/>
      <c r="D1017" s="8"/>
      <c r="E1017" s="8"/>
      <c r="F1017" s="8"/>
      <c r="G1017" s="8"/>
      <c r="H1017" s="8"/>
      <c r="I1017" s="8"/>
      <c r="J1017" s="8"/>
      <c r="K1017" s="8"/>
      <c r="L1017" s="8"/>
      <c r="M1017" s="8"/>
      <c r="N1017" s="8"/>
      <c r="O1017" s="8"/>
      <c r="P1017" s="8"/>
      <c r="Q1017" s="8"/>
      <c r="R1017" s="8"/>
      <c r="S1017" s="8"/>
      <c r="T1017" s="8"/>
      <c r="U1017" s="8"/>
      <c r="V1017" s="8"/>
      <c r="W1017" s="8"/>
      <c r="X1017" s="8"/>
    </row>
    <row r="1018" spans="1:24" ht="12.75" customHeight="1">
      <c r="A1018" s="8"/>
      <c r="B1018" s="8"/>
      <c r="C1018" s="30"/>
      <c r="D1018" s="8"/>
      <c r="E1018" s="8"/>
      <c r="F1018" s="8"/>
      <c r="G1018" s="8"/>
      <c r="H1018" s="8"/>
      <c r="I1018" s="8"/>
      <c r="J1018" s="8"/>
      <c r="K1018" s="8"/>
      <c r="L1018" s="8"/>
      <c r="M1018" s="8"/>
      <c r="N1018" s="8"/>
      <c r="O1018" s="8"/>
      <c r="P1018" s="8"/>
      <c r="Q1018" s="8"/>
      <c r="R1018" s="8"/>
      <c r="S1018" s="8"/>
      <c r="T1018" s="8"/>
      <c r="U1018" s="8"/>
      <c r="V1018" s="8"/>
      <c r="W1018" s="8"/>
      <c r="X1018" s="8"/>
    </row>
    <row r="1019" spans="1:24" ht="12.75" customHeight="1">
      <c r="A1019" s="8"/>
      <c r="B1019" s="8"/>
      <c r="C1019" s="30"/>
      <c r="D1019" s="8"/>
      <c r="E1019" s="8"/>
      <c r="F1019" s="8"/>
      <c r="G1019" s="8"/>
      <c r="H1019" s="8"/>
      <c r="I1019" s="8"/>
      <c r="J1019" s="8"/>
      <c r="K1019" s="8"/>
      <c r="L1019" s="8"/>
      <c r="M1019" s="8"/>
      <c r="N1019" s="8"/>
      <c r="O1019" s="8"/>
      <c r="P1019" s="8"/>
      <c r="Q1019" s="8"/>
      <c r="R1019" s="8"/>
      <c r="S1019" s="8"/>
      <c r="T1019" s="8"/>
      <c r="U1019" s="8"/>
      <c r="V1019" s="8"/>
      <c r="W1019" s="8"/>
      <c r="X1019" s="8"/>
    </row>
    <row r="1020" spans="1:24" ht="12.75" customHeight="1">
      <c r="A1020" s="8"/>
      <c r="B1020" s="8"/>
      <c r="C1020" s="30"/>
      <c r="D1020" s="8"/>
      <c r="E1020" s="8"/>
      <c r="F1020" s="8"/>
      <c r="G1020" s="8"/>
      <c r="H1020" s="8"/>
      <c r="I1020" s="8"/>
      <c r="J1020" s="8"/>
      <c r="K1020" s="8"/>
      <c r="L1020" s="8"/>
      <c r="M1020" s="8"/>
      <c r="N1020" s="8"/>
      <c r="O1020" s="8"/>
      <c r="P1020" s="8"/>
      <c r="Q1020" s="8"/>
      <c r="R1020" s="8"/>
      <c r="S1020" s="8"/>
      <c r="T1020" s="8"/>
      <c r="U1020" s="8"/>
      <c r="V1020" s="8"/>
      <c r="W1020" s="8"/>
      <c r="X1020" s="8"/>
    </row>
    <row r="1021" spans="1:24" ht="12.75" customHeight="1">
      <c r="A1021" s="8"/>
      <c r="B1021" s="8"/>
      <c r="C1021" s="30"/>
      <c r="D1021" s="8"/>
      <c r="E1021" s="8"/>
      <c r="F1021" s="8"/>
      <c r="G1021" s="8"/>
      <c r="H1021" s="8"/>
      <c r="I1021" s="8"/>
      <c r="J1021" s="8"/>
      <c r="K1021" s="8"/>
      <c r="L1021" s="8"/>
      <c r="M1021" s="8"/>
      <c r="N1021" s="8"/>
      <c r="O1021" s="8"/>
      <c r="P1021" s="8"/>
      <c r="Q1021" s="8"/>
      <c r="R1021" s="8"/>
      <c r="S1021" s="8"/>
      <c r="T1021" s="8"/>
      <c r="U1021" s="8"/>
      <c r="V1021" s="8"/>
      <c r="W1021" s="8"/>
      <c r="X1021" s="8"/>
    </row>
    <row r="1022" spans="1:24" ht="12.75" customHeight="1">
      <c r="A1022" s="8"/>
      <c r="B1022" s="8"/>
      <c r="C1022" s="30"/>
      <c r="D1022" s="8"/>
      <c r="E1022" s="8"/>
      <c r="F1022" s="8"/>
      <c r="G1022" s="8"/>
      <c r="H1022" s="8"/>
      <c r="I1022" s="8"/>
      <c r="J1022" s="8"/>
      <c r="K1022" s="8"/>
      <c r="L1022" s="8"/>
      <c r="M1022" s="8"/>
      <c r="N1022" s="8"/>
      <c r="O1022" s="8"/>
      <c r="P1022" s="8"/>
      <c r="Q1022" s="8"/>
      <c r="R1022" s="8"/>
      <c r="S1022" s="8"/>
      <c r="T1022" s="8"/>
      <c r="U1022" s="8"/>
      <c r="V1022" s="8"/>
      <c r="W1022" s="8"/>
      <c r="X1022" s="8"/>
    </row>
    <row r="1023" spans="1:24" ht="12.75" customHeight="1">
      <c r="A1023" s="8"/>
      <c r="B1023" s="8"/>
      <c r="C1023" s="30"/>
      <c r="D1023" s="8"/>
      <c r="E1023" s="8"/>
      <c r="F1023" s="8"/>
      <c r="G1023" s="8"/>
      <c r="H1023" s="8"/>
      <c r="I1023" s="8"/>
      <c r="J1023" s="8"/>
      <c r="K1023" s="8"/>
      <c r="L1023" s="8"/>
      <c r="M1023" s="8"/>
      <c r="N1023" s="8"/>
      <c r="O1023" s="8"/>
      <c r="P1023" s="8"/>
      <c r="Q1023" s="8"/>
      <c r="R1023" s="8"/>
      <c r="S1023" s="8"/>
      <c r="T1023" s="8"/>
      <c r="U1023" s="8"/>
      <c r="V1023" s="8"/>
      <c r="W1023" s="8"/>
      <c r="X1023" s="8"/>
    </row>
    <row r="1024" spans="1:24" ht="12.75" customHeight="1">
      <c r="A1024" s="8"/>
      <c r="B1024" s="8"/>
      <c r="C1024" s="30"/>
      <c r="D1024" s="8"/>
      <c r="E1024" s="8"/>
      <c r="F1024" s="8"/>
      <c r="G1024" s="8"/>
      <c r="H1024" s="8"/>
      <c r="I1024" s="8"/>
      <c r="J1024" s="8"/>
      <c r="K1024" s="8"/>
      <c r="L1024" s="8"/>
      <c r="M1024" s="8"/>
      <c r="N1024" s="8"/>
      <c r="O1024" s="8"/>
      <c r="P1024" s="8"/>
      <c r="Q1024" s="8"/>
      <c r="R1024" s="8"/>
      <c r="S1024" s="8"/>
      <c r="T1024" s="8"/>
      <c r="U1024" s="8"/>
      <c r="V1024" s="8"/>
      <c r="W1024" s="8"/>
      <c r="X1024" s="8"/>
    </row>
    <row r="1025" spans="1:24" ht="12.75" customHeight="1">
      <c r="A1025" s="8"/>
      <c r="B1025" s="8"/>
      <c r="C1025" s="30"/>
      <c r="D1025" s="8"/>
      <c r="E1025" s="8"/>
      <c r="F1025" s="8"/>
      <c r="G1025" s="8"/>
      <c r="H1025" s="8"/>
      <c r="I1025" s="8"/>
      <c r="J1025" s="8"/>
      <c r="K1025" s="8"/>
      <c r="L1025" s="8"/>
      <c r="M1025" s="8"/>
      <c r="N1025" s="8"/>
      <c r="O1025" s="8"/>
      <c r="P1025" s="8"/>
      <c r="Q1025" s="8"/>
      <c r="R1025" s="8"/>
      <c r="S1025" s="8"/>
      <c r="T1025" s="8"/>
      <c r="U1025" s="8"/>
      <c r="V1025" s="8"/>
      <c r="W1025" s="8"/>
      <c r="X1025" s="8"/>
    </row>
    <row r="1026" spans="1:24" ht="12.75" customHeight="1">
      <c r="A1026" s="8"/>
      <c r="B1026" s="8"/>
      <c r="C1026" s="30"/>
      <c r="D1026" s="8"/>
      <c r="E1026" s="8"/>
      <c r="F1026" s="8"/>
      <c r="G1026" s="8"/>
      <c r="H1026" s="8"/>
      <c r="I1026" s="8"/>
      <c r="J1026" s="8"/>
      <c r="K1026" s="8"/>
      <c r="L1026" s="8"/>
      <c r="M1026" s="8"/>
      <c r="N1026" s="8"/>
      <c r="O1026" s="8"/>
      <c r="P1026" s="8"/>
      <c r="Q1026" s="8"/>
      <c r="R1026" s="8"/>
      <c r="S1026" s="8"/>
      <c r="T1026" s="8"/>
      <c r="U1026" s="8"/>
      <c r="V1026" s="8"/>
      <c r="W1026" s="8"/>
      <c r="X1026" s="8"/>
    </row>
    <row r="1027" spans="1:24" ht="12.75" customHeight="1">
      <c r="A1027" s="8"/>
      <c r="B1027" s="8"/>
      <c r="C1027" s="30"/>
      <c r="D1027" s="8"/>
      <c r="E1027" s="8"/>
      <c r="F1027" s="8"/>
      <c r="G1027" s="8"/>
      <c r="H1027" s="8"/>
      <c r="I1027" s="8"/>
      <c r="J1027" s="8"/>
      <c r="K1027" s="8"/>
      <c r="L1027" s="8"/>
      <c r="M1027" s="8"/>
      <c r="N1027" s="8"/>
      <c r="O1027" s="8"/>
      <c r="P1027" s="8"/>
      <c r="Q1027" s="8"/>
      <c r="R1027" s="8"/>
      <c r="S1027" s="8"/>
      <c r="T1027" s="8"/>
      <c r="U1027" s="8"/>
      <c r="V1027" s="8"/>
      <c r="W1027" s="8"/>
      <c r="X1027" s="8"/>
    </row>
    <row r="1028" spans="1:24" ht="12.75" customHeight="1">
      <c r="A1028" s="8"/>
      <c r="B1028" s="8"/>
      <c r="C1028" s="30"/>
      <c r="D1028" s="8"/>
      <c r="E1028" s="8"/>
      <c r="F1028" s="8"/>
      <c r="G1028" s="8"/>
      <c r="H1028" s="8"/>
      <c r="I1028" s="8"/>
      <c r="J1028" s="8"/>
      <c r="K1028" s="8"/>
      <c r="L1028" s="8"/>
      <c r="M1028" s="8"/>
      <c r="N1028" s="8"/>
      <c r="O1028" s="8"/>
      <c r="P1028" s="8"/>
      <c r="Q1028" s="8"/>
      <c r="R1028" s="8"/>
      <c r="S1028" s="8"/>
      <c r="T1028" s="8"/>
      <c r="U1028" s="8"/>
      <c r="V1028" s="8"/>
      <c r="W1028" s="8"/>
      <c r="X1028" s="8"/>
    </row>
    <row r="1029" spans="1:24" ht="12.75" customHeight="1">
      <c r="A1029" s="8"/>
      <c r="B1029" s="8"/>
      <c r="C1029" s="30"/>
      <c r="D1029" s="8"/>
      <c r="E1029" s="8"/>
      <c r="F1029" s="8"/>
      <c r="G1029" s="8"/>
      <c r="H1029" s="8"/>
      <c r="I1029" s="8"/>
      <c r="J1029" s="8"/>
      <c r="K1029" s="8"/>
      <c r="L1029" s="8"/>
      <c r="M1029" s="8"/>
      <c r="N1029" s="8"/>
      <c r="O1029" s="8"/>
      <c r="P1029" s="8"/>
      <c r="Q1029" s="8"/>
      <c r="R1029" s="8"/>
      <c r="S1029" s="8"/>
      <c r="T1029" s="8"/>
      <c r="U1029" s="8"/>
      <c r="V1029" s="8"/>
      <c r="W1029" s="8"/>
      <c r="X1029" s="8"/>
    </row>
    <row r="1030" spans="1:24" ht="12.75" customHeight="1">
      <c r="A1030" s="8"/>
      <c r="B1030" s="8"/>
      <c r="C1030" s="30"/>
      <c r="D1030" s="8"/>
      <c r="E1030" s="8"/>
      <c r="F1030" s="8"/>
      <c r="G1030" s="8"/>
      <c r="H1030" s="8"/>
      <c r="I1030" s="8"/>
      <c r="J1030" s="8"/>
      <c r="K1030" s="8"/>
      <c r="L1030" s="8"/>
      <c r="M1030" s="8"/>
      <c r="N1030" s="8"/>
      <c r="O1030" s="8"/>
      <c r="P1030" s="8"/>
      <c r="Q1030" s="8"/>
      <c r="R1030" s="8"/>
      <c r="S1030" s="8"/>
      <c r="T1030" s="8"/>
      <c r="U1030" s="8"/>
      <c r="V1030" s="8"/>
      <c r="W1030" s="8"/>
      <c r="X1030" s="8"/>
    </row>
    <row r="1031" spans="1:24" ht="12.75" customHeight="1">
      <c r="A1031" s="8"/>
      <c r="B1031" s="8"/>
      <c r="C1031" s="30"/>
      <c r="D1031" s="8"/>
      <c r="E1031" s="8"/>
      <c r="F1031" s="8"/>
      <c r="G1031" s="8"/>
      <c r="H1031" s="8"/>
      <c r="I1031" s="8"/>
      <c r="J1031" s="8"/>
      <c r="K1031" s="8"/>
      <c r="L1031" s="8"/>
      <c r="M1031" s="8"/>
      <c r="N1031" s="8"/>
      <c r="O1031" s="8"/>
      <c r="P1031" s="8"/>
      <c r="Q1031" s="8"/>
      <c r="R1031" s="8"/>
      <c r="S1031" s="8"/>
      <c r="T1031" s="8"/>
      <c r="U1031" s="8"/>
      <c r="V1031" s="8"/>
      <c r="W1031" s="8"/>
      <c r="X1031" s="8"/>
    </row>
    <row r="1032" spans="1:24" ht="12.75" customHeight="1">
      <c r="A1032" s="8"/>
      <c r="B1032" s="8"/>
      <c r="C1032" s="30"/>
      <c r="D1032" s="8"/>
      <c r="E1032" s="8"/>
      <c r="F1032" s="8"/>
      <c r="G1032" s="8"/>
      <c r="H1032" s="8"/>
      <c r="I1032" s="8"/>
      <c r="J1032" s="8"/>
      <c r="K1032" s="8"/>
      <c r="L1032" s="8"/>
      <c r="M1032" s="8"/>
      <c r="N1032" s="8"/>
      <c r="O1032" s="8"/>
      <c r="P1032" s="8"/>
      <c r="Q1032" s="8"/>
      <c r="R1032" s="8"/>
      <c r="S1032" s="8"/>
      <c r="T1032" s="8"/>
      <c r="U1032" s="8"/>
      <c r="V1032" s="8"/>
      <c r="W1032" s="8"/>
      <c r="X1032" s="8"/>
    </row>
    <row r="1033" spans="1:24" ht="12.75" customHeight="1">
      <c r="A1033" s="8"/>
      <c r="B1033" s="8"/>
      <c r="C1033" s="30"/>
      <c r="D1033" s="8"/>
      <c r="E1033" s="8"/>
      <c r="F1033" s="8"/>
      <c r="G1033" s="8"/>
      <c r="H1033" s="8"/>
      <c r="I1033" s="8"/>
      <c r="J1033" s="8"/>
      <c r="K1033" s="8"/>
      <c r="L1033" s="8"/>
      <c r="M1033" s="8"/>
      <c r="N1033" s="8"/>
      <c r="O1033" s="8"/>
      <c r="P1033" s="8"/>
      <c r="Q1033" s="8"/>
      <c r="R1033" s="8"/>
      <c r="S1033" s="8"/>
      <c r="T1033" s="8"/>
      <c r="U1033" s="8"/>
      <c r="V1033" s="8"/>
      <c r="W1033" s="8"/>
      <c r="X1033" s="8"/>
    </row>
    <row r="1034" spans="1:24" ht="12.75" customHeight="1">
      <c r="A1034" s="8"/>
      <c r="B1034" s="8"/>
      <c r="C1034" s="30"/>
      <c r="D1034" s="8"/>
      <c r="E1034" s="8"/>
      <c r="F1034" s="8"/>
      <c r="G1034" s="8"/>
      <c r="H1034" s="8"/>
      <c r="I1034" s="8"/>
      <c r="J1034" s="8"/>
      <c r="K1034" s="8"/>
      <c r="L1034" s="8"/>
      <c r="M1034" s="8"/>
      <c r="N1034" s="8"/>
      <c r="O1034" s="8"/>
      <c r="P1034" s="8"/>
      <c r="Q1034" s="8"/>
      <c r="R1034" s="8"/>
      <c r="S1034" s="8"/>
      <c r="T1034" s="8"/>
      <c r="U1034" s="8"/>
      <c r="V1034" s="8"/>
      <c r="W1034" s="8"/>
      <c r="X1034" s="8"/>
    </row>
    <row r="1035" spans="1:24" ht="12.75" customHeight="1">
      <c r="A1035" s="8"/>
      <c r="B1035" s="8"/>
      <c r="C1035" s="30"/>
      <c r="D1035" s="8"/>
      <c r="E1035" s="8"/>
      <c r="F1035" s="8"/>
      <c r="G1035" s="8"/>
      <c r="H1035" s="8"/>
      <c r="I1035" s="8"/>
      <c r="J1035" s="8"/>
      <c r="K1035" s="8"/>
      <c r="L1035" s="8"/>
      <c r="M1035" s="8"/>
      <c r="N1035" s="8"/>
      <c r="O1035" s="8"/>
      <c r="P1035" s="8"/>
      <c r="Q1035" s="8"/>
      <c r="R1035" s="8"/>
      <c r="S1035" s="8"/>
      <c r="T1035" s="8"/>
      <c r="U1035" s="8"/>
      <c r="V1035" s="8"/>
      <c r="W1035" s="8"/>
      <c r="X1035" s="8"/>
    </row>
    <row r="1036" spans="1:24" ht="12.75" customHeight="1">
      <c r="A1036" s="8"/>
      <c r="B1036" s="8"/>
      <c r="C1036" s="30"/>
      <c r="D1036" s="8"/>
      <c r="E1036" s="8"/>
      <c r="F1036" s="8"/>
      <c r="G1036" s="8"/>
      <c r="H1036" s="8"/>
      <c r="I1036" s="8"/>
      <c r="J1036" s="8"/>
      <c r="K1036" s="8"/>
      <c r="L1036" s="8"/>
      <c r="M1036" s="8"/>
      <c r="N1036" s="8"/>
      <c r="O1036" s="8"/>
      <c r="P1036" s="8"/>
      <c r="Q1036" s="8"/>
      <c r="R1036" s="8"/>
      <c r="S1036" s="8"/>
      <c r="T1036" s="8"/>
      <c r="U1036" s="8"/>
      <c r="V1036" s="8"/>
      <c r="W1036" s="8"/>
      <c r="X1036" s="8"/>
    </row>
    <row r="1037" spans="1:24" ht="12.75" customHeight="1">
      <c r="A1037" s="8"/>
      <c r="B1037" s="8"/>
      <c r="C1037" s="30"/>
      <c r="D1037" s="8"/>
      <c r="E1037" s="8"/>
      <c r="F1037" s="8"/>
      <c r="G1037" s="8"/>
      <c r="H1037" s="8"/>
      <c r="I1037" s="8"/>
      <c r="J1037" s="8"/>
      <c r="K1037" s="8"/>
      <c r="L1037" s="8"/>
      <c r="M1037" s="8"/>
      <c r="N1037" s="8"/>
      <c r="O1037" s="8"/>
      <c r="P1037" s="8"/>
      <c r="Q1037" s="8"/>
      <c r="R1037" s="8"/>
      <c r="S1037" s="8"/>
      <c r="T1037" s="8"/>
      <c r="U1037" s="8"/>
      <c r="V1037" s="8"/>
      <c r="W1037" s="8"/>
      <c r="X1037" s="8"/>
    </row>
    <row r="1038" spans="1:24" ht="12.75" customHeight="1">
      <c r="A1038" s="8"/>
      <c r="B1038" s="8"/>
      <c r="C1038" s="30"/>
      <c r="D1038" s="8"/>
      <c r="E1038" s="8"/>
      <c r="F1038" s="8"/>
      <c r="G1038" s="8"/>
      <c r="H1038" s="8"/>
      <c r="I1038" s="8"/>
      <c r="J1038" s="8"/>
      <c r="K1038" s="8"/>
      <c r="L1038" s="8"/>
      <c r="M1038" s="8"/>
      <c r="N1038" s="8"/>
      <c r="O1038" s="8"/>
      <c r="P1038" s="8"/>
      <c r="Q1038" s="8"/>
      <c r="R1038" s="8"/>
      <c r="S1038" s="8"/>
      <c r="T1038" s="8"/>
      <c r="U1038" s="8"/>
      <c r="V1038" s="8"/>
      <c r="W1038" s="8"/>
      <c r="X1038" s="8"/>
    </row>
    <row r="1039" spans="1:24" ht="12.75" customHeight="1">
      <c r="A1039" s="8"/>
      <c r="B1039" s="8"/>
      <c r="C1039" s="30"/>
      <c r="D1039" s="8"/>
      <c r="E1039" s="8"/>
      <c r="F1039" s="8"/>
      <c r="G1039" s="8"/>
      <c r="H1039" s="8"/>
      <c r="I1039" s="8"/>
      <c r="J1039" s="8"/>
      <c r="K1039" s="8"/>
      <c r="L1039" s="8"/>
      <c r="M1039" s="8"/>
      <c r="N1039" s="8"/>
      <c r="O1039" s="8"/>
      <c r="P1039" s="8"/>
      <c r="Q1039" s="8"/>
      <c r="R1039" s="8"/>
      <c r="S1039" s="8"/>
      <c r="T1039" s="8"/>
      <c r="U1039" s="8"/>
      <c r="V1039" s="8"/>
      <c r="W1039" s="8"/>
      <c r="X1039" s="8"/>
    </row>
    <row r="1040" spans="1:24" ht="12.75" customHeight="1">
      <c r="A1040" s="8"/>
      <c r="B1040" s="8"/>
      <c r="C1040" s="30"/>
      <c r="D1040" s="8"/>
      <c r="E1040" s="8"/>
      <c r="F1040" s="8"/>
      <c r="G1040" s="8"/>
      <c r="H1040" s="8"/>
      <c r="I1040" s="8"/>
      <c r="J1040" s="8"/>
      <c r="K1040" s="8"/>
      <c r="L1040" s="8"/>
      <c r="M1040" s="8"/>
      <c r="N1040" s="8"/>
      <c r="O1040" s="8"/>
      <c r="P1040" s="8"/>
      <c r="Q1040" s="8"/>
      <c r="R1040" s="8"/>
      <c r="S1040" s="8"/>
      <c r="T1040" s="8"/>
      <c r="U1040" s="8"/>
      <c r="V1040" s="8"/>
      <c r="W1040" s="8"/>
      <c r="X1040" s="8"/>
    </row>
    <row r="1041" spans="1:24" ht="12.75" customHeight="1">
      <c r="A1041" s="8"/>
      <c r="B1041" s="8"/>
      <c r="C1041" s="30"/>
      <c r="D1041" s="8"/>
      <c r="E1041" s="8"/>
      <c r="F1041" s="8"/>
      <c r="G1041" s="8"/>
      <c r="H1041" s="8"/>
      <c r="I1041" s="8"/>
      <c r="J1041" s="8"/>
      <c r="K1041" s="8"/>
      <c r="L1041" s="8"/>
      <c r="M1041" s="8"/>
      <c r="N1041" s="8"/>
      <c r="O1041" s="8"/>
      <c r="P1041" s="8"/>
      <c r="Q1041" s="8"/>
      <c r="R1041" s="8"/>
      <c r="S1041" s="8"/>
      <c r="T1041" s="8"/>
      <c r="U1041" s="8"/>
      <c r="V1041" s="8"/>
      <c r="W1041" s="8"/>
      <c r="X1041" s="8"/>
    </row>
    <row r="1042" spans="1:24" ht="12.75" customHeight="1">
      <c r="A1042" s="8"/>
      <c r="B1042" s="8"/>
      <c r="C1042" s="30"/>
      <c r="D1042" s="8"/>
      <c r="E1042" s="8"/>
      <c r="F1042" s="8"/>
      <c r="G1042" s="8"/>
      <c r="H1042" s="8"/>
      <c r="I1042" s="8"/>
      <c r="J1042" s="8"/>
      <c r="K1042" s="8"/>
      <c r="L1042" s="8"/>
      <c r="M1042" s="8"/>
      <c r="N1042" s="8"/>
      <c r="O1042" s="8"/>
      <c r="P1042" s="8"/>
      <c r="Q1042" s="8"/>
      <c r="R1042" s="8"/>
      <c r="S1042" s="8"/>
      <c r="T1042" s="8"/>
      <c r="U1042" s="8"/>
      <c r="V1042" s="8"/>
      <c r="W1042" s="8"/>
      <c r="X1042" s="8"/>
    </row>
    <row r="1043" spans="1:24" ht="12.75" customHeight="1">
      <c r="A1043" s="8"/>
      <c r="B1043" s="8"/>
      <c r="C1043" s="30"/>
      <c r="D1043" s="8"/>
      <c r="E1043" s="8"/>
      <c r="F1043" s="8"/>
      <c r="G1043" s="8"/>
      <c r="H1043" s="8"/>
      <c r="I1043" s="8"/>
      <c r="J1043" s="8"/>
      <c r="K1043" s="8"/>
      <c r="L1043" s="8"/>
      <c r="M1043" s="8"/>
      <c r="N1043" s="8"/>
      <c r="O1043" s="8"/>
      <c r="P1043" s="8"/>
      <c r="Q1043" s="8"/>
      <c r="R1043" s="8"/>
      <c r="S1043" s="8"/>
      <c r="T1043" s="8"/>
      <c r="U1043" s="8"/>
      <c r="V1043" s="8"/>
      <c r="W1043" s="8"/>
      <c r="X1043" s="8"/>
    </row>
    <row r="1044" spans="1:24" ht="12.75" customHeight="1">
      <c r="A1044" s="8"/>
      <c r="B1044" s="8"/>
      <c r="C1044" s="30"/>
      <c r="D1044" s="8"/>
      <c r="E1044" s="8"/>
      <c r="F1044" s="8"/>
      <c r="G1044" s="8"/>
      <c r="H1044" s="8"/>
      <c r="I1044" s="8"/>
      <c r="J1044" s="8"/>
      <c r="K1044" s="8"/>
      <c r="L1044" s="8"/>
      <c r="M1044" s="8"/>
      <c r="N1044" s="8"/>
      <c r="O1044" s="8"/>
      <c r="P1044" s="8"/>
      <c r="Q1044" s="8"/>
      <c r="R1044" s="8"/>
      <c r="S1044" s="8"/>
      <c r="T1044" s="8"/>
      <c r="U1044" s="8"/>
      <c r="V1044" s="8"/>
      <c r="W1044" s="8"/>
      <c r="X1044" s="8"/>
    </row>
    <row r="1045" spans="1:24" ht="12.75" customHeight="1">
      <c r="A1045" s="8"/>
      <c r="B1045" s="8"/>
      <c r="C1045" s="30"/>
      <c r="D1045" s="8"/>
      <c r="E1045" s="8"/>
      <c r="F1045" s="8"/>
      <c r="G1045" s="8"/>
      <c r="H1045" s="8"/>
      <c r="I1045" s="8"/>
      <c r="J1045" s="8"/>
      <c r="K1045" s="8"/>
      <c r="L1045" s="8"/>
      <c r="M1045" s="8"/>
      <c r="N1045" s="8"/>
      <c r="O1045" s="8"/>
      <c r="P1045" s="8"/>
      <c r="Q1045" s="8"/>
      <c r="R1045" s="8"/>
      <c r="S1045" s="8"/>
      <c r="T1045" s="8"/>
      <c r="U1045" s="8"/>
      <c r="V1045" s="8"/>
      <c r="W1045" s="8"/>
      <c r="X1045" s="8"/>
    </row>
    <row r="1046" spans="1:24" ht="12.75" customHeight="1">
      <c r="A1046" s="8"/>
      <c r="B1046" s="8"/>
      <c r="C1046" s="30"/>
      <c r="D1046" s="8"/>
      <c r="E1046" s="8"/>
      <c r="F1046" s="8"/>
      <c r="G1046" s="8"/>
      <c r="H1046" s="8"/>
      <c r="I1046" s="8"/>
      <c r="J1046" s="8"/>
      <c r="K1046" s="8"/>
      <c r="L1046" s="8"/>
      <c r="M1046" s="8"/>
      <c r="N1046" s="8"/>
      <c r="O1046" s="8"/>
      <c r="P1046" s="8"/>
      <c r="Q1046" s="8"/>
      <c r="R1046" s="8"/>
      <c r="S1046" s="8"/>
      <c r="T1046" s="8"/>
      <c r="U1046" s="8"/>
      <c r="V1046" s="8"/>
      <c r="W1046" s="8"/>
      <c r="X1046" s="8"/>
    </row>
    <row r="1047" spans="1:24" ht="12.75" customHeight="1">
      <c r="A1047" s="8"/>
      <c r="B1047" s="8"/>
      <c r="C1047" s="30"/>
      <c r="D1047" s="8"/>
      <c r="E1047" s="8"/>
      <c r="F1047" s="8"/>
      <c r="G1047" s="8"/>
      <c r="H1047" s="8"/>
      <c r="I1047" s="8"/>
      <c r="J1047" s="8"/>
      <c r="K1047" s="8"/>
      <c r="L1047" s="8"/>
      <c r="M1047" s="8"/>
      <c r="N1047" s="8"/>
      <c r="O1047" s="8"/>
      <c r="P1047" s="8"/>
      <c r="Q1047" s="8"/>
      <c r="R1047" s="8"/>
      <c r="S1047" s="8"/>
      <c r="T1047" s="8"/>
      <c r="U1047" s="8"/>
      <c r="V1047" s="8"/>
      <c r="W1047" s="8"/>
      <c r="X1047" s="8"/>
    </row>
    <row r="1048" spans="1:24" ht="12.75" customHeight="1">
      <c r="A1048" s="8"/>
      <c r="B1048" s="8"/>
      <c r="C1048" s="30"/>
      <c r="D1048" s="8"/>
      <c r="E1048" s="8"/>
      <c r="F1048" s="8"/>
      <c r="G1048" s="8"/>
      <c r="H1048" s="8"/>
      <c r="I1048" s="8"/>
      <c r="J1048" s="8"/>
      <c r="K1048" s="8"/>
      <c r="L1048" s="8"/>
      <c r="M1048" s="8"/>
      <c r="N1048" s="8"/>
      <c r="O1048" s="8"/>
      <c r="P1048" s="8"/>
      <c r="Q1048" s="8"/>
      <c r="R1048" s="8"/>
      <c r="S1048" s="8"/>
      <c r="T1048" s="8"/>
      <c r="U1048" s="8"/>
      <c r="V1048" s="8"/>
      <c r="W1048" s="8"/>
      <c r="X1048" s="8"/>
    </row>
    <row r="1049" spans="1:24" ht="12.75" customHeight="1">
      <c r="A1049" s="8"/>
      <c r="B1049" s="8"/>
      <c r="C1049" s="30"/>
      <c r="D1049" s="8"/>
      <c r="E1049" s="8"/>
      <c r="F1049" s="8"/>
      <c r="G1049" s="8"/>
      <c r="H1049" s="8"/>
      <c r="I1049" s="8"/>
      <c r="J1049" s="8"/>
      <c r="K1049" s="8"/>
      <c r="L1049" s="8"/>
      <c r="M1049" s="8"/>
      <c r="N1049" s="8"/>
      <c r="O1049" s="8"/>
      <c r="P1049" s="8"/>
      <c r="Q1049" s="8"/>
      <c r="R1049" s="8"/>
      <c r="S1049" s="8"/>
      <c r="T1049" s="8"/>
      <c r="U1049" s="8"/>
      <c r="V1049" s="8"/>
      <c r="W1049" s="8"/>
      <c r="X1049" s="8"/>
    </row>
    <row r="1050" spans="1:24" ht="12.75" customHeight="1">
      <c r="A1050" s="8"/>
      <c r="B1050" s="8"/>
      <c r="C1050" s="30"/>
      <c r="D1050" s="8"/>
      <c r="E1050" s="8"/>
      <c r="F1050" s="8"/>
      <c r="G1050" s="8"/>
      <c r="H1050" s="8"/>
      <c r="I1050" s="8"/>
      <c r="J1050" s="8"/>
      <c r="K1050" s="8"/>
      <c r="L1050" s="8"/>
      <c r="M1050" s="8"/>
      <c r="N1050" s="8"/>
      <c r="O1050" s="8"/>
      <c r="P1050" s="8"/>
      <c r="Q1050" s="8"/>
      <c r="R1050" s="8"/>
      <c r="S1050" s="8"/>
      <c r="T1050" s="8"/>
      <c r="U1050" s="8"/>
      <c r="V1050" s="8"/>
      <c r="W1050" s="8"/>
      <c r="X1050" s="8"/>
    </row>
    <row r="1051" spans="1:24" ht="12.75" customHeight="1">
      <c r="A1051" s="8"/>
      <c r="B1051" s="8"/>
      <c r="C1051" s="30"/>
      <c r="D1051" s="8"/>
      <c r="E1051" s="8"/>
      <c r="F1051" s="8"/>
      <c r="G1051" s="8"/>
      <c r="H1051" s="8"/>
      <c r="I1051" s="8"/>
      <c r="J1051" s="8"/>
      <c r="K1051" s="8"/>
      <c r="L1051" s="8"/>
      <c r="M1051" s="8"/>
      <c r="N1051" s="8"/>
      <c r="O1051" s="8"/>
      <c r="P1051" s="8"/>
      <c r="Q1051" s="8"/>
      <c r="R1051" s="8"/>
      <c r="S1051" s="8"/>
      <c r="T1051" s="8"/>
      <c r="U1051" s="8"/>
      <c r="V1051" s="8"/>
      <c r="W1051" s="8"/>
      <c r="X1051" s="8"/>
    </row>
    <row r="1052" spans="1:24" ht="12.75" customHeight="1">
      <c r="A1052" s="8"/>
      <c r="B1052" s="8"/>
      <c r="C1052" s="30"/>
      <c r="D1052" s="8"/>
      <c r="E1052" s="8"/>
      <c r="F1052" s="8"/>
      <c r="G1052" s="8"/>
      <c r="H1052" s="8"/>
      <c r="I1052" s="8"/>
      <c r="J1052" s="8"/>
      <c r="K1052" s="8"/>
      <c r="L1052" s="8"/>
      <c r="M1052" s="8"/>
      <c r="N1052" s="8"/>
      <c r="O1052" s="8"/>
      <c r="P1052" s="8"/>
      <c r="Q1052" s="8"/>
      <c r="R1052" s="8"/>
      <c r="S1052" s="8"/>
      <c r="T1052" s="8"/>
      <c r="U1052" s="8"/>
      <c r="V1052" s="8"/>
      <c r="W1052" s="8"/>
      <c r="X1052" s="8"/>
    </row>
    <row r="1053" spans="1:24" ht="12.75" customHeight="1">
      <c r="A1053" s="8"/>
      <c r="B1053" s="8"/>
      <c r="C1053" s="30"/>
      <c r="D1053" s="8"/>
      <c r="E1053" s="8"/>
      <c r="F1053" s="8"/>
      <c r="G1053" s="8"/>
      <c r="H1053" s="8"/>
      <c r="I1053" s="8"/>
      <c r="J1053" s="8"/>
      <c r="K1053" s="8"/>
      <c r="L1053" s="8"/>
      <c r="M1053" s="8"/>
      <c r="N1053" s="8"/>
      <c r="O1053" s="8"/>
      <c r="P1053" s="8"/>
      <c r="Q1053" s="8"/>
      <c r="R1053" s="8"/>
      <c r="S1053" s="8"/>
      <c r="T1053" s="8"/>
      <c r="U1053" s="8"/>
      <c r="V1053" s="8"/>
      <c r="W1053" s="8"/>
      <c r="X1053" s="8"/>
    </row>
    <row r="1054" spans="1:24" ht="12.75" customHeight="1">
      <c r="A1054" s="8"/>
      <c r="B1054" s="8"/>
      <c r="C1054" s="30"/>
      <c r="D1054" s="8"/>
      <c r="E1054" s="8"/>
      <c r="F1054" s="8"/>
      <c r="G1054" s="8"/>
      <c r="H1054" s="8"/>
      <c r="I1054" s="8"/>
      <c r="J1054" s="8"/>
      <c r="K1054" s="8"/>
      <c r="L1054" s="8"/>
      <c r="M1054" s="8"/>
      <c r="N1054" s="8"/>
      <c r="O1054" s="8"/>
      <c r="P1054" s="8"/>
      <c r="Q1054" s="8"/>
      <c r="R1054" s="8"/>
      <c r="S1054" s="8"/>
      <c r="T1054" s="8"/>
      <c r="U1054" s="8"/>
      <c r="V1054" s="8"/>
      <c r="W1054" s="8"/>
      <c r="X1054" s="8"/>
    </row>
    <row r="1055" spans="1:24" ht="12.75" customHeight="1">
      <c r="A1055" s="8"/>
      <c r="B1055" s="8"/>
      <c r="C1055" s="30"/>
      <c r="D1055" s="8"/>
      <c r="E1055" s="8"/>
      <c r="F1055" s="8"/>
      <c r="G1055" s="8"/>
      <c r="H1055" s="8"/>
      <c r="I1055" s="8"/>
      <c r="J1055" s="8"/>
      <c r="K1055" s="8"/>
      <c r="L1055" s="8"/>
      <c r="M1055" s="8"/>
      <c r="N1055" s="8"/>
      <c r="O1055" s="8"/>
      <c r="P1055" s="8"/>
      <c r="Q1055" s="8"/>
      <c r="R1055" s="8"/>
      <c r="S1055" s="8"/>
      <c r="T1055" s="8"/>
      <c r="U1055" s="8"/>
      <c r="V1055" s="8"/>
      <c r="W1055" s="8"/>
      <c r="X1055" s="8"/>
    </row>
    <row r="1056" spans="1:24" ht="12.75" customHeight="1">
      <c r="A1056" s="8"/>
      <c r="B1056" s="8"/>
      <c r="C1056" s="30"/>
      <c r="D1056" s="8"/>
      <c r="E1056" s="8"/>
      <c r="F1056" s="8"/>
      <c r="G1056" s="8"/>
      <c r="H1056" s="8"/>
      <c r="I1056" s="8"/>
      <c r="J1056" s="8"/>
      <c r="K1056" s="8"/>
      <c r="L1056" s="8"/>
      <c r="M1056" s="8"/>
      <c r="N1056" s="8"/>
      <c r="O1056" s="8"/>
      <c r="P1056" s="8"/>
      <c r="Q1056" s="8"/>
      <c r="R1056" s="8"/>
      <c r="S1056" s="8"/>
      <c r="T1056" s="8"/>
      <c r="U1056" s="8"/>
      <c r="V1056" s="8"/>
      <c r="W1056" s="8"/>
      <c r="X1056" s="8"/>
    </row>
    <row r="1057" spans="1:24" ht="12.75" customHeight="1">
      <c r="A1057" s="8"/>
      <c r="B1057" s="8"/>
      <c r="C1057" s="30"/>
      <c r="D1057" s="8"/>
      <c r="E1057" s="8"/>
      <c r="F1057" s="8"/>
      <c r="G1057" s="8"/>
      <c r="H1057" s="8"/>
      <c r="I1057" s="8"/>
      <c r="J1057" s="8"/>
      <c r="K1057" s="8"/>
      <c r="L1057" s="8"/>
      <c r="M1057" s="8"/>
      <c r="N1057" s="8"/>
      <c r="O1057" s="8"/>
      <c r="P1057" s="8"/>
      <c r="Q1057" s="8"/>
      <c r="R1057" s="8"/>
      <c r="S1057" s="8"/>
      <c r="T1057" s="8"/>
      <c r="U1057" s="8"/>
      <c r="V1057" s="8"/>
      <c r="W1057" s="8"/>
      <c r="X1057" s="8"/>
    </row>
    <row r="1058" spans="1:24" ht="12.75" customHeight="1">
      <c r="A1058" s="8"/>
      <c r="B1058" s="8"/>
      <c r="C1058" s="30"/>
      <c r="D1058" s="8"/>
      <c r="E1058" s="8"/>
      <c r="F1058" s="8"/>
      <c r="G1058" s="8"/>
      <c r="H1058" s="8"/>
      <c r="I1058" s="8"/>
      <c r="J1058" s="8"/>
      <c r="K1058" s="8"/>
      <c r="L1058" s="8"/>
      <c r="M1058" s="8"/>
      <c r="N1058" s="8"/>
      <c r="O1058" s="8"/>
      <c r="P1058" s="8"/>
      <c r="Q1058" s="8"/>
      <c r="R1058" s="8"/>
      <c r="S1058" s="8"/>
      <c r="T1058" s="8"/>
      <c r="U1058" s="8"/>
      <c r="V1058" s="8"/>
      <c r="W1058" s="8"/>
      <c r="X1058" s="8"/>
    </row>
    <row r="1059" spans="1:24" ht="12.75" customHeight="1">
      <c r="A1059" s="8"/>
      <c r="B1059" s="8"/>
      <c r="C1059" s="30"/>
      <c r="D1059" s="8"/>
      <c r="E1059" s="8"/>
      <c r="F1059" s="8"/>
      <c r="G1059" s="8"/>
      <c r="H1059" s="8"/>
      <c r="I1059" s="8"/>
      <c r="J1059" s="8"/>
      <c r="K1059" s="8"/>
      <c r="L1059" s="8"/>
      <c r="M1059" s="8"/>
      <c r="N1059" s="8"/>
      <c r="O1059" s="8"/>
      <c r="P1059" s="8"/>
      <c r="Q1059" s="8"/>
      <c r="R1059" s="8"/>
      <c r="S1059" s="8"/>
      <c r="T1059" s="8"/>
      <c r="U1059" s="8"/>
      <c r="V1059" s="8"/>
      <c r="W1059" s="8"/>
      <c r="X1059" s="8"/>
    </row>
    <row r="1060" spans="1:24" ht="12.75" customHeight="1">
      <c r="A1060" s="8"/>
      <c r="B1060" s="8"/>
      <c r="C1060" s="30"/>
      <c r="D1060" s="8"/>
      <c r="E1060" s="8"/>
      <c r="F1060" s="8"/>
      <c r="G1060" s="8"/>
      <c r="H1060" s="8"/>
      <c r="I1060" s="8"/>
      <c r="J1060" s="8"/>
      <c r="K1060" s="8"/>
      <c r="L1060" s="8"/>
      <c r="M1060" s="8"/>
      <c r="N1060" s="8"/>
      <c r="O1060" s="8"/>
      <c r="P1060" s="8"/>
      <c r="Q1060" s="8"/>
      <c r="R1060" s="8"/>
      <c r="S1060" s="8"/>
      <c r="T1060" s="8"/>
      <c r="U1060" s="8"/>
      <c r="V1060" s="8"/>
      <c r="W1060" s="8"/>
      <c r="X1060" s="8"/>
    </row>
    <row r="1061" spans="1:24" ht="12.75" customHeight="1">
      <c r="A1061" s="8"/>
      <c r="B1061" s="8"/>
      <c r="C1061" s="30"/>
      <c r="D1061" s="8"/>
      <c r="E1061" s="8"/>
      <c r="F1061" s="8"/>
      <c r="G1061" s="8"/>
      <c r="H1061" s="8"/>
      <c r="I1061" s="8"/>
      <c r="J1061" s="8"/>
      <c r="K1061" s="8"/>
      <c r="L1061" s="8"/>
      <c r="M1061" s="8"/>
      <c r="N1061" s="8"/>
      <c r="O1061" s="8"/>
      <c r="P1061" s="8"/>
      <c r="Q1061" s="8"/>
      <c r="R1061" s="8"/>
      <c r="S1061" s="8"/>
      <c r="T1061" s="8"/>
      <c r="U1061" s="8"/>
      <c r="V1061" s="8"/>
      <c r="W1061" s="8"/>
      <c r="X1061" s="8"/>
    </row>
    <row r="1062" spans="1:24" ht="12.75" customHeight="1">
      <c r="A1062" s="8"/>
      <c r="B1062" s="8"/>
      <c r="C1062" s="30"/>
      <c r="D1062" s="8"/>
      <c r="E1062" s="8"/>
      <c r="F1062" s="8"/>
      <c r="G1062" s="8"/>
      <c r="H1062" s="8"/>
      <c r="I1062" s="8"/>
      <c r="J1062" s="8"/>
      <c r="K1062" s="8"/>
      <c r="L1062" s="8"/>
      <c r="M1062" s="8"/>
      <c r="N1062" s="8"/>
      <c r="O1062" s="8"/>
      <c r="P1062" s="8"/>
      <c r="Q1062" s="8"/>
      <c r="R1062" s="8"/>
      <c r="S1062" s="8"/>
      <c r="T1062" s="8"/>
      <c r="U1062" s="8"/>
      <c r="V1062" s="8"/>
      <c r="W1062" s="8"/>
      <c r="X1062" s="8"/>
    </row>
    <row r="1063" spans="1:24" ht="12.75" customHeight="1">
      <c r="A1063" s="8"/>
      <c r="B1063" s="8"/>
      <c r="C1063" s="30"/>
      <c r="D1063" s="8"/>
      <c r="E1063" s="8"/>
      <c r="F1063" s="8"/>
      <c r="G1063" s="8"/>
      <c r="H1063" s="8"/>
      <c r="I1063" s="8"/>
      <c r="J1063" s="8"/>
      <c r="K1063" s="8"/>
      <c r="L1063" s="8"/>
      <c r="M1063" s="8"/>
      <c r="N1063" s="8"/>
      <c r="O1063" s="8"/>
      <c r="P1063" s="8"/>
      <c r="Q1063" s="8"/>
      <c r="R1063" s="8"/>
      <c r="S1063" s="8"/>
      <c r="T1063" s="8"/>
      <c r="U1063" s="8"/>
      <c r="V1063" s="8"/>
      <c r="W1063" s="8"/>
      <c r="X1063" s="8"/>
    </row>
    <row r="1064" spans="1:24" ht="12.75" customHeight="1">
      <c r="A1064" s="8"/>
      <c r="B1064" s="8"/>
      <c r="C1064" s="30"/>
      <c r="D1064" s="8"/>
      <c r="E1064" s="8"/>
      <c r="F1064" s="8"/>
      <c r="G1064" s="8"/>
      <c r="H1064" s="8"/>
      <c r="I1064" s="8"/>
      <c r="J1064" s="8"/>
      <c r="K1064" s="8"/>
      <c r="L1064" s="8"/>
      <c r="M1064" s="8"/>
      <c r="N1064" s="8"/>
      <c r="O1064" s="8"/>
      <c r="P1064" s="8"/>
      <c r="Q1064" s="8"/>
      <c r="R1064" s="8"/>
      <c r="S1064" s="8"/>
      <c r="T1064" s="8"/>
      <c r="U1064" s="8"/>
      <c r="V1064" s="8"/>
      <c r="W1064" s="8"/>
      <c r="X1064" s="8"/>
    </row>
    <row r="1065" spans="1:24" ht="12.75" customHeight="1">
      <c r="A1065" s="8"/>
      <c r="B1065" s="8"/>
      <c r="C1065" s="30"/>
      <c r="D1065" s="8"/>
      <c r="E1065" s="8"/>
      <c r="F1065" s="8"/>
      <c r="G1065" s="8"/>
      <c r="H1065" s="8"/>
      <c r="I1065" s="8"/>
      <c r="J1065" s="8"/>
      <c r="K1065" s="8"/>
      <c r="L1065" s="8"/>
      <c r="M1065" s="8"/>
      <c r="N1065" s="8"/>
      <c r="O1065" s="8"/>
      <c r="P1065" s="8"/>
      <c r="Q1065" s="8"/>
      <c r="R1065" s="8"/>
      <c r="S1065" s="8"/>
      <c r="T1065" s="8"/>
      <c r="U1065" s="8"/>
      <c r="V1065" s="8"/>
      <c r="W1065" s="8"/>
      <c r="X1065" s="8"/>
    </row>
    <row r="1066" spans="1:24" ht="12.75" customHeight="1">
      <c r="A1066" s="8"/>
      <c r="B1066" s="8"/>
      <c r="C1066" s="30"/>
      <c r="D1066" s="8"/>
      <c r="E1066" s="8"/>
      <c r="F1066" s="8"/>
      <c r="G1066" s="8"/>
      <c r="H1066" s="8"/>
      <c r="I1066" s="8"/>
      <c r="J1066" s="8"/>
      <c r="K1066" s="8"/>
      <c r="L1066" s="8"/>
      <c r="M1066" s="8"/>
      <c r="N1066" s="8"/>
      <c r="O1066" s="8"/>
      <c r="P1066" s="8"/>
      <c r="Q1066" s="8"/>
      <c r="R1066" s="8"/>
      <c r="S1066" s="8"/>
      <c r="T1066" s="8"/>
      <c r="U1066" s="8"/>
      <c r="V1066" s="8"/>
      <c r="W1066" s="8"/>
      <c r="X1066" s="8"/>
    </row>
    <row r="1067" spans="1:24" ht="12.75" customHeight="1">
      <c r="A1067" s="8"/>
      <c r="B1067" s="8"/>
      <c r="C1067" s="30"/>
      <c r="D1067" s="8"/>
      <c r="E1067" s="8"/>
      <c r="F1067" s="8"/>
      <c r="G1067" s="8"/>
      <c r="H1067" s="8"/>
      <c r="I1067" s="8"/>
      <c r="J1067" s="8"/>
      <c r="K1067" s="8"/>
      <c r="L1067" s="8"/>
      <c r="M1067" s="8"/>
      <c r="N1067" s="8"/>
      <c r="O1067" s="8"/>
      <c r="P1067" s="8"/>
      <c r="Q1067" s="8"/>
      <c r="R1067" s="8"/>
      <c r="S1067" s="8"/>
      <c r="T1067" s="8"/>
      <c r="U1067" s="8"/>
      <c r="V1067" s="8"/>
      <c r="W1067" s="8"/>
      <c r="X1067" s="8"/>
    </row>
    <row r="1068" spans="1:24" ht="12.75" customHeight="1">
      <c r="A1068" s="8"/>
      <c r="B1068" s="8"/>
      <c r="C1068" s="30"/>
      <c r="D1068" s="8"/>
      <c r="E1068" s="8"/>
      <c r="F1068" s="8"/>
      <c r="G1068" s="8"/>
      <c r="H1068" s="8"/>
      <c r="I1068" s="8"/>
      <c r="J1068" s="8"/>
      <c r="K1068" s="8"/>
      <c r="L1068" s="8"/>
      <c r="M1068" s="8"/>
      <c r="N1068" s="8"/>
      <c r="O1068" s="8"/>
      <c r="P1068" s="8"/>
      <c r="Q1068" s="8"/>
      <c r="R1068" s="8"/>
      <c r="S1068" s="8"/>
      <c r="T1068" s="8"/>
      <c r="U1068" s="8"/>
      <c r="V1068" s="8"/>
      <c r="W1068" s="8"/>
      <c r="X1068" s="8"/>
    </row>
    <row r="1069" spans="1:24" ht="12.75" customHeight="1">
      <c r="A1069" s="8"/>
      <c r="B1069" s="8"/>
      <c r="C1069" s="30"/>
      <c r="D1069" s="8"/>
      <c r="E1069" s="8"/>
      <c r="F1069" s="8"/>
      <c r="G1069" s="8"/>
      <c r="H1069" s="8"/>
      <c r="I1069" s="8"/>
      <c r="J1069" s="8"/>
      <c r="K1069" s="8"/>
      <c r="L1069" s="8"/>
      <c r="M1069" s="8"/>
      <c r="N1069" s="8"/>
      <c r="O1069" s="8"/>
      <c r="P1069" s="8"/>
      <c r="Q1069" s="8"/>
      <c r="R1069" s="8"/>
      <c r="S1069" s="8"/>
      <c r="T1069" s="8"/>
      <c r="U1069" s="8"/>
      <c r="V1069" s="8"/>
      <c r="W1069" s="8"/>
      <c r="X1069" s="8"/>
    </row>
    <row r="1070" spans="1:24" ht="12.75" customHeight="1">
      <c r="A1070" s="8"/>
      <c r="B1070" s="8"/>
      <c r="C1070" s="30"/>
      <c r="D1070" s="8"/>
      <c r="E1070" s="8"/>
      <c r="F1070" s="8"/>
      <c r="G1070" s="8"/>
      <c r="H1070" s="8"/>
      <c r="I1070" s="8"/>
      <c r="J1070" s="8"/>
      <c r="K1070" s="8"/>
      <c r="L1070" s="8"/>
      <c r="M1070" s="8"/>
      <c r="N1070" s="8"/>
      <c r="O1070" s="8"/>
      <c r="P1070" s="8"/>
      <c r="Q1070" s="8"/>
      <c r="R1070" s="8"/>
      <c r="S1070" s="8"/>
      <c r="T1070" s="8"/>
      <c r="U1070" s="8"/>
      <c r="V1070" s="8"/>
      <c r="W1070" s="8"/>
      <c r="X1070" s="8"/>
    </row>
    <row r="1071" spans="1:24" ht="12.75" customHeight="1">
      <c r="A1071" s="8"/>
      <c r="B1071" s="8"/>
      <c r="C1071" s="30"/>
      <c r="D1071" s="8"/>
      <c r="E1071" s="8"/>
      <c r="F1071" s="8"/>
      <c r="G1071" s="8"/>
      <c r="H1071" s="8"/>
      <c r="I1071" s="8"/>
      <c r="J1071" s="8"/>
      <c r="K1071" s="8"/>
      <c r="L1071" s="8"/>
      <c r="M1071" s="8"/>
      <c r="N1071" s="8"/>
      <c r="O1071" s="8"/>
      <c r="P1071" s="8"/>
      <c r="Q1071" s="8"/>
      <c r="R1071" s="8"/>
      <c r="S1071" s="8"/>
      <c r="T1071" s="8"/>
      <c r="U1071" s="8"/>
      <c r="V1071" s="8"/>
      <c r="W1071" s="8"/>
      <c r="X1071" s="8"/>
    </row>
    <row r="1072" spans="1:24" ht="12.75" customHeight="1">
      <c r="A1072" s="8"/>
      <c r="B1072" s="8"/>
      <c r="C1072" s="30"/>
      <c r="D1072" s="8"/>
      <c r="E1072" s="8"/>
      <c r="F1072" s="8"/>
      <c r="G1072" s="8"/>
      <c r="H1072" s="8"/>
      <c r="I1072" s="8"/>
      <c r="J1072" s="8"/>
      <c r="K1072" s="8"/>
      <c r="L1072" s="8"/>
      <c r="M1072" s="8"/>
      <c r="N1072" s="8"/>
      <c r="O1072" s="8"/>
      <c r="P1072" s="8"/>
      <c r="Q1072" s="8"/>
      <c r="R1072" s="8"/>
      <c r="S1072" s="8"/>
      <c r="T1072" s="8"/>
      <c r="U1072" s="8"/>
      <c r="V1072" s="8"/>
      <c r="W1072" s="8"/>
      <c r="X1072" s="8"/>
    </row>
    <row r="1073" spans="1:24" ht="12.75" customHeight="1">
      <c r="A1073" s="8"/>
      <c r="B1073" s="8"/>
      <c r="C1073" s="30"/>
      <c r="D1073" s="8"/>
      <c r="E1073" s="8"/>
      <c r="F1073" s="8"/>
      <c r="G1073" s="8"/>
      <c r="H1073" s="8"/>
      <c r="I1073" s="8"/>
      <c r="J1073" s="8"/>
      <c r="K1073" s="8"/>
      <c r="L1073" s="8"/>
      <c r="M1073" s="8"/>
      <c r="N1073" s="8"/>
      <c r="O1073" s="8"/>
      <c r="P1073" s="8"/>
      <c r="Q1073" s="8"/>
      <c r="R1073" s="8"/>
      <c r="S1073" s="8"/>
      <c r="T1073" s="8"/>
      <c r="U1073" s="8"/>
      <c r="V1073" s="8"/>
      <c r="W1073" s="8"/>
      <c r="X1073" s="8"/>
    </row>
    <row r="1074" spans="1:24" ht="12.75" customHeight="1">
      <c r="A1074" s="8"/>
      <c r="B1074" s="8"/>
      <c r="C1074" s="30"/>
      <c r="D1074" s="8"/>
      <c r="E1074" s="8"/>
      <c r="F1074" s="8"/>
      <c r="G1074" s="8"/>
      <c r="H1074" s="8"/>
      <c r="I1074" s="8"/>
      <c r="J1074" s="8"/>
      <c r="K1074" s="8"/>
      <c r="L1074" s="8"/>
      <c r="M1074" s="8"/>
      <c r="N1074" s="8"/>
      <c r="O1074" s="8"/>
      <c r="P1074" s="8"/>
      <c r="Q1074" s="8"/>
      <c r="R1074" s="8"/>
      <c r="S1074" s="8"/>
      <c r="T1074" s="8"/>
      <c r="U1074" s="8"/>
      <c r="V1074" s="8"/>
      <c r="W1074" s="8"/>
      <c r="X1074" s="8"/>
    </row>
    <row r="1075" spans="1:24" ht="12.75" customHeight="1">
      <c r="A1075" s="8"/>
      <c r="B1075" s="8"/>
      <c r="C1075" s="30"/>
      <c r="D1075" s="8"/>
      <c r="E1075" s="8"/>
      <c r="F1075" s="8"/>
      <c r="G1075" s="8"/>
      <c r="H1075" s="8"/>
      <c r="I1075" s="8"/>
      <c r="J1075" s="8"/>
      <c r="K1075" s="8"/>
      <c r="L1075" s="8"/>
      <c r="M1075" s="8"/>
      <c r="N1075" s="8"/>
      <c r="O1075" s="8"/>
      <c r="P1075" s="8"/>
      <c r="Q1075" s="8"/>
      <c r="R1075" s="8"/>
      <c r="S1075" s="8"/>
      <c r="T1075" s="8"/>
      <c r="U1075" s="8"/>
      <c r="V1075" s="8"/>
      <c r="W1075" s="8"/>
      <c r="X1075" s="8"/>
    </row>
    <row r="1076" spans="1:24" ht="12.75" customHeight="1">
      <c r="A1076" s="8"/>
      <c r="B1076" s="8"/>
      <c r="C1076" s="30"/>
      <c r="D1076" s="8"/>
      <c r="E1076" s="8"/>
      <c r="F1076" s="8"/>
      <c r="G1076" s="8"/>
      <c r="H1076" s="8"/>
      <c r="I1076" s="8"/>
      <c r="J1076" s="8"/>
      <c r="K1076" s="8"/>
      <c r="L1076" s="8"/>
      <c r="M1076" s="8"/>
      <c r="N1076" s="8"/>
      <c r="O1076" s="8"/>
      <c r="P1076" s="8"/>
      <c r="Q1076" s="8"/>
      <c r="R1076" s="8"/>
      <c r="S1076" s="8"/>
      <c r="T1076" s="8"/>
      <c r="U1076" s="8"/>
      <c r="V1076" s="8"/>
      <c r="W1076" s="8"/>
      <c r="X1076" s="8"/>
    </row>
    <row r="1077" spans="1:24" ht="12.75" customHeight="1">
      <c r="A1077" s="8"/>
      <c r="B1077" s="8"/>
      <c r="C1077" s="30"/>
      <c r="D1077" s="8"/>
      <c r="E1077" s="8"/>
      <c r="F1077" s="8"/>
      <c r="G1077" s="8"/>
      <c r="H1077" s="8"/>
      <c r="I1077" s="8"/>
      <c r="J1077" s="8"/>
      <c r="K1077" s="8"/>
      <c r="L1077" s="8"/>
      <c r="M1077" s="8"/>
      <c r="N1077" s="8"/>
      <c r="O1077" s="8"/>
      <c r="P1077" s="8"/>
      <c r="Q1077" s="8"/>
      <c r="R1077" s="8"/>
      <c r="S1077" s="8"/>
      <c r="T1077" s="8"/>
      <c r="U1077" s="8"/>
      <c r="V1077" s="8"/>
      <c r="W1077" s="8"/>
      <c r="X1077" s="8"/>
    </row>
    <row r="1078" spans="1:24" ht="12.75" customHeight="1">
      <c r="A1078" s="8"/>
      <c r="B1078" s="8"/>
      <c r="C1078" s="30"/>
      <c r="D1078" s="8"/>
      <c r="E1078" s="8"/>
      <c r="F1078" s="8"/>
      <c r="G1078" s="8"/>
      <c r="H1078" s="8"/>
      <c r="I1078" s="8"/>
      <c r="J1078" s="8"/>
      <c r="K1078" s="8"/>
      <c r="L1078" s="8"/>
      <c r="M1078" s="8"/>
      <c r="N1078" s="8"/>
      <c r="O1078" s="8"/>
      <c r="P1078" s="8"/>
      <c r="Q1078" s="8"/>
      <c r="R1078" s="8"/>
      <c r="S1078" s="8"/>
      <c r="T1078" s="8"/>
      <c r="U1078" s="8"/>
      <c r="V1078" s="8"/>
      <c r="W1078" s="8"/>
      <c r="X1078" s="8"/>
    </row>
    <row r="1079" spans="1:24" ht="12.75" customHeight="1">
      <c r="A1079" s="8"/>
      <c r="B1079" s="8"/>
      <c r="C1079" s="30"/>
      <c r="D1079" s="8"/>
      <c r="E1079" s="8"/>
      <c r="F1079" s="8"/>
      <c r="G1079" s="8"/>
      <c r="H1079" s="8"/>
      <c r="I1079" s="8"/>
      <c r="J1079" s="8"/>
      <c r="K1079" s="8"/>
      <c r="L1079" s="8"/>
      <c r="M1079" s="8"/>
      <c r="N1079" s="8"/>
      <c r="O1079" s="8"/>
      <c r="P1079" s="8"/>
      <c r="Q1079" s="8"/>
      <c r="R1079" s="8"/>
      <c r="S1079" s="8"/>
      <c r="T1079" s="8"/>
      <c r="U1079" s="8"/>
      <c r="V1079" s="8"/>
      <c r="W1079" s="8"/>
      <c r="X1079" s="8"/>
    </row>
    <row r="1080" spans="1:24" ht="12.75" customHeight="1">
      <c r="A1080" s="8"/>
      <c r="B1080" s="8"/>
      <c r="C1080" s="30"/>
      <c r="D1080" s="8"/>
      <c r="E1080" s="8"/>
      <c r="F1080" s="8"/>
      <c r="G1080" s="8"/>
      <c r="H1080" s="8"/>
      <c r="I1080" s="8"/>
      <c r="J1080" s="8"/>
      <c r="K1080" s="8"/>
      <c r="L1080" s="8"/>
      <c r="M1080" s="8"/>
      <c r="N1080" s="8"/>
      <c r="O1080" s="8"/>
      <c r="P1080" s="8"/>
      <c r="Q1080" s="8"/>
      <c r="R1080" s="8"/>
      <c r="S1080" s="8"/>
      <c r="T1080" s="8"/>
      <c r="U1080" s="8"/>
      <c r="V1080" s="8"/>
      <c r="W1080" s="8"/>
      <c r="X1080" s="8"/>
    </row>
    <row r="1081" spans="1:24" ht="12.75" customHeight="1">
      <c r="A1081" s="8"/>
      <c r="B1081" s="8"/>
      <c r="C1081" s="30"/>
      <c r="D1081" s="8"/>
      <c r="E1081" s="8"/>
      <c r="F1081" s="8"/>
      <c r="G1081" s="8"/>
      <c r="H1081" s="8"/>
      <c r="I1081" s="8"/>
      <c r="J1081" s="8"/>
      <c r="K1081" s="8"/>
      <c r="L1081" s="8"/>
      <c r="M1081" s="8"/>
      <c r="N1081" s="8"/>
      <c r="O1081" s="8"/>
      <c r="P1081" s="8"/>
      <c r="Q1081" s="8"/>
      <c r="R1081" s="8"/>
      <c r="S1081" s="8"/>
      <c r="T1081" s="8"/>
      <c r="U1081" s="8"/>
      <c r="V1081" s="8"/>
      <c r="W1081" s="8"/>
      <c r="X1081" s="8"/>
    </row>
    <row r="1082" spans="1:24" ht="12.75" customHeight="1">
      <c r="A1082" s="8"/>
      <c r="B1082" s="8"/>
      <c r="C1082" s="30"/>
      <c r="D1082" s="8"/>
      <c r="E1082" s="8"/>
      <c r="F1082" s="8"/>
      <c r="G1082" s="8"/>
      <c r="H1082" s="8"/>
      <c r="I1082" s="8"/>
      <c r="J1082" s="8"/>
      <c r="K1082" s="8"/>
      <c r="L1082" s="8"/>
      <c r="M1082" s="8"/>
      <c r="N1082" s="8"/>
      <c r="O1082" s="8"/>
      <c r="P1082" s="8"/>
      <c r="Q1082" s="8"/>
      <c r="R1082" s="8"/>
      <c r="S1082" s="8"/>
      <c r="T1082" s="8"/>
      <c r="U1082" s="8"/>
      <c r="V1082" s="8"/>
      <c r="W1082" s="8"/>
      <c r="X1082" s="8"/>
    </row>
    <row r="1083" spans="1:24" ht="12.75" customHeight="1">
      <c r="A1083" s="8"/>
      <c r="B1083" s="8"/>
      <c r="C1083" s="30"/>
      <c r="D1083" s="8"/>
      <c r="E1083" s="8"/>
      <c r="F1083" s="8"/>
      <c r="G1083" s="8"/>
      <c r="H1083" s="8"/>
      <c r="I1083" s="8"/>
      <c r="J1083" s="8"/>
      <c r="K1083" s="8"/>
      <c r="L1083" s="8"/>
      <c r="M1083" s="8"/>
      <c r="N1083" s="8"/>
      <c r="O1083" s="8"/>
      <c r="P1083" s="8"/>
      <c r="Q1083" s="8"/>
      <c r="R1083" s="8"/>
      <c r="S1083" s="8"/>
      <c r="T1083" s="8"/>
      <c r="U1083" s="8"/>
      <c r="V1083" s="8"/>
      <c r="W1083" s="8"/>
      <c r="X1083" s="8"/>
    </row>
    <row r="1084" spans="1:24" ht="12.75" customHeight="1">
      <c r="A1084" s="8"/>
      <c r="B1084" s="8"/>
      <c r="C1084" s="30"/>
      <c r="D1084" s="8"/>
      <c r="E1084" s="8"/>
      <c r="F1084" s="8"/>
      <c r="G1084" s="8"/>
      <c r="H1084" s="8"/>
      <c r="I1084" s="8"/>
      <c r="J1084" s="8"/>
      <c r="K1084" s="8"/>
      <c r="L1084" s="8"/>
      <c r="M1084" s="8"/>
      <c r="N1084" s="8"/>
      <c r="O1084" s="8"/>
      <c r="P1084" s="8"/>
      <c r="Q1084" s="8"/>
      <c r="R1084" s="8"/>
      <c r="S1084" s="8"/>
      <c r="T1084" s="8"/>
      <c r="U1084" s="8"/>
      <c r="V1084" s="8"/>
      <c r="W1084" s="8"/>
      <c r="X1084" s="8"/>
    </row>
    <row r="1085" spans="1:24" ht="12.75" customHeight="1">
      <c r="A1085" s="8"/>
      <c r="B1085" s="8"/>
      <c r="C1085" s="30"/>
      <c r="D1085" s="8"/>
      <c r="E1085" s="8"/>
      <c r="F1085" s="8"/>
      <c r="G1085" s="8"/>
      <c r="H1085" s="8"/>
      <c r="I1085" s="8"/>
      <c r="J1085" s="8"/>
      <c r="K1085" s="8"/>
      <c r="L1085" s="8"/>
      <c r="M1085" s="8"/>
      <c r="N1085" s="8"/>
      <c r="O1085" s="8"/>
      <c r="P1085" s="8"/>
      <c r="Q1085" s="8"/>
      <c r="R1085" s="8"/>
      <c r="S1085" s="8"/>
      <c r="T1085" s="8"/>
      <c r="U1085" s="8"/>
      <c r="V1085" s="8"/>
      <c r="W1085" s="8"/>
      <c r="X1085" s="8"/>
    </row>
    <row r="1086" spans="1:24" ht="12.75" customHeight="1">
      <c r="A1086" s="8"/>
      <c r="B1086" s="8"/>
      <c r="C1086" s="30"/>
      <c r="D1086" s="8"/>
      <c r="E1086" s="8"/>
      <c r="F1086" s="8"/>
      <c r="G1086" s="8"/>
      <c r="H1086" s="8"/>
      <c r="I1086" s="8"/>
      <c r="J1086" s="8"/>
      <c r="K1086" s="8"/>
      <c r="L1086" s="8"/>
      <c r="M1086" s="8"/>
      <c r="N1086" s="8"/>
      <c r="O1086" s="8"/>
      <c r="P1086" s="8"/>
      <c r="Q1086" s="8"/>
      <c r="R1086" s="8"/>
      <c r="S1086" s="8"/>
      <c r="T1086" s="8"/>
      <c r="U1086" s="8"/>
      <c r="V1086" s="8"/>
      <c r="W1086" s="8"/>
      <c r="X1086" s="8"/>
    </row>
    <row r="1087" spans="1:24" ht="12.75" customHeight="1">
      <c r="A1087" s="8"/>
      <c r="B1087" s="8"/>
      <c r="C1087" s="30"/>
      <c r="D1087" s="8"/>
      <c r="E1087" s="8"/>
      <c r="F1087" s="8"/>
      <c r="G1087" s="8"/>
      <c r="H1087" s="8"/>
      <c r="I1087" s="8"/>
      <c r="J1087" s="8"/>
      <c r="K1087" s="8"/>
      <c r="L1087" s="8"/>
      <c r="M1087" s="8"/>
      <c r="N1087" s="8"/>
      <c r="O1087" s="8"/>
      <c r="P1087" s="8"/>
      <c r="Q1087" s="8"/>
      <c r="R1087" s="8"/>
      <c r="S1087" s="8"/>
      <c r="T1087" s="8"/>
      <c r="U1087" s="8"/>
      <c r="V1087" s="8"/>
      <c r="W1087" s="8"/>
      <c r="X1087" s="8"/>
    </row>
    <row r="1088" spans="1:24" ht="12.75" customHeight="1">
      <c r="A1088" s="8"/>
      <c r="B1088" s="8"/>
      <c r="C1088" s="30"/>
      <c r="D1088" s="8"/>
      <c r="E1088" s="8"/>
      <c r="F1088" s="8"/>
      <c r="G1088" s="8"/>
      <c r="H1088" s="8"/>
      <c r="I1088" s="8"/>
      <c r="J1088" s="8"/>
      <c r="K1088" s="8"/>
      <c r="L1088" s="8"/>
      <c r="M1088" s="8"/>
      <c r="N1088" s="8"/>
      <c r="O1088" s="8"/>
      <c r="P1088" s="8"/>
      <c r="Q1088" s="8"/>
      <c r="R1088" s="8"/>
      <c r="S1088" s="8"/>
      <c r="T1088" s="8"/>
      <c r="U1088" s="8"/>
      <c r="V1088" s="8"/>
      <c r="W1088" s="8"/>
      <c r="X1088" s="8"/>
    </row>
    <row r="1089" spans="1:24" ht="12.75" customHeight="1">
      <c r="A1089" s="8"/>
      <c r="B1089" s="8"/>
      <c r="C1089" s="30"/>
      <c r="D1089" s="8"/>
      <c r="E1089" s="8"/>
      <c r="F1089" s="8"/>
      <c r="G1089" s="8"/>
      <c r="H1089" s="8"/>
      <c r="I1089" s="8"/>
      <c r="J1089" s="8"/>
      <c r="K1089" s="8"/>
      <c r="L1089" s="8"/>
      <c r="M1089" s="8"/>
      <c r="N1089" s="8"/>
      <c r="O1089" s="8"/>
      <c r="P1089" s="8"/>
      <c r="Q1089" s="8"/>
      <c r="R1089" s="8"/>
      <c r="S1089" s="8"/>
      <c r="T1089" s="8"/>
      <c r="U1089" s="8"/>
      <c r="V1089" s="8"/>
      <c r="W1089" s="8"/>
      <c r="X1089" s="8"/>
    </row>
    <row r="1090" spans="1:24" ht="12.75" customHeight="1">
      <c r="A1090" s="8"/>
      <c r="B1090" s="8"/>
      <c r="C1090" s="30"/>
      <c r="D1090" s="8"/>
      <c r="E1090" s="8"/>
      <c r="F1090" s="8"/>
      <c r="G1090" s="8"/>
      <c r="H1090" s="8"/>
      <c r="I1090" s="8"/>
      <c r="J1090" s="8"/>
      <c r="K1090" s="8"/>
      <c r="L1090" s="8"/>
      <c r="M1090" s="8"/>
      <c r="N1090" s="8"/>
      <c r="O1090" s="8"/>
      <c r="P1090" s="8"/>
      <c r="Q1090" s="8"/>
      <c r="R1090" s="8"/>
      <c r="S1090" s="8"/>
      <c r="T1090" s="8"/>
      <c r="U1090" s="8"/>
      <c r="V1090" s="8"/>
      <c r="W1090" s="8"/>
      <c r="X1090" s="8"/>
    </row>
    <row r="1091" spans="1:24" ht="12.75" customHeight="1">
      <c r="A1091" s="8"/>
      <c r="B1091" s="8"/>
      <c r="C1091" s="30"/>
      <c r="D1091" s="8"/>
      <c r="E1091" s="8"/>
      <c r="F1091" s="8"/>
      <c r="G1091" s="8"/>
      <c r="H1091" s="8"/>
      <c r="I1091" s="8"/>
      <c r="J1091" s="8"/>
      <c r="K1091" s="8"/>
      <c r="L1091" s="8"/>
      <c r="M1091" s="8"/>
      <c r="N1091" s="8"/>
      <c r="O1091" s="8"/>
      <c r="P1091" s="8"/>
      <c r="Q1091" s="8"/>
      <c r="R1091" s="8"/>
      <c r="S1091" s="8"/>
      <c r="T1091" s="8"/>
      <c r="U1091" s="8"/>
      <c r="V1091" s="8"/>
      <c r="W1091" s="8"/>
      <c r="X1091" s="8"/>
    </row>
    <row r="1092" spans="1:24" ht="12.75" customHeight="1">
      <c r="A1092" s="8"/>
      <c r="B1092" s="8"/>
      <c r="C1092" s="30"/>
      <c r="D1092" s="8"/>
      <c r="E1092" s="8"/>
      <c r="F1092" s="8"/>
      <c r="G1092" s="8"/>
      <c r="H1092" s="8"/>
      <c r="I1092" s="8"/>
      <c r="J1092" s="8"/>
      <c r="K1092" s="8"/>
      <c r="L1092" s="8"/>
      <c r="M1092" s="8"/>
      <c r="N1092" s="8"/>
      <c r="O1092" s="8"/>
      <c r="P1092" s="8"/>
      <c r="Q1092" s="8"/>
      <c r="R1092" s="8"/>
      <c r="S1092" s="8"/>
      <c r="T1092" s="8"/>
      <c r="U1092" s="8"/>
      <c r="V1092" s="8"/>
      <c r="W1092" s="8"/>
      <c r="X1092" s="8"/>
    </row>
    <row r="1093" spans="1:24" ht="12.75" customHeight="1">
      <c r="A1093" s="8"/>
      <c r="B1093" s="8"/>
      <c r="C1093" s="30"/>
      <c r="D1093" s="8"/>
      <c r="E1093" s="8"/>
      <c r="F1093" s="8"/>
      <c r="G1093" s="8"/>
      <c r="H1093" s="8"/>
      <c r="I1093" s="8"/>
      <c r="J1093" s="8"/>
      <c r="K1093" s="8"/>
      <c r="L1093" s="8"/>
      <c r="M1093" s="8"/>
      <c r="N1093" s="8"/>
      <c r="O1093" s="8"/>
      <c r="P1093" s="8"/>
      <c r="Q1093" s="8"/>
      <c r="R1093" s="8"/>
      <c r="S1093" s="8"/>
      <c r="T1093" s="8"/>
      <c r="U1093" s="8"/>
      <c r="V1093" s="8"/>
      <c r="W1093" s="8"/>
      <c r="X1093" s="8"/>
    </row>
    <row r="1094" spans="1:24" ht="12.75" customHeight="1">
      <c r="A1094" s="8"/>
      <c r="B1094" s="8"/>
      <c r="C1094" s="30"/>
      <c r="D1094" s="8"/>
      <c r="E1094" s="8"/>
      <c r="F1094" s="8"/>
      <c r="G1094" s="8"/>
      <c r="H1094" s="8"/>
      <c r="I1094" s="8"/>
      <c r="J1094" s="8"/>
      <c r="K1094" s="8"/>
      <c r="L1094" s="8"/>
      <c r="M1094" s="8"/>
      <c r="N1094" s="8"/>
      <c r="O1094" s="8"/>
      <c r="P1094" s="8"/>
      <c r="Q1094" s="8"/>
      <c r="R1094" s="8"/>
      <c r="S1094" s="8"/>
      <c r="T1094" s="8"/>
      <c r="U1094" s="8"/>
      <c r="V1094" s="8"/>
      <c r="W1094" s="8"/>
      <c r="X1094" s="8"/>
    </row>
    <row r="1095" spans="1:24" ht="12.75" customHeight="1">
      <c r="A1095" s="8"/>
      <c r="B1095" s="8"/>
      <c r="C1095" s="30"/>
      <c r="D1095" s="8"/>
      <c r="E1095" s="8"/>
      <c r="F1095" s="8"/>
      <c r="G1095" s="8"/>
      <c r="H1095" s="8"/>
      <c r="I1095" s="8"/>
      <c r="J1095" s="8"/>
      <c r="K1095" s="8"/>
      <c r="L1095" s="8"/>
      <c r="M1095" s="8"/>
      <c r="N1095" s="8"/>
      <c r="O1095" s="8"/>
      <c r="P1095" s="8"/>
      <c r="Q1095" s="8"/>
      <c r="R1095" s="8"/>
      <c r="S1095" s="8"/>
      <c r="T1095" s="8"/>
      <c r="U1095" s="8"/>
      <c r="V1095" s="8"/>
      <c r="W1095" s="8"/>
      <c r="X1095" s="8"/>
    </row>
    <row r="1096" spans="1:24" ht="12.75" customHeight="1">
      <c r="A1096" s="8"/>
      <c r="B1096" s="8"/>
      <c r="C1096" s="30"/>
      <c r="D1096" s="8"/>
      <c r="E1096" s="8"/>
      <c r="F1096" s="8"/>
      <c r="G1096" s="8"/>
      <c r="H1096" s="8"/>
      <c r="I1096" s="8"/>
      <c r="J1096" s="8"/>
      <c r="K1096" s="8"/>
      <c r="L1096" s="8"/>
      <c r="M1096" s="8"/>
      <c r="N1096" s="8"/>
      <c r="O1096" s="8"/>
      <c r="P1096" s="8"/>
      <c r="Q1096" s="8"/>
      <c r="R1096" s="8"/>
      <c r="S1096" s="8"/>
      <c r="T1096" s="8"/>
      <c r="U1096" s="8"/>
      <c r="V1096" s="8"/>
      <c r="W1096" s="8"/>
      <c r="X1096" s="8"/>
    </row>
    <row r="1097" spans="1:24" ht="12.75" customHeight="1">
      <c r="A1097" s="8"/>
      <c r="B1097" s="8"/>
      <c r="C1097" s="30"/>
      <c r="D1097" s="8"/>
      <c r="E1097" s="8"/>
      <c r="F1097" s="8"/>
      <c r="G1097" s="8"/>
      <c r="H1097" s="8"/>
      <c r="I1097" s="8"/>
      <c r="J1097" s="8"/>
      <c r="K1097" s="8"/>
      <c r="L1097" s="8"/>
      <c r="M1097" s="8"/>
      <c r="N1097" s="8"/>
      <c r="O1097" s="8"/>
      <c r="P1097" s="8"/>
      <c r="Q1097" s="8"/>
      <c r="R1097" s="8"/>
      <c r="S1097" s="8"/>
      <c r="T1097" s="8"/>
      <c r="U1097" s="8"/>
      <c r="V1097" s="8"/>
      <c r="W1097" s="8"/>
      <c r="X1097" s="8"/>
    </row>
    <row r="1098" spans="1:24" ht="12.75" customHeight="1">
      <c r="A1098" s="8"/>
      <c r="B1098" s="8"/>
      <c r="C1098" s="30"/>
      <c r="D1098" s="8"/>
      <c r="E1098" s="8"/>
      <c r="F1098" s="8"/>
      <c r="G1098" s="8"/>
      <c r="H1098" s="8"/>
      <c r="I1098" s="8"/>
      <c r="J1098" s="8"/>
      <c r="K1098" s="8"/>
      <c r="L1098" s="8"/>
      <c r="M1098" s="8"/>
      <c r="N1098" s="8"/>
      <c r="O1098" s="8"/>
      <c r="P1098" s="8"/>
      <c r="Q1098" s="8"/>
      <c r="R1098" s="8"/>
      <c r="S1098" s="8"/>
      <c r="T1098" s="8"/>
      <c r="U1098" s="8"/>
      <c r="V1098" s="8"/>
      <c r="W1098" s="8"/>
      <c r="X1098" s="8"/>
    </row>
    <row r="1099" spans="1:24" ht="12.75" customHeight="1">
      <c r="A1099" s="8"/>
      <c r="B1099" s="8"/>
      <c r="C1099" s="30"/>
      <c r="D1099" s="8"/>
      <c r="E1099" s="8"/>
      <c r="F1099" s="8"/>
      <c r="G1099" s="8"/>
      <c r="H1099" s="8"/>
      <c r="I1099" s="8"/>
      <c r="J1099" s="8"/>
      <c r="K1099" s="8"/>
      <c r="L1099" s="8"/>
      <c r="M1099" s="8"/>
      <c r="N1099" s="8"/>
      <c r="O1099" s="8"/>
      <c r="P1099" s="8"/>
      <c r="Q1099" s="8"/>
      <c r="R1099" s="8"/>
      <c r="S1099" s="8"/>
      <c r="T1099" s="8"/>
      <c r="U1099" s="8"/>
      <c r="V1099" s="8"/>
      <c r="W1099" s="8"/>
      <c r="X1099" s="8"/>
    </row>
    <row r="1100" spans="1:24" ht="12.75" customHeight="1">
      <c r="A1100" s="8"/>
      <c r="B1100" s="8"/>
      <c r="C1100" s="30"/>
      <c r="D1100" s="8"/>
      <c r="E1100" s="8"/>
      <c r="F1100" s="8"/>
      <c r="G1100" s="8"/>
      <c r="H1100" s="8"/>
      <c r="I1100" s="8"/>
      <c r="J1100" s="8"/>
      <c r="K1100" s="8"/>
      <c r="L1100" s="8"/>
      <c r="M1100" s="8"/>
      <c r="N1100" s="8"/>
      <c r="O1100" s="8"/>
      <c r="P1100" s="8"/>
      <c r="Q1100" s="8"/>
      <c r="R1100" s="8"/>
      <c r="S1100" s="8"/>
      <c r="T1100" s="8"/>
      <c r="U1100" s="8"/>
      <c r="V1100" s="8"/>
      <c r="W1100" s="8"/>
      <c r="X1100" s="8"/>
    </row>
    <row r="1101" spans="1:24" ht="12.75" customHeight="1">
      <c r="A1101" s="8"/>
      <c r="B1101" s="8"/>
      <c r="C1101" s="30"/>
      <c r="D1101" s="8"/>
      <c r="E1101" s="8"/>
      <c r="F1101" s="8"/>
      <c r="G1101" s="8"/>
      <c r="H1101" s="8"/>
      <c r="I1101" s="8"/>
      <c r="J1101" s="8"/>
      <c r="K1101" s="8"/>
      <c r="L1101" s="8"/>
      <c r="M1101" s="8"/>
      <c r="N1101" s="8"/>
      <c r="O1101" s="8"/>
      <c r="P1101" s="8"/>
      <c r="Q1101" s="8"/>
      <c r="R1101" s="8"/>
      <c r="S1101" s="8"/>
      <c r="T1101" s="8"/>
      <c r="U1101" s="8"/>
      <c r="V1101" s="8"/>
      <c r="W1101" s="8"/>
      <c r="X1101" s="8"/>
    </row>
    <row r="1102" spans="1:24" ht="12.75" customHeight="1">
      <c r="A1102" s="8"/>
      <c r="B1102" s="8"/>
      <c r="C1102" s="30"/>
      <c r="D1102" s="8"/>
      <c r="E1102" s="8"/>
      <c r="F1102" s="8"/>
      <c r="G1102" s="8"/>
      <c r="H1102" s="8"/>
      <c r="I1102" s="8"/>
      <c r="J1102" s="8"/>
      <c r="K1102" s="8"/>
      <c r="L1102" s="8"/>
      <c r="M1102" s="8"/>
      <c r="N1102" s="8"/>
      <c r="O1102" s="8"/>
      <c r="P1102" s="8"/>
      <c r="Q1102" s="8"/>
      <c r="R1102" s="8"/>
      <c r="S1102" s="8"/>
      <c r="T1102" s="8"/>
      <c r="U1102" s="8"/>
      <c r="V1102" s="8"/>
      <c r="W1102" s="8"/>
      <c r="X1102" s="8"/>
    </row>
    <row r="1103" spans="1:24" ht="15" customHeight="1"/>
  </sheetData>
  <mergeCells count="39">
    <mergeCell ref="A675:B675"/>
    <mergeCell ref="A509:B509"/>
    <mergeCell ref="A529:B529"/>
    <mergeCell ref="A535:B535"/>
    <mergeCell ref="A556:B556"/>
    <mergeCell ref="A572:B572"/>
    <mergeCell ref="A588:B588"/>
    <mergeCell ref="A643:B643"/>
    <mergeCell ref="A323:B323"/>
    <mergeCell ref="A343:B343"/>
    <mergeCell ref="A440:B440"/>
    <mergeCell ref="A460:B460"/>
    <mergeCell ref="A465:B465"/>
    <mergeCell ref="A364:B364"/>
    <mergeCell ref="A381:B381"/>
    <mergeCell ref="A400:B400"/>
    <mergeCell ref="A405:B405"/>
    <mergeCell ref="A422:B422"/>
    <mergeCell ref="A198:B199"/>
    <mergeCell ref="A206:B206"/>
    <mergeCell ref="A244:B244"/>
    <mergeCell ref="A274:B274"/>
    <mergeCell ref="A295:B295"/>
    <mergeCell ref="A356:B357"/>
    <mergeCell ref="A414:B415"/>
    <mergeCell ref="A11:B11"/>
    <mergeCell ref="A58:B58"/>
    <mergeCell ref="A3:B4"/>
    <mergeCell ref="A78:B78"/>
    <mergeCell ref="A89:B90"/>
    <mergeCell ref="A97:B97"/>
    <mergeCell ref="A33:B33"/>
    <mergeCell ref="A270:B270"/>
    <mergeCell ref="A110:B110"/>
    <mergeCell ref="A124:B124"/>
    <mergeCell ref="A139:B139"/>
    <mergeCell ref="A162:B162"/>
    <mergeCell ref="A183:B183"/>
    <mergeCell ref="A189:B189"/>
  </mergeCells>
  <phoneticPr fontId="99" type="noConversion"/>
  <printOptions horizontalCentered="1"/>
  <pageMargins left="0.78740157480314965" right="0.59055118110236227" top="0.78740157480314965" bottom="0.78740157480314965" header="0.31496062992125984" footer="0.31496062992125984"/>
  <pageSetup paperSize="9" orientation="portrait" horizontalDpi="0" verticalDpi="0" r:id="rId1"/>
  <headerFooter>
    <oddHeader>&amp;L&amp;"Arial Narrow,Negrita"MUNICIPALIDAD DE VILLA MARÍA&amp;R&amp;"Arial Narrow,Negrita"PRESUPUESTO 2024</oddHeader>
    <oddFooter>&amp;R&amp;"Arial Narrow,Normal"&amp;P</oddFooter>
  </headerFooter>
  <rowBreaks count="5" manualBreakCount="5">
    <brk id="57" max="2" man="1"/>
    <brk id="168" max="2" man="1"/>
    <brk id="223" max="2" man="1"/>
    <brk id="277" max="2" man="1"/>
    <brk id="443"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FF33"/>
  </sheetPr>
  <dimension ref="A1:AH733"/>
  <sheetViews>
    <sheetView zoomScaleNormal="100" zoomScaleSheetLayoutView="75" workbookViewId="0">
      <selection activeCell="E8" sqref="E8"/>
    </sheetView>
  </sheetViews>
  <sheetFormatPr baseColWidth="10" defaultColWidth="14.42578125" defaultRowHeight="15" customHeight="1"/>
  <cols>
    <col min="1" max="1" width="10.7109375" customWidth="1"/>
    <col min="2" max="2" width="50.7109375" customWidth="1"/>
    <col min="3" max="3" width="15.7109375" customWidth="1"/>
    <col min="4" max="12" width="17.28515625" customWidth="1"/>
    <col min="13" max="24" width="11.42578125" customWidth="1"/>
  </cols>
  <sheetData>
    <row r="1" spans="1:34" ht="15" customHeight="1" thickBot="1">
      <c r="A1" s="1555" t="s">
        <v>980</v>
      </c>
      <c r="B1" s="1556"/>
      <c r="C1" s="1557"/>
    </row>
    <row r="2" spans="1:34" ht="13.5" customHeight="1" thickBot="1">
      <c r="D2" s="10"/>
      <c r="E2" s="10"/>
      <c r="F2" s="10"/>
      <c r="G2" s="10"/>
      <c r="H2" s="10"/>
      <c r="I2" s="10"/>
      <c r="J2" s="10"/>
      <c r="K2" s="10"/>
      <c r="L2" s="10"/>
      <c r="M2" s="13"/>
      <c r="N2" s="13"/>
      <c r="O2" s="13"/>
      <c r="P2" s="13"/>
      <c r="Q2" s="13"/>
      <c r="R2" s="13"/>
      <c r="S2" s="13"/>
      <c r="T2" s="13"/>
      <c r="U2" s="13"/>
      <c r="V2" s="13"/>
      <c r="W2" s="13"/>
      <c r="X2" s="13"/>
    </row>
    <row r="3" spans="1:34" ht="13.5" customHeight="1">
      <c r="A3" s="1403" t="s">
        <v>933</v>
      </c>
      <c r="B3" s="1440"/>
      <c r="C3" s="1174">
        <v>1801</v>
      </c>
      <c r="D3" s="29"/>
      <c r="E3" s="29"/>
      <c r="F3" s="105"/>
      <c r="G3" s="105"/>
      <c r="H3" s="105"/>
      <c r="I3" s="105"/>
      <c r="J3" s="9"/>
      <c r="K3" s="9"/>
      <c r="L3" s="9"/>
      <c r="M3" s="9"/>
      <c r="N3" s="9"/>
      <c r="O3" s="9"/>
      <c r="P3" s="9"/>
      <c r="Q3" s="9"/>
      <c r="R3" s="9"/>
      <c r="S3" s="9"/>
      <c r="T3" s="9"/>
      <c r="U3" s="9"/>
      <c r="V3" s="9"/>
      <c r="W3" s="9"/>
      <c r="X3" s="9"/>
      <c r="Y3" s="9"/>
      <c r="Z3" s="9"/>
      <c r="AA3" s="9"/>
      <c r="AB3" s="9"/>
      <c r="AC3" s="9"/>
      <c r="AD3" s="9"/>
      <c r="AE3" s="9"/>
      <c r="AF3" s="9"/>
      <c r="AG3" s="9"/>
      <c r="AH3" s="9"/>
    </row>
    <row r="4" spans="1:34" ht="13.5" customHeight="1" thickBot="1">
      <c r="A4" s="1441"/>
      <c r="B4" s="1442"/>
      <c r="C4" s="1175"/>
      <c r="D4" s="29"/>
      <c r="E4" s="29"/>
      <c r="F4" s="105"/>
      <c r="G4" s="105"/>
      <c r="H4" s="105"/>
      <c r="I4" s="105"/>
      <c r="J4" s="9"/>
      <c r="K4" s="9"/>
      <c r="L4" s="9"/>
      <c r="M4" s="9"/>
      <c r="N4" s="9"/>
      <c r="O4" s="9"/>
      <c r="P4" s="9"/>
      <c r="Q4" s="9"/>
      <c r="R4" s="9"/>
      <c r="S4" s="9"/>
      <c r="T4" s="9"/>
      <c r="U4" s="9"/>
      <c r="V4" s="9"/>
      <c r="W4" s="9"/>
      <c r="X4" s="9"/>
      <c r="Y4" s="9"/>
      <c r="Z4" s="9"/>
      <c r="AA4" s="9"/>
      <c r="AB4" s="9"/>
      <c r="AC4" s="9"/>
      <c r="AD4" s="9"/>
      <c r="AE4" s="9"/>
      <c r="AF4" s="9"/>
      <c r="AG4" s="9"/>
      <c r="AH4" s="9"/>
    </row>
    <row r="5" spans="1:34" ht="13.5" customHeight="1">
      <c r="A5" s="1122" t="s">
        <v>675</v>
      </c>
      <c r="B5" s="1123"/>
      <c r="C5" s="1029"/>
      <c r="D5" s="40"/>
      <c r="E5" s="40"/>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1:34" ht="13.5" customHeight="1">
      <c r="A6" s="1028" t="s">
        <v>82</v>
      </c>
      <c r="B6" s="1072"/>
      <c r="C6" s="1029"/>
      <c r="D6" s="40"/>
      <c r="E6" s="40"/>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1:34" ht="13.5" customHeight="1">
      <c r="A7" s="1028" t="s">
        <v>936</v>
      </c>
      <c r="B7" s="1072"/>
      <c r="C7" s="1029"/>
      <c r="D7" s="40"/>
      <c r="E7" s="40"/>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row>
    <row r="8" spans="1:34" ht="13.5" customHeight="1" thickBot="1">
      <c r="A8" s="1125" t="s">
        <v>59</v>
      </c>
      <c r="B8" s="983"/>
      <c r="C8" s="1101"/>
      <c r="D8" s="40"/>
      <c r="E8" s="40"/>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1:34" ht="13.5" customHeight="1" thickBot="1">
      <c r="A9" s="1171" t="s">
        <v>60</v>
      </c>
      <c r="B9" s="1172"/>
      <c r="C9" s="1173">
        <f>+C11+C34+C52+C74</f>
        <v>232136880.13600001</v>
      </c>
      <c r="D9" s="50"/>
      <c r="E9" s="50"/>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row>
    <row r="10" spans="1:34" ht="13.5" customHeight="1" thickBot="1">
      <c r="A10" s="21"/>
      <c r="B10" s="119"/>
      <c r="C10" s="970"/>
      <c r="D10" s="1618"/>
      <c r="E10" s="1618"/>
      <c r="F10" s="1618"/>
      <c r="G10" s="1618"/>
      <c r="H10" s="1618"/>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row>
    <row r="11" spans="1:34" ht="13.5" customHeight="1" thickBot="1">
      <c r="A11" s="1434" t="s">
        <v>2</v>
      </c>
      <c r="B11" s="1416"/>
      <c r="C11" s="1624">
        <f>C12+C19+C26</f>
        <v>121808380.13600001</v>
      </c>
      <c r="D11" s="1613"/>
      <c r="E11" s="1613"/>
      <c r="F11" s="1613"/>
      <c r="G11" s="1613"/>
      <c r="H11" s="16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row>
    <row r="12" spans="1:34" ht="13.5" customHeight="1">
      <c r="A12" s="48">
        <v>211101</v>
      </c>
      <c r="B12" s="22" t="s">
        <v>667</v>
      </c>
      <c r="C12" s="970">
        <f>SUM(C13:C18)</f>
        <v>7178517.9120000005</v>
      </c>
      <c r="D12" s="1615"/>
      <c r="E12" s="1615"/>
      <c r="F12" s="1615"/>
      <c r="G12" s="1615"/>
      <c r="H12" s="1615"/>
      <c r="I12" s="7"/>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ht="12.75" customHeight="1">
      <c r="A13" s="33">
        <v>21110101</v>
      </c>
      <c r="B13" s="24" t="s">
        <v>810</v>
      </c>
      <c r="C13" s="809">
        <v>5886763.1680000005</v>
      </c>
      <c r="D13" s="1615"/>
      <c r="E13" s="1615"/>
      <c r="F13" s="1615"/>
      <c r="G13" s="1615"/>
      <c r="H13" s="1615"/>
      <c r="I13" s="81"/>
      <c r="J13" s="81"/>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1:34" ht="12.75" customHeight="1">
      <c r="A14" s="33">
        <v>21110102</v>
      </c>
      <c r="B14" s="24" t="s">
        <v>811</v>
      </c>
      <c r="C14" s="809">
        <v>937822.28800000018</v>
      </c>
      <c r="D14" s="1615"/>
      <c r="E14" s="1615"/>
      <c r="F14" s="1617"/>
      <c r="G14" s="1615"/>
      <c r="H14" s="1615"/>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row>
    <row r="15" spans="1:34" ht="12.75" customHeight="1">
      <c r="A15" s="33">
        <v>21110103</v>
      </c>
      <c r="B15" s="24" t="s">
        <v>812</v>
      </c>
      <c r="C15" s="809">
        <v>186621.65600000002</v>
      </c>
      <c r="D15" s="1649"/>
      <c r="E15" s="1649"/>
      <c r="F15" s="1620"/>
      <c r="G15" s="1620"/>
      <c r="H15" s="1620"/>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row>
    <row r="16" spans="1:34" ht="12.75" customHeight="1">
      <c r="A16" s="33">
        <v>21110104</v>
      </c>
      <c r="B16" s="24" t="s">
        <v>813</v>
      </c>
      <c r="C16" s="24">
        <v>1</v>
      </c>
      <c r="D16" s="24"/>
      <c r="E16" s="24"/>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row>
    <row r="17" spans="1:34" ht="12.75" customHeight="1">
      <c r="A17" s="33">
        <v>21110105</v>
      </c>
      <c r="B17" s="24" t="s">
        <v>814</v>
      </c>
      <c r="C17" s="24">
        <v>167308.80000000002</v>
      </c>
      <c r="D17" s="26"/>
      <c r="E17" s="26"/>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row>
    <row r="18" spans="1:34" ht="12.75" customHeight="1">
      <c r="A18" s="33">
        <v>21110106</v>
      </c>
      <c r="B18" s="24" t="s">
        <v>815</v>
      </c>
      <c r="C18" s="24">
        <v>1</v>
      </c>
      <c r="D18" s="26"/>
      <c r="E18" s="26"/>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row>
    <row r="19" spans="1:34" ht="12.75" customHeight="1">
      <c r="A19" s="48">
        <v>211102</v>
      </c>
      <c r="B19" s="26" t="s">
        <v>668</v>
      </c>
      <c r="C19" s="26">
        <f>SUM(C20:C25)</f>
        <v>106663426.464</v>
      </c>
      <c r="D19" s="26"/>
      <c r="E19" s="26"/>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row>
    <row r="20" spans="1:34" ht="12.75" customHeight="1">
      <c r="A20" s="33">
        <v>21110201</v>
      </c>
      <c r="B20" s="24" t="s">
        <v>816</v>
      </c>
      <c r="C20" s="24">
        <f>30000000+59039844.032</f>
        <v>89039844.032000005</v>
      </c>
      <c r="D20" s="26"/>
      <c r="E20" s="26"/>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row>
    <row r="21" spans="1:34" ht="12.75" customHeight="1">
      <c r="A21" s="33">
        <v>21110202</v>
      </c>
      <c r="B21" s="24" t="s">
        <v>817</v>
      </c>
      <c r="C21" s="24">
        <f>6000000+10077561.608</f>
        <v>16077561.607999999</v>
      </c>
      <c r="D21" s="26"/>
      <c r="E21" s="26"/>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row>
    <row r="22" spans="1:34" ht="12.75" customHeight="1">
      <c r="A22" s="33">
        <v>21110203</v>
      </c>
      <c r="B22" s="24" t="s">
        <v>818</v>
      </c>
      <c r="C22" s="24">
        <v>1546017.824</v>
      </c>
      <c r="D22" s="26"/>
      <c r="E22" s="26"/>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row>
    <row r="23" spans="1:34" ht="12.75" customHeight="1">
      <c r="A23" s="33">
        <v>21110204</v>
      </c>
      <c r="B23" s="24" t="s">
        <v>819</v>
      </c>
      <c r="C23" s="24">
        <v>1</v>
      </c>
      <c r="D23" s="26"/>
      <c r="E23" s="26"/>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row>
    <row r="24" spans="1:34" ht="12.75" customHeight="1">
      <c r="A24" s="33">
        <v>21110205</v>
      </c>
      <c r="B24" s="24" t="s">
        <v>820</v>
      </c>
      <c r="C24" s="24">
        <v>1</v>
      </c>
      <c r="D24" s="26"/>
      <c r="E24" s="26"/>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1:34" ht="12.75" customHeight="1">
      <c r="A25" s="33">
        <v>21110206</v>
      </c>
      <c r="B25" s="24" t="s">
        <v>821</v>
      </c>
      <c r="C25" s="24">
        <v>1</v>
      </c>
      <c r="D25" s="26"/>
      <c r="E25" s="26"/>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row>
    <row r="26" spans="1:34" ht="12.75" customHeight="1">
      <c r="A26" s="48">
        <v>211103</v>
      </c>
      <c r="B26" s="26" t="s">
        <v>669</v>
      </c>
      <c r="C26" s="26">
        <f>SUM(C27:C32)</f>
        <v>7966435.7600000016</v>
      </c>
      <c r="D26" s="26"/>
      <c r="E26" s="26"/>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row>
    <row r="27" spans="1:34" ht="12.75" customHeight="1">
      <c r="A27" s="33">
        <v>21110301</v>
      </c>
      <c r="B27" s="24" t="s">
        <v>822</v>
      </c>
      <c r="C27" s="24">
        <v>6648043.8960000016</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1:34" ht="12.75" customHeight="1">
      <c r="A28" s="33">
        <v>21110302</v>
      </c>
      <c r="B28" s="24" t="s">
        <v>823</v>
      </c>
      <c r="C28" s="24">
        <v>1109564.1440000001</v>
      </c>
      <c r="D28" s="24"/>
      <c r="E28" s="24"/>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34" ht="12.75" customHeight="1">
      <c r="A29" s="33">
        <v>21110303</v>
      </c>
      <c r="B29" s="24" t="s">
        <v>824</v>
      </c>
      <c r="C29" s="24">
        <v>208824.72</v>
      </c>
      <c r="D29" s="10"/>
      <c r="E29" s="10"/>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row>
    <row r="30" spans="1:34" ht="12.75" customHeight="1">
      <c r="A30" s="33">
        <v>21110304</v>
      </c>
      <c r="B30" s="24" t="s">
        <v>825</v>
      </c>
      <c r="C30" s="24">
        <v>1</v>
      </c>
      <c r="D30" s="10"/>
      <c r="E30" s="10"/>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row>
    <row r="31" spans="1:34" ht="12.75" customHeight="1">
      <c r="A31" s="33">
        <v>21110305</v>
      </c>
      <c r="B31" s="24" t="s">
        <v>826</v>
      </c>
      <c r="C31" s="24">
        <v>1</v>
      </c>
      <c r="D31" s="10"/>
      <c r="E31" s="10"/>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2" spans="1:34" ht="12.75" customHeight="1">
      <c r="A32" s="33">
        <v>21110306</v>
      </c>
      <c r="B32" s="24" t="s">
        <v>670</v>
      </c>
      <c r="C32" s="24">
        <v>1</v>
      </c>
      <c r="D32" s="30"/>
      <c r="E32" s="30"/>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row>
    <row r="33" spans="1:34" ht="12.75" customHeight="1" thickBot="1">
      <c r="A33" s="23"/>
      <c r="B33" s="24"/>
      <c r="C33" s="24"/>
      <c r="D33" s="120"/>
      <c r="E33" s="120"/>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row>
    <row r="34" spans="1:34" ht="13.5" customHeight="1" thickBot="1">
      <c r="A34" s="1297" t="s">
        <v>9</v>
      </c>
      <c r="B34" s="1281"/>
      <c r="C34" s="121">
        <f>C35+C37+C39+C41+C45+C47</f>
        <v>6565000</v>
      </c>
      <c r="D34" s="40"/>
      <c r="E34" s="40"/>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row>
    <row r="35" spans="1:34" ht="13.5" customHeight="1">
      <c r="A35" s="48">
        <v>211201</v>
      </c>
      <c r="B35" s="22" t="s">
        <v>459</v>
      </c>
      <c r="C35" s="49">
        <f>C36</f>
        <v>2273000</v>
      </c>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row>
    <row r="36" spans="1:34" ht="13.5" customHeight="1">
      <c r="A36" s="1053">
        <v>21120101</v>
      </c>
      <c r="B36" s="13" t="s">
        <v>460</v>
      </c>
      <c r="C36" s="25">
        <f>273000+2000000</f>
        <v>2273000</v>
      </c>
      <c r="D36" s="10"/>
      <c r="E36" s="1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row>
    <row r="37" spans="1:34" ht="13.5" customHeight="1">
      <c r="A37" s="1052">
        <v>211203</v>
      </c>
      <c r="B37" s="15" t="s">
        <v>461</v>
      </c>
      <c r="C37" s="49">
        <f>C38</f>
        <v>150000</v>
      </c>
      <c r="D37" s="10"/>
      <c r="E37" s="1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row>
    <row r="38" spans="1:34" ht="13.5" customHeight="1">
      <c r="A38" s="1053">
        <v>21120302</v>
      </c>
      <c r="B38" s="13" t="s">
        <v>462</v>
      </c>
      <c r="C38" s="14">
        <v>150000</v>
      </c>
      <c r="D38" s="122"/>
      <c r="E38" s="122"/>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row>
    <row r="39" spans="1:34" ht="13.5" customHeight="1">
      <c r="A39" s="1052" t="s">
        <v>830</v>
      </c>
      <c r="B39" s="15" t="s">
        <v>463</v>
      </c>
      <c r="C39" s="16">
        <f>C40</f>
        <v>3702500</v>
      </c>
      <c r="D39" s="122"/>
      <c r="E39" s="122"/>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4" ht="13.5" customHeight="1">
      <c r="A40" s="1053" t="s">
        <v>831</v>
      </c>
      <c r="B40" s="24" t="s">
        <v>464</v>
      </c>
      <c r="C40" s="24">
        <f>2000000+1702500</f>
        <v>3702500</v>
      </c>
      <c r="D40" s="122"/>
      <c r="E40" s="122"/>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4" ht="13.5" customHeight="1">
      <c r="A41" s="1052" t="s">
        <v>835</v>
      </c>
      <c r="B41" s="26" t="s">
        <v>467</v>
      </c>
      <c r="C41" s="26">
        <f>+SUM(C42:C44)</f>
        <v>137000</v>
      </c>
      <c r="D41" s="122"/>
      <c r="E41" s="122"/>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row>
    <row r="42" spans="1:34" ht="13.5" customHeight="1">
      <c r="A42" s="1053" t="s">
        <v>834</v>
      </c>
      <c r="B42" s="24" t="s">
        <v>468</v>
      </c>
      <c r="C42" s="14">
        <v>70000</v>
      </c>
      <c r="D42" s="122"/>
      <c r="E42" s="122"/>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4" ht="13.5" customHeight="1">
      <c r="A43" s="1053" t="s">
        <v>836</v>
      </c>
      <c r="B43" s="24" t="s">
        <v>471</v>
      </c>
      <c r="C43" s="24">
        <v>50000</v>
      </c>
      <c r="D43" s="122"/>
      <c r="E43" s="122"/>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row r="44" spans="1:34" ht="13.5" customHeight="1">
      <c r="A44" s="1053" t="s">
        <v>837</v>
      </c>
      <c r="B44" s="24" t="s">
        <v>473</v>
      </c>
      <c r="C44" s="24">
        <v>17000</v>
      </c>
      <c r="D44" s="122"/>
      <c r="E44" s="122"/>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row r="45" spans="1:34" ht="13.5" customHeight="1">
      <c r="A45" s="1052" t="s">
        <v>839</v>
      </c>
      <c r="B45" s="26" t="s">
        <v>474</v>
      </c>
      <c r="C45" s="16">
        <f>C46</f>
        <v>80000</v>
      </c>
      <c r="D45" s="122"/>
      <c r="E45" s="122"/>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34" ht="13.5" customHeight="1">
      <c r="A46" s="1053" t="s">
        <v>838</v>
      </c>
      <c r="B46" s="24" t="s">
        <v>476</v>
      </c>
      <c r="C46" s="14">
        <v>80000</v>
      </c>
      <c r="D46" s="122"/>
      <c r="E46" s="122"/>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34" ht="13.5" customHeight="1">
      <c r="A47" s="1052" t="s">
        <v>832</v>
      </c>
      <c r="B47" s="26" t="s">
        <v>477</v>
      </c>
      <c r="C47" s="16">
        <f>+SUM(C48:C50)</f>
        <v>222500</v>
      </c>
      <c r="D47" s="122"/>
      <c r="E47" s="122"/>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34" ht="13.5" customHeight="1">
      <c r="A48" s="1053" t="s">
        <v>840</v>
      </c>
      <c r="B48" s="24" t="s">
        <v>478</v>
      </c>
      <c r="C48" s="24">
        <v>154500</v>
      </c>
      <c r="D48" s="122"/>
      <c r="E48" s="122"/>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row>
    <row r="49" spans="1:34" ht="13.5" customHeight="1">
      <c r="A49" s="1053" t="s">
        <v>833</v>
      </c>
      <c r="B49" s="24" t="s">
        <v>479</v>
      </c>
      <c r="C49" s="14">
        <v>18000</v>
      </c>
      <c r="D49" s="122"/>
      <c r="E49" s="122"/>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ht="13.5" customHeight="1">
      <c r="A50" s="1053" t="s">
        <v>841</v>
      </c>
      <c r="B50" s="13" t="s">
        <v>480</v>
      </c>
      <c r="C50" s="24">
        <v>50000</v>
      </c>
      <c r="D50" s="122"/>
      <c r="E50" s="122"/>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row>
    <row r="51" spans="1:34" ht="13.5" customHeight="1" thickBot="1">
      <c r="A51" s="1053"/>
      <c r="B51" s="24"/>
      <c r="C51" s="14"/>
      <c r="D51" s="122"/>
      <c r="E51" s="122"/>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4" ht="13.5" customHeight="1" thickBot="1">
      <c r="A52" s="1298" t="s">
        <v>4</v>
      </c>
      <c r="B52" s="1281"/>
      <c r="C52" s="124">
        <f>C53+C55+C57+C60+C63+C68</f>
        <v>103313500</v>
      </c>
      <c r="D52" s="122"/>
      <c r="E52" s="122"/>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row>
    <row r="53" spans="1:34" ht="13.5" customHeight="1">
      <c r="A53" s="1056" t="s">
        <v>842</v>
      </c>
      <c r="B53" s="48" t="s">
        <v>481</v>
      </c>
      <c r="C53" s="49">
        <f>C54</f>
        <v>1415500</v>
      </c>
      <c r="D53" s="122"/>
      <c r="E53" s="122"/>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1:34" ht="13.5" customHeight="1">
      <c r="A54" s="1053" t="s">
        <v>843</v>
      </c>
      <c r="B54" s="24" t="s">
        <v>483</v>
      </c>
      <c r="C54" s="24">
        <v>1415500</v>
      </c>
      <c r="D54" s="122"/>
      <c r="E54" s="122"/>
      <c r="F54" s="14"/>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row>
    <row r="55" spans="1:34" ht="13.5" customHeight="1">
      <c r="A55" s="1056" t="s">
        <v>844</v>
      </c>
      <c r="B55" s="15" t="s">
        <v>489</v>
      </c>
      <c r="C55" s="26">
        <f>C56</f>
        <v>7297000</v>
      </c>
      <c r="D55" s="122"/>
      <c r="E55" s="122"/>
      <c r="F55" s="14"/>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1:34" ht="13.5" customHeight="1">
      <c r="A56" s="1055" t="s">
        <v>845</v>
      </c>
      <c r="B56" s="13" t="s">
        <v>491</v>
      </c>
      <c r="C56" s="51">
        <v>7297000</v>
      </c>
      <c r="D56" s="122"/>
      <c r="E56" s="122"/>
      <c r="F56" s="14"/>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1:34" ht="13.5" customHeight="1">
      <c r="A57" s="1056" t="s">
        <v>846</v>
      </c>
      <c r="B57" s="15" t="s">
        <v>492</v>
      </c>
      <c r="C57" s="26">
        <f>+SUM(C58:C59)</f>
        <v>3789000</v>
      </c>
      <c r="D57" s="122"/>
      <c r="E57" s="122"/>
      <c r="F57" s="14"/>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1:34" ht="13.5" customHeight="1">
      <c r="A58" s="1055" t="s">
        <v>847</v>
      </c>
      <c r="B58" s="13" t="s">
        <v>493</v>
      </c>
      <c r="C58" s="24">
        <v>70000</v>
      </c>
      <c r="D58" s="122"/>
      <c r="E58" s="122"/>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row>
    <row r="59" spans="1:34" ht="13.5" customHeight="1">
      <c r="A59" s="1053" t="s">
        <v>848</v>
      </c>
      <c r="B59" s="23" t="s">
        <v>557</v>
      </c>
      <c r="C59" s="24">
        <v>3719000</v>
      </c>
      <c r="D59" s="122"/>
      <c r="E59" s="122"/>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row>
    <row r="60" spans="1:34" ht="13.5" customHeight="1">
      <c r="A60" s="1056" t="s">
        <v>849</v>
      </c>
      <c r="B60" s="15" t="s">
        <v>494</v>
      </c>
      <c r="C60" s="26">
        <f>+SUM(C61:C62)</f>
        <v>474000</v>
      </c>
      <c r="D60" s="122"/>
      <c r="E60" s="122"/>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row>
    <row r="61" spans="1:34" ht="13.5" customHeight="1">
      <c r="A61" s="1055" t="s">
        <v>850</v>
      </c>
      <c r="B61" s="13" t="s">
        <v>495</v>
      </c>
      <c r="C61" s="24">
        <v>70000</v>
      </c>
      <c r="D61" s="122"/>
      <c r="E61" s="122"/>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row>
    <row r="62" spans="1:34" ht="13.5" customHeight="1">
      <c r="A62" s="1055" t="s">
        <v>851</v>
      </c>
      <c r="B62" s="13" t="s">
        <v>558</v>
      </c>
      <c r="C62" s="24">
        <v>404000</v>
      </c>
      <c r="D62" s="122"/>
      <c r="E62" s="122"/>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row>
    <row r="63" spans="1:34" ht="13.5" customHeight="1">
      <c r="A63" s="1052" t="s">
        <v>852</v>
      </c>
      <c r="B63" s="26" t="s">
        <v>559</v>
      </c>
      <c r="C63" s="26">
        <f>+SUM(C64:C67)</f>
        <v>80635500</v>
      </c>
      <c r="D63" s="122"/>
      <c r="E63" s="122"/>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1:34" ht="13.5" customHeight="1">
      <c r="A64" s="1053" t="s">
        <v>853</v>
      </c>
      <c r="B64" s="13" t="s">
        <v>560</v>
      </c>
      <c r="C64" s="24">
        <f>5000000+65000000</f>
        <v>70000000</v>
      </c>
      <c r="D64" s="122"/>
      <c r="E64" s="122"/>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1:34" ht="13.5" customHeight="1">
      <c r="A65" s="1053" t="s">
        <v>854</v>
      </c>
      <c r="B65" s="13" t="s">
        <v>561</v>
      </c>
      <c r="C65" s="24">
        <v>1250000</v>
      </c>
      <c r="D65" s="122"/>
      <c r="E65" s="122"/>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row>
    <row r="66" spans="1:34" ht="13.5" customHeight="1">
      <c r="A66" s="1053" t="s">
        <v>855</v>
      </c>
      <c r="B66" s="13" t="s">
        <v>562</v>
      </c>
      <c r="C66" s="24">
        <f>5000000+2885500</f>
        <v>7885500</v>
      </c>
      <c r="D66" s="122"/>
      <c r="E66" s="122"/>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row>
    <row r="67" spans="1:34" ht="13.5" customHeight="1">
      <c r="A67" s="1053" t="s">
        <v>856</v>
      </c>
      <c r="B67" s="13" t="s">
        <v>563</v>
      </c>
      <c r="C67" s="24">
        <v>1500000</v>
      </c>
      <c r="D67" s="122"/>
      <c r="E67" s="122"/>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1:34" ht="13.5" customHeight="1">
      <c r="A68" s="1056" t="s">
        <v>857</v>
      </c>
      <c r="B68" s="26" t="s">
        <v>496</v>
      </c>
      <c r="C68" s="26">
        <f>+SUM(C69:C72)</f>
        <v>9702500</v>
      </c>
      <c r="D68" s="122"/>
      <c r="E68" s="122"/>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row>
    <row r="69" spans="1:34" ht="13.5" customHeight="1">
      <c r="A69" s="1053" t="s">
        <v>858</v>
      </c>
      <c r="B69" s="24" t="s">
        <v>497</v>
      </c>
      <c r="C69" s="14">
        <f>5000000+4423500</f>
        <v>9423500</v>
      </c>
      <c r="D69" s="122"/>
      <c r="E69" s="122"/>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row>
    <row r="70" spans="1:34" ht="13.5" customHeight="1">
      <c r="A70" s="1053" t="s">
        <v>859</v>
      </c>
      <c r="B70" s="24" t="s">
        <v>498</v>
      </c>
      <c r="C70" s="14">
        <v>80000</v>
      </c>
      <c r="D70" s="122"/>
      <c r="E70" s="122"/>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row>
    <row r="71" spans="1:34" ht="13.5" customHeight="1">
      <c r="A71" s="1053" t="s">
        <v>860</v>
      </c>
      <c r="B71" s="13" t="s">
        <v>499</v>
      </c>
      <c r="C71" s="24">
        <v>70000</v>
      </c>
      <c r="D71" s="122"/>
      <c r="E71" s="122"/>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row>
    <row r="72" spans="1:34" ht="13.5" customHeight="1">
      <c r="A72" s="1053" t="s">
        <v>861</v>
      </c>
      <c r="B72" s="24" t="s">
        <v>500</v>
      </c>
      <c r="C72" s="24">
        <v>129000</v>
      </c>
      <c r="D72" s="122"/>
      <c r="E72" s="122"/>
      <c r="F72" s="13"/>
      <c r="G72" s="13"/>
      <c r="H72" s="14"/>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row>
    <row r="73" spans="1:34" ht="13.5" customHeight="1" thickBot="1">
      <c r="A73" s="1053"/>
      <c r="B73" s="24"/>
      <c r="C73" s="24"/>
      <c r="D73" s="122"/>
      <c r="E73" s="122"/>
      <c r="F73" s="13"/>
      <c r="G73" s="13"/>
      <c r="H73" s="14"/>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row>
    <row r="74" spans="1:34" ht="13.5" customHeight="1" thickBot="1">
      <c r="A74" s="1299" t="s">
        <v>48</v>
      </c>
      <c r="B74" s="1281"/>
      <c r="C74" s="125">
        <f>C75+C77</f>
        <v>450000</v>
      </c>
      <c r="D74" s="122"/>
      <c r="E74" s="122"/>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row>
    <row r="75" spans="1:34" ht="13.5" customHeight="1">
      <c r="A75" s="1052" t="s">
        <v>862</v>
      </c>
      <c r="B75" s="22" t="s">
        <v>510</v>
      </c>
      <c r="C75" s="49">
        <f>SUM(C76)</f>
        <v>380000</v>
      </c>
      <c r="D75" s="122"/>
      <c r="E75" s="122"/>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row>
    <row r="76" spans="1:34" ht="13.5" customHeight="1">
      <c r="A76" s="1055" t="s">
        <v>863</v>
      </c>
      <c r="B76" s="13" t="s">
        <v>511</v>
      </c>
      <c r="C76" s="14">
        <v>380000</v>
      </c>
      <c r="D76" s="122"/>
      <c r="E76" s="122"/>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ht="13.5" customHeight="1">
      <c r="A77" s="1052" t="s">
        <v>864</v>
      </c>
      <c r="B77" s="26" t="s">
        <v>514</v>
      </c>
      <c r="C77" s="16">
        <f>SUM(C78)</f>
        <v>70000</v>
      </c>
      <c r="D77" s="122"/>
      <c r="E77" s="122"/>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ht="13.5" customHeight="1">
      <c r="A78" s="1053" t="s">
        <v>865</v>
      </c>
      <c r="B78" s="24" t="s">
        <v>515</v>
      </c>
      <c r="C78" s="14">
        <v>70000</v>
      </c>
      <c r="D78" s="122"/>
      <c r="E78" s="122"/>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ht="13.5" customHeight="1">
      <c r="A79" s="33"/>
      <c r="B79" s="46"/>
      <c r="C79" s="24"/>
      <c r="D79" s="122"/>
      <c r="E79" s="122"/>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ht="13.5" customHeight="1" thickBot="1">
      <c r="A80" s="23"/>
      <c r="B80" s="24" t="s">
        <v>8</v>
      </c>
      <c r="C80" s="24"/>
      <c r="D80" s="32"/>
      <c r="E80" s="32"/>
      <c r="F80" s="32"/>
      <c r="G80" s="32"/>
      <c r="H80" s="32"/>
      <c r="I80" s="32"/>
      <c r="J80" s="32"/>
      <c r="K80" s="32"/>
      <c r="L80" s="32"/>
      <c r="M80" s="13"/>
      <c r="N80" s="13"/>
      <c r="O80" s="13"/>
      <c r="P80" s="13"/>
      <c r="Q80" s="13"/>
      <c r="R80" s="13"/>
      <c r="S80" s="13"/>
      <c r="T80" s="13"/>
      <c r="U80" s="13"/>
      <c r="V80" s="13"/>
      <c r="W80" s="13"/>
      <c r="X80" s="13"/>
    </row>
    <row r="81" spans="1:24" ht="13.5" customHeight="1">
      <c r="A81" s="1435" t="s">
        <v>935</v>
      </c>
      <c r="B81" s="1436"/>
      <c r="C81" s="1153">
        <v>1802</v>
      </c>
      <c r="D81" s="32"/>
      <c r="E81" s="32"/>
      <c r="F81" s="32"/>
      <c r="G81" s="32"/>
      <c r="H81" s="32"/>
      <c r="I81" s="32"/>
      <c r="J81" s="32"/>
      <c r="K81" s="32"/>
      <c r="L81" s="32"/>
      <c r="M81" s="13"/>
      <c r="N81" s="13"/>
      <c r="O81" s="13"/>
      <c r="P81" s="13"/>
      <c r="Q81" s="13"/>
      <c r="R81" s="13"/>
      <c r="S81" s="13"/>
      <c r="T81" s="13"/>
      <c r="U81" s="13"/>
      <c r="V81" s="13"/>
      <c r="W81" s="13"/>
      <c r="X81" s="13"/>
    </row>
    <row r="82" spans="1:24" ht="13.5" customHeight="1" thickBot="1">
      <c r="A82" s="1437"/>
      <c r="B82" s="1438"/>
      <c r="C82" s="1187"/>
      <c r="D82" s="979"/>
      <c r="E82" s="25"/>
      <c r="F82" s="25"/>
      <c r="G82" s="25"/>
      <c r="H82" s="25"/>
      <c r="I82" s="25"/>
      <c r="J82" s="25"/>
      <c r="K82" s="25"/>
      <c r="L82" s="25"/>
      <c r="M82" s="13"/>
      <c r="N82" s="13"/>
      <c r="O82" s="13"/>
      <c r="P82" s="13"/>
      <c r="Q82" s="13"/>
      <c r="R82" s="13"/>
      <c r="S82" s="13"/>
      <c r="T82" s="13"/>
      <c r="U82" s="13"/>
      <c r="V82" s="13"/>
      <c r="W82" s="13"/>
      <c r="X82" s="13"/>
    </row>
    <row r="83" spans="1:24" ht="12.75" customHeight="1">
      <c r="A83" s="1028" t="s">
        <v>675</v>
      </c>
      <c r="B83" s="808"/>
      <c r="C83" s="1184"/>
      <c r="D83" s="30"/>
      <c r="E83" s="30"/>
      <c r="F83" s="30"/>
      <c r="G83" s="30"/>
      <c r="H83" s="30"/>
      <c r="I83" s="30"/>
      <c r="J83" s="30"/>
      <c r="K83" s="30"/>
      <c r="L83" s="30"/>
      <c r="M83" s="8"/>
      <c r="N83" s="8"/>
      <c r="O83" s="8"/>
      <c r="P83" s="8"/>
      <c r="Q83" s="8"/>
      <c r="R83" s="8"/>
      <c r="S83" s="8"/>
      <c r="T83" s="8"/>
      <c r="U83" s="8"/>
      <c r="V83" s="8"/>
      <c r="W83" s="8"/>
      <c r="X83" s="8"/>
    </row>
    <row r="84" spans="1:24" ht="12.75" customHeight="1">
      <c r="A84" s="1028" t="s">
        <v>82</v>
      </c>
      <c r="B84" s="808"/>
      <c r="C84" s="1184"/>
      <c r="D84" s="30"/>
      <c r="E84" s="30"/>
      <c r="F84" s="30"/>
      <c r="G84" s="30"/>
      <c r="H84" s="30"/>
      <c r="I84" s="30"/>
      <c r="J84" s="30"/>
      <c r="K84" s="30"/>
      <c r="L84" s="30"/>
      <c r="M84" s="8"/>
      <c r="N84" s="8"/>
      <c r="O84" s="8"/>
      <c r="P84" s="8"/>
      <c r="Q84" s="8"/>
      <c r="R84" s="8"/>
      <c r="S84" s="8"/>
      <c r="T84" s="8"/>
      <c r="U84" s="8"/>
      <c r="V84" s="8"/>
      <c r="W84" s="8"/>
      <c r="X84" s="8"/>
    </row>
    <row r="85" spans="1:24" ht="12.75" customHeight="1">
      <c r="A85" s="1028" t="s">
        <v>936</v>
      </c>
      <c r="B85" s="808"/>
      <c r="C85" s="1184"/>
      <c r="D85" s="30"/>
      <c r="E85" s="30"/>
      <c r="F85" s="30"/>
      <c r="G85" s="30"/>
      <c r="H85" s="30"/>
      <c r="I85" s="30"/>
      <c r="J85" s="30"/>
      <c r="K85" s="30"/>
      <c r="L85" s="30"/>
      <c r="M85" s="8"/>
      <c r="N85" s="8"/>
      <c r="O85" s="8"/>
      <c r="P85" s="8"/>
      <c r="Q85" s="8"/>
      <c r="R85" s="8"/>
      <c r="S85" s="8"/>
      <c r="T85" s="8"/>
      <c r="U85" s="8"/>
      <c r="V85" s="8"/>
      <c r="W85" s="8"/>
      <c r="X85" s="8"/>
    </row>
    <row r="86" spans="1:24" ht="12.75" customHeight="1" thickBot="1">
      <c r="A86" s="1125" t="s">
        <v>59</v>
      </c>
      <c r="B86" s="982"/>
      <c r="C86" s="1185"/>
      <c r="D86" s="30"/>
      <c r="E86" s="30"/>
      <c r="F86" s="30"/>
      <c r="G86" s="30"/>
      <c r="H86" s="30"/>
      <c r="I86" s="30"/>
      <c r="J86" s="30"/>
      <c r="K86" s="30"/>
      <c r="L86" s="30"/>
      <c r="M86" s="8"/>
      <c r="N86" s="8"/>
      <c r="O86" s="8"/>
      <c r="P86" s="8"/>
      <c r="Q86" s="8"/>
      <c r="R86" s="8"/>
      <c r="S86" s="8"/>
      <c r="T86" s="8"/>
      <c r="U86" s="8"/>
      <c r="V86" s="8"/>
      <c r="W86" s="8"/>
      <c r="X86" s="8"/>
    </row>
    <row r="87" spans="1:24" ht="13.5" customHeight="1" thickBot="1">
      <c r="A87" s="1171" t="s">
        <v>60</v>
      </c>
      <c r="B87" s="1186"/>
      <c r="C87" s="1173">
        <f>(C89+C97+C114)</f>
        <v>3541600</v>
      </c>
      <c r="D87" s="25"/>
      <c r="E87" s="25"/>
      <c r="F87" s="25"/>
      <c r="G87" s="25"/>
      <c r="H87" s="25"/>
      <c r="I87" s="25"/>
      <c r="J87" s="25"/>
      <c r="K87" s="25"/>
      <c r="L87" s="25"/>
      <c r="M87" s="13"/>
      <c r="N87" s="13"/>
      <c r="O87" s="13"/>
      <c r="P87" s="13"/>
      <c r="Q87" s="13"/>
      <c r="R87" s="13"/>
      <c r="S87" s="13"/>
      <c r="T87" s="13"/>
      <c r="U87" s="13"/>
      <c r="V87" s="13"/>
      <c r="W87" s="13"/>
      <c r="X87" s="13"/>
    </row>
    <row r="88" spans="1:24" ht="13.5" customHeight="1" thickBot="1">
      <c r="A88" s="23"/>
      <c r="B88" s="13"/>
      <c r="C88" s="24"/>
      <c r="D88" s="25"/>
      <c r="E88" s="25"/>
      <c r="F88" s="25"/>
      <c r="G88" s="25"/>
      <c r="H88" s="25"/>
      <c r="I88" s="25"/>
      <c r="J88" s="25"/>
      <c r="K88" s="25"/>
      <c r="L88" s="25"/>
      <c r="M88" s="13"/>
      <c r="N88" s="13"/>
      <c r="O88" s="13"/>
      <c r="P88" s="13"/>
      <c r="Q88" s="13"/>
      <c r="R88" s="13"/>
      <c r="S88" s="13"/>
      <c r="T88" s="13"/>
      <c r="U88" s="13"/>
      <c r="V88" s="13"/>
      <c r="W88" s="13"/>
      <c r="X88" s="13"/>
    </row>
    <row r="89" spans="1:24" ht="13.5" customHeight="1" thickBot="1">
      <c r="A89" s="1297" t="s">
        <v>9</v>
      </c>
      <c r="B89" s="1281"/>
      <c r="C89" s="62">
        <f>+C90+C92+C94</f>
        <v>492900</v>
      </c>
      <c r="D89" s="25"/>
      <c r="E89" s="25"/>
      <c r="F89" s="25"/>
      <c r="G89" s="25"/>
      <c r="H89" s="25"/>
      <c r="I89" s="25"/>
      <c r="J89" s="25"/>
      <c r="K89" s="25"/>
      <c r="L89" s="25"/>
      <c r="M89" s="13"/>
      <c r="N89" s="13"/>
      <c r="O89" s="13"/>
      <c r="P89" s="13"/>
      <c r="Q89" s="13"/>
      <c r="R89" s="13"/>
      <c r="S89" s="13"/>
      <c r="T89" s="13"/>
      <c r="U89" s="13"/>
      <c r="V89" s="13"/>
      <c r="W89" s="13"/>
      <c r="X89" s="13"/>
    </row>
    <row r="90" spans="1:24" ht="13.5" customHeight="1">
      <c r="A90" s="1052" t="s">
        <v>828</v>
      </c>
      <c r="B90" s="15" t="s">
        <v>461</v>
      </c>
      <c r="C90" s="16">
        <f>SUM(C91)</f>
        <v>140000</v>
      </c>
      <c r="D90" s="32"/>
      <c r="E90" s="32"/>
      <c r="F90" s="32"/>
      <c r="G90" s="32"/>
      <c r="H90" s="32"/>
      <c r="I90" s="32"/>
      <c r="J90" s="32"/>
      <c r="K90" s="32"/>
      <c r="L90" s="32"/>
      <c r="M90" s="13"/>
      <c r="N90" s="13"/>
      <c r="O90" s="13"/>
      <c r="P90" s="13"/>
      <c r="Q90" s="13"/>
      <c r="R90" s="13"/>
      <c r="S90" s="13"/>
      <c r="T90" s="13"/>
      <c r="U90" s="13"/>
      <c r="V90" s="13"/>
      <c r="W90" s="13"/>
      <c r="X90" s="13"/>
    </row>
    <row r="91" spans="1:24" ht="13.5" customHeight="1">
      <c r="A91" s="1053" t="s">
        <v>829</v>
      </c>
      <c r="B91" s="13" t="s">
        <v>462</v>
      </c>
      <c r="C91" s="24">
        <f>40000+100000</f>
        <v>140000</v>
      </c>
      <c r="D91" s="13"/>
      <c r="E91" s="13"/>
      <c r="F91" s="13"/>
      <c r="G91" s="13"/>
      <c r="H91" s="13"/>
      <c r="I91" s="13"/>
      <c r="J91" s="13"/>
      <c r="K91" s="13"/>
      <c r="L91" s="13"/>
      <c r="M91" s="13"/>
      <c r="N91" s="13"/>
      <c r="O91" s="13"/>
      <c r="P91" s="13"/>
      <c r="Q91" s="13"/>
      <c r="R91" s="13"/>
      <c r="S91" s="13"/>
      <c r="T91" s="13"/>
      <c r="U91" s="13"/>
      <c r="V91" s="13"/>
      <c r="W91" s="13"/>
      <c r="X91" s="13"/>
    </row>
    <row r="92" spans="1:24" ht="13.5" customHeight="1">
      <c r="A92" s="1052" t="s">
        <v>830</v>
      </c>
      <c r="B92" s="15" t="s">
        <v>463</v>
      </c>
      <c r="C92" s="16">
        <f>SUM(C93)</f>
        <v>240000</v>
      </c>
      <c r="D92" s="25"/>
      <c r="E92" s="25"/>
      <c r="F92" s="25"/>
      <c r="G92" s="25"/>
      <c r="H92" s="25"/>
      <c r="I92" s="25"/>
      <c r="J92" s="25"/>
      <c r="K92" s="25"/>
      <c r="L92" s="25"/>
      <c r="M92" s="13"/>
      <c r="N92" s="13"/>
      <c r="O92" s="13"/>
      <c r="P92" s="13"/>
      <c r="Q92" s="13"/>
      <c r="R92" s="13"/>
      <c r="S92" s="13"/>
      <c r="T92" s="13"/>
      <c r="U92" s="13"/>
      <c r="V92" s="13"/>
      <c r="W92" s="13"/>
      <c r="X92" s="13"/>
    </row>
    <row r="93" spans="1:24" ht="13.5" customHeight="1">
      <c r="A93" s="1053" t="s">
        <v>831</v>
      </c>
      <c r="B93" s="24" t="s">
        <v>464</v>
      </c>
      <c r="C93" s="24">
        <f>150000+90000</f>
        <v>240000</v>
      </c>
      <c r="D93" s="32"/>
      <c r="E93" s="32"/>
      <c r="F93" s="32"/>
      <c r="G93" s="32"/>
      <c r="H93" s="32"/>
      <c r="I93" s="32"/>
      <c r="J93" s="32"/>
      <c r="K93" s="32"/>
      <c r="L93" s="32"/>
      <c r="M93" s="13"/>
      <c r="N93" s="13"/>
      <c r="O93" s="13"/>
      <c r="P93" s="13"/>
      <c r="Q93" s="13"/>
      <c r="R93" s="13"/>
      <c r="S93" s="13"/>
      <c r="T93" s="13"/>
      <c r="U93" s="13"/>
      <c r="V93" s="13"/>
      <c r="W93" s="13"/>
      <c r="X93" s="13"/>
    </row>
    <row r="94" spans="1:24" ht="13.5" customHeight="1">
      <c r="A94" s="1052" t="s">
        <v>832</v>
      </c>
      <c r="B94" s="26" t="s">
        <v>477</v>
      </c>
      <c r="C94" s="16">
        <f>SUM(C95:C95)</f>
        <v>112900</v>
      </c>
      <c r="D94" s="25"/>
      <c r="E94" s="25"/>
      <c r="F94" s="25"/>
      <c r="G94" s="25"/>
      <c r="H94" s="25"/>
      <c r="I94" s="25"/>
      <c r="J94" s="25"/>
      <c r="K94" s="25"/>
      <c r="L94" s="25"/>
      <c r="M94" s="13"/>
      <c r="N94" s="13"/>
      <c r="O94" s="13"/>
      <c r="P94" s="13"/>
      <c r="Q94" s="13"/>
      <c r="R94" s="13"/>
      <c r="S94" s="13"/>
      <c r="T94" s="13"/>
      <c r="U94" s="13"/>
      <c r="V94" s="13"/>
      <c r="W94" s="13"/>
      <c r="X94" s="13"/>
    </row>
    <row r="95" spans="1:24" ht="13.5" customHeight="1">
      <c r="A95" s="1053" t="s">
        <v>833</v>
      </c>
      <c r="B95" s="24" t="s">
        <v>479</v>
      </c>
      <c r="C95" s="24">
        <v>112900</v>
      </c>
      <c r="D95" s="32"/>
      <c r="E95" s="32"/>
      <c r="F95" s="32"/>
      <c r="G95" s="32"/>
      <c r="H95" s="32"/>
      <c r="I95" s="32"/>
      <c r="J95" s="32"/>
      <c r="K95" s="32"/>
      <c r="L95" s="32"/>
      <c r="M95" s="13"/>
      <c r="N95" s="13"/>
      <c r="O95" s="13"/>
      <c r="P95" s="13"/>
      <c r="Q95" s="13"/>
      <c r="R95" s="13"/>
      <c r="S95" s="13"/>
      <c r="T95" s="13"/>
      <c r="U95" s="13"/>
      <c r="V95" s="13"/>
      <c r="W95" s="13"/>
      <c r="X95" s="13"/>
    </row>
    <row r="96" spans="1:24" ht="13.5" customHeight="1" thickBot="1">
      <c r="A96" s="1054"/>
      <c r="B96" s="23"/>
      <c r="C96" s="24"/>
      <c r="D96" s="10"/>
      <c r="E96" s="10"/>
      <c r="F96" s="10"/>
      <c r="G96" s="10"/>
      <c r="H96" s="10"/>
      <c r="I96" s="10"/>
      <c r="J96" s="10"/>
      <c r="K96" s="10"/>
      <c r="L96" s="10"/>
      <c r="M96" s="13"/>
      <c r="N96" s="13"/>
      <c r="O96" s="13"/>
      <c r="P96" s="13"/>
      <c r="Q96" s="13"/>
      <c r="R96" s="13"/>
      <c r="S96" s="13"/>
      <c r="T96" s="13"/>
      <c r="U96" s="13"/>
      <c r="V96" s="13"/>
      <c r="W96" s="13"/>
      <c r="X96" s="13"/>
    </row>
    <row r="97" spans="1:24" ht="13.5" customHeight="1" thickBot="1">
      <c r="A97" s="1298" t="s">
        <v>4</v>
      </c>
      <c r="B97" s="1281"/>
      <c r="C97" s="64">
        <f>(C98+C100+C104+C106+C108+C110)</f>
        <v>2932800</v>
      </c>
      <c r="D97" s="10"/>
      <c r="E97" s="10"/>
      <c r="F97" s="10"/>
      <c r="G97" s="10"/>
      <c r="H97" s="10"/>
      <c r="I97" s="10"/>
      <c r="J97" s="10"/>
      <c r="K97" s="10"/>
      <c r="L97" s="10"/>
      <c r="M97" s="13"/>
      <c r="N97" s="13"/>
      <c r="O97" s="13"/>
      <c r="P97" s="13"/>
      <c r="Q97" s="13"/>
      <c r="R97" s="13"/>
      <c r="S97" s="13"/>
      <c r="T97" s="13"/>
      <c r="U97" s="13"/>
      <c r="V97" s="13"/>
      <c r="W97" s="13"/>
      <c r="X97" s="13"/>
    </row>
    <row r="98" spans="1:24" ht="13.5" customHeight="1">
      <c r="A98" s="1056" t="s">
        <v>842</v>
      </c>
      <c r="B98" s="22" t="s">
        <v>481</v>
      </c>
      <c r="C98" s="49">
        <f>SUM(C99)</f>
        <v>90000</v>
      </c>
      <c r="D98" s="10"/>
      <c r="E98" s="10"/>
      <c r="F98" s="10"/>
      <c r="G98" s="10"/>
      <c r="H98" s="10"/>
      <c r="I98" s="10"/>
      <c r="J98" s="10"/>
      <c r="K98" s="10"/>
      <c r="L98" s="10"/>
      <c r="M98" s="13"/>
      <c r="N98" s="13"/>
      <c r="O98" s="13"/>
      <c r="P98" s="13"/>
      <c r="Q98" s="13"/>
      <c r="R98" s="13"/>
      <c r="S98" s="13"/>
      <c r="T98" s="13"/>
      <c r="U98" s="13"/>
      <c r="V98" s="13"/>
      <c r="W98" s="13"/>
      <c r="X98" s="13"/>
    </row>
    <row r="99" spans="1:24" ht="13.5" customHeight="1">
      <c r="A99" s="1055" t="s">
        <v>843</v>
      </c>
      <c r="B99" s="13" t="s">
        <v>483</v>
      </c>
      <c r="C99" s="24">
        <v>90000</v>
      </c>
      <c r="D99" s="10"/>
      <c r="E99" s="10"/>
      <c r="F99" s="10"/>
      <c r="G99" s="10"/>
      <c r="H99" s="10"/>
      <c r="I99" s="10"/>
      <c r="J99" s="10"/>
      <c r="K99" s="10"/>
      <c r="L99" s="10"/>
      <c r="M99" s="13"/>
      <c r="N99" s="13"/>
      <c r="O99" s="13"/>
      <c r="P99" s="13"/>
      <c r="Q99" s="13"/>
      <c r="R99" s="13"/>
      <c r="S99" s="13"/>
      <c r="T99" s="13"/>
      <c r="U99" s="13"/>
      <c r="V99" s="13"/>
      <c r="W99" s="13"/>
      <c r="X99" s="13"/>
    </row>
    <row r="100" spans="1:24" ht="13.5" customHeight="1">
      <c r="A100" s="1056" t="s">
        <v>866</v>
      </c>
      <c r="B100" s="15" t="s">
        <v>484</v>
      </c>
      <c r="C100" s="16">
        <f>SUM(C101:C103)</f>
        <v>1197000</v>
      </c>
      <c r="D100" s="10"/>
      <c r="E100" s="10"/>
      <c r="F100" s="10"/>
      <c r="G100" s="10"/>
      <c r="H100" s="10"/>
      <c r="I100" s="10"/>
      <c r="J100" s="10"/>
      <c r="K100" s="10"/>
      <c r="L100" s="10"/>
      <c r="M100" s="13"/>
      <c r="N100" s="13"/>
      <c r="O100" s="13"/>
      <c r="P100" s="13"/>
      <c r="Q100" s="13"/>
      <c r="R100" s="13"/>
      <c r="S100" s="13"/>
      <c r="T100" s="13"/>
      <c r="U100" s="13"/>
      <c r="V100" s="13"/>
      <c r="W100" s="13"/>
      <c r="X100" s="13"/>
    </row>
    <row r="101" spans="1:24" ht="13.5" customHeight="1">
      <c r="A101" s="1055" t="s">
        <v>867</v>
      </c>
      <c r="B101" s="13" t="s">
        <v>485</v>
      </c>
      <c r="C101" s="14">
        <f>40000+90000</f>
        <v>130000</v>
      </c>
      <c r="D101" s="30"/>
      <c r="E101" s="30"/>
      <c r="F101" s="30"/>
      <c r="G101" s="30"/>
      <c r="H101" s="30"/>
      <c r="I101" s="30"/>
      <c r="J101" s="30"/>
      <c r="K101" s="30"/>
      <c r="L101" s="30"/>
      <c r="M101" s="13"/>
      <c r="N101" s="13"/>
      <c r="O101" s="13"/>
      <c r="P101" s="13"/>
      <c r="Q101" s="13"/>
      <c r="R101" s="13"/>
      <c r="S101" s="13"/>
      <c r="T101" s="13"/>
      <c r="U101" s="13"/>
      <c r="V101" s="13"/>
      <c r="W101" s="13"/>
      <c r="X101" s="13"/>
    </row>
    <row r="102" spans="1:24" ht="13.5" customHeight="1">
      <c r="A102" s="1055" t="s">
        <v>868</v>
      </c>
      <c r="B102" s="13" t="s">
        <v>487</v>
      </c>
      <c r="C102" s="14">
        <v>527000</v>
      </c>
      <c r="D102" s="40"/>
      <c r="E102" s="40"/>
      <c r="F102" s="40"/>
      <c r="G102" s="40"/>
      <c r="H102" s="40"/>
      <c r="I102" s="40"/>
      <c r="J102" s="40"/>
      <c r="K102" s="40"/>
      <c r="L102" s="40"/>
      <c r="M102" s="13"/>
      <c r="N102" s="13"/>
      <c r="O102" s="13"/>
      <c r="P102" s="13"/>
      <c r="Q102" s="13"/>
      <c r="R102" s="13"/>
      <c r="S102" s="13"/>
      <c r="T102" s="13"/>
      <c r="U102" s="13"/>
      <c r="V102" s="13"/>
      <c r="W102" s="13"/>
      <c r="X102" s="13"/>
    </row>
    <row r="103" spans="1:24" ht="13.5" customHeight="1">
      <c r="A103" s="1055" t="s">
        <v>869</v>
      </c>
      <c r="B103" s="13" t="s">
        <v>488</v>
      </c>
      <c r="C103" s="14">
        <v>540000</v>
      </c>
      <c r="D103" s="10"/>
      <c r="E103" s="10"/>
      <c r="F103" s="10"/>
      <c r="G103" s="10"/>
      <c r="H103" s="10"/>
      <c r="I103" s="10"/>
      <c r="J103" s="10"/>
      <c r="K103" s="10"/>
      <c r="L103" s="10"/>
      <c r="M103" s="13"/>
      <c r="N103" s="13"/>
      <c r="O103" s="13"/>
      <c r="P103" s="13"/>
      <c r="Q103" s="13"/>
      <c r="R103" s="13"/>
      <c r="S103" s="13"/>
      <c r="T103" s="13"/>
      <c r="U103" s="13"/>
      <c r="V103" s="13"/>
      <c r="W103" s="13"/>
      <c r="X103" s="13"/>
    </row>
    <row r="104" spans="1:24" ht="13.5" customHeight="1">
      <c r="A104" s="1052" t="s">
        <v>844</v>
      </c>
      <c r="B104" s="15" t="s">
        <v>489</v>
      </c>
      <c r="C104" s="26">
        <f>SUM(C105)</f>
        <v>535000</v>
      </c>
      <c r="D104" s="10"/>
      <c r="E104" s="10"/>
      <c r="F104" s="10"/>
      <c r="G104" s="10"/>
      <c r="H104" s="10"/>
      <c r="I104" s="10"/>
      <c r="J104" s="10"/>
      <c r="K104" s="10"/>
      <c r="L104" s="10"/>
      <c r="M104" s="13"/>
      <c r="N104" s="13"/>
      <c r="O104" s="13"/>
      <c r="P104" s="13"/>
      <c r="Q104" s="13"/>
      <c r="R104" s="13"/>
      <c r="S104" s="13"/>
      <c r="T104" s="13"/>
      <c r="U104" s="13"/>
      <c r="V104" s="13"/>
      <c r="W104" s="13"/>
      <c r="X104" s="13"/>
    </row>
    <row r="105" spans="1:24" ht="12.75" customHeight="1">
      <c r="A105" s="1053" t="s">
        <v>845</v>
      </c>
      <c r="B105" s="24" t="s">
        <v>491</v>
      </c>
      <c r="C105" s="14">
        <v>535000</v>
      </c>
      <c r="D105" s="27"/>
      <c r="E105" s="27"/>
      <c r="F105" s="27"/>
      <c r="G105" s="27"/>
      <c r="H105" s="27"/>
      <c r="I105" s="27"/>
      <c r="J105" s="27"/>
      <c r="K105" s="27"/>
      <c r="L105" s="27"/>
      <c r="M105" s="8"/>
      <c r="N105" s="8"/>
      <c r="O105" s="8"/>
      <c r="P105" s="8"/>
      <c r="Q105" s="8"/>
      <c r="R105" s="8"/>
      <c r="S105" s="8"/>
      <c r="T105" s="8"/>
      <c r="U105" s="8"/>
      <c r="V105" s="8"/>
      <c r="W105" s="8"/>
      <c r="X105" s="8"/>
    </row>
    <row r="106" spans="1:24" ht="12.75" customHeight="1">
      <c r="A106" s="1052" t="s">
        <v>846</v>
      </c>
      <c r="B106" s="26" t="s">
        <v>492</v>
      </c>
      <c r="C106" s="16">
        <f>SUM(C107)</f>
        <v>425800</v>
      </c>
      <c r="D106" s="30"/>
      <c r="E106" s="30"/>
      <c r="F106" s="30"/>
      <c r="G106" s="30"/>
      <c r="H106" s="30"/>
      <c r="I106" s="30"/>
      <c r="J106" s="30"/>
      <c r="K106" s="30"/>
      <c r="L106" s="30"/>
      <c r="M106" s="8"/>
      <c r="N106" s="8"/>
      <c r="O106" s="8"/>
      <c r="P106" s="8"/>
      <c r="Q106" s="8"/>
      <c r="R106" s="8"/>
      <c r="S106" s="8"/>
      <c r="T106" s="8"/>
      <c r="U106" s="8"/>
      <c r="V106" s="8"/>
      <c r="W106" s="8"/>
      <c r="X106" s="8"/>
    </row>
    <row r="107" spans="1:24" ht="12.75" customHeight="1">
      <c r="A107" s="1053" t="s">
        <v>870</v>
      </c>
      <c r="B107" s="13" t="s">
        <v>539</v>
      </c>
      <c r="C107" s="14">
        <v>425800</v>
      </c>
      <c r="D107" s="30"/>
      <c r="E107" s="30"/>
      <c r="F107" s="30"/>
      <c r="G107" s="30"/>
      <c r="H107" s="30"/>
      <c r="I107" s="30"/>
      <c r="J107" s="30"/>
      <c r="K107" s="30"/>
      <c r="L107" s="30"/>
      <c r="M107" s="8"/>
      <c r="N107" s="8"/>
      <c r="O107" s="8"/>
      <c r="P107" s="8"/>
      <c r="Q107" s="8"/>
      <c r="R107" s="8"/>
      <c r="S107" s="8"/>
      <c r="T107" s="8"/>
      <c r="U107" s="8"/>
      <c r="V107" s="8"/>
      <c r="W107" s="8"/>
      <c r="X107" s="8"/>
    </row>
    <row r="108" spans="1:24" ht="12.75" customHeight="1">
      <c r="A108" s="1052" t="s">
        <v>849</v>
      </c>
      <c r="B108" s="26" t="s">
        <v>494</v>
      </c>
      <c r="C108" s="16">
        <f>SUM(C109)</f>
        <v>55000</v>
      </c>
      <c r="D108" s="30"/>
      <c r="E108" s="30"/>
      <c r="F108" s="30"/>
      <c r="G108" s="30"/>
      <c r="H108" s="30"/>
      <c r="I108" s="30"/>
      <c r="J108" s="30"/>
      <c r="K108" s="30"/>
      <c r="L108" s="30"/>
      <c r="M108" s="8"/>
      <c r="N108" s="8"/>
      <c r="O108" s="8"/>
      <c r="P108" s="8"/>
      <c r="Q108" s="8"/>
      <c r="R108" s="8"/>
      <c r="S108" s="8"/>
      <c r="T108" s="8"/>
      <c r="U108" s="8"/>
      <c r="V108" s="8"/>
      <c r="W108" s="8"/>
      <c r="X108" s="8"/>
    </row>
    <row r="109" spans="1:24" ht="12.75" customHeight="1">
      <c r="A109" s="1053" t="s">
        <v>871</v>
      </c>
      <c r="B109" s="13" t="s">
        <v>495</v>
      </c>
      <c r="C109" s="14">
        <v>55000</v>
      </c>
      <c r="D109" s="30"/>
      <c r="E109" s="30"/>
      <c r="F109" s="30"/>
      <c r="G109" s="30"/>
      <c r="H109" s="30"/>
      <c r="I109" s="30"/>
      <c r="J109" s="30"/>
      <c r="K109" s="30"/>
      <c r="L109" s="30"/>
      <c r="M109" s="8"/>
      <c r="N109" s="8"/>
      <c r="O109" s="8"/>
      <c r="P109" s="8"/>
      <c r="Q109" s="8"/>
      <c r="R109" s="8"/>
      <c r="S109" s="8"/>
      <c r="T109" s="8"/>
      <c r="U109" s="8"/>
      <c r="V109" s="8"/>
      <c r="W109" s="8"/>
      <c r="X109" s="8"/>
    </row>
    <row r="110" spans="1:24" ht="12.75" customHeight="1">
      <c r="A110" s="1052" t="s">
        <v>857</v>
      </c>
      <c r="B110" s="26" t="s">
        <v>496</v>
      </c>
      <c r="C110" s="16">
        <f>SUM(C111:C112)</f>
        <v>630000</v>
      </c>
      <c r="D110" s="30"/>
      <c r="E110" s="30"/>
      <c r="F110" s="30"/>
      <c r="G110" s="30"/>
      <c r="H110" s="30"/>
      <c r="I110" s="30"/>
      <c r="J110" s="30"/>
      <c r="K110" s="30"/>
      <c r="L110" s="30"/>
      <c r="M110" s="8"/>
      <c r="N110" s="8"/>
      <c r="O110" s="8"/>
      <c r="P110" s="8"/>
      <c r="Q110" s="8"/>
      <c r="R110" s="8"/>
      <c r="S110" s="8"/>
      <c r="T110" s="8"/>
      <c r="U110" s="8"/>
      <c r="V110" s="8"/>
      <c r="W110" s="8"/>
      <c r="X110" s="8"/>
    </row>
    <row r="111" spans="1:24" ht="12.75" customHeight="1">
      <c r="A111" s="1053" t="s">
        <v>858</v>
      </c>
      <c r="B111" s="24" t="s">
        <v>497</v>
      </c>
      <c r="C111" s="14">
        <v>530000</v>
      </c>
      <c r="D111" s="30"/>
      <c r="E111" s="30"/>
      <c r="F111" s="30"/>
      <c r="G111" s="30"/>
      <c r="H111" s="30"/>
      <c r="I111" s="30"/>
      <c r="J111" s="30"/>
      <c r="K111" s="30"/>
      <c r="L111" s="30"/>
      <c r="M111" s="8"/>
      <c r="N111" s="8"/>
      <c r="O111" s="8"/>
      <c r="P111" s="8"/>
      <c r="Q111" s="8"/>
      <c r="R111" s="8"/>
      <c r="S111" s="8"/>
      <c r="T111" s="8"/>
      <c r="U111" s="8"/>
      <c r="V111" s="8"/>
      <c r="W111" s="8"/>
      <c r="X111" s="8"/>
    </row>
    <row r="112" spans="1:24" ht="12.75" customHeight="1">
      <c r="A112" s="1053" t="s">
        <v>861</v>
      </c>
      <c r="B112" s="24" t="s">
        <v>500</v>
      </c>
      <c r="C112" s="14">
        <v>100000</v>
      </c>
      <c r="D112" s="30"/>
      <c r="E112" s="30"/>
      <c r="F112" s="30"/>
      <c r="G112" s="30"/>
      <c r="H112" s="30"/>
      <c r="I112" s="30"/>
      <c r="J112" s="30"/>
      <c r="K112" s="30"/>
      <c r="L112" s="30"/>
      <c r="M112" s="8"/>
      <c r="N112" s="8"/>
      <c r="O112" s="8"/>
      <c r="P112" s="8"/>
      <c r="Q112" s="8"/>
      <c r="R112" s="8"/>
      <c r="S112" s="8"/>
      <c r="T112" s="8"/>
      <c r="U112" s="8"/>
      <c r="V112" s="8"/>
      <c r="W112" s="8"/>
      <c r="X112" s="8"/>
    </row>
    <row r="113" spans="1:24" ht="12.75" customHeight="1" thickBot="1">
      <c r="A113" s="1053"/>
      <c r="B113" s="23"/>
      <c r="C113" s="24"/>
      <c r="D113" s="30"/>
      <c r="E113" s="30"/>
      <c r="F113" s="30"/>
      <c r="G113" s="30"/>
      <c r="H113" s="30"/>
      <c r="I113" s="30"/>
      <c r="J113" s="30"/>
      <c r="K113" s="30"/>
      <c r="L113" s="30"/>
      <c r="M113" s="8"/>
      <c r="N113" s="8"/>
      <c r="O113" s="8"/>
      <c r="P113" s="8"/>
      <c r="Q113" s="8"/>
      <c r="R113" s="8"/>
      <c r="S113" s="8"/>
      <c r="T113" s="8"/>
      <c r="U113" s="8"/>
      <c r="V113" s="8"/>
      <c r="W113" s="8"/>
      <c r="X113" s="8"/>
    </row>
    <row r="114" spans="1:24" ht="13.5" customHeight="1" thickBot="1">
      <c r="A114" s="1312" t="s">
        <v>48</v>
      </c>
      <c r="B114" s="1281"/>
      <c r="C114" s="65">
        <f>(+C115+C118)</f>
        <v>115900</v>
      </c>
      <c r="D114" s="30"/>
      <c r="E114" s="30"/>
      <c r="F114" s="30"/>
      <c r="G114" s="30"/>
      <c r="H114" s="30"/>
      <c r="I114" s="30"/>
      <c r="J114" s="30"/>
      <c r="K114" s="30"/>
      <c r="L114" s="30"/>
      <c r="M114" s="13"/>
      <c r="N114" s="13"/>
      <c r="O114" s="13"/>
      <c r="P114" s="13"/>
      <c r="Q114" s="13"/>
      <c r="R114" s="13"/>
      <c r="S114" s="13"/>
      <c r="T114" s="13"/>
      <c r="U114" s="13"/>
      <c r="V114" s="13"/>
      <c r="W114" s="13"/>
      <c r="X114" s="13"/>
    </row>
    <row r="115" spans="1:24" ht="13.5" customHeight="1">
      <c r="A115" s="1052" t="s">
        <v>862</v>
      </c>
      <c r="B115" s="26" t="s">
        <v>510</v>
      </c>
      <c r="C115" s="16">
        <f>SUM(C116:C117)</f>
        <v>100900</v>
      </c>
      <c r="D115" s="30"/>
      <c r="E115" s="30"/>
      <c r="F115" s="30"/>
      <c r="G115" s="30"/>
      <c r="H115" s="30"/>
      <c r="I115" s="30"/>
      <c r="J115" s="30"/>
      <c r="K115" s="30"/>
      <c r="L115" s="30"/>
      <c r="M115" s="13"/>
      <c r="N115" s="13"/>
      <c r="O115" s="13"/>
      <c r="P115" s="13"/>
      <c r="Q115" s="13"/>
      <c r="R115" s="13"/>
      <c r="S115" s="13"/>
      <c r="T115" s="13"/>
      <c r="U115" s="13"/>
      <c r="V115" s="13"/>
      <c r="W115" s="13"/>
      <c r="X115" s="13"/>
    </row>
    <row r="116" spans="1:24" ht="12.75" customHeight="1">
      <c r="A116" s="1053" t="s">
        <v>863</v>
      </c>
      <c r="B116" s="24" t="s">
        <v>511</v>
      </c>
      <c r="C116" s="14">
        <v>50000</v>
      </c>
      <c r="D116" s="30"/>
      <c r="E116" s="30"/>
      <c r="F116" s="30"/>
      <c r="G116" s="30"/>
      <c r="H116" s="30"/>
      <c r="I116" s="30"/>
      <c r="J116" s="30"/>
      <c r="K116" s="30"/>
      <c r="L116" s="30"/>
      <c r="M116" s="8"/>
      <c r="N116" s="8"/>
      <c r="O116" s="8"/>
      <c r="P116" s="8"/>
      <c r="Q116" s="8"/>
      <c r="R116" s="8"/>
      <c r="S116" s="8"/>
      <c r="T116" s="8"/>
      <c r="U116" s="8"/>
      <c r="V116" s="8"/>
      <c r="W116" s="8"/>
      <c r="X116" s="8"/>
    </row>
    <row r="117" spans="1:24" ht="12.75" customHeight="1">
      <c r="A117" s="1053" t="s">
        <v>872</v>
      </c>
      <c r="B117" s="13" t="s">
        <v>512</v>
      </c>
      <c r="C117" s="14">
        <f>40900+10000</f>
        <v>50900</v>
      </c>
      <c r="D117" s="30"/>
      <c r="E117" s="30"/>
      <c r="F117" s="30"/>
      <c r="G117" s="30"/>
      <c r="H117" s="30"/>
      <c r="I117" s="30"/>
      <c r="J117" s="30"/>
      <c r="K117" s="30"/>
      <c r="L117" s="30"/>
      <c r="M117" s="8"/>
      <c r="N117" s="8"/>
      <c r="O117" s="8"/>
      <c r="P117" s="8"/>
      <c r="Q117" s="8"/>
      <c r="R117" s="8"/>
      <c r="S117" s="8"/>
      <c r="T117" s="8"/>
      <c r="U117" s="8"/>
      <c r="V117" s="8"/>
      <c r="W117" s="8"/>
      <c r="X117" s="8"/>
    </row>
    <row r="118" spans="1:24" ht="12.75" customHeight="1">
      <c r="A118" s="1052" t="s">
        <v>864</v>
      </c>
      <c r="B118" s="26" t="s">
        <v>514</v>
      </c>
      <c r="C118" s="16">
        <f>SUM(C119)</f>
        <v>15000</v>
      </c>
      <c r="D118" s="30"/>
      <c r="E118" s="30"/>
      <c r="F118" s="30"/>
      <c r="G118" s="30"/>
      <c r="H118" s="30"/>
      <c r="I118" s="30"/>
      <c r="J118" s="30"/>
      <c r="K118" s="30"/>
      <c r="L118" s="30"/>
      <c r="M118" s="8"/>
      <c r="N118" s="8"/>
      <c r="O118" s="8"/>
      <c r="P118" s="8"/>
      <c r="Q118" s="8"/>
      <c r="R118" s="8"/>
      <c r="S118" s="8"/>
      <c r="T118" s="8"/>
      <c r="U118" s="8"/>
      <c r="V118" s="8"/>
      <c r="W118" s="8"/>
      <c r="X118" s="8"/>
    </row>
    <row r="119" spans="1:24" ht="12.75" customHeight="1">
      <c r="A119" s="1053" t="s">
        <v>865</v>
      </c>
      <c r="B119" s="24" t="s">
        <v>515</v>
      </c>
      <c r="C119" s="14">
        <v>15000</v>
      </c>
      <c r="D119" s="30"/>
      <c r="E119" s="30"/>
      <c r="F119" s="30"/>
      <c r="G119" s="30"/>
      <c r="H119" s="30"/>
      <c r="I119" s="30"/>
      <c r="J119" s="30"/>
      <c r="K119" s="30"/>
      <c r="L119" s="30"/>
      <c r="M119" s="8"/>
      <c r="N119" s="8"/>
      <c r="O119" s="8"/>
      <c r="P119" s="8"/>
      <c r="Q119" s="8"/>
      <c r="R119" s="8"/>
      <c r="S119" s="8"/>
      <c r="T119" s="8"/>
      <c r="U119" s="8"/>
      <c r="V119" s="8"/>
      <c r="W119" s="8"/>
      <c r="X119" s="8"/>
    </row>
    <row r="120" spans="1:24" ht="12.75" customHeight="1">
      <c r="A120" s="1053"/>
      <c r="B120" s="24"/>
      <c r="C120" s="14"/>
      <c r="D120" s="30"/>
      <c r="E120" s="30"/>
      <c r="F120" s="30"/>
      <c r="G120" s="30"/>
      <c r="H120" s="30"/>
      <c r="I120" s="30"/>
      <c r="J120" s="30"/>
      <c r="K120" s="30"/>
      <c r="L120" s="30"/>
      <c r="M120" s="8"/>
      <c r="N120" s="8"/>
      <c r="O120" s="8"/>
      <c r="P120" s="8"/>
      <c r="Q120" s="8"/>
      <c r="R120" s="8"/>
      <c r="S120" s="8"/>
      <c r="T120" s="8"/>
      <c r="U120" s="8"/>
      <c r="V120" s="8"/>
      <c r="W120" s="8"/>
      <c r="X120" s="8"/>
    </row>
    <row r="121" spans="1:24" ht="12.75" customHeight="1" thickBot="1">
      <c r="A121" s="1054"/>
      <c r="B121" s="23"/>
      <c r="C121" s="24"/>
      <c r="D121" s="30"/>
      <c r="E121" s="30"/>
      <c r="F121" s="30"/>
      <c r="G121" s="30"/>
      <c r="H121" s="30"/>
      <c r="I121" s="30"/>
      <c r="J121" s="30"/>
      <c r="K121" s="30"/>
      <c r="L121" s="30"/>
      <c r="M121" s="8"/>
      <c r="N121" s="8"/>
      <c r="O121" s="8"/>
      <c r="P121" s="8"/>
      <c r="Q121" s="8"/>
      <c r="R121" s="8"/>
      <c r="S121" s="8"/>
      <c r="T121" s="8"/>
      <c r="U121" s="8"/>
      <c r="V121" s="8"/>
      <c r="W121" s="8"/>
      <c r="X121" s="8"/>
    </row>
    <row r="122" spans="1:24" ht="12.75" customHeight="1">
      <c r="A122" s="1383" t="s">
        <v>934</v>
      </c>
      <c r="B122" s="1384"/>
      <c r="C122" s="1174">
        <v>1803</v>
      </c>
      <c r="D122" s="30"/>
      <c r="E122" s="30"/>
      <c r="F122" s="30"/>
      <c r="G122" s="30"/>
      <c r="H122" s="30"/>
      <c r="I122" s="30"/>
      <c r="J122" s="30"/>
      <c r="K122" s="30"/>
      <c r="L122" s="30"/>
      <c r="M122" s="8"/>
      <c r="N122" s="8"/>
      <c r="O122" s="8"/>
      <c r="P122" s="8"/>
      <c r="Q122" s="8"/>
      <c r="R122" s="8"/>
      <c r="S122" s="8"/>
      <c r="T122" s="8"/>
      <c r="U122" s="8"/>
      <c r="V122" s="8"/>
      <c r="W122" s="8"/>
      <c r="X122" s="8"/>
    </row>
    <row r="123" spans="1:24" ht="14.25" customHeight="1" thickBot="1">
      <c r="A123" s="1388"/>
      <c r="B123" s="1439"/>
      <c r="C123" s="1176"/>
      <c r="D123" s="30"/>
      <c r="E123" s="30"/>
      <c r="F123" s="30"/>
      <c r="G123" s="30"/>
      <c r="H123" s="30"/>
      <c r="I123" s="30"/>
      <c r="J123" s="30"/>
      <c r="K123" s="30"/>
      <c r="L123" s="30"/>
      <c r="M123" s="8"/>
      <c r="N123" s="8"/>
      <c r="O123" s="8"/>
      <c r="P123" s="8"/>
      <c r="Q123" s="8"/>
      <c r="R123" s="8"/>
      <c r="S123" s="8"/>
      <c r="T123" s="8"/>
      <c r="U123" s="8"/>
      <c r="V123" s="8"/>
      <c r="W123" s="8"/>
      <c r="X123" s="8"/>
    </row>
    <row r="124" spans="1:24" ht="12.75" customHeight="1">
      <c r="A124" s="1028" t="s">
        <v>675</v>
      </c>
      <c r="B124" s="1188"/>
      <c r="C124" s="1189"/>
      <c r="D124" s="14"/>
      <c r="E124" s="14"/>
      <c r="F124" s="14"/>
      <c r="G124" s="14"/>
      <c r="H124" s="14"/>
      <c r="I124" s="14"/>
      <c r="J124" s="14"/>
      <c r="K124" s="14"/>
      <c r="L124" s="14"/>
      <c r="M124" s="8"/>
      <c r="N124" s="8"/>
      <c r="O124" s="8"/>
      <c r="P124" s="8"/>
      <c r="Q124" s="8"/>
      <c r="R124" s="8"/>
      <c r="S124" s="8"/>
      <c r="T124" s="8"/>
      <c r="U124" s="8"/>
      <c r="V124" s="8"/>
      <c r="W124" s="8"/>
      <c r="X124" s="8"/>
    </row>
    <row r="125" spans="1:24" ht="12.75" customHeight="1">
      <c r="A125" s="1028" t="s">
        <v>82</v>
      </c>
      <c r="B125" s="1188"/>
      <c r="C125" s="1189"/>
      <c r="D125" s="30"/>
      <c r="E125" s="30"/>
      <c r="F125" s="30"/>
      <c r="G125" s="30"/>
      <c r="H125" s="30"/>
      <c r="I125" s="30"/>
      <c r="J125" s="30"/>
      <c r="K125" s="30"/>
      <c r="L125" s="30"/>
      <c r="M125" s="8"/>
      <c r="N125" s="8"/>
      <c r="O125" s="8"/>
      <c r="P125" s="8"/>
      <c r="Q125" s="8"/>
      <c r="R125" s="8"/>
      <c r="S125" s="8"/>
      <c r="T125" s="8"/>
      <c r="U125" s="8"/>
      <c r="V125" s="8"/>
      <c r="W125" s="8"/>
      <c r="X125" s="8"/>
    </row>
    <row r="126" spans="1:24" ht="12.75" customHeight="1">
      <c r="A126" s="1028" t="s">
        <v>936</v>
      </c>
      <c r="B126" s="970"/>
      <c r="C126" s="1189"/>
      <c r="D126" s="30"/>
      <c r="E126" s="30"/>
      <c r="F126" s="30"/>
      <c r="G126" s="30"/>
      <c r="H126" s="30"/>
      <c r="I126" s="30"/>
      <c r="J126" s="30"/>
      <c r="K126" s="30"/>
      <c r="L126" s="30"/>
      <c r="M126" s="8"/>
      <c r="N126" s="8"/>
      <c r="O126" s="8"/>
      <c r="P126" s="8"/>
      <c r="Q126" s="8"/>
      <c r="R126" s="8"/>
      <c r="S126" s="8"/>
      <c r="T126" s="8"/>
      <c r="U126" s="8"/>
      <c r="V126" s="8"/>
      <c r="W126" s="8"/>
      <c r="X126" s="8"/>
    </row>
    <row r="127" spans="1:24" ht="12.75" customHeight="1" thickBot="1">
      <c r="A127" s="1125" t="s">
        <v>59</v>
      </c>
      <c r="B127" s="94"/>
      <c r="C127" s="1189"/>
      <c r="D127" s="14"/>
      <c r="E127" s="14"/>
      <c r="F127" s="14"/>
      <c r="G127" s="14"/>
      <c r="H127" s="14"/>
      <c r="I127" s="14"/>
      <c r="J127" s="14"/>
      <c r="K127" s="14"/>
      <c r="L127" s="14"/>
      <c r="M127" s="8"/>
      <c r="N127" s="8"/>
      <c r="O127" s="8"/>
      <c r="P127" s="8"/>
      <c r="Q127" s="8"/>
      <c r="R127" s="8"/>
      <c r="S127" s="8"/>
      <c r="T127" s="8"/>
      <c r="U127" s="8"/>
      <c r="V127" s="8"/>
      <c r="W127" s="8"/>
      <c r="X127" s="8"/>
    </row>
    <row r="128" spans="1:24" ht="12.75" customHeight="1" thickBot="1">
      <c r="A128" s="1190" t="s">
        <v>60</v>
      </c>
      <c r="B128" s="1191"/>
      <c r="C128" s="1033">
        <f>+C130+C136</f>
        <v>54093002</v>
      </c>
      <c r="D128" s="14"/>
      <c r="E128" s="14"/>
      <c r="F128" s="14"/>
      <c r="G128" s="14"/>
      <c r="H128" s="14"/>
      <c r="I128" s="14"/>
      <c r="J128" s="14"/>
      <c r="K128" s="14"/>
      <c r="L128" s="14"/>
      <c r="M128" s="8"/>
      <c r="N128" s="8"/>
      <c r="O128" s="8"/>
      <c r="P128" s="8"/>
      <c r="Q128" s="8"/>
      <c r="R128" s="8"/>
      <c r="S128" s="8"/>
      <c r="T128" s="8"/>
      <c r="U128" s="8"/>
      <c r="V128" s="8"/>
      <c r="W128" s="8"/>
      <c r="X128" s="8"/>
    </row>
    <row r="129" spans="1:24" ht="12.75" customHeight="1" thickBot="1">
      <c r="A129" s="21"/>
      <c r="B129" s="26"/>
      <c r="C129" s="26"/>
      <c r="D129" s="14"/>
      <c r="E129" s="14"/>
      <c r="F129" s="14"/>
      <c r="G129" s="14"/>
      <c r="H129" s="14"/>
      <c r="I129" s="14"/>
      <c r="J129" s="14"/>
      <c r="K129" s="14"/>
      <c r="L129" s="14"/>
      <c r="M129" s="8"/>
      <c r="N129" s="8"/>
      <c r="O129" s="8"/>
      <c r="P129" s="8"/>
      <c r="Q129" s="8"/>
      <c r="R129" s="8"/>
      <c r="S129" s="8"/>
      <c r="T129" s="8"/>
      <c r="U129" s="8"/>
      <c r="V129" s="8"/>
      <c r="W129" s="8"/>
      <c r="X129" s="8"/>
    </row>
    <row r="130" spans="1:24" ht="12.75" customHeight="1" thickBot="1">
      <c r="A130" s="1298" t="s">
        <v>4</v>
      </c>
      <c r="B130" s="1281"/>
      <c r="C130" s="97">
        <f>C131+C133</f>
        <v>1880000</v>
      </c>
      <c r="D130" s="44"/>
      <c r="E130" s="44"/>
      <c r="F130" s="44"/>
      <c r="G130" s="44"/>
      <c r="H130" s="44"/>
      <c r="I130" s="44"/>
      <c r="J130" s="44"/>
      <c r="K130" s="44"/>
      <c r="L130" s="44"/>
      <c r="M130" s="8"/>
      <c r="N130" s="8"/>
      <c r="O130" s="8"/>
      <c r="P130" s="8"/>
      <c r="Q130" s="8"/>
      <c r="R130" s="8"/>
      <c r="S130" s="8"/>
      <c r="T130" s="8"/>
      <c r="U130" s="8"/>
      <c r="V130" s="8"/>
      <c r="W130" s="8"/>
      <c r="X130" s="8"/>
    </row>
    <row r="131" spans="1:24" ht="12.75" customHeight="1">
      <c r="A131" s="1057" t="s">
        <v>846</v>
      </c>
      <c r="B131" s="48" t="s">
        <v>492</v>
      </c>
      <c r="C131" s="98">
        <f>SUM(C132)</f>
        <v>350000</v>
      </c>
      <c r="D131" s="30"/>
      <c r="E131" s="30"/>
      <c r="F131" s="30"/>
      <c r="G131" s="30"/>
      <c r="H131" s="30"/>
      <c r="I131" s="30"/>
      <c r="J131" s="30"/>
      <c r="K131" s="30"/>
      <c r="L131" s="30"/>
      <c r="M131" s="8"/>
      <c r="N131" s="8"/>
      <c r="O131" s="8"/>
      <c r="P131" s="8"/>
      <c r="Q131" s="8"/>
      <c r="R131" s="8"/>
      <c r="S131" s="8"/>
      <c r="T131" s="8"/>
      <c r="U131" s="8"/>
      <c r="V131" s="8"/>
      <c r="W131" s="8"/>
      <c r="X131" s="8"/>
    </row>
    <row r="132" spans="1:24" ht="12.75" customHeight="1">
      <c r="A132" s="1058" t="s">
        <v>870</v>
      </c>
      <c r="B132" s="13" t="s">
        <v>539</v>
      </c>
      <c r="C132" s="101">
        <v>350000</v>
      </c>
      <c r="D132" s="30"/>
      <c r="E132" s="30"/>
      <c r="F132" s="30"/>
      <c r="G132" s="30"/>
      <c r="H132" s="30"/>
      <c r="I132" s="30"/>
      <c r="J132" s="30"/>
      <c r="K132" s="30"/>
      <c r="L132" s="30"/>
      <c r="M132" s="8"/>
      <c r="N132" s="8"/>
      <c r="O132" s="8"/>
      <c r="P132" s="8"/>
      <c r="Q132" s="8"/>
      <c r="R132" s="8"/>
      <c r="S132" s="8"/>
      <c r="T132" s="8"/>
      <c r="U132" s="8"/>
      <c r="V132" s="8"/>
      <c r="W132" s="8"/>
      <c r="X132" s="8"/>
    </row>
    <row r="133" spans="1:24" ht="12.75" customHeight="1">
      <c r="A133" s="1056" t="s">
        <v>857</v>
      </c>
      <c r="B133" s="15" t="s">
        <v>496</v>
      </c>
      <c r="C133" s="26">
        <f>SUM(C134)</f>
        <v>1530000</v>
      </c>
      <c r="D133" s="30"/>
      <c r="E133" s="30"/>
      <c r="F133" s="30"/>
      <c r="G133" s="30"/>
      <c r="H133" s="30"/>
      <c r="I133" s="30"/>
      <c r="J133" s="30"/>
      <c r="K133" s="30"/>
      <c r="L133" s="30"/>
      <c r="M133" s="8"/>
      <c r="N133" s="8"/>
      <c r="O133" s="8"/>
      <c r="P133" s="8"/>
      <c r="Q133" s="8"/>
      <c r="R133" s="8"/>
      <c r="S133" s="8"/>
      <c r="T133" s="8"/>
      <c r="U133" s="8"/>
      <c r="V133" s="8"/>
      <c r="W133" s="8"/>
      <c r="X133" s="8"/>
    </row>
    <row r="134" spans="1:24" ht="12.75" customHeight="1">
      <c r="A134" s="1055" t="s">
        <v>858</v>
      </c>
      <c r="B134" s="13" t="s">
        <v>497</v>
      </c>
      <c r="C134" s="24">
        <f>1500000+30000</f>
        <v>1530000</v>
      </c>
      <c r="D134" s="30"/>
      <c r="E134" s="30"/>
      <c r="F134" s="30"/>
      <c r="G134" s="30"/>
      <c r="H134" s="30"/>
      <c r="I134" s="30"/>
      <c r="J134" s="30"/>
      <c r="K134" s="30"/>
      <c r="L134" s="30"/>
      <c r="M134" s="8"/>
      <c r="N134" s="8"/>
      <c r="O134" s="8"/>
      <c r="P134" s="8"/>
      <c r="Q134" s="8"/>
      <c r="R134" s="8"/>
      <c r="S134" s="8"/>
      <c r="T134" s="8"/>
      <c r="U134" s="8"/>
      <c r="V134" s="8"/>
      <c r="W134" s="8"/>
      <c r="X134" s="8"/>
    </row>
    <row r="135" spans="1:24" ht="12.75" customHeight="1" thickBot="1">
      <c r="A135" s="1059"/>
      <c r="B135" s="13"/>
      <c r="C135" s="101"/>
      <c r="D135" s="14"/>
      <c r="E135" s="14"/>
      <c r="F135" s="14"/>
      <c r="G135" s="14"/>
      <c r="H135" s="14"/>
      <c r="I135" s="14"/>
      <c r="J135" s="14"/>
      <c r="K135" s="14"/>
      <c r="L135" s="14"/>
      <c r="M135" s="8"/>
      <c r="N135" s="8"/>
      <c r="O135" s="8"/>
      <c r="P135" s="8"/>
      <c r="Q135" s="8"/>
      <c r="R135" s="8"/>
      <c r="S135" s="8"/>
      <c r="T135" s="8"/>
      <c r="U135" s="8"/>
      <c r="V135" s="8"/>
      <c r="W135" s="8"/>
      <c r="X135" s="8"/>
    </row>
    <row r="136" spans="1:24" ht="12.75" customHeight="1" thickBot="1">
      <c r="A136" s="1287" t="s">
        <v>45</v>
      </c>
      <c r="B136" s="1281"/>
      <c r="C136" s="47">
        <f>C137+C143</f>
        <v>52213002</v>
      </c>
      <c r="D136" s="30"/>
      <c r="E136" s="30"/>
      <c r="F136" s="30"/>
      <c r="G136" s="30"/>
      <c r="H136" s="30"/>
      <c r="I136" s="30"/>
      <c r="J136" s="30"/>
      <c r="K136" s="30"/>
      <c r="L136" s="30"/>
      <c r="M136" s="8"/>
      <c r="N136" s="8"/>
      <c r="O136" s="8"/>
      <c r="P136" s="8"/>
      <c r="Q136" s="8"/>
      <c r="R136" s="8"/>
      <c r="S136" s="8"/>
      <c r="T136" s="8"/>
      <c r="U136" s="8"/>
      <c r="V136" s="8"/>
      <c r="W136" s="8"/>
      <c r="X136" s="8"/>
    </row>
    <row r="137" spans="1:24" ht="12.75" customHeight="1">
      <c r="A137" s="1052" t="s">
        <v>873</v>
      </c>
      <c r="B137" s="48" t="s">
        <v>501</v>
      </c>
      <c r="C137" s="26">
        <f>+SUM(C138:C142)</f>
        <v>45560001</v>
      </c>
      <c r="D137" s="30"/>
      <c r="E137" s="30"/>
      <c r="F137" s="30"/>
      <c r="G137" s="30"/>
      <c r="H137" s="30"/>
      <c r="I137" s="30"/>
      <c r="J137" s="30"/>
      <c r="K137" s="30"/>
      <c r="L137" s="30"/>
      <c r="M137" s="8"/>
      <c r="N137" s="8"/>
      <c r="O137" s="8"/>
      <c r="P137" s="8"/>
      <c r="Q137" s="8"/>
      <c r="R137" s="8"/>
      <c r="S137" s="8"/>
      <c r="T137" s="8"/>
      <c r="U137" s="8"/>
      <c r="V137" s="8"/>
      <c r="W137" s="8"/>
      <c r="X137" s="8"/>
    </row>
    <row r="138" spans="1:24" ht="12.75" customHeight="1">
      <c r="A138" s="1053" t="s">
        <v>874</v>
      </c>
      <c r="B138" s="24" t="s">
        <v>547</v>
      </c>
      <c r="C138" s="24">
        <v>15000000</v>
      </c>
      <c r="D138" s="30"/>
      <c r="E138" s="30"/>
      <c r="F138" s="30"/>
      <c r="G138" s="30"/>
      <c r="H138" s="30"/>
      <c r="I138" s="30"/>
      <c r="J138" s="30"/>
      <c r="K138" s="30"/>
      <c r="L138" s="30"/>
      <c r="M138" s="8"/>
      <c r="N138" s="8"/>
      <c r="O138" s="8"/>
      <c r="P138" s="8"/>
      <c r="Q138" s="8"/>
      <c r="R138" s="8"/>
      <c r="S138" s="8"/>
      <c r="T138" s="8"/>
      <c r="U138" s="8"/>
      <c r="V138" s="8"/>
      <c r="W138" s="8"/>
      <c r="X138" s="8"/>
    </row>
    <row r="139" spans="1:24" ht="12.75" customHeight="1">
      <c r="A139" s="1053" t="s">
        <v>875</v>
      </c>
      <c r="B139" s="24" t="s">
        <v>548</v>
      </c>
      <c r="C139" s="24">
        <v>15000000</v>
      </c>
      <c r="D139" s="30"/>
      <c r="E139" s="30"/>
      <c r="F139" s="30"/>
      <c r="G139" s="30"/>
      <c r="H139" s="30"/>
      <c r="I139" s="30"/>
      <c r="J139" s="30"/>
      <c r="K139" s="30"/>
      <c r="L139" s="30"/>
      <c r="M139" s="8"/>
      <c r="N139" s="8"/>
      <c r="O139" s="8"/>
      <c r="P139" s="8"/>
      <c r="Q139" s="8"/>
      <c r="R139" s="8"/>
      <c r="S139" s="8"/>
      <c r="T139" s="8"/>
      <c r="U139" s="8"/>
      <c r="V139" s="8"/>
      <c r="W139" s="8"/>
      <c r="X139" s="8"/>
    </row>
    <row r="140" spans="1:24" ht="12.75" customHeight="1">
      <c r="A140" s="1053" t="s">
        <v>876</v>
      </c>
      <c r="B140" s="24" t="s">
        <v>802</v>
      </c>
      <c r="C140" s="24">
        <v>1</v>
      </c>
      <c r="D140" s="30"/>
      <c r="E140" s="30"/>
      <c r="F140" s="30"/>
      <c r="G140" s="30"/>
      <c r="H140" s="30"/>
      <c r="I140" s="30"/>
      <c r="J140" s="30"/>
      <c r="K140" s="30"/>
      <c r="L140" s="30"/>
      <c r="M140" s="8"/>
      <c r="N140" s="8"/>
      <c r="O140" s="8"/>
      <c r="P140" s="8"/>
      <c r="Q140" s="8"/>
      <c r="R140" s="8"/>
      <c r="S140" s="8"/>
      <c r="T140" s="8"/>
      <c r="U140" s="8"/>
      <c r="V140" s="8"/>
      <c r="W140" s="8"/>
      <c r="X140" s="8"/>
    </row>
    <row r="141" spans="1:24" ht="13.5" customHeight="1">
      <c r="A141" s="1053" t="s">
        <v>877</v>
      </c>
      <c r="B141" s="24" t="s">
        <v>502</v>
      </c>
      <c r="C141" s="24">
        <v>15000000</v>
      </c>
      <c r="D141" s="30"/>
      <c r="E141" s="30"/>
      <c r="F141" s="30"/>
      <c r="G141" s="30"/>
      <c r="H141" s="30"/>
      <c r="I141" s="30"/>
      <c r="J141" s="30"/>
      <c r="K141" s="30"/>
      <c r="L141" s="30"/>
      <c r="M141" s="13"/>
      <c r="N141" s="13"/>
      <c r="O141" s="13"/>
      <c r="P141" s="13"/>
      <c r="Q141" s="13"/>
      <c r="R141" s="13"/>
      <c r="S141" s="13"/>
      <c r="T141" s="13"/>
      <c r="U141" s="13"/>
      <c r="V141" s="13"/>
      <c r="W141" s="13"/>
      <c r="X141" s="13"/>
    </row>
    <row r="142" spans="1:24" ht="13.5" customHeight="1">
      <c r="A142" s="1053" t="s">
        <v>878</v>
      </c>
      <c r="B142" s="13" t="s">
        <v>549</v>
      </c>
      <c r="C142" s="24">
        <v>560000</v>
      </c>
      <c r="D142" s="30"/>
      <c r="E142" s="30"/>
      <c r="F142" s="30"/>
      <c r="G142" s="30"/>
      <c r="H142" s="30"/>
      <c r="I142" s="30"/>
      <c r="J142" s="30"/>
      <c r="K142" s="30"/>
      <c r="L142" s="30"/>
      <c r="M142" s="13"/>
      <c r="N142" s="13"/>
      <c r="O142" s="13"/>
      <c r="P142" s="13"/>
      <c r="Q142" s="13"/>
      <c r="R142" s="13"/>
      <c r="S142" s="13"/>
      <c r="T142" s="13"/>
      <c r="U142" s="13"/>
      <c r="V142" s="13"/>
      <c r="W142" s="13"/>
      <c r="X142" s="13"/>
    </row>
    <row r="143" spans="1:24" ht="13.5" customHeight="1">
      <c r="A143" s="1052" t="s">
        <v>879</v>
      </c>
      <c r="B143" s="21" t="s">
        <v>503</v>
      </c>
      <c r="C143" s="26">
        <f>+SUM(C144:C147)</f>
        <v>6653001</v>
      </c>
      <c r="D143" s="10"/>
      <c r="E143" s="10"/>
      <c r="F143" s="10"/>
      <c r="G143" s="10"/>
      <c r="H143" s="10"/>
      <c r="I143" s="10"/>
      <c r="J143" s="10"/>
      <c r="K143" s="10"/>
      <c r="L143" s="10"/>
      <c r="M143" s="13"/>
      <c r="N143" s="13"/>
      <c r="O143" s="13"/>
      <c r="P143" s="13"/>
      <c r="Q143" s="13"/>
      <c r="R143" s="13"/>
      <c r="S143" s="13"/>
      <c r="T143" s="13"/>
      <c r="U143" s="13"/>
      <c r="V143" s="13"/>
      <c r="W143" s="13"/>
      <c r="X143" s="13"/>
    </row>
    <row r="144" spans="1:24" ht="13.5" customHeight="1">
      <c r="A144" s="1053" t="s">
        <v>880</v>
      </c>
      <c r="B144" s="24" t="s">
        <v>550</v>
      </c>
      <c r="C144" s="24">
        <f>-3700000+9303000</f>
        <v>5603000</v>
      </c>
      <c r="D144" s="10"/>
      <c r="E144" s="10"/>
      <c r="F144" s="10"/>
      <c r="G144" s="10"/>
      <c r="H144" s="10"/>
      <c r="I144" s="10"/>
      <c r="J144" s="10"/>
      <c r="K144" s="10"/>
      <c r="L144" s="10"/>
      <c r="M144" s="13"/>
      <c r="N144" s="13"/>
      <c r="O144" s="13"/>
      <c r="P144" s="13"/>
      <c r="Q144" s="13"/>
      <c r="R144" s="13"/>
      <c r="S144" s="13"/>
      <c r="T144" s="13"/>
      <c r="U144" s="13"/>
      <c r="V144" s="13"/>
      <c r="W144" s="13"/>
      <c r="X144" s="13"/>
    </row>
    <row r="145" spans="1:24" ht="12.75" customHeight="1">
      <c r="A145" s="1053" t="s">
        <v>881</v>
      </c>
      <c r="B145" s="13" t="s">
        <v>551</v>
      </c>
      <c r="C145" s="24">
        <v>1</v>
      </c>
      <c r="D145" s="30"/>
      <c r="E145" s="30"/>
      <c r="F145" s="30"/>
      <c r="G145" s="30"/>
      <c r="H145" s="30"/>
      <c r="I145" s="30"/>
      <c r="J145" s="30"/>
      <c r="K145" s="30"/>
      <c r="L145" s="30"/>
      <c r="M145" s="8"/>
      <c r="N145" s="8"/>
      <c r="O145" s="8"/>
      <c r="P145" s="8"/>
      <c r="Q145" s="8"/>
      <c r="R145" s="8"/>
      <c r="S145" s="8"/>
      <c r="T145" s="8"/>
      <c r="U145" s="8"/>
      <c r="V145" s="8"/>
      <c r="W145" s="8"/>
      <c r="X145" s="8"/>
    </row>
    <row r="146" spans="1:24" ht="12.75" customHeight="1">
      <c r="A146" s="1053" t="s">
        <v>882</v>
      </c>
      <c r="B146" s="13" t="s">
        <v>552</v>
      </c>
      <c r="C146" s="24">
        <v>250000</v>
      </c>
      <c r="D146" s="30"/>
      <c r="E146" s="30"/>
      <c r="F146" s="30"/>
      <c r="G146" s="30"/>
      <c r="H146" s="30"/>
      <c r="I146" s="30"/>
      <c r="J146" s="30"/>
      <c r="K146" s="30"/>
      <c r="L146" s="30"/>
      <c r="M146" s="8"/>
      <c r="N146" s="8"/>
      <c r="O146" s="8"/>
      <c r="P146" s="8"/>
      <c r="Q146" s="8"/>
      <c r="R146" s="8"/>
      <c r="S146" s="8"/>
      <c r="T146" s="8"/>
      <c r="U146" s="8"/>
      <c r="V146" s="8"/>
      <c r="W146" s="8"/>
      <c r="X146" s="8"/>
    </row>
    <row r="147" spans="1:24" ht="12.75" customHeight="1">
      <c r="A147" s="1053" t="s">
        <v>883</v>
      </c>
      <c r="B147" s="24" t="s">
        <v>504</v>
      </c>
      <c r="C147" s="24">
        <v>800000</v>
      </c>
      <c r="D147" s="30"/>
      <c r="E147" s="30"/>
      <c r="F147" s="30"/>
      <c r="G147" s="30"/>
      <c r="H147" s="30"/>
      <c r="I147" s="30"/>
      <c r="J147" s="30"/>
      <c r="K147" s="30"/>
      <c r="L147" s="30"/>
      <c r="M147" s="8"/>
      <c r="N147" s="8"/>
      <c r="O147" s="8"/>
      <c r="P147" s="8"/>
      <c r="Q147" s="8"/>
      <c r="R147" s="8"/>
      <c r="S147" s="8"/>
      <c r="T147" s="8"/>
      <c r="U147" s="8"/>
      <c r="V147" s="8"/>
      <c r="W147" s="8"/>
      <c r="X147" s="8"/>
    </row>
    <row r="148" spans="1:24" ht="12.75" customHeight="1">
      <c r="A148" s="1053"/>
      <c r="B148" s="13"/>
      <c r="C148" s="14"/>
      <c r="D148" s="30"/>
      <c r="E148" s="30"/>
      <c r="F148" s="30"/>
      <c r="G148" s="30"/>
      <c r="H148" s="30"/>
      <c r="I148" s="30"/>
      <c r="J148" s="30"/>
      <c r="K148" s="30"/>
      <c r="L148" s="30"/>
      <c r="M148" s="8"/>
      <c r="N148" s="8"/>
      <c r="O148" s="8"/>
      <c r="P148" s="8"/>
      <c r="Q148" s="8"/>
      <c r="R148" s="8"/>
      <c r="S148" s="8"/>
      <c r="T148" s="8"/>
      <c r="U148" s="8"/>
      <c r="V148" s="8"/>
      <c r="W148" s="8"/>
      <c r="X148" s="8"/>
    </row>
    <row r="149" spans="1:24" ht="13.5" customHeight="1">
      <c r="A149" s="1060"/>
      <c r="D149" s="78"/>
      <c r="E149" s="78"/>
      <c r="F149" s="78"/>
      <c r="G149" s="78"/>
      <c r="H149" s="78"/>
      <c r="I149" s="78"/>
      <c r="J149" s="78"/>
      <c r="K149" s="78"/>
      <c r="L149" s="78"/>
      <c r="M149" s="79"/>
      <c r="N149" s="79"/>
      <c r="O149" s="79"/>
      <c r="P149" s="79"/>
      <c r="Q149" s="79"/>
      <c r="R149" s="79"/>
      <c r="S149" s="79"/>
      <c r="T149" s="79"/>
      <c r="U149" s="79"/>
      <c r="V149" s="79"/>
      <c r="W149" s="79"/>
      <c r="X149" s="79"/>
    </row>
    <row r="150" spans="1:24" ht="12.75" customHeight="1">
      <c r="D150" s="30"/>
      <c r="E150" s="30"/>
      <c r="F150" s="30"/>
      <c r="G150" s="30"/>
      <c r="H150" s="30"/>
      <c r="I150" s="30"/>
      <c r="J150" s="30"/>
      <c r="K150" s="30"/>
      <c r="L150" s="30"/>
      <c r="M150" s="8"/>
      <c r="N150" s="8"/>
      <c r="O150" s="8"/>
      <c r="P150" s="8"/>
      <c r="Q150" s="8"/>
      <c r="R150" s="8"/>
      <c r="S150" s="8"/>
      <c r="T150" s="8"/>
      <c r="U150" s="8"/>
      <c r="V150" s="8"/>
      <c r="W150" s="8"/>
      <c r="X150" s="8"/>
    </row>
    <row r="151" spans="1:24" ht="13.5" customHeight="1">
      <c r="D151" s="60"/>
      <c r="E151" s="60"/>
      <c r="F151" s="60"/>
      <c r="G151" s="60"/>
      <c r="H151" s="60"/>
      <c r="I151" s="60"/>
      <c r="J151" s="60"/>
      <c r="K151" s="60"/>
      <c r="L151" s="60"/>
      <c r="M151" s="13"/>
      <c r="N151" s="13"/>
      <c r="O151" s="13"/>
      <c r="P151" s="13"/>
      <c r="Q151" s="13"/>
      <c r="R151" s="13"/>
      <c r="S151" s="13"/>
      <c r="T151" s="13"/>
      <c r="U151" s="13"/>
      <c r="V151" s="13"/>
      <c r="W151" s="13"/>
      <c r="X151" s="13"/>
    </row>
    <row r="152" spans="1:24" ht="13.5" customHeight="1">
      <c r="D152" s="60"/>
      <c r="E152" s="60"/>
      <c r="F152" s="60"/>
      <c r="G152" s="60"/>
      <c r="H152" s="60"/>
      <c r="I152" s="60"/>
      <c r="J152" s="60"/>
      <c r="K152" s="60"/>
      <c r="L152" s="60"/>
      <c r="M152" s="13"/>
      <c r="N152" s="13"/>
      <c r="O152" s="13"/>
      <c r="P152" s="13"/>
      <c r="Q152" s="13"/>
      <c r="R152" s="13"/>
      <c r="S152" s="13"/>
      <c r="T152" s="13"/>
      <c r="U152" s="13"/>
      <c r="V152" s="13"/>
      <c r="W152" s="13"/>
      <c r="X152" s="13"/>
    </row>
    <row r="153" spans="1:24" ht="12.75" customHeight="1">
      <c r="D153" s="30"/>
      <c r="E153" s="30"/>
      <c r="F153" s="30"/>
      <c r="G153" s="30"/>
      <c r="H153" s="30"/>
      <c r="I153" s="30"/>
      <c r="J153" s="30"/>
      <c r="K153" s="30"/>
      <c r="L153" s="30"/>
      <c r="M153" s="8"/>
      <c r="N153" s="8"/>
      <c r="O153" s="8"/>
      <c r="P153" s="8"/>
      <c r="Q153" s="8"/>
      <c r="R153" s="8"/>
      <c r="S153" s="8"/>
      <c r="T153" s="8"/>
      <c r="U153" s="8"/>
      <c r="V153" s="8"/>
      <c r="W153" s="8"/>
      <c r="X153" s="8"/>
    </row>
    <row r="154" spans="1:24" ht="12.75" customHeight="1">
      <c r="D154" s="30"/>
      <c r="E154" s="30"/>
      <c r="F154" s="30"/>
      <c r="G154" s="30"/>
      <c r="H154" s="30"/>
      <c r="I154" s="30"/>
      <c r="J154" s="30"/>
      <c r="K154" s="30"/>
      <c r="L154" s="30"/>
      <c r="M154" s="8"/>
      <c r="N154" s="8"/>
      <c r="O154" s="8"/>
      <c r="P154" s="8"/>
      <c r="Q154" s="8"/>
      <c r="R154" s="8"/>
      <c r="S154" s="8"/>
      <c r="T154" s="8"/>
      <c r="U154" s="8"/>
      <c r="V154" s="8"/>
      <c r="W154" s="8"/>
      <c r="X154" s="8"/>
    </row>
    <row r="155" spans="1:24" ht="12.75" customHeight="1">
      <c r="D155" s="30"/>
      <c r="E155" s="30"/>
      <c r="F155" s="30"/>
      <c r="G155" s="30"/>
      <c r="H155" s="30"/>
      <c r="I155" s="30"/>
      <c r="J155" s="30"/>
      <c r="K155" s="30"/>
      <c r="L155" s="30"/>
      <c r="M155" s="8"/>
      <c r="N155" s="8"/>
      <c r="O155" s="8"/>
      <c r="P155" s="8"/>
      <c r="Q155" s="8"/>
      <c r="R155" s="8"/>
      <c r="S155" s="8"/>
      <c r="T155" s="8"/>
      <c r="U155" s="8"/>
      <c r="V155" s="8"/>
      <c r="W155" s="8"/>
      <c r="X155" s="8"/>
    </row>
    <row r="156" spans="1:24" ht="12.75" customHeight="1">
      <c r="D156" s="30"/>
      <c r="E156" s="30"/>
      <c r="F156" s="30"/>
      <c r="G156" s="30"/>
      <c r="H156" s="30"/>
      <c r="I156" s="30"/>
      <c r="J156" s="30"/>
      <c r="K156" s="30"/>
      <c r="L156" s="30"/>
      <c r="M156" s="8"/>
      <c r="N156" s="8"/>
      <c r="O156" s="8"/>
      <c r="P156" s="8"/>
      <c r="Q156" s="8"/>
      <c r="R156" s="8"/>
      <c r="S156" s="8"/>
      <c r="T156" s="8"/>
      <c r="U156" s="8"/>
      <c r="V156" s="8"/>
      <c r="W156" s="8"/>
      <c r="X156" s="8"/>
    </row>
    <row r="157" spans="1:24" ht="12.75" customHeight="1">
      <c r="D157" s="30"/>
      <c r="E157" s="30"/>
      <c r="F157" s="30"/>
      <c r="G157" s="30"/>
      <c r="H157" s="30"/>
      <c r="I157" s="30"/>
      <c r="J157" s="30"/>
      <c r="K157" s="30"/>
      <c r="L157" s="30"/>
      <c r="M157" s="8"/>
      <c r="N157" s="8"/>
      <c r="O157" s="8"/>
      <c r="P157" s="8"/>
      <c r="Q157" s="8"/>
      <c r="R157" s="8"/>
      <c r="S157" s="8"/>
      <c r="T157" s="8"/>
      <c r="U157" s="8"/>
      <c r="V157" s="8"/>
      <c r="W157" s="8"/>
      <c r="X157" s="8"/>
    </row>
    <row r="158" spans="1:24" ht="13.5" customHeight="1">
      <c r="D158" s="30"/>
      <c r="E158" s="30"/>
      <c r="F158" s="30"/>
      <c r="G158" s="30"/>
      <c r="H158" s="30"/>
      <c r="I158" s="30"/>
      <c r="J158" s="30"/>
      <c r="K158" s="30"/>
      <c r="L158" s="30"/>
      <c r="M158" s="13"/>
      <c r="N158" s="13"/>
      <c r="O158" s="13"/>
      <c r="P158" s="13"/>
      <c r="Q158" s="13"/>
      <c r="R158" s="13"/>
      <c r="S158" s="13"/>
      <c r="T158" s="13"/>
      <c r="U158" s="13"/>
      <c r="V158" s="13"/>
      <c r="W158" s="13"/>
      <c r="X158" s="13"/>
    </row>
    <row r="159" spans="1:24" ht="13.5" customHeight="1">
      <c r="D159" s="32"/>
      <c r="E159" s="32"/>
      <c r="F159" s="32"/>
      <c r="G159" s="32"/>
      <c r="H159" s="32"/>
      <c r="I159" s="32"/>
      <c r="J159" s="32"/>
      <c r="K159" s="32"/>
      <c r="L159" s="32"/>
      <c r="M159" s="13"/>
      <c r="N159" s="13"/>
      <c r="O159" s="13"/>
      <c r="P159" s="13"/>
      <c r="Q159" s="13"/>
      <c r="R159" s="13"/>
      <c r="S159" s="13"/>
      <c r="T159" s="13"/>
      <c r="U159" s="13"/>
      <c r="V159" s="13"/>
      <c r="W159" s="13"/>
      <c r="X159" s="13"/>
    </row>
    <row r="160" spans="1:24" ht="13.5" customHeight="1">
      <c r="D160" s="32"/>
      <c r="E160" s="32"/>
      <c r="F160" s="32"/>
      <c r="G160" s="32"/>
      <c r="H160" s="32"/>
      <c r="I160" s="32"/>
      <c r="J160" s="32"/>
      <c r="K160" s="32"/>
      <c r="L160" s="32"/>
      <c r="M160" s="13"/>
      <c r="N160" s="13"/>
      <c r="O160" s="13"/>
      <c r="P160" s="13"/>
      <c r="Q160" s="13"/>
      <c r="R160" s="13"/>
      <c r="S160" s="13"/>
      <c r="T160" s="13"/>
      <c r="U160" s="13"/>
      <c r="V160" s="13"/>
      <c r="W160" s="13"/>
      <c r="X160" s="13"/>
    </row>
    <row r="161" spans="4:24" ht="13.5" customHeight="1">
      <c r="D161" s="25"/>
      <c r="E161" s="25"/>
      <c r="F161" s="25"/>
      <c r="G161" s="25"/>
      <c r="H161" s="25"/>
      <c r="I161" s="25"/>
      <c r="J161" s="25"/>
      <c r="K161" s="25"/>
      <c r="L161" s="25"/>
      <c r="M161" s="13"/>
      <c r="N161" s="13"/>
      <c r="O161" s="13"/>
      <c r="P161" s="13"/>
      <c r="Q161" s="13"/>
      <c r="R161" s="13"/>
      <c r="S161" s="13"/>
      <c r="T161" s="13"/>
      <c r="U161" s="13"/>
      <c r="V161" s="13"/>
      <c r="W161" s="13"/>
      <c r="X161" s="13"/>
    </row>
    <row r="162" spans="4:24" ht="13.5" customHeight="1">
      <c r="D162" s="30"/>
      <c r="E162" s="30"/>
      <c r="F162" s="30"/>
      <c r="G162" s="30"/>
      <c r="H162" s="30"/>
      <c r="I162" s="30"/>
      <c r="J162" s="30"/>
      <c r="K162" s="30"/>
      <c r="L162" s="30"/>
      <c r="M162" s="13"/>
      <c r="N162" s="13"/>
      <c r="O162" s="13"/>
      <c r="P162" s="13"/>
      <c r="Q162" s="13"/>
      <c r="R162" s="13"/>
      <c r="S162" s="13"/>
      <c r="T162" s="13"/>
      <c r="U162" s="13"/>
      <c r="V162" s="13"/>
      <c r="W162" s="13"/>
      <c r="X162" s="13"/>
    </row>
    <row r="163" spans="4:24" ht="13.5" customHeight="1">
      <c r="D163" s="30"/>
      <c r="E163" s="30"/>
      <c r="F163" s="30"/>
      <c r="G163" s="30"/>
      <c r="H163" s="30"/>
      <c r="I163" s="30"/>
      <c r="J163" s="30"/>
      <c r="K163" s="30"/>
      <c r="L163" s="30"/>
      <c r="M163" s="13"/>
      <c r="N163" s="13"/>
      <c r="O163" s="13"/>
      <c r="P163" s="13"/>
      <c r="Q163" s="13"/>
      <c r="R163" s="13"/>
      <c r="S163" s="13"/>
      <c r="T163" s="13"/>
      <c r="U163" s="13"/>
      <c r="V163" s="13"/>
      <c r="W163" s="13"/>
      <c r="X163" s="13"/>
    </row>
    <row r="164" spans="4:24" ht="13.5" customHeight="1">
      <c r="D164" s="30"/>
      <c r="E164" s="30"/>
      <c r="F164" s="30"/>
      <c r="G164" s="30"/>
      <c r="H164" s="30"/>
      <c r="I164" s="30"/>
      <c r="J164" s="30"/>
      <c r="K164" s="30"/>
      <c r="L164" s="30"/>
      <c r="M164" s="13"/>
      <c r="N164" s="13"/>
      <c r="O164" s="13"/>
      <c r="P164" s="13"/>
      <c r="Q164" s="13"/>
      <c r="R164" s="13"/>
      <c r="S164" s="13"/>
      <c r="T164" s="13"/>
      <c r="U164" s="13"/>
      <c r="V164" s="13"/>
      <c r="W164" s="13"/>
      <c r="X164" s="13"/>
    </row>
    <row r="165" spans="4:24" ht="13.5" customHeight="1">
      <c r="D165" s="30"/>
      <c r="E165" s="30"/>
      <c r="F165" s="30"/>
      <c r="G165" s="30"/>
      <c r="H165" s="30"/>
      <c r="I165" s="30"/>
      <c r="J165" s="30"/>
      <c r="K165" s="30"/>
      <c r="L165" s="30"/>
      <c r="M165" s="13"/>
      <c r="N165" s="13"/>
      <c r="O165" s="13"/>
      <c r="P165" s="13"/>
      <c r="Q165" s="13"/>
      <c r="R165" s="13"/>
      <c r="S165" s="13"/>
      <c r="T165" s="13"/>
      <c r="U165" s="13"/>
      <c r="V165" s="13"/>
      <c r="W165" s="13"/>
      <c r="X165" s="13"/>
    </row>
    <row r="166" spans="4:24" ht="13.5" customHeight="1">
      <c r="D166" s="25"/>
      <c r="E166" s="25"/>
      <c r="F166" s="25"/>
      <c r="G166" s="25"/>
      <c r="H166" s="25"/>
      <c r="I166" s="25"/>
      <c r="J166" s="25"/>
      <c r="K166" s="25"/>
      <c r="L166" s="25"/>
      <c r="M166" s="13"/>
      <c r="N166" s="13"/>
      <c r="O166" s="13"/>
      <c r="P166" s="13"/>
      <c r="Q166" s="13"/>
      <c r="R166" s="13"/>
      <c r="S166" s="13"/>
      <c r="T166" s="13"/>
      <c r="U166" s="13"/>
      <c r="V166" s="13"/>
      <c r="W166" s="13"/>
      <c r="X166" s="13"/>
    </row>
    <row r="167" spans="4:24" ht="13.5" customHeight="1">
      <c r="D167" s="25"/>
      <c r="E167" s="25"/>
      <c r="F167" s="25"/>
      <c r="G167" s="25"/>
      <c r="H167" s="25"/>
      <c r="I167" s="25"/>
      <c r="J167" s="25"/>
      <c r="K167" s="25"/>
      <c r="L167" s="25"/>
      <c r="M167" s="13"/>
      <c r="N167" s="13"/>
      <c r="O167" s="13"/>
      <c r="P167" s="13"/>
      <c r="Q167" s="13"/>
      <c r="R167" s="13"/>
      <c r="S167" s="13"/>
      <c r="T167" s="13"/>
      <c r="U167" s="13"/>
      <c r="V167" s="13"/>
      <c r="W167" s="13"/>
      <c r="X167" s="13"/>
    </row>
    <row r="168" spans="4:24" ht="13.5" customHeight="1">
      <c r="D168" s="25"/>
      <c r="E168" s="25"/>
      <c r="F168" s="25"/>
      <c r="G168" s="25"/>
      <c r="H168" s="25"/>
      <c r="I168" s="25"/>
      <c r="J168" s="25"/>
      <c r="K168" s="25"/>
      <c r="L168" s="25"/>
      <c r="M168" s="13"/>
      <c r="N168" s="13"/>
      <c r="O168" s="13"/>
      <c r="P168" s="13"/>
      <c r="Q168" s="13"/>
      <c r="R168" s="13"/>
      <c r="S168" s="13"/>
      <c r="T168" s="13"/>
      <c r="U168" s="13"/>
      <c r="V168" s="13"/>
      <c r="W168" s="13"/>
      <c r="X168" s="13"/>
    </row>
    <row r="169" spans="4:24" ht="12.75" customHeight="1">
      <c r="D169" s="30"/>
      <c r="E169" s="30"/>
      <c r="F169" s="30"/>
      <c r="G169" s="30"/>
      <c r="H169" s="30"/>
      <c r="I169" s="30"/>
      <c r="J169" s="30"/>
      <c r="K169" s="30"/>
      <c r="L169" s="30"/>
      <c r="M169" s="8"/>
      <c r="N169" s="8"/>
      <c r="O169" s="8"/>
      <c r="P169" s="8"/>
      <c r="Q169" s="8"/>
      <c r="R169" s="8"/>
      <c r="S169" s="8"/>
      <c r="T169" s="8"/>
      <c r="U169" s="8"/>
      <c r="V169" s="8"/>
      <c r="W169" s="8"/>
      <c r="X169" s="8"/>
    </row>
    <row r="170" spans="4:24" ht="14.25" customHeight="1">
      <c r="D170" s="30"/>
      <c r="E170" s="30"/>
      <c r="F170" s="30"/>
      <c r="G170" s="30"/>
      <c r="H170" s="30"/>
      <c r="I170" s="30"/>
      <c r="J170" s="30"/>
      <c r="K170" s="30"/>
      <c r="L170" s="30"/>
      <c r="M170" s="8"/>
      <c r="N170" s="8"/>
      <c r="O170" s="8"/>
      <c r="P170" s="8"/>
      <c r="Q170" s="8"/>
      <c r="R170" s="8"/>
      <c r="S170" s="8"/>
      <c r="T170" s="8"/>
      <c r="U170" s="8"/>
      <c r="V170" s="8"/>
      <c r="W170" s="8"/>
      <c r="X170" s="8"/>
    </row>
    <row r="171" spans="4:24" ht="12.75" customHeight="1">
      <c r="D171" s="14"/>
      <c r="E171" s="14"/>
      <c r="F171" s="14"/>
      <c r="G171" s="14"/>
      <c r="H171" s="14"/>
      <c r="I171" s="14"/>
      <c r="J171" s="14"/>
      <c r="K171" s="14"/>
      <c r="L171" s="14"/>
      <c r="M171" s="8"/>
      <c r="N171" s="8"/>
      <c r="O171" s="8"/>
      <c r="P171" s="8"/>
      <c r="Q171" s="8"/>
      <c r="R171" s="8"/>
      <c r="S171" s="8"/>
      <c r="T171" s="8"/>
      <c r="U171" s="8"/>
      <c r="V171" s="8"/>
      <c r="W171" s="8"/>
      <c r="X171" s="8"/>
    </row>
    <row r="172" spans="4:24" ht="13.5" customHeight="1">
      <c r="D172" s="25"/>
      <c r="E172" s="25"/>
      <c r="F172" s="25"/>
      <c r="G172" s="25"/>
      <c r="H172" s="25"/>
      <c r="I172" s="25"/>
      <c r="J172" s="25"/>
      <c r="K172" s="25"/>
      <c r="L172" s="25"/>
      <c r="M172" s="13"/>
      <c r="N172" s="13"/>
      <c r="O172" s="13"/>
      <c r="P172" s="13"/>
      <c r="Q172" s="13"/>
      <c r="R172" s="13"/>
      <c r="S172" s="13"/>
      <c r="T172" s="13"/>
      <c r="U172" s="13"/>
      <c r="V172" s="13"/>
      <c r="W172" s="13"/>
      <c r="X172" s="13"/>
    </row>
    <row r="173" spans="4:24" ht="13.5" customHeight="1">
      <c r="D173" s="13"/>
      <c r="E173" s="13"/>
      <c r="F173" s="13"/>
      <c r="G173" s="13"/>
      <c r="H173" s="13"/>
      <c r="I173" s="13"/>
      <c r="J173" s="13"/>
      <c r="K173" s="13"/>
      <c r="L173" s="13"/>
      <c r="M173" s="13"/>
      <c r="N173" s="13"/>
      <c r="O173" s="13"/>
      <c r="P173" s="13"/>
      <c r="Q173" s="13"/>
      <c r="R173" s="13"/>
      <c r="S173" s="13"/>
      <c r="T173" s="13"/>
      <c r="U173" s="13"/>
      <c r="V173" s="13"/>
      <c r="W173" s="13"/>
      <c r="X173" s="13"/>
    </row>
    <row r="174" spans="4:24" ht="12.75" customHeight="1">
      <c r="D174" s="30"/>
      <c r="E174" s="30"/>
      <c r="F174" s="30"/>
      <c r="G174" s="30"/>
      <c r="H174" s="30"/>
      <c r="I174" s="30"/>
      <c r="J174" s="30"/>
      <c r="K174" s="30"/>
      <c r="L174" s="30"/>
      <c r="M174" s="8"/>
      <c r="N174" s="8"/>
      <c r="O174" s="8"/>
      <c r="P174" s="8"/>
      <c r="Q174" s="8"/>
      <c r="R174" s="8"/>
      <c r="S174" s="8"/>
      <c r="T174" s="8"/>
      <c r="U174" s="8"/>
      <c r="V174" s="8"/>
      <c r="W174" s="8"/>
      <c r="X174" s="8"/>
    </row>
    <row r="175" spans="4:24" ht="12.75" customHeight="1">
      <c r="D175" s="14"/>
      <c r="E175" s="14"/>
      <c r="F175" s="14"/>
      <c r="G175" s="14"/>
      <c r="H175" s="14"/>
      <c r="I175" s="14"/>
      <c r="J175" s="14"/>
      <c r="K175" s="14"/>
      <c r="L175" s="14"/>
      <c r="M175" s="8"/>
      <c r="N175" s="8"/>
      <c r="O175" s="8"/>
      <c r="P175" s="8"/>
      <c r="Q175" s="8"/>
      <c r="R175" s="8"/>
      <c r="S175" s="8"/>
      <c r="T175" s="8"/>
      <c r="U175" s="8"/>
      <c r="V175" s="8"/>
      <c r="W175" s="8"/>
      <c r="X175" s="8"/>
    </row>
    <row r="176" spans="4:24" ht="12.75" customHeight="1">
      <c r="D176" s="30"/>
      <c r="E176" s="30"/>
      <c r="F176" s="30"/>
      <c r="G176" s="30"/>
      <c r="H176" s="30"/>
      <c r="I176" s="30"/>
      <c r="J176" s="30"/>
      <c r="K176" s="30"/>
      <c r="L176" s="30"/>
      <c r="M176" s="8"/>
      <c r="N176" s="8"/>
      <c r="O176" s="8"/>
      <c r="P176" s="8"/>
      <c r="Q176" s="8"/>
      <c r="R176" s="8"/>
      <c r="S176" s="8"/>
      <c r="T176" s="8"/>
      <c r="U176" s="8"/>
      <c r="V176" s="8"/>
      <c r="W176" s="8"/>
      <c r="X176" s="8"/>
    </row>
    <row r="177" spans="4:24" ht="12.75" customHeight="1">
      <c r="D177" s="14"/>
      <c r="E177" s="14"/>
      <c r="F177" s="14"/>
      <c r="G177" s="14"/>
      <c r="H177" s="14"/>
      <c r="I177" s="14"/>
      <c r="J177" s="14"/>
      <c r="K177" s="14"/>
      <c r="L177" s="14"/>
      <c r="M177" s="8"/>
      <c r="N177" s="8"/>
      <c r="O177" s="8"/>
      <c r="P177" s="8"/>
      <c r="Q177" s="8"/>
      <c r="R177" s="8"/>
      <c r="S177" s="8"/>
      <c r="T177" s="8"/>
      <c r="U177" s="8"/>
      <c r="V177" s="8"/>
      <c r="W177" s="8"/>
      <c r="X177" s="8"/>
    </row>
    <row r="178" spans="4:24" ht="12.75" customHeight="1">
      <c r="D178" s="30"/>
      <c r="E178" s="30"/>
      <c r="F178" s="30"/>
      <c r="G178" s="30"/>
      <c r="H178" s="30"/>
      <c r="I178" s="30"/>
      <c r="J178" s="30"/>
      <c r="K178" s="30"/>
      <c r="L178" s="30"/>
      <c r="M178" s="8"/>
      <c r="N178" s="8"/>
      <c r="O178" s="8"/>
      <c r="P178" s="8"/>
      <c r="Q178" s="8"/>
      <c r="R178" s="8"/>
      <c r="S178" s="8"/>
      <c r="T178" s="8"/>
      <c r="U178" s="8"/>
      <c r="V178" s="8"/>
      <c r="W178" s="8"/>
      <c r="X178" s="8"/>
    </row>
    <row r="179" spans="4:24" ht="12.75" customHeight="1">
      <c r="D179" s="44"/>
      <c r="E179" s="44"/>
      <c r="F179" s="44"/>
      <c r="G179" s="44"/>
      <c r="H179" s="44"/>
      <c r="I179" s="44"/>
      <c r="J179" s="44"/>
      <c r="K179" s="44"/>
      <c r="L179" s="44"/>
      <c r="M179" s="8"/>
      <c r="N179" s="8"/>
      <c r="O179" s="8"/>
      <c r="P179" s="8"/>
      <c r="Q179" s="8"/>
      <c r="R179" s="8"/>
      <c r="S179" s="8"/>
      <c r="T179" s="8"/>
      <c r="U179" s="8"/>
      <c r="V179" s="8"/>
      <c r="W179" s="8"/>
      <c r="X179" s="8"/>
    </row>
    <row r="180" spans="4:24" ht="12.75" customHeight="1">
      <c r="D180" s="16"/>
      <c r="E180" s="16"/>
      <c r="F180" s="16"/>
      <c r="G180" s="16"/>
      <c r="H180" s="16"/>
      <c r="I180" s="16"/>
      <c r="J180" s="16"/>
      <c r="K180" s="16"/>
      <c r="L180" s="16"/>
      <c r="M180" s="8"/>
      <c r="N180" s="8"/>
      <c r="O180" s="8"/>
      <c r="P180" s="8"/>
      <c r="Q180" s="8"/>
      <c r="R180" s="8"/>
      <c r="S180" s="8"/>
      <c r="T180" s="8"/>
      <c r="U180" s="8"/>
      <c r="V180" s="8"/>
      <c r="W180" s="8"/>
      <c r="X180" s="8"/>
    </row>
    <row r="181" spans="4:24" ht="12.75" customHeight="1">
      <c r="D181" s="30"/>
      <c r="E181" s="30"/>
      <c r="F181" s="30"/>
      <c r="G181" s="30"/>
      <c r="H181" s="30"/>
      <c r="I181" s="30"/>
      <c r="J181" s="30"/>
      <c r="K181" s="30"/>
      <c r="L181" s="30"/>
      <c r="M181" s="8"/>
      <c r="N181" s="8"/>
      <c r="O181" s="8"/>
      <c r="P181" s="8"/>
      <c r="Q181" s="8"/>
      <c r="R181" s="8"/>
      <c r="S181" s="8"/>
      <c r="T181" s="8"/>
      <c r="U181" s="8"/>
      <c r="V181" s="8"/>
      <c r="W181" s="8"/>
      <c r="X181" s="8"/>
    </row>
    <row r="182" spans="4:24" ht="12.75" customHeight="1">
      <c r="D182" s="30"/>
      <c r="E182" s="30"/>
      <c r="F182" s="30"/>
      <c r="G182" s="30"/>
      <c r="H182" s="30"/>
      <c r="I182" s="30"/>
      <c r="J182" s="30"/>
      <c r="K182" s="30"/>
      <c r="L182" s="30"/>
      <c r="M182" s="8"/>
      <c r="N182" s="8"/>
      <c r="O182" s="8"/>
      <c r="P182" s="8"/>
      <c r="Q182" s="8"/>
      <c r="R182" s="8"/>
      <c r="S182" s="8"/>
      <c r="T182" s="8"/>
      <c r="U182" s="8"/>
      <c r="V182" s="8"/>
      <c r="W182" s="8"/>
      <c r="X182" s="8"/>
    </row>
    <row r="183" spans="4:24" ht="12.75" customHeight="1">
      <c r="D183" s="30"/>
      <c r="E183" s="30"/>
      <c r="F183" s="30"/>
      <c r="G183" s="30"/>
      <c r="H183" s="30"/>
      <c r="I183" s="30"/>
      <c r="J183" s="30"/>
      <c r="K183" s="30"/>
      <c r="L183" s="30"/>
      <c r="M183" s="8"/>
      <c r="N183" s="8"/>
      <c r="O183" s="8"/>
      <c r="P183" s="8"/>
      <c r="Q183" s="8"/>
      <c r="R183" s="8"/>
      <c r="S183" s="8"/>
      <c r="T183" s="8"/>
      <c r="U183" s="8"/>
      <c r="V183" s="8"/>
      <c r="W183" s="8"/>
      <c r="X183" s="8"/>
    </row>
    <row r="184" spans="4:24" ht="12.75" customHeight="1">
      <c r="D184" s="30"/>
      <c r="E184" s="30"/>
      <c r="F184" s="30"/>
      <c r="G184" s="30"/>
      <c r="H184" s="30"/>
      <c r="I184" s="30"/>
      <c r="J184" s="30"/>
      <c r="K184" s="30"/>
      <c r="L184" s="30"/>
      <c r="M184" s="8"/>
      <c r="N184" s="8"/>
      <c r="O184" s="8"/>
      <c r="P184" s="8"/>
      <c r="Q184" s="8"/>
      <c r="R184" s="8"/>
      <c r="S184" s="8"/>
      <c r="T184" s="8"/>
      <c r="U184" s="8"/>
      <c r="V184" s="8"/>
      <c r="W184" s="8"/>
      <c r="X184" s="8"/>
    </row>
    <row r="185" spans="4:24" ht="12.75" customHeight="1">
      <c r="D185" s="30"/>
      <c r="E185" s="30"/>
      <c r="F185" s="30"/>
      <c r="G185" s="30"/>
      <c r="H185" s="30"/>
      <c r="I185" s="30"/>
      <c r="J185" s="30"/>
      <c r="K185" s="30"/>
      <c r="L185" s="30"/>
      <c r="M185" s="8"/>
      <c r="N185" s="8"/>
      <c r="O185" s="8"/>
      <c r="P185" s="8"/>
      <c r="Q185" s="8"/>
      <c r="R185" s="8"/>
      <c r="S185" s="8"/>
      <c r="T185" s="8"/>
      <c r="U185" s="8"/>
      <c r="V185" s="8"/>
      <c r="W185" s="8"/>
      <c r="X185" s="8"/>
    </row>
    <row r="186" spans="4:24" ht="12.75" customHeight="1">
      <c r="D186" s="30"/>
      <c r="E186" s="30"/>
      <c r="F186" s="30"/>
      <c r="G186" s="30"/>
      <c r="H186" s="30"/>
      <c r="I186" s="30"/>
      <c r="J186" s="30"/>
      <c r="K186" s="30"/>
      <c r="L186" s="30"/>
      <c r="M186" s="8"/>
      <c r="N186" s="8"/>
      <c r="O186" s="8"/>
      <c r="P186" s="8"/>
      <c r="Q186" s="8"/>
      <c r="R186" s="8"/>
      <c r="S186" s="8"/>
      <c r="T186" s="8"/>
      <c r="U186" s="8"/>
      <c r="V186" s="8"/>
      <c r="W186" s="8"/>
      <c r="X186" s="8"/>
    </row>
    <row r="187" spans="4:24" ht="12.75" customHeight="1">
      <c r="D187" s="30"/>
      <c r="E187" s="30"/>
      <c r="F187" s="30"/>
      <c r="G187" s="30"/>
      <c r="H187" s="30"/>
      <c r="I187" s="30"/>
      <c r="J187" s="30"/>
      <c r="K187" s="30"/>
      <c r="L187" s="30"/>
      <c r="M187" s="8"/>
      <c r="N187" s="8"/>
      <c r="O187" s="8"/>
      <c r="P187" s="8"/>
      <c r="Q187" s="8"/>
      <c r="R187" s="8"/>
      <c r="S187" s="8"/>
      <c r="T187" s="8"/>
      <c r="U187" s="8"/>
      <c r="V187" s="8"/>
      <c r="W187" s="8"/>
      <c r="X187" s="8"/>
    </row>
    <row r="188" spans="4:24" ht="12.75" customHeight="1">
      <c r="D188" s="30"/>
      <c r="E188" s="30"/>
      <c r="F188" s="30"/>
      <c r="G188" s="30"/>
      <c r="H188" s="30"/>
      <c r="I188" s="30"/>
      <c r="J188" s="30"/>
      <c r="K188" s="30"/>
      <c r="L188" s="30"/>
      <c r="M188" s="8"/>
      <c r="N188" s="8"/>
      <c r="O188" s="8"/>
      <c r="P188" s="8"/>
      <c r="Q188" s="8"/>
      <c r="R188" s="8"/>
      <c r="S188" s="8"/>
      <c r="T188" s="8"/>
      <c r="U188" s="8"/>
      <c r="V188" s="8"/>
      <c r="W188" s="8"/>
      <c r="X188" s="8"/>
    </row>
    <row r="189" spans="4:24" ht="12.75" customHeight="1">
      <c r="D189" s="30"/>
      <c r="E189" s="30"/>
      <c r="F189" s="30"/>
      <c r="G189" s="30"/>
      <c r="H189" s="30"/>
      <c r="I189" s="30"/>
      <c r="J189" s="30"/>
      <c r="K189" s="30"/>
      <c r="L189" s="30"/>
      <c r="M189" s="8"/>
      <c r="N189" s="8"/>
      <c r="O189" s="8"/>
      <c r="P189" s="8"/>
      <c r="Q189" s="8"/>
      <c r="R189" s="8"/>
      <c r="S189" s="8"/>
      <c r="T189" s="8"/>
      <c r="U189" s="8"/>
      <c r="V189" s="8"/>
      <c r="W189" s="8"/>
      <c r="X189" s="8"/>
    </row>
    <row r="190" spans="4:24" ht="13.5" customHeight="1">
      <c r="D190" s="10"/>
      <c r="E190" s="10"/>
      <c r="F190" s="10"/>
      <c r="G190" s="10"/>
      <c r="H190" s="10"/>
      <c r="I190" s="10"/>
      <c r="J190" s="10"/>
      <c r="K190" s="10"/>
      <c r="L190" s="10"/>
      <c r="M190" s="13"/>
      <c r="N190" s="13"/>
      <c r="O190" s="13"/>
      <c r="P190" s="13"/>
      <c r="Q190" s="13"/>
      <c r="R190" s="13"/>
      <c r="S190" s="13"/>
      <c r="T190" s="13"/>
      <c r="U190" s="13"/>
      <c r="V190" s="13"/>
      <c r="W190" s="13"/>
      <c r="X190" s="13"/>
    </row>
    <row r="191" spans="4:24" ht="13.5" customHeight="1">
      <c r="D191" s="30"/>
      <c r="E191" s="30"/>
      <c r="F191" s="30"/>
      <c r="G191" s="30"/>
      <c r="H191" s="30"/>
      <c r="I191" s="30"/>
      <c r="J191" s="30"/>
      <c r="K191" s="30"/>
      <c r="L191" s="30"/>
      <c r="M191" s="13"/>
      <c r="N191" s="13"/>
      <c r="O191" s="13"/>
      <c r="P191" s="13"/>
      <c r="Q191" s="13"/>
      <c r="R191" s="13"/>
      <c r="S191" s="13"/>
      <c r="T191" s="13"/>
      <c r="U191" s="13"/>
      <c r="V191" s="13"/>
      <c r="W191" s="13"/>
      <c r="X191" s="13"/>
    </row>
    <row r="192" spans="4:24" ht="13.5" customHeight="1">
      <c r="D192" s="10"/>
      <c r="E192" s="10"/>
      <c r="F192" s="10"/>
      <c r="G192" s="10"/>
      <c r="H192" s="10"/>
      <c r="I192" s="10"/>
      <c r="J192" s="10"/>
      <c r="K192" s="10"/>
      <c r="L192" s="10"/>
      <c r="M192" s="13"/>
      <c r="N192" s="13"/>
      <c r="O192" s="13"/>
      <c r="P192" s="13"/>
      <c r="Q192" s="13"/>
      <c r="R192" s="13"/>
      <c r="S192" s="13"/>
      <c r="T192" s="13"/>
      <c r="U192" s="13"/>
      <c r="V192" s="13"/>
      <c r="W192" s="13"/>
      <c r="X192" s="13"/>
    </row>
    <row r="193" spans="1:24" ht="13.5" customHeight="1">
      <c r="D193" s="10"/>
      <c r="E193" s="10"/>
      <c r="F193" s="10"/>
      <c r="G193" s="10"/>
      <c r="H193" s="10"/>
      <c r="I193" s="10"/>
      <c r="J193" s="10"/>
      <c r="K193" s="10"/>
      <c r="L193" s="10"/>
      <c r="M193" s="13"/>
      <c r="N193" s="13"/>
      <c r="O193" s="13"/>
      <c r="P193" s="13"/>
      <c r="Q193" s="13"/>
      <c r="R193" s="13"/>
      <c r="S193" s="13"/>
      <c r="T193" s="13"/>
      <c r="U193" s="13"/>
      <c r="V193" s="13"/>
      <c r="W193" s="13"/>
      <c r="X193" s="13"/>
    </row>
    <row r="194" spans="1:24" ht="13.5" customHeight="1">
      <c r="D194" s="10"/>
      <c r="E194" s="10"/>
      <c r="F194" s="10"/>
      <c r="G194" s="10"/>
      <c r="H194" s="10"/>
      <c r="I194" s="10"/>
      <c r="J194" s="10"/>
      <c r="K194" s="10"/>
      <c r="L194" s="10"/>
      <c r="M194" s="13"/>
      <c r="N194" s="13"/>
      <c r="O194" s="13"/>
      <c r="P194" s="13"/>
      <c r="Q194" s="13"/>
      <c r="R194" s="13"/>
      <c r="S194" s="13"/>
      <c r="T194" s="13"/>
      <c r="U194" s="13"/>
      <c r="V194" s="13"/>
      <c r="W194" s="13"/>
      <c r="X194" s="13"/>
    </row>
    <row r="195" spans="1:24" ht="12.75" customHeight="1">
      <c r="D195" s="30"/>
      <c r="E195" s="30"/>
      <c r="F195" s="30"/>
      <c r="G195" s="30"/>
      <c r="H195" s="30"/>
      <c r="I195" s="30"/>
      <c r="J195" s="30"/>
      <c r="K195" s="30"/>
      <c r="L195" s="30"/>
      <c r="M195" s="8"/>
      <c r="N195" s="8"/>
      <c r="O195" s="8"/>
      <c r="P195" s="8"/>
      <c r="Q195" s="8"/>
      <c r="R195" s="8"/>
      <c r="S195" s="8"/>
      <c r="T195" s="8"/>
      <c r="U195" s="8"/>
      <c r="V195" s="8"/>
      <c r="W195" s="8"/>
      <c r="X195" s="8"/>
    </row>
    <row r="196" spans="1:24" ht="12.75" customHeight="1">
      <c r="D196" s="30"/>
      <c r="E196" s="30"/>
      <c r="F196" s="30"/>
      <c r="G196" s="30"/>
      <c r="H196" s="30"/>
      <c r="I196" s="30"/>
      <c r="J196" s="30"/>
      <c r="K196" s="30"/>
      <c r="L196" s="30"/>
      <c r="M196" s="8"/>
      <c r="N196" s="8"/>
      <c r="O196" s="8"/>
      <c r="P196" s="8"/>
      <c r="Q196" s="8"/>
      <c r="R196" s="8"/>
      <c r="S196" s="8"/>
      <c r="T196" s="8"/>
      <c r="U196" s="8"/>
      <c r="V196" s="8"/>
      <c r="W196" s="8"/>
      <c r="X196" s="8"/>
    </row>
    <row r="197" spans="1:24" ht="12.75" customHeight="1">
      <c r="D197" s="30"/>
      <c r="E197" s="30"/>
      <c r="F197" s="30"/>
      <c r="G197" s="30"/>
      <c r="H197" s="30"/>
      <c r="I197" s="30"/>
      <c r="J197" s="30"/>
      <c r="K197" s="30"/>
      <c r="L197" s="30"/>
      <c r="M197" s="8"/>
      <c r="N197" s="8"/>
      <c r="O197" s="8"/>
      <c r="P197" s="8"/>
      <c r="Q197" s="8"/>
      <c r="R197" s="8"/>
      <c r="S197" s="8"/>
      <c r="T197" s="8"/>
      <c r="U197" s="8"/>
      <c r="V197" s="8"/>
      <c r="W197" s="8"/>
      <c r="X197" s="8"/>
    </row>
    <row r="198" spans="1:24" ht="12.75" customHeight="1">
      <c r="D198" s="30"/>
      <c r="E198" s="30"/>
      <c r="F198" s="30"/>
      <c r="G198" s="30"/>
      <c r="H198" s="30"/>
      <c r="I198" s="30"/>
      <c r="J198" s="30"/>
      <c r="K198" s="30"/>
      <c r="L198" s="30"/>
      <c r="M198" s="8"/>
      <c r="N198" s="8"/>
      <c r="O198" s="8"/>
      <c r="P198" s="8"/>
      <c r="Q198" s="8"/>
      <c r="R198" s="8"/>
      <c r="S198" s="8"/>
      <c r="T198" s="8"/>
      <c r="U198" s="8"/>
      <c r="V198" s="8"/>
      <c r="W198" s="8"/>
      <c r="X198" s="8"/>
    </row>
    <row r="199" spans="1:24" ht="12.75" customHeight="1">
      <c r="A199" s="13"/>
      <c r="B199" s="13"/>
      <c r="C199" s="13"/>
      <c r="D199" s="30"/>
      <c r="E199" s="30"/>
      <c r="F199" s="30"/>
      <c r="G199" s="30"/>
      <c r="H199" s="30"/>
      <c r="I199" s="30"/>
      <c r="J199" s="30"/>
      <c r="K199" s="30"/>
      <c r="L199" s="30"/>
      <c r="M199" s="8"/>
      <c r="N199" s="8"/>
      <c r="O199" s="8"/>
      <c r="P199" s="8"/>
      <c r="Q199" s="8"/>
      <c r="R199" s="8"/>
      <c r="S199" s="8"/>
      <c r="T199" s="8"/>
      <c r="U199" s="8"/>
      <c r="V199" s="8"/>
      <c r="W199" s="8"/>
      <c r="X199" s="8"/>
    </row>
    <row r="200" spans="1:24" ht="13.5" customHeight="1">
      <c r="A200" s="13"/>
      <c r="B200" s="13"/>
      <c r="C200" s="13"/>
      <c r="D200" s="60"/>
      <c r="E200" s="60"/>
      <c r="F200" s="60"/>
      <c r="G200" s="60"/>
      <c r="H200" s="60"/>
      <c r="I200" s="60"/>
      <c r="J200" s="60"/>
      <c r="K200" s="60"/>
      <c r="L200" s="60"/>
      <c r="M200" s="13"/>
      <c r="N200" s="13"/>
      <c r="O200" s="13"/>
      <c r="P200" s="13"/>
      <c r="Q200" s="13"/>
      <c r="R200" s="13"/>
      <c r="S200" s="13"/>
      <c r="T200" s="13"/>
      <c r="U200" s="13"/>
      <c r="V200" s="13"/>
      <c r="W200" s="13"/>
      <c r="X200" s="13"/>
    </row>
    <row r="201" spans="1:24" ht="13.5" customHeight="1">
      <c r="A201" s="13"/>
      <c r="B201" s="13"/>
      <c r="C201" s="13"/>
      <c r="D201" s="60"/>
      <c r="E201" s="60"/>
      <c r="F201" s="60"/>
      <c r="G201" s="60"/>
      <c r="H201" s="60"/>
      <c r="I201" s="60"/>
      <c r="J201" s="60"/>
      <c r="K201" s="60"/>
      <c r="L201" s="60"/>
      <c r="M201" s="13"/>
      <c r="N201" s="13"/>
      <c r="O201" s="13"/>
      <c r="P201" s="13"/>
      <c r="Q201" s="13"/>
      <c r="R201" s="13"/>
      <c r="S201" s="13"/>
      <c r="T201" s="13"/>
      <c r="U201" s="13"/>
      <c r="V201" s="13"/>
      <c r="W201" s="13"/>
      <c r="X201" s="13"/>
    </row>
    <row r="202" spans="1:24" ht="12.75" customHeight="1">
      <c r="A202" s="13"/>
      <c r="B202" s="13"/>
      <c r="C202" s="13"/>
      <c r="D202" s="30"/>
      <c r="E202" s="30"/>
      <c r="F202" s="30"/>
      <c r="G202" s="30"/>
      <c r="H202" s="30"/>
      <c r="I202" s="30"/>
      <c r="J202" s="30"/>
      <c r="K202" s="30"/>
      <c r="L202" s="30"/>
      <c r="M202" s="8"/>
      <c r="N202" s="8"/>
      <c r="O202" s="8"/>
      <c r="P202" s="8"/>
      <c r="Q202" s="8"/>
      <c r="R202" s="8"/>
      <c r="S202" s="8"/>
      <c r="T202" s="8"/>
      <c r="U202" s="8"/>
      <c r="V202" s="8"/>
      <c r="W202" s="8"/>
      <c r="X202" s="8"/>
    </row>
    <row r="203" spans="1:24" ht="12.75" customHeight="1">
      <c r="A203" s="13"/>
      <c r="B203" s="13"/>
      <c r="C203" s="13"/>
      <c r="D203" s="30"/>
      <c r="E203" s="30"/>
      <c r="F203" s="30"/>
      <c r="G203" s="30"/>
      <c r="H203" s="30"/>
      <c r="I203" s="30"/>
      <c r="J203" s="30"/>
      <c r="K203" s="30"/>
      <c r="L203" s="30"/>
      <c r="M203" s="8"/>
      <c r="N203" s="8"/>
      <c r="O203" s="8"/>
      <c r="P203" s="8"/>
      <c r="Q203" s="8"/>
      <c r="R203" s="8"/>
      <c r="S203" s="8"/>
      <c r="T203" s="8"/>
      <c r="U203" s="8"/>
      <c r="V203" s="8"/>
      <c r="W203" s="8"/>
      <c r="X203" s="8"/>
    </row>
    <row r="204" spans="1:24" ht="12.75" customHeight="1">
      <c r="A204" s="13"/>
      <c r="B204" s="13"/>
      <c r="C204" s="13"/>
      <c r="D204" s="30"/>
      <c r="E204" s="30"/>
      <c r="F204" s="30"/>
      <c r="G204" s="30"/>
      <c r="H204" s="30"/>
      <c r="I204" s="30"/>
      <c r="J204" s="30"/>
      <c r="K204" s="30"/>
      <c r="L204" s="30"/>
      <c r="M204" s="8"/>
      <c r="N204" s="8"/>
      <c r="O204" s="8"/>
      <c r="P204" s="8"/>
      <c r="Q204" s="8"/>
      <c r="R204" s="8"/>
      <c r="S204" s="8"/>
      <c r="T204" s="8"/>
      <c r="U204" s="8"/>
      <c r="V204" s="8"/>
      <c r="W204" s="8"/>
      <c r="X204" s="8"/>
    </row>
    <row r="205" spans="1:24" ht="12.75" customHeight="1">
      <c r="A205" s="13"/>
      <c r="B205" s="13"/>
      <c r="C205" s="13"/>
      <c r="D205" s="30"/>
      <c r="E205" s="30"/>
      <c r="F205" s="30"/>
      <c r="G205" s="30"/>
      <c r="H205" s="30"/>
      <c r="I205" s="30"/>
      <c r="J205" s="30"/>
      <c r="K205" s="30"/>
      <c r="L205" s="30"/>
      <c r="M205" s="8"/>
      <c r="N205" s="8"/>
      <c r="O205" s="8"/>
      <c r="P205" s="8"/>
      <c r="Q205" s="8"/>
      <c r="R205" s="8"/>
      <c r="S205" s="8"/>
      <c r="T205" s="8"/>
      <c r="U205" s="8"/>
      <c r="V205" s="8"/>
      <c r="W205" s="8"/>
      <c r="X205" s="8"/>
    </row>
    <row r="206" spans="1:24" ht="12.75" customHeight="1">
      <c r="A206" s="13"/>
      <c r="B206" s="13"/>
      <c r="C206" s="13"/>
      <c r="D206" s="30"/>
      <c r="E206" s="30"/>
      <c r="F206" s="30"/>
      <c r="G206" s="30"/>
      <c r="H206" s="30"/>
      <c r="I206" s="30"/>
      <c r="J206" s="30"/>
      <c r="K206" s="30"/>
      <c r="L206" s="30"/>
      <c r="M206" s="8"/>
      <c r="N206" s="8"/>
      <c r="O206" s="8"/>
      <c r="P206" s="8"/>
      <c r="Q206" s="8"/>
      <c r="R206" s="8"/>
      <c r="S206" s="8"/>
      <c r="T206" s="8"/>
      <c r="U206" s="8"/>
      <c r="V206" s="8"/>
      <c r="W206" s="8"/>
      <c r="X206" s="8"/>
    </row>
    <row r="207" spans="1:24" ht="13.5" customHeight="1">
      <c r="A207" s="13"/>
      <c r="B207" s="13"/>
      <c r="C207" s="13"/>
      <c r="D207" s="32"/>
      <c r="E207" s="32"/>
      <c r="F207" s="32"/>
      <c r="G207" s="32"/>
      <c r="H207" s="32"/>
      <c r="I207" s="32"/>
      <c r="J207" s="32"/>
      <c r="K207" s="32"/>
      <c r="L207" s="32"/>
      <c r="M207" s="13"/>
      <c r="N207" s="13"/>
      <c r="O207" s="13"/>
      <c r="P207" s="13"/>
      <c r="Q207" s="13"/>
      <c r="R207" s="13"/>
      <c r="S207" s="13"/>
      <c r="T207" s="13"/>
      <c r="U207" s="13"/>
      <c r="V207" s="13"/>
      <c r="W207" s="13"/>
      <c r="X207" s="13"/>
    </row>
    <row r="208" spans="1:24" ht="13.5" customHeight="1">
      <c r="A208" s="13"/>
      <c r="B208" s="13"/>
      <c r="C208" s="13"/>
      <c r="D208" s="32"/>
      <c r="E208" s="32"/>
      <c r="F208" s="32"/>
      <c r="G208" s="32"/>
      <c r="H208" s="32"/>
      <c r="I208" s="32"/>
      <c r="J208" s="32"/>
      <c r="K208" s="32"/>
      <c r="L208" s="32"/>
      <c r="M208" s="13"/>
      <c r="N208" s="13"/>
      <c r="O208" s="13"/>
      <c r="P208" s="13"/>
      <c r="Q208" s="13"/>
      <c r="R208" s="13"/>
      <c r="S208" s="13"/>
      <c r="T208" s="13"/>
      <c r="U208" s="13"/>
      <c r="V208" s="13"/>
      <c r="W208" s="13"/>
      <c r="X208" s="13"/>
    </row>
    <row r="209" spans="1:24" ht="13.5" customHeight="1">
      <c r="A209" s="13"/>
      <c r="B209" s="13"/>
      <c r="C209" s="13"/>
      <c r="D209" s="25"/>
      <c r="E209" s="25"/>
      <c r="F209" s="25"/>
      <c r="G209" s="25"/>
      <c r="H209" s="25"/>
      <c r="I209" s="25"/>
      <c r="J209" s="25"/>
      <c r="K209" s="25"/>
      <c r="L209" s="25"/>
      <c r="M209" s="13"/>
      <c r="N209" s="13"/>
      <c r="O209" s="13"/>
      <c r="P209" s="13"/>
      <c r="Q209" s="13"/>
      <c r="R209" s="13"/>
      <c r="S209" s="13"/>
      <c r="T209" s="13"/>
      <c r="U209" s="13"/>
      <c r="V209" s="13"/>
      <c r="W209" s="13"/>
      <c r="X209" s="13"/>
    </row>
    <row r="210" spans="1:24" ht="13.5" customHeight="1">
      <c r="A210" s="13"/>
      <c r="B210" s="13"/>
      <c r="C210" s="13"/>
      <c r="D210" s="30"/>
      <c r="E210" s="30"/>
      <c r="F210" s="30"/>
      <c r="G210" s="30"/>
      <c r="H210" s="30"/>
      <c r="I210" s="30"/>
      <c r="J210" s="30"/>
      <c r="K210" s="30"/>
      <c r="L210" s="30"/>
      <c r="M210" s="13"/>
      <c r="N210" s="13"/>
      <c r="O210" s="13"/>
      <c r="P210" s="13"/>
      <c r="Q210" s="13"/>
      <c r="R210" s="13"/>
      <c r="S210" s="13"/>
      <c r="T210" s="13"/>
      <c r="U210" s="13"/>
      <c r="V210" s="13"/>
      <c r="W210" s="13"/>
      <c r="X210" s="13"/>
    </row>
    <row r="211" spans="1:24" ht="13.5" customHeight="1">
      <c r="A211" s="13"/>
      <c r="B211" s="13"/>
      <c r="C211" s="13"/>
      <c r="D211" s="30"/>
      <c r="E211" s="30"/>
      <c r="F211" s="30"/>
      <c r="G211" s="30"/>
      <c r="H211" s="30"/>
      <c r="I211" s="30"/>
      <c r="J211" s="30"/>
      <c r="K211" s="30"/>
      <c r="L211" s="30"/>
      <c r="M211" s="13"/>
      <c r="N211" s="13"/>
      <c r="O211" s="13"/>
      <c r="P211" s="13"/>
      <c r="Q211" s="13"/>
      <c r="R211" s="13"/>
      <c r="S211" s="13"/>
      <c r="T211" s="13"/>
      <c r="U211" s="13"/>
      <c r="V211" s="13"/>
      <c r="W211" s="13"/>
      <c r="X211" s="13"/>
    </row>
    <row r="212" spans="1:24" ht="13.5" customHeight="1">
      <c r="A212" s="13"/>
      <c r="B212" s="13"/>
      <c r="C212" s="13"/>
      <c r="D212" s="30"/>
      <c r="E212" s="30"/>
      <c r="F212" s="30"/>
      <c r="G212" s="30"/>
      <c r="H212" s="30"/>
      <c r="I212" s="30"/>
      <c r="J212" s="30"/>
      <c r="K212" s="30"/>
      <c r="L212" s="30"/>
      <c r="M212" s="13"/>
      <c r="N212" s="13"/>
      <c r="O212" s="13"/>
      <c r="P212" s="13"/>
      <c r="Q212" s="13"/>
      <c r="R212" s="13"/>
      <c r="S212" s="13"/>
      <c r="T212" s="13"/>
      <c r="U212" s="13"/>
      <c r="V212" s="13"/>
      <c r="W212" s="13"/>
      <c r="X212" s="13"/>
    </row>
    <row r="213" spans="1:24" ht="13.5" customHeight="1">
      <c r="A213" s="13"/>
      <c r="B213" s="13"/>
      <c r="C213" s="13"/>
      <c r="D213" s="30"/>
      <c r="E213" s="30"/>
      <c r="F213" s="30"/>
      <c r="G213" s="30"/>
      <c r="H213" s="30"/>
      <c r="I213" s="30"/>
      <c r="J213" s="30"/>
      <c r="K213" s="30"/>
      <c r="L213" s="30"/>
      <c r="M213" s="13"/>
      <c r="N213" s="13"/>
      <c r="O213" s="13"/>
      <c r="P213" s="13"/>
      <c r="Q213" s="13"/>
      <c r="R213" s="13"/>
      <c r="S213" s="13"/>
      <c r="T213" s="13"/>
      <c r="U213" s="13"/>
      <c r="V213" s="13"/>
      <c r="W213" s="13"/>
      <c r="X213" s="13"/>
    </row>
    <row r="214" spans="1:24" ht="13.5" customHeight="1">
      <c r="A214" s="13"/>
      <c r="B214" s="13"/>
      <c r="C214" s="13"/>
      <c r="D214" s="25"/>
      <c r="E214" s="25"/>
      <c r="F214" s="25"/>
      <c r="G214" s="25"/>
      <c r="H214" s="25"/>
      <c r="I214" s="25"/>
      <c r="J214" s="25"/>
      <c r="K214" s="25"/>
      <c r="L214" s="25"/>
      <c r="M214" s="13"/>
      <c r="N214" s="13"/>
      <c r="O214" s="13"/>
      <c r="P214" s="13"/>
      <c r="Q214" s="13"/>
      <c r="R214" s="13"/>
      <c r="S214" s="13"/>
      <c r="T214" s="13"/>
      <c r="U214" s="13"/>
      <c r="V214" s="13"/>
      <c r="W214" s="13"/>
      <c r="X214" s="13"/>
    </row>
    <row r="215" spans="1:24" ht="13.5" customHeight="1">
      <c r="A215" s="13"/>
      <c r="B215" s="13"/>
      <c r="C215" s="13"/>
      <c r="D215" s="25"/>
      <c r="E215" s="25"/>
      <c r="F215" s="25"/>
      <c r="G215" s="25"/>
      <c r="H215" s="25"/>
      <c r="I215" s="25"/>
      <c r="J215" s="25"/>
      <c r="K215" s="25"/>
      <c r="L215" s="25"/>
      <c r="M215" s="13"/>
      <c r="N215" s="13"/>
      <c r="O215" s="13"/>
      <c r="P215" s="13"/>
      <c r="Q215" s="13"/>
      <c r="R215" s="13"/>
      <c r="S215" s="13"/>
      <c r="T215" s="13"/>
      <c r="U215" s="13"/>
      <c r="V215" s="13"/>
      <c r="W215" s="13"/>
      <c r="X215" s="13"/>
    </row>
    <row r="216" spans="1:24" ht="13.5" customHeight="1">
      <c r="A216" s="13"/>
      <c r="B216" s="13"/>
      <c r="C216" s="13"/>
      <c r="D216" s="25"/>
      <c r="E216" s="25"/>
      <c r="F216" s="25"/>
      <c r="G216" s="25"/>
      <c r="H216" s="25"/>
      <c r="I216" s="25"/>
      <c r="J216" s="25"/>
      <c r="K216" s="25"/>
      <c r="L216" s="25"/>
      <c r="M216" s="13"/>
      <c r="N216" s="13"/>
      <c r="O216" s="13"/>
      <c r="P216" s="13"/>
      <c r="Q216" s="13"/>
      <c r="R216" s="13"/>
      <c r="S216" s="13"/>
      <c r="T216" s="13"/>
      <c r="U216" s="13"/>
      <c r="V216" s="13"/>
      <c r="W216" s="13"/>
      <c r="X216" s="13"/>
    </row>
    <row r="217" spans="1:24" ht="12.75" customHeight="1">
      <c r="A217" s="13"/>
      <c r="B217" s="13"/>
      <c r="C217" s="13"/>
      <c r="D217" s="30"/>
      <c r="E217" s="30"/>
      <c r="F217" s="30"/>
      <c r="G217" s="30"/>
      <c r="H217" s="30"/>
      <c r="I217" s="30"/>
      <c r="J217" s="30"/>
      <c r="K217" s="30"/>
      <c r="L217" s="30"/>
      <c r="M217" s="8"/>
      <c r="N217" s="8"/>
      <c r="O217" s="8"/>
      <c r="P217" s="8"/>
      <c r="Q217" s="8"/>
      <c r="R217" s="8"/>
      <c r="S217" s="8"/>
      <c r="T217" s="8"/>
      <c r="U217" s="8"/>
      <c r="V217" s="8"/>
      <c r="W217" s="8"/>
      <c r="X217" s="8"/>
    </row>
    <row r="218" spans="1:24" ht="14.25" customHeight="1">
      <c r="A218" s="13"/>
      <c r="B218" s="13"/>
      <c r="C218" s="13"/>
      <c r="D218" s="30"/>
      <c r="E218" s="30"/>
      <c r="F218" s="30"/>
      <c r="G218" s="30"/>
      <c r="H218" s="30"/>
      <c r="I218" s="30"/>
      <c r="J218" s="30"/>
      <c r="K218" s="30"/>
      <c r="L218" s="30"/>
      <c r="M218" s="8"/>
      <c r="N218" s="8"/>
      <c r="O218" s="8"/>
      <c r="P218" s="8"/>
      <c r="Q218" s="8"/>
      <c r="R218" s="8"/>
      <c r="S218" s="8"/>
      <c r="T218" s="8"/>
      <c r="U218" s="8"/>
      <c r="V218" s="8"/>
      <c r="W218" s="8"/>
      <c r="X218" s="8"/>
    </row>
    <row r="219" spans="1:24" ht="12.75" customHeight="1">
      <c r="A219" s="13"/>
      <c r="B219" s="13"/>
      <c r="C219" s="13"/>
      <c r="D219" s="14"/>
      <c r="E219" s="14"/>
      <c r="F219" s="14"/>
      <c r="G219" s="14"/>
      <c r="H219" s="14"/>
      <c r="I219" s="14"/>
      <c r="J219" s="14"/>
      <c r="K219" s="14"/>
      <c r="L219" s="14"/>
      <c r="M219" s="8"/>
      <c r="N219" s="8"/>
      <c r="O219" s="8"/>
      <c r="P219" s="8"/>
      <c r="Q219" s="8"/>
      <c r="R219" s="8"/>
      <c r="S219" s="8"/>
      <c r="T219" s="8"/>
      <c r="U219" s="8"/>
      <c r="V219" s="8"/>
      <c r="W219" s="8"/>
      <c r="X219" s="8"/>
    </row>
    <row r="220" spans="1:24" ht="13.5" customHeight="1">
      <c r="A220" s="13"/>
      <c r="B220" s="13"/>
      <c r="C220" s="13"/>
      <c r="D220" s="25"/>
      <c r="E220" s="25"/>
      <c r="F220" s="25"/>
      <c r="G220" s="25"/>
      <c r="H220" s="25"/>
      <c r="I220" s="25"/>
      <c r="J220" s="25"/>
      <c r="K220" s="25"/>
      <c r="L220" s="25"/>
      <c r="M220" s="13"/>
      <c r="N220" s="13"/>
      <c r="O220" s="13"/>
      <c r="P220" s="13"/>
      <c r="Q220" s="13"/>
      <c r="R220" s="13"/>
      <c r="S220" s="13"/>
      <c r="T220" s="13"/>
      <c r="U220" s="13"/>
      <c r="V220" s="13"/>
      <c r="W220" s="13"/>
      <c r="X220" s="13"/>
    </row>
    <row r="221" spans="1:24" ht="13.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2.75" customHeight="1">
      <c r="A222" s="13"/>
      <c r="B222" s="13"/>
      <c r="C222" s="13"/>
      <c r="D222" s="30"/>
      <c r="E222" s="30"/>
      <c r="F222" s="30"/>
      <c r="G222" s="30"/>
      <c r="H222" s="30"/>
      <c r="I222" s="30"/>
      <c r="J222" s="30"/>
      <c r="K222" s="30"/>
      <c r="L222" s="30"/>
      <c r="M222" s="8"/>
      <c r="N222" s="8"/>
      <c r="O222" s="8"/>
      <c r="P222" s="8"/>
      <c r="Q222" s="8"/>
      <c r="R222" s="8"/>
      <c r="S222" s="8"/>
      <c r="T222" s="8"/>
      <c r="U222" s="8"/>
      <c r="V222" s="8"/>
      <c r="W222" s="8"/>
      <c r="X222" s="8"/>
    </row>
    <row r="223" spans="1:24" ht="12.75" customHeight="1">
      <c r="A223" s="13"/>
      <c r="B223" s="13"/>
      <c r="C223" s="13"/>
      <c r="D223" s="30"/>
      <c r="E223" s="30"/>
      <c r="F223" s="30"/>
      <c r="G223" s="30"/>
      <c r="H223" s="30"/>
      <c r="I223" s="30"/>
      <c r="J223" s="30"/>
      <c r="K223" s="30"/>
      <c r="L223" s="30"/>
      <c r="M223" s="8"/>
      <c r="N223" s="8"/>
      <c r="O223" s="8"/>
      <c r="P223" s="8"/>
      <c r="Q223" s="8"/>
      <c r="R223" s="8"/>
      <c r="S223" s="8"/>
      <c r="T223" s="8"/>
      <c r="U223" s="8"/>
      <c r="V223" s="8"/>
      <c r="W223" s="8"/>
      <c r="X223" s="8"/>
    </row>
    <row r="224" spans="1:24" ht="12.75" customHeight="1">
      <c r="A224" s="13"/>
      <c r="B224" s="13"/>
      <c r="C224" s="13"/>
      <c r="D224" s="44"/>
      <c r="E224" s="44"/>
      <c r="F224" s="44"/>
      <c r="G224" s="44"/>
      <c r="H224" s="44"/>
      <c r="I224" s="44"/>
      <c r="J224" s="44"/>
      <c r="K224" s="44"/>
      <c r="L224" s="44"/>
      <c r="M224" s="8"/>
      <c r="N224" s="8"/>
      <c r="O224" s="8"/>
      <c r="P224" s="8"/>
      <c r="Q224" s="8"/>
      <c r="R224" s="8"/>
      <c r="S224" s="8"/>
      <c r="T224" s="8"/>
      <c r="U224" s="8"/>
      <c r="V224" s="8"/>
      <c r="W224" s="8"/>
      <c r="X224" s="8"/>
    </row>
    <row r="225" spans="1:24" ht="12.75" customHeight="1">
      <c r="A225" s="13"/>
      <c r="B225" s="13"/>
      <c r="C225" s="13"/>
      <c r="D225" s="16"/>
      <c r="E225" s="16"/>
      <c r="F225" s="16"/>
      <c r="G225" s="16"/>
      <c r="H225" s="16"/>
      <c r="I225" s="16"/>
      <c r="J225" s="16"/>
      <c r="K225" s="16"/>
      <c r="L225" s="16"/>
      <c r="M225" s="8"/>
      <c r="N225" s="8"/>
      <c r="O225" s="8"/>
      <c r="P225" s="8"/>
      <c r="Q225" s="8"/>
      <c r="R225" s="8"/>
      <c r="S225" s="8"/>
      <c r="T225" s="8"/>
      <c r="U225" s="8"/>
      <c r="V225" s="8"/>
      <c r="W225" s="8"/>
      <c r="X225" s="8"/>
    </row>
    <row r="226" spans="1:24" ht="12.75" customHeight="1">
      <c r="A226" s="13"/>
      <c r="B226" s="13"/>
      <c r="C226" s="13"/>
      <c r="D226" s="30"/>
      <c r="E226" s="30"/>
      <c r="F226" s="30"/>
      <c r="G226" s="30"/>
      <c r="H226" s="30"/>
      <c r="I226" s="30"/>
      <c r="J226" s="30"/>
      <c r="K226" s="30"/>
      <c r="L226" s="30"/>
      <c r="M226" s="8"/>
      <c r="N226" s="8"/>
      <c r="O226" s="8"/>
      <c r="P226" s="8"/>
      <c r="Q226" s="8"/>
      <c r="R226" s="8"/>
      <c r="S226" s="8"/>
      <c r="T226" s="8"/>
      <c r="U226" s="8"/>
      <c r="V226" s="8"/>
      <c r="W226" s="8"/>
      <c r="X226" s="8"/>
    </row>
    <row r="227" spans="1:24" ht="12.75" customHeight="1">
      <c r="A227" s="13"/>
      <c r="B227" s="13"/>
      <c r="C227" s="13"/>
      <c r="D227" s="30"/>
      <c r="E227" s="30"/>
      <c r="F227" s="30"/>
      <c r="G227" s="30"/>
      <c r="H227" s="30"/>
      <c r="I227" s="30"/>
      <c r="J227" s="30"/>
      <c r="K227" s="30"/>
      <c r="L227" s="30"/>
      <c r="M227" s="8"/>
      <c r="N227" s="8"/>
      <c r="O227" s="8"/>
      <c r="P227" s="8"/>
      <c r="Q227" s="8"/>
      <c r="R227" s="8"/>
      <c r="S227" s="8"/>
      <c r="T227" s="8"/>
      <c r="U227" s="8"/>
      <c r="V227" s="8"/>
      <c r="W227" s="8"/>
      <c r="X227" s="8"/>
    </row>
    <row r="228" spans="1:24" ht="12.75" customHeight="1">
      <c r="A228" s="13"/>
      <c r="B228" s="13"/>
      <c r="C228" s="13"/>
      <c r="D228" s="30"/>
      <c r="E228" s="30"/>
      <c r="F228" s="30"/>
      <c r="G228" s="30"/>
      <c r="H228" s="30"/>
      <c r="I228" s="30"/>
      <c r="J228" s="30"/>
      <c r="K228" s="30"/>
      <c r="L228" s="30"/>
      <c r="M228" s="8"/>
      <c r="N228" s="8"/>
      <c r="O228" s="8"/>
      <c r="P228" s="8"/>
      <c r="Q228" s="8"/>
      <c r="R228" s="8"/>
      <c r="S228" s="8"/>
      <c r="T228" s="8"/>
      <c r="U228" s="8"/>
      <c r="V228" s="8"/>
      <c r="W228" s="8"/>
      <c r="X228" s="8"/>
    </row>
    <row r="229" spans="1:24" ht="12.75" customHeight="1">
      <c r="A229" s="13"/>
      <c r="B229" s="13"/>
      <c r="C229" s="13"/>
      <c r="D229" s="30"/>
      <c r="E229" s="30"/>
      <c r="F229" s="30"/>
      <c r="G229" s="30"/>
      <c r="H229" s="30"/>
      <c r="I229" s="30"/>
      <c r="J229" s="30"/>
      <c r="K229" s="30"/>
      <c r="L229" s="30"/>
      <c r="M229" s="8"/>
      <c r="N229" s="8"/>
      <c r="O229" s="8"/>
      <c r="P229" s="8"/>
      <c r="Q229" s="8"/>
      <c r="R229" s="8"/>
      <c r="S229" s="8"/>
      <c r="T229" s="8"/>
      <c r="U229" s="8"/>
      <c r="V229" s="8"/>
      <c r="W229" s="8"/>
      <c r="X229" s="8"/>
    </row>
    <row r="230" spans="1:24" ht="12.75" customHeight="1">
      <c r="A230" s="13"/>
      <c r="B230" s="13"/>
      <c r="C230" s="13"/>
      <c r="D230" s="30"/>
      <c r="E230" s="30"/>
      <c r="F230" s="30"/>
      <c r="G230" s="30"/>
      <c r="H230" s="30"/>
      <c r="I230" s="30"/>
      <c r="J230" s="30"/>
      <c r="K230" s="30"/>
      <c r="L230" s="30"/>
      <c r="M230" s="8"/>
      <c r="N230" s="8"/>
      <c r="O230" s="8"/>
      <c r="P230" s="8"/>
      <c r="Q230" s="8"/>
      <c r="R230" s="8"/>
      <c r="S230" s="8"/>
      <c r="T230" s="8"/>
      <c r="U230" s="8"/>
      <c r="V230" s="8"/>
      <c r="W230" s="8"/>
      <c r="X230" s="8"/>
    </row>
    <row r="231" spans="1:24" ht="12.75" customHeight="1">
      <c r="A231" s="13"/>
      <c r="B231" s="13"/>
      <c r="C231" s="13"/>
      <c r="D231" s="30"/>
      <c r="E231" s="30"/>
      <c r="F231" s="30"/>
      <c r="G231" s="30"/>
      <c r="H231" s="30"/>
      <c r="I231" s="30"/>
      <c r="J231" s="30"/>
      <c r="K231" s="30"/>
      <c r="L231" s="30"/>
      <c r="M231" s="8"/>
      <c r="N231" s="8"/>
      <c r="O231" s="8"/>
      <c r="P231" s="8"/>
      <c r="Q231" s="8"/>
      <c r="R231" s="8"/>
      <c r="S231" s="8"/>
      <c r="T231" s="8"/>
      <c r="U231" s="8"/>
      <c r="V231" s="8"/>
      <c r="W231" s="8"/>
      <c r="X231" s="8"/>
    </row>
    <row r="232" spans="1:24" ht="12.75" customHeight="1">
      <c r="A232" s="13"/>
      <c r="B232" s="13"/>
      <c r="C232" s="13"/>
      <c r="D232" s="30"/>
      <c r="E232" s="30"/>
      <c r="F232" s="30"/>
      <c r="G232" s="30"/>
      <c r="H232" s="30"/>
      <c r="I232" s="30"/>
      <c r="J232" s="30"/>
      <c r="K232" s="30"/>
      <c r="L232" s="30"/>
      <c r="M232" s="8"/>
      <c r="N232" s="8"/>
      <c r="O232" s="8"/>
      <c r="P232" s="8"/>
      <c r="Q232" s="8"/>
      <c r="R232" s="8"/>
      <c r="S232" s="8"/>
      <c r="T232" s="8"/>
      <c r="U232" s="8"/>
      <c r="V232" s="8"/>
      <c r="W232" s="8"/>
      <c r="X232" s="8"/>
    </row>
    <row r="233" spans="1:24" ht="12.75" customHeight="1">
      <c r="A233" s="13"/>
      <c r="B233" s="13"/>
      <c r="C233" s="13"/>
      <c r="D233" s="30"/>
      <c r="E233" s="30"/>
      <c r="F233" s="30"/>
      <c r="G233" s="30"/>
      <c r="H233" s="30"/>
      <c r="I233" s="30"/>
      <c r="J233" s="30"/>
      <c r="K233" s="30"/>
      <c r="L233" s="30"/>
      <c r="M233" s="8"/>
      <c r="N233" s="8"/>
      <c r="O233" s="8"/>
      <c r="P233" s="8"/>
      <c r="Q233" s="8"/>
      <c r="R233" s="8"/>
      <c r="S233" s="8"/>
      <c r="T233" s="8"/>
      <c r="U233" s="8"/>
      <c r="V233" s="8"/>
      <c r="W233" s="8"/>
      <c r="X233" s="8"/>
    </row>
    <row r="234" spans="1:24" ht="12.75" customHeight="1">
      <c r="A234" s="13"/>
      <c r="B234" s="13"/>
      <c r="C234" s="13"/>
      <c r="D234" s="30"/>
      <c r="E234" s="30"/>
      <c r="F234" s="30"/>
      <c r="G234" s="30"/>
      <c r="H234" s="30"/>
      <c r="I234" s="30"/>
      <c r="J234" s="30"/>
      <c r="K234" s="30"/>
      <c r="L234" s="30"/>
      <c r="M234" s="8"/>
      <c r="N234" s="8"/>
      <c r="O234" s="8"/>
      <c r="P234" s="8"/>
      <c r="Q234" s="8"/>
      <c r="R234" s="8"/>
      <c r="S234" s="8"/>
      <c r="T234" s="8"/>
      <c r="U234" s="8"/>
      <c r="V234" s="8"/>
      <c r="W234" s="8"/>
      <c r="X234" s="8"/>
    </row>
    <row r="235" spans="1:24" ht="13.5" customHeight="1">
      <c r="A235" s="13"/>
      <c r="B235" s="13"/>
      <c r="C235" s="13"/>
      <c r="D235" s="10"/>
      <c r="E235" s="10"/>
      <c r="F235" s="10"/>
      <c r="G235" s="10"/>
      <c r="H235" s="10"/>
      <c r="I235" s="10"/>
      <c r="J235" s="10"/>
      <c r="K235" s="10"/>
      <c r="L235" s="10"/>
      <c r="M235" s="13"/>
      <c r="N235" s="13"/>
      <c r="O235" s="13"/>
      <c r="P235" s="13"/>
      <c r="Q235" s="13"/>
      <c r="R235" s="13"/>
      <c r="S235" s="13"/>
      <c r="T235" s="13"/>
      <c r="U235" s="13"/>
      <c r="V235" s="13"/>
      <c r="W235" s="13"/>
      <c r="X235" s="13"/>
    </row>
    <row r="236" spans="1:24" ht="13.5" customHeight="1">
      <c r="A236" s="13"/>
      <c r="B236" s="13"/>
      <c r="C236" s="13"/>
      <c r="D236" s="30"/>
      <c r="E236" s="30"/>
      <c r="F236" s="30"/>
      <c r="G236" s="30"/>
      <c r="H236" s="30"/>
      <c r="I236" s="30"/>
      <c r="J236" s="30"/>
      <c r="K236" s="30"/>
      <c r="L236" s="30"/>
      <c r="M236" s="13"/>
      <c r="N236" s="13"/>
      <c r="O236" s="13"/>
      <c r="P236" s="13"/>
      <c r="Q236" s="13"/>
      <c r="R236" s="13"/>
      <c r="S236" s="13"/>
      <c r="T236" s="13"/>
      <c r="U236" s="13"/>
      <c r="V236" s="13"/>
      <c r="W236" s="13"/>
      <c r="X236" s="13"/>
    </row>
    <row r="237" spans="1:24" ht="13.5" customHeight="1">
      <c r="A237" s="13"/>
      <c r="B237" s="13"/>
      <c r="C237" s="13"/>
      <c r="D237" s="10"/>
      <c r="E237" s="10"/>
      <c r="F237" s="10"/>
      <c r="G237" s="10"/>
      <c r="H237" s="10"/>
      <c r="I237" s="10"/>
      <c r="J237" s="10"/>
      <c r="K237" s="10"/>
      <c r="L237" s="10"/>
      <c r="M237" s="13"/>
      <c r="N237" s="13"/>
      <c r="O237" s="13"/>
      <c r="P237" s="13"/>
      <c r="Q237" s="13"/>
      <c r="R237" s="13"/>
      <c r="S237" s="13"/>
      <c r="T237" s="13"/>
      <c r="U237" s="13"/>
      <c r="V237" s="13"/>
      <c r="W237" s="13"/>
      <c r="X237" s="13"/>
    </row>
    <row r="238" spans="1:24" ht="13.5" customHeight="1">
      <c r="A238" s="13"/>
      <c r="B238" s="13"/>
      <c r="C238" s="13"/>
      <c r="D238" s="10"/>
      <c r="E238" s="10"/>
      <c r="F238" s="10"/>
      <c r="G238" s="10"/>
      <c r="H238" s="10"/>
      <c r="I238" s="10"/>
      <c r="J238" s="10"/>
      <c r="K238" s="10"/>
      <c r="L238" s="10"/>
      <c r="M238" s="13"/>
      <c r="N238" s="13"/>
      <c r="O238" s="13"/>
      <c r="P238" s="13"/>
      <c r="Q238" s="13"/>
      <c r="R238" s="13"/>
      <c r="S238" s="13"/>
      <c r="T238" s="13"/>
      <c r="U238" s="13"/>
      <c r="V238" s="13"/>
      <c r="W238" s="13"/>
      <c r="X238" s="13"/>
    </row>
    <row r="239" spans="1:24" ht="13.5" customHeight="1">
      <c r="A239" s="13"/>
      <c r="B239" s="13"/>
      <c r="C239" s="13"/>
      <c r="D239" s="10"/>
      <c r="E239" s="10"/>
      <c r="F239" s="10"/>
      <c r="G239" s="10"/>
      <c r="H239" s="10"/>
      <c r="I239" s="10"/>
      <c r="J239" s="10"/>
      <c r="K239" s="10"/>
      <c r="L239" s="10"/>
      <c r="M239" s="13"/>
      <c r="N239" s="13"/>
      <c r="O239" s="13"/>
      <c r="P239" s="13"/>
      <c r="Q239" s="13"/>
      <c r="R239" s="13"/>
      <c r="S239" s="13"/>
      <c r="T239" s="13"/>
      <c r="U239" s="13"/>
      <c r="V239" s="13"/>
      <c r="W239" s="13"/>
      <c r="X239" s="13"/>
    </row>
    <row r="240" spans="1:24" ht="13.5" customHeight="1">
      <c r="A240" s="13"/>
      <c r="B240" s="13"/>
      <c r="C240" s="13"/>
      <c r="D240" s="81"/>
      <c r="E240" s="81"/>
      <c r="F240" s="81"/>
      <c r="G240" s="81"/>
      <c r="H240" s="81"/>
      <c r="I240" s="81"/>
      <c r="J240" s="81"/>
      <c r="K240" s="81"/>
      <c r="L240" s="81"/>
      <c r="M240" s="9"/>
      <c r="N240" s="9"/>
      <c r="O240" s="9"/>
      <c r="P240" s="9"/>
      <c r="Q240" s="9"/>
      <c r="R240" s="9"/>
      <c r="S240" s="9"/>
      <c r="T240" s="9"/>
      <c r="U240" s="9"/>
      <c r="V240" s="9"/>
      <c r="W240" s="9"/>
      <c r="X240" s="9"/>
    </row>
    <row r="241" spans="1:24" ht="13.5" customHeight="1">
      <c r="A241" s="13"/>
      <c r="B241" s="13"/>
      <c r="C241" s="13"/>
      <c r="D241" s="27"/>
      <c r="E241" s="27"/>
      <c r="F241" s="27"/>
      <c r="G241" s="27"/>
      <c r="H241" s="27"/>
      <c r="I241" s="27"/>
      <c r="J241" s="27"/>
      <c r="K241" s="27"/>
      <c r="L241" s="27"/>
      <c r="M241" s="9"/>
      <c r="N241" s="9"/>
      <c r="O241" s="9"/>
      <c r="P241" s="9"/>
      <c r="Q241" s="9"/>
      <c r="R241" s="9"/>
      <c r="S241" s="9"/>
      <c r="T241" s="9"/>
      <c r="U241" s="9"/>
      <c r="V241" s="9"/>
      <c r="W241" s="9"/>
      <c r="X241" s="9"/>
    </row>
    <row r="242" spans="1:24" ht="13.5" customHeight="1">
      <c r="A242" s="13"/>
      <c r="B242" s="13"/>
      <c r="C242" s="13"/>
      <c r="D242" s="27"/>
      <c r="E242" s="27"/>
      <c r="F242" s="27"/>
      <c r="G242" s="27"/>
      <c r="H242" s="27"/>
      <c r="I242" s="27"/>
      <c r="J242" s="27"/>
      <c r="K242" s="27"/>
      <c r="L242" s="27"/>
      <c r="M242" s="9"/>
      <c r="N242" s="9"/>
      <c r="O242" s="9"/>
      <c r="P242" s="9"/>
      <c r="Q242" s="9"/>
      <c r="R242" s="9"/>
      <c r="S242" s="9"/>
      <c r="T242" s="9"/>
      <c r="U242" s="9"/>
      <c r="V242" s="9"/>
      <c r="W242" s="9"/>
      <c r="X242" s="9"/>
    </row>
    <row r="243" spans="1:24" ht="13.5" customHeight="1">
      <c r="A243" s="13"/>
      <c r="B243" s="13"/>
      <c r="C243" s="13"/>
      <c r="D243" s="27"/>
      <c r="E243" s="27"/>
      <c r="F243" s="27"/>
      <c r="G243" s="27"/>
      <c r="H243" s="27"/>
      <c r="I243" s="27"/>
      <c r="J243" s="27"/>
      <c r="K243" s="27"/>
      <c r="L243" s="27"/>
      <c r="M243" s="9"/>
      <c r="N243" s="9"/>
      <c r="O243" s="9"/>
      <c r="P243" s="9"/>
      <c r="Q243" s="9"/>
      <c r="R243" s="9"/>
      <c r="S243" s="9"/>
      <c r="T243" s="9"/>
      <c r="U243" s="9"/>
      <c r="V243" s="9"/>
      <c r="W243" s="9"/>
      <c r="X243" s="9"/>
    </row>
    <row r="244" spans="1:24" ht="13.5" customHeight="1">
      <c r="A244" s="13"/>
      <c r="B244" s="13"/>
      <c r="C244" s="13"/>
      <c r="D244" s="27"/>
      <c r="E244" s="27"/>
      <c r="F244" s="27"/>
      <c r="G244" s="27"/>
      <c r="H244" s="27"/>
      <c r="I244" s="27"/>
      <c r="J244" s="27"/>
      <c r="K244" s="27"/>
      <c r="L244" s="27"/>
      <c r="M244" s="9"/>
      <c r="N244" s="9"/>
      <c r="O244" s="9"/>
      <c r="P244" s="9"/>
      <c r="Q244" s="9"/>
      <c r="R244" s="9"/>
      <c r="S244" s="9"/>
      <c r="T244" s="9"/>
      <c r="U244" s="9"/>
      <c r="V244" s="9"/>
      <c r="W244" s="9"/>
      <c r="X244" s="9"/>
    </row>
    <row r="245" spans="1:24" ht="13.5" customHeight="1">
      <c r="A245" s="13"/>
      <c r="B245" s="13"/>
      <c r="C245" s="13"/>
      <c r="D245" s="27"/>
      <c r="E245" s="27"/>
      <c r="F245" s="27"/>
      <c r="G245" s="27"/>
      <c r="H245" s="27"/>
      <c r="I245" s="27"/>
      <c r="J245" s="27"/>
      <c r="K245" s="27"/>
      <c r="L245" s="27"/>
      <c r="M245" s="9"/>
      <c r="N245" s="9"/>
      <c r="O245" s="9"/>
      <c r="P245" s="9"/>
      <c r="Q245" s="9"/>
      <c r="R245" s="9"/>
      <c r="S245" s="9"/>
      <c r="T245" s="9"/>
      <c r="U245" s="9"/>
      <c r="V245" s="9"/>
      <c r="W245" s="9"/>
      <c r="X245" s="9"/>
    </row>
    <row r="246" spans="1:24" ht="13.5" customHeight="1">
      <c r="A246" s="13"/>
      <c r="B246" s="13"/>
      <c r="C246" s="13"/>
      <c r="D246" s="27"/>
      <c r="E246" s="27"/>
      <c r="F246" s="27"/>
      <c r="G246" s="27"/>
      <c r="H246" s="27"/>
      <c r="I246" s="27"/>
      <c r="J246" s="27"/>
      <c r="K246" s="27"/>
      <c r="L246" s="27"/>
      <c r="M246" s="9"/>
      <c r="N246" s="9"/>
      <c r="O246" s="9"/>
      <c r="P246" s="9"/>
      <c r="Q246" s="9"/>
      <c r="R246" s="9"/>
      <c r="S246" s="9"/>
      <c r="T246" s="9"/>
      <c r="U246" s="9"/>
      <c r="V246" s="9"/>
      <c r="W246" s="9"/>
      <c r="X246" s="9"/>
    </row>
    <row r="247" spans="1:24" ht="13.5" customHeight="1">
      <c r="A247" s="13"/>
      <c r="B247" s="13"/>
      <c r="C247" s="13"/>
      <c r="D247" s="27"/>
      <c r="E247" s="27"/>
      <c r="F247" s="27"/>
      <c r="G247" s="27"/>
      <c r="H247" s="27"/>
      <c r="I247" s="27"/>
      <c r="J247" s="27"/>
      <c r="K247" s="27"/>
      <c r="L247" s="27"/>
      <c r="M247" s="9"/>
      <c r="N247" s="9"/>
      <c r="O247" s="9"/>
      <c r="P247" s="9"/>
      <c r="Q247" s="9"/>
      <c r="R247" s="9"/>
      <c r="S247" s="9"/>
      <c r="T247" s="9"/>
      <c r="U247" s="9"/>
      <c r="V247" s="9"/>
      <c r="W247" s="9"/>
      <c r="X247" s="9"/>
    </row>
    <row r="248" spans="1:24" ht="13.5" customHeight="1">
      <c r="A248" s="13"/>
      <c r="B248" s="13"/>
      <c r="C248" s="13"/>
      <c r="D248" s="27"/>
      <c r="E248" s="27"/>
      <c r="F248" s="27"/>
      <c r="G248" s="27"/>
      <c r="H248" s="27"/>
      <c r="I248" s="27"/>
      <c r="J248" s="27"/>
      <c r="K248" s="27"/>
      <c r="L248" s="27"/>
      <c r="M248" s="9"/>
      <c r="N248" s="9"/>
      <c r="O248" s="9"/>
      <c r="P248" s="9"/>
      <c r="Q248" s="9"/>
      <c r="R248" s="9"/>
      <c r="S248" s="9"/>
      <c r="T248" s="9"/>
      <c r="U248" s="9"/>
      <c r="V248" s="9"/>
      <c r="W248" s="9"/>
      <c r="X248" s="9"/>
    </row>
    <row r="249" spans="1:24" ht="13.5" customHeight="1">
      <c r="A249" s="13"/>
      <c r="B249" s="13"/>
      <c r="C249" s="13"/>
      <c r="D249" s="27"/>
      <c r="E249" s="27"/>
      <c r="F249" s="27"/>
      <c r="G249" s="27"/>
      <c r="H249" s="27"/>
      <c r="I249" s="27"/>
      <c r="J249" s="27"/>
      <c r="K249" s="27"/>
      <c r="L249" s="27"/>
      <c r="M249" s="9"/>
      <c r="N249" s="9"/>
      <c r="O249" s="9"/>
      <c r="P249" s="9"/>
      <c r="Q249" s="9"/>
      <c r="R249" s="9"/>
      <c r="S249" s="9"/>
      <c r="T249" s="9"/>
      <c r="U249" s="9"/>
      <c r="V249" s="9"/>
      <c r="W249" s="9"/>
      <c r="X249" s="9"/>
    </row>
    <row r="250" spans="1:24" ht="13.5" customHeight="1">
      <c r="A250" s="13"/>
      <c r="B250" s="13"/>
      <c r="C250" s="13"/>
      <c r="D250" s="27"/>
      <c r="E250" s="27"/>
      <c r="F250" s="27"/>
      <c r="G250" s="27"/>
      <c r="H250" s="27"/>
      <c r="I250" s="27"/>
      <c r="J250" s="27"/>
      <c r="K250" s="27"/>
      <c r="L250" s="27"/>
      <c r="M250" s="9"/>
      <c r="N250" s="9"/>
      <c r="O250" s="9"/>
      <c r="P250" s="9"/>
      <c r="Q250" s="9"/>
      <c r="R250" s="9"/>
      <c r="S250" s="9"/>
      <c r="T250" s="9"/>
      <c r="U250" s="9"/>
      <c r="V250" s="9"/>
      <c r="W250" s="9"/>
      <c r="X250" s="9"/>
    </row>
    <row r="251" spans="1:24" ht="13.5" customHeight="1">
      <c r="A251" s="13"/>
      <c r="B251" s="13"/>
      <c r="C251" s="13"/>
      <c r="D251" s="27"/>
      <c r="E251" s="27"/>
      <c r="F251" s="27"/>
      <c r="G251" s="27"/>
      <c r="H251" s="27"/>
      <c r="I251" s="27"/>
      <c r="J251" s="27"/>
      <c r="K251" s="27"/>
      <c r="L251" s="27"/>
      <c r="M251" s="9"/>
      <c r="N251" s="9"/>
      <c r="O251" s="9"/>
      <c r="P251" s="9"/>
      <c r="Q251" s="9"/>
      <c r="R251" s="9"/>
      <c r="S251" s="9"/>
      <c r="T251" s="9"/>
      <c r="U251" s="9"/>
      <c r="V251" s="9"/>
      <c r="W251" s="9"/>
      <c r="X251" s="9"/>
    </row>
    <row r="252" spans="1:24" ht="13.5" customHeight="1">
      <c r="A252" s="13"/>
      <c r="B252" s="13"/>
      <c r="C252" s="13"/>
      <c r="D252" s="27"/>
      <c r="E252" s="27"/>
      <c r="F252" s="27"/>
      <c r="G252" s="27"/>
      <c r="H252" s="27"/>
      <c r="I252" s="27"/>
      <c r="J252" s="27"/>
      <c r="K252" s="27"/>
      <c r="L252" s="27"/>
      <c r="M252" s="9"/>
      <c r="N252" s="9"/>
      <c r="O252" s="9"/>
      <c r="P252" s="9"/>
      <c r="Q252" s="9"/>
      <c r="R252" s="9"/>
      <c r="S252" s="9"/>
      <c r="T252" s="9"/>
      <c r="U252" s="9"/>
      <c r="V252" s="9"/>
      <c r="W252" s="9"/>
      <c r="X252" s="9"/>
    </row>
    <row r="253" spans="1:24" ht="13.5" customHeight="1">
      <c r="A253" s="13"/>
      <c r="B253" s="13"/>
      <c r="C253" s="13"/>
      <c r="D253" s="27"/>
      <c r="E253" s="27"/>
      <c r="F253" s="27"/>
      <c r="G253" s="27"/>
      <c r="H253" s="27"/>
      <c r="I253" s="27"/>
      <c r="J253" s="27"/>
      <c r="K253" s="27"/>
      <c r="L253" s="27"/>
      <c r="M253" s="9"/>
      <c r="N253" s="9"/>
      <c r="O253" s="9"/>
      <c r="P253" s="9"/>
      <c r="Q253" s="9"/>
      <c r="R253" s="9"/>
      <c r="S253" s="9"/>
      <c r="T253" s="9"/>
      <c r="U253" s="9"/>
      <c r="V253" s="9"/>
      <c r="W253" s="9"/>
      <c r="X253" s="9"/>
    </row>
    <row r="254" spans="1:24" ht="13.5" customHeight="1">
      <c r="A254" s="13"/>
      <c r="B254" s="13"/>
      <c r="C254" s="13"/>
      <c r="D254" s="27"/>
      <c r="E254" s="27"/>
      <c r="F254" s="27"/>
      <c r="G254" s="27"/>
      <c r="H254" s="27"/>
      <c r="I254" s="27"/>
      <c r="J254" s="27"/>
      <c r="K254" s="27"/>
      <c r="L254" s="27"/>
      <c r="M254" s="9"/>
      <c r="N254" s="9"/>
      <c r="O254" s="9"/>
      <c r="P254" s="9"/>
      <c r="Q254" s="9"/>
      <c r="R254" s="9"/>
      <c r="S254" s="9"/>
      <c r="T254" s="9"/>
      <c r="U254" s="9"/>
      <c r="V254" s="9"/>
      <c r="W254" s="9"/>
      <c r="X254" s="9"/>
    </row>
    <row r="255" spans="1:24" ht="13.5" customHeight="1">
      <c r="A255" s="13"/>
      <c r="B255" s="13"/>
      <c r="C255" s="13"/>
      <c r="D255" s="27"/>
      <c r="E255" s="27"/>
      <c r="F255" s="27"/>
      <c r="G255" s="27"/>
      <c r="H255" s="27"/>
      <c r="I255" s="27"/>
      <c r="J255" s="27"/>
      <c r="K255" s="27"/>
      <c r="L255" s="27"/>
      <c r="M255" s="9"/>
      <c r="N255" s="9"/>
      <c r="O255" s="9"/>
      <c r="P255" s="9"/>
      <c r="Q255" s="9"/>
      <c r="R255" s="9"/>
      <c r="S255" s="9"/>
      <c r="T255" s="9"/>
      <c r="U255" s="9"/>
      <c r="V255" s="9"/>
      <c r="W255" s="9"/>
      <c r="X255" s="9"/>
    </row>
    <row r="256" spans="1:24" ht="13.5" customHeight="1">
      <c r="A256" s="13"/>
      <c r="B256" s="13"/>
      <c r="C256" s="13"/>
      <c r="D256" s="27"/>
      <c r="E256" s="27"/>
      <c r="F256" s="27"/>
      <c r="G256" s="27"/>
      <c r="H256" s="27"/>
      <c r="I256" s="27"/>
      <c r="J256" s="27"/>
      <c r="K256" s="27"/>
      <c r="L256" s="27"/>
      <c r="M256" s="9"/>
      <c r="N256" s="9"/>
      <c r="O256" s="9"/>
      <c r="P256" s="9"/>
      <c r="Q256" s="9"/>
      <c r="R256" s="9"/>
      <c r="S256" s="9"/>
      <c r="T256" s="9"/>
      <c r="U256" s="9"/>
      <c r="V256" s="9"/>
      <c r="W256" s="9"/>
      <c r="X256" s="9"/>
    </row>
    <row r="257" spans="1:24" ht="13.5" customHeight="1">
      <c r="A257" s="13"/>
      <c r="B257" s="13"/>
      <c r="C257" s="13"/>
      <c r="D257" s="27"/>
      <c r="E257" s="27"/>
      <c r="F257" s="27"/>
      <c r="G257" s="27"/>
      <c r="H257" s="27"/>
      <c r="I257" s="27"/>
      <c r="J257" s="27"/>
      <c r="K257" s="27"/>
      <c r="L257" s="27"/>
      <c r="M257" s="9"/>
      <c r="N257" s="9"/>
      <c r="O257" s="9"/>
      <c r="P257" s="9"/>
      <c r="Q257" s="9"/>
      <c r="R257" s="9"/>
      <c r="S257" s="9"/>
      <c r="T257" s="9"/>
      <c r="U257" s="9"/>
      <c r="V257" s="9"/>
      <c r="W257" s="9"/>
      <c r="X257" s="9"/>
    </row>
    <row r="258" spans="1:24" ht="13.5" customHeight="1">
      <c r="A258" s="13"/>
      <c r="B258" s="13"/>
      <c r="C258" s="13"/>
      <c r="D258" s="27"/>
      <c r="E258" s="27"/>
      <c r="F258" s="27"/>
      <c r="G258" s="27"/>
      <c r="H258" s="27"/>
      <c r="I258" s="27"/>
      <c r="J258" s="27"/>
      <c r="K258" s="27"/>
      <c r="L258" s="27"/>
      <c r="M258" s="9"/>
      <c r="N258" s="9"/>
      <c r="O258" s="9"/>
      <c r="P258" s="9"/>
      <c r="Q258" s="9"/>
      <c r="R258" s="9"/>
      <c r="S258" s="9"/>
      <c r="T258" s="9"/>
      <c r="U258" s="9"/>
      <c r="V258" s="9"/>
      <c r="W258" s="9"/>
      <c r="X258" s="9"/>
    </row>
    <row r="259" spans="1:24" ht="13.5" customHeight="1">
      <c r="A259" s="13"/>
      <c r="B259" s="13"/>
      <c r="C259" s="13"/>
      <c r="D259" s="27"/>
      <c r="E259" s="27"/>
      <c r="F259" s="27"/>
      <c r="G259" s="27"/>
      <c r="H259" s="27"/>
      <c r="I259" s="27"/>
      <c r="J259" s="27"/>
      <c r="K259" s="27"/>
      <c r="L259" s="27"/>
      <c r="M259" s="9"/>
      <c r="N259" s="9"/>
      <c r="O259" s="9"/>
      <c r="P259" s="9"/>
      <c r="Q259" s="9"/>
      <c r="R259" s="9"/>
      <c r="S259" s="9"/>
      <c r="T259" s="9"/>
      <c r="U259" s="9"/>
      <c r="V259" s="9"/>
      <c r="W259" s="9"/>
      <c r="X259" s="9"/>
    </row>
    <row r="260" spans="1:24" ht="12.75" customHeight="1">
      <c r="A260" s="13"/>
      <c r="B260" s="13"/>
      <c r="C260" s="13"/>
      <c r="D260" s="40"/>
      <c r="E260" s="40"/>
      <c r="F260" s="40"/>
      <c r="G260" s="40"/>
      <c r="H260" s="40"/>
      <c r="I260" s="40"/>
      <c r="J260" s="40"/>
      <c r="K260" s="40"/>
      <c r="L260" s="40"/>
      <c r="M260" s="84"/>
      <c r="N260" s="84"/>
      <c r="O260" s="84"/>
      <c r="P260" s="84"/>
      <c r="Q260" s="84"/>
      <c r="R260" s="84"/>
      <c r="S260" s="84"/>
      <c r="T260" s="84"/>
      <c r="U260" s="84"/>
      <c r="V260" s="84"/>
      <c r="W260" s="84"/>
      <c r="X260" s="84"/>
    </row>
    <row r="261" spans="1:24" ht="12.75" customHeight="1">
      <c r="A261" s="13"/>
      <c r="B261" s="13"/>
      <c r="C261" s="13"/>
      <c r="D261" s="40"/>
      <c r="E261" s="40"/>
      <c r="F261" s="40"/>
      <c r="G261" s="40"/>
      <c r="H261" s="40"/>
      <c r="I261" s="40"/>
      <c r="J261" s="40"/>
      <c r="K261" s="40"/>
      <c r="L261" s="40"/>
      <c r="M261" s="8"/>
      <c r="N261" s="8"/>
      <c r="O261" s="8"/>
      <c r="P261" s="8"/>
      <c r="Q261" s="8"/>
      <c r="R261" s="8"/>
      <c r="S261" s="8"/>
      <c r="T261" s="8"/>
      <c r="U261" s="8"/>
      <c r="V261" s="8"/>
      <c r="W261" s="8"/>
      <c r="X261" s="8"/>
    </row>
    <row r="262" spans="1:24" ht="12.75" customHeight="1">
      <c r="A262" s="13"/>
      <c r="B262" s="13"/>
      <c r="C262" s="13"/>
      <c r="D262" s="40"/>
      <c r="E262" s="40"/>
      <c r="F262" s="40"/>
      <c r="G262" s="40"/>
      <c r="H262" s="40"/>
      <c r="I262" s="40"/>
      <c r="J262" s="40"/>
      <c r="K262" s="40"/>
      <c r="L262" s="40"/>
      <c r="M262" s="8"/>
      <c r="N262" s="8"/>
      <c r="O262" s="8"/>
      <c r="P262" s="8"/>
      <c r="Q262" s="8"/>
      <c r="R262" s="8"/>
      <c r="S262" s="8"/>
      <c r="T262" s="8"/>
      <c r="U262" s="8"/>
      <c r="V262" s="8"/>
      <c r="W262" s="8"/>
      <c r="X262" s="8"/>
    </row>
    <row r="263" spans="1:24" ht="12.75" customHeight="1">
      <c r="A263" s="13"/>
      <c r="B263" s="13"/>
      <c r="C263" s="13"/>
      <c r="D263" s="32"/>
      <c r="E263" s="32"/>
      <c r="F263" s="32"/>
      <c r="G263" s="32"/>
      <c r="H263" s="32"/>
      <c r="I263" s="32"/>
      <c r="J263" s="32"/>
      <c r="K263" s="32"/>
      <c r="L263" s="32"/>
      <c r="M263" s="13"/>
      <c r="N263" s="13"/>
      <c r="O263" s="13"/>
      <c r="P263" s="13"/>
      <c r="Q263" s="13"/>
      <c r="R263" s="13"/>
      <c r="S263" s="13"/>
      <c r="T263" s="13"/>
      <c r="U263" s="13"/>
      <c r="V263" s="13"/>
      <c r="W263" s="13"/>
      <c r="X263" s="8"/>
    </row>
    <row r="264" spans="1:24" ht="13.5" customHeight="1">
      <c r="A264" s="13"/>
      <c r="B264" s="13"/>
      <c r="C264" s="13"/>
      <c r="D264" s="27"/>
      <c r="E264" s="27"/>
      <c r="F264" s="27"/>
      <c r="G264" s="27"/>
      <c r="H264" s="27"/>
      <c r="I264" s="27"/>
      <c r="J264" s="27"/>
      <c r="K264" s="27"/>
      <c r="L264" s="27"/>
      <c r="M264" s="9"/>
      <c r="N264" s="9"/>
      <c r="O264" s="9"/>
      <c r="P264" s="9"/>
      <c r="Q264" s="9"/>
      <c r="R264" s="9"/>
      <c r="S264" s="9"/>
      <c r="T264" s="9"/>
      <c r="U264" s="9"/>
      <c r="V264" s="9"/>
      <c r="W264" s="9"/>
      <c r="X264" s="9"/>
    </row>
    <row r="265" spans="1:24" ht="13.5" customHeight="1">
      <c r="A265" s="13"/>
      <c r="B265" s="13"/>
      <c r="C265" s="13"/>
      <c r="D265" s="27"/>
      <c r="E265" s="27"/>
      <c r="F265" s="27"/>
      <c r="G265" s="27"/>
      <c r="H265" s="27"/>
      <c r="I265" s="27"/>
      <c r="J265" s="27"/>
      <c r="K265" s="27"/>
      <c r="L265" s="27"/>
      <c r="M265" s="9"/>
      <c r="N265" s="9"/>
      <c r="O265" s="9"/>
      <c r="P265" s="9"/>
      <c r="Q265" s="9"/>
      <c r="R265" s="9"/>
      <c r="S265" s="9"/>
      <c r="T265" s="9"/>
      <c r="U265" s="9"/>
      <c r="V265" s="9"/>
      <c r="W265" s="9"/>
      <c r="X265" s="9"/>
    </row>
    <row r="266" spans="1:24" ht="13.5" customHeight="1">
      <c r="A266" s="13"/>
      <c r="B266" s="13"/>
      <c r="C266" s="13"/>
      <c r="D266" s="27"/>
      <c r="E266" s="27"/>
      <c r="F266" s="27"/>
      <c r="G266" s="27"/>
      <c r="H266" s="27"/>
      <c r="I266" s="27"/>
      <c r="J266" s="27"/>
      <c r="K266" s="27"/>
      <c r="L266" s="27"/>
      <c r="M266" s="9"/>
      <c r="N266" s="9"/>
      <c r="O266" s="9"/>
      <c r="P266" s="9"/>
      <c r="Q266" s="9"/>
      <c r="R266" s="9"/>
      <c r="S266" s="9"/>
      <c r="T266" s="9"/>
      <c r="U266" s="9"/>
      <c r="V266" s="9"/>
      <c r="W266" s="9"/>
      <c r="X266" s="9"/>
    </row>
    <row r="267" spans="1:24" ht="13.5" customHeight="1">
      <c r="A267" s="13"/>
      <c r="B267" s="13"/>
      <c r="C267" s="13"/>
      <c r="D267" s="27"/>
      <c r="E267" s="27"/>
      <c r="F267" s="27"/>
      <c r="G267" s="27"/>
      <c r="H267" s="27"/>
      <c r="I267" s="27"/>
      <c r="J267" s="27"/>
      <c r="K267" s="27"/>
      <c r="L267" s="27"/>
      <c r="M267" s="9"/>
      <c r="N267" s="9"/>
      <c r="O267" s="9"/>
      <c r="P267" s="9"/>
      <c r="Q267" s="9"/>
      <c r="R267" s="9"/>
      <c r="S267" s="9"/>
      <c r="T267" s="9"/>
      <c r="U267" s="9"/>
      <c r="V267" s="9"/>
      <c r="W267" s="9"/>
      <c r="X267" s="9"/>
    </row>
    <row r="268" spans="1:24" ht="13.5" customHeight="1">
      <c r="A268" s="13"/>
      <c r="B268" s="13"/>
      <c r="C268" s="13"/>
      <c r="D268" s="27"/>
      <c r="E268" s="27"/>
      <c r="F268" s="27"/>
      <c r="G268" s="27"/>
      <c r="H268" s="27"/>
      <c r="I268" s="27"/>
      <c r="J268" s="27"/>
      <c r="K268" s="27"/>
      <c r="L268" s="27"/>
      <c r="M268" s="9"/>
      <c r="N268" s="9"/>
      <c r="O268" s="9"/>
      <c r="P268" s="9"/>
      <c r="Q268" s="9"/>
      <c r="R268" s="9"/>
      <c r="S268" s="9"/>
      <c r="T268" s="9"/>
      <c r="U268" s="9"/>
      <c r="V268" s="9"/>
      <c r="W268" s="9"/>
      <c r="X268" s="9"/>
    </row>
    <row r="269" spans="1:24" ht="13.5" customHeight="1">
      <c r="A269" s="13"/>
      <c r="B269" s="13"/>
      <c r="C269" s="13"/>
      <c r="D269" s="27"/>
      <c r="E269" s="27"/>
      <c r="F269" s="27"/>
      <c r="G269" s="27"/>
      <c r="H269" s="27"/>
      <c r="I269" s="27"/>
      <c r="J269" s="27"/>
      <c r="K269" s="27"/>
      <c r="L269" s="27"/>
      <c r="M269" s="9"/>
      <c r="N269" s="9"/>
      <c r="O269" s="9"/>
      <c r="P269" s="9"/>
      <c r="Q269" s="9"/>
      <c r="R269" s="9"/>
      <c r="S269" s="9"/>
      <c r="T269" s="9"/>
      <c r="U269" s="9"/>
      <c r="V269" s="9"/>
      <c r="W269" s="9"/>
      <c r="X269" s="9"/>
    </row>
    <row r="270" spans="1:24" ht="13.5" customHeight="1">
      <c r="A270" s="13"/>
      <c r="B270" s="13"/>
      <c r="C270" s="13"/>
      <c r="D270" s="27"/>
      <c r="E270" s="27"/>
      <c r="F270" s="27"/>
      <c r="G270" s="27"/>
      <c r="H270" s="27"/>
      <c r="I270" s="27"/>
      <c r="J270" s="27"/>
      <c r="K270" s="27"/>
      <c r="L270" s="27"/>
      <c r="M270" s="9"/>
      <c r="N270" s="9"/>
      <c r="O270" s="9"/>
      <c r="P270" s="9"/>
      <c r="Q270" s="9"/>
      <c r="R270" s="9"/>
      <c r="S270" s="9"/>
      <c r="T270" s="9"/>
      <c r="U270" s="9"/>
      <c r="V270" s="9"/>
      <c r="W270" s="9"/>
      <c r="X270" s="9"/>
    </row>
    <row r="271" spans="1:24" ht="13.5" customHeight="1">
      <c r="A271" s="13"/>
      <c r="B271" s="13"/>
      <c r="C271" s="13"/>
      <c r="D271" s="27"/>
      <c r="E271" s="27"/>
      <c r="F271" s="27"/>
      <c r="G271" s="27"/>
      <c r="H271" s="27"/>
      <c r="I271" s="27"/>
      <c r="J271" s="27"/>
      <c r="K271" s="27"/>
      <c r="L271" s="27"/>
      <c r="M271" s="9"/>
      <c r="N271" s="9"/>
      <c r="O271" s="9"/>
      <c r="P271" s="9"/>
      <c r="Q271" s="9"/>
      <c r="R271" s="9"/>
      <c r="S271" s="9"/>
      <c r="T271" s="9"/>
      <c r="U271" s="9"/>
      <c r="V271" s="9"/>
      <c r="W271" s="9"/>
      <c r="X271" s="9"/>
    </row>
    <row r="272" spans="1:24" ht="13.5" customHeight="1">
      <c r="A272" s="13"/>
      <c r="B272" s="13"/>
      <c r="C272" s="13"/>
      <c r="D272" s="27"/>
      <c r="E272" s="27"/>
      <c r="F272" s="27"/>
      <c r="G272" s="27"/>
      <c r="H272" s="27"/>
      <c r="I272" s="27"/>
      <c r="J272" s="27"/>
      <c r="K272" s="27"/>
      <c r="L272" s="27"/>
      <c r="M272" s="9"/>
      <c r="N272" s="9"/>
      <c r="O272" s="9"/>
      <c r="P272" s="9"/>
      <c r="Q272" s="9"/>
      <c r="R272" s="9"/>
      <c r="S272" s="9"/>
      <c r="T272" s="9"/>
      <c r="U272" s="9"/>
      <c r="V272" s="9"/>
      <c r="W272" s="9"/>
      <c r="X272" s="9"/>
    </row>
    <row r="273" spans="1:24" ht="13.5" customHeight="1">
      <c r="A273" s="13"/>
      <c r="B273" s="13"/>
      <c r="C273" s="13"/>
      <c r="D273" s="27"/>
      <c r="E273" s="27"/>
      <c r="F273" s="27"/>
      <c r="G273" s="27"/>
      <c r="H273" s="27"/>
      <c r="I273" s="27"/>
      <c r="J273" s="27"/>
      <c r="K273" s="27"/>
      <c r="L273" s="27"/>
      <c r="M273" s="9"/>
      <c r="N273" s="9"/>
      <c r="O273" s="9"/>
      <c r="P273" s="9"/>
      <c r="Q273" s="9"/>
      <c r="R273" s="9"/>
      <c r="S273" s="9"/>
      <c r="T273" s="9"/>
      <c r="U273" s="9"/>
      <c r="V273" s="9"/>
      <c r="W273" s="9"/>
      <c r="X273" s="9"/>
    </row>
    <row r="274" spans="1:24" ht="13.5" customHeight="1">
      <c r="A274" s="13"/>
      <c r="B274" s="13"/>
      <c r="C274" s="13"/>
      <c r="D274" s="27"/>
      <c r="E274" s="27"/>
      <c r="F274" s="27"/>
      <c r="G274" s="27"/>
      <c r="H274" s="27"/>
      <c r="I274" s="27"/>
      <c r="J274" s="27"/>
      <c r="K274" s="27"/>
      <c r="L274" s="27"/>
      <c r="M274" s="9"/>
      <c r="N274" s="9"/>
      <c r="O274" s="9"/>
      <c r="P274" s="9"/>
      <c r="Q274" s="9"/>
      <c r="R274" s="9"/>
      <c r="S274" s="9"/>
      <c r="T274" s="9"/>
      <c r="U274" s="9"/>
      <c r="V274" s="9"/>
      <c r="W274" s="9"/>
      <c r="X274" s="9"/>
    </row>
    <row r="275" spans="1:24" ht="13.5" customHeight="1">
      <c r="A275" s="13"/>
      <c r="B275" s="13"/>
      <c r="C275" s="13"/>
      <c r="D275" s="27"/>
      <c r="E275" s="27"/>
      <c r="F275" s="27"/>
      <c r="G275" s="27"/>
      <c r="H275" s="27"/>
      <c r="I275" s="27"/>
      <c r="J275" s="27"/>
      <c r="K275" s="27"/>
      <c r="L275" s="27"/>
      <c r="M275" s="9"/>
      <c r="N275" s="9"/>
      <c r="O275" s="9"/>
      <c r="P275" s="9"/>
      <c r="Q275" s="9"/>
      <c r="R275" s="9"/>
      <c r="S275" s="9"/>
      <c r="T275" s="9"/>
      <c r="U275" s="9"/>
      <c r="V275" s="9"/>
      <c r="W275" s="9"/>
      <c r="X275" s="9"/>
    </row>
    <row r="276" spans="1:24" ht="13.5" customHeight="1">
      <c r="A276" s="13"/>
      <c r="B276" s="13"/>
      <c r="C276" s="13"/>
      <c r="D276" s="27"/>
      <c r="E276" s="27"/>
      <c r="F276" s="27"/>
      <c r="G276" s="27"/>
      <c r="H276" s="27"/>
      <c r="I276" s="27"/>
      <c r="J276" s="27"/>
      <c r="K276" s="27"/>
      <c r="L276" s="27"/>
      <c r="M276" s="9"/>
      <c r="N276" s="9"/>
      <c r="O276" s="9"/>
      <c r="P276" s="9"/>
      <c r="Q276" s="9"/>
      <c r="R276" s="9"/>
      <c r="S276" s="9"/>
      <c r="T276" s="9"/>
      <c r="U276" s="9"/>
      <c r="V276" s="9"/>
      <c r="W276" s="9"/>
      <c r="X276" s="9"/>
    </row>
    <row r="277" spans="1:24" ht="13.5" customHeight="1">
      <c r="A277" s="13"/>
      <c r="B277" s="13"/>
      <c r="C277" s="13"/>
      <c r="D277" s="27"/>
      <c r="E277" s="27"/>
      <c r="F277" s="27"/>
      <c r="G277" s="27"/>
      <c r="H277" s="27"/>
      <c r="I277" s="27"/>
      <c r="J277" s="27"/>
      <c r="K277" s="27"/>
      <c r="L277" s="27"/>
      <c r="M277" s="9"/>
      <c r="N277" s="9"/>
      <c r="O277" s="9"/>
      <c r="P277" s="9"/>
      <c r="Q277" s="9"/>
      <c r="R277" s="9"/>
      <c r="S277" s="9"/>
      <c r="T277" s="9"/>
      <c r="U277" s="9"/>
      <c r="V277" s="9"/>
      <c r="W277" s="9"/>
      <c r="X277" s="9"/>
    </row>
    <row r="278" spans="1:24" ht="13.5" customHeight="1">
      <c r="A278" s="13"/>
      <c r="B278" s="13"/>
      <c r="C278" s="13"/>
      <c r="D278" s="27"/>
      <c r="E278" s="27"/>
      <c r="F278" s="27"/>
      <c r="G278" s="27"/>
      <c r="H278" s="27"/>
      <c r="I278" s="27"/>
      <c r="J278" s="27"/>
      <c r="K278" s="27"/>
      <c r="L278" s="27"/>
      <c r="M278" s="9"/>
      <c r="N278" s="9"/>
      <c r="O278" s="9"/>
      <c r="P278" s="9"/>
      <c r="Q278" s="9"/>
      <c r="R278" s="9"/>
      <c r="S278" s="9"/>
      <c r="T278" s="9"/>
      <c r="U278" s="9"/>
      <c r="V278" s="9"/>
      <c r="W278" s="9"/>
      <c r="X278" s="9"/>
    </row>
    <row r="279" spans="1:24" ht="13.5" customHeight="1">
      <c r="A279" s="13"/>
      <c r="B279" s="13"/>
      <c r="C279" s="13"/>
      <c r="D279" s="27"/>
      <c r="E279" s="27"/>
      <c r="F279" s="27"/>
      <c r="G279" s="27"/>
      <c r="H279" s="27"/>
      <c r="I279" s="27"/>
      <c r="J279" s="27"/>
      <c r="K279" s="27"/>
      <c r="L279" s="27"/>
      <c r="M279" s="9"/>
      <c r="N279" s="9"/>
      <c r="O279" s="9"/>
      <c r="P279" s="9"/>
      <c r="Q279" s="9"/>
      <c r="R279" s="9"/>
      <c r="S279" s="9"/>
      <c r="T279" s="9"/>
      <c r="U279" s="9"/>
      <c r="V279" s="9"/>
      <c r="W279" s="9"/>
      <c r="X279" s="9"/>
    </row>
    <row r="280" spans="1:24" ht="13.5" customHeight="1">
      <c r="A280" s="13"/>
      <c r="B280" s="13"/>
      <c r="C280" s="13"/>
      <c r="D280" s="27"/>
      <c r="E280" s="27"/>
      <c r="F280" s="27"/>
      <c r="G280" s="27"/>
      <c r="H280" s="27"/>
      <c r="I280" s="27"/>
      <c r="J280" s="27"/>
      <c r="K280" s="27"/>
      <c r="L280" s="27"/>
      <c r="M280" s="9"/>
      <c r="N280" s="9"/>
      <c r="O280" s="9"/>
      <c r="P280" s="9"/>
      <c r="Q280" s="9"/>
      <c r="R280" s="9"/>
      <c r="S280" s="9"/>
      <c r="T280" s="9"/>
      <c r="U280" s="9"/>
      <c r="V280" s="9"/>
      <c r="W280" s="9"/>
      <c r="X280" s="9"/>
    </row>
    <row r="281" spans="1:24" ht="13.5" customHeight="1">
      <c r="A281" s="13"/>
      <c r="B281" s="13"/>
      <c r="C281" s="13"/>
      <c r="D281" s="27"/>
      <c r="E281" s="27"/>
      <c r="F281" s="27"/>
      <c r="G281" s="27"/>
      <c r="H281" s="27"/>
      <c r="I281" s="27"/>
      <c r="J281" s="27"/>
      <c r="K281" s="27"/>
      <c r="L281" s="27"/>
      <c r="M281" s="9"/>
      <c r="N281" s="9"/>
      <c r="O281" s="9"/>
      <c r="P281" s="9"/>
      <c r="Q281" s="9"/>
      <c r="R281" s="9"/>
      <c r="S281" s="9"/>
      <c r="T281" s="9"/>
      <c r="U281" s="9"/>
      <c r="V281" s="9"/>
      <c r="W281" s="9"/>
      <c r="X281" s="9"/>
    </row>
    <row r="282" spans="1:24" ht="13.5" customHeight="1">
      <c r="A282" s="13"/>
      <c r="B282" s="13"/>
      <c r="C282" s="13"/>
      <c r="D282" s="27"/>
      <c r="E282" s="27"/>
      <c r="F282" s="27"/>
      <c r="G282" s="27"/>
      <c r="H282" s="27"/>
      <c r="I282" s="27"/>
      <c r="J282" s="27"/>
      <c r="K282" s="27"/>
      <c r="L282" s="27"/>
      <c r="M282" s="9"/>
      <c r="N282" s="9"/>
      <c r="O282" s="9"/>
      <c r="P282" s="9"/>
      <c r="Q282" s="9"/>
      <c r="R282" s="9"/>
      <c r="S282" s="9"/>
      <c r="T282" s="9"/>
      <c r="U282" s="9"/>
      <c r="V282" s="9"/>
      <c r="W282" s="9"/>
      <c r="X282" s="9"/>
    </row>
    <row r="283" spans="1:24" ht="13.5" customHeight="1">
      <c r="A283" s="13"/>
      <c r="B283" s="13"/>
      <c r="C283" s="13"/>
      <c r="D283" s="27"/>
      <c r="E283" s="27"/>
      <c r="F283" s="27"/>
      <c r="G283" s="27"/>
      <c r="H283" s="27"/>
      <c r="I283" s="27"/>
      <c r="J283" s="27"/>
      <c r="K283" s="27"/>
      <c r="L283" s="27"/>
      <c r="M283" s="9"/>
      <c r="N283" s="9"/>
      <c r="O283" s="9"/>
      <c r="P283" s="9"/>
      <c r="Q283" s="9"/>
      <c r="R283" s="9"/>
      <c r="S283" s="9"/>
      <c r="T283" s="9"/>
      <c r="U283" s="9"/>
      <c r="V283" s="9"/>
      <c r="W283" s="9"/>
      <c r="X283" s="9"/>
    </row>
    <row r="284" spans="1:24" ht="12.75" customHeight="1">
      <c r="A284" s="13"/>
      <c r="B284" s="13"/>
      <c r="C284" s="13"/>
      <c r="D284" s="30"/>
      <c r="E284" s="30"/>
      <c r="F284" s="30"/>
      <c r="G284" s="30"/>
      <c r="H284" s="30"/>
      <c r="I284" s="30"/>
      <c r="J284" s="30"/>
      <c r="K284" s="30"/>
      <c r="L284" s="30"/>
      <c r="M284" s="8"/>
      <c r="N284" s="8"/>
      <c r="O284" s="8"/>
      <c r="P284" s="8"/>
      <c r="Q284" s="8"/>
      <c r="R284" s="8"/>
      <c r="S284" s="8"/>
      <c r="T284" s="8"/>
      <c r="U284" s="8"/>
      <c r="V284" s="8"/>
      <c r="W284" s="8"/>
      <c r="X284" s="8"/>
    </row>
    <row r="285" spans="1:24" ht="12.75" customHeight="1">
      <c r="A285" s="13"/>
      <c r="B285" s="13"/>
      <c r="C285" s="13"/>
      <c r="D285" s="85"/>
      <c r="E285" s="85"/>
      <c r="F285" s="85"/>
      <c r="G285" s="85"/>
      <c r="H285" s="85"/>
      <c r="I285" s="85"/>
      <c r="J285" s="85"/>
      <c r="K285" s="85"/>
      <c r="L285" s="85"/>
      <c r="M285" s="8"/>
      <c r="N285" s="8"/>
      <c r="O285" s="8"/>
      <c r="P285" s="8"/>
      <c r="Q285" s="8"/>
      <c r="R285" s="8"/>
      <c r="S285" s="8"/>
      <c r="T285" s="8"/>
      <c r="U285" s="8"/>
      <c r="V285" s="8"/>
      <c r="W285" s="8"/>
      <c r="X285" s="8"/>
    </row>
    <row r="286" spans="1:24" ht="13.5" customHeight="1">
      <c r="A286" s="13"/>
      <c r="B286" s="13"/>
      <c r="C286" s="13"/>
      <c r="D286" s="27"/>
      <c r="E286" s="27"/>
      <c r="F286" s="27"/>
      <c r="G286" s="27"/>
      <c r="H286" s="27"/>
      <c r="I286" s="27"/>
      <c r="J286" s="27"/>
      <c r="K286" s="27"/>
      <c r="L286" s="27"/>
      <c r="M286" s="9"/>
      <c r="N286" s="9"/>
      <c r="O286" s="9"/>
      <c r="P286" s="9"/>
      <c r="Q286" s="9"/>
      <c r="R286" s="9"/>
      <c r="S286" s="9"/>
      <c r="T286" s="9"/>
      <c r="U286" s="9"/>
      <c r="V286" s="9"/>
      <c r="W286" s="9"/>
      <c r="X286" s="9"/>
    </row>
    <row r="287" spans="1:24" ht="13.5" customHeight="1">
      <c r="A287" s="13"/>
      <c r="B287" s="13"/>
      <c r="C287" s="13"/>
      <c r="D287" s="27"/>
      <c r="E287" s="27"/>
      <c r="F287" s="27"/>
      <c r="G287" s="27"/>
      <c r="H287" s="27"/>
      <c r="I287" s="27"/>
      <c r="J287" s="27"/>
      <c r="K287" s="27"/>
      <c r="L287" s="27"/>
      <c r="M287" s="9"/>
      <c r="N287" s="9"/>
      <c r="O287" s="9"/>
      <c r="P287" s="9"/>
      <c r="Q287" s="9"/>
      <c r="R287" s="9"/>
      <c r="S287" s="9"/>
      <c r="T287" s="9"/>
      <c r="U287" s="9"/>
      <c r="V287" s="9"/>
      <c r="W287" s="9"/>
      <c r="X287" s="9"/>
    </row>
    <row r="288" spans="1:24" ht="12.75" customHeight="1">
      <c r="A288" s="13"/>
      <c r="B288" s="13"/>
      <c r="C288" s="13"/>
      <c r="D288" s="40"/>
      <c r="E288" s="40"/>
      <c r="F288" s="40"/>
      <c r="G288" s="40"/>
      <c r="H288" s="40"/>
      <c r="I288" s="40"/>
      <c r="J288" s="40"/>
      <c r="K288" s="40"/>
      <c r="L288" s="40"/>
      <c r="M288" s="8"/>
      <c r="N288" s="8"/>
      <c r="O288" s="8"/>
      <c r="P288" s="8"/>
      <c r="Q288" s="8"/>
      <c r="R288" s="8"/>
      <c r="S288" s="8"/>
      <c r="T288" s="8"/>
      <c r="U288" s="8"/>
      <c r="V288" s="8"/>
      <c r="W288" s="8"/>
      <c r="X288" s="8"/>
    </row>
    <row r="289" spans="1:24" ht="12.75" customHeight="1">
      <c r="A289" s="13"/>
      <c r="B289" s="13"/>
      <c r="C289" s="13"/>
      <c r="D289" s="40"/>
      <c r="E289" s="40"/>
      <c r="F289" s="40"/>
      <c r="G289" s="40"/>
      <c r="H289" s="40"/>
      <c r="I289" s="40"/>
      <c r="J289" s="40"/>
      <c r="K289" s="40"/>
      <c r="L289" s="40"/>
      <c r="M289" s="8"/>
      <c r="N289" s="8"/>
      <c r="O289" s="8"/>
      <c r="P289" s="8"/>
      <c r="Q289" s="8"/>
      <c r="R289" s="8"/>
      <c r="S289" s="8"/>
      <c r="T289" s="8"/>
      <c r="U289" s="8"/>
      <c r="V289" s="8"/>
      <c r="W289" s="8"/>
      <c r="X289" s="8"/>
    </row>
    <row r="290" spans="1:24" ht="13.5" customHeight="1">
      <c r="A290" s="13"/>
      <c r="B290" s="13"/>
      <c r="C290" s="13"/>
      <c r="D290" s="27"/>
      <c r="E290" s="27"/>
      <c r="F290" s="27"/>
      <c r="G290" s="27"/>
      <c r="H290" s="27"/>
      <c r="I290" s="27"/>
      <c r="J290" s="27"/>
      <c r="K290" s="27"/>
      <c r="L290" s="27"/>
      <c r="M290" s="9"/>
      <c r="N290" s="9"/>
      <c r="O290" s="9"/>
      <c r="P290" s="9"/>
      <c r="Q290" s="9"/>
      <c r="R290" s="9"/>
      <c r="S290" s="9"/>
      <c r="T290" s="9"/>
      <c r="U290" s="9"/>
      <c r="V290" s="9"/>
      <c r="W290" s="9"/>
      <c r="X290" s="9"/>
    </row>
    <row r="291" spans="1:24" ht="13.5" customHeight="1">
      <c r="A291" s="13"/>
      <c r="B291" s="13"/>
      <c r="C291" s="13"/>
      <c r="D291" s="27"/>
      <c r="E291" s="27"/>
      <c r="F291" s="27"/>
      <c r="G291" s="27"/>
      <c r="H291" s="27"/>
      <c r="I291" s="27"/>
      <c r="J291" s="27"/>
      <c r="K291" s="27"/>
      <c r="L291" s="27"/>
      <c r="M291" s="9"/>
      <c r="N291" s="9"/>
      <c r="O291" s="9"/>
      <c r="P291" s="9"/>
      <c r="Q291" s="9"/>
      <c r="R291" s="9"/>
      <c r="S291" s="9"/>
      <c r="T291" s="9"/>
      <c r="U291" s="9"/>
      <c r="V291" s="9"/>
      <c r="W291" s="9"/>
      <c r="X291" s="9"/>
    </row>
    <row r="292" spans="1:24" ht="12.75" customHeight="1">
      <c r="A292" s="13"/>
      <c r="B292" s="13"/>
      <c r="C292" s="13"/>
      <c r="D292" s="40"/>
      <c r="E292" s="40"/>
      <c r="F292" s="40"/>
      <c r="G292" s="40"/>
      <c r="H292" s="40"/>
      <c r="I292" s="40"/>
      <c r="J292" s="40"/>
      <c r="K292" s="40"/>
      <c r="L292" s="40"/>
      <c r="M292" s="8"/>
      <c r="N292" s="8"/>
      <c r="O292" s="8"/>
      <c r="P292" s="8"/>
      <c r="Q292" s="8"/>
      <c r="R292" s="8"/>
      <c r="S292" s="8"/>
      <c r="T292" s="8"/>
      <c r="U292" s="8"/>
      <c r="V292" s="8"/>
      <c r="W292" s="8"/>
      <c r="X292" s="8"/>
    </row>
    <row r="293" spans="1:24" ht="12.75" customHeight="1">
      <c r="A293" s="13"/>
      <c r="B293" s="13"/>
      <c r="C293" s="13"/>
      <c r="D293" s="40"/>
      <c r="E293" s="40"/>
      <c r="F293" s="40"/>
      <c r="G293" s="40"/>
      <c r="H293" s="40"/>
      <c r="I293" s="40"/>
      <c r="J293" s="40"/>
      <c r="K293" s="40"/>
      <c r="L293" s="40"/>
      <c r="M293" s="84"/>
      <c r="N293" s="84"/>
      <c r="O293" s="84"/>
      <c r="P293" s="84"/>
      <c r="Q293" s="84"/>
      <c r="R293" s="84"/>
      <c r="S293" s="84"/>
      <c r="T293" s="84"/>
      <c r="U293" s="84"/>
      <c r="V293" s="84"/>
      <c r="W293" s="84"/>
      <c r="X293" s="84"/>
    </row>
    <row r="294" spans="1:24" ht="12.75" customHeight="1">
      <c r="A294" s="13"/>
      <c r="B294" s="13"/>
      <c r="C294" s="13"/>
      <c r="D294" s="40"/>
      <c r="E294" s="40"/>
      <c r="F294" s="40"/>
      <c r="G294" s="40"/>
      <c r="H294" s="40"/>
      <c r="I294" s="40"/>
      <c r="J294" s="40"/>
      <c r="K294" s="40"/>
      <c r="L294" s="40"/>
      <c r="M294" s="8"/>
      <c r="N294" s="8"/>
      <c r="O294" s="8"/>
      <c r="P294" s="8"/>
      <c r="Q294" s="8"/>
      <c r="R294" s="8"/>
      <c r="S294" s="8"/>
      <c r="T294" s="8"/>
      <c r="U294" s="8"/>
      <c r="V294" s="8"/>
      <c r="W294" s="8"/>
      <c r="X294" s="8"/>
    </row>
    <row r="295" spans="1:24" ht="12.75" customHeight="1">
      <c r="A295" s="13"/>
      <c r="B295" s="13"/>
      <c r="C295" s="13"/>
      <c r="D295" s="40"/>
      <c r="E295" s="40"/>
      <c r="F295" s="40"/>
      <c r="G295" s="40"/>
      <c r="H295" s="40"/>
      <c r="I295" s="40"/>
      <c r="J295" s="40"/>
      <c r="K295" s="40"/>
      <c r="L295" s="40"/>
      <c r="M295" s="8"/>
      <c r="N295" s="8"/>
      <c r="O295" s="8"/>
      <c r="P295" s="8"/>
      <c r="Q295" s="8"/>
      <c r="R295" s="8"/>
      <c r="S295" s="8"/>
      <c r="T295" s="8"/>
      <c r="U295" s="8"/>
      <c r="V295" s="8"/>
      <c r="W295" s="8"/>
      <c r="X295" s="8"/>
    </row>
    <row r="296" spans="1:24" ht="13.5" customHeight="1">
      <c r="A296" s="13"/>
      <c r="B296" s="13"/>
      <c r="C296" s="13"/>
      <c r="D296" s="27"/>
      <c r="E296" s="27"/>
      <c r="F296" s="27"/>
      <c r="G296" s="27"/>
      <c r="H296" s="27"/>
      <c r="I296" s="27"/>
      <c r="J296" s="27"/>
      <c r="K296" s="27"/>
      <c r="L296" s="27"/>
      <c r="M296" s="9"/>
      <c r="N296" s="9"/>
      <c r="O296" s="9"/>
      <c r="P296" s="9"/>
      <c r="Q296" s="9"/>
      <c r="R296" s="9"/>
      <c r="S296" s="9"/>
      <c r="T296" s="9"/>
      <c r="U296" s="9"/>
      <c r="V296" s="9"/>
      <c r="W296" s="9"/>
      <c r="X296" s="9"/>
    </row>
    <row r="297" spans="1:24" ht="13.5" customHeight="1">
      <c r="A297" s="13"/>
      <c r="B297" s="13"/>
      <c r="C297" s="13"/>
      <c r="D297" s="27"/>
      <c r="E297" s="27"/>
      <c r="F297" s="27"/>
      <c r="G297" s="27"/>
      <c r="H297" s="27"/>
      <c r="I297" s="27"/>
      <c r="J297" s="27"/>
      <c r="K297" s="27"/>
      <c r="L297" s="27"/>
      <c r="M297" s="9"/>
      <c r="N297" s="9"/>
      <c r="O297" s="9"/>
      <c r="P297" s="9"/>
      <c r="Q297" s="9"/>
      <c r="R297" s="9"/>
      <c r="S297" s="9"/>
      <c r="T297" s="9"/>
      <c r="U297" s="9"/>
      <c r="V297" s="9"/>
      <c r="W297" s="9"/>
      <c r="X297" s="9"/>
    </row>
    <row r="298" spans="1:24" ht="13.5" customHeight="1">
      <c r="A298" s="13"/>
      <c r="B298" s="13"/>
      <c r="C298" s="13"/>
      <c r="D298" s="27"/>
      <c r="E298" s="27"/>
      <c r="F298" s="27"/>
      <c r="G298" s="27"/>
      <c r="H298" s="27"/>
      <c r="I298" s="27"/>
      <c r="J298" s="27"/>
      <c r="K298" s="27"/>
      <c r="L298" s="27"/>
      <c r="M298" s="9"/>
      <c r="N298" s="9"/>
      <c r="O298" s="9"/>
      <c r="P298" s="9"/>
      <c r="Q298" s="9"/>
      <c r="R298" s="9"/>
      <c r="S298" s="9"/>
      <c r="T298" s="9"/>
      <c r="U298" s="9"/>
      <c r="V298" s="9"/>
      <c r="W298" s="9"/>
      <c r="X298" s="9"/>
    </row>
    <row r="299" spans="1:24" ht="13.5" customHeight="1">
      <c r="A299" s="13"/>
      <c r="B299" s="13"/>
      <c r="C299" s="13"/>
      <c r="D299" s="27"/>
      <c r="E299" s="27"/>
      <c r="F299" s="27"/>
      <c r="G299" s="27"/>
      <c r="H299" s="27"/>
      <c r="I299" s="27"/>
      <c r="J299" s="27"/>
      <c r="K299" s="27"/>
      <c r="L299" s="27"/>
      <c r="M299" s="9"/>
      <c r="N299" s="9"/>
      <c r="O299" s="9"/>
      <c r="P299" s="9"/>
      <c r="Q299" s="9"/>
      <c r="R299" s="9"/>
      <c r="S299" s="9"/>
      <c r="T299" s="9"/>
      <c r="U299" s="9"/>
      <c r="V299" s="9"/>
      <c r="W299" s="9"/>
      <c r="X299" s="9"/>
    </row>
    <row r="300" spans="1:24" ht="13.5" customHeight="1">
      <c r="A300" s="13"/>
      <c r="B300" s="13"/>
      <c r="C300" s="13"/>
      <c r="D300" s="27"/>
      <c r="E300" s="27"/>
      <c r="F300" s="27"/>
      <c r="G300" s="27"/>
      <c r="H300" s="27"/>
      <c r="I300" s="27"/>
      <c r="J300" s="27"/>
      <c r="K300" s="27"/>
      <c r="L300" s="27"/>
      <c r="M300" s="9"/>
      <c r="N300" s="9"/>
      <c r="O300" s="9"/>
      <c r="P300" s="9"/>
      <c r="Q300" s="9"/>
      <c r="R300" s="9"/>
      <c r="S300" s="9"/>
      <c r="T300" s="9"/>
      <c r="U300" s="9"/>
      <c r="V300" s="9"/>
      <c r="W300" s="9"/>
      <c r="X300" s="9"/>
    </row>
    <row r="301" spans="1:24" ht="13.5" customHeight="1">
      <c r="A301" s="13"/>
      <c r="B301" s="13"/>
      <c r="C301" s="13"/>
      <c r="D301" s="27"/>
      <c r="E301" s="27"/>
      <c r="F301" s="27"/>
      <c r="G301" s="27"/>
      <c r="H301" s="27"/>
      <c r="I301" s="27"/>
      <c r="J301" s="27"/>
      <c r="K301" s="27"/>
      <c r="L301" s="27"/>
      <c r="M301" s="9"/>
      <c r="N301" s="9"/>
      <c r="O301" s="9"/>
      <c r="P301" s="9"/>
      <c r="Q301" s="9"/>
      <c r="R301" s="9"/>
      <c r="S301" s="9"/>
      <c r="T301" s="9"/>
      <c r="U301" s="9"/>
      <c r="V301" s="9"/>
      <c r="W301" s="9"/>
      <c r="X301" s="9"/>
    </row>
    <row r="302" spans="1:24" ht="12.75" customHeight="1">
      <c r="A302" s="13"/>
      <c r="B302" s="13"/>
      <c r="C302" s="13"/>
      <c r="D302" s="45"/>
      <c r="E302" s="45"/>
      <c r="F302" s="45"/>
      <c r="G302" s="45"/>
      <c r="H302" s="45"/>
      <c r="I302" s="45"/>
      <c r="J302" s="45"/>
      <c r="K302" s="45"/>
      <c r="L302" s="45"/>
      <c r="M302" s="35"/>
      <c r="N302" s="35"/>
      <c r="O302" s="35"/>
      <c r="P302" s="35"/>
      <c r="Q302" s="35"/>
      <c r="R302" s="35"/>
      <c r="S302" s="35"/>
      <c r="T302" s="35"/>
      <c r="U302" s="35"/>
      <c r="V302" s="35"/>
      <c r="W302" s="35"/>
      <c r="X302" s="35"/>
    </row>
    <row r="303" spans="1:24" ht="12.75" customHeight="1">
      <c r="A303" s="13"/>
      <c r="B303" s="13"/>
      <c r="C303" s="13"/>
      <c r="D303" s="10"/>
      <c r="E303" s="10"/>
      <c r="F303" s="10"/>
      <c r="G303" s="10"/>
      <c r="H303" s="10"/>
      <c r="I303" s="10"/>
      <c r="J303" s="10"/>
      <c r="K303" s="10"/>
      <c r="L303" s="10"/>
      <c r="M303" s="13"/>
      <c r="N303" s="13"/>
      <c r="O303" s="13"/>
      <c r="P303" s="13"/>
      <c r="Q303" s="13"/>
      <c r="R303" s="13"/>
      <c r="S303" s="13"/>
      <c r="T303" s="13"/>
      <c r="U303" s="13"/>
      <c r="V303" s="13"/>
      <c r="W303" s="13"/>
      <c r="X303" s="13"/>
    </row>
    <row r="304" spans="1:24" ht="12.75" customHeight="1">
      <c r="A304" s="13"/>
      <c r="B304" s="13"/>
      <c r="C304" s="13"/>
      <c r="D304" s="10"/>
      <c r="E304" s="10"/>
      <c r="F304" s="10"/>
      <c r="G304" s="10"/>
      <c r="H304" s="10"/>
      <c r="I304" s="10"/>
      <c r="J304" s="10"/>
      <c r="K304" s="10"/>
      <c r="L304" s="10"/>
      <c r="M304" s="13"/>
      <c r="N304" s="13"/>
      <c r="O304" s="13"/>
      <c r="P304" s="13"/>
      <c r="Q304" s="13"/>
      <c r="R304" s="13"/>
      <c r="S304" s="13"/>
      <c r="T304" s="13"/>
      <c r="U304" s="13"/>
      <c r="V304" s="13"/>
      <c r="W304" s="13"/>
      <c r="X304" s="13"/>
    </row>
    <row r="305" spans="1:24" ht="12.75" customHeight="1">
      <c r="A305" s="13"/>
      <c r="B305" s="13"/>
      <c r="C305" s="13"/>
      <c r="D305" s="10"/>
      <c r="E305" s="10"/>
      <c r="F305" s="10"/>
      <c r="G305" s="10"/>
      <c r="H305" s="10"/>
      <c r="I305" s="10"/>
      <c r="J305" s="10"/>
      <c r="K305" s="10"/>
      <c r="L305" s="10"/>
      <c r="M305" s="13"/>
      <c r="N305" s="13"/>
      <c r="O305" s="13"/>
      <c r="P305" s="13"/>
      <c r="Q305" s="13"/>
      <c r="R305" s="13"/>
      <c r="S305" s="13"/>
      <c r="T305" s="13"/>
      <c r="U305" s="13"/>
      <c r="V305" s="13"/>
      <c r="W305" s="13"/>
      <c r="X305" s="13"/>
    </row>
    <row r="306" spans="1:24" ht="12.75" customHeight="1">
      <c r="A306" s="13"/>
      <c r="B306" s="13"/>
      <c r="C306" s="13"/>
      <c r="D306" s="10"/>
      <c r="E306" s="10"/>
      <c r="F306" s="10"/>
      <c r="G306" s="10"/>
      <c r="H306" s="10"/>
      <c r="I306" s="10"/>
      <c r="J306" s="10"/>
      <c r="K306" s="10"/>
      <c r="L306" s="10"/>
      <c r="M306" s="13"/>
      <c r="N306" s="13"/>
      <c r="O306" s="13"/>
      <c r="P306" s="13"/>
      <c r="Q306" s="13"/>
      <c r="R306" s="13"/>
      <c r="S306" s="13"/>
      <c r="T306" s="13"/>
      <c r="U306" s="13"/>
      <c r="V306" s="13"/>
      <c r="W306" s="13"/>
      <c r="X306" s="13"/>
    </row>
    <row r="307" spans="1:24" ht="12.75" customHeight="1">
      <c r="A307" s="13"/>
      <c r="B307" s="13"/>
      <c r="C307" s="13"/>
      <c r="D307" s="10"/>
      <c r="E307" s="10"/>
      <c r="F307" s="10"/>
      <c r="G307" s="10"/>
      <c r="H307" s="10"/>
      <c r="I307" s="10"/>
      <c r="J307" s="10"/>
      <c r="K307" s="10"/>
      <c r="L307" s="10"/>
      <c r="M307" s="13"/>
      <c r="N307" s="13"/>
      <c r="O307" s="13"/>
      <c r="P307" s="13"/>
      <c r="Q307" s="13"/>
      <c r="R307" s="13"/>
      <c r="S307" s="13"/>
      <c r="T307" s="13"/>
      <c r="U307" s="13"/>
      <c r="V307" s="13"/>
      <c r="W307" s="13"/>
      <c r="X307" s="13"/>
    </row>
    <row r="308" spans="1:24" ht="12.75" customHeight="1">
      <c r="A308" s="13"/>
      <c r="B308" s="13"/>
      <c r="C308" s="13"/>
      <c r="D308" s="10"/>
      <c r="E308" s="10"/>
      <c r="F308" s="10"/>
      <c r="G308" s="10"/>
      <c r="H308" s="10"/>
      <c r="I308" s="10"/>
      <c r="J308" s="10"/>
      <c r="K308" s="10"/>
      <c r="L308" s="10"/>
      <c r="M308" s="13"/>
      <c r="N308" s="13"/>
      <c r="O308" s="13"/>
      <c r="P308" s="13"/>
      <c r="Q308" s="13"/>
      <c r="R308" s="13"/>
      <c r="S308" s="13"/>
      <c r="T308" s="13"/>
      <c r="U308" s="13"/>
      <c r="V308" s="13"/>
      <c r="W308" s="13"/>
      <c r="X308" s="13"/>
    </row>
    <row r="309" spans="1:24" ht="12.75" customHeight="1">
      <c r="A309" s="13"/>
      <c r="B309" s="13"/>
      <c r="C309" s="13"/>
      <c r="D309" s="10"/>
      <c r="E309" s="10"/>
      <c r="F309" s="10"/>
      <c r="G309" s="10"/>
      <c r="H309" s="10"/>
      <c r="I309" s="10"/>
      <c r="J309" s="10"/>
      <c r="K309" s="10"/>
      <c r="L309" s="10"/>
      <c r="M309" s="13"/>
      <c r="N309" s="13"/>
      <c r="O309" s="13"/>
      <c r="P309" s="13"/>
      <c r="Q309" s="13"/>
      <c r="R309" s="13"/>
      <c r="S309" s="13"/>
      <c r="T309" s="13"/>
      <c r="U309" s="13"/>
      <c r="V309" s="13"/>
      <c r="W309" s="13"/>
      <c r="X309" s="13"/>
    </row>
    <row r="310" spans="1:24" ht="12.75" customHeight="1">
      <c r="A310" s="13"/>
      <c r="B310" s="13"/>
      <c r="C310" s="13"/>
      <c r="D310" s="10"/>
      <c r="E310" s="10"/>
      <c r="F310" s="10"/>
      <c r="G310" s="10"/>
      <c r="H310" s="10"/>
      <c r="I310" s="10"/>
      <c r="J310" s="10"/>
      <c r="K310" s="10"/>
      <c r="L310" s="10"/>
      <c r="M310" s="13"/>
      <c r="N310" s="13"/>
      <c r="O310" s="13"/>
      <c r="P310" s="13"/>
      <c r="Q310" s="13"/>
      <c r="R310" s="13"/>
      <c r="S310" s="13"/>
      <c r="T310" s="13"/>
      <c r="U310" s="13"/>
      <c r="V310" s="13"/>
      <c r="W310" s="13"/>
      <c r="X310" s="13"/>
    </row>
    <row r="311" spans="1:24" ht="12.75" customHeight="1">
      <c r="A311" s="13"/>
      <c r="B311" s="13"/>
      <c r="C311" s="13"/>
      <c r="D311" s="95"/>
      <c r="E311" s="95"/>
      <c r="F311" s="95"/>
      <c r="G311" s="95"/>
      <c r="H311" s="95"/>
      <c r="I311" s="95"/>
      <c r="J311" s="95"/>
      <c r="K311" s="95"/>
      <c r="L311" s="95"/>
      <c r="M311" s="96"/>
      <c r="N311" s="96"/>
      <c r="O311" s="96"/>
      <c r="P311" s="96"/>
      <c r="Q311" s="96"/>
      <c r="R311" s="96"/>
      <c r="S311" s="96"/>
      <c r="T311" s="96"/>
      <c r="U311" s="96"/>
      <c r="V311" s="96"/>
      <c r="W311" s="96"/>
      <c r="X311" s="96"/>
    </row>
    <row r="312" spans="1:24" ht="12.75" customHeight="1">
      <c r="A312" s="13"/>
      <c r="B312" s="13"/>
      <c r="C312" s="13"/>
      <c r="D312" s="10"/>
      <c r="E312" s="10"/>
      <c r="F312" s="10"/>
      <c r="G312" s="10"/>
      <c r="H312" s="10"/>
      <c r="I312" s="10"/>
      <c r="J312" s="10"/>
      <c r="K312" s="10"/>
      <c r="L312" s="10"/>
      <c r="M312" s="13"/>
      <c r="N312" s="13"/>
      <c r="O312" s="13"/>
      <c r="P312" s="13"/>
      <c r="Q312" s="13"/>
      <c r="R312" s="13"/>
      <c r="S312" s="13"/>
      <c r="T312" s="13"/>
      <c r="U312" s="13"/>
      <c r="V312" s="13"/>
      <c r="W312" s="13"/>
      <c r="X312" s="13"/>
    </row>
    <row r="313" spans="1:24" ht="12.75" customHeight="1">
      <c r="A313" s="13"/>
      <c r="B313" s="13"/>
      <c r="C313" s="13"/>
      <c r="D313" s="10"/>
      <c r="E313" s="10"/>
      <c r="F313" s="10"/>
      <c r="G313" s="10"/>
      <c r="H313" s="10"/>
      <c r="I313" s="10"/>
      <c r="J313" s="10"/>
      <c r="K313" s="10"/>
      <c r="L313" s="10"/>
      <c r="M313" s="13"/>
      <c r="N313" s="13"/>
      <c r="O313" s="13"/>
      <c r="P313" s="13"/>
      <c r="Q313" s="13"/>
      <c r="R313" s="13"/>
      <c r="S313" s="13"/>
      <c r="T313" s="13"/>
      <c r="U313" s="13"/>
      <c r="V313" s="13"/>
      <c r="W313" s="13"/>
      <c r="X313" s="13"/>
    </row>
    <row r="314" spans="1:24" ht="12.75" customHeight="1">
      <c r="A314" s="13"/>
      <c r="B314" s="13"/>
      <c r="C314" s="13"/>
      <c r="D314" s="10"/>
      <c r="E314" s="10"/>
      <c r="F314" s="10"/>
      <c r="G314" s="10"/>
      <c r="H314" s="10"/>
      <c r="I314" s="10"/>
      <c r="J314" s="10"/>
      <c r="K314" s="10"/>
      <c r="L314" s="10"/>
      <c r="M314" s="13"/>
      <c r="N314" s="13"/>
      <c r="O314" s="13"/>
      <c r="P314" s="13"/>
      <c r="Q314" s="13"/>
      <c r="R314" s="13"/>
      <c r="S314" s="13"/>
      <c r="T314" s="13"/>
      <c r="U314" s="13"/>
      <c r="V314" s="13"/>
      <c r="W314" s="13"/>
      <c r="X314" s="13"/>
    </row>
    <row r="315" spans="1:24" ht="12.75" customHeight="1">
      <c r="A315" s="13"/>
      <c r="B315" s="13"/>
      <c r="C315" s="13"/>
      <c r="D315" s="99"/>
      <c r="E315" s="99"/>
      <c r="F315" s="99"/>
      <c r="G315" s="99"/>
      <c r="H315" s="99"/>
      <c r="I315" s="99"/>
      <c r="J315" s="99"/>
      <c r="K315" s="99"/>
      <c r="L315" s="99"/>
      <c r="M315" s="13"/>
      <c r="N315" s="13"/>
      <c r="O315" s="13"/>
      <c r="P315" s="13"/>
      <c r="Q315" s="13"/>
      <c r="R315" s="13"/>
      <c r="S315" s="13"/>
      <c r="T315" s="13"/>
      <c r="U315" s="13"/>
      <c r="V315" s="13"/>
      <c r="W315" s="13"/>
      <c r="X315" s="13"/>
    </row>
    <row r="316" spans="1:24" ht="12.75" customHeight="1">
      <c r="A316" s="13"/>
      <c r="B316" s="13"/>
      <c r="C316" s="13"/>
      <c r="D316" s="10"/>
      <c r="E316" s="10"/>
      <c r="F316" s="10"/>
      <c r="G316" s="10"/>
      <c r="H316" s="10"/>
      <c r="I316" s="10"/>
      <c r="J316" s="10"/>
      <c r="K316" s="10"/>
      <c r="L316" s="10"/>
      <c r="M316" s="13"/>
      <c r="N316" s="13"/>
      <c r="O316" s="13"/>
      <c r="P316" s="13"/>
      <c r="Q316" s="13"/>
      <c r="R316" s="13"/>
      <c r="S316" s="13"/>
      <c r="T316" s="13"/>
      <c r="U316" s="13"/>
      <c r="V316" s="13"/>
      <c r="W316" s="13"/>
      <c r="X316" s="13"/>
    </row>
    <row r="317" spans="1:24" ht="12.75" customHeight="1">
      <c r="A317" s="13"/>
      <c r="B317" s="13"/>
      <c r="C317" s="13"/>
      <c r="D317" s="10"/>
      <c r="E317" s="10"/>
      <c r="F317" s="10"/>
      <c r="G317" s="10"/>
      <c r="H317" s="10"/>
      <c r="I317" s="10"/>
      <c r="J317" s="10"/>
      <c r="K317" s="10"/>
      <c r="L317" s="10"/>
      <c r="M317" s="13"/>
      <c r="N317" s="13"/>
      <c r="O317" s="13"/>
      <c r="P317" s="13"/>
      <c r="Q317" s="13"/>
      <c r="R317" s="13"/>
      <c r="S317" s="13"/>
      <c r="T317" s="13"/>
      <c r="U317" s="13"/>
      <c r="V317" s="13"/>
      <c r="W317" s="13"/>
      <c r="X317" s="13"/>
    </row>
    <row r="318" spans="1:24" ht="12.75" customHeight="1">
      <c r="A318" s="13"/>
      <c r="B318" s="13"/>
      <c r="C318" s="13"/>
      <c r="D318" s="10"/>
      <c r="E318" s="10"/>
      <c r="F318" s="10"/>
      <c r="G318" s="10"/>
      <c r="H318" s="10"/>
      <c r="I318" s="10"/>
      <c r="J318" s="10"/>
      <c r="K318" s="10"/>
      <c r="L318" s="10"/>
      <c r="M318" s="13"/>
      <c r="N318" s="13"/>
      <c r="O318" s="13"/>
      <c r="P318" s="13"/>
      <c r="Q318" s="13"/>
      <c r="R318" s="13"/>
      <c r="S318" s="13"/>
      <c r="T318" s="13"/>
      <c r="U318" s="13"/>
      <c r="V318" s="13"/>
      <c r="W318" s="13"/>
      <c r="X318" s="13"/>
    </row>
    <row r="319" spans="1:24" ht="12.75" customHeight="1">
      <c r="A319" s="13"/>
      <c r="B319" s="13"/>
      <c r="C319" s="13"/>
      <c r="D319" s="10"/>
      <c r="E319" s="10"/>
      <c r="F319" s="10"/>
      <c r="G319" s="10"/>
      <c r="H319" s="10"/>
      <c r="I319" s="10"/>
      <c r="J319" s="10"/>
      <c r="K319" s="10"/>
      <c r="L319" s="10"/>
      <c r="M319" s="13"/>
      <c r="N319" s="13"/>
      <c r="O319" s="13"/>
      <c r="P319" s="13"/>
      <c r="Q319" s="13"/>
      <c r="R319" s="13"/>
      <c r="S319" s="13"/>
      <c r="T319" s="13"/>
      <c r="U319" s="13"/>
      <c r="V319" s="13"/>
      <c r="W319" s="13"/>
      <c r="X319" s="13"/>
    </row>
    <row r="320" spans="1:24" ht="12.75" customHeight="1">
      <c r="A320" s="13"/>
      <c r="B320" s="13"/>
      <c r="C320" s="13"/>
      <c r="D320" s="10"/>
      <c r="E320" s="10"/>
      <c r="F320" s="10"/>
      <c r="G320" s="10"/>
      <c r="H320" s="10"/>
      <c r="I320" s="10"/>
      <c r="J320" s="10"/>
      <c r="K320" s="10"/>
      <c r="L320" s="10"/>
      <c r="M320" s="13"/>
      <c r="N320" s="13"/>
      <c r="O320" s="13"/>
      <c r="P320" s="13"/>
      <c r="Q320" s="13"/>
      <c r="R320" s="13"/>
      <c r="S320" s="13"/>
      <c r="T320" s="13"/>
      <c r="U320" s="13"/>
      <c r="V320" s="13"/>
      <c r="W320" s="13"/>
      <c r="X320" s="13"/>
    </row>
    <row r="321" spans="1:24" ht="12.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2.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2.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2.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2.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2.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2.75" customHeight="1">
      <c r="D327" s="10"/>
      <c r="E327" s="10"/>
      <c r="F327" s="10"/>
      <c r="G327" s="10"/>
      <c r="H327" s="10"/>
      <c r="I327" s="10"/>
      <c r="J327" s="10"/>
      <c r="K327" s="10"/>
      <c r="L327" s="10"/>
      <c r="M327" s="13"/>
      <c r="N327" s="13"/>
      <c r="O327" s="13"/>
      <c r="P327" s="13"/>
      <c r="Q327" s="13"/>
      <c r="R327" s="13"/>
      <c r="S327" s="13"/>
      <c r="T327" s="13"/>
      <c r="U327" s="13"/>
      <c r="V327" s="13"/>
      <c r="W327" s="13"/>
      <c r="X327" s="13"/>
    </row>
    <row r="328" spans="1:24" ht="12.75" customHeight="1">
      <c r="D328" s="10"/>
      <c r="E328" s="10"/>
      <c r="F328" s="10"/>
      <c r="G328" s="10"/>
      <c r="H328" s="10"/>
      <c r="I328" s="10"/>
      <c r="J328" s="10"/>
      <c r="K328" s="10"/>
      <c r="L328" s="10"/>
      <c r="M328" s="13"/>
      <c r="N328" s="13"/>
      <c r="O328" s="13"/>
      <c r="P328" s="13"/>
      <c r="Q328" s="13"/>
      <c r="R328" s="13"/>
      <c r="S328" s="13"/>
      <c r="T328" s="13"/>
      <c r="U328" s="13"/>
      <c r="V328" s="13"/>
      <c r="W328" s="13"/>
      <c r="X328" s="13"/>
    </row>
    <row r="329" spans="1:24" ht="12.75" customHeight="1">
      <c r="D329" s="10"/>
      <c r="E329" s="10"/>
      <c r="F329" s="10"/>
      <c r="G329" s="10"/>
      <c r="H329" s="10"/>
      <c r="I329" s="10"/>
      <c r="J329" s="10"/>
      <c r="K329" s="10"/>
      <c r="L329" s="10"/>
      <c r="M329" s="13"/>
      <c r="N329" s="13"/>
      <c r="O329" s="13"/>
      <c r="P329" s="13"/>
      <c r="Q329" s="13"/>
      <c r="R329" s="13"/>
      <c r="S329" s="13"/>
      <c r="T329" s="13"/>
      <c r="U329" s="13"/>
      <c r="V329" s="13"/>
      <c r="W329" s="13"/>
      <c r="X329" s="13"/>
    </row>
    <row r="330" spans="1:24" ht="12.75" customHeight="1">
      <c r="D330" s="40"/>
      <c r="E330" s="40"/>
      <c r="F330" s="40"/>
      <c r="G330" s="40"/>
      <c r="H330" s="40"/>
      <c r="I330" s="40"/>
      <c r="J330" s="40"/>
      <c r="K330" s="40"/>
      <c r="L330" s="40"/>
      <c r="M330" s="8"/>
      <c r="N330" s="8"/>
      <c r="O330" s="8"/>
      <c r="P330" s="8"/>
      <c r="Q330" s="8"/>
      <c r="R330" s="8"/>
      <c r="S330" s="8"/>
      <c r="T330" s="8"/>
      <c r="U330" s="8"/>
      <c r="V330" s="8"/>
      <c r="W330" s="8"/>
      <c r="X330" s="8"/>
    </row>
    <row r="331" spans="1:24" ht="12.75" customHeight="1">
      <c r="D331" s="40"/>
      <c r="E331" s="40"/>
      <c r="F331" s="40"/>
      <c r="G331" s="40"/>
      <c r="H331" s="40"/>
      <c r="I331" s="40"/>
      <c r="J331" s="40"/>
      <c r="K331" s="40"/>
      <c r="L331" s="40"/>
      <c r="M331" s="8"/>
      <c r="N331" s="8"/>
      <c r="O331" s="8"/>
      <c r="P331" s="8"/>
      <c r="Q331" s="8"/>
      <c r="R331" s="8"/>
      <c r="S331" s="8"/>
      <c r="T331" s="8"/>
      <c r="U331" s="8"/>
      <c r="V331" s="8"/>
      <c r="W331" s="8"/>
      <c r="X331" s="8"/>
    </row>
    <row r="337" ht="12.6" customHeight="1"/>
    <row r="338" ht="28.9" customHeight="1"/>
    <row r="398" spans="4:24" ht="13.5" customHeight="1">
      <c r="D398" s="27"/>
      <c r="E398" s="27"/>
      <c r="F398" s="27"/>
      <c r="G398" s="27"/>
      <c r="H398" s="27"/>
      <c r="I398" s="27"/>
      <c r="J398" s="27"/>
      <c r="K398" s="27"/>
      <c r="L398" s="27"/>
      <c r="M398" s="9"/>
      <c r="N398" s="9"/>
      <c r="O398" s="9"/>
      <c r="P398" s="9"/>
      <c r="Q398" s="9"/>
      <c r="R398" s="9"/>
      <c r="S398" s="9"/>
      <c r="T398" s="9"/>
      <c r="U398" s="9"/>
      <c r="V398" s="9"/>
      <c r="W398" s="9"/>
      <c r="X398" s="9"/>
    </row>
    <row r="399" spans="4:24" ht="13.5" customHeight="1">
      <c r="D399" s="10"/>
      <c r="E399" s="10"/>
      <c r="F399" s="10"/>
      <c r="G399" s="10"/>
      <c r="H399" s="10"/>
      <c r="I399" s="10"/>
      <c r="J399" s="10"/>
      <c r="K399" s="10"/>
      <c r="L399" s="10"/>
      <c r="M399" s="13"/>
      <c r="N399" s="13"/>
      <c r="O399" s="13"/>
      <c r="P399" s="13"/>
      <c r="Q399" s="13"/>
      <c r="R399" s="13"/>
      <c r="S399" s="13"/>
      <c r="T399" s="13"/>
      <c r="U399" s="13"/>
      <c r="V399" s="13"/>
      <c r="W399" s="13"/>
      <c r="X399" s="13"/>
    </row>
    <row r="400" spans="4:24" ht="13.5" customHeight="1">
      <c r="D400" s="27"/>
      <c r="E400" s="27"/>
      <c r="F400" s="27"/>
      <c r="G400" s="27"/>
      <c r="H400" s="27"/>
      <c r="I400" s="27"/>
      <c r="J400" s="27"/>
      <c r="K400" s="27"/>
      <c r="L400" s="27"/>
      <c r="M400" s="9"/>
      <c r="N400" s="9"/>
      <c r="O400" s="9"/>
      <c r="P400" s="9"/>
      <c r="Q400" s="9"/>
      <c r="R400" s="9"/>
      <c r="S400" s="9"/>
      <c r="T400" s="9"/>
      <c r="U400" s="9"/>
      <c r="V400" s="9"/>
      <c r="W400" s="9"/>
      <c r="X400" s="9"/>
    </row>
    <row r="401" spans="4:24" ht="13.5" customHeight="1">
      <c r="D401" s="27"/>
      <c r="E401" s="27"/>
      <c r="F401" s="27"/>
      <c r="G401" s="27"/>
      <c r="H401" s="27"/>
      <c r="I401" s="27"/>
      <c r="J401" s="27"/>
      <c r="K401" s="27"/>
      <c r="L401" s="27"/>
      <c r="M401" s="9"/>
      <c r="N401" s="9"/>
      <c r="O401" s="9"/>
      <c r="P401" s="9"/>
      <c r="Q401" s="9"/>
      <c r="R401" s="9"/>
      <c r="S401" s="9"/>
      <c r="T401" s="9"/>
      <c r="U401" s="9"/>
      <c r="V401" s="9"/>
      <c r="W401" s="9"/>
      <c r="X401" s="9"/>
    </row>
    <row r="402" spans="4:24" ht="12.75" customHeight="1">
      <c r="D402" s="10"/>
      <c r="E402" s="10"/>
      <c r="F402" s="10"/>
      <c r="G402" s="10"/>
      <c r="H402" s="10"/>
      <c r="I402" s="10"/>
      <c r="J402" s="10"/>
      <c r="K402" s="10"/>
      <c r="L402" s="10"/>
      <c r="M402" s="13"/>
      <c r="N402" s="13"/>
      <c r="O402" s="13"/>
      <c r="P402" s="13"/>
      <c r="Q402" s="13"/>
      <c r="R402" s="13"/>
      <c r="S402" s="13"/>
      <c r="T402" s="13"/>
      <c r="U402" s="13"/>
      <c r="V402" s="13"/>
      <c r="W402" s="13"/>
      <c r="X402" s="13"/>
    </row>
    <row r="403" spans="4:24" ht="12.75" customHeight="1">
      <c r="D403" s="10"/>
      <c r="E403" s="10"/>
      <c r="F403" s="10"/>
      <c r="G403" s="10"/>
      <c r="H403" s="10"/>
      <c r="I403" s="10"/>
      <c r="J403" s="10"/>
      <c r="K403" s="10"/>
      <c r="L403" s="10"/>
      <c r="M403" s="13"/>
      <c r="N403" s="13"/>
      <c r="O403" s="13"/>
      <c r="P403" s="13"/>
      <c r="Q403" s="13"/>
      <c r="R403" s="13"/>
      <c r="S403" s="13"/>
      <c r="T403" s="13"/>
      <c r="U403" s="13"/>
      <c r="V403" s="13"/>
      <c r="W403" s="13"/>
      <c r="X403" s="13"/>
    </row>
    <row r="404" spans="4:24" ht="12.75" customHeight="1">
      <c r="D404" s="10"/>
      <c r="E404" s="10"/>
      <c r="F404" s="10"/>
      <c r="G404" s="10"/>
      <c r="H404" s="10"/>
      <c r="I404" s="10"/>
      <c r="J404" s="10"/>
      <c r="K404" s="10"/>
      <c r="L404" s="10"/>
      <c r="M404" s="13"/>
      <c r="N404" s="13"/>
      <c r="O404" s="13"/>
      <c r="P404" s="13"/>
      <c r="Q404" s="13"/>
      <c r="R404" s="13"/>
      <c r="S404" s="13"/>
      <c r="T404" s="13"/>
      <c r="U404" s="13"/>
      <c r="V404" s="13"/>
      <c r="W404" s="13"/>
      <c r="X404" s="13"/>
    </row>
    <row r="405" spans="4:24" ht="12.75" customHeight="1">
      <c r="D405" s="10"/>
      <c r="E405" s="10"/>
      <c r="F405" s="10"/>
      <c r="G405" s="10"/>
      <c r="H405" s="10"/>
      <c r="I405" s="10"/>
      <c r="J405" s="10"/>
      <c r="K405" s="10"/>
      <c r="L405" s="10"/>
      <c r="M405" s="13"/>
      <c r="N405" s="13"/>
      <c r="O405" s="13"/>
      <c r="P405" s="13"/>
      <c r="Q405" s="13"/>
      <c r="R405" s="13"/>
      <c r="S405" s="13"/>
      <c r="T405" s="13"/>
      <c r="U405" s="13"/>
      <c r="V405" s="13"/>
      <c r="W405" s="13"/>
      <c r="X405" s="13"/>
    </row>
    <row r="406" spans="4:24" ht="12.75" customHeight="1">
      <c r="D406" s="10"/>
      <c r="E406" s="10"/>
      <c r="F406" s="10"/>
      <c r="G406" s="10"/>
      <c r="H406" s="10"/>
      <c r="I406" s="10"/>
      <c r="J406" s="10"/>
      <c r="K406" s="10"/>
      <c r="L406" s="10"/>
      <c r="M406" s="13"/>
      <c r="N406" s="13"/>
      <c r="O406" s="13"/>
      <c r="P406" s="13"/>
      <c r="Q406" s="13"/>
      <c r="R406" s="13"/>
      <c r="S406" s="13"/>
      <c r="T406" s="13"/>
      <c r="U406" s="13"/>
      <c r="V406" s="13"/>
      <c r="W406" s="13"/>
      <c r="X406" s="13"/>
    </row>
    <row r="407" spans="4:24" ht="12.75" customHeight="1">
      <c r="D407" s="10"/>
      <c r="E407" s="10"/>
      <c r="F407" s="10"/>
      <c r="G407" s="10"/>
      <c r="H407" s="10"/>
      <c r="I407" s="10"/>
      <c r="J407" s="10"/>
      <c r="K407" s="10"/>
      <c r="L407" s="10"/>
      <c r="M407" s="13"/>
      <c r="N407" s="13"/>
      <c r="O407" s="13"/>
      <c r="P407" s="13"/>
      <c r="Q407" s="13"/>
      <c r="R407" s="13"/>
      <c r="S407" s="13"/>
      <c r="T407" s="13"/>
      <c r="U407" s="13"/>
      <c r="V407" s="13"/>
      <c r="W407" s="13"/>
      <c r="X407" s="13"/>
    </row>
    <row r="408" spans="4:24" ht="12.75" customHeight="1">
      <c r="D408" s="10"/>
      <c r="E408" s="10"/>
      <c r="F408" s="10"/>
      <c r="G408" s="10"/>
      <c r="H408" s="10"/>
      <c r="I408" s="10"/>
      <c r="J408" s="10"/>
      <c r="K408" s="10"/>
      <c r="L408" s="10"/>
      <c r="M408" s="13"/>
      <c r="N408" s="13"/>
      <c r="O408" s="13"/>
      <c r="P408" s="13"/>
      <c r="Q408" s="13"/>
      <c r="R408" s="13"/>
      <c r="S408" s="13"/>
      <c r="T408" s="13"/>
      <c r="U408" s="13"/>
      <c r="V408" s="13"/>
      <c r="W408" s="13"/>
      <c r="X408" s="13"/>
    </row>
    <row r="409" spans="4:24" ht="12.75" customHeight="1">
      <c r="D409" s="10"/>
      <c r="E409" s="10"/>
      <c r="F409" s="10"/>
      <c r="G409" s="10"/>
      <c r="H409" s="10"/>
      <c r="I409" s="10"/>
      <c r="J409" s="10"/>
      <c r="K409" s="10"/>
      <c r="L409" s="10"/>
      <c r="M409" s="13"/>
      <c r="N409" s="13"/>
      <c r="O409" s="13"/>
      <c r="P409" s="13"/>
      <c r="Q409" s="13"/>
      <c r="R409" s="13"/>
      <c r="S409" s="13"/>
      <c r="T409" s="13"/>
      <c r="U409" s="13"/>
      <c r="V409" s="13"/>
      <c r="W409" s="13"/>
      <c r="X409" s="13"/>
    </row>
    <row r="410" spans="4:24" ht="12.75" customHeight="1">
      <c r="D410" s="10"/>
      <c r="E410" s="10"/>
      <c r="F410" s="10"/>
      <c r="G410" s="10"/>
      <c r="H410" s="10"/>
      <c r="I410" s="10"/>
      <c r="J410" s="10"/>
      <c r="K410" s="10"/>
      <c r="L410" s="10"/>
      <c r="M410" s="13"/>
      <c r="N410" s="13"/>
      <c r="O410" s="13"/>
      <c r="P410" s="13"/>
      <c r="Q410" s="13"/>
      <c r="R410" s="13"/>
      <c r="S410" s="13"/>
      <c r="T410" s="13"/>
      <c r="U410" s="13"/>
      <c r="V410" s="13"/>
      <c r="W410" s="13"/>
      <c r="X410" s="13"/>
    </row>
    <row r="411" spans="4:24" ht="12.75" customHeight="1">
      <c r="D411" s="10"/>
      <c r="E411" s="10"/>
      <c r="F411" s="10"/>
      <c r="G411" s="10"/>
      <c r="H411" s="10"/>
      <c r="I411" s="10"/>
      <c r="J411" s="10"/>
      <c r="K411" s="10"/>
      <c r="L411" s="10"/>
      <c r="M411" s="13"/>
      <c r="N411" s="13"/>
      <c r="O411" s="13"/>
      <c r="P411" s="13"/>
      <c r="Q411" s="13"/>
      <c r="R411" s="13"/>
      <c r="S411" s="13"/>
      <c r="T411" s="13"/>
      <c r="U411" s="13"/>
      <c r="V411" s="13"/>
      <c r="W411" s="13"/>
      <c r="X411" s="13"/>
    </row>
    <row r="412" spans="4:24" ht="12.75" customHeight="1">
      <c r="D412" s="10"/>
      <c r="E412" s="10"/>
      <c r="F412" s="10"/>
      <c r="G412" s="10"/>
      <c r="H412" s="10"/>
      <c r="I412" s="10"/>
      <c r="J412" s="10"/>
      <c r="K412" s="10"/>
      <c r="L412" s="10"/>
      <c r="M412" s="13"/>
      <c r="N412" s="13"/>
      <c r="O412" s="13"/>
      <c r="P412" s="13"/>
      <c r="Q412" s="13"/>
      <c r="R412" s="13"/>
      <c r="S412" s="13"/>
      <c r="T412" s="13"/>
      <c r="U412" s="13"/>
      <c r="V412" s="13"/>
      <c r="W412" s="13"/>
      <c r="X412" s="13"/>
    </row>
    <row r="413" spans="4:24" ht="12.75" customHeight="1">
      <c r="D413" s="10"/>
      <c r="E413" s="10"/>
      <c r="F413" s="10"/>
      <c r="G413" s="10"/>
      <c r="H413" s="10"/>
      <c r="I413" s="10"/>
      <c r="J413" s="10"/>
      <c r="K413" s="10"/>
      <c r="L413" s="10"/>
      <c r="M413" s="13"/>
      <c r="N413" s="13"/>
      <c r="O413" s="13"/>
      <c r="P413" s="13"/>
      <c r="Q413" s="13"/>
      <c r="R413" s="13"/>
      <c r="S413" s="13"/>
      <c r="T413" s="13"/>
      <c r="U413" s="13"/>
      <c r="V413" s="13"/>
      <c r="W413" s="13"/>
      <c r="X413" s="13"/>
    </row>
    <row r="414" spans="4:24" ht="12.75" customHeight="1">
      <c r="D414" s="10"/>
      <c r="E414" s="10"/>
      <c r="F414" s="10"/>
      <c r="G414" s="10"/>
      <c r="H414" s="10"/>
      <c r="I414" s="10"/>
      <c r="J414" s="10"/>
      <c r="K414" s="10"/>
      <c r="L414" s="10"/>
      <c r="M414" s="13"/>
      <c r="N414" s="13"/>
      <c r="O414" s="13"/>
      <c r="P414" s="13"/>
      <c r="Q414" s="13"/>
      <c r="R414" s="13"/>
      <c r="S414" s="13"/>
      <c r="T414" s="13"/>
      <c r="U414" s="13"/>
      <c r="V414" s="13"/>
      <c r="W414" s="13"/>
      <c r="X414" s="13"/>
    </row>
    <row r="415" spans="4:24" ht="12.75" customHeight="1">
      <c r="D415" s="10"/>
      <c r="E415" s="10"/>
      <c r="F415" s="10"/>
      <c r="G415" s="10"/>
      <c r="H415" s="10"/>
      <c r="I415" s="10"/>
      <c r="J415" s="10"/>
      <c r="K415" s="10"/>
      <c r="L415" s="10"/>
      <c r="M415" s="13"/>
      <c r="N415" s="13"/>
      <c r="O415" s="13"/>
      <c r="P415" s="13"/>
      <c r="Q415" s="13"/>
      <c r="R415" s="13"/>
      <c r="S415" s="13"/>
      <c r="T415" s="13"/>
      <c r="U415" s="13"/>
      <c r="V415" s="13"/>
      <c r="W415" s="13"/>
      <c r="X415" s="13"/>
    </row>
    <row r="416" spans="4:24" ht="12.75" customHeight="1">
      <c r="D416" s="10"/>
      <c r="E416" s="10"/>
      <c r="F416" s="10"/>
      <c r="G416" s="10"/>
      <c r="H416" s="10"/>
      <c r="I416" s="10"/>
      <c r="J416" s="10"/>
      <c r="K416" s="10"/>
      <c r="L416" s="10"/>
      <c r="M416" s="13"/>
      <c r="N416" s="13"/>
      <c r="O416" s="13"/>
      <c r="P416" s="13"/>
      <c r="Q416" s="13"/>
      <c r="R416" s="13"/>
      <c r="S416" s="13"/>
      <c r="T416" s="13"/>
      <c r="U416" s="13"/>
      <c r="V416" s="13"/>
      <c r="W416" s="13"/>
      <c r="X416" s="13"/>
    </row>
    <row r="417" spans="4:24" ht="12.75" customHeight="1">
      <c r="D417" s="10"/>
      <c r="E417" s="10"/>
      <c r="F417" s="10"/>
      <c r="G417" s="10"/>
      <c r="H417" s="10"/>
      <c r="I417" s="10"/>
      <c r="J417" s="10"/>
      <c r="K417" s="10"/>
      <c r="L417" s="10"/>
      <c r="M417" s="13"/>
      <c r="N417" s="13"/>
      <c r="O417" s="13"/>
      <c r="P417" s="13"/>
      <c r="Q417" s="13"/>
      <c r="R417" s="13"/>
      <c r="S417" s="13"/>
      <c r="T417" s="13"/>
      <c r="U417" s="13"/>
      <c r="V417" s="13"/>
      <c r="W417" s="13"/>
      <c r="X417" s="13"/>
    </row>
    <row r="418" spans="4:24" ht="12.75" customHeight="1">
      <c r="D418" s="10"/>
      <c r="E418" s="10"/>
      <c r="F418" s="10"/>
      <c r="G418" s="10"/>
      <c r="H418" s="10"/>
      <c r="I418" s="10"/>
      <c r="J418" s="10"/>
      <c r="K418" s="10"/>
      <c r="L418" s="10"/>
      <c r="M418" s="13"/>
      <c r="N418" s="13"/>
      <c r="O418" s="13"/>
      <c r="P418" s="13"/>
      <c r="Q418" s="13"/>
      <c r="R418" s="13"/>
      <c r="S418" s="13"/>
      <c r="T418" s="13"/>
      <c r="U418" s="13"/>
      <c r="V418" s="13"/>
      <c r="W418" s="13"/>
      <c r="X418" s="13"/>
    </row>
    <row r="419" spans="4:24" ht="12.75" customHeight="1">
      <c r="D419" s="10"/>
      <c r="E419" s="10"/>
      <c r="F419" s="10"/>
      <c r="G419" s="10"/>
      <c r="H419" s="10"/>
      <c r="I419" s="10"/>
      <c r="J419" s="10"/>
      <c r="K419" s="10"/>
      <c r="L419" s="10"/>
      <c r="M419" s="13"/>
      <c r="N419" s="13"/>
      <c r="O419" s="13"/>
      <c r="P419" s="13"/>
      <c r="Q419" s="13"/>
      <c r="R419" s="13"/>
      <c r="S419" s="13"/>
      <c r="T419" s="13"/>
      <c r="U419" s="13"/>
      <c r="V419" s="13"/>
      <c r="W419" s="13"/>
      <c r="X419" s="13"/>
    </row>
    <row r="420" spans="4:24" ht="12.75" customHeight="1">
      <c r="D420" s="10"/>
      <c r="E420" s="10"/>
      <c r="F420" s="10"/>
      <c r="G420" s="10"/>
      <c r="H420" s="10"/>
      <c r="I420" s="10"/>
      <c r="J420" s="10"/>
      <c r="K420" s="10"/>
      <c r="L420" s="10"/>
      <c r="M420" s="13"/>
      <c r="N420" s="13"/>
      <c r="O420" s="13"/>
      <c r="P420" s="13"/>
      <c r="Q420" s="13"/>
      <c r="R420" s="13"/>
      <c r="S420" s="13"/>
      <c r="T420" s="13"/>
      <c r="U420" s="13"/>
      <c r="V420" s="13"/>
      <c r="W420" s="13"/>
      <c r="X420" s="13"/>
    </row>
    <row r="421" spans="4:24" ht="12.75" customHeight="1">
      <c r="D421" s="10"/>
      <c r="E421" s="10"/>
      <c r="F421" s="10"/>
      <c r="G421" s="10"/>
      <c r="H421" s="10"/>
      <c r="I421" s="10"/>
      <c r="J421" s="10"/>
      <c r="K421" s="10"/>
      <c r="L421" s="10"/>
      <c r="M421" s="13"/>
      <c r="N421" s="13"/>
      <c r="O421" s="13"/>
      <c r="P421" s="13"/>
      <c r="Q421" s="13"/>
      <c r="R421" s="13"/>
      <c r="S421" s="13"/>
      <c r="T421" s="13"/>
      <c r="U421" s="13"/>
      <c r="V421" s="13"/>
      <c r="W421" s="13"/>
      <c r="X421" s="13"/>
    </row>
    <row r="422" spans="4:24" ht="12.75" customHeight="1">
      <c r="D422" s="10"/>
      <c r="E422" s="10"/>
      <c r="F422" s="10"/>
      <c r="G422" s="10"/>
      <c r="H422" s="10"/>
      <c r="I422" s="10"/>
      <c r="J422" s="10"/>
      <c r="K422" s="10"/>
      <c r="L422" s="10"/>
      <c r="M422" s="13"/>
      <c r="N422" s="13"/>
      <c r="O422" s="13"/>
      <c r="P422" s="13"/>
      <c r="Q422" s="13"/>
      <c r="R422" s="13"/>
      <c r="S422" s="13"/>
      <c r="T422" s="13"/>
      <c r="U422" s="13"/>
      <c r="V422" s="13"/>
      <c r="W422" s="13"/>
      <c r="X422" s="13"/>
    </row>
    <row r="423" spans="4:24" ht="12.75" customHeight="1">
      <c r="D423" s="10"/>
      <c r="E423" s="10"/>
      <c r="F423" s="10"/>
      <c r="G423" s="10"/>
      <c r="H423" s="10"/>
      <c r="I423" s="10"/>
      <c r="J423" s="10"/>
      <c r="K423" s="10"/>
      <c r="L423" s="10"/>
      <c r="M423" s="13"/>
      <c r="N423" s="13"/>
      <c r="O423" s="13"/>
      <c r="P423" s="13"/>
      <c r="Q423" s="13"/>
      <c r="R423" s="13"/>
      <c r="S423" s="13"/>
      <c r="T423" s="13"/>
      <c r="U423" s="13"/>
      <c r="V423" s="13"/>
      <c r="W423" s="13"/>
      <c r="X423" s="13"/>
    </row>
    <row r="424" spans="4:24" ht="12.75" customHeight="1">
      <c r="D424" s="10"/>
      <c r="E424" s="10"/>
      <c r="F424" s="10"/>
      <c r="G424" s="10"/>
      <c r="H424" s="10"/>
      <c r="I424" s="10"/>
      <c r="J424" s="10"/>
      <c r="K424" s="10"/>
      <c r="L424" s="10"/>
      <c r="M424" s="13"/>
      <c r="N424" s="13"/>
      <c r="O424" s="13"/>
      <c r="P424" s="13"/>
      <c r="Q424" s="13"/>
      <c r="R424" s="13"/>
      <c r="S424" s="13"/>
      <c r="T424" s="13"/>
      <c r="U424" s="13"/>
      <c r="V424" s="13"/>
      <c r="W424" s="13"/>
      <c r="X424" s="13"/>
    </row>
    <row r="425" spans="4:24" ht="12.75" customHeight="1">
      <c r="D425" s="10"/>
      <c r="E425" s="10"/>
      <c r="F425" s="10"/>
      <c r="G425" s="10"/>
      <c r="H425" s="10"/>
      <c r="I425" s="10"/>
      <c r="J425" s="10"/>
      <c r="K425" s="10"/>
      <c r="L425" s="10"/>
      <c r="M425" s="13"/>
      <c r="N425" s="13"/>
      <c r="O425" s="13"/>
      <c r="P425" s="13"/>
      <c r="Q425" s="13"/>
      <c r="R425" s="13"/>
      <c r="S425" s="13"/>
      <c r="T425" s="13"/>
      <c r="U425" s="13"/>
      <c r="V425" s="13"/>
      <c r="W425" s="13"/>
      <c r="X425" s="13"/>
    </row>
    <row r="426" spans="4:24" ht="12.75" customHeight="1">
      <c r="D426" s="10"/>
      <c r="E426" s="10"/>
      <c r="F426" s="10"/>
      <c r="G426" s="10"/>
      <c r="H426" s="10"/>
      <c r="I426" s="10"/>
      <c r="J426" s="10"/>
      <c r="K426" s="10"/>
      <c r="L426" s="10"/>
      <c r="M426" s="13"/>
      <c r="N426" s="13"/>
      <c r="O426" s="13"/>
      <c r="P426" s="13"/>
      <c r="Q426" s="13"/>
      <c r="R426" s="13"/>
      <c r="S426" s="13"/>
      <c r="T426" s="13"/>
      <c r="U426" s="13"/>
      <c r="V426" s="13"/>
      <c r="W426" s="13"/>
      <c r="X426" s="13"/>
    </row>
    <row r="427" spans="4:24" ht="12.75" customHeight="1">
      <c r="D427" s="10"/>
      <c r="E427" s="10"/>
      <c r="F427" s="10"/>
      <c r="G427" s="10"/>
      <c r="H427" s="10"/>
      <c r="I427" s="10"/>
      <c r="J427" s="10"/>
      <c r="K427" s="10"/>
      <c r="L427" s="10"/>
      <c r="M427" s="13"/>
      <c r="N427" s="13"/>
      <c r="O427" s="13"/>
      <c r="P427" s="13"/>
      <c r="Q427" s="13"/>
      <c r="R427" s="13"/>
      <c r="S427" s="13"/>
      <c r="T427" s="13"/>
      <c r="U427" s="13"/>
      <c r="V427" s="13"/>
      <c r="W427" s="13"/>
      <c r="X427" s="13"/>
    </row>
    <row r="428" spans="4:24" ht="12.75" customHeight="1">
      <c r="D428" s="10"/>
      <c r="E428" s="10"/>
      <c r="F428" s="10"/>
      <c r="G428" s="10"/>
      <c r="H428" s="10"/>
      <c r="I428" s="10"/>
      <c r="J428" s="10"/>
      <c r="K428" s="10"/>
      <c r="L428" s="10"/>
      <c r="M428" s="13"/>
      <c r="N428" s="13"/>
      <c r="O428" s="13"/>
      <c r="P428" s="13"/>
      <c r="Q428" s="13"/>
      <c r="R428" s="13"/>
      <c r="S428" s="13"/>
      <c r="T428" s="13"/>
      <c r="U428" s="13"/>
      <c r="V428" s="13"/>
      <c r="W428" s="13"/>
      <c r="X428" s="13"/>
    </row>
    <row r="429" spans="4:24" ht="12.75" customHeight="1">
      <c r="D429" s="10"/>
      <c r="E429" s="10"/>
      <c r="F429" s="10"/>
      <c r="G429" s="10"/>
      <c r="H429" s="10"/>
      <c r="I429" s="10"/>
      <c r="J429" s="10"/>
      <c r="K429" s="10"/>
      <c r="L429" s="10"/>
      <c r="M429" s="13"/>
      <c r="N429" s="13"/>
      <c r="O429" s="13"/>
      <c r="P429" s="13"/>
      <c r="Q429" s="13"/>
      <c r="R429" s="13"/>
      <c r="S429" s="13"/>
      <c r="T429" s="13"/>
      <c r="U429" s="13"/>
      <c r="V429" s="13"/>
      <c r="W429" s="13"/>
      <c r="X429" s="13"/>
    </row>
    <row r="430" spans="4:24" ht="12.75" customHeight="1">
      <c r="D430" s="10"/>
      <c r="E430" s="10"/>
      <c r="F430" s="10"/>
      <c r="G430" s="10"/>
      <c r="H430" s="10"/>
      <c r="I430" s="10"/>
      <c r="J430" s="10"/>
      <c r="K430" s="10"/>
      <c r="L430" s="10"/>
      <c r="M430" s="13"/>
      <c r="N430" s="13"/>
      <c r="O430" s="13"/>
      <c r="P430" s="13"/>
      <c r="Q430" s="13"/>
      <c r="R430" s="13"/>
      <c r="S430" s="13"/>
      <c r="T430" s="13"/>
      <c r="U430" s="13"/>
      <c r="V430" s="13"/>
      <c r="W430" s="13"/>
      <c r="X430" s="13"/>
    </row>
    <row r="431" spans="4:24" ht="12.75" customHeight="1">
      <c r="D431" s="10"/>
      <c r="E431" s="10"/>
      <c r="F431" s="10"/>
      <c r="G431" s="10"/>
      <c r="H431" s="10"/>
      <c r="I431" s="10"/>
      <c r="J431" s="10"/>
      <c r="K431" s="10"/>
      <c r="L431" s="10"/>
      <c r="M431" s="13"/>
      <c r="N431" s="13"/>
      <c r="O431" s="13"/>
      <c r="P431" s="13"/>
      <c r="Q431" s="13"/>
      <c r="R431" s="13"/>
      <c r="S431" s="13"/>
      <c r="T431" s="13"/>
      <c r="U431" s="13"/>
      <c r="V431" s="13"/>
      <c r="W431" s="13"/>
      <c r="X431" s="13"/>
    </row>
    <row r="432" spans="4:24" ht="12.75" customHeight="1">
      <c r="D432" s="10"/>
      <c r="E432" s="10"/>
      <c r="F432" s="10"/>
      <c r="G432" s="10"/>
      <c r="H432" s="10"/>
      <c r="I432" s="10"/>
      <c r="J432" s="10"/>
      <c r="K432" s="10"/>
      <c r="L432" s="10"/>
      <c r="M432" s="13"/>
      <c r="N432" s="13"/>
      <c r="O432" s="13"/>
      <c r="P432" s="13"/>
      <c r="Q432" s="13"/>
      <c r="R432" s="13"/>
      <c r="S432" s="13"/>
      <c r="T432" s="13"/>
      <c r="U432" s="13"/>
      <c r="V432" s="13"/>
      <c r="W432" s="13"/>
      <c r="X432" s="13"/>
    </row>
    <row r="433" spans="4:24" ht="12.75" customHeight="1">
      <c r="D433" s="10"/>
      <c r="E433" s="10"/>
      <c r="F433" s="10"/>
      <c r="G433" s="10"/>
      <c r="H433" s="10"/>
      <c r="I433" s="10"/>
      <c r="J433" s="10"/>
      <c r="K433" s="10"/>
      <c r="L433" s="10"/>
      <c r="M433" s="13"/>
      <c r="N433" s="13"/>
      <c r="O433" s="13"/>
      <c r="P433" s="13"/>
      <c r="Q433" s="13"/>
      <c r="R433" s="13"/>
      <c r="S433" s="13"/>
      <c r="T433" s="13"/>
      <c r="U433" s="13"/>
      <c r="V433" s="13"/>
      <c r="W433" s="13"/>
      <c r="X433" s="13"/>
    </row>
    <row r="434" spans="4:24" ht="12.75" customHeight="1">
      <c r="D434" s="10"/>
      <c r="E434" s="10"/>
      <c r="F434" s="10"/>
      <c r="G434" s="10"/>
      <c r="H434" s="10"/>
      <c r="I434" s="10"/>
      <c r="J434" s="10"/>
      <c r="K434" s="10"/>
      <c r="L434" s="10"/>
      <c r="M434" s="13"/>
      <c r="N434" s="13"/>
      <c r="O434" s="13"/>
      <c r="P434" s="13"/>
      <c r="Q434" s="13"/>
      <c r="R434" s="13"/>
      <c r="S434" s="13"/>
      <c r="T434" s="13"/>
      <c r="U434" s="13"/>
      <c r="V434" s="13"/>
      <c r="W434" s="13"/>
      <c r="X434" s="13"/>
    </row>
    <row r="435" spans="4:24" ht="12.75" customHeight="1">
      <c r="D435" s="10"/>
      <c r="E435" s="10"/>
      <c r="F435" s="10"/>
      <c r="G435" s="10"/>
      <c r="H435" s="10"/>
      <c r="I435" s="10"/>
      <c r="J435" s="10"/>
      <c r="K435" s="10"/>
      <c r="L435" s="10"/>
      <c r="M435" s="13"/>
      <c r="N435" s="13"/>
      <c r="O435" s="13"/>
      <c r="P435" s="13"/>
      <c r="Q435" s="13"/>
      <c r="R435" s="13"/>
      <c r="S435" s="13"/>
      <c r="T435" s="13"/>
      <c r="U435" s="13"/>
      <c r="V435" s="13"/>
      <c r="W435" s="13"/>
      <c r="X435" s="13"/>
    </row>
    <row r="436" spans="4:24" ht="12.75" customHeight="1">
      <c r="D436" s="10"/>
      <c r="E436" s="10"/>
      <c r="F436" s="10"/>
      <c r="G436" s="10"/>
      <c r="H436" s="10"/>
      <c r="I436" s="10"/>
      <c r="J436" s="10"/>
      <c r="K436" s="10"/>
      <c r="L436" s="10"/>
      <c r="M436" s="13"/>
      <c r="N436" s="13"/>
      <c r="O436" s="13"/>
      <c r="P436" s="13"/>
      <c r="Q436" s="13"/>
      <c r="R436" s="13"/>
      <c r="S436" s="13"/>
      <c r="T436" s="13"/>
      <c r="U436" s="13"/>
      <c r="V436" s="13"/>
      <c r="W436" s="13"/>
      <c r="X436" s="13"/>
    </row>
    <row r="437" spans="4:24" ht="12.75" customHeight="1">
      <c r="D437" s="10"/>
      <c r="E437" s="10"/>
      <c r="F437" s="10"/>
      <c r="G437" s="10"/>
      <c r="H437" s="10"/>
      <c r="I437" s="10"/>
      <c r="J437" s="10"/>
      <c r="K437" s="10"/>
      <c r="L437" s="10"/>
      <c r="M437" s="13"/>
      <c r="N437" s="13"/>
      <c r="O437" s="13"/>
      <c r="P437" s="13"/>
      <c r="Q437" s="13"/>
      <c r="R437" s="13"/>
      <c r="S437" s="13"/>
      <c r="T437" s="13"/>
      <c r="U437" s="13"/>
      <c r="V437" s="13"/>
      <c r="W437" s="13"/>
      <c r="X437" s="13"/>
    </row>
    <row r="438" spans="4:24" ht="12.75" customHeight="1">
      <c r="D438" s="10"/>
      <c r="E438" s="10"/>
      <c r="F438" s="10"/>
      <c r="G438" s="10"/>
      <c r="H438" s="10"/>
      <c r="I438" s="10"/>
      <c r="J438" s="10"/>
      <c r="K438" s="10"/>
      <c r="L438" s="10"/>
      <c r="M438" s="13"/>
      <c r="N438" s="13"/>
      <c r="O438" s="13"/>
      <c r="P438" s="13"/>
      <c r="Q438" s="13"/>
      <c r="R438" s="13"/>
      <c r="S438" s="13"/>
      <c r="T438" s="13"/>
      <c r="U438" s="13"/>
      <c r="V438" s="13"/>
      <c r="W438" s="13"/>
      <c r="X438" s="13"/>
    </row>
    <row r="439" spans="4:24" ht="12.75" customHeight="1">
      <c r="D439" s="10"/>
      <c r="E439" s="10"/>
      <c r="F439" s="10"/>
      <c r="G439" s="10"/>
      <c r="H439" s="10"/>
      <c r="I439" s="10"/>
      <c r="J439" s="10"/>
      <c r="K439" s="10"/>
      <c r="L439" s="10"/>
      <c r="M439" s="13"/>
      <c r="N439" s="13"/>
      <c r="O439" s="13"/>
      <c r="P439" s="13"/>
      <c r="Q439" s="13"/>
      <c r="R439" s="13"/>
      <c r="S439" s="13"/>
      <c r="T439" s="13"/>
      <c r="U439" s="13"/>
      <c r="V439" s="13"/>
      <c r="W439" s="13"/>
      <c r="X439" s="13"/>
    </row>
    <row r="440" spans="4:24" ht="12.75" customHeight="1">
      <c r="D440" s="10"/>
      <c r="E440" s="10"/>
      <c r="F440" s="10"/>
      <c r="G440" s="10"/>
      <c r="H440" s="10"/>
      <c r="I440" s="10"/>
      <c r="J440" s="10"/>
      <c r="K440" s="10"/>
      <c r="L440" s="10"/>
      <c r="M440" s="13"/>
      <c r="N440" s="13"/>
      <c r="O440" s="13"/>
      <c r="P440" s="13"/>
      <c r="Q440" s="13"/>
      <c r="R440" s="13"/>
      <c r="S440" s="13"/>
      <c r="T440" s="13"/>
      <c r="U440" s="13"/>
      <c r="V440" s="13"/>
      <c r="W440" s="13"/>
      <c r="X440" s="13"/>
    </row>
    <row r="441" spans="4:24" ht="12.75" customHeight="1">
      <c r="D441" s="10"/>
      <c r="E441" s="10"/>
      <c r="F441" s="10"/>
      <c r="G441" s="10"/>
      <c r="H441" s="10"/>
      <c r="I441" s="10"/>
      <c r="J441" s="10"/>
      <c r="K441" s="10"/>
      <c r="L441" s="10"/>
      <c r="M441" s="13"/>
      <c r="N441" s="13"/>
      <c r="O441" s="13"/>
      <c r="P441" s="13"/>
      <c r="Q441" s="13"/>
      <c r="R441" s="13"/>
      <c r="S441" s="13"/>
      <c r="T441" s="13"/>
      <c r="U441" s="13"/>
      <c r="V441" s="13"/>
      <c r="W441" s="13"/>
      <c r="X441" s="13"/>
    </row>
    <row r="442" spans="4:24" ht="12.75" customHeight="1">
      <c r="D442" s="10"/>
      <c r="E442" s="10"/>
      <c r="F442" s="10"/>
      <c r="G442" s="10"/>
      <c r="H442" s="10"/>
      <c r="I442" s="10"/>
      <c r="J442" s="10"/>
      <c r="K442" s="10"/>
      <c r="L442" s="10"/>
      <c r="M442" s="13"/>
      <c r="N442" s="13"/>
      <c r="O442" s="13"/>
      <c r="P442" s="13"/>
      <c r="Q442" s="13"/>
      <c r="R442" s="13"/>
      <c r="S442" s="13"/>
      <c r="T442" s="13"/>
      <c r="U442" s="13"/>
      <c r="V442" s="13"/>
      <c r="W442" s="13"/>
      <c r="X442" s="13"/>
    </row>
    <row r="443" spans="4:24" ht="12.75" customHeight="1">
      <c r="D443" s="10"/>
      <c r="E443" s="10"/>
      <c r="F443" s="10"/>
      <c r="G443" s="10"/>
      <c r="H443" s="10"/>
      <c r="I443" s="10"/>
      <c r="J443" s="10"/>
      <c r="K443" s="10"/>
      <c r="L443" s="10"/>
      <c r="M443" s="13"/>
      <c r="N443" s="13"/>
      <c r="O443" s="13"/>
      <c r="P443" s="13"/>
      <c r="Q443" s="13"/>
      <c r="R443" s="13"/>
      <c r="S443" s="13"/>
      <c r="T443" s="13"/>
      <c r="U443" s="13"/>
      <c r="V443" s="13"/>
      <c r="W443" s="13"/>
      <c r="X443" s="13"/>
    </row>
    <row r="444" spans="4:24" ht="12.75" customHeight="1">
      <c r="D444" s="10"/>
      <c r="E444" s="10"/>
      <c r="F444" s="10"/>
      <c r="G444" s="10"/>
      <c r="H444" s="10"/>
      <c r="I444" s="10"/>
      <c r="J444" s="10"/>
      <c r="K444" s="10"/>
      <c r="L444" s="10"/>
      <c r="M444" s="13"/>
      <c r="N444" s="13"/>
      <c r="O444" s="13"/>
      <c r="P444" s="13"/>
      <c r="Q444" s="13"/>
      <c r="R444" s="13"/>
      <c r="S444" s="13"/>
      <c r="T444" s="13"/>
      <c r="U444" s="13"/>
      <c r="V444" s="13"/>
      <c r="W444" s="13"/>
      <c r="X444" s="13"/>
    </row>
    <row r="445" spans="4:24" ht="12.75" customHeight="1">
      <c r="D445" s="10"/>
      <c r="E445" s="10"/>
      <c r="F445" s="10"/>
      <c r="G445" s="10"/>
      <c r="H445" s="10"/>
      <c r="I445" s="10"/>
      <c r="J445" s="10"/>
      <c r="K445" s="10"/>
      <c r="L445" s="10"/>
      <c r="M445" s="13"/>
      <c r="N445" s="13"/>
      <c r="O445" s="13"/>
      <c r="P445" s="13"/>
      <c r="Q445" s="13"/>
      <c r="R445" s="13"/>
      <c r="S445" s="13"/>
      <c r="T445" s="13"/>
      <c r="U445" s="13"/>
      <c r="V445" s="13"/>
      <c r="W445" s="13"/>
      <c r="X445" s="13"/>
    </row>
    <row r="446" spans="4:24" ht="12.75" customHeight="1">
      <c r="D446" s="10"/>
      <c r="E446" s="10"/>
      <c r="F446" s="10"/>
      <c r="G446" s="10"/>
      <c r="H446" s="10"/>
      <c r="I446" s="10"/>
      <c r="J446" s="10"/>
      <c r="K446" s="10"/>
      <c r="L446" s="10"/>
      <c r="M446" s="13"/>
      <c r="N446" s="13"/>
      <c r="O446" s="13"/>
      <c r="P446" s="13"/>
      <c r="Q446" s="13"/>
      <c r="R446" s="13"/>
      <c r="S446" s="13"/>
      <c r="T446" s="13"/>
      <c r="U446" s="13"/>
      <c r="V446" s="13"/>
      <c r="W446" s="13"/>
      <c r="X446" s="13"/>
    </row>
    <row r="447" spans="4:24" ht="12.75" customHeight="1">
      <c r="D447" s="10"/>
      <c r="E447" s="10"/>
      <c r="F447" s="10"/>
      <c r="G447" s="10"/>
      <c r="H447" s="10"/>
      <c r="I447" s="10"/>
      <c r="J447" s="10"/>
      <c r="K447" s="10"/>
      <c r="L447" s="10"/>
      <c r="M447" s="13"/>
      <c r="N447" s="13"/>
      <c r="O447" s="13"/>
      <c r="P447" s="13"/>
      <c r="Q447" s="13"/>
      <c r="R447" s="13"/>
      <c r="S447" s="13"/>
      <c r="T447" s="13"/>
      <c r="U447" s="13"/>
      <c r="V447" s="13"/>
      <c r="W447" s="13"/>
      <c r="X447" s="13"/>
    </row>
    <row r="448" spans="4:24" ht="12.75" customHeight="1">
      <c r="D448" s="10"/>
      <c r="E448" s="10"/>
      <c r="F448" s="10"/>
      <c r="G448" s="10"/>
      <c r="H448" s="10"/>
      <c r="I448" s="10"/>
      <c r="J448" s="10"/>
      <c r="K448" s="10"/>
      <c r="L448" s="10"/>
      <c r="M448" s="13"/>
      <c r="N448" s="13"/>
      <c r="O448" s="13"/>
      <c r="P448" s="13"/>
      <c r="Q448" s="13"/>
      <c r="R448" s="13"/>
      <c r="S448" s="13"/>
      <c r="T448" s="13"/>
      <c r="U448" s="13"/>
      <c r="V448" s="13"/>
      <c r="W448" s="13"/>
      <c r="X448" s="13"/>
    </row>
    <row r="449" spans="4:24" ht="12.75" customHeight="1">
      <c r="D449" s="10"/>
      <c r="E449" s="10"/>
      <c r="F449" s="10"/>
      <c r="G449" s="10"/>
      <c r="H449" s="10"/>
      <c r="I449" s="10"/>
      <c r="J449" s="10"/>
      <c r="K449" s="10"/>
      <c r="L449" s="10"/>
      <c r="M449" s="13"/>
      <c r="N449" s="13"/>
      <c r="O449" s="13"/>
      <c r="P449" s="13"/>
      <c r="Q449" s="13"/>
      <c r="R449" s="13"/>
      <c r="S449" s="13"/>
      <c r="T449" s="13"/>
      <c r="U449" s="13"/>
      <c r="V449" s="13"/>
      <c r="W449" s="13"/>
      <c r="X449" s="13"/>
    </row>
    <row r="450" spans="4:24" ht="12.75" customHeight="1">
      <c r="D450" s="10"/>
      <c r="E450" s="10"/>
      <c r="F450" s="10"/>
      <c r="G450" s="10"/>
      <c r="H450" s="10"/>
      <c r="I450" s="10"/>
      <c r="J450" s="10"/>
      <c r="K450" s="10"/>
      <c r="L450" s="10"/>
      <c r="M450" s="13"/>
      <c r="N450" s="13"/>
      <c r="O450" s="13"/>
      <c r="P450" s="13"/>
      <c r="Q450" s="13"/>
      <c r="R450" s="13"/>
      <c r="S450" s="13"/>
      <c r="T450" s="13"/>
      <c r="U450" s="13"/>
      <c r="V450" s="13"/>
      <c r="W450" s="13"/>
      <c r="X450" s="13"/>
    </row>
    <row r="451" spans="4:24" ht="12.75" customHeight="1">
      <c r="D451" s="10"/>
      <c r="E451" s="10"/>
      <c r="F451" s="10"/>
      <c r="G451" s="10"/>
      <c r="H451" s="10"/>
      <c r="I451" s="10"/>
      <c r="J451" s="10"/>
      <c r="K451" s="10"/>
      <c r="L451" s="10"/>
      <c r="M451" s="13"/>
      <c r="N451" s="13"/>
      <c r="O451" s="13"/>
      <c r="P451" s="13"/>
      <c r="Q451" s="13"/>
      <c r="R451" s="13"/>
      <c r="S451" s="13"/>
      <c r="T451" s="13"/>
      <c r="U451" s="13"/>
      <c r="V451" s="13"/>
      <c r="W451" s="13"/>
      <c r="X451" s="13"/>
    </row>
    <row r="452" spans="4:24" ht="12.75" customHeight="1">
      <c r="D452" s="10"/>
      <c r="E452" s="10"/>
      <c r="F452" s="10"/>
      <c r="G452" s="10"/>
      <c r="H452" s="10"/>
      <c r="I452" s="10"/>
      <c r="J452" s="10"/>
      <c r="K452" s="10"/>
      <c r="L452" s="10"/>
      <c r="M452" s="13"/>
      <c r="N452" s="13"/>
      <c r="O452" s="13"/>
      <c r="P452" s="13"/>
      <c r="Q452" s="13"/>
      <c r="R452" s="13"/>
      <c r="S452" s="13"/>
      <c r="T452" s="13"/>
      <c r="U452" s="13"/>
      <c r="V452" s="13"/>
      <c r="W452" s="13"/>
      <c r="X452" s="13"/>
    </row>
    <row r="453" spans="4:24" ht="12.75" customHeight="1">
      <c r="D453" s="10"/>
      <c r="E453" s="10"/>
      <c r="F453" s="10"/>
      <c r="G453" s="10"/>
      <c r="H453" s="10"/>
      <c r="I453" s="10"/>
      <c r="J453" s="10"/>
      <c r="K453" s="10"/>
      <c r="L453" s="10"/>
      <c r="M453" s="13"/>
      <c r="N453" s="13"/>
      <c r="O453" s="13"/>
      <c r="P453" s="13"/>
      <c r="Q453" s="13"/>
      <c r="R453" s="13"/>
      <c r="S453" s="13"/>
      <c r="T453" s="13"/>
      <c r="U453" s="13"/>
      <c r="V453" s="13"/>
      <c r="W453" s="13"/>
      <c r="X453" s="13"/>
    </row>
    <row r="454" spans="4:24" ht="12.75" customHeight="1">
      <c r="D454" s="10"/>
      <c r="E454" s="10"/>
      <c r="F454" s="10"/>
      <c r="G454" s="10"/>
      <c r="H454" s="10"/>
      <c r="I454" s="10"/>
      <c r="J454" s="10"/>
      <c r="K454" s="10"/>
      <c r="L454" s="10"/>
      <c r="M454" s="13"/>
      <c r="N454" s="13"/>
      <c r="O454" s="13"/>
      <c r="P454" s="13"/>
      <c r="Q454" s="13"/>
      <c r="R454" s="13"/>
      <c r="S454" s="13"/>
      <c r="T454" s="13"/>
      <c r="U454" s="13"/>
      <c r="V454" s="13"/>
      <c r="W454" s="13"/>
      <c r="X454" s="13"/>
    </row>
    <row r="455" spans="4:24" ht="12.75" customHeight="1">
      <c r="D455" s="10"/>
      <c r="E455" s="10"/>
      <c r="F455" s="10"/>
      <c r="G455" s="10"/>
      <c r="H455" s="10"/>
      <c r="I455" s="10"/>
      <c r="J455" s="10"/>
      <c r="K455" s="10"/>
      <c r="L455" s="10"/>
      <c r="M455" s="13"/>
      <c r="N455" s="13"/>
      <c r="O455" s="13"/>
      <c r="P455" s="13"/>
      <c r="Q455" s="13"/>
      <c r="R455" s="13"/>
      <c r="S455" s="13"/>
      <c r="T455" s="13"/>
      <c r="U455" s="13"/>
      <c r="V455" s="13"/>
      <c r="W455" s="13"/>
      <c r="X455" s="13"/>
    </row>
    <row r="456" spans="4:24" ht="12.75" customHeight="1">
      <c r="D456" s="10"/>
      <c r="E456" s="10"/>
      <c r="F456" s="10"/>
      <c r="G456" s="10"/>
      <c r="H456" s="10"/>
      <c r="I456" s="10"/>
      <c r="J456" s="10"/>
      <c r="K456" s="10"/>
      <c r="L456" s="10"/>
      <c r="M456" s="13"/>
      <c r="N456" s="13"/>
      <c r="O456" s="13"/>
      <c r="P456" s="13"/>
      <c r="Q456" s="13"/>
      <c r="R456" s="13"/>
      <c r="S456" s="13"/>
      <c r="T456" s="13"/>
      <c r="U456" s="13"/>
      <c r="V456" s="13"/>
      <c r="W456" s="13"/>
      <c r="X456" s="13"/>
    </row>
    <row r="457" spans="4:24" ht="12.75" customHeight="1">
      <c r="D457" s="10"/>
      <c r="E457" s="10"/>
      <c r="F457" s="10"/>
      <c r="G457" s="10"/>
      <c r="H457" s="10"/>
      <c r="I457" s="10"/>
      <c r="J457" s="10"/>
      <c r="K457" s="10"/>
      <c r="L457" s="10"/>
      <c r="M457" s="13"/>
      <c r="N457" s="13"/>
      <c r="O457" s="13"/>
      <c r="P457" s="13"/>
      <c r="Q457" s="13"/>
      <c r="R457" s="13"/>
      <c r="S457" s="13"/>
      <c r="T457" s="13"/>
      <c r="U457" s="13"/>
      <c r="V457" s="13"/>
      <c r="W457" s="13"/>
      <c r="X457" s="13"/>
    </row>
    <row r="458" spans="4:24" ht="12.75" customHeight="1">
      <c r="D458" s="10"/>
      <c r="E458" s="10"/>
      <c r="F458" s="10"/>
      <c r="G458" s="10"/>
      <c r="H458" s="10"/>
      <c r="I458" s="10"/>
      <c r="J458" s="10"/>
      <c r="K458" s="10"/>
      <c r="L458" s="10"/>
      <c r="M458" s="13"/>
      <c r="N458" s="13"/>
      <c r="O458" s="13"/>
      <c r="P458" s="13"/>
      <c r="Q458" s="13"/>
      <c r="R458" s="13"/>
      <c r="S458" s="13"/>
      <c r="T458" s="13"/>
      <c r="U458" s="13"/>
      <c r="V458" s="13"/>
      <c r="W458" s="13"/>
      <c r="X458" s="13"/>
    </row>
    <row r="459" spans="4:24" ht="12.75" customHeight="1">
      <c r="D459" s="10"/>
      <c r="E459" s="10"/>
      <c r="F459" s="10"/>
      <c r="G459" s="10"/>
      <c r="H459" s="10"/>
      <c r="I459" s="10"/>
      <c r="J459" s="10"/>
      <c r="K459" s="10"/>
      <c r="L459" s="10"/>
      <c r="M459" s="13"/>
      <c r="N459" s="13"/>
      <c r="O459" s="13"/>
      <c r="P459" s="13"/>
      <c r="Q459" s="13"/>
      <c r="R459" s="13"/>
      <c r="S459" s="13"/>
      <c r="T459" s="13"/>
      <c r="U459" s="13"/>
      <c r="V459" s="13"/>
      <c r="W459" s="13"/>
      <c r="X459" s="13"/>
    </row>
    <row r="460" spans="4:24" ht="12.75" customHeight="1">
      <c r="D460" s="10"/>
      <c r="E460" s="10"/>
      <c r="F460" s="10"/>
      <c r="G460" s="10"/>
      <c r="H460" s="10"/>
      <c r="I460" s="10"/>
      <c r="J460" s="10"/>
      <c r="K460" s="10"/>
      <c r="L460" s="10"/>
      <c r="M460" s="13"/>
      <c r="N460" s="13"/>
      <c r="O460" s="13"/>
      <c r="P460" s="13"/>
      <c r="Q460" s="13"/>
      <c r="R460" s="13"/>
      <c r="S460" s="13"/>
      <c r="T460" s="13"/>
      <c r="U460" s="13"/>
      <c r="V460" s="13"/>
      <c r="W460" s="13"/>
      <c r="X460" s="13"/>
    </row>
    <row r="461" spans="4:24" ht="12.75" customHeight="1">
      <c r="D461" s="10"/>
      <c r="E461" s="10"/>
      <c r="F461" s="10"/>
      <c r="G461" s="10"/>
      <c r="H461" s="10"/>
      <c r="I461" s="10"/>
      <c r="J461" s="10"/>
      <c r="K461" s="10"/>
      <c r="L461" s="10"/>
      <c r="M461" s="13"/>
      <c r="N461" s="13"/>
      <c r="O461" s="13"/>
      <c r="P461" s="13"/>
      <c r="Q461" s="13"/>
      <c r="R461" s="13"/>
      <c r="S461" s="13"/>
      <c r="T461" s="13"/>
      <c r="U461" s="13"/>
      <c r="V461" s="13"/>
      <c r="W461" s="13"/>
      <c r="X461" s="13"/>
    </row>
    <row r="462" spans="4:24" ht="12.75" customHeight="1">
      <c r="D462" s="10"/>
      <c r="E462" s="10"/>
      <c r="F462" s="10"/>
      <c r="G462" s="10"/>
      <c r="H462" s="10"/>
      <c r="I462" s="10"/>
      <c r="J462" s="10"/>
      <c r="K462" s="10"/>
      <c r="L462" s="10"/>
      <c r="M462" s="13"/>
      <c r="N462" s="13"/>
      <c r="O462" s="13"/>
      <c r="P462" s="13"/>
      <c r="Q462" s="13"/>
      <c r="R462" s="13"/>
      <c r="S462" s="13"/>
      <c r="T462" s="13"/>
      <c r="U462" s="13"/>
      <c r="V462" s="13"/>
      <c r="W462" s="13"/>
      <c r="X462" s="13"/>
    </row>
    <row r="463" spans="4:24" ht="12.75" customHeight="1">
      <c r="D463" s="10"/>
      <c r="E463" s="10"/>
      <c r="F463" s="10"/>
      <c r="G463" s="10"/>
      <c r="H463" s="10"/>
      <c r="I463" s="10"/>
      <c r="J463" s="10"/>
      <c r="K463" s="10"/>
      <c r="L463" s="10"/>
      <c r="M463" s="13"/>
      <c r="N463" s="13"/>
      <c r="O463" s="13"/>
      <c r="P463" s="13"/>
      <c r="Q463" s="13"/>
      <c r="R463" s="13"/>
      <c r="S463" s="13"/>
      <c r="T463" s="13"/>
      <c r="U463" s="13"/>
      <c r="V463" s="13"/>
      <c r="W463" s="13"/>
      <c r="X463" s="13"/>
    </row>
    <row r="464" spans="4:24" ht="12.75" customHeight="1">
      <c r="D464" s="10"/>
      <c r="E464" s="10"/>
      <c r="F464" s="10"/>
      <c r="G464" s="10"/>
      <c r="H464" s="10"/>
      <c r="I464" s="10"/>
      <c r="J464" s="10"/>
      <c r="K464" s="10"/>
      <c r="L464" s="10"/>
      <c r="M464" s="13"/>
      <c r="N464" s="13"/>
      <c r="O464" s="13"/>
      <c r="P464" s="13"/>
      <c r="Q464" s="13"/>
      <c r="R464" s="13"/>
      <c r="S464" s="13"/>
      <c r="T464" s="13"/>
      <c r="U464" s="13"/>
      <c r="V464" s="13"/>
      <c r="W464" s="13"/>
      <c r="X464" s="13"/>
    </row>
    <row r="465" spans="4:24" ht="12.75" customHeight="1">
      <c r="D465" s="10"/>
      <c r="E465" s="10"/>
      <c r="F465" s="10"/>
      <c r="G465" s="10"/>
      <c r="H465" s="10"/>
      <c r="I465" s="10"/>
      <c r="J465" s="10"/>
      <c r="K465" s="10"/>
      <c r="L465" s="10"/>
      <c r="M465" s="13"/>
      <c r="N465" s="13"/>
      <c r="O465" s="13"/>
      <c r="P465" s="13"/>
      <c r="Q465" s="13"/>
      <c r="R465" s="13"/>
      <c r="S465" s="13"/>
      <c r="T465" s="13"/>
      <c r="U465" s="13"/>
      <c r="V465" s="13"/>
      <c r="W465" s="13"/>
      <c r="X465" s="13"/>
    </row>
    <row r="466" spans="4:24" ht="12.75" customHeight="1">
      <c r="D466" s="10"/>
      <c r="E466" s="10"/>
      <c r="F466" s="10"/>
      <c r="G466" s="10"/>
      <c r="H466" s="10"/>
      <c r="I466" s="10"/>
      <c r="J466" s="10"/>
      <c r="K466" s="10"/>
      <c r="L466" s="10"/>
      <c r="M466" s="13"/>
      <c r="N466" s="13"/>
      <c r="O466" s="13"/>
      <c r="P466" s="13"/>
      <c r="Q466" s="13"/>
      <c r="R466" s="13"/>
      <c r="S466" s="13"/>
      <c r="T466" s="13"/>
      <c r="U466" s="13"/>
      <c r="V466" s="13"/>
      <c r="W466" s="13"/>
      <c r="X466" s="13"/>
    </row>
    <row r="467" spans="4:24" ht="12.75" customHeight="1">
      <c r="D467" s="10"/>
      <c r="E467" s="10"/>
      <c r="F467" s="10"/>
      <c r="G467" s="10"/>
      <c r="H467" s="10"/>
      <c r="I467" s="10"/>
      <c r="J467" s="10"/>
      <c r="K467" s="10"/>
      <c r="L467" s="10"/>
      <c r="M467" s="13"/>
      <c r="N467" s="13"/>
      <c r="O467" s="13"/>
      <c r="P467" s="13"/>
      <c r="Q467" s="13"/>
      <c r="R467" s="13"/>
      <c r="S467" s="13"/>
      <c r="T467" s="13"/>
      <c r="U467" s="13"/>
      <c r="V467" s="13"/>
      <c r="W467" s="13"/>
      <c r="X467" s="13"/>
    </row>
    <row r="468" spans="4:24" ht="12.75" customHeight="1">
      <c r="D468" s="10"/>
      <c r="E468" s="10"/>
      <c r="F468" s="10"/>
      <c r="G468" s="10"/>
      <c r="H468" s="10"/>
      <c r="I468" s="10"/>
      <c r="J468" s="10"/>
      <c r="K468" s="10"/>
      <c r="L468" s="10"/>
      <c r="M468" s="13"/>
      <c r="N468" s="13"/>
      <c r="O468" s="13"/>
      <c r="P468" s="13"/>
      <c r="Q468" s="13"/>
      <c r="R468" s="13"/>
      <c r="S468" s="13"/>
      <c r="T468" s="13"/>
      <c r="U468" s="13"/>
      <c r="V468" s="13"/>
      <c r="W468" s="13"/>
      <c r="X468" s="13"/>
    </row>
    <row r="469" spans="4:24" ht="12.75" customHeight="1">
      <c r="D469" s="10"/>
      <c r="E469" s="10"/>
      <c r="F469" s="10"/>
      <c r="G469" s="10"/>
      <c r="H469" s="10"/>
      <c r="I469" s="10"/>
      <c r="J469" s="10"/>
      <c r="K469" s="10"/>
      <c r="L469" s="10"/>
      <c r="M469" s="13"/>
      <c r="N469" s="13"/>
      <c r="O469" s="13"/>
      <c r="P469" s="13"/>
      <c r="Q469" s="13"/>
      <c r="R469" s="13"/>
      <c r="S469" s="13"/>
      <c r="T469" s="13"/>
      <c r="U469" s="13"/>
      <c r="V469" s="13"/>
      <c r="W469" s="13"/>
      <c r="X469" s="13"/>
    </row>
    <row r="470" spans="4:24" ht="12.75" customHeight="1">
      <c r="D470" s="10"/>
      <c r="E470" s="10"/>
      <c r="F470" s="10"/>
      <c r="G470" s="10"/>
      <c r="H470" s="10"/>
      <c r="I470" s="10"/>
      <c r="J470" s="10"/>
      <c r="K470" s="10"/>
      <c r="L470" s="10"/>
      <c r="M470" s="13"/>
      <c r="N470" s="13"/>
      <c r="O470" s="13"/>
      <c r="P470" s="13"/>
      <c r="Q470" s="13"/>
      <c r="R470" s="13"/>
      <c r="S470" s="13"/>
      <c r="T470" s="13"/>
      <c r="U470" s="13"/>
      <c r="V470" s="13"/>
      <c r="W470" s="13"/>
      <c r="X470" s="13"/>
    </row>
    <row r="471" spans="4:24" ht="12.75" customHeight="1">
      <c r="D471" s="10"/>
      <c r="E471" s="10"/>
      <c r="F471" s="10"/>
      <c r="G471" s="10"/>
      <c r="H471" s="10"/>
      <c r="I471" s="10"/>
      <c r="J471" s="10"/>
      <c r="K471" s="10"/>
      <c r="L471" s="10"/>
      <c r="M471" s="13"/>
      <c r="N471" s="13"/>
      <c r="O471" s="13"/>
      <c r="P471" s="13"/>
      <c r="Q471" s="13"/>
      <c r="R471" s="13"/>
      <c r="S471" s="13"/>
      <c r="T471" s="13"/>
      <c r="U471" s="13"/>
      <c r="V471" s="13"/>
      <c r="W471" s="13"/>
      <c r="X471" s="13"/>
    </row>
    <row r="472" spans="4:24" ht="12.75" customHeight="1">
      <c r="D472" s="10"/>
      <c r="E472" s="10"/>
      <c r="F472" s="10"/>
      <c r="G472" s="10"/>
      <c r="H472" s="10"/>
      <c r="I472" s="10"/>
      <c r="J472" s="10"/>
      <c r="K472" s="10"/>
      <c r="L472" s="10"/>
      <c r="M472" s="13"/>
      <c r="N472" s="13"/>
      <c r="O472" s="13"/>
      <c r="P472" s="13"/>
      <c r="Q472" s="13"/>
      <c r="R472" s="13"/>
      <c r="S472" s="13"/>
      <c r="T472" s="13"/>
      <c r="U472" s="13"/>
      <c r="V472" s="13"/>
      <c r="W472" s="13"/>
      <c r="X472" s="13"/>
    </row>
    <row r="473" spans="4:24" ht="12.75" customHeight="1">
      <c r="D473" s="10"/>
      <c r="E473" s="10"/>
      <c r="F473" s="10"/>
      <c r="G473" s="10"/>
      <c r="H473" s="10"/>
      <c r="I473" s="10"/>
      <c r="J473" s="10"/>
      <c r="K473" s="10"/>
      <c r="L473" s="10"/>
      <c r="M473" s="13"/>
      <c r="N473" s="13"/>
      <c r="O473" s="13"/>
      <c r="P473" s="13"/>
      <c r="Q473" s="13"/>
      <c r="R473" s="13"/>
      <c r="S473" s="13"/>
      <c r="T473" s="13"/>
      <c r="U473" s="13"/>
      <c r="V473" s="13"/>
      <c r="W473" s="13"/>
      <c r="X473" s="13"/>
    </row>
    <row r="474" spans="4:24" ht="12.75" customHeight="1">
      <c r="D474" s="10"/>
      <c r="E474" s="10"/>
      <c r="F474" s="10"/>
      <c r="G474" s="10"/>
      <c r="H474" s="10"/>
      <c r="I474" s="10"/>
      <c r="J474" s="10"/>
      <c r="K474" s="10"/>
      <c r="L474" s="10"/>
      <c r="M474" s="13"/>
      <c r="N474" s="13"/>
      <c r="O474" s="13"/>
      <c r="P474" s="13"/>
      <c r="Q474" s="13"/>
      <c r="R474" s="13"/>
      <c r="S474" s="13"/>
      <c r="T474" s="13"/>
      <c r="U474" s="13"/>
      <c r="V474" s="13"/>
      <c r="W474" s="13"/>
      <c r="X474" s="13"/>
    </row>
    <row r="475" spans="4:24" ht="12.75" customHeight="1">
      <c r="D475" s="10"/>
      <c r="E475" s="10"/>
      <c r="F475" s="10"/>
      <c r="G475" s="10"/>
      <c r="H475" s="10"/>
      <c r="I475" s="10"/>
      <c r="J475" s="10"/>
      <c r="K475" s="10"/>
      <c r="L475" s="10"/>
      <c r="M475" s="13"/>
      <c r="N475" s="13"/>
      <c r="O475" s="13"/>
      <c r="P475" s="13"/>
      <c r="Q475" s="13"/>
      <c r="R475" s="13"/>
      <c r="S475" s="13"/>
      <c r="T475" s="13"/>
      <c r="U475" s="13"/>
      <c r="V475" s="13"/>
      <c r="W475" s="13"/>
      <c r="X475" s="13"/>
    </row>
    <row r="476" spans="4:24" ht="12.75" customHeight="1">
      <c r="D476" s="10"/>
      <c r="E476" s="10"/>
      <c r="F476" s="10"/>
      <c r="G476" s="10"/>
      <c r="H476" s="10"/>
      <c r="I476" s="10"/>
      <c r="J476" s="10"/>
      <c r="K476" s="10"/>
      <c r="L476" s="10"/>
      <c r="M476" s="13"/>
      <c r="N476" s="13"/>
      <c r="O476" s="13"/>
      <c r="P476" s="13"/>
      <c r="Q476" s="13"/>
      <c r="R476" s="13"/>
      <c r="S476" s="13"/>
      <c r="T476" s="13"/>
      <c r="U476" s="13"/>
      <c r="V476" s="13"/>
      <c r="W476" s="13"/>
      <c r="X476" s="13"/>
    </row>
    <row r="477" spans="4:24" ht="12.75" customHeight="1">
      <c r="D477" s="10"/>
      <c r="E477" s="10"/>
      <c r="F477" s="10"/>
      <c r="G477" s="10"/>
      <c r="H477" s="10"/>
      <c r="I477" s="10"/>
      <c r="J477" s="10"/>
      <c r="K477" s="10"/>
      <c r="L477" s="10"/>
      <c r="M477" s="13"/>
      <c r="N477" s="13"/>
      <c r="O477" s="13"/>
      <c r="P477" s="13"/>
      <c r="Q477" s="13"/>
      <c r="R477" s="13"/>
      <c r="S477" s="13"/>
      <c r="T477" s="13"/>
      <c r="U477" s="13"/>
      <c r="V477" s="13"/>
      <c r="W477" s="13"/>
      <c r="X477" s="13"/>
    </row>
    <row r="478" spans="4:24" ht="12.75" customHeight="1">
      <c r="D478" s="10"/>
      <c r="E478" s="10"/>
      <c r="F478" s="10"/>
      <c r="G478" s="10"/>
      <c r="H478" s="10"/>
      <c r="I478" s="10"/>
      <c r="J478" s="10"/>
      <c r="K478" s="10"/>
      <c r="L478" s="10"/>
      <c r="M478" s="13"/>
      <c r="N478" s="13"/>
      <c r="O478" s="13"/>
      <c r="P478" s="13"/>
      <c r="Q478" s="13"/>
      <c r="R478" s="13"/>
      <c r="S478" s="13"/>
      <c r="T478" s="13"/>
      <c r="U478" s="13"/>
      <c r="V478" s="13"/>
      <c r="W478" s="13"/>
      <c r="X478" s="13"/>
    </row>
    <row r="479" spans="4:24" ht="12.75" customHeight="1">
      <c r="D479" s="10"/>
      <c r="E479" s="10"/>
      <c r="F479" s="10"/>
      <c r="G479" s="10"/>
      <c r="H479" s="10"/>
      <c r="I479" s="10"/>
      <c r="J479" s="10"/>
      <c r="K479" s="10"/>
      <c r="L479" s="10"/>
      <c r="M479" s="13"/>
      <c r="N479" s="13"/>
      <c r="O479" s="13"/>
      <c r="P479" s="13"/>
      <c r="Q479" s="13"/>
      <c r="R479" s="13"/>
      <c r="S479" s="13"/>
      <c r="T479" s="13"/>
      <c r="U479" s="13"/>
      <c r="V479" s="13"/>
      <c r="W479" s="13"/>
      <c r="X479" s="13"/>
    </row>
    <row r="480" spans="4:24" ht="12.75" customHeight="1">
      <c r="D480" s="10"/>
      <c r="E480" s="10"/>
      <c r="F480" s="10"/>
      <c r="G480" s="10"/>
      <c r="H480" s="10"/>
      <c r="I480" s="10"/>
      <c r="J480" s="10"/>
      <c r="K480" s="10"/>
      <c r="L480" s="10"/>
      <c r="M480" s="13"/>
      <c r="N480" s="13"/>
      <c r="O480" s="13"/>
      <c r="P480" s="13"/>
      <c r="Q480" s="13"/>
      <c r="R480" s="13"/>
      <c r="S480" s="13"/>
      <c r="T480" s="13"/>
      <c r="U480" s="13"/>
      <c r="V480" s="13"/>
      <c r="W480" s="13"/>
      <c r="X480" s="13"/>
    </row>
    <row r="481" spans="4:24" ht="12.75" customHeight="1">
      <c r="D481" s="10"/>
      <c r="E481" s="10"/>
      <c r="F481" s="10"/>
      <c r="G481" s="10"/>
      <c r="H481" s="10"/>
      <c r="I481" s="10"/>
      <c r="J481" s="10"/>
      <c r="K481" s="10"/>
      <c r="L481" s="10"/>
      <c r="M481" s="13"/>
      <c r="N481" s="13"/>
      <c r="O481" s="13"/>
      <c r="P481" s="13"/>
      <c r="Q481" s="13"/>
      <c r="R481" s="13"/>
      <c r="S481" s="13"/>
      <c r="T481" s="13"/>
      <c r="U481" s="13"/>
      <c r="V481" s="13"/>
      <c r="W481" s="13"/>
      <c r="X481" s="13"/>
    </row>
    <row r="482" spans="4:24" ht="12.75" customHeight="1">
      <c r="D482" s="10"/>
      <c r="E482" s="10"/>
      <c r="F482" s="10"/>
      <c r="G482" s="10"/>
      <c r="H482" s="10"/>
      <c r="I482" s="10"/>
      <c r="J482" s="10"/>
      <c r="K482" s="10"/>
      <c r="L482" s="10"/>
      <c r="M482" s="13"/>
      <c r="N482" s="13"/>
      <c r="O482" s="13"/>
      <c r="P482" s="13"/>
      <c r="Q482" s="13"/>
      <c r="R482" s="13"/>
      <c r="S482" s="13"/>
      <c r="T482" s="13"/>
      <c r="U482" s="13"/>
      <c r="V482" s="13"/>
      <c r="W482" s="13"/>
      <c r="X482" s="13"/>
    </row>
    <row r="483" spans="4:24" ht="12.75" customHeight="1">
      <c r="D483" s="10"/>
      <c r="E483" s="10"/>
      <c r="F483" s="10"/>
      <c r="G483" s="10"/>
      <c r="H483" s="10"/>
      <c r="I483" s="10"/>
      <c r="J483" s="10"/>
      <c r="K483" s="10"/>
      <c r="L483" s="10"/>
      <c r="M483" s="13"/>
      <c r="N483" s="13"/>
      <c r="O483" s="13"/>
      <c r="P483" s="13"/>
      <c r="Q483" s="13"/>
      <c r="R483" s="13"/>
      <c r="S483" s="13"/>
      <c r="T483" s="13"/>
      <c r="U483" s="13"/>
      <c r="V483" s="13"/>
      <c r="W483" s="13"/>
      <c r="X483" s="13"/>
    </row>
    <row r="484" spans="4:24" ht="12.75" customHeight="1">
      <c r="D484" s="10"/>
      <c r="E484" s="10"/>
      <c r="F484" s="10"/>
      <c r="G484" s="10"/>
      <c r="H484" s="10"/>
      <c r="I484" s="10"/>
      <c r="J484" s="10"/>
      <c r="K484" s="10"/>
      <c r="L484" s="10"/>
      <c r="M484" s="13"/>
      <c r="N484" s="13"/>
      <c r="O484" s="13"/>
      <c r="P484" s="13"/>
      <c r="Q484" s="13"/>
      <c r="R484" s="13"/>
      <c r="S484" s="13"/>
      <c r="T484" s="13"/>
      <c r="U484" s="13"/>
      <c r="V484" s="13"/>
      <c r="W484" s="13"/>
      <c r="X484" s="13"/>
    </row>
    <row r="485" spans="4:24" ht="12.75" customHeight="1">
      <c r="D485" s="10"/>
      <c r="E485" s="10"/>
      <c r="F485" s="10"/>
      <c r="G485" s="10"/>
      <c r="H485" s="10"/>
      <c r="I485" s="10"/>
      <c r="J485" s="10"/>
      <c r="K485" s="10"/>
      <c r="L485" s="10"/>
      <c r="M485" s="13"/>
      <c r="N485" s="13"/>
      <c r="O485" s="13"/>
      <c r="P485" s="13"/>
      <c r="Q485" s="13"/>
      <c r="R485" s="13"/>
      <c r="S485" s="13"/>
      <c r="T485" s="13"/>
      <c r="U485" s="13"/>
      <c r="V485" s="13"/>
      <c r="W485" s="13"/>
      <c r="X485" s="13"/>
    </row>
    <row r="486" spans="4:24" ht="12.75" customHeight="1">
      <c r="D486" s="10"/>
      <c r="E486" s="10"/>
      <c r="F486" s="10"/>
      <c r="G486" s="10"/>
      <c r="H486" s="10"/>
      <c r="I486" s="10"/>
      <c r="J486" s="10"/>
      <c r="K486" s="10"/>
      <c r="L486" s="10"/>
      <c r="M486" s="13"/>
      <c r="N486" s="13"/>
      <c r="O486" s="13"/>
      <c r="P486" s="13"/>
      <c r="Q486" s="13"/>
      <c r="R486" s="13"/>
      <c r="S486" s="13"/>
      <c r="T486" s="13"/>
      <c r="U486" s="13"/>
      <c r="V486" s="13"/>
      <c r="W486" s="13"/>
      <c r="X486" s="13"/>
    </row>
    <row r="487" spans="4:24" ht="12.75" customHeight="1">
      <c r="D487" s="10"/>
      <c r="E487" s="10"/>
      <c r="F487" s="10"/>
      <c r="G487" s="10"/>
      <c r="H487" s="10"/>
      <c r="I487" s="10"/>
      <c r="J487" s="10"/>
      <c r="K487" s="10"/>
      <c r="L487" s="10"/>
      <c r="M487" s="13"/>
      <c r="N487" s="13"/>
      <c r="O487" s="13"/>
      <c r="P487" s="13"/>
      <c r="Q487" s="13"/>
      <c r="R487" s="13"/>
      <c r="S487" s="13"/>
      <c r="T487" s="13"/>
      <c r="U487" s="13"/>
      <c r="V487" s="13"/>
      <c r="W487" s="13"/>
      <c r="X487" s="13"/>
    </row>
    <row r="488" spans="4:24" ht="12.75" customHeight="1">
      <c r="D488" s="10"/>
      <c r="E488" s="10"/>
      <c r="F488" s="10"/>
      <c r="G488" s="10"/>
      <c r="H488" s="10"/>
      <c r="I488" s="10"/>
      <c r="J488" s="10"/>
      <c r="K488" s="10"/>
      <c r="L488" s="10"/>
      <c r="M488" s="13"/>
      <c r="N488" s="13"/>
      <c r="O488" s="13"/>
      <c r="P488" s="13"/>
      <c r="Q488" s="13"/>
      <c r="R488" s="13"/>
      <c r="S488" s="13"/>
      <c r="T488" s="13"/>
      <c r="U488" s="13"/>
      <c r="V488" s="13"/>
      <c r="W488" s="13"/>
      <c r="X488" s="13"/>
    </row>
    <row r="489" spans="4:24" ht="12.75" customHeight="1">
      <c r="D489" s="10"/>
      <c r="E489" s="10"/>
      <c r="F489" s="10"/>
      <c r="G489" s="10"/>
      <c r="H489" s="10"/>
      <c r="I489" s="10"/>
      <c r="J489" s="10"/>
      <c r="K489" s="10"/>
      <c r="L489" s="10"/>
      <c r="M489" s="13"/>
      <c r="N489" s="13"/>
      <c r="O489" s="13"/>
      <c r="P489" s="13"/>
      <c r="Q489" s="13"/>
      <c r="R489" s="13"/>
      <c r="S489" s="13"/>
      <c r="T489" s="13"/>
      <c r="U489" s="13"/>
      <c r="V489" s="13"/>
      <c r="W489" s="13"/>
      <c r="X489" s="13"/>
    </row>
    <row r="490" spans="4:24" ht="12.75" customHeight="1">
      <c r="D490" s="10"/>
      <c r="E490" s="10"/>
      <c r="F490" s="10"/>
      <c r="G490" s="10"/>
      <c r="H490" s="10"/>
      <c r="I490" s="10"/>
      <c r="J490" s="10"/>
      <c r="K490" s="10"/>
      <c r="L490" s="10"/>
      <c r="M490" s="13"/>
      <c r="N490" s="13"/>
      <c r="O490" s="13"/>
      <c r="P490" s="13"/>
      <c r="Q490" s="13"/>
      <c r="R490" s="13"/>
      <c r="S490" s="13"/>
      <c r="T490" s="13"/>
      <c r="U490" s="13"/>
      <c r="V490" s="13"/>
      <c r="W490" s="13"/>
      <c r="X490" s="13"/>
    </row>
    <row r="491" spans="4:24" ht="12.75" customHeight="1">
      <c r="D491" s="10"/>
      <c r="E491" s="10"/>
      <c r="F491" s="10"/>
      <c r="G491" s="10"/>
      <c r="H491" s="10"/>
      <c r="I491" s="10"/>
      <c r="J491" s="10"/>
      <c r="K491" s="10"/>
      <c r="L491" s="10"/>
      <c r="M491" s="13"/>
      <c r="N491" s="13"/>
      <c r="O491" s="13"/>
      <c r="P491" s="13"/>
      <c r="Q491" s="13"/>
      <c r="R491" s="13"/>
      <c r="S491" s="13"/>
      <c r="T491" s="13"/>
      <c r="U491" s="13"/>
      <c r="V491" s="13"/>
      <c r="W491" s="13"/>
      <c r="X491" s="13"/>
    </row>
    <row r="492" spans="4:24" ht="12.75" customHeight="1">
      <c r="D492" s="10"/>
      <c r="E492" s="10"/>
      <c r="F492" s="10"/>
      <c r="G492" s="10"/>
      <c r="H492" s="10"/>
      <c r="I492" s="10"/>
      <c r="J492" s="10"/>
      <c r="K492" s="10"/>
      <c r="L492" s="10"/>
      <c r="M492" s="13"/>
      <c r="N492" s="13"/>
      <c r="O492" s="13"/>
      <c r="P492" s="13"/>
      <c r="Q492" s="13"/>
      <c r="R492" s="13"/>
      <c r="S492" s="13"/>
      <c r="T492" s="13"/>
      <c r="U492" s="13"/>
      <c r="V492" s="13"/>
      <c r="W492" s="13"/>
      <c r="X492" s="13"/>
    </row>
    <row r="493" spans="4:24" ht="12.75" customHeight="1">
      <c r="D493" s="10"/>
      <c r="E493" s="10"/>
      <c r="F493" s="10"/>
      <c r="G493" s="10"/>
      <c r="H493" s="10"/>
      <c r="I493" s="10"/>
      <c r="J493" s="10"/>
      <c r="K493" s="10"/>
      <c r="L493" s="10"/>
      <c r="M493" s="13"/>
      <c r="N493" s="13"/>
      <c r="O493" s="13"/>
      <c r="P493" s="13"/>
      <c r="Q493" s="13"/>
      <c r="R493" s="13"/>
      <c r="S493" s="13"/>
      <c r="T493" s="13"/>
      <c r="U493" s="13"/>
      <c r="V493" s="13"/>
      <c r="W493" s="13"/>
      <c r="X493" s="13"/>
    </row>
    <row r="494" spans="4:24" ht="12.75" customHeight="1">
      <c r="D494" s="10"/>
      <c r="E494" s="10"/>
      <c r="F494" s="10"/>
      <c r="G494" s="10"/>
      <c r="H494" s="10"/>
      <c r="I494" s="10"/>
      <c r="J494" s="10"/>
      <c r="K494" s="10"/>
      <c r="L494" s="10"/>
      <c r="M494" s="13"/>
      <c r="N494" s="13"/>
      <c r="O494" s="13"/>
      <c r="P494" s="13"/>
      <c r="Q494" s="13"/>
      <c r="R494" s="13"/>
      <c r="S494" s="13"/>
      <c r="T494" s="13"/>
      <c r="U494" s="13"/>
      <c r="V494" s="13"/>
      <c r="W494" s="13"/>
      <c r="X494" s="13"/>
    </row>
    <row r="495" spans="4:24" ht="12.75" customHeight="1">
      <c r="D495" s="10"/>
      <c r="E495" s="10"/>
      <c r="F495" s="10"/>
      <c r="G495" s="10"/>
      <c r="H495" s="10"/>
      <c r="I495" s="10"/>
      <c r="J495" s="10"/>
      <c r="K495" s="10"/>
      <c r="L495" s="10"/>
      <c r="M495" s="13"/>
      <c r="N495" s="13"/>
      <c r="O495" s="13"/>
      <c r="P495" s="13"/>
      <c r="Q495" s="13"/>
      <c r="R495" s="13"/>
      <c r="S495" s="13"/>
      <c r="T495" s="13"/>
      <c r="U495" s="13"/>
      <c r="V495" s="13"/>
      <c r="W495" s="13"/>
      <c r="X495" s="13"/>
    </row>
    <row r="496" spans="4:24" ht="12.75" customHeight="1">
      <c r="D496" s="10"/>
      <c r="E496" s="10"/>
      <c r="F496" s="10"/>
      <c r="G496" s="10"/>
      <c r="H496" s="10"/>
      <c r="I496" s="10"/>
      <c r="J496" s="10"/>
      <c r="K496" s="10"/>
      <c r="L496" s="10"/>
      <c r="M496" s="13"/>
      <c r="N496" s="13"/>
      <c r="O496" s="13"/>
      <c r="P496" s="13"/>
      <c r="Q496" s="13"/>
      <c r="R496" s="13"/>
      <c r="S496" s="13"/>
      <c r="T496" s="13"/>
      <c r="U496" s="13"/>
      <c r="V496" s="13"/>
      <c r="W496" s="13"/>
      <c r="X496" s="13"/>
    </row>
    <row r="497" spans="4:24" ht="12.75" customHeight="1">
      <c r="D497" s="10"/>
      <c r="E497" s="10"/>
      <c r="F497" s="10"/>
      <c r="G497" s="10"/>
      <c r="H497" s="10"/>
      <c r="I497" s="10"/>
      <c r="J497" s="10"/>
      <c r="K497" s="10"/>
      <c r="L497" s="10"/>
      <c r="M497" s="13"/>
      <c r="N497" s="13"/>
      <c r="O497" s="13"/>
      <c r="P497" s="13"/>
      <c r="Q497" s="13"/>
      <c r="R497" s="13"/>
      <c r="S497" s="13"/>
      <c r="T497" s="13"/>
      <c r="U497" s="13"/>
      <c r="V497" s="13"/>
      <c r="W497" s="13"/>
      <c r="X497" s="13"/>
    </row>
    <row r="498" spans="4:24" ht="12.75" customHeight="1">
      <c r="D498" s="10"/>
      <c r="E498" s="10"/>
      <c r="F498" s="10"/>
      <c r="G498" s="10"/>
      <c r="H498" s="10"/>
      <c r="I498" s="10"/>
      <c r="J498" s="10"/>
      <c r="K498" s="10"/>
      <c r="L498" s="10"/>
      <c r="M498" s="13"/>
      <c r="N498" s="13"/>
      <c r="O498" s="13"/>
      <c r="P498" s="13"/>
      <c r="Q498" s="13"/>
      <c r="R498" s="13"/>
      <c r="S498" s="13"/>
      <c r="T498" s="13"/>
      <c r="U498" s="13"/>
      <c r="V498" s="13"/>
      <c r="W498" s="13"/>
      <c r="X498" s="13"/>
    </row>
    <row r="499" spans="4:24" ht="12.75" customHeight="1">
      <c r="D499" s="10"/>
      <c r="E499" s="10"/>
      <c r="F499" s="10"/>
      <c r="G499" s="10"/>
      <c r="H499" s="10"/>
      <c r="I499" s="10"/>
      <c r="J499" s="10"/>
      <c r="K499" s="10"/>
      <c r="L499" s="10"/>
      <c r="M499" s="13"/>
      <c r="N499" s="13"/>
      <c r="O499" s="13"/>
      <c r="P499" s="13"/>
      <c r="Q499" s="13"/>
      <c r="R499" s="13"/>
      <c r="S499" s="13"/>
      <c r="T499" s="13"/>
      <c r="U499" s="13"/>
      <c r="V499" s="13"/>
      <c r="W499" s="13"/>
      <c r="X499" s="13"/>
    </row>
    <row r="500" spans="4:24" ht="12.75" customHeight="1">
      <c r="D500" s="10"/>
      <c r="E500" s="10"/>
      <c r="F500" s="10"/>
      <c r="G500" s="10"/>
      <c r="H500" s="10"/>
      <c r="I500" s="10"/>
      <c r="J500" s="10"/>
      <c r="K500" s="10"/>
      <c r="L500" s="10"/>
      <c r="M500" s="13"/>
      <c r="N500" s="13"/>
      <c r="O500" s="13"/>
      <c r="P500" s="13"/>
      <c r="Q500" s="13"/>
      <c r="R500" s="13"/>
      <c r="S500" s="13"/>
      <c r="T500" s="13"/>
      <c r="U500" s="13"/>
      <c r="V500" s="13"/>
      <c r="W500" s="13"/>
      <c r="X500" s="13"/>
    </row>
    <row r="501" spans="4:24" ht="12.75" customHeight="1">
      <c r="D501" s="10"/>
      <c r="E501" s="10"/>
      <c r="F501" s="10"/>
      <c r="G501" s="10"/>
      <c r="H501" s="10"/>
      <c r="I501" s="10"/>
      <c r="J501" s="10"/>
      <c r="K501" s="10"/>
      <c r="L501" s="10"/>
      <c r="M501" s="13"/>
      <c r="N501" s="13"/>
      <c r="O501" s="13"/>
      <c r="P501" s="13"/>
      <c r="Q501" s="13"/>
      <c r="R501" s="13"/>
      <c r="S501" s="13"/>
      <c r="T501" s="13"/>
      <c r="U501" s="13"/>
      <c r="V501" s="13"/>
      <c r="W501" s="13"/>
      <c r="X501" s="13"/>
    </row>
    <row r="502" spans="4:24" ht="12.75" customHeight="1">
      <c r="D502" s="10"/>
      <c r="E502" s="10"/>
      <c r="F502" s="10"/>
      <c r="G502" s="10"/>
      <c r="H502" s="10"/>
      <c r="I502" s="10"/>
      <c r="J502" s="10"/>
      <c r="K502" s="10"/>
      <c r="L502" s="10"/>
      <c r="M502" s="13"/>
      <c r="N502" s="13"/>
      <c r="O502" s="13"/>
      <c r="P502" s="13"/>
      <c r="Q502" s="13"/>
      <c r="R502" s="13"/>
      <c r="S502" s="13"/>
      <c r="T502" s="13"/>
      <c r="U502" s="13"/>
      <c r="V502" s="13"/>
      <c r="W502" s="13"/>
      <c r="X502" s="13"/>
    </row>
    <row r="503" spans="4:24" ht="12.75" customHeight="1">
      <c r="D503" s="10"/>
      <c r="E503" s="10"/>
      <c r="F503" s="10"/>
      <c r="G503" s="10"/>
      <c r="H503" s="10"/>
      <c r="I503" s="10"/>
      <c r="J503" s="10"/>
      <c r="K503" s="10"/>
      <c r="L503" s="10"/>
      <c r="M503" s="13"/>
      <c r="N503" s="13"/>
      <c r="O503" s="13"/>
      <c r="P503" s="13"/>
      <c r="Q503" s="13"/>
      <c r="R503" s="13"/>
      <c r="S503" s="13"/>
      <c r="T503" s="13"/>
      <c r="U503" s="13"/>
      <c r="V503" s="13"/>
      <c r="W503" s="13"/>
      <c r="X503" s="13"/>
    </row>
    <row r="504" spans="4:24" ht="12.75" customHeight="1">
      <c r="D504" s="10"/>
      <c r="E504" s="10"/>
      <c r="F504" s="10"/>
      <c r="G504" s="10"/>
      <c r="H504" s="10"/>
      <c r="I504" s="10"/>
      <c r="J504" s="10"/>
      <c r="K504" s="10"/>
      <c r="L504" s="10"/>
      <c r="M504" s="13"/>
      <c r="N504" s="13"/>
      <c r="O504" s="13"/>
      <c r="P504" s="13"/>
      <c r="Q504" s="13"/>
      <c r="R504" s="13"/>
      <c r="S504" s="13"/>
      <c r="T504" s="13"/>
      <c r="U504" s="13"/>
      <c r="V504" s="13"/>
      <c r="W504" s="13"/>
      <c r="X504" s="13"/>
    </row>
    <row r="505" spans="4:24" ht="12.75" customHeight="1">
      <c r="D505" s="10"/>
      <c r="E505" s="10"/>
      <c r="F505" s="10"/>
      <c r="G505" s="10"/>
      <c r="H505" s="10"/>
      <c r="I505" s="10"/>
      <c r="J505" s="10"/>
      <c r="K505" s="10"/>
      <c r="L505" s="10"/>
      <c r="M505" s="13"/>
      <c r="N505" s="13"/>
      <c r="O505" s="13"/>
      <c r="P505" s="13"/>
      <c r="Q505" s="13"/>
      <c r="R505" s="13"/>
      <c r="S505" s="13"/>
      <c r="T505" s="13"/>
      <c r="U505" s="13"/>
      <c r="V505" s="13"/>
      <c r="W505" s="13"/>
      <c r="X505" s="13"/>
    </row>
    <row r="506" spans="4:24" ht="12.75" customHeight="1">
      <c r="D506" s="10"/>
      <c r="E506" s="10"/>
      <c r="F506" s="10"/>
      <c r="G506" s="10"/>
      <c r="H506" s="10"/>
      <c r="I506" s="10"/>
      <c r="J506" s="10"/>
      <c r="K506" s="10"/>
      <c r="L506" s="10"/>
      <c r="M506" s="13"/>
      <c r="N506" s="13"/>
      <c r="O506" s="13"/>
      <c r="P506" s="13"/>
      <c r="Q506" s="13"/>
      <c r="R506" s="13"/>
      <c r="S506" s="13"/>
      <c r="T506" s="13"/>
      <c r="U506" s="13"/>
      <c r="V506" s="13"/>
      <c r="W506" s="13"/>
      <c r="X506" s="13"/>
    </row>
    <row r="507" spans="4:24" ht="12.75" customHeight="1">
      <c r="D507" s="10"/>
      <c r="E507" s="10"/>
      <c r="F507" s="10"/>
      <c r="G507" s="10"/>
      <c r="H507" s="10"/>
      <c r="I507" s="10"/>
      <c r="J507" s="10"/>
      <c r="K507" s="10"/>
      <c r="L507" s="10"/>
      <c r="M507" s="13"/>
      <c r="N507" s="13"/>
      <c r="O507" s="13"/>
      <c r="P507" s="13"/>
      <c r="Q507" s="13"/>
      <c r="R507" s="13"/>
      <c r="S507" s="13"/>
      <c r="T507" s="13"/>
      <c r="U507" s="13"/>
      <c r="V507" s="13"/>
      <c r="W507" s="13"/>
      <c r="X507" s="13"/>
    </row>
    <row r="508" spans="4:24" ht="12.75" customHeight="1">
      <c r="D508" s="10"/>
      <c r="E508" s="10"/>
      <c r="F508" s="10"/>
      <c r="G508" s="10"/>
      <c r="H508" s="10"/>
      <c r="I508" s="10"/>
      <c r="J508" s="10"/>
      <c r="K508" s="10"/>
      <c r="L508" s="10"/>
      <c r="M508" s="13"/>
      <c r="N508" s="13"/>
      <c r="O508" s="13"/>
      <c r="P508" s="13"/>
      <c r="Q508" s="13"/>
      <c r="R508" s="13"/>
      <c r="S508" s="13"/>
      <c r="T508" s="13"/>
      <c r="U508" s="13"/>
      <c r="V508" s="13"/>
      <c r="W508" s="13"/>
      <c r="X508" s="13"/>
    </row>
    <row r="509" spans="4:24" ht="12.75" customHeight="1">
      <c r="D509" s="10"/>
      <c r="E509" s="10"/>
      <c r="F509" s="10"/>
      <c r="G509" s="10"/>
      <c r="H509" s="10"/>
      <c r="I509" s="10"/>
      <c r="J509" s="10"/>
      <c r="K509" s="10"/>
      <c r="L509" s="10"/>
      <c r="M509" s="13"/>
      <c r="N509" s="13"/>
      <c r="O509" s="13"/>
      <c r="P509" s="13"/>
      <c r="Q509" s="13"/>
      <c r="R509" s="13"/>
      <c r="S509" s="13"/>
      <c r="T509" s="13"/>
      <c r="U509" s="13"/>
      <c r="V509" s="13"/>
      <c r="W509" s="13"/>
      <c r="X509" s="13"/>
    </row>
    <row r="510" spans="4:24" ht="12.75" customHeight="1">
      <c r="D510" s="10"/>
      <c r="E510" s="10"/>
      <c r="F510" s="10"/>
      <c r="G510" s="10"/>
      <c r="H510" s="10"/>
      <c r="I510" s="10"/>
      <c r="J510" s="10"/>
      <c r="K510" s="10"/>
      <c r="L510" s="10"/>
      <c r="M510" s="13"/>
      <c r="N510" s="13"/>
      <c r="O510" s="13"/>
      <c r="P510" s="13"/>
      <c r="Q510" s="13"/>
      <c r="R510" s="13"/>
      <c r="S510" s="13"/>
      <c r="T510" s="13"/>
      <c r="U510" s="13"/>
      <c r="V510" s="13"/>
      <c r="W510" s="13"/>
      <c r="X510" s="13"/>
    </row>
    <row r="511" spans="4:24" ht="12.75" customHeight="1">
      <c r="D511" s="10"/>
      <c r="E511" s="10"/>
      <c r="F511" s="10"/>
      <c r="G511" s="10"/>
      <c r="H511" s="10"/>
      <c r="I511" s="10"/>
      <c r="J511" s="10"/>
      <c r="K511" s="10"/>
      <c r="L511" s="10"/>
      <c r="M511" s="13"/>
      <c r="N511" s="13"/>
      <c r="O511" s="13"/>
      <c r="P511" s="13"/>
      <c r="Q511" s="13"/>
      <c r="R511" s="13"/>
      <c r="S511" s="13"/>
      <c r="T511" s="13"/>
      <c r="U511" s="13"/>
      <c r="V511" s="13"/>
      <c r="W511" s="13"/>
      <c r="X511" s="13"/>
    </row>
    <row r="512" spans="4:24" ht="12.75" customHeight="1">
      <c r="D512" s="10"/>
      <c r="E512" s="10"/>
      <c r="F512" s="10"/>
      <c r="G512" s="10"/>
      <c r="H512" s="10"/>
      <c r="I512" s="10"/>
      <c r="J512" s="10"/>
      <c r="K512" s="10"/>
      <c r="L512" s="10"/>
      <c r="M512" s="13"/>
      <c r="N512" s="13"/>
      <c r="O512" s="13"/>
      <c r="P512" s="13"/>
      <c r="Q512" s="13"/>
      <c r="R512" s="13"/>
      <c r="S512" s="13"/>
      <c r="T512" s="13"/>
      <c r="U512" s="13"/>
      <c r="V512" s="13"/>
      <c r="W512" s="13"/>
      <c r="X512" s="13"/>
    </row>
    <row r="513" spans="4:24" ht="12.75" customHeight="1">
      <c r="D513" s="10"/>
      <c r="E513" s="10"/>
      <c r="F513" s="10"/>
      <c r="G513" s="10"/>
      <c r="H513" s="10"/>
      <c r="I513" s="10"/>
      <c r="J513" s="10"/>
      <c r="K513" s="10"/>
      <c r="L513" s="10"/>
      <c r="M513" s="13"/>
      <c r="N513" s="13"/>
      <c r="O513" s="13"/>
      <c r="P513" s="13"/>
      <c r="Q513" s="13"/>
      <c r="R513" s="13"/>
      <c r="S513" s="13"/>
      <c r="T513" s="13"/>
      <c r="U513" s="13"/>
      <c r="V513" s="13"/>
      <c r="W513" s="13"/>
      <c r="X513" s="13"/>
    </row>
    <row r="514" spans="4:24" ht="12.75" customHeight="1">
      <c r="D514" s="10"/>
      <c r="E514" s="10"/>
      <c r="F514" s="10"/>
      <c r="G514" s="10"/>
      <c r="H514" s="10"/>
      <c r="I514" s="10"/>
      <c r="J514" s="10"/>
      <c r="K514" s="10"/>
      <c r="L514" s="10"/>
      <c r="M514" s="13"/>
      <c r="N514" s="13"/>
      <c r="O514" s="13"/>
      <c r="P514" s="13"/>
      <c r="Q514" s="13"/>
      <c r="R514" s="13"/>
      <c r="S514" s="13"/>
      <c r="T514" s="13"/>
      <c r="U514" s="13"/>
      <c r="V514" s="13"/>
      <c r="W514" s="13"/>
      <c r="X514" s="13"/>
    </row>
    <row r="515" spans="4:24" ht="12.75" customHeight="1">
      <c r="D515" s="10"/>
      <c r="E515" s="10"/>
      <c r="F515" s="10"/>
      <c r="G515" s="10"/>
      <c r="H515" s="10"/>
      <c r="I515" s="10"/>
      <c r="J515" s="10"/>
      <c r="K515" s="10"/>
      <c r="L515" s="10"/>
      <c r="M515" s="13"/>
      <c r="N515" s="13"/>
      <c r="O515" s="13"/>
      <c r="P515" s="13"/>
      <c r="Q515" s="13"/>
      <c r="R515" s="13"/>
      <c r="S515" s="13"/>
      <c r="T515" s="13"/>
      <c r="U515" s="13"/>
      <c r="V515" s="13"/>
      <c r="W515" s="13"/>
      <c r="X515" s="13"/>
    </row>
    <row r="516" spans="4:24" ht="12.75" customHeight="1">
      <c r="D516" s="10"/>
      <c r="E516" s="10"/>
      <c r="F516" s="10"/>
      <c r="G516" s="10"/>
      <c r="H516" s="10"/>
      <c r="I516" s="10"/>
      <c r="J516" s="10"/>
      <c r="K516" s="10"/>
      <c r="L516" s="10"/>
      <c r="M516" s="13"/>
      <c r="N516" s="13"/>
      <c r="O516" s="13"/>
      <c r="P516" s="13"/>
      <c r="Q516" s="13"/>
      <c r="R516" s="13"/>
      <c r="S516" s="13"/>
      <c r="T516" s="13"/>
      <c r="U516" s="13"/>
      <c r="V516" s="13"/>
      <c r="W516" s="13"/>
      <c r="X516" s="13"/>
    </row>
    <row r="517" spans="4:24" ht="12.75" customHeight="1">
      <c r="D517" s="10"/>
      <c r="E517" s="10"/>
      <c r="F517" s="10"/>
      <c r="G517" s="10"/>
      <c r="H517" s="10"/>
      <c r="I517" s="10"/>
      <c r="J517" s="10"/>
      <c r="K517" s="10"/>
      <c r="L517" s="10"/>
      <c r="M517" s="13"/>
      <c r="N517" s="13"/>
      <c r="O517" s="13"/>
      <c r="P517" s="13"/>
      <c r="Q517" s="13"/>
      <c r="R517" s="13"/>
      <c r="S517" s="13"/>
      <c r="T517" s="13"/>
      <c r="U517" s="13"/>
      <c r="V517" s="13"/>
      <c r="W517" s="13"/>
      <c r="X517" s="13"/>
    </row>
    <row r="518" spans="4:24" ht="12.75" customHeight="1">
      <c r="D518" s="10"/>
      <c r="E518" s="10"/>
      <c r="F518" s="10"/>
      <c r="G518" s="10"/>
      <c r="H518" s="10"/>
      <c r="I518" s="10"/>
      <c r="J518" s="10"/>
      <c r="K518" s="10"/>
      <c r="L518" s="10"/>
      <c r="M518" s="13"/>
      <c r="N518" s="13"/>
      <c r="O518" s="13"/>
      <c r="P518" s="13"/>
      <c r="Q518" s="13"/>
      <c r="R518" s="13"/>
      <c r="S518" s="13"/>
      <c r="T518" s="13"/>
      <c r="U518" s="13"/>
      <c r="V518" s="13"/>
      <c r="W518" s="13"/>
      <c r="X518" s="13"/>
    </row>
    <row r="519" spans="4:24" ht="12.75" customHeight="1">
      <c r="D519" s="10"/>
      <c r="E519" s="10"/>
      <c r="F519" s="10"/>
      <c r="G519" s="10"/>
      <c r="H519" s="10"/>
      <c r="I519" s="10"/>
      <c r="J519" s="10"/>
      <c r="K519" s="10"/>
      <c r="L519" s="10"/>
      <c r="M519" s="13"/>
      <c r="N519" s="13"/>
      <c r="O519" s="13"/>
      <c r="P519" s="13"/>
      <c r="Q519" s="13"/>
      <c r="R519" s="13"/>
      <c r="S519" s="13"/>
      <c r="T519" s="13"/>
      <c r="U519" s="13"/>
      <c r="V519" s="13"/>
      <c r="W519" s="13"/>
      <c r="X519" s="13"/>
    </row>
    <row r="520" spans="4:24" ht="12.75" customHeight="1">
      <c r="D520" s="10"/>
      <c r="E520" s="10"/>
      <c r="F520" s="10"/>
      <c r="G520" s="10"/>
      <c r="H520" s="10"/>
      <c r="I520" s="10"/>
      <c r="J520" s="10"/>
      <c r="K520" s="10"/>
      <c r="L520" s="10"/>
      <c r="M520" s="13"/>
      <c r="N520" s="13"/>
      <c r="O520" s="13"/>
      <c r="P520" s="13"/>
      <c r="Q520" s="13"/>
      <c r="R520" s="13"/>
      <c r="S520" s="13"/>
      <c r="T520" s="13"/>
      <c r="U520" s="13"/>
      <c r="V520" s="13"/>
      <c r="W520" s="13"/>
      <c r="X520" s="13"/>
    </row>
    <row r="521" spans="4:24" ht="12.75" customHeight="1">
      <c r="D521" s="10"/>
      <c r="E521" s="10"/>
      <c r="F521" s="10"/>
      <c r="G521" s="10"/>
      <c r="H521" s="10"/>
      <c r="I521" s="10"/>
      <c r="J521" s="10"/>
      <c r="K521" s="10"/>
      <c r="L521" s="10"/>
      <c r="M521" s="13"/>
      <c r="N521" s="13"/>
      <c r="O521" s="13"/>
      <c r="P521" s="13"/>
      <c r="Q521" s="13"/>
      <c r="R521" s="13"/>
      <c r="S521" s="13"/>
      <c r="T521" s="13"/>
      <c r="U521" s="13"/>
      <c r="V521" s="13"/>
      <c r="W521" s="13"/>
      <c r="X521" s="13"/>
    </row>
    <row r="522" spans="4:24" ht="12.75" customHeight="1">
      <c r="D522" s="10"/>
      <c r="E522" s="10"/>
      <c r="F522" s="10"/>
      <c r="G522" s="10"/>
      <c r="H522" s="10"/>
      <c r="I522" s="10"/>
      <c r="J522" s="10"/>
      <c r="K522" s="10"/>
      <c r="L522" s="10"/>
      <c r="M522" s="13"/>
      <c r="N522" s="13"/>
      <c r="O522" s="13"/>
      <c r="P522" s="13"/>
      <c r="Q522" s="13"/>
      <c r="R522" s="13"/>
      <c r="S522" s="13"/>
      <c r="T522" s="13"/>
      <c r="U522" s="13"/>
      <c r="V522" s="13"/>
      <c r="W522" s="13"/>
      <c r="X522" s="13"/>
    </row>
    <row r="523" spans="4:24" ht="12.75" customHeight="1">
      <c r="D523" s="10"/>
      <c r="E523" s="10"/>
      <c r="F523" s="10"/>
      <c r="G523" s="10"/>
      <c r="H523" s="10"/>
      <c r="I523" s="10"/>
      <c r="J523" s="10"/>
      <c r="K523" s="10"/>
      <c r="L523" s="10"/>
      <c r="M523" s="13"/>
      <c r="N523" s="13"/>
      <c r="O523" s="13"/>
      <c r="P523" s="13"/>
      <c r="Q523" s="13"/>
      <c r="R523" s="13"/>
      <c r="S523" s="13"/>
      <c r="T523" s="13"/>
      <c r="U523" s="13"/>
      <c r="V523" s="13"/>
      <c r="W523" s="13"/>
      <c r="X523" s="13"/>
    </row>
    <row r="524" spans="4:24" ht="12.75" customHeight="1">
      <c r="D524" s="10"/>
      <c r="E524" s="10"/>
      <c r="F524" s="10"/>
      <c r="G524" s="10"/>
      <c r="H524" s="10"/>
      <c r="I524" s="10"/>
      <c r="J524" s="10"/>
      <c r="K524" s="10"/>
      <c r="L524" s="10"/>
      <c r="M524" s="13"/>
      <c r="N524" s="13"/>
      <c r="O524" s="13"/>
      <c r="P524" s="13"/>
      <c r="Q524" s="13"/>
      <c r="R524" s="13"/>
      <c r="S524" s="13"/>
      <c r="T524" s="13"/>
      <c r="U524" s="13"/>
      <c r="V524" s="13"/>
      <c r="W524" s="13"/>
      <c r="X524" s="13"/>
    </row>
    <row r="525" spans="4:24" ht="12.75" customHeight="1">
      <c r="D525" s="10"/>
      <c r="E525" s="10"/>
      <c r="F525" s="10"/>
      <c r="G525" s="10"/>
      <c r="H525" s="10"/>
      <c r="I525" s="10"/>
      <c r="J525" s="10"/>
      <c r="K525" s="10"/>
      <c r="L525" s="10"/>
      <c r="M525" s="13"/>
      <c r="N525" s="13"/>
      <c r="O525" s="13"/>
      <c r="P525" s="13"/>
      <c r="Q525" s="13"/>
      <c r="R525" s="13"/>
      <c r="S525" s="13"/>
      <c r="T525" s="13"/>
      <c r="U525" s="13"/>
      <c r="V525" s="13"/>
      <c r="W525" s="13"/>
      <c r="X525" s="13"/>
    </row>
    <row r="526" spans="4:24" ht="12.75" customHeight="1">
      <c r="D526" s="10"/>
      <c r="E526" s="10"/>
      <c r="F526" s="10"/>
      <c r="G526" s="10"/>
      <c r="H526" s="10"/>
      <c r="I526" s="10"/>
      <c r="J526" s="10"/>
      <c r="K526" s="10"/>
      <c r="L526" s="10"/>
      <c r="M526" s="13"/>
      <c r="N526" s="13"/>
      <c r="O526" s="13"/>
      <c r="P526" s="13"/>
      <c r="Q526" s="13"/>
      <c r="R526" s="13"/>
      <c r="S526" s="13"/>
      <c r="T526" s="13"/>
      <c r="U526" s="13"/>
      <c r="V526" s="13"/>
      <c r="W526" s="13"/>
      <c r="X526" s="13"/>
    </row>
    <row r="527" spans="4:24" ht="12.75" customHeight="1">
      <c r="D527" s="10"/>
      <c r="E527" s="10"/>
      <c r="F527" s="10"/>
      <c r="G527" s="10"/>
      <c r="H527" s="10"/>
      <c r="I527" s="10"/>
      <c r="J527" s="10"/>
      <c r="K527" s="10"/>
      <c r="L527" s="10"/>
      <c r="M527" s="13"/>
      <c r="N527" s="13"/>
      <c r="O527" s="13"/>
      <c r="P527" s="13"/>
      <c r="Q527" s="13"/>
      <c r="R527" s="13"/>
      <c r="S527" s="13"/>
      <c r="T527" s="13"/>
      <c r="U527" s="13"/>
      <c r="V527" s="13"/>
      <c r="W527" s="13"/>
      <c r="X527" s="13"/>
    </row>
    <row r="528" spans="4:24" ht="12.75" customHeight="1">
      <c r="D528" s="10"/>
      <c r="E528" s="10"/>
      <c r="F528" s="10"/>
      <c r="G528" s="10"/>
      <c r="H528" s="10"/>
      <c r="I528" s="10"/>
      <c r="J528" s="10"/>
      <c r="K528" s="10"/>
      <c r="L528" s="10"/>
      <c r="M528" s="13"/>
      <c r="N528" s="13"/>
      <c r="O528" s="13"/>
      <c r="P528" s="13"/>
      <c r="Q528" s="13"/>
      <c r="R528" s="13"/>
      <c r="S528" s="13"/>
      <c r="T528" s="13"/>
      <c r="U528" s="13"/>
      <c r="V528" s="13"/>
      <c r="W528" s="13"/>
      <c r="X528" s="13"/>
    </row>
    <row r="529" spans="4:24" ht="12.75" customHeight="1">
      <c r="D529" s="10"/>
      <c r="E529" s="10"/>
      <c r="F529" s="10"/>
      <c r="G529" s="10"/>
      <c r="H529" s="10"/>
      <c r="I529" s="10"/>
      <c r="J529" s="10"/>
      <c r="K529" s="10"/>
      <c r="L529" s="10"/>
      <c r="M529" s="13"/>
      <c r="N529" s="13"/>
      <c r="O529" s="13"/>
      <c r="P529" s="13"/>
      <c r="Q529" s="13"/>
      <c r="R529" s="13"/>
      <c r="S529" s="13"/>
      <c r="T529" s="13"/>
      <c r="U529" s="13"/>
      <c r="V529" s="13"/>
      <c r="W529" s="13"/>
      <c r="X529" s="13"/>
    </row>
    <row r="530" spans="4:24" ht="12.75" customHeight="1">
      <c r="D530" s="10"/>
      <c r="E530" s="10"/>
      <c r="F530" s="10"/>
      <c r="G530" s="10"/>
      <c r="H530" s="10"/>
      <c r="I530" s="10"/>
      <c r="J530" s="10"/>
      <c r="K530" s="10"/>
      <c r="L530" s="10"/>
      <c r="M530" s="13"/>
      <c r="N530" s="13"/>
      <c r="O530" s="13"/>
      <c r="P530" s="13"/>
      <c r="Q530" s="13"/>
      <c r="R530" s="13"/>
      <c r="S530" s="13"/>
      <c r="T530" s="13"/>
      <c r="U530" s="13"/>
      <c r="V530" s="13"/>
      <c r="W530" s="13"/>
      <c r="X530" s="13"/>
    </row>
    <row r="531" spans="4:24" ht="12.75" customHeight="1">
      <c r="D531" s="10"/>
      <c r="E531" s="10"/>
      <c r="F531" s="10"/>
      <c r="G531" s="10"/>
      <c r="H531" s="10"/>
      <c r="I531" s="10"/>
      <c r="J531" s="10"/>
      <c r="K531" s="10"/>
      <c r="L531" s="10"/>
      <c r="M531" s="13"/>
      <c r="N531" s="13"/>
      <c r="O531" s="13"/>
      <c r="P531" s="13"/>
      <c r="Q531" s="13"/>
      <c r="R531" s="13"/>
      <c r="S531" s="13"/>
      <c r="T531" s="13"/>
      <c r="U531" s="13"/>
      <c r="V531" s="13"/>
      <c r="W531" s="13"/>
      <c r="X531" s="13"/>
    </row>
    <row r="532" spans="4:24" ht="12.75" customHeight="1">
      <c r="D532" s="10"/>
      <c r="E532" s="10"/>
      <c r="F532" s="10"/>
      <c r="G532" s="10"/>
      <c r="H532" s="10"/>
      <c r="I532" s="10"/>
      <c r="J532" s="10"/>
      <c r="K532" s="10"/>
      <c r="L532" s="10"/>
      <c r="M532" s="13"/>
      <c r="N532" s="13"/>
      <c r="O532" s="13"/>
      <c r="P532" s="13"/>
      <c r="Q532" s="13"/>
      <c r="R532" s="13"/>
      <c r="S532" s="13"/>
      <c r="T532" s="13"/>
      <c r="U532" s="13"/>
      <c r="V532" s="13"/>
      <c r="W532" s="13"/>
      <c r="X532" s="13"/>
    </row>
    <row r="533" spans="4:24" ht="12.75" customHeight="1">
      <c r="D533" s="10"/>
      <c r="E533" s="10"/>
      <c r="F533" s="10"/>
      <c r="G533" s="10"/>
      <c r="H533" s="10"/>
      <c r="I533" s="10"/>
      <c r="J533" s="10"/>
      <c r="K533" s="10"/>
      <c r="L533" s="10"/>
      <c r="M533" s="13"/>
      <c r="N533" s="13"/>
      <c r="O533" s="13"/>
      <c r="P533" s="13"/>
      <c r="Q533" s="13"/>
      <c r="R533" s="13"/>
      <c r="S533" s="13"/>
      <c r="T533" s="13"/>
      <c r="U533" s="13"/>
      <c r="V533" s="13"/>
      <c r="W533" s="13"/>
      <c r="X533" s="13"/>
    </row>
    <row r="534" spans="4:24" ht="12.75" customHeight="1">
      <c r="D534" s="10"/>
      <c r="E534" s="10"/>
      <c r="F534" s="10"/>
      <c r="G534" s="10"/>
      <c r="H534" s="10"/>
      <c r="I534" s="10"/>
      <c r="J534" s="10"/>
      <c r="K534" s="10"/>
      <c r="L534" s="10"/>
      <c r="M534" s="13"/>
      <c r="N534" s="13"/>
      <c r="O534" s="13"/>
      <c r="P534" s="13"/>
      <c r="Q534" s="13"/>
      <c r="R534" s="13"/>
      <c r="S534" s="13"/>
      <c r="T534" s="13"/>
      <c r="U534" s="13"/>
      <c r="V534" s="13"/>
      <c r="W534" s="13"/>
      <c r="X534" s="13"/>
    </row>
    <row r="535" spans="4:24" ht="12.75" customHeight="1">
      <c r="D535" s="10"/>
      <c r="E535" s="10"/>
      <c r="F535" s="10"/>
      <c r="G535" s="10"/>
      <c r="H535" s="10"/>
      <c r="I535" s="10"/>
      <c r="J535" s="10"/>
      <c r="K535" s="10"/>
      <c r="L535" s="10"/>
      <c r="M535" s="13"/>
      <c r="N535" s="13"/>
      <c r="O535" s="13"/>
      <c r="P535" s="13"/>
      <c r="Q535" s="13"/>
      <c r="R535" s="13"/>
      <c r="S535" s="13"/>
      <c r="T535" s="13"/>
      <c r="U535" s="13"/>
      <c r="V535" s="13"/>
      <c r="W535" s="13"/>
      <c r="X535" s="13"/>
    </row>
    <row r="536" spans="4:24" ht="12.75" customHeight="1">
      <c r="D536" s="10"/>
      <c r="E536" s="10"/>
      <c r="F536" s="10"/>
      <c r="G536" s="10"/>
      <c r="H536" s="10"/>
      <c r="I536" s="10"/>
      <c r="J536" s="10"/>
      <c r="K536" s="10"/>
      <c r="L536" s="10"/>
      <c r="M536" s="13"/>
      <c r="N536" s="13"/>
      <c r="O536" s="13"/>
      <c r="P536" s="13"/>
      <c r="Q536" s="13"/>
      <c r="R536" s="13"/>
      <c r="S536" s="13"/>
      <c r="T536" s="13"/>
      <c r="U536" s="13"/>
      <c r="V536" s="13"/>
      <c r="W536" s="13"/>
      <c r="X536" s="13"/>
    </row>
    <row r="537" spans="4:24" ht="12.75" customHeight="1">
      <c r="D537" s="10"/>
      <c r="E537" s="10"/>
      <c r="F537" s="10"/>
      <c r="G537" s="10"/>
      <c r="H537" s="10"/>
      <c r="I537" s="10"/>
      <c r="J537" s="10"/>
      <c r="K537" s="10"/>
      <c r="L537" s="10"/>
      <c r="M537" s="13"/>
      <c r="N537" s="13"/>
      <c r="O537" s="13"/>
      <c r="P537" s="13"/>
      <c r="Q537" s="13"/>
      <c r="R537" s="13"/>
      <c r="S537" s="13"/>
      <c r="T537" s="13"/>
      <c r="U537" s="13"/>
      <c r="V537" s="13"/>
      <c r="W537" s="13"/>
      <c r="X537" s="13"/>
    </row>
    <row r="538" spans="4:24" ht="12.75" customHeight="1">
      <c r="D538" s="10"/>
      <c r="E538" s="10"/>
      <c r="F538" s="10"/>
      <c r="G538" s="10"/>
      <c r="H538" s="10"/>
      <c r="I538" s="10"/>
      <c r="J538" s="10"/>
      <c r="K538" s="10"/>
      <c r="L538" s="10"/>
      <c r="M538" s="13"/>
      <c r="N538" s="13"/>
      <c r="O538" s="13"/>
      <c r="P538" s="13"/>
      <c r="Q538" s="13"/>
      <c r="R538" s="13"/>
      <c r="S538" s="13"/>
      <c r="T538" s="13"/>
      <c r="U538" s="13"/>
      <c r="V538" s="13"/>
      <c r="W538" s="13"/>
      <c r="X538" s="13"/>
    </row>
    <row r="539" spans="4:24" ht="12.75" customHeight="1">
      <c r="D539" s="10"/>
      <c r="E539" s="10"/>
      <c r="F539" s="10"/>
      <c r="G539" s="10"/>
      <c r="H539" s="10"/>
      <c r="I539" s="10"/>
      <c r="J539" s="10"/>
      <c r="K539" s="10"/>
      <c r="L539" s="10"/>
      <c r="M539" s="13"/>
      <c r="N539" s="13"/>
      <c r="O539" s="13"/>
      <c r="P539" s="13"/>
      <c r="Q539" s="13"/>
      <c r="R539" s="13"/>
      <c r="S539" s="13"/>
      <c r="T539" s="13"/>
      <c r="U539" s="13"/>
      <c r="V539" s="13"/>
      <c r="W539" s="13"/>
      <c r="X539" s="13"/>
    </row>
    <row r="540" spans="4:24" ht="12.75" customHeight="1">
      <c r="D540" s="10"/>
      <c r="E540" s="10"/>
      <c r="F540" s="10"/>
      <c r="G540" s="10"/>
      <c r="H540" s="10"/>
      <c r="I540" s="10"/>
      <c r="J540" s="10"/>
      <c r="K540" s="10"/>
      <c r="L540" s="10"/>
      <c r="M540" s="13"/>
      <c r="N540" s="13"/>
      <c r="O540" s="13"/>
      <c r="P540" s="13"/>
      <c r="Q540" s="13"/>
      <c r="R540" s="13"/>
      <c r="S540" s="13"/>
      <c r="T540" s="13"/>
      <c r="U540" s="13"/>
      <c r="V540" s="13"/>
      <c r="W540" s="13"/>
      <c r="X540" s="13"/>
    </row>
    <row r="541" spans="4:24" ht="12.75" customHeight="1">
      <c r="D541" s="10"/>
      <c r="E541" s="10"/>
      <c r="F541" s="10"/>
      <c r="G541" s="10"/>
      <c r="H541" s="10"/>
      <c r="I541" s="10"/>
      <c r="J541" s="10"/>
      <c r="K541" s="10"/>
      <c r="L541" s="10"/>
      <c r="M541" s="13"/>
      <c r="N541" s="13"/>
      <c r="O541" s="13"/>
      <c r="P541" s="13"/>
      <c r="Q541" s="13"/>
      <c r="R541" s="13"/>
      <c r="S541" s="13"/>
      <c r="T541" s="13"/>
      <c r="U541" s="13"/>
      <c r="V541" s="13"/>
      <c r="W541" s="13"/>
      <c r="X541" s="13"/>
    </row>
    <row r="542" spans="4:24" ht="12.75" customHeight="1">
      <c r="D542" s="10"/>
      <c r="E542" s="10"/>
      <c r="F542" s="10"/>
      <c r="G542" s="10"/>
      <c r="H542" s="10"/>
      <c r="I542" s="10"/>
      <c r="J542" s="10"/>
      <c r="K542" s="10"/>
      <c r="L542" s="10"/>
      <c r="M542" s="13"/>
      <c r="N542" s="13"/>
      <c r="O542" s="13"/>
      <c r="P542" s="13"/>
      <c r="Q542" s="13"/>
      <c r="R542" s="13"/>
      <c r="S542" s="13"/>
      <c r="T542" s="13"/>
      <c r="U542" s="13"/>
      <c r="V542" s="13"/>
      <c r="W542" s="13"/>
      <c r="X542" s="13"/>
    </row>
    <row r="543" spans="4:24" ht="12.75" customHeight="1">
      <c r="D543" s="10"/>
      <c r="E543" s="10"/>
      <c r="F543" s="10"/>
      <c r="G543" s="10"/>
      <c r="H543" s="10"/>
      <c r="I543" s="10"/>
      <c r="J543" s="10"/>
      <c r="K543" s="10"/>
      <c r="L543" s="10"/>
      <c r="M543" s="13"/>
      <c r="N543" s="13"/>
      <c r="O543" s="13"/>
      <c r="P543" s="13"/>
      <c r="Q543" s="13"/>
      <c r="R543" s="13"/>
      <c r="S543" s="13"/>
      <c r="T543" s="13"/>
      <c r="U543" s="13"/>
      <c r="V543" s="13"/>
      <c r="W543" s="13"/>
      <c r="X543" s="13"/>
    </row>
    <row r="544" spans="4:24" ht="12.75" customHeight="1">
      <c r="D544" s="10"/>
      <c r="E544" s="10"/>
      <c r="F544" s="10"/>
      <c r="G544" s="10"/>
      <c r="H544" s="10"/>
      <c r="I544" s="10"/>
      <c r="J544" s="10"/>
      <c r="K544" s="10"/>
      <c r="L544" s="10"/>
      <c r="M544" s="13"/>
      <c r="N544" s="13"/>
      <c r="O544" s="13"/>
      <c r="P544" s="13"/>
      <c r="Q544" s="13"/>
      <c r="R544" s="13"/>
      <c r="S544" s="13"/>
      <c r="T544" s="13"/>
      <c r="U544" s="13"/>
      <c r="V544" s="13"/>
      <c r="W544" s="13"/>
      <c r="X544" s="13"/>
    </row>
    <row r="545" spans="4:24" ht="12.75" customHeight="1">
      <c r="D545" s="10"/>
      <c r="E545" s="10"/>
      <c r="F545" s="10"/>
      <c r="G545" s="10"/>
      <c r="H545" s="10"/>
      <c r="I545" s="10"/>
      <c r="J545" s="10"/>
      <c r="K545" s="10"/>
      <c r="L545" s="10"/>
      <c r="M545" s="13"/>
      <c r="N545" s="13"/>
      <c r="O545" s="13"/>
      <c r="P545" s="13"/>
      <c r="Q545" s="13"/>
      <c r="R545" s="13"/>
      <c r="S545" s="13"/>
      <c r="T545" s="13"/>
      <c r="U545" s="13"/>
      <c r="V545" s="13"/>
      <c r="W545" s="13"/>
      <c r="X545" s="13"/>
    </row>
    <row r="546" spans="4:24" ht="12.75" customHeight="1">
      <c r="D546" s="10"/>
      <c r="E546" s="10"/>
      <c r="F546" s="10"/>
      <c r="G546" s="10"/>
      <c r="H546" s="10"/>
      <c r="I546" s="10"/>
      <c r="J546" s="10"/>
      <c r="K546" s="10"/>
      <c r="L546" s="10"/>
      <c r="M546" s="13"/>
      <c r="N546" s="13"/>
      <c r="O546" s="13"/>
      <c r="P546" s="13"/>
      <c r="Q546" s="13"/>
      <c r="R546" s="13"/>
      <c r="S546" s="13"/>
      <c r="T546" s="13"/>
      <c r="U546" s="13"/>
      <c r="V546" s="13"/>
      <c r="W546" s="13"/>
      <c r="X546" s="13"/>
    </row>
    <row r="547" spans="4:24" ht="12.75" customHeight="1">
      <c r="D547" s="10"/>
      <c r="E547" s="10"/>
      <c r="F547" s="10"/>
      <c r="G547" s="10"/>
      <c r="H547" s="10"/>
      <c r="I547" s="10"/>
      <c r="J547" s="10"/>
      <c r="K547" s="10"/>
      <c r="L547" s="10"/>
      <c r="M547" s="13"/>
      <c r="N547" s="13"/>
      <c r="O547" s="13"/>
      <c r="P547" s="13"/>
      <c r="Q547" s="13"/>
      <c r="R547" s="13"/>
      <c r="S547" s="13"/>
      <c r="T547" s="13"/>
      <c r="U547" s="13"/>
      <c r="V547" s="13"/>
      <c r="W547" s="13"/>
      <c r="X547" s="13"/>
    </row>
    <row r="548" spans="4:24" ht="12.75" customHeight="1">
      <c r="D548" s="10"/>
      <c r="E548" s="10"/>
      <c r="F548" s="10"/>
      <c r="G548" s="10"/>
      <c r="H548" s="10"/>
      <c r="I548" s="10"/>
      <c r="J548" s="10"/>
      <c r="K548" s="10"/>
      <c r="L548" s="10"/>
      <c r="M548" s="13"/>
      <c r="N548" s="13"/>
      <c r="O548" s="13"/>
      <c r="P548" s="13"/>
      <c r="Q548" s="13"/>
      <c r="R548" s="13"/>
      <c r="S548" s="13"/>
      <c r="T548" s="13"/>
      <c r="U548" s="13"/>
      <c r="V548" s="13"/>
      <c r="W548" s="13"/>
      <c r="X548" s="13"/>
    </row>
    <row r="549" spans="4:24" ht="12.75" customHeight="1">
      <c r="D549" s="10"/>
      <c r="E549" s="10"/>
      <c r="F549" s="10"/>
      <c r="G549" s="10"/>
      <c r="H549" s="10"/>
      <c r="I549" s="10"/>
      <c r="J549" s="10"/>
      <c r="K549" s="10"/>
      <c r="L549" s="10"/>
      <c r="M549" s="13"/>
      <c r="N549" s="13"/>
      <c r="O549" s="13"/>
      <c r="P549" s="13"/>
      <c r="Q549" s="13"/>
      <c r="R549" s="13"/>
      <c r="S549" s="13"/>
      <c r="T549" s="13"/>
      <c r="U549" s="13"/>
      <c r="V549" s="13"/>
      <c r="W549" s="13"/>
      <c r="X549" s="13"/>
    </row>
    <row r="550" spans="4:24" ht="12.75" customHeight="1">
      <c r="D550" s="10"/>
      <c r="E550" s="10"/>
      <c r="F550" s="10"/>
      <c r="G550" s="10"/>
      <c r="H550" s="10"/>
      <c r="I550" s="10"/>
      <c r="J550" s="10"/>
      <c r="K550" s="10"/>
      <c r="L550" s="10"/>
      <c r="M550" s="13"/>
      <c r="N550" s="13"/>
      <c r="O550" s="13"/>
      <c r="P550" s="13"/>
      <c r="Q550" s="13"/>
      <c r="R550" s="13"/>
      <c r="S550" s="13"/>
      <c r="T550" s="13"/>
      <c r="U550" s="13"/>
      <c r="V550" s="13"/>
      <c r="W550" s="13"/>
      <c r="X550" s="13"/>
    </row>
    <row r="551" spans="4:24" ht="12.75" customHeight="1">
      <c r="D551" s="10"/>
      <c r="E551" s="10"/>
      <c r="F551" s="10"/>
      <c r="G551" s="10"/>
      <c r="H551" s="10"/>
      <c r="I551" s="10"/>
      <c r="J551" s="10"/>
      <c r="K551" s="10"/>
      <c r="L551" s="10"/>
      <c r="M551" s="13"/>
      <c r="N551" s="13"/>
      <c r="O551" s="13"/>
      <c r="P551" s="13"/>
      <c r="Q551" s="13"/>
      <c r="R551" s="13"/>
      <c r="S551" s="13"/>
      <c r="T551" s="13"/>
      <c r="U551" s="13"/>
      <c r="V551" s="13"/>
      <c r="W551" s="13"/>
      <c r="X551" s="13"/>
    </row>
    <row r="552" spans="4:24" ht="12.75" customHeight="1">
      <c r="D552" s="10"/>
      <c r="E552" s="10"/>
      <c r="F552" s="10"/>
      <c r="G552" s="10"/>
      <c r="H552" s="10"/>
      <c r="I552" s="10"/>
      <c r="J552" s="10"/>
      <c r="K552" s="10"/>
      <c r="L552" s="10"/>
      <c r="M552" s="13"/>
      <c r="N552" s="13"/>
      <c r="O552" s="13"/>
      <c r="P552" s="13"/>
      <c r="Q552" s="13"/>
      <c r="R552" s="13"/>
      <c r="S552" s="13"/>
      <c r="T552" s="13"/>
      <c r="U552" s="13"/>
      <c r="V552" s="13"/>
      <c r="W552" s="13"/>
      <c r="X552" s="13"/>
    </row>
    <row r="553" spans="4:24" ht="12.75" customHeight="1">
      <c r="D553" s="10"/>
      <c r="E553" s="10"/>
      <c r="F553" s="10"/>
      <c r="G553" s="10"/>
      <c r="H553" s="10"/>
      <c r="I553" s="10"/>
      <c r="J553" s="10"/>
      <c r="K553" s="10"/>
      <c r="L553" s="10"/>
      <c r="M553" s="13"/>
      <c r="N553" s="13"/>
      <c r="O553" s="13"/>
      <c r="P553" s="13"/>
      <c r="Q553" s="13"/>
      <c r="R553" s="13"/>
      <c r="S553" s="13"/>
      <c r="T553" s="13"/>
      <c r="U553" s="13"/>
      <c r="V553" s="13"/>
      <c r="W553" s="13"/>
      <c r="X553" s="13"/>
    </row>
    <row r="554" spans="4:24" ht="12.75" customHeight="1">
      <c r="D554" s="10"/>
      <c r="E554" s="10"/>
      <c r="F554" s="10"/>
      <c r="G554" s="10"/>
      <c r="H554" s="10"/>
      <c r="I554" s="10"/>
      <c r="J554" s="10"/>
      <c r="K554" s="10"/>
      <c r="L554" s="10"/>
      <c r="M554" s="13"/>
      <c r="N554" s="13"/>
      <c r="O554" s="13"/>
      <c r="P554" s="13"/>
      <c r="Q554" s="13"/>
      <c r="R554" s="13"/>
      <c r="S554" s="13"/>
      <c r="T554" s="13"/>
      <c r="U554" s="13"/>
      <c r="V554" s="13"/>
      <c r="W554" s="13"/>
      <c r="X554" s="13"/>
    </row>
    <row r="555" spans="4:24" ht="12.75" customHeight="1">
      <c r="D555" s="10"/>
      <c r="E555" s="10"/>
      <c r="F555" s="10"/>
      <c r="G555" s="10"/>
      <c r="H555" s="10"/>
      <c r="I555" s="10"/>
      <c r="J555" s="10"/>
      <c r="K555" s="10"/>
      <c r="L555" s="10"/>
      <c r="M555" s="13"/>
      <c r="N555" s="13"/>
      <c r="O555" s="13"/>
      <c r="P555" s="13"/>
      <c r="Q555" s="13"/>
      <c r="R555" s="13"/>
      <c r="S555" s="13"/>
      <c r="T555" s="13"/>
      <c r="U555" s="13"/>
      <c r="V555" s="13"/>
      <c r="W555" s="13"/>
      <c r="X555" s="13"/>
    </row>
    <row r="556" spans="4:24" ht="12.75" customHeight="1">
      <c r="D556" s="10"/>
      <c r="E556" s="10"/>
      <c r="F556" s="10"/>
      <c r="G556" s="10"/>
      <c r="H556" s="10"/>
      <c r="I556" s="10"/>
      <c r="J556" s="10"/>
      <c r="K556" s="10"/>
      <c r="L556" s="10"/>
      <c r="M556" s="13"/>
      <c r="N556" s="13"/>
      <c r="O556" s="13"/>
      <c r="P556" s="13"/>
      <c r="Q556" s="13"/>
      <c r="R556" s="13"/>
      <c r="S556" s="13"/>
      <c r="T556" s="13"/>
      <c r="U556" s="13"/>
      <c r="V556" s="13"/>
      <c r="W556" s="13"/>
      <c r="X556" s="13"/>
    </row>
    <row r="557" spans="4:24" ht="12.75" customHeight="1">
      <c r="D557" s="10"/>
      <c r="E557" s="10"/>
      <c r="F557" s="10"/>
      <c r="G557" s="10"/>
      <c r="H557" s="10"/>
      <c r="I557" s="10"/>
      <c r="J557" s="10"/>
      <c r="K557" s="10"/>
      <c r="L557" s="10"/>
      <c r="M557" s="13"/>
      <c r="N557" s="13"/>
      <c r="O557" s="13"/>
      <c r="P557" s="13"/>
      <c r="Q557" s="13"/>
      <c r="R557" s="13"/>
      <c r="S557" s="13"/>
      <c r="T557" s="13"/>
      <c r="U557" s="13"/>
      <c r="V557" s="13"/>
      <c r="W557" s="13"/>
      <c r="X557" s="13"/>
    </row>
    <row r="558" spans="4:24" ht="12.75" customHeight="1">
      <c r="D558" s="10"/>
      <c r="E558" s="10"/>
      <c r="F558" s="10"/>
      <c r="G558" s="10"/>
      <c r="H558" s="10"/>
      <c r="I558" s="10"/>
      <c r="J558" s="10"/>
      <c r="K558" s="10"/>
      <c r="L558" s="10"/>
      <c r="M558" s="13"/>
      <c r="N558" s="13"/>
      <c r="O558" s="13"/>
      <c r="P558" s="13"/>
      <c r="Q558" s="13"/>
      <c r="R558" s="13"/>
      <c r="S558" s="13"/>
      <c r="T558" s="13"/>
      <c r="U558" s="13"/>
      <c r="V558" s="13"/>
      <c r="W558" s="13"/>
      <c r="X558" s="13"/>
    </row>
    <row r="559" spans="4:24" ht="12.75" customHeight="1">
      <c r="D559" s="10"/>
      <c r="E559" s="10"/>
      <c r="F559" s="10"/>
      <c r="G559" s="10"/>
      <c r="H559" s="10"/>
      <c r="I559" s="10"/>
      <c r="J559" s="10"/>
      <c r="K559" s="10"/>
      <c r="L559" s="10"/>
      <c r="M559" s="13"/>
      <c r="N559" s="13"/>
      <c r="O559" s="13"/>
      <c r="P559" s="13"/>
      <c r="Q559" s="13"/>
      <c r="R559" s="13"/>
      <c r="S559" s="13"/>
      <c r="T559" s="13"/>
      <c r="U559" s="13"/>
      <c r="V559" s="13"/>
      <c r="W559" s="13"/>
      <c r="X559" s="13"/>
    </row>
    <row r="560" spans="4:24" ht="12.75" customHeight="1">
      <c r="D560" s="10"/>
      <c r="E560" s="10"/>
      <c r="F560" s="10"/>
      <c r="G560" s="10"/>
      <c r="H560" s="10"/>
      <c r="I560" s="10"/>
      <c r="J560" s="10"/>
      <c r="K560" s="10"/>
      <c r="L560" s="10"/>
      <c r="M560" s="13"/>
      <c r="N560" s="13"/>
      <c r="O560" s="13"/>
      <c r="P560" s="13"/>
      <c r="Q560" s="13"/>
      <c r="R560" s="13"/>
      <c r="S560" s="13"/>
      <c r="T560" s="13"/>
      <c r="U560" s="13"/>
      <c r="V560" s="13"/>
      <c r="W560" s="13"/>
      <c r="X560" s="13"/>
    </row>
    <row r="561" spans="4:24" ht="12.75" customHeight="1">
      <c r="D561" s="10"/>
      <c r="E561" s="10"/>
      <c r="F561" s="10"/>
      <c r="G561" s="10"/>
      <c r="H561" s="10"/>
      <c r="I561" s="10"/>
      <c r="J561" s="10"/>
      <c r="K561" s="10"/>
      <c r="L561" s="10"/>
      <c r="M561" s="13"/>
      <c r="N561" s="13"/>
      <c r="O561" s="13"/>
      <c r="P561" s="13"/>
      <c r="Q561" s="13"/>
      <c r="R561" s="13"/>
      <c r="S561" s="13"/>
      <c r="T561" s="13"/>
      <c r="U561" s="13"/>
      <c r="V561" s="13"/>
      <c r="W561" s="13"/>
      <c r="X561" s="13"/>
    </row>
    <row r="562" spans="4:24" ht="12.75" customHeight="1">
      <c r="D562" s="10"/>
      <c r="E562" s="10"/>
      <c r="F562" s="10"/>
      <c r="G562" s="10"/>
      <c r="H562" s="10"/>
      <c r="I562" s="10"/>
      <c r="J562" s="10"/>
      <c r="K562" s="10"/>
      <c r="L562" s="10"/>
      <c r="M562" s="13"/>
      <c r="N562" s="13"/>
      <c r="O562" s="13"/>
      <c r="P562" s="13"/>
      <c r="Q562" s="13"/>
      <c r="R562" s="13"/>
      <c r="S562" s="13"/>
      <c r="T562" s="13"/>
      <c r="U562" s="13"/>
      <c r="V562" s="13"/>
      <c r="W562" s="13"/>
      <c r="X562" s="13"/>
    </row>
    <row r="563" spans="4:24" ht="12.75" customHeight="1">
      <c r="D563" s="10"/>
      <c r="E563" s="10"/>
      <c r="F563" s="10"/>
      <c r="G563" s="10"/>
      <c r="H563" s="10"/>
      <c r="I563" s="10"/>
      <c r="J563" s="10"/>
      <c r="K563" s="10"/>
      <c r="L563" s="10"/>
      <c r="M563" s="13"/>
      <c r="N563" s="13"/>
      <c r="O563" s="13"/>
      <c r="P563" s="13"/>
      <c r="Q563" s="13"/>
      <c r="R563" s="13"/>
      <c r="S563" s="13"/>
      <c r="T563" s="13"/>
      <c r="U563" s="13"/>
      <c r="V563" s="13"/>
      <c r="W563" s="13"/>
      <c r="X563" s="13"/>
    </row>
    <row r="564" spans="4:24" ht="12.75" customHeight="1">
      <c r="D564" s="10"/>
      <c r="E564" s="10"/>
      <c r="F564" s="10"/>
      <c r="G564" s="10"/>
      <c r="H564" s="10"/>
      <c r="I564" s="10"/>
      <c r="J564" s="10"/>
      <c r="K564" s="10"/>
      <c r="L564" s="10"/>
      <c r="M564" s="13"/>
      <c r="N564" s="13"/>
      <c r="O564" s="13"/>
      <c r="P564" s="13"/>
      <c r="Q564" s="13"/>
      <c r="R564" s="13"/>
      <c r="S564" s="13"/>
      <c r="T564" s="13"/>
      <c r="U564" s="13"/>
      <c r="V564" s="13"/>
      <c r="W564" s="13"/>
      <c r="X564" s="13"/>
    </row>
    <row r="565" spans="4:24" ht="12.75" customHeight="1">
      <c r="D565" s="10"/>
      <c r="E565" s="10"/>
      <c r="F565" s="10"/>
      <c r="G565" s="10"/>
      <c r="H565" s="10"/>
      <c r="I565" s="10"/>
      <c r="J565" s="10"/>
      <c r="K565" s="10"/>
      <c r="L565" s="10"/>
      <c r="M565" s="13"/>
      <c r="N565" s="13"/>
      <c r="O565" s="13"/>
      <c r="P565" s="13"/>
      <c r="Q565" s="13"/>
      <c r="R565" s="13"/>
      <c r="S565" s="13"/>
      <c r="T565" s="13"/>
      <c r="U565" s="13"/>
      <c r="V565" s="13"/>
      <c r="W565" s="13"/>
      <c r="X565" s="13"/>
    </row>
    <row r="566" spans="4:24" ht="12.75" customHeight="1">
      <c r="D566" s="10"/>
      <c r="E566" s="10"/>
      <c r="F566" s="10"/>
      <c r="G566" s="10"/>
      <c r="H566" s="10"/>
      <c r="I566" s="10"/>
      <c r="J566" s="10"/>
      <c r="K566" s="10"/>
      <c r="L566" s="10"/>
      <c r="M566" s="13"/>
      <c r="N566" s="13"/>
      <c r="O566" s="13"/>
      <c r="P566" s="13"/>
      <c r="Q566" s="13"/>
      <c r="R566" s="13"/>
      <c r="S566" s="13"/>
      <c r="T566" s="13"/>
      <c r="U566" s="13"/>
      <c r="V566" s="13"/>
      <c r="W566" s="13"/>
      <c r="X566" s="13"/>
    </row>
    <row r="567" spans="4:24" ht="12.75" customHeight="1">
      <c r="D567" s="10"/>
      <c r="E567" s="10"/>
      <c r="F567" s="10"/>
      <c r="G567" s="10"/>
      <c r="H567" s="10"/>
      <c r="I567" s="10"/>
      <c r="J567" s="10"/>
      <c r="K567" s="10"/>
      <c r="L567" s="10"/>
      <c r="M567" s="13"/>
      <c r="N567" s="13"/>
      <c r="O567" s="13"/>
      <c r="P567" s="13"/>
      <c r="Q567" s="13"/>
      <c r="R567" s="13"/>
      <c r="S567" s="13"/>
      <c r="T567" s="13"/>
      <c r="U567" s="13"/>
      <c r="V567" s="13"/>
      <c r="W567" s="13"/>
      <c r="X567" s="13"/>
    </row>
    <row r="568" spans="4:24" ht="12.75" customHeight="1">
      <c r="D568" s="10"/>
      <c r="E568" s="10"/>
      <c r="F568" s="10"/>
      <c r="G568" s="10"/>
      <c r="H568" s="10"/>
      <c r="I568" s="10"/>
      <c r="J568" s="10"/>
      <c r="K568" s="10"/>
      <c r="L568" s="10"/>
      <c r="M568" s="13"/>
      <c r="N568" s="13"/>
      <c r="O568" s="13"/>
      <c r="P568" s="13"/>
      <c r="Q568" s="13"/>
      <c r="R568" s="13"/>
      <c r="S568" s="13"/>
      <c r="T568" s="13"/>
      <c r="U568" s="13"/>
      <c r="V568" s="13"/>
      <c r="W568" s="13"/>
      <c r="X568" s="13"/>
    </row>
    <row r="569" spans="4:24" ht="12.75" customHeight="1">
      <c r="D569" s="10"/>
      <c r="E569" s="10"/>
      <c r="F569" s="10"/>
      <c r="G569" s="10"/>
      <c r="H569" s="10"/>
      <c r="I569" s="10"/>
      <c r="J569" s="10"/>
      <c r="K569" s="10"/>
      <c r="L569" s="10"/>
      <c r="M569" s="13"/>
      <c r="N569" s="13"/>
      <c r="O569" s="13"/>
      <c r="P569" s="13"/>
      <c r="Q569" s="13"/>
      <c r="R569" s="13"/>
      <c r="S569" s="13"/>
      <c r="T569" s="13"/>
      <c r="U569" s="13"/>
      <c r="V569" s="13"/>
      <c r="W569" s="13"/>
      <c r="X569" s="13"/>
    </row>
    <row r="570" spans="4:24" ht="12.75" customHeight="1">
      <c r="D570" s="10"/>
      <c r="E570" s="10"/>
      <c r="F570" s="10"/>
      <c r="G570" s="10"/>
      <c r="H570" s="10"/>
      <c r="I570" s="10"/>
      <c r="J570" s="10"/>
      <c r="K570" s="10"/>
      <c r="L570" s="10"/>
      <c r="M570" s="13"/>
      <c r="N570" s="13"/>
      <c r="O570" s="13"/>
      <c r="P570" s="13"/>
      <c r="Q570" s="13"/>
      <c r="R570" s="13"/>
      <c r="S570" s="13"/>
      <c r="T570" s="13"/>
      <c r="U570" s="13"/>
      <c r="V570" s="13"/>
      <c r="W570" s="13"/>
      <c r="X570" s="13"/>
    </row>
    <row r="571" spans="4:24" ht="12.75" customHeight="1">
      <c r="D571" s="10"/>
      <c r="E571" s="10"/>
      <c r="F571" s="10"/>
      <c r="G571" s="10"/>
      <c r="H571" s="10"/>
      <c r="I571" s="10"/>
      <c r="J571" s="10"/>
      <c r="K571" s="10"/>
      <c r="L571" s="10"/>
      <c r="M571" s="13"/>
      <c r="N571" s="13"/>
      <c r="O571" s="13"/>
      <c r="P571" s="13"/>
      <c r="Q571" s="13"/>
      <c r="R571" s="13"/>
      <c r="S571" s="13"/>
      <c r="T571" s="13"/>
      <c r="U571" s="13"/>
      <c r="V571" s="13"/>
      <c r="W571" s="13"/>
      <c r="X571" s="13"/>
    </row>
    <row r="572" spans="4:24" ht="12.75" customHeight="1">
      <c r="D572" s="10"/>
      <c r="E572" s="10"/>
      <c r="F572" s="10"/>
      <c r="G572" s="10"/>
      <c r="H572" s="10"/>
      <c r="I572" s="10"/>
      <c r="J572" s="10"/>
      <c r="K572" s="10"/>
      <c r="L572" s="10"/>
      <c r="M572" s="13"/>
      <c r="N572" s="13"/>
      <c r="O572" s="13"/>
      <c r="P572" s="13"/>
      <c r="Q572" s="13"/>
      <c r="R572" s="13"/>
      <c r="S572" s="13"/>
      <c r="T572" s="13"/>
      <c r="U572" s="13"/>
      <c r="V572" s="13"/>
      <c r="W572" s="13"/>
      <c r="X572" s="13"/>
    </row>
    <row r="573" spans="4:24" ht="12.75" customHeight="1">
      <c r="D573" s="10"/>
      <c r="E573" s="10"/>
      <c r="F573" s="10"/>
      <c r="G573" s="10"/>
      <c r="H573" s="10"/>
      <c r="I573" s="10"/>
      <c r="J573" s="10"/>
      <c r="K573" s="10"/>
      <c r="L573" s="10"/>
      <c r="M573" s="13"/>
      <c r="N573" s="13"/>
      <c r="O573" s="13"/>
      <c r="P573" s="13"/>
      <c r="Q573" s="13"/>
      <c r="R573" s="13"/>
      <c r="S573" s="13"/>
      <c r="T573" s="13"/>
      <c r="U573" s="13"/>
      <c r="V573" s="13"/>
      <c r="W573" s="13"/>
      <c r="X573" s="13"/>
    </row>
    <row r="574" spans="4:24" ht="12.75" customHeight="1">
      <c r="D574" s="10"/>
      <c r="E574" s="10"/>
      <c r="F574" s="10"/>
      <c r="G574" s="10"/>
      <c r="H574" s="10"/>
      <c r="I574" s="10"/>
      <c r="J574" s="10"/>
      <c r="K574" s="10"/>
      <c r="L574" s="10"/>
      <c r="M574" s="13"/>
      <c r="N574" s="13"/>
      <c r="O574" s="13"/>
      <c r="P574" s="13"/>
      <c r="Q574" s="13"/>
      <c r="R574" s="13"/>
      <c r="S574" s="13"/>
      <c r="T574" s="13"/>
      <c r="U574" s="13"/>
      <c r="V574" s="13"/>
      <c r="W574" s="13"/>
      <c r="X574" s="13"/>
    </row>
    <row r="575" spans="4:24" ht="12.75" customHeight="1">
      <c r="D575" s="10"/>
      <c r="E575" s="10"/>
      <c r="F575" s="10"/>
      <c r="G575" s="10"/>
      <c r="H575" s="10"/>
      <c r="I575" s="10"/>
      <c r="J575" s="10"/>
      <c r="K575" s="10"/>
      <c r="L575" s="10"/>
      <c r="M575" s="13"/>
      <c r="N575" s="13"/>
      <c r="O575" s="13"/>
      <c r="P575" s="13"/>
      <c r="Q575" s="13"/>
      <c r="R575" s="13"/>
      <c r="S575" s="13"/>
      <c r="T575" s="13"/>
      <c r="U575" s="13"/>
      <c r="V575" s="13"/>
      <c r="W575" s="13"/>
      <c r="X575" s="13"/>
    </row>
    <row r="576" spans="4:24" ht="12.75" customHeight="1">
      <c r="D576" s="10"/>
      <c r="E576" s="10"/>
      <c r="F576" s="10"/>
      <c r="G576" s="10"/>
      <c r="H576" s="10"/>
      <c r="I576" s="10"/>
      <c r="J576" s="10"/>
      <c r="K576" s="10"/>
      <c r="L576" s="10"/>
      <c r="M576" s="13"/>
      <c r="N576" s="13"/>
      <c r="O576" s="13"/>
      <c r="P576" s="13"/>
      <c r="Q576" s="13"/>
      <c r="R576" s="13"/>
      <c r="S576" s="13"/>
      <c r="T576" s="13"/>
      <c r="U576" s="13"/>
      <c r="V576" s="13"/>
      <c r="W576" s="13"/>
      <c r="X576" s="13"/>
    </row>
    <row r="577" spans="4:24" ht="12.75" customHeight="1">
      <c r="D577" s="10"/>
      <c r="E577" s="10"/>
      <c r="F577" s="10"/>
      <c r="G577" s="10"/>
      <c r="H577" s="10"/>
      <c r="I577" s="10"/>
      <c r="J577" s="10"/>
      <c r="K577" s="10"/>
      <c r="L577" s="10"/>
      <c r="M577" s="13"/>
      <c r="N577" s="13"/>
      <c r="O577" s="13"/>
      <c r="P577" s="13"/>
      <c r="Q577" s="13"/>
      <c r="R577" s="13"/>
      <c r="S577" s="13"/>
      <c r="T577" s="13"/>
      <c r="U577" s="13"/>
      <c r="V577" s="13"/>
      <c r="W577" s="13"/>
      <c r="X577" s="13"/>
    </row>
    <row r="578" spans="4:24" ht="12.75" customHeight="1">
      <c r="D578" s="10"/>
      <c r="E578" s="10"/>
      <c r="F578" s="10"/>
      <c r="G578" s="10"/>
      <c r="H578" s="10"/>
      <c r="I578" s="10"/>
      <c r="J578" s="10"/>
      <c r="K578" s="10"/>
      <c r="L578" s="10"/>
      <c r="M578" s="13"/>
      <c r="N578" s="13"/>
      <c r="O578" s="13"/>
      <c r="P578" s="13"/>
      <c r="Q578" s="13"/>
      <c r="R578" s="13"/>
      <c r="S578" s="13"/>
      <c r="T578" s="13"/>
      <c r="U578" s="13"/>
      <c r="V578" s="13"/>
      <c r="W578" s="13"/>
      <c r="X578" s="13"/>
    </row>
    <row r="579" spans="4:24" ht="12.75" customHeight="1">
      <c r="D579" s="10"/>
      <c r="E579" s="10"/>
      <c r="F579" s="10"/>
      <c r="G579" s="10"/>
      <c r="H579" s="10"/>
      <c r="I579" s="10"/>
      <c r="J579" s="10"/>
      <c r="K579" s="10"/>
      <c r="L579" s="10"/>
      <c r="M579" s="13"/>
      <c r="N579" s="13"/>
      <c r="O579" s="13"/>
      <c r="P579" s="13"/>
      <c r="Q579" s="13"/>
      <c r="R579" s="13"/>
      <c r="S579" s="13"/>
      <c r="T579" s="13"/>
      <c r="U579" s="13"/>
      <c r="V579" s="13"/>
      <c r="W579" s="13"/>
      <c r="X579" s="13"/>
    </row>
    <row r="580" spans="4:24" ht="12.75" customHeight="1">
      <c r="D580" s="10"/>
      <c r="E580" s="10"/>
      <c r="F580" s="10"/>
      <c r="G580" s="10"/>
      <c r="H580" s="10"/>
      <c r="I580" s="10"/>
      <c r="J580" s="10"/>
      <c r="K580" s="10"/>
      <c r="L580" s="10"/>
      <c r="M580" s="13"/>
      <c r="N580" s="13"/>
      <c r="O580" s="13"/>
      <c r="P580" s="13"/>
      <c r="Q580" s="13"/>
      <c r="R580" s="13"/>
      <c r="S580" s="13"/>
      <c r="T580" s="13"/>
      <c r="U580" s="13"/>
      <c r="V580" s="13"/>
      <c r="W580" s="13"/>
      <c r="X580" s="13"/>
    </row>
    <row r="581" spans="4:24" ht="12.75" customHeight="1">
      <c r="D581" s="10"/>
      <c r="E581" s="10"/>
      <c r="F581" s="10"/>
      <c r="G581" s="10"/>
      <c r="H581" s="10"/>
      <c r="I581" s="10"/>
      <c r="J581" s="10"/>
      <c r="K581" s="10"/>
      <c r="L581" s="10"/>
      <c r="M581" s="13"/>
      <c r="N581" s="13"/>
      <c r="O581" s="13"/>
      <c r="P581" s="13"/>
      <c r="Q581" s="13"/>
      <c r="R581" s="13"/>
      <c r="S581" s="13"/>
      <c r="T581" s="13"/>
      <c r="U581" s="13"/>
      <c r="V581" s="13"/>
      <c r="W581" s="13"/>
      <c r="X581" s="13"/>
    </row>
    <row r="582" spans="4:24" ht="12.75" customHeight="1">
      <c r="D582" s="10"/>
      <c r="E582" s="10"/>
      <c r="F582" s="10"/>
      <c r="G582" s="10"/>
      <c r="H582" s="10"/>
      <c r="I582" s="10"/>
      <c r="J582" s="10"/>
      <c r="K582" s="10"/>
      <c r="L582" s="10"/>
      <c r="M582" s="13"/>
      <c r="N582" s="13"/>
      <c r="O582" s="13"/>
      <c r="P582" s="13"/>
      <c r="Q582" s="13"/>
      <c r="R582" s="13"/>
      <c r="S582" s="13"/>
      <c r="T582" s="13"/>
      <c r="U582" s="13"/>
      <c r="V582" s="13"/>
      <c r="W582" s="13"/>
      <c r="X582" s="13"/>
    </row>
    <row r="583" spans="4:24" ht="12.75" customHeight="1">
      <c r="D583" s="10"/>
      <c r="E583" s="10"/>
      <c r="F583" s="10"/>
      <c r="G583" s="10"/>
      <c r="H583" s="10"/>
      <c r="I583" s="10"/>
      <c r="J583" s="10"/>
      <c r="K583" s="10"/>
      <c r="L583" s="10"/>
      <c r="M583" s="13"/>
      <c r="N583" s="13"/>
      <c r="O583" s="13"/>
      <c r="P583" s="13"/>
      <c r="Q583" s="13"/>
      <c r="R583" s="13"/>
      <c r="S583" s="13"/>
      <c r="T583" s="13"/>
      <c r="U583" s="13"/>
      <c r="V583" s="13"/>
      <c r="W583" s="13"/>
      <c r="X583" s="13"/>
    </row>
    <row r="584" spans="4:24" ht="12.75" customHeight="1">
      <c r="D584" s="10"/>
      <c r="E584" s="10"/>
      <c r="F584" s="10"/>
      <c r="G584" s="10"/>
      <c r="H584" s="10"/>
      <c r="I584" s="10"/>
      <c r="J584" s="10"/>
      <c r="K584" s="10"/>
      <c r="L584" s="10"/>
      <c r="M584" s="13"/>
      <c r="N584" s="13"/>
      <c r="O584" s="13"/>
      <c r="P584" s="13"/>
      <c r="Q584" s="13"/>
      <c r="R584" s="13"/>
      <c r="S584" s="13"/>
      <c r="T584" s="13"/>
      <c r="U584" s="13"/>
      <c r="V584" s="13"/>
      <c r="W584" s="13"/>
      <c r="X584" s="13"/>
    </row>
    <row r="585" spans="4:24" ht="12.75" customHeight="1">
      <c r="D585" s="10"/>
      <c r="E585" s="10"/>
      <c r="F585" s="10"/>
      <c r="G585" s="10"/>
      <c r="H585" s="10"/>
      <c r="I585" s="10"/>
      <c r="J585" s="10"/>
      <c r="K585" s="10"/>
      <c r="L585" s="10"/>
      <c r="M585" s="13"/>
      <c r="N585" s="13"/>
      <c r="O585" s="13"/>
      <c r="P585" s="13"/>
      <c r="Q585" s="13"/>
      <c r="R585" s="13"/>
      <c r="S585" s="13"/>
      <c r="T585" s="13"/>
      <c r="U585" s="13"/>
      <c r="V585" s="13"/>
      <c r="W585" s="13"/>
      <c r="X585" s="13"/>
    </row>
    <row r="586" spans="4:24" ht="12.75" customHeight="1">
      <c r="D586" s="10"/>
      <c r="E586" s="10"/>
      <c r="F586" s="10"/>
      <c r="G586" s="10"/>
      <c r="H586" s="10"/>
      <c r="I586" s="10"/>
      <c r="J586" s="10"/>
      <c r="K586" s="10"/>
      <c r="L586" s="10"/>
      <c r="M586" s="13"/>
      <c r="N586" s="13"/>
      <c r="O586" s="13"/>
      <c r="P586" s="13"/>
      <c r="Q586" s="13"/>
      <c r="R586" s="13"/>
      <c r="S586" s="13"/>
      <c r="T586" s="13"/>
      <c r="U586" s="13"/>
      <c r="V586" s="13"/>
      <c r="W586" s="13"/>
      <c r="X586" s="13"/>
    </row>
    <row r="587" spans="4:24" ht="12.75" customHeight="1">
      <c r="D587" s="10"/>
      <c r="E587" s="10"/>
      <c r="F587" s="10"/>
      <c r="G587" s="10"/>
      <c r="H587" s="10"/>
      <c r="I587" s="10"/>
      <c r="J587" s="10"/>
      <c r="K587" s="10"/>
      <c r="L587" s="10"/>
      <c r="M587" s="13"/>
      <c r="N587" s="13"/>
      <c r="O587" s="13"/>
      <c r="P587" s="13"/>
      <c r="Q587" s="13"/>
      <c r="R587" s="13"/>
      <c r="S587" s="13"/>
      <c r="T587" s="13"/>
      <c r="U587" s="13"/>
      <c r="V587" s="13"/>
      <c r="W587" s="13"/>
      <c r="X587" s="13"/>
    </row>
    <row r="588" spans="4:24" ht="12.75" customHeight="1">
      <c r="D588" s="10"/>
      <c r="E588" s="10"/>
      <c r="F588" s="10"/>
      <c r="G588" s="10"/>
      <c r="H588" s="10"/>
      <c r="I588" s="10"/>
      <c r="J588" s="10"/>
      <c r="K588" s="10"/>
      <c r="L588" s="10"/>
      <c r="M588" s="13"/>
      <c r="N588" s="13"/>
      <c r="O588" s="13"/>
      <c r="P588" s="13"/>
      <c r="Q588" s="13"/>
      <c r="R588" s="13"/>
      <c r="S588" s="13"/>
      <c r="T588" s="13"/>
      <c r="U588" s="13"/>
      <c r="V588" s="13"/>
      <c r="W588" s="13"/>
      <c r="X588" s="13"/>
    </row>
    <row r="589" spans="4:24" ht="12.75" customHeight="1">
      <c r="D589" s="10"/>
      <c r="E589" s="10"/>
      <c r="F589" s="10"/>
      <c r="G589" s="10"/>
      <c r="H589" s="10"/>
      <c r="I589" s="10"/>
      <c r="J589" s="10"/>
      <c r="K589" s="10"/>
      <c r="L589" s="10"/>
      <c r="M589" s="13"/>
      <c r="N589" s="13"/>
      <c r="O589" s="13"/>
      <c r="P589" s="13"/>
      <c r="Q589" s="13"/>
      <c r="R589" s="13"/>
      <c r="S589" s="13"/>
      <c r="T589" s="13"/>
      <c r="U589" s="13"/>
      <c r="V589" s="13"/>
      <c r="W589" s="13"/>
      <c r="X589" s="13"/>
    </row>
    <row r="590" spans="4:24" ht="12.75" customHeight="1">
      <c r="D590" s="10"/>
      <c r="E590" s="10"/>
      <c r="F590" s="10"/>
      <c r="G590" s="10"/>
      <c r="H590" s="10"/>
      <c r="I590" s="10"/>
      <c r="J590" s="10"/>
      <c r="K590" s="10"/>
      <c r="L590" s="10"/>
      <c r="M590" s="13"/>
      <c r="N590" s="13"/>
      <c r="O590" s="13"/>
      <c r="P590" s="13"/>
      <c r="Q590" s="13"/>
      <c r="R590" s="13"/>
      <c r="S590" s="13"/>
      <c r="T590" s="13"/>
      <c r="U590" s="13"/>
      <c r="V590" s="13"/>
      <c r="W590" s="13"/>
      <c r="X590" s="13"/>
    </row>
    <row r="591" spans="4:24" ht="12.75" customHeight="1">
      <c r="D591" s="10"/>
      <c r="E591" s="10"/>
      <c r="F591" s="10"/>
      <c r="G591" s="10"/>
      <c r="H591" s="10"/>
      <c r="I591" s="10"/>
      <c r="J591" s="10"/>
      <c r="K591" s="10"/>
      <c r="L591" s="10"/>
      <c r="M591" s="13"/>
      <c r="N591" s="13"/>
      <c r="O591" s="13"/>
      <c r="P591" s="13"/>
      <c r="Q591" s="13"/>
      <c r="R591" s="13"/>
      <c r="S591" s="13"/>
      <c r="T591" s="13"/>
      <c r="U591" s="13"/>
      <c r="V591" s="13"/>
      <c r="W591" s="13"/>
      <c r="X591" s="13"/>
    </row>
    <row r="592" spans="4:24" ht="12.75" customHeight="1">
      <c r="D592" s="10"/>
      <c r="E592" s="10"/>
      <c r="F592" s="10"/>
      <c r="G592" s="10"/>
      <c r="H592" s="10"/>
      <c r="I592" s="10"/>
      <c r="J592" s="10"/>
      <c r="K592" s="10"/>
      <c r="L592" s="10"/>
      <c r="M592" s="13"/>
      <c r="N592" s="13"/>
      <c r="O592" s="13"/>
      <c r="P592" s="13"/>
      <c r="Q592" s="13"/>
      <c r="R592" s="13"/>
      <c r="S592" s="13"/>
      <c r="T592" s="13"/>
      <c r="U592" s="13"/>
      <c r="V592" s="13"/>
      <c r="W592" s="13"/>
      <c r="X592" s="13"/>
    </row>
    <row r="593" spans="4:24" ht="12.75" customHeight="1">
      <c r="D593" s="10"/>
      <c r="E593" s="10"/>
      <c r="F593" s="10"/>
      <c r="G593" s="10"/>
      <c r="H593" s="10"/>
      <c r="I593" s="10"/>
      <c r="J593" s="10"/>
      <c r="K593" s="10"/>
      <c r="L593" s="10"/>
      <c r="M593" s="13"/>
      <c r="N593" s="13"/>
      <c r="O593" s="13"/>
      <c r="P593" s="13"/>
      <c r="Q593" s="13"/>
      <c r="R593" s="13"/>
      <c r="S593" s="13"/>
      <c r="T593" s="13"/>
      <c r="U593" s="13"/>
      <c r="V593" s="13"/>
      <c r="W593" s="13"/>
      <c r="X593" s="13"/>
    </row>
    <row r="594" spans="4:24" ht="12.75" customHeight="1">
      <c r="D594" s="10"/>
      <c r="E594" s="10"/>
      <c r="F594" s="10"/>
      <c r="G594" s="10"/>
      <c r="H594" s="10"/>
      <c r="I594" s="10"/>
      <c r="J594" s="10"/>
      <c r="K594" s="10"/>
      <c r="L594" s="10"/>
      <c r="M594" s="13"/>
      <c r="N594" s="13"/>
      <c r="O594" s="13"/>
      <c r="P594" s="13"/>
      <c r="Q594" s="13"/>
      <c r="R594" s="13"/>
      <c r="S594" s="13"/>
      <c r="T594" s="13"/>
      <c r="U594" s="13"/>
      <c r="V594" s="13"/>
      <c r="W594" s="13"/>
      <c r="X594" s="13"/>
    </row>
    <row r="595" spans="4:24" ht="12.75" customHeight="1">
      <c r="D595" s="10"/>
      <c r="E595" s="10"/>
      <c r="F595" s="10"/>
      <c r="G595" s="10"/>
      <c r="H595" s="10"/>
      <c r="I595" s="10"/>
      <c r="J595" s="10"/>
      <c r="K595" s="10"/>
      <c r="L595" s="10"/>
      <c r="M595" s="13"/>
      <c r="N595" s="13"/>
      <c r="O595" s="13"/>
      <c r="P595" s="13"/>
      <c r="Q595" s="13"/>
      <c r="R595" s="13"/>
      <c r="S595" s="13"/>
      <c r="T595" s="13"/>
      <c r="U595" s="13"/>
      <c r="V595" s="13"/>
      <c r="W595" s="13"/>
      <c r="X595" s="13"/>
    </row>
    <row r="596" spans="4:24" ht="12.75" customHeight="1">
      <c r="D596" s="10"/>
      <c r="E596" s="10"/>
      <c r="F596" s="10"/>
      <c r="G596" s="10"/>
      <c r="H596" s="10"/>
      <c r="I596" s="10"/>
      <c r="J596" s="10"/>
      <c r="K596" s="10"/>
      <c r="L596" s="10"/>
      <c r="M596" s="13"/>
      <c r="N596" s="13"/>
      <c r="O596" s="13"/>
      <c r="P596" s="13"/>
      <c r="Q596" s="13"/>
      <c r="R596" s="13"/>
      <c r="S596" s="13"/>
      <c r="T596" s="13"/>
      <c r="U596" s="13"/>
      <c r="V596" s="13"/>
      <c r="W596" s="13"/>
      <c r="X596" s="13"/>
    </row>
    <row r="597" spans="4:24" ht="12.75" customHeight="1">
      <c r="D597" s="10"/>
      <c r="E597" s="10"/>
      <c r="F597" s="10"/>
      <c r="G597" s="10"/>
      <c r="H597" s="10"/>
      <c r="I597" s="10"/>
      <c r="J597" s="10"/>
      <c r="K597" s="10"/>
      <c r="L597" s="10"/>
      <c r="M597" s="13"/>
      <c r="N597" s="13"/>
      <c r="O597" s="13"/>
      <c r="P597" s="13"/>
      <c r="Q597" s="13"/>
      <c r="R597" s="13"/>
      <c r="S597" s="13"/>
      <c r="T597" s="13"/>
      <c r="U597" s="13"/>
      <c r="V597" s="13"/>
      <c r="W597" s="13"/>
      <c r="X597" s="13"/>
    </row>
    <row r="598" spans="4:24" ht="12.75" customHeight="1">
      <c r="D598" s="13"/>
      <c r="E598" s="13"/>
      <c r="F598" s="13"/>
      <c r="G598" s="13"/>
      <c r="H598" s="13"/>
      <c r="I598" s="13"/>
      <c r="J598" s="13"/>
      <c r="K598" s="13"/>
      <c r="L598" s="13"/>
      <c r="M598" s="13"/>
      <c r="N598" s="13"/>
      <c r="O598" s="13"/>
      <c r="P598" s="13"/>
      <c r="Q598" s="13"/>
      <c r="R598" s="13"/>
      <c r="S598" s="13"/>
      <c r="T598" s="13"/>
      <c r="U598" s="13"/>
      <c r="V598" s="13"/>
      <c r="W598" s="13"/>
      <c r="X598" s="13"/>
    </row>
    <row r="599" spans="4:24" ht="12.75" customHeight="1">
      <c r="D599" s="13"/>
      <c r="E599" s="13"/>
      <c r="F599" s="13"/>
      <c r="G599" s="13"/>
      <c r="H599" s="13"/>
      <c r="I599" s="13"/>
      <c r="J599" s="13"/>
      <c r="K599" s="13"/>
      <c r="L599" s="13"/>
      <c r="M599" s="13"/>
      <c r="N599" s="13"/>
      <c r="O599" s="13"/>
      <c r="P599" s="13"/>
      <c r="Q599" s="13"/>
      <c r="R599" s="13"/>
      <c r="S599" s="13"/>
      <c r="T599" s="13"/>
      <c r="U599" s="13"/>
      <c r="V599" s="13"/>
      <c r="W599" s="13"/>
      <c r="X599" s="13"/>
    </row>
    <row r="600" spans="4:24" ht="12.75" customHeight="1">
      <c r="D600" s="13"/>
      <c r="E600" s="13"/>
      <c r="F600" s="13"/>
      <c r="G600" s="13"/>
      <c r="H600" s="13"/>
      <c r="I600" s="13"/>
      <c r="J600" s="13"/>
      <c r="K600" s="13"/>
      <c r="L600" s="13"/>
      <c r="M600" s="13"/>
      <c r="N600" s="13"/>
      <c r="O600" s="13"/>
      <c r="P600" s="13"/>
      <c r="Q600" s="13"/>
      <c r="R600" s="13"/>
      <c r="S600" s="13"/>
      <c r="T600" s="13"/>
      <c r="U600" s="13"/>
      <c r="V600" s="13"/>
      <c r="W600" s="13"/>
      <c r="X600" s="13"/>
    </row>
    <row r="601" spans="4:24" ht="12.75" customHeight="1">
      <c r="D601" s="13"/>
      <c r="E601" s="13"/>
      <c r="F601" s="13"/>
      <c r="G601" s="13"/>
      <c r="H601" s="13"/>
      <c r="I601" s="13"/>
      <c r="J601" s="13"/>
      <c r="K601" s="13"/>
      <c r="L601" s="13"/>
      <c r="M601" s="13"/>
      <c r="N601" s="13"/>
      <c r="O601" s="13"/>
      <c r="P601" s="13"/>
      <c r="Q601" s="13"/>
      <c r="R601" s="13"/>
      <c r="S601" s="13"/>
      <c r="T601" s="13"/>
      <c r="U601" s="13"/>
      <c r="V601" s="13"/>
      <c r="W601" s="13"/>
      <c r="X601" s="13"/>
    </row>
    <row r="602" spans="4:24" ht="12.75" customHeight="1">
      <c r="D602" s="13"/>
      <c r="E602" s="13"/>
      <c r="F602" s="13"/>
      <c r="G602" s="13"/>
      <c r="H602" s="13"/>
      <c r="I602" s="13"/>
      <c r="J602" s="13"/>
      <c r="K602" s="13"/>
      <c r="L602" s="13"/>
      <c r="M602" s="13"/>
      <c r="N602" s="13"/>
      <c r="O602" s="13"/>
      <c r="P602" s="13"/>
      <c r="Q602" s="13"/>
      <c r="R602" s="13"/>
      <c r="S602" s="13"/>
      <c r="T602" s="13"/>
      <c r="U602" s="13"/>
      <c r="V602" s="13"/>
      <c r="W602" s="13"/>
      <c r="X602" s="13"/>
    </row>
    <row r="603" spans="4:24" ht="12.75" customHeight="1">
      <c r="D603" s="13"/>
      <c r="E603" s="13"/>
      <c r="F603" s="13"/>
      <c r="G603" s="13"/>
      <c r="H603" s="13"/>
      <c r="I603" s="13"/>
      <c r="J603" s="13"/>
      <c r="K603" s="13"/>
      <c r="L603" s="13"/>
      <c r="M603" s="13"/>
      <c r="N603" s="13"/>
      <c r="O603" s="13"/>
      <c r="P603" s="13"/>
      <c r="Q603" s="13"/>
      <c r="R603" s="13"/>
      <c r="S603" s="13"/>
      <c r="T603" s="13"/>
      <c r="U603" s="13"/>
      <c r="V603" s="13"/>
      <c r="W603" s="13"/>
      <c r="X603" s="13"/>
    </row>
    <row r="604" spans="4:24" ht="12.75" customHeight="1">
      <c r="D604" s="13"/>
      <c r="E604" s="13"/>
      <c r="F604" s="13"/>
      <c r="G604" s="13"/>
      <c r="H604" s="13"/>
      <c r="I604" s="13"/>
      <c r="J604" s="13"/>
      <c r="K604" s="13"/>
      <c r="L604" s="13"/>
      <c r="M604" s="13"/>
      <c r="N604" s="13"/>
      <c r="O604" s="13"/>
      <c r="P604" s="13"/>
      <c r="Q604" s="13"/>
      <c r="R604" s="13"/>
      <c r="S604" s="13"/>
      <c r="T604" s="13"/>
      <c r="U604" s="13"/>
      <c r="V604" s="13"/>
      <c r="W604" s="13"/>
      <c r="X604" s="13"/>
    </row>
    <row r="605" spans="4:24" ht="12.75" customHeight="1">
      <c r="D605" s="13"/>
      <c r="E605" s="13"/>
      <c r="F605" s="13"/>
      <c r="G605" s="13"/>
      <c r="H605" s="13"/>
      <c r="I605" s="13"/>
      <c r="J605" s="13"/>
      <c r="K605" s="13"/>
      <c r="L605" s="13"/>
      <c r="M605" s="13"/>
      <c r="N605" s="13"/>
      <c r="O605" s="13"/>
      <c r="P605" s="13"/>
      <c r="Q605" s="13"/>
      <c r="R605" s="13"/>
      <c r="S605" s="13"/>
      <c r="T605" s="13"/>
      <c r="U605" s="13"/>
      <c r="V605" s="13"/>
      <c r="W605" s="13"/>
      <c r="X605" s="13"/>
    </row>
    <row r="606" spans="4:24" ht="12.75" customHeight="1">
      <c r="D606" s="13"/>
      <c r="E606" s="13"/>
      <c r="F606" s="13"/>
      <c r="G606" s="13"/>
      <c r="H606" s="13"/>
      <c r="I606" s="13"/>
      <c r="J606" s="13"/>
      <c r="K606" s="13"/>
      <c r="L606" s="13"/>
      <c r="M606" s="13"/>
      <c r="N606" s="13"/>
      <c r="O606" s="13"/>
      <c r="P606" s="13"/>
      <c r="Q606" s="13"/>
      <c r="R606" s="13"/>
      <c r="S606" s="13"/>
      <c r="T606" s="13"/>
      <c r="U606" s="13"/>
      <c r="V606" s="13"/>
      <c r="W606" s="13"/>
      <c r="X606" s="13"/>
    </row>
    <row r="607" spans="4:24" ht="12.75" customHeight="1">
      <c r="D607" s="13"/>
      <c r="E607" s="13"/>
      <c r="F607" s="13"/>
      <c r="G607" s="13"/>
      <c r="H607" s="13"/>
      <c r="I607" s="13"/>
      <c r="J607" s="13"/>
      <c r="K607" s="13"/>
      <c r="L607" s="13"/>
      <c r="M607" s="13"/>
      <c r="N607" s="13"/>
      <c r="O607" s="13"/>
      <c r="P607" s="13"/>
      <c r="Q607" s="13"/>
      <c r="R607" s="13"/>
      <c r="S607" s="13"/>
      <c r="T607" s="13"/>
      <c r="U607" s="13"/>
      <c r="V607" s="13"/>
      <c r="W607" s="13"/>
      <c r="X607" s="13"/>
    </row>
    <row r="608" spans="4:24" ht="12.75" customHeight="1">
      <c r="D608" s="13"/>
      <c r="E608" s="13"/>
      <c r="F608" s="13"/>
      <c r="G608" s="13"/>
      <c r="H608" s="13"/>
      <c r="I608" s="13"/>
      <c r="J608" s="13"/>
      <c r="K608" s="13"/>
      <c r="L608" s="13"/>
      <c r="M608" s="13"/>
      <c r="N608" s="13"/>
      <c r="O608" s="13"/>
      <c r="P608" s="13"/>
      <c r="Q608" s="13"/>
      <c r="R608" s="13"/>
      <c r="S608" s="13"/>
      <c r="T608" s="13"/>
      <c r="U608" s="13"/>
      <c r="V608" s="13"/>
      <c r="W608" s="13"/>
      <c r="X608" s="13"/>
    </row>
    <row r="609" spans="4:24" ht="12.75" customHeight="1">
      <c r="D609" s="13"/>
      <c r="E609" s="13"/>
      <c r="F609" s="13"/>
      <c r="G609" s="13"/>
      <c r="H609" s="13"/>
      <c r="I609" s="13"/>
      <c r="J609" s="13"/>
      <c r="K609" s="13"/>
      <c r="L609" s="13"/>
      <c r="M609" s="13"/>
      <c r="N609" s="13"/>
      <c r="O609" s="13"/>
      <c r="P609" s="13"/>
      <c r="Q609" s="13"/>
      <c r="R609" s="13"/>
      <c r="S609" s="13"/>
      <c r="T609" s="13"/>
      <c r="U609" s="13"/>
      <c r="V609" s="13"/>
      <c r="W609" s="13"/>
      <c r="X609" s="13"/>
    </row>
    <row r="610" spans="4:24" ht="12.75" customHeight="1">
      <c r="D610" s="13"/>
      <c r="E610" s="13"/>
      <c r="F610" s="13"/>
      <c r="G610" s="13"/>
      <c r="H610" s="13"/>
      <c r="I610" s="13"/>
      <c r="J610" s="13"/>
      <c r="K610" s="13"/>
      <c r="L610" s="13"/>
      <c r="M610" s="13"/>
      <c r="N610" s="13"/>
      <c r="O610" s="13"/>
      <c r="P610" s="13"/>
      <c r="Q610" s="13"/>
      <c r="R610" s="13"/>
      <c r="S610" s="13"/>
      <c r="T610" s="13"/>
      <c r="U610" s="13"/>
      <c r="V610" s="13"/>
      <c r="W610" s="13"/>
      <c r="X610" s="13"/>
    </row>
    <row r="611" spans="4:24" ht="12.75" customHeight="1">
      <c r="D611" s="13"/>
      <c r="E611" s="13"/>
      <c r="F611" s="13"/>
      <c r="G611" s="13"/>
      <c r="H611" s="13"/>
      <c r="I611" s="13"/>
      <c r="J611" s="13"/>
      <c r="K611" s="13"/>
      <c r="L611" s="13"/>
      <c r="M611" s="13"/>
      <c r="N611" s="13"/>
      <c r="O611" s="13"/>
      <c r="P611" s="13"/>
      <c r="Q611" s="13"/>
      <c r="R611" s="13"/>
      <c r="S611" s="13"/>
      <c r="T611" s="13"/>
      <c r="U611" s="13"/>
      <c r="V611" s="13"/>
      <c r="W611" s="13"/>
      <c r="X611" s="13"/>
    </row>
    <row r="612" spans="4:24" ht="12.75" customHeight="1">
      <c r="D612" s="13"/>
      <c r="E612" s="13"/>
      <c r="F612" s="13"/>
      <c r="G612" s="13"/>
      <c r="H612" s="13"/>
      <c r="I612" s="13"/>
      <c r="J612" s="13"/>
      <c r="K612" s="13"/>
      <c r="L612" s="13"/>
      <c r="M612" s="13"/>
      <c r="N612" s="13"/>
      <c r="O612" s="13"/>
      <c r="P612" s="13"/>
      <c r="Q612" s="13"/>
      <c r="R612" s="13"/>
      <c r="S612" s="13"/>
      <c r="T612" s="13"/>
      <c r="U612" s="13"/>
      <c r="V612" s="13"/>
      <c r="W612" s="13"/>
      <c r="X612" s="13"/>
    </row>
    <row r="613" spans="4:24" ht="12.75" customHeight="1">
      <c r="D613" s="13"/>
      <c r="E613" s="13"/>
      <c r="F613" s="13"/>
      <c r="G613" s="13"/>
      <c r="H613" s="13"/>
      <c r="I613" s="13"/>
      <c r="J613" s="13"/>
      <c r="K613" s="13"/>
      <c r="L613" s="13"/>
      <c r="M613" s="13"/>
      <c r="N613" s="13"/>
      <c r="O613" s="13"/>
      <c r="P613" s="13"/>
      <c r="Q613" s="13"/>
      <c r="R613" s="13"/>
      <c r="S613" s="13"/>
      <c r="T613" s="13"/>
      <c r="U613" s="13"/>
      <c r="V613" s="13"/>
      <c r="W613" s="13"/>
      <c r="X613" s="13"/>
    </row>
    <row r="614" spans="4:24" ht="12.75" customHeight="1">
      <c r="D614" s="13"/>
      <c r="E614" s="13"/>
      <c r="F614" s="13"/>
      <c r="G614" s="13"/>
      <c r="H614" s="13"/>
      <c r="I614" s="13"/>
      <c r="J614" s="13"/>
      <c r="K614" s="13"/>
      <c r="L614" s="13"/>
      <c r="M614" s="13"/>
      <c r="N614" s="13"/>
      <c r="O614" s="13"/>
      <c r="P614" s="13"/>
      <c r="Q614" s="13"/>
      <c r="R614" s="13"/>
      <c r="S614" s="13"/>
      <c r="T614" s="13"/>
      <c r="U614" s="13"/>
      <c r="V614" s="13"/>
      <c r="W614" s="13"/>
      <c r="X614" s="13"/>
    </row>
    <row r="615" spans="4:24" ht="12.75" customHeight="1">
      <c r="D615" s="13"/>
      <c r="E615" s="13"/>
      <c r="F615" s="13"/>
      <c r="G615" s="13"/>
      <c r="H615" s="13"/>
      <c r="I615" s="13"/>
      <c r="J615" s="13"/>
      <c r="K615" s="13"/>
      <c r="L615" s="13"/>
      <c r="M615" s="13"/>
      <c r="N615" s="13"/>
      <c r="O615" s="13"/>
      <c r="P615" s="13"/>
      <c r="Q615" s="13"/>
      <c r="R615" s="13"/>
      <c r="S615" s="13"/>
      <c r="T615" s="13"/>
      <c r="U615" s="13"/>
      <c r="V615" s="13"/>
      <c r="W615" s="13"/>
      <c r="X615" s="13"/>
    </row>
    <row r="616" spans="4:24" ht="12.75" customHeight="1">
      <c r="D616" s="13"/>
      <c r="E616" s="13"/>
      <c r="F616" s="13"/>
      <c r="G616" s="13"/>
      <c r="H616" s="13"/>
      <c r="I616" s="13"/>
      <c r="J616" s="13"/>
      <c r="K616" s="13"/>
      <c r="L616" s="13"/>
      <c r="M616" s="13"/>
      <c r="N616" s="13"/>
      <c r="O616" s="13"/>
      <c r="P616" s="13"/>
      <c r="Q616" s="13"/>
      <c r="R616" s="13"/>
      <c r="S616" s="13"/>
      <c r="T616" s="13"/>
      <c r="U616" s="13"/>
      <c r="V616" s="13"/>
      <c r="W616" s="13"/>
      <c r="X616" s="13"/>
    </row>
    <row r="617" spans="4:24" ht="12.75" customHeight="1">
      <c r="D617" s="13"/>
      <c r="E617" s="13"/>
      <c r="F617" s="13"/>
      <c r="G617" s="13"/>
      <c r="H617" s="13"/>
      <c r="I617" s="13"/>
      <c r="J617" s="13"/>
      <c r="K617" s="13"/>
      <c r="L617" s="13"/>
      <c r="M617" s="13"/>
      <c r="N617" s="13"/>
      <c r="O617" s="13"/>
      <c r="P617" s="13"/>
      <c r="Q617" s="13"/>
      <c r="R617" s="13"/>
      <c r="S617" s="13"/>
      <c r="T617" s="13"/>
      <c r="U617" s="13"/>
      <c r="V617" s="13"/>
      <c r="W617" s="13"/>
      <c r="X617" s="13"/>
    </row>
    <row r="618" spans="4:24" ht="12.75" customHeight="1">
      <c r="D618" s="13"/>
      <c r="E618" s="13"/>
      <c r="F618" s="13"/>
      <c r="G618" s="13"/>
      <c r="H618" s="13"/>
      <c r="I618" s="13"/>
      <c r="J618" s="13"/>
      <c r="K618" s="13"/>
      <c r="L618" s="13"/>
      <c r="M618" s="13"/>
      <c r="N618" s="13"/>
      <c r="O618" s="13"/>
      <c r="P618" s="13"/>
      <c r="Q618" s="13"/>
      <c r="R618" s="13"/>
      <c r="S618" s="13"/>
      <c r="T618" s="13"/>
      <c r="U618" s="13"/>
      <c r="V618" s="13"/>
      <c r="W618" s="13"/>
      <c r="X618" s="13"/>
    </row>
    <row r="619" spans="4:24" ht="12.75" customHeight="1">
      <c r="D619" s="13"/>
      <c r="E619" s="13"/>
      <c r="F619" s="13"/>
      <c r="G619" s="13"/>
      <c r="H619" s="13"/>
      <c r="I619" s="13"/>
      <c r="J619" s="13"/>
      <c r="K619" s="13"/>
      <c r="L619" s="13"/>
      <c r="M619" s="13"/>
      <c r="N619" s="13"/>
      <c r="O619" s="13"/>
      <c r="P619" s="13"/>
      <c r="Q619" s="13"/>
      <c r="R619" s="13"/>
      <c r="S619" s="13"/>
      <c r="T619" s="13"/>
      <c r="U619" s="13"/>
      <c r="V619" s="13"/>
      <c r="W619" s="13"/>
      <c r="X619" s="13"/>
    </row>
    <row r="620" spans="4:24" ht="12.75" customHeight="1">
      <c r="D620" s="13"/>
      <c r="E620" s="13"/>
      <c r="F620" s="13"/>
      <c r="G620" s="13"/>
      <c r="H620" s="13"/>
      <c r="I620" s="13"/>
      <c r="J620" s="13"/>
      <c r="K620" s="13"/>
      <c r="L620" s="13"/>
      <c r="M620" s="13"/>
      <c r="N620" s="13"/>
      <c r="O620" s="13"/>
      <c r="P620" s="13"/>
      <c r="Q620" s="13"/>
      <c r="R620" s="13"/>
      <c r="S620" s="13"/>
      <c r="T620" s="13"/>
      <c r="U620" s="13"/>
      <c r="V620" s="13"/>
      <c r="W620" s="13"/>
      <c r="X620" s="13"/>
    </row>
    <row r="621" spans="4:24" ht="12.75" customHeight="1">
      <c r="D621" s="13"/>
      <c r="E621" s="13"/>
      <c r="F621" s="13"/>
      <c r="G621" s="13"/>
      <c r="H621" s="13"/>
      <c r="I621" s="13"/>
      <c r="J621" s="13"/>
      <c r="K621" s="13"/>
      <c r="L621" s="13"/>
      <c r="M621" s="13"/>
      <c r="N621" s="13"/>
      <c r="O621" s="13"/>
      <c r="P621" s="13"/>
      <c r="Q621" s="13"/>
      <c r="R621" s="13"/>
      <c r="S621" s="13"/>
      <c r="T621" s="13"/>
      <c r="U621" s="13"/>
      <c r="V621" s="13"/>
      <c r="W621" s="13"/>
      <c r="X621" s="13"/>
    </row>
    <row r="622" spans="4:24" ht="12.75" customHeight="1">
      <c r="D622" s="13"/>
      <c r="E622" s="13"/>
      <c r="F622" s="13"/>
      <c r="G622" s="13"/>
      <c r="H622" s="13"/>
      <c r="I622" s="13"/>
      <c r="J622" s="13"/>
      <c r="K622" s="13"/>
      <c r="L622" s="13"/>
      <c r="M622" s="13"/>
      <c r="N622" s="13"/>
      <c r="O622" s="13"/>
      <c r="P622" s="13"/>
      <c r="Q622" s="13"/>
      <c r="R622" s="13"/>
      <c r="S622" s="13"/>
      <c r="T622" s="13"/>
      <c r="U622" s="13"/>
      <c r="V622" s="13"/>
      <c r="W622" s="13"/>
      <c r="X622" s="13"/>
    </row>
    <row r="623" spans="4:24" ht="12.75" customHeight="1">
      <c r="D623" s="13"/>
      <c r="E623" s="13"/>
      <c r="F623" s="13"/>
      <c r="G623" s="13"/>
      <c r="H623" s="13"/>
      <c r="I623" s="13"/>
      <c r="J623" s="13"/>
      <c r="K623" s="13"/>
      <c r="L623" s="13"/>
      <c r="M623" s="13"/>
      <c r="N623" s="13"/>
      <c r="O623" s="13"/>
      <c r="P623" s="13"/>
      <c r="Q623" s="13"/>
      <c r="R623" s="13"/>
      <c r="S623" s="13"/>
      <c r="T623" s="13"/>
      <c r="U623" s="13"/>
      <c r="V623" s="13"/>
      <c r="W623" s="13"/>
      <c r="X623" s="13"/>
    </row>
    <row r="624" spans="4:24" ht="12.75" customHeight="1">
      <c r="D624" s="13"/>
      <c r="E624" s="13"/>
      <c r="F624" s="13"/>
      <c r="G624" s="13"/>
      <c r="H624" s="13"/>
      <c r="I624" s="13"/>
      <c r="J624" s="13"/>
      <c r="K624" s="13"/>
      <c r="L624" s="13"/>
      <c r="M624" s="13"/>
      <c r="N624" s="13"/>
      <c r="O624" s="13"/>
      <c r="P624" s="13"/>
      <c r="Q624" s="13"/>
      <c r="R624" s="13"/>
      <c r="S624" s="13"/>
      <c r="T624" s="13"/>
      <c r="U624" s="13"/>
      <c r="V624" s="13"/>
      <c r="W624" s="13"/>
      <c r="X624" s="13"/>
    </row>
    <row r="625" spans="4:24" ht="12.75" customHeight="1">
      <c r="D625" s="13"/>
      <c r="E625" s="13"/>
      <c r="F625" s="13"/>
      <c r="G625" s="13"/>
      <c r="H625" s="13"/>
      <c r="I625" s="13"/>
      <c r="J625" s="13"/>
      <c r="K625" s="13"/>
      <c r="L625" s="13"/>
      <c r="M625" s="13"/>
      <c r="N625" s="13"/>
      <c r="O625" s="13"/>
      <c r="P625" s="13"/>
      <c r="Q625" s="13"/>
      <c r="R625" s="13"/>
      <c r="S625" s="13"/>
      <c r="T625" s="13"/>
      <c r="U625" s="13"/>
      <c r="V625" s="13"/>
      <c r="W625" s="13"/>
      <c r="X625" s="13"/>
    </row>
    <row r="626" spans="4:24" ht="12.75" customHeight="1">
      <c r="D626" s="13"/>
      <c r="E626" s="13"/>
      <c r="F626" s="13"/>
      <c r="G626" s="13"/>
      <c r="H626" s="13"/>
      <c r="I626" s="13"/>
      <c r="J626" s="13"/>
      <c r="K626" s="13"/>
      <c r="L626" s="13"/>
      <c r="M626" s="13"/>
      <c r="N626" s="13"/>
      <c r="O626" s="13"/>
      <c r="P626" s="13"/>
      <c r="Q626" s="13"/>
      <c r="R626" s="13"/>
      <c r="S626" s="13"/>
      <c r="T626" s="13"/>
      <c r="U626" s="13"/>
      <c r="V626" s="13"/>
      <c r="W626" s="13"/>
      <c r="X626" s="13"/>
    </row>
    <row r="627" spans="4:24" ht="12.75" customHeight="1">
      <c r="D627" s="13"/>
      <c r="E627" s="13"/>
      <c r="F627" s="13"/>
      <c r="G627" s="13"/>
      <c r="H627" s="13"/>
      <c r="I627" s="13"/>
      <c r="J627" s="13"/>
      <c r="K627" s="13"/>
      <c r="L627" s="13"/>
      <c r="M627" s="13"/>
      <c r="N627" s="13"/>
      <c r="O627" s="13"/>
      <c r="P627" s="13"/>
      <c r="Q627" s="13"/>
      <c r="R627" s="13"/>
      <c r="S627" s="13"/>
      <c r="T627" s="13"/>
      <c r="U627" s="13"/>
      <c r="V627" s="13"/>
      <c r="W627" s="13"/>
      <c r="X627" s="13"/>
    </row>
    <row r="628" spans="4:24" ht="12.75" customHeight="1">
      <c r="D628" s="13"/>
      <c r="E628" s="13"/>
      <c r="F628" s="13"/>
      <c r="G628" s="13"/>
      <c r="H628" s="13"/>
      <c r="I628" s="13"/>
      <c r="J628" s="13"/>
      <c r="K628" s="13"/>
      <c r="L628" s="13"/>
      <c r="M628" s="13"/>
      <c r="N628" s="13"/>
      <c r="O628" s="13"/>
      <c r="P628" s="13"/>
      <c r="Q628" s="13"/>
      <c r="R628" s="13"/>
      <c r="S628" s="13"/>
      <c r="T628" s="13"/>
      <c r="U628" s="13"/>
      <c r="V628" s="13"/>
      <c r="W628" s="13"/>
      <c r="X628" s="13"/>
    </row>
    <row r="629" spans="4:24" ht="12.75" customHeight="1">
      <c r="D629" s="13"/>
      <c r="E629" s="13"/>
      <c r="F629" s="13"/>
      <c r="G629" s="13"/>
      <c r="H629" s="13"/>
      <c r="I629" s="13"/>
      <c r="J629" s="13"/>
      <c r="K629" s="13"/>
      <c r="L629" s="13"/>
      <c r="M629" s="13"/>
      <c r="N629" s="13"/>
      <c r="O629" s="13"/>
      <c r="P629" s="13"/>
      <c r="Q629" s="13"/>
      <c r="R629" s="13"/>
      <c r="S629" s="13"/>
      <c r="T629" s="13"/>
      <c r="U629" s="13"/>
      <c r="V629" s="13"/>
      <c r="W629" s="13"/>
      <c r="X629" s="13"/>
    </row>
    <row r="630" spans="4:24" ht="12.75" customHeight="1">
      <c r="D630" s="13"/>
      <c r="E630" s="13"/>
      <c r="F630" s="13"/>
      <c r="G630" s="13"/>
      <c r="H630" s="13"/>
      <c r="I630" s="13"/>
      <c r="J630" s="13"/>
      <c r="K630" s="13"/>
      <c r="L630" s="13"/>
      <c r="M630" s="13"/>
      <c r="N630" s="13"/>
      <c r="O630" s="13"/>
      <c r="P630" s="13"/>
      <c r="Q630" s="13"/>
      <c r="R630" s="13"/>
      <c r="S630" s="13"/>
      <c r="T630" s="13"/>
      <c r="U630" s="13"/>
      <c r="V630" s="13"/>
      <c r="W630" s="13"/>
      <c r="X630" s="13"/>
    </row>
    <row r="631" spans="4:24" ht="12.75" customHeight="1">
      <c r="D631" s="13"/>
      <c r="E631" s="13"/>
      <c r="F631" s="13"/>
      <c r="G631" s="13"/>
      <c r="H631" s="13"/>
      <c r="I631" s="13"/>
      <c r="J631" s="13"/>
      <c r="K631" s="13"/>
      <c r="L631" s="13"/>
      <c r="M631" s="13"/>
      <c r="N631" s="13"/>
      <c r="O631" s="13"/>
      <c r="P631" s="13"/>
      <c r="Q631" s="13"/>
      <c r="R631" s="13"/>
      <c r="S631" s="13"/>
      <c r="T631" s="13"/>
      <c r="U631" s="13"/>
      <c r="V631" s="13"/>
      <c r="W631" s="13"/>
      <c r="X631" s="13"/>
    </row>
    <row r="632" spans="4:24" ht="12.75" customHeight="1">
      <c r="D632" s="13"/>
      <c r="E632" s="13"/>
      <c r="F632" s="13"/>
      <c r="G632" s="13"/>
      <c r="H632" s="13"/>
      <c r="I632" s="13"/>
      <c r="J632" s="13"/>
      <c r="K632" s="13"/>
      <c r="L632" s="13"/>
      <c r="M632" s="13"/>
      <c r="N632" s="13"/>
      <c r="O632" s="13"/>
      <c r="P632" s="13"/>
      <c r="Q632" s="13"/>
      <c r="R632" s="13"/>
      <c r="S632" s="13"/>
      <c r="T632" s="13"/>
      <c r="U632" s="13"/>
      <c r="V632" s="13"/>
      <c r="W632" s="13"/>
      <c r="X632" s="13"/>
    </row>
    <row r="633" spans="4:24" ht="12.75" customHeight="1">
      <c r="D633" s="13"/>
      <c r="E633" s="13"/>
      <c r="F633" s="13"/>
      <c r="G633" s="13"/>
      <c r="H633" s="13"/>
      <c r="I633" s="13"/>
      <c r="J633" s="13"/>
      <c r="K633" s="13"/>
      <c r="L633" s="13"/>
      <c r="M633" s="13"/>
      <c r="N633" s="13"/>
      <c r="O633" s="13"/>
      <c r="P633" s="13"/>
      <c r="Q633" s="13"/>
      <c r="R633" s="13"/>
      <c r="S633" s="13"/>
      <c r="T633" s="13"/>
      <c r="U633" s="13"/>
      <c r="V633" s="13"/>
      <c r="W633" s="13"/>
      <c r="X633" s="13"/>
    </row>
    <row r="634" spans="4:24" ht="12.75" customHeight="1">
      <c r="D634" s="13"/>
      <c r="E634" s="13"/>
      <c r="F634" s="13"/>
      <c r="G634" s="13"/>
      <c r="H634" s="13"/>
      <c r="I634" s="13"/>
      <c r="J634" s="13"/>
      <c r="K634" s="13"/>
      <c r="L634" s="13"/>
      <c r="M634" s="13"/>
      <c r="N634" s="13"/>
      <c r="O634" s="13"/>
      <c r="P634" s="13"/>
      <c r="Q634" s="13"/>
      <c r="R634" s="13"/>
      <c r="S634" s="13"/>
      <c r="T634" s="13"/>
      <c r="U634" s="13"/>
      <c r="V634" s="13"/>
      <c r="W634" s="13"/>
      <c r="X634" s="13"/>
    </row>
    <row r="635" spans="4:24" ht="12.75" customHeight="1">
      <c r="D635" s="13"/>
      <c r="E635" s="13"/>
      <c r="F635" s="13"/>
      <c r="G635" s="13"/>
      <c r="H635" s="13"/>
      <c r="I635" s="13"/>
      <c r="J635" s="13"/>
      <c r="K635" s="13"/>
      <c r="L635" s="13"/>
      <c r="M635" s="13"/>
      <c r="N635" s="13"/>
      <c r="O635" s="13"/>
      <c r="P635" s="13"/>
      <c r="Q635" s="13"/>
      <c r="R635" s="13"/>
      <c r="S635" s="13"/>
      <c r="T635" s="13"/>
      <c r="U635" s="13"/>
      <c r="V635" s="13"/>
      <c r="W635" s="13"/>
      <c r="X635" s="13"/>
    </row>
    <row r="636" spans="4:24" ht="12.75" customHeight="1">
      <c r="D636" s="13"/>
      <c r="E636" s="13"/>
      <c r="F636" s="13"/>
      <c r="G636" s="13"/>
      <c r="H636" s="13"/>
      <c r="I636" s="13"/>
      <c r="J636" s="13"/>
      <c r="K636" s="13"/>
      <c r="L636" s="13"/>
      <c r="M636" s="13"/>
      <c r="N636" s="13"/>
      <c r="O636" s="13"/>
      <c r="P636" s="13"/>
      <c r="Q636" s="13"/>
      <c r="R636" s="13"/>
      <c r="S636" s="13"/>
      <c r="T636" s="13"/>
      <c r="U636" s="13"/>
      <c r="V636" s="13"/>
      <c r="W636" s="13"/>
      <c r="X636" s="13"/>
    </row>
    <row r="637" spans="4:24" ht="12.75" customHeight="1">
      <c r="D637" s="13"/>
      <c r="E637" s="13"/>
      <c r="F637" s="13"/>
      <c r="G637" s="13"/>
      <c r="H637" s="13"/>
      <c r="I637" s="13"/>
      <c r="J637" s="13"/>
      <c r="K637" s="13"/>
      <c r="L637" s="13"/>
      <c r="M637" s="13"/>
      <c r="N637" s="13"/>
      <c r="O637" s="13"/>
      <c r="P637" s="13"/>
      <c r="Q637" s="13"/>
      <c r="R637" s="13"/>
      <c r="S637" s="13"/>
      <c r="T637" s="13"/>
      <c r="U637" s="13"/>
      <c r="V637" s="13"/>
      <c r="W637" s="13"/>
      <c r="X637" s="13"/>
    </row>
    <row r="638" spans="4:24" ht="12.75" customHeight="1">
      <c r="D638" s="13"/>
      <c r="E638" s="13"/>
      <c r="F638" s="13"/>
      <c r="G638" s="13"/>
      <c r="H638" s="13"/>
      <c r="I638" s="13"/>
      <c r="J638" s="13"/>
      <c r="K638" s="13"/>
      <c r="L638" s="13"/>
      <c r="M638" s="13"/>
      <c r="N638" s="13"/>
      <c r="O638" s="13"/>
      <c r="P638" s="13"/>
      <c r="Q638" s="13"/>
      <c r="R638" s="13"/>
      <c r="S638" s="13"/>
      <c r="T638" s="13"/>
      <c r="U638" s="13"/>
      <c r="V638" s="13"/>
      <c r="W638" s="13"/>
      <c r="X638" s="13"/>
    </row>
    <row r="639" spans="4:24" ht="12.75" customHeight="1">
      <c r="D639" s="13"/>
      <c r="E639" s="13"/>
      <c r="F639" s="13"/>
      <c r="G639" s="13"/>
      <c r="H639" s="13"/>
      <c r="I639" s="13"/>
      <c r="J639" s="13"/>
      <c r="K639" s="13"/>
      <c r="L639" s="13"/>
      <c r="M639" s="13"/>
      <c r="N639" s="13"/>
      <c r="O639" s="13"/>
      <c r="P639" s="13"/>
      <c r="Q639" s="13"/>
      <c r="R639" s="13"/>
      <c r="S639" s="13"/>
      <c r="T639" s="13"/>
      <c r="U639" s="13"/>
      <c r="V639" s="13"/>
      <c r="W639" s="13"/>
      <c r="X639" s="13"/>
    </row>
    <row r="640" spans="4:24" ht="12.75" customHeight="1">
      <c r="D640" s="13"/>
      <c r="E640" s="13"/>
      <c r="F640" s="13"/>
      <c r="G640" s="13"/>
      <c r="H640" s="13"/>
      <c r="I640" s="13"/>
      <c r="J640" s="13"/>
      <c r="K640" s="13"/>
      <c r="L640" s="13"/>
      <c r="M640" s="13"/>
      <c r="N640" s="13"/>
      <c r="O640" s="13"/>
      <c r="P640" s="13"/>
      <c r="Q640" s="13"/>
      <c r="R640" s="13"/>
      <c r="S640" s="13"/>
      <c r="T640" s="13"/>
      <c r="U640" s="13"/>
      <c r="V640" s="13"/>
      <c r="W640" s="13"/>
      <c r="X640" s="13"/>
    </row>
    <row r="641" spans="4:24" ht="12.75" customHeight="1">
      <c r="D641" s="13"/>
      <c r="E641" s="13"/>
      <c r="F641" s="13"/>
      <c r="G641" s="13"/>
      <c r="H641" s="13"/>
      <c r="I641" s="13"/>
      <c r="J641" s="13"/>
      <c r="K641" s="13"/>
      <c r="L641" s="13"/>
      <c r="M641" s="13"/>
      <c r="N641" s="13"/>
      <c r="O641" s="13"/>
      <c r="P641" s="13"/>
      <c r="Q641" s="13"/>
      <c r="R641" s="13"/>
      <c r="S641" s="13"/>
      <c r="T641" s="13"/>
      <c r="U641" s="13"/>
      <c r="V641" s="13"/>
      <c r="W641" s="13"/>
      <c r="X641" s="13"/>
    </row>
    <row r="642" spans="4:24" ht="12.75" customHeight="1">
      <c r="D642" s="13"/>
      <c r="E642" s="13"/>
      <c r="F642" s="13"/>
      <c r="G642" s="13"/>
      <c r="H642" s="13"/>
      <c r="I642" s="13"/>
      <c r="J642" s="13"/>
      <c r="K642" s="13"/>
      <c r="L642" s="13"/>
      <c r="M642" s="13"/>
      <c r="N642" s="13"/>
      <c r="O642" s="13"/>
      <c r="P642" s="13"/>
      <c r="Q642" s="13"/>
      <c r="R642" s="13"/>
      <c r="S642" s="13"/>
      <c r="T642" s="13"/>
      <c r="U642" s="13"/>
      <c r="V642" s="13"/>
      <c r="W642" s="13"/>
      <c r="X642" s="13"/>
    </row>
    <row r="643" spans="4:24" ht="12.75" customHeight="1">
      <c r="D643" s="13"/>
      <c r="E643" s="13"/>
      <c r="F643" s="13"/>
      <c r="G643" s="13"/>
      <c r="H643" s="13"/>
      <c r="I643" s="13"/>
      <c r="J643" s="13"/>
      <c r="K643" s="13"/>
      <c r="L643" s="13"/>
      <c r="M643" s="13"/>
      <c r="N643" s="13"/>
      <c r="O643" s="13"/>
      <c r="P643" s="13"/>
      <c r="Q643" s="13"/>
      <c r="R643" s="13"/>
      <c r="S643" s="13"/>
      <c r="T643" s="13"/>
      <c r="U643" s="13"/>
      <c r="V643" s="13"/>
      <c r="W643" s="13"/>
      <c r="X643" s="13"/>
    </row>
    <row r="644" spans="4:24" ht="12.75" customHeight="1">
      <c r="D644" s="13"/>
      <c r="E644" s="13"/>
      <c r="F644" s="13"/>
      <c r="G644" s="13"/>
      <c r="H644" s="13"/>
      <c r="I644" s="13"/>
      <c r="J644" s="13"/>
      <c r="K644" s="13"/>
      <c r="L644" s="13"/>
      <c r="M644" s="13"/>
      <c r="N644" s="13"/>
      <c r="O644" s="13"/>
      <c r="P644" s="13"/>
      <c r="Q644" s="13"/>
      <c r="R644" s="13"/>
      <c r="S644" s="13"/>
      <c r="T644" s="13"/>
      <c r="U644" s="13"/>
      <c r="V644" s="13"/>
      <c r="W644" s="13"/>
      <c r="X644" s="13"/>
    </row>
    <row r="645" spans="4:24" ht="12.75" customHeight="1">
      <c r="D645" s="13"/>
      <c r="E645" s="13"/>
      <c r="F645" s="13"/>
      <c r="G645" s="13"/>
      <c r="H645" s="13"/>
      <c r="I645" s="13"/>
      <c r="J645" s="13"/>
      <c r="K645" s="13"/>
      <c r="L645" s="13"/>
      <c r="M645" s="13"/>
      <c r="N645" s="13"/>
      <c r="O645" s="13"/>
      <c r="P645" s="13"/>
      <c r="Q645" s="13"/>
      <c r="R645" s="13"/>
      <c r="S645" s="13"/>
      <c r="T645" s="13"/>
      <c r="U645" s="13"/>
      <c r="V645" s="13"/>
      <c r="W645" s="13"/>
      <c r="X645" s="13"/>
    </row>
    <row r="646" spans="4:24" ht="12.75" customHeight="1">
      <c r="D646" s="13"/>
      <c r="E646" s="13"/>
      <c r="F646" s="13"/>
      <c r="G646" s="13"/>
      <c r="H646" s="13"/>
      <c r="I646" s="13"/>
      <c r="J646" s="13"/>
      <c r="K646" s="13"/>
      <c r="L646" s="13"/>
      <c r="M646" s="13"/>
      <c r="N646" s="13"/>
      <c r="O646" s="13"/>
      <c r="P646" s="13"/>
      <c r="Q646" s="13"/>
      <c r="R646" s="13"/>
      <c r="S646" s="13"/>
      <c r="T646" s="13"/>
      <c r="U646" s="13"/>
      <c r="V646" s="13"/>
      <c r="W646" s="13"/>
      <c r="X646" s="13"/>
    </row>
    <row r="647" spans="4:24" ht="12.75" customHeight="1">
      <c r="D647" s="13"/>
      <c r="E647" s="13"/>
      <c r="F647" s="13"/>
      <c r="G647" s="13"/>
      <c r="H647" s="13"/>
      <c r="I647" s="13"/>
      <c r="J647" s="13"/>
      <c r="K647" s="13"/>
      <c r="L647" s="13"/>
      <c r="M647" s="13"/>
      <c r="N647" s="13"/>
      <c r="O647" s="13"/>
      <c r="P647" s="13"/>
      <c r="Q647" s="13"/>
      <c r="R647" s="13"/>
      <c r="S647" s="13"/>
      <c r="T647" s="13"/>
      <c r="U647" s="13"/>
      <c r="V647" s="13"/>
      <c r="W647" s="13"/>
      <c r="X647" s="13"/>
    </row>
    <row r="648" spans="4:24" ht="12.75" customHeight="1">
      <c r="D648" s="13"/>
      <c r="E648" s="13"/>
      <c r="F648" s="13"/>
      <c r="G648" s="13"/>
      <c r="H648" s="13"/>
      <c r="I648" s="13"/>
      <c r="J648" s="13"/>
      <c r="K648" s="13"/>
      <c r="L648" s="13"/>
      <c r="M648" s="13"/>
      <c r="N648" s="13"/>
      <c r="O648" s="13"/>
      <c r="P648" s="13"/>
      <c r="Q648" s="13"/>
      <c r="R648" s="13"/>
      <c r="S648" s="13"/>
      <c r="T648" s="13"/>
      <c r="U648" s="13"/>
      <c r="V648" s="13"/>
      <c r="W648" s="13"/>
      <c r="X648" s="13"/>
    </row>
    <row r="649" spans="4:24" ht="12.75" customHeight="1">
      <c r="D649" s="13"/>
      <c r="E649" s="13"/>
      <c r="F649" s="13"/>
      <c r="G649" s="13"/>
      <c r="H649" s="13"/>
      <c r="I649" s="13"/>
      <c r="J649" s="13"/>
      <c r="K649" s="13"/>
      <c r="L649" s="13"/>
      <c r="M649" s="13"/>
      <c r="N649" s="13"/>
      <c r="O649" s="13"/>
      <c r="P649" s="13"/>
      <c r="Q649" s="13"/>
      <c r="R649" s="13"/>
      <c r="S649" s="13"/>
      <c r="T649" s="13"/>
      <c r="U649" s="13"/>
      <c r="V649" s="13"/>
      <c r="W649" s="13"/>
      <c r="X649" s="13"/>
    </row>
    <row r="650" spans="4:24" ht="12.75" customHeight="1">
      <c r="D650" s="13"/>
      <c r="E650" s="13"/>
      <c r="F650" s="13"/>
      <c r="G650" s="13"/>
      <c r="H650" s="13"/>
      <c r="I650" s="13"/>
      <c r="J650" s="13"/>
      <c r="K650" s="13"/>
      <c r="L650" s="13"/>
      <c r="M650" s="13"/>
      <c r="N650" s="13"/>
      <c r="O650" s="13"/>
      <c r="P650" s="13"/>
      <c r="Q650" s="13"/>
      <c r="R650" s="13"/>
      <c r="S650" s="13"/>
      <c r="T650" s="13"/>
      <c r="U650" s="13"/>
      <c r="V650" s="13"/>
      <c r="W650" s="13"/>
      <c r="X650" s="13"/>
    </row>
    <row r="651" spans="4:24" ht="12.75" customHeight="1">
      <c r="D651" s="13"/>
      <c r="E651" s="13"/>
      <c r="F651" s="13"/>
      <c r="G651" s="13"/>
      <c r="H651" s="13"/>
      <c r="I651" s="13"/>
      <c r="J651" s="13"/>
      <c r="K651" s="13"/>
      <c r="L651" s="13"/>
      <c r="M651" s="13"/>
      <c r="N651" s="13"/>
      <c r="O651" s="13"/>
      <c r="P651" s="13"/>
      <c r="Q651" s="13"/>
      <c r="R651" s="13"/>
      <c r="S651" s="13"/>
      <c r="T651" s="13"/>
      <c r="U651" s="13"/>
      <c r="V651" s="13"/>
      <c r="W651" s="13"/>
      <c r="X651" s="13"/>
    </row>
    <row r="652" spans="4:24" ht="12.75" customHeight="1">
      <c r="D652" s="13"/>
      <c r="E652" s="13"/>
      <c r="F652" s="13"/>
      <c r="G652" s="13"/>
      <c r="H652" s="13"/>
      <c r="I652" s="13"/>
      <c r="J652" s="13"/>
      <c r="K652" s="13"/>
      <c r="L652" s="13"/>
      <c r="M652" s="13"/>
      <c r="N652" s="13"/>
      <c r="O652" s="13"/>
      <c r="P652" s="13"/>
      <c r="Q652" s="13"/>
      <c r="R652" s="13"/>
      <c r="S652" s="13"/>
      <c r="T652" s="13"/>
      <c r="U652" s="13"/>
      <c r="V652" s="13"/>
      <c r="W652" s="13"/>
      <c r="X652" s="13"/>
    </row>
    <row r="653" spans="4:24" ht="12.75" customHeight="1">
      <c r="D653" s="13"/>
      <c r="E653" s="13"/>
      <c r="F653" s="13"/>
      <c r="G653" s="13"/>
      <c r="H653" s="13"/>
      <c r="I653" s="13"/>
      <c r="J653" s="13"/>
      <c r="K653" s="13"/>
      <c r="L653" s="13"/>
      <c r="M653" s="13"/>
      <c r="N653" s="13"/>
      <c r="O653" s="13"/>
      <c r="P653" s="13"/>
      <c r="Q653" s="13"/>
      <c r="R653" s="13"/>
      <c r="S653" s="13"/>
      <c r="T653" s="13"/>
      <c r="U653" s="13"/>
      <c r="V653" s="13"/>
      <c r="W653" s="13"/>
      <c r="X653" s="13"/>
    </row>
    <row r="654" spans="4:24" ht="12.75" customHeight="1">
      <c r="D654" s="13"/>
      <c r="E654" s="13"/>
      <c r="F654" s="13"/>
      <c r="G654" s="13"/>
      <c r="H654" s="13"/>
      <c r="I654" s="13"/>
      <c r="J654" s="13"/>
      <c r="K654" s="13"/>
      <c r="L654" s="13"/>
      <c r="M654" s="13"/>
      <c r="N654" s="13"/>
      <c r="O654" s="13"/>
      <c r="P654" s="13"/>
      <c r="Q654" s="13"/>
      <c r="R654" s="13"/>
      <c r="S654" s="13"/>
      <c r="T654" s="13"/>
      <c r="U654" s="13"/>
      <c r="V654" s="13"/>
      <c r="W654" s="13"/>
      <c r="X654" s="13"/>
    </row>
    <row r="655" spans="4:24" ht="12.75" customHeight="1">
      <c r="D655" s="13"/>
      <c r="E655" s="13"/>
      <c r="F655" s="13"/>
      <c r="G655" s="13"/>
      <c r="H655" s="13"/>
      <c r="I655" s="13"/>
      <c r="J655" s="13"/>
      <c r="K655" s="13"/>
      <c r="L655" s="13"/>
      <c r="M655" s="13"/>
      <c r="N655" s="13"/>
      <c r="O655" s="13"/>
      <c r="P655" s="13"/>
      <c r="Q655" s="13"/>
      <c r="R655" s="13"/>
      <c r="S655" s="13"/>
      <c r="T655" s="13"/>
      <c r="U655" s="13"/>
      <c r="V655" s="13"/>
      <c r="W655" s="13"/>
      <c r="X655" s="13"/>
    </row>
    <row r="656" spans="4:24" ht="12.75" customHeight="1">
      <c r="D656" s="13"/>
      <c r="E656" s="13"/>
      <c r="F656" s="13"/>
      <c r="G656" s="13"/>
      <c r="H656" s="13"/>
      <c r="I656" s="13"/>
      <c r="J656" s="13"/>
      <c r="K656" s="13"/>
      <c r="L656" s="13"/>
      <c r="M656" s="13"/>
      <c r="N656" s="13"/>
      <c r="O656" s="13"/>
      <c r="P656" s="13"/>
      <c r="Q656" s="13"/>
      <c r="R656" s="13"/>
      <c r="S656" s="13"/>
      <c r="T656" s="13"/>
      <c r="U656" s="13"/>
      <c r="V656" s="13"/>
      <c r="W656" s="13"/>
      <c r="X656" s="13"/>
    </row>
    <row r="657" spans="4:24" ht="12.75" customHeight="1">
      <c r="D657" s="13"/>
      <c r="E657" s="13"/>
      <c r="F657" s="13"/>
      <c r="G657" s="13"/>
      <c r="H657" s="13"/>
      <c r="I657" s="13"/>
      <c r="J657" s="13"/>
      <c r="K657" s="13"/>
      <c r="L657" s="13"/>
      <c r="M657" s="13"/>
      <c r="N657" s="13"/>
      <c r="O657" s="13"/>
      <c r="P657" s="13"/>
      <c r="Q657" s="13"/>
      <c r="R657" s="13"/>
      <c r="S657" s="13"/>
      <c r="T657" s="13"/>
      <c r="U657" s="13"/>
      <c r="V657" s="13"/>
      <c r="W657" s="13"/>
      <c r="X657" s="13"/>
    </row>
    <row r="658" spans="4:24" ht="12.75" customHeight="1">
      <c r="D658" s="13"/>
      <c r="E658" s="13"/>
      <c r="F658" s="13"/>
      <c r="G658" s="13"/>
      <c r="H658" s="13"/>
      <c r="I658" s="13"/>
      <c r="J658" s="13"/>
      <c r="K658" s="13"/>
      <c r="L658" s="13"/>
      <c r="M658" s="13"/>
      <c r="N658" s="13"/>
      <c r="O658" s="13"/>
      <c r="P658" s="13"/>
      <c r="Q658" s="13"/>
      <c r="R658" s="13"/>
      <c r="S658" s="13"/>
      <c r="T658" s="13"/>
      <c r="U658" s="13"/>
      <c r="V658" s="13"/>
      <c r="W658" s="13"/>
      <c r="X658" s="13"/>
    </row>
    <row r="659" spans="4:24" ht="12.75" customHeight="1">
      <c r="D659" s="13"/>
      <c r="E659" s="13"/>
      <c r="F659" s="13"/>
      <c r="G659" s="13"/>
      <c r="H659" s="13"/>
      <c r="I659" s="13"/>
      <c r="J659" s="13"/>
      <c r="K659" s="13"/>
      <c r="L659" s="13"/>
      <c r="M659" s="13"/>
      <c r="N659" s="13"/>
      <c r="O659" s="13"/>
      <c r="P659" s="13"/>
      <c r="Q659" s="13"/>
      <c r="R659" s="13"/>
      <c r="S659" s="13"/>
      <c r="T659" s="13"/>
      <c r="U659" s="13"/>
      <c r="V659" s="13"/>
      <c r="W659" s="13"/>
      <c r="X659" s="13"/>
    </row>
    <row r="660" spans="4:24" ht="12.75" customHeight="1">
      <c r="D660" s="13"/>
      <c r="E660" s="13"/>
      <c r="F660" s="13"/>
      <c r="G660" s="13"/>
      <c r="H660" s="13"/>
      <c r="I660" s="13"/>
      <c r="J660" s="13"/>
      <c r="K660" s="13"/>
      <c r="L660" s="13"/>
      <c r="M660" s="13"/>
      <c r="N660" s="13"/>
      <c r="O660" s="13"/>
      <c r="P660" s="13"/>
      <c r="Q660" s="13"/>
      <c r="R660" s="13"/>
      <c r="S660" s="13"/>
      <c r="T660" s="13"/>
      <c r="U660" s="13"/>
      <c r="V660" s="13"/>
      <c r="W660" s="13"/>
      <c r="X660" s="13"/>
    </row>
    <row r="661" spans="4:24" ht="12.75" customHeight="1">
      <c r="D661" s="13"/>
      <c r="E661" s="13"/>
      <c r="F661" s="13"/>
      <c r="G661" s="13"/>
      <c r="H661" s="13"/>
      <c r="I661" s="13"/>
      <c r="J661" s="13"/>
      <c r="K661" s="13"/>
      <c r="L661" s="13"/>
      <c r="M661" s="13"/>
      <c r="N661" s="13"/>
      <c r="O661" s="13"/>
      <c r="P661" s="13"/>
      <c r="Q661" s="13"/>
      <c r="R661" s="13"/>
      <c r="S661" s="13"/>
      <c r="T661" s="13"/>
      <c r="U661" s="13"/>
      <c r="V661" s="13"/>
      <c r="W661" s="13"/>
      <c r="X661" s="13"/>
    </row>
    <row r="662" spans="4:24" ht="12.75" customHeight="1">
      <c r="D662" s="13"/>
      <c r="E662" s="13"/>
      <c r="F662" s="13"/>
      <c r="G662" s="13"/>
      <c r="H662" s="13"/>
      <c r="I662" s="13"/>
      <c r="J662" s="13"/>
      <c r="K662" s="13"/>
      <c r="L662" s="13"/>
      <c r="M662" s="13"/>
      <c r="N662" s="13"/>
      <c r="O662" s="13"/>
      <c r="P662" s="13"/>
      <c r="Q662" s="13"/>
      <c r="R662" s="13"/>
      <c r="S662" s="13"/>
      <c r="T662" s="13"/>
      <c r="U662" s="13"/>
      <c r="V662" s="13"/>
      <c r="W662" s="13"/>
      <c r="X662" s="13"/>
    </row>
    <row r="663" spans="4:24" ht="12.75" customHeight="1">
      <c r="D663" s="13"/>
      <c r="E663" s="13"/>
      <c r="F663" s="13"/>
      <c r="G663" s="13"/>
      <c r="H663" s="13"/>
      <c r="I663" s="13"/>
      <c r="J663" s="13"/>
      <c r="K663" s="13"/>
      <c r="L663" s="13"/>
      <c r="M663" s="13"/>
      <c r="N663" s="13"/>
      <c r="O663" s="13"/>
      <c r="P663" s="13"/>
      <c r="Q663" s="13"/>
      <c r="R663" s="13"/>
      <c r="S663" s="13"/>
      <c r="T663" s="13"/>
      <c r="U663" s="13"/>
      <c r="V663" s="13"/>
      <c r="W663" s="13"/>
      <c r="X663" s="13"/>
    </row>
    <row r="664" spans="4:24" ht="12.75" customHeight="1">
      <c r="D664" s="13"/>
      <c r="E664" s="13"/>
      <c r="F664" s="13"/>
      <c r="G664" s="13"/>
      <c r="H664" s="13"/>
      <c r="I664" s="13"/>
      <c r="J664" s="13"/>
      <c r="K664" s="13"/>
      <c r="L664" s="13"/>
      <c r="M664" s="13"/>
      <c r="N664" s="13"/>
      <c r="O664" s="13"/>
      <c r="P664" s="13"/>
      <c r="Q664" s="13"/>
      <c r="R664" s="13"/>
      <c r="S664" s="13"/>
      <c r="T664" s="13"/>
      <c r="U664" s="13"/>
      <c r="V664" s="13"/>
      <c r="W664" s="13"/>
      <c r="X664" s="13"/>
    </row>
    <row r="665" spans="4:24" ht="12.75" customHeight="1">
      <c r="D665" s="13"/>
      <c r="E665" s="13"/>
      <c r="F665" s="13"/>
      <c r="G665" s="13"/>
      <c r="H665" s="13"/>
      <c r="I665" s="13"/>
      <c r="J665" s="13"/>
      <c r="K665" s="13"/>
      <c r="L665" s="13"/>
      <c r="M665" s="13"/>
      <c r="N665" s="13"/>
      <c r="O665" s="13"/>
      <c r="P665" s="13"/>
      <c r="Q665" s="13"/>
      <c r="R665" s="13"/>
      <c r="S665" s="13"/>
      <c r="T665" s="13"/>
      <c r="U665" s="13"/>
      <c r="V665" s="13"/>
      <c r="W665" s="13"/>
      <c r="X665" s="13"/>
    </row>
    <row r="666" spans="4:24" ht="12.75" customHeight="1">
      <c r="D666" s="13"/>
      <c r="E666" s="13"/>
      <c r="F666" s="13"/>
      <c r="G666" s="13"/>
      <c r="H666" s="13"/>
      <c r="I666" s="13"/>
      <c r="J666" s="13"/>
      <c r="K666" s="13"/>
      <c r="L666" s="13"/>
      <c r="M666" s="13"/>
      <c r="N666" s="13"/>
      <c r="O666" s="13"/>
      <c r="P666" s="13"/>
      <c r="Q666" s="13"/>
      <c r="R666" s="13"/>
      <c r="S666" s="13"/>
      <c r="T666" s="13"/>
      <c r="U666" s="13"/>
      <c r="V666" s="13"/>
      <c r="W666" s="13"/>
      <c r="X666" s="13"/>
    </row>
    <row r="667" spans="4:24" ht="12.75" customHeight="1">
      <c r="D667" s="13"/>
      <c r="E667" s="13"/>
      <c r="F667" s="13"/>
      <c r="G667" s="13"/>
      <c r="H667" s="13"/>
      <c r="I667" s="13"/>
      <c r="J667" s="13"/>
      <c r="K667" s="13"/>
      <c r="L667" s="13"/>
      <c r="M667" s="13"/>
      <c r="N667" s="13"/>
      <c r="O667" s="13"/>
      <c r="P667" s="13"/>
      <c r="Q667" s="13"/>
      <c r="R667" s="13"/>
      <c r="S667" s="13"/>
      <c r="T667" s="13"/>
      <c r="U667" s="13"/>
      <c r="V667" s="13"/>
      <c r="W667" s="13"/>
      <c r="X667" s="13"/>
    </row>
    <row r="668" spans="4:24" ht="12.75" customHeight="1">
      <c r="D668" s="13"/>
      <c r="E668" s="13"/>
      <c r="F668" s="13"/>
      <c r="G668" s="13"/>
      <c r="H668" s="13"/>
      <c r="I668" s="13"/>
      <c r="J668" s="13"/>
      <c r="K668" s="13"/>
      <c r="L668" s="13"/>
      <c r="M668" s="13"/>
      <c r="N668" s="13"/>
      <c r="O668" s="13"/>
      <c r="P668" s="13"/>
      <c r="Q668" s="13"/>
      <c r="R668" s="13"/>
      <c r="S668" s="13"/>
      <c r="T668" s="13"/>
      <c r="U668" s="13"/>
      <c r="V668" s="13"/>
      <c r="W668" s="13"/>
      <c r="X668" s="13"/>
    </row>
    <row r="669" spans="4:24" ht="12.75" customHeight="1">
      <c r="D669" s="13"/>
      <c r="E669" s="13"/>
      <c r="F669" s="13"/>
      <c r="G669" s="13"/>
      <c r="H669" s="13"/>
      <c r="I669" s="13"/>
      <c r="J669" s="13"/>
      <c r="K669" s="13"/>
      <c r="L669" s="13"/>
      <c r="M669" s="13"/>
      <c r="N669" s="13"/>
      <c r="O669" s="13"/>
      <c r="P669" s="13"/>
      <c r="Q669" s="13"/>
      <c r="R669" s="13"/>
      <c r="S669" s="13"/>
      <c r="T669" s="13"/>
      <c r="U669" s="13"/>
      <c r="V669" s="13"/>
      <c r="W669" s="13"/>
      <c r="X669" s="13"/>
    </row>
    <row r="670" spans="4:24" ht="12.75" customHeight="1">
      <c r="D670" s="13"/>
      <c r="E670" s="13"/>
      <c r="F670" s="13"/>
      <c r="G670" s="13"/>
      <c r="H670" s="13"/>
      <c r="I670" s="13"/>
      <c r="J670" s="13"/>
      <c r="K670" s="13"/>
      <c r="L670" s="13"/>
      <c r="M670" s="13"/>
      <c r="N670" s="13"/>
      <c r="O670" s="13"/>
      <c r="P670" s="13"/>
      <c r="Q670" s="13"/>
      <c r="R670" s="13"/>
      <c r="S670" s="13"/>
      <c r="T670" s="13"/>
      <c r="U670" s="13"/>
      <c r="V670" s="13"/>
      <c r="W670" s="13"/>
      <c r="X670" s="13"/>
    </row>
    <row r="671" spans="4:24" ht="12.75" customHeight="1">
      <c r="D671" s="13"/>
      <c r="E671" s="13"/>
      <c r="F671" s="13"/>
      <c r="G671" s="13"/>
      <c r="H671" s="13"/>
      <c r="I671" s="13"/>
      <c r="J671" s="13"/>
      <c r="K671" s="13"/>
      <c r="L671" s="13"/>
      <c r="M671" s="13"/>
      <c r="N671" s="13"/>
      <c r="O671" s="13"/>
      <c r="P671" s="13"/>
      <c r="Q671" s="13"/>
      <c r="R671" s="13"/>
      <c r="S671" s="13"/>
      <c r="T671" s="13"/>
      <c r="U671" s="13"/>
      <c r="V671" s="13"/>
      <c r="W671" s="13"/>
      <c r="X671" s="13"/>
    </row>
    <row r="672" spans="4:24" ht="12.75" customHeight="1">
      <c r="D672" s="13"/>
      <c r="E672" s="13"/>
      <c r="F672" s="13"/>
      <c r="G672" s="13"/>
      <c r="H672" s="13"/>
      <c r="I672" s="13"/>
      <c r="J672" s="13"/>
      <c r="K672" s="13"/>
      <c r="L672" s="13"/>
      <c r="M672" s="13"/>
      <c r="N672" s="13"/>
      <c r="O672" s="13"/>
      <c r="P672" s="13"/>
      <c r="Q672" s="13"/>
      <c r="R672" s="13"/>
      <c r="S672" s="13"/>
      <c r="T672" s="13"/>
      <c r="U672" s="13"/>
      <c r="V672" s="13"/>
      <c r="W672" s="13"/>
      <c r="X672" s="13"/>
    </row>
    <row r="673" spans="4:24" ht="12.75" customHeight="1">
      <c r="D673" s="13"/>
      <c r="E673" s="13"/>
      <c r="F673" s="13"/>
      <c r="G673" s="13"/>
      <c r="H673" s="13"/>
      <c r="I673" s="13"/>
      <c r="J673" s="13"/>
      <c r="K673" s="13"/>
      <c r="L673" s="13"/>
      <c r="M673" s="13"/>
      <c r="N673" s="13"/>
      <c r="O673" s="13"/>
      <c r="P673" s="13"/>
      <c r="Q673" s="13"/>
      <c r="R673" s="13"/>
      <c r="S673" s="13"/>
      <c r="T673" s="13"/>
      <c r="U673" s="13"/>
      <c r="V673" s="13"/>
      <c r="W673" s="13"/>
      <c r="X673" s="13"/>
    </row>
    <row r="674" spans="4:24" ht="12.75" customHeight="1">
      <c r="D674" s="13"/>
      <c r="E674" s="13"/>
      <c r="F674" s="13"/>
      <c r="G674" s="13"/>
      <c r="H674" s="13"/>
      <c r="I674" s="13"/>
      <c r="J674" s="13"/>
      <c r="K674" s="13"/>
      <c r="L674" s="13"/>
      <c r="M674" s="13"/>
      <c r="N674" s="13"/>
      <c r="O674" s="13"/>
      <c r="P674" s="13"/>
      <c r="Q674" s="13"/>
      <c r="R674" s="13"/>
      <c r="S674" s="13"/>
      <c r="T674" s="13"/>
      <c r="U674" s="13"/>
      <c r="V674" s="13"/>
      <c r="W674" s="13"/>
      <c r="X674" s="13"/>
    </row>
    <row r="675" spans="4:24" ht="12.75" customHeight="1">
      <c r="D675" s="13"/>
      <c r="E675" s="13"/>
      <c r="F675" s="13"/>
      <c r="G675" s="13"/>
      <c r="H675" s="13"/>
      <c r="I675" s="13"/>
      <c r="J675" s="13"/>
      <c r="K675" s="13"/>
      <c r="L675" s="13"/>
      <c r="M675" s="13"/>
      <c r="N675" s="13"/>
      <c r="O675" s="13"/>
      <c r="P675" s="13"/>
      <c r="Q675" s="13"/>
      <c r="R675" s="13"/>
      <c r="S675" s="13"/>
      <c r="T675" s="13"/>
      <c r="U675" s="13"/>
      <c r="V675" s="13"/>
      <c r="W675" s="13"/>
      <c r="X675" s="13"/>
    </row>
    <row r="676" spans="4:24" ht="12.75" customHeight="1">
      <c r="D676" s="13"/>
      <c r="E676" s="13"/>
      <c r="F676" s="13"/>
      <c r="G676" s="13"/>
      <c r="H676" s="13"/>
      <c r="I676" s="13"/>
      <c r="J676" s="13"/>
      <c r="K676" s="13"/>
      <c r="L676" s="13"/>
      <c r="M676" s="13"/>
      <c r="N676" s="13"/>
      <c r="O676" s="13"/>
      <c r="P676" s="13"/>
      <c r="Q676" s="13"/>
      <c r="R676" s="13"/>
      <c r="S676" s="13"/>
      <c r="T676" s="13"/>
      <c r="U676" s="13"/>
      <c r="V676" s="13"/>
      <c r="W676" s="13"/>
      <c r="X676" s="13"/>
    </row>
    <row r="677" spans="4:24" ht="12.75" customHeight="1">
      <c r="D677" s="13"/>
      <c r="E677" s="13"/>
      <c r="F677" s="13"/>
      <c r="G677" s="13"/>
      <c r="H677" s="13"/>
      <c r="I677" s="13"/>
      <c r="J677" s="13"/>
      <c r="K677" s="13"/>
      <c r="L677" s="13"/>
      <c r="M677" s="13"/>
      <c r="N677" s="13"/>
      <c r="O677" s="13"/>
      <c r="P677" s="13"/>
      <c r="Q677" s="13"/>
      <c r="R677" s="13"/>
      <c r="S677" s="13"/>
      <c r="T677" s="13"/>
      <c r="U677" s="13"/>
      <c r="V677" s="13"/>
      <c r="W677" s="13"/>
      <c r="X677" s="13"/>
    </row>
    <row r="678" spans="4:24" ht="12.75" customHeight="1">
      <c r="D678" s="13"/>
      <c r="E678" s="13"/>
      <c r="F678" s="13"/>
      <c r="G678" s="13"/>
      <c r="H678" s="13"/>
      <c r="I678" s="13"/>
      <c r="J678" s="13"/>
      <c r="K678" s="13"/>
      <c r="L678" s="13"/>
      <c r="M678" s="13"/>
      <c r="N678" s="13"/>
      <c r="O678" s="13"/>
      <c r="P678" s="13"/>
      <c r="Q678" s="13"/>
      <c r="R678" s="13"/>
      <c r="S678" s="13"/>
      <c r="T678" s="13"/>
      <c r="U678" s="13"/>
      <c r="V678" s="13"/>
      <c r="W678" s="13"/>
      <c r="X678" s="13"/>
    </row>
    <row r="679" spans="4:24" ht="12.75" customHeight="1">
      <c r="D679" s="13"/>
      <c r="E679" s="13"/>
      <c r="F679" s="13"/>
      <c r="G679" s="13"/>
      <c r="H679" s="13"/>
      <c r="I679" s="13"/>
      <c r="J679" s="13"/>
      <c r="K679" s="13"/>
      <c r="L679" s="13"/>
      <c r="M679" s="13"/>
      <c r="N679" s="13"/>
      <c r="O679" s="13"/>
      <c r="P679" s="13"/>
      <c r="Q679" s="13"/>
      <c r="R679" s="13"/>
      <c r="S679" s="13"/>
      <c r="T679" s="13"/>
      <c r="U679" s="13"/>
      <c r="V679" s="13"/>
      <c r="W679" s="13"/>
      <c r="X679" s="13"/>
    </row>
    <row r="680" spans="4:24" ht="12.75" customHeight="1">
      <c r="D680" s="13"/>
      <c r="E680" s="13"/>
      <c r="F680" s="13"/>
      <c r="G680" s="13"/>
      <c r="H680" s="13"/>
      <c r="I680" s="13"/>
      <c r="J680" s="13"/>
      <c r="K680" s="13"/>
      <c r="L680" s="13"/>
      <c r="M680" s="13"/>
      <c r="N680" s="13"/>
      <c r="O680" s="13"/>
      <c r="P680" s="13"/>
      <c r="Q680" s="13"/>
      <c r="R680" s="13"/>
      <c r="S680" s="13"/>
      <c r="T680" s="13"/>
      <c r="U680" s="13"/>
      <c r="V680" s="13"/>
      <c r="W680" s="13"/>
      <c r="X680" s="13"/>
    </row>
    <row r="681" spans="4:24" ht="12.75" customHeight="1">
      <c r="D681" s="13"/>
      <c r="E681" s="13"/>
      <c r="F681" s="13"/>
      <c r="G681" s="13"/>
      <c r="H681" s="13"/>
      <c r="I681" s="13"/>
      <c r="J681" s="13"/>
      <c r="K681" s="13"/>
      <c r="L681" s="13"/>
      <c r="M681" s="13"/>
      <c r="N681" s="13"/>
      <c r="O681" s="13"/>
      <c r="P681" s="13"/>
      <c r="Q681" s="13"/>
      <c r="R681" s="13"/>
      <c r="S681" s="13"/>
      <c r="T681" s="13"/>
      <c r="U681" s="13"/>
      <c r="V681" s="13"/>
      <c r="W681" s="13"/>
      <c r="X681" s="13"/>
    </row>
    <row r="682" spans="4:24" ht="12.75" customHeight="1">
      <c r="D682" s="13"/>
      <c r="E682" s="13"/>
      <c r="F682" s="13"/>
      <c r="G682" s="13"/>
      <c r="H682" s="13"/>
      <c r="I682" s="13"/>
      <c r="J682" s="13"/>
      <c r="K682" s="13"/>
      <c r="L682" s="13"/>
      <c r="M682" s="13"/>
      <c r="N682" s="13"/>
      <c r="O682" s="13"/>
      <c r="P682" s="13"/>
      <c r="Q682" s="13"/>
      <c r="R682" s="13"/>
      <c r="S682" s="13"/>
      <c r="T682" s="13"/>
      <c r="U682" s="13"/>
      <c r="V682" s="13"/>
      <c r="W682" s="13"/>
      <c r="X682" s="13"/>
    </row>
    <row r="683" spans="4:24" ht="12.75" customHeight="1">
      <c r="D683" s="13"/>
      <c r="E683" s="13"/>
      <c r="F683" s="13"/>
      <c r="G683" s="13"/>
      <c r="H683" s="13"/>
      <c r="I683" s="13"/>
      <c r="J683" s="13"/>
      <c r="K683" s="13"/>
      <c r="L683" s="13"/>
      <c r="M683" s="13"/>
      <c r="N683" s="13"/>
      <c r="O683" s="13"/>
      <c r="P683" s="13"/>
      <c r="Q683" s="13"/>
      <c r="R683" s="13"/>
      <c r="S683" s="13"/>
      <c r="T683" s="13"/>
      <c r="U683" s="13"/>
      <c r="V683" s="13"/>
      <c r="W683" s="13"/>
      <c r="X683" s="13"/>
    </row>
    <row r="684" spans="4:24" ht="12.75" customHeight="1">
      <c r="D684" s="13"/>
      <c r="E684" s="13"/>
      <c r="F684" s="13"/>
      <c r="G684" s="13"/>
      <c r="H684" s="13"/>
      <c r="I684" s="13"/>
      <c r="J684" s="13"/>
      <c r="K684" s="13"/>
      <c r="L684" s="13"/>
      <c r="M684" s="13"/>
      <c r="N684" s="13"/>
      <c r="O684" s="13"/>
      <c r="P684" s="13"/>
      <c r="Q684" s="13"/>
      <c r="R684" s="13"/>
      <c r="S684" s="13"/>
      <c r="T684" s="13"/>
      <c r="U684" s="13"/>
      <c r="V684" s="13"/>
      <c r="W684" s="13"/>
      <c r="X684" s="13"/>
    </row>
    <row r="685" spans="4:24" ht="12.75" customHeight="1">
      <c r="D685" s="13"/>
      <c r="E685" s="13"/>
      <c r="F685" s="13"/>
      <c r="G685" s="13"/>
      <c r="H685" s="13"/>
      <c r="I685" s="13"/>
      <c r="J685" s="13"/>
      <c r="K685" s="13"/>
      <c r="L685" s="13"/>
      <c r="M685" s="13"/>
      <c r="N685" s="13"/>
      <c r="O685" s="13"/>
      <c r="P685" s="13"/>
      <c r="Q685" s="13"/>
      <c r="R685" s="13"/>
      <c r="S685" s="13"/>
      <c r="T685" s="13"/>
      <c r="U685" s="13"/>
      <c r="V685" s="13"/>
      <c r="W685" s="13"/>
      <c r="X685" s="13"/>
    </row>
    <row r="686" spans="4:24" ht="12.75" customHeight="1">
      <c r="D686" s="13"/>
      <c r="E686" s="13"/>
      <c r="F686" s="13"/>
      <c r="G686" s="13"/>
      <c r="H686" s="13"/>
      <c r="I686" s="13"/>
      <c r="J686" s="13"/>
      <c r="K686" s="13"/>
      <c r="L686" s="13"/>
      <c r="M686" s="13"/>
      <c r="N686" s="13"/>
      <c r="O686" s="13"/>
      <c r="P686" s="13"/>
      <c r="Q686" s="13"/>
      <c r="R686" s="13"/>
      <c r="S686" s="13"/>
      <c r="T686" s="13"/>
      <c r="U686" s="13"/>
      <c r="V686" s="13"/>
      <c r="W686" s="13"/>
      <c r="X686" s="13"/>
    </row>
    <row r="687" spans="4:24" ht="12.75" customHeight="1">
      <c r="D687" s="13"/>
      <c r="E687" s="13"/>
      <c r="F687" s="13"/>
      <c r="G687" s="13"/>
      <c r="H687" s="13"/>
      <c r="I687" s="13"/>
      <c r="J687" s="13"/>
      <c r="K687" s="13"/>
      <c r="L687" s="13"/>
      <c r="M687" s="13"/>
      <c r="N687" s="13"/>
      <c r="O687" s="13"/>
      <c r="P687" s="13"/>
      <c r="Q687" s="13"/>
      <c r="R687" s="13"/>
      <c r="S687" s="13"/>
      <c r="T687" s="13"/>
      <c r="U687" s="13"/>
      <c r="V687" s="13"/>
      <c r="W687" s="13"/>
      <c r="X687" s="13"/>
    </row>
    <row r="688" spans="4:24" ht="12.75" customHeight="1">
      <c r="D688" s="13"/>
      <c r="E688" s="13"/>
      <c r="F688" s="13"/>
      <c r="G688" s="13"/>
      <c r="H688" s="13"/>
      <c r="I688" s="13"/>
      <c r="J688" s="13"/>
      <c r="K688" s="13"/>
      <c r="L688" s="13"/>
      <c r="M688" s="13"/>
      <c r="N688" s="13"/>
      <c r="O688" s="13"/>
      <c r="P688" s="13"/>
      <c r="Q688" s="13"/>
      <c r="R688" s="13"/>
      <c r="S688" s="13"/>
      <c r="T688" s="13"/>
      <c r="U688" s="13"/>
      <c r="V688" s="13"/>
      <c r="W688" s="13"/>
      <c r="X688" s="13"/>
    </row>
    <row r="689" spans="4:24" ht="12.75" customHeight="1">
      <c r="D689" s="13"/>
      <c r="E689" s="13"/>
      <c r="F689" s="13"/>
      <c r="G689" s="13"/>
      <c r="H689" s="13"/>
      <c r="I689" s="13"/>
      <c r="J689" s="13"/>
      <c r="K689" s="13"/>
      <c r="L689" s="13"/>
      <c r="M689" s="13"/>
      <c r="N689" s="13"/>
      <c r="O689" s="13"/>
      <c r="P689" s="13"/>
      <c r="Q689" s="13"/>
      <c r="R689" s="13"/>
      <c r="S689" s="13"/>
      <c r="T689" s="13"/>
      <c r="U689" s="13"/>
      <c r="V689" s="13"/>
      <c r="W689" s="13"/>
      <c r="X689" s="13"/>
    </row>
    <row r="690" spans="4:24" ht="12.75" customHeight="1">
      <c r="D690" s="13"/>
      <c r="E690" s="13"/>
      <c r="F690" s="13"/>
      <c r="G690" s="13"/>
      <c r="H690" s="13"/>
      <c r="I690" s="13"/>
      <c r="J690" s="13"/>
      <c r="K690" s="13"/>
      <c r="L690" s="13"/>
      <c r="M690" s="13"/>
      <c r="N690" s="13"/>
      <c r="O690" s="13"/>
      <c r="P690" s="13"/>
      <c r="Q690" s="13"/>
      <c r="R690" s="13"/>
      <c r="S690" s="13"/>
      <c r="T690" s="13"/>
      <c r="U690" s="13"/>
      <c r="V690" s="13"/>
      <c r="W690" s="13"/>
      <c r="X690" s="13"/>
    </row>
    <row r="691" spans="4:24" ht="12.75" customHeight="1">
      <c r="D691" s="13"/>
      <c r="E691" s="13"/>
      <c r="F691" s="13"/>
      <c r="G691" s="13"/>
      <c r="H691" s="13"/>
      <c r="I691" s="13"/>
      <c r="J691" s="13"/>
      <c r="K691" s="13"/>
      <c r="L691" s="13"/>
      <c r="M691" s="13"/>
      <c r="N691" s="13"/>
      <c r="O691" s="13"/>
      <c r="P691" s="13"/>
      <c r="Q691" s="13"/>
      <c r="R691" s="13"/>
      <c r="S691" s="13"/>
      <c r="T691" s="13"/>
      <c r="U691" s="13"/>
      <c r="V691" s="13"/>
      <c r="W691" s="13"/>
      <c r="X691" s="13"/>
    </row>
    <row r="692" spans="4:24" ht="12.75" customHeight="1">
      <c r="D692" s="13"/>
      <c r="E692" s="13"/>
      <c r="F692" s="13"/>
      <c r="G692" s="13"/>
      <c r="H692" s="13"/>
      <c r="I692" s="13"/>
      <c r="J692" s="13"/>
      <c r="K692" s="13"/>
      <c r="L692" s="13"/>
      <c r="M692" s="13"/>
      <c r="N692" s="13"/>
      <c r="O692" s="13"/>
      <c r="P692" s="13"/>
      <c r="Q692" s="13"/>
      <c r="R692" s="13"/>
      <c r="S692" s="13"/>
      <c r="T692" s="13"/>
      <c r="U692" s="13"/>
      <c r="V692" s="13"/>
      <c r="W692" s="13"/>
      <c r="X692" s="13"/>
    </row>
    <row r="693" spans="4:24" ht="12.75" customHeight="1">
      <c r="D693" s="13"/>
      <c r="E693" s="13"/>
      <c r="F693" s="13"/>
      <c r="G693" s="13"/>
      <c r="H693" s="13"/>
      <c r="I693" s="13"/>
      <c r="J693" s="13"/>
      <c r="K693" s="13"/>
      <c r="L693" s="13"/>
      <c r="M693" s="13"/>
      <c r="N693" s="13"/>
      <c r="O693" s="13"/>
      <c r="P693" s="13"/>
      <c r="Q693" s="13"/>
      <c r="R693" s="13"/>
      <c r="S693" s="13"/>
      <c r="T693" s="13"/>
      <c r="U693" s="13"/>
      <c r="V693" s="13"/>
      <c r="W693" s="13"/>
      <c r="X693" s="13"/>
    </row>
    <row r="694" spans="4:24" ht="12.75" customHeight="1">
      <c r="D694" s="13"/>
      <c r="E694" s="13"/>
      <c r="F694" s="13"/>
      <c r="G694" s="13"/>
      <c r="H694" s="13"/>
      <c r="I694" s="13"/>
      <c r="J694" s="13"/>
      <c r="K694" s="13"/>
      <c r="L694" s="13"/>
      <c r="M694" s="13"/>
      <c r="N694" s="13"/>
      <c r="O694" s="13"/>
      <c r="P694" s="13"/>
      <c r="Q694" s="13"/>
      <c r="R694" s="13"/>
      <c r="S694" s="13"/>
      <c r="T694" s="13"/>
      <c r="U694" s="13"/>
      <c r="V694" s="13"/>
      <c r="W694" s="13"/>
      <c r="X694" s="13"/>
    </row>
    <row r="695" spans="4:24" ht="12.75" customHeight="1">
      <c r="D695" s="13"/>
      <c r="E695" s="13"/>
      <c r="F695" s="13"/>
      <c r="G695" s="13"/>
      <c r="H695" s="13"/>
      <c r="I695" s="13"/>
      <c r="J695" s="13"/>
      <c r="K695" s="13"/>
      <c r="L695" s="13"/>
      <c r="M695" s="13"/>
      <c r="N695" s="13"/>
      <c r="O695" s="13"/>
      <c r="P695" s="13"/>
      <c r="Q695" s="13"/>
      <c r="R695" s="13"/>
      <c r="S695" s="13"/>
      <c r="T695" s="13"/>
      <c r="U695" s="13"/>
      <c r="V695" s="13"/>
      <c r="W695" s="13"/>
      <c r="X695" s="13"/>
    </row>
    <row r="696" spans="4:24" ht="12.75" customHeight="1">
      <c r="D696" s="13"/>
      <c r="E696" s="13"/>
      <c r="F696" s="13"/>
      <c r="G696" s="13"/>
      <c r="H696" s="13"/>
      <c r="I696" s="13"/>
      <c r="J696" s="13"/>
      <c r="K696" s="13"/>
      <c r="L696" s="13"/>
      <c r="M696" s="13"/>
      <c r="N696" s="13"/>
      <c r="O696" s="13"/>
      <c r="P696" s="13"/>
      <c r="Q696" s="13"/>
      <c r="R696" s="13"/>
      <c r="S696" s="13"/>
      <c r="T696" s="13"/>
      <c r="U696" s="13"/>
      <c r="V696" s="13"/>
      <c r="W696" s="13"/>
      <c r="X696" s="13"/>
    </row>
    <row r="697" spans="4:24" ht="12.75" customHeight="1">
      <c r="D697" s="13"/>
      <c r="E697" s="13"/>
      <c r="F697" s="13"/>
      <c r="G697" s="13"/>
      <c r="H697" s="13"/>
      <c r="I697" s="13"/>
      <c r="J697" s="13"/>
      <c r="K697" s="13"/>
      <c r="L697" s="13"/>
      <c r="M697" s="13"/>
      <c r="N697" s="13"/>
      <c r="O697" s="13"/>
      <c r="P697" s="13"/>
      <c r="Q697" s="13"/>
      <c r="R697" s="13"/>
      <c r="S697" s="13"/>
      <c r="T697" s="13"/>
      <c r="U697" s="13"/>
      <c r="V697" s="13"/>
      <c r="W697" s="13"/>
      <c r="X697" s="13"/>
    </row>
    <row r="698" spans="4:24" ht="12.75" customHeight="1">
      <c r="D698" s="13"/>
      <c r="E698" s="13"/>
      <c r="F698" s="13"/>
      <c r="G698" s="13"/>
      <c r="H698" s="13"/>
      <c r="I698" s="13"/>
      <c r="J698" s="13"/>
      <c r="K698" s="13"/>
      <c r="L698" s="13"/>
      <c r="M698" s="13"/>
      <c r="N698" s="13"/>
      <c r="O698" s="13"/>
      <c r="P698" s="13"/>
      <c r="Q698" s="13"/>
      <c r="R698" s="13"/>
      <c r="S698" s="13"/>
      <c r="T698" s="13"/>
      <c r="U698" s="13"/>
      <c r="V698" s="13"/>
      <c r="W698" s="13"/>
      <c r="X698" s="13"/>
    </row>
    <row r="699" spans="4:24" ht="12.75" customHeight="1">
      <c r="D699" s="13"/>
      <c r="E699" s="13"/>
      <c r="F699" s="13"/>
      <c r="G699" s="13"/>
      <c r="H699" s="13"/>
      <c r="I699" s="13"/>
      <c r="J699" s="13"/>
      <c r="K699" s="13"/>
      <c r="L699" s="13"/>
      <c r="M699" s="13"/>
      <c r="N699" s="13"/>
      <c r="O699" s="13"/>
      <c r="P699" s="13"/>
      <c r="Q699" s="13"/>
      <c r="R699" s="13"/>
      <c r="S699" s="13"/>
      <c r="T699" s="13"/>
      <c r="U699" s="13"/>
      <c r="V699" s="13"/>
      <c r="W699" s="13"/>
      <c r="X699" s="13"/>
    </row>
    <row r="700" spans="4:24" ht="12.75" customHeight="1">
      <c r="D700" s="13"/>
      <c r="E700" s="13"/>
      <c r="F700" s="13"/>
      <c r="G700" s="13"/>
      <c r="H700" s="13"/>
      <c r="I700" s="13"/>
      <c r="J700" s="13"/>
      <c r="K700" s="13"/>
      <c r="L700" s="13"/>
      <c r="M700" s="13"/>
      <c r="N700" s="13"/>
      <c r="O700" s="13"/>
      <c r="P700" s="13"/>
      <c r="Q700" s="13"/>
      <c r="R700" s="13"/>
      <c r="S700" s="13"/>
      <c r="T700" s="13"/>
      <c r="U700" s="13"/>
      <c r="V700" s="13"/>
      <c r="W700" s="13"/>
      <c r="X700" s="13"/>
    </row>
    <row r="701" spans="4:24" ht="12.75" customHeight="1">
      <c r="D701" s="13"/>
      <c r="E701" s="13"/>
      <c r="F701" s="13"/>
      <c r="G701" s="13"/>
      <c r="H701" s="13"/>
      <c r="I701" s="13"/>
      <c r="J701" s="13"/>
      <c r="K701" s="13"/>
      <c r="L701" s="13"/>
      <c r="M701" s="13"/>
      <c r="N701" s="13"/>
      <c r="O701" s="13"/>
      <c r="P701" s="13"/>
      <c r="Q701" s="13"/>
      <c r="R701" s="13"/>
      <c r="S701" s="13"/>
      <c r="T701" s="13"/>
      <c r="U701" s="13"/>
      <c r="V701" s="13"/>
      <c r="W701" s="13"/>
      <c r="X701" s="13"/>
    </row>
    <row r="702" spans="4:24" ht="12.75" customHeight="1">
      <c r="D702" s="13"/>
      <c r="E702" s="13"/>
      <c r="F702" s="13"/>
      <c r="G702" s="13"/>
      <c r="H702" s="13"/>
      <c r="I702" s="13"/>
      <c r="J702" s="13"/>
      <c r="K702" s="13"/>
      <c r="L702" s="13"/>
      <c r="M702" s="13"/>
      <c r="N702" s="13"/>
      <c r="O702" s="13"/>
      <c r="P702" s="13"/>
      <c r="Q702" s="13"/>
      <c r="R702" s="13"/>
      <c r="S702" s="13"/>
      <c r="T702" s="13"/>
      <c r="U702" s="13"/>
      <c r="V702" s="13"/>
      <c r="W702" s="13"/>
      <c r="X702" s="13"/>
    </row>
    <row r="703" spans="4:24" ht="12.75" customHeight="1">
      <c r="D703" s="13"/>
      <c r="E703" s="13"/>
      <c r="F703" s="13"/>
      <c r="G703" s="13"/>
      <c r="H703" s="13"/>
      <c r="I703" s="13"/>
      <c r="J703" s="13"/>
      <c r="K703" s="13"/>
      <c r="L703" s="13"/>
      <c r="M703" s="13"/>
      <c r="N703" s="13"/>
      <c r="O703" s="13"/>
      <c r="P703" s="13"/>
      <c r="Q703" s="13"/>
      <c r="R703" s="13"/>
      <c r="S703" s="13"/>
      <c r="T703" s="13"/>
      <c r="U703" s="13"/>
      <c r="V703" s="13"/>
      <c r="W703" s="13"/>
      <c r="X703" s="13"/>
    </row>
    <row r="704" spans="4:24" ht="12.75" customHeight="1">
      <c r="D704" s="13"/>
      <c r="E704" s="13"/>
      <c r="F704" s="13"/>
      <c r="G704" s="13"/>
      <c r="H704" s="13"/>
      <c r="I704" s="13"/>
      <c r="J704" s="13"/>
      <c r="K704" s="13"/>
      <c r="L704" s="13"/>
      <c r="M704" s="13"/>
      <c r="N704" s="13"/>
      <c r="O704" s="13"/>
      <c r="P704" s="13"/>
      <c r="Q704" s="13"/>
      <c r="R704" s="13"/>
      <c r="S704" s="13"/>
      <c r="T704" s="13"/>
      <c r="U704" s="13"/>
      <c r="V704" s="13"/>
      <c r="W704" s="13"/>
      <c r="X704" s="13"/>
    </row>
    <row r="705" spans="4:24" ht="12.75" customHeight="1">
      <c r="D705" s="13"/>
      <c r="E705" s="13"/>
      <c r="F705" s="13"/>
      <c r="G705" s="13"/>
      <c r="H705" s="13"/>
      <c r="I705" s="13"/>
      <c r="J705" s="13"/>
      <c r="K705" s="13"/>
      <c r="L705" s="13"/>
      <c r="M705" s="13"/>
      <c r="N705" s="13"/>
      <c r="O705" s="13"/>
      <c r="P705" s="13"/>
      <c r="Q705" s="13"/>
      <c r="R705" s="13"/>
      <c r="S705" s="13"/>
      <c r="T705" s="13"/>
      <c r="U705" s="13"/>
      <c r="V705" s="13"/>
      <c r="W705" s="13"/>
      <c r="X705" s="13"/>
    </row>
    <row r="706" spans="4:24" ht="12.75" customHeight="1">
      <c r="D706" s="13"/>
      <c r="E706" s="13"/>
      <c r="F706" s="13"/>
      <c r="G706" s="13"/>
      <c r="H706" s="13"/>
      <c r="I706" s="13"/>
      <c r="J706" s="13"/>
      <c r="K706" s="13"/>
      <c r="L706" s="13"/>
      <c r="M706" s="13"/>
      <c r="N706" s="13"/>
      <c r="O706" s="13"/>
      <c r="P706" s="13"/>
      <c r="Q706" s="13"/>
      <c r="R706" s="13"/>
      <c r="S706" s="13"/>
      <c r="T706" s="13"/>
      <c r="U706" s="13"/>
      <c r="V706" s="13"/>
      <c r="W706" s="13"/>
      <c r="X706" s="13"/>
    </row>
    <row r="707" spans="4:24" ht="12.75" customHeight="1">
      <c r="D707" s="13"/>
      <c r="E707" s="13"/>
      <c r="F707" s="13"/>
      <c r="G707" s="13"/>
      <c r="H707" s="13"/>
      <c r="I707" s="13"/>
      <c r="J707" s="13"/>
      <c r="K707" s="13"/>
      <c r="L707" s="13"/>
      <c r="M707" s="13"/>
      <c r="N707" s="13"/>
      <c r="O707" s="13"/>
      <c r="P707" s="13"/>
      <c r="Q707" s="13"/>
      <c r="R707" s="13"/>
      <c r="S707" s="13"/>
      <c r="T707" s="13"/>
      <c r="U707" s="13"/>
      <c r="V707" s="13"/>
      <c r="W707" s="13"/>
      <c r="X707" s="13"/>
    </row>
    <row r="708" spans="4:24" ht="12.75" customHeight="1">
      <c r="D708" s="13"/>
      <c r="E708" s="13"/>
      <c r="F708" s="13"/>
      <c r="G708" s="13"/>
      <c r="H708" s="13"/>
      <c r="I708" s="13"/>
      <c r="J708" s="13"/>
      <c r="K708" s="13"/>
      <c r="L708" s="13"/>
      <c r="M708" s="13"/>
      <c r="N708" s="13"/>
      <c r="O708" s="13"/>
      <c r="P708" s="13"/>
      <c r="Q708" s="13"/>
      <c r="R708" s="13"/>
      <c r="S708" s="13"/>
      <c r="T708" s="13"/>
      <c r="U708" s="13"/>
      <c r="V708" s="13"/>
      <c r="W708" s="13"/>
      <c r="X708" s="13"/>
    </row>
    <row r="709" spans="4:24" ht="12.75" customHeight="1">
      <c r="D709" s="13"/>
      <c r="E709" s="13"/>
      <c r="F709" s="13"/>
      <c r="G709" s="13"/>
      <c r="H709" s="13"/>
      <c r="I709" s="13"/>
      <c r="J709" s="13"/>
      <c r="K709" s="13"/>
      <c r="L709" s="13"/>
      <c r="M709" s="13"/>
      <c r="N709" s="13"/>
      <c r="O709" s="13"/>
      <c r="P709" s="13"/>
      <c r="Q709" s="13"/>
      <c r="R709" s="13"/>
      <c r="S709" s="13"/>
      <c r="T709" s="13"/>
      <c r="U709" s="13"/>
      <c r="V709" s="13"/>
      <c r="W709" s="13"/>
      <c r="X709" s="13"/>
    </row>
    <row r="710" spans="4:24" ht="12.75" customHeight="1">
      <c r="D710" s="13"/>
      <c r="E710" s="13"/>
      <c r="F710" s="13"/>
      <c r="G710" s="13"/>
      <c r="H710" s="13"/>
      <c r="I710" s="13"/>
      <c r="J710" s="13"/>
      <c r="K710" s="13"/>
      <c r="L710" s="13"/>
      <c r="M710" s="13"/>
      <c r="N710" s="13"/>
      <c r="O710" s="13"/>
      <c r="P710" s="13"/>
      <c r="Q710" s="13"/>
      <c r="R710" s="13"/>
      <c r="S710" s="13"/>
      <c r="T710" s="13"/>
      <c r="U710" s="13"/>
      <c r="V710" s="13"/>
      <c r="W710" s="13"/>
      <c r="X710" s="13"/>
    </row>
    <row r="711" spans="4:24" ht="12.75" customHeight="1">
      <c r="D711" s="13"/>
      <c r="E711" s="13"/>
      <c r="F711" s="13"/>
      <c r="G711" s="13"/>
      <c r="H711" s="13"/>
      <c r="I711" s="13"/>
      <c r="J711" s="13"/>
      <c r="K711" s="13"/>
      <c r="L711" s="13"/>
      <c r="M711" s="13"/>
      <c r="N711" s="13"/>
      <c r="O711" s="13"/>
      <c r="P711" s="13"/>
      <c r="Q711" s="13"/>
      <c r="R711" s="13"/>
      <c r="S711" s="13"/>
      <c r="T711" s="13"/>
      <c r="U711" s="13"/>
      <c r="V711" s="13"/>
      <c r="W711" s="13"/>
      <c r="X711" s="13"/>
    </row>
    <row r="712" spans="4:24" ht="12.75" customHeight="1">
      <c r="D712" s="13"/>
      <c r="E712" s="13"/>
      <c r="F712" s="13"/>
      <c r="G712" s="13"/>
      <c r="H712" s="13"/>
      <c r="I712" s="13"/>
      <c r="J712" s="13"/>
      <c r="K712" s="13"/>
      <c r="L712" s="13"/>
      <c r="M712" s="13"/>
      <c r="N712" s="13"/>
      <c r="O712" s="13"/>
      <c r="P712" s="13"/>
      <c r="Q712" s="13"/>
      <c r="R712" s="13"/>
      <c r="S712" s="13"/>
      <c r="T712" s="13"/>
      <c r="U712" s="13"/>
      <c r="V712" s="13"/>
      <c r="W712" s="13"/>
      <c r="X712" s="13"/>
    </row>
    <row r="713" spans="4:24" ht="12.75" customHeight="1">
      <c r="D713" s="13"/>
      <c r="E713" s="13"/>
      <c r="F713" s="13"/>
      <c r="G713" s="13"/>
      <c r="H713" s="13"/>
      <c r="I713" s="13"/>
      <c r="J713" s="13"/>
      <c r="K713" s="13"/>
      <c r="L713" s="13"/>
      <c r="M713" s="13"/>
      <c r="N713" s="13"/>
      <c r="O713" s="13"/>
      <c r="P713" s="13"/>
      <c r="Q713" s="13"/>
      <c r="R713" s="13"/>
      <c r="S713" s="13"/>
      <c r="T713" s="13"/>
      <c r="U713" s="13"/>
      <c r="V713" s="13"/>
      <c r="W713" s="13"/>
      <c r="X713" s="13"/>
    </row>
    <row r="714" spans="4:24" ht="12.75" customHeight="1">
      <c r="D714" s="13"/>
      <c r="E714" s="13"/>
      <c r="F714" s="13"/>
      <c r="G714" s="13"/>
      <c r="H714" s="13"/>
      <c r="I714" s="13"/>
      <c r="J714" s="13"/>
      <c r="K714" s="13"/>
      <c r="L714" s="13"/>
      <c r="M714" s="13"/>
      <c r="N714" s="13"/>
      <c r="O714" s="13"/>
      <c r="P714" s="13"/>
      <c r="Q714" s="13"/>
      <c r="R714" s="13"/>
      <c r="S714" s="13"/>
      <c r="T714" s="13"/>
      <c r="U714" s="13"/>
      <c r="V714" s="13"/>
      <c r="W714" s="13"/>
      <c r="X714" s="13"/>
    </row>
    <row r="715" spans="4:24" ht="12.75" customHeight="1">
      <c r="D715" s="13"/>
      <c r="E715" s="13"/>
      <c r="F715" s="13"/>
      <c r="G715" s="13"/>
      <c r="H715" s="13"/>
      <c r="I715" s="13"/>
      <c r="J715" s="13"/>
      <c r="K715" s="13"/>
      <c r="L715" s="13"/>
      <c r="M715" s="13"/>
      <c r="N715" s="13"/>
      <c r="O715" s="13"/>
      <c r="P715" s="13"/>
      <c r="Q715" s="13"/>
      <c r="R715" s="13"/>
      <c r="S715" s="13"/>
      <c r="T715" s="13"/>
      <c r="U715" s="13"/>
      <c r="V715" s="13"/>
      <c r="W715" s="13"/>
      <c r="X715" s="13"/>
    </row>
    <row r="716" spans="4:24" ht="12.75" customHeight="1">
      <c r="D716" s="13"/>
      <c r="E716" s="13"/>
      <c r="F716" s="13"/>
      <c r="G716" s="13"/>
      <c r="H716" s="13"/>
      <c r="I716" s="13"/>
      <c r="J716" s="13"/>
      <c r="K716" s="13"/>
      <c r="L716" s="13"/>
      <c r="M716" s="13"/>
      <c r="N716" s="13"/>
      <c r="O716" s="13"/>
      <c r="P716" s="13"/>
      <c r="Q716" s="13"/>
      <c r="R716" s="13"/>
      <c r="S716" s="13"/>
      <c r="T716" s="13"/>
      <c r="U716" s="13"/>
      <c r="V716" s="13"/>
      <c r="W716" s="13"/>
      <c r="X716" s="13"/>
    </row>
    <row r="717" spans="4:24" ht="12.75" customHeight="1">
      <c r="D717" s="13"/>
      <c r="E717" s="13"/>
      <c r="F717" s="13"/>
      <c r="G717" s="13"/>
      <c r="H717" s="13"/>
      <c r="I717" s="13"/>
      <c r="J717" s="13"/>
      <c r="K717" s="13"/>
      <c r="L717" s="13"/>
      <c r="M717" s="13"/>
      <c r="N717" s="13"/>
      <c r="O717" s="13"/>
      <c r="P717" s="13"/>
      <c r="Q717" s="13"/>
      <c r="R717" s="13"/>
      <c r="S717" s="13"/>
      <c r="T717" s="13"/>
      <c r="U717" s="13"/>
      <c r="V717" s="13"/>
      <c r="W717" s="13"/>
      <c r="X717" s="13"/>
    </row>
    <row r="718" spans="4:24" ht="12.75" customHeight="1">
      <c r="D718" s="13"/>
      <c r="E718" s="13"/>
      <c r="F718" s="13"/>
      <c r="G718" s="13"/>
      <c r="H718" s="13"/>
      <c r="I718" s="13"/>
      <c r="J718" s="13"/>
      <c r="K718" s="13"/>
      <c r="L718" s="13"/>
      <c r="M718" s="13"/>
      <c r="N718" s="13"/>
      <c r="O718" s="13"/>
      <c r="P718" s="13"/>
      <c r="Q718" s="13"/>
      <c r="R718" s="13"/>
      <c r="S718" s="13"/>
      <c r="T718" s="13"/>
      <c r="U718" s="13"/>
      <c r="V718" s="13"/>
      <c r="W718" s="13"/>
      <c r="X718" s="13"/>
    </row>
    <row r="719" spans="4:24" ht="12.75" customHeight="1">
      <c r="D719" s="13"/>
      <c r="E719" s="13"/>
      <c r="F719" s="13"/>
      <c r="G719" s="13"/>
      <c r="H719" s="13"/>
      <c r="I719" s="13"/>
      <c r="J719" s="13"/>
      <c r="K719" s="13"/>
      <c r="L719" s="13"/>
      <c r="M719" s="13"/>
      <c r="N719" s="13"/>
      <c r="O719" s="13"/>
      <c r="P719" s="13"/>
      <c r="Q719" s="13"/>
      <c r="R719" s="13"/>
      <c r="S719" s="13"/>
      <c r="T719" s="13"/>
      <c r="U719" s="13"/>
      <c r="V719" s="13"/>
      <c r="W719" s="13"/>
      <c r="X719" s="13"/>
    </row>
    <row r="720" spans="4:24" ht="12.75" customHeight="1">
      <c r="D720" s="13"/>
      <c r="E720" s="13"/>
      <c r="F720" s="13"/>
      <c r="G720" s="13"/>
      <c r="H720" s="13"/>
      <c r="I720" s="13"/>
      <c r="J720" s="13"/>
      <c r="K720" s="13"/>
      <c r="L720" s="13"/>
      <c r="M720" s="13"/>
      <c r="N720" s="13"/>
      <c r="O720" s="13"/>
      <c r="P720" s="13"/>
      <c r="Q720" s="13"/>
      <c r="R720" s="13"/>
      <c r="S720" s="13"/>
      <c r="T720" s="13"/>
      <c r="U720" s="13"/>
      <c r="V720" s="13"/>
      <c r="W720" s="13"/>
      <c r="X720" s="13"/>
    </row>
    <row r="721" spans="4:24" ht="12.75" customHeight="1">
      <c r="D721" s="13"/>
      <c r="E721" s="13"/>
      <c r="F721" s="13"/>
      <c r="G721" s="13"/>
      <c r="H721" s="13"/>
      <c r="I721" s="13"/>
      <c r="J721" s="13"/>
      <c r="K721" s="13"/>
      <c r="L721" s="13"/>
      <c r="M721" s="13"/>
      <c r="N721" s="13"/>
      <c r="O721" s="13"/>
      <c r="P721" s="13"/>
      <c r="Q721" s="13"/>
      <c r="R721" s="13"/>
      <c r="S721" s="13"/>
      <c r="T721" s="13"/>
      <c r="U721" s="13"/>
      <c r="V721" s="13"/>
      <c r="W721" s="13"/>
      <c r="X721" s="13"/>
    </row>
    <row r="722" spans="4:24" ht="12.75" customHeight="1">
      <c r="D722" s="13"/>
      <c r="E722" s="13"/>
      <c r="F722" s="13"/>
      <c r="G722" s="13"/>
      <c r="H722" s="13"/>
      <c r="I722" s="13"/>
      <c r="J722" s="13"/>
      <c r="K722" s="13"/>
      <c r="L722" s="13"/>
      <c r="M722" s="13"/>
      <c r="N722" s="13"/>
      <c r="O722" s="13"/>
      <c r="P722" s="13"/>
      <c r="Q722" s="13"/>
      <c r="R722" s="13"/>
      <c r="S722" s="13"/>
      <c r="T722" s="13"/>
      <c r="U722" s="13"/>
      <c r="V722" s="13"/>
      <c r="W722" s="13"/>
      <c r="X722" s="13"/>
    </row>
    <row r="723" spans="4:24" ht="12.75" customHeight="1">
      <c r="D723" s="13"/>
      <c r="E723" s="13"/>
      <c r="F723" s="13"/>
      <c r="G723" s="13"/>
      <c r="H723" s="13"/>
      <c r="I723" s="13"/>
      <c r="J723" s="13"/>
      <c r="K723" s="13"/>
      <c r="L723" s="13"/>
      <c r="M723" s="13"/>
      <c r="N723" s="13"/>
      <c r="O723" s="13"/>
      <c r="P723" s="13"/>
      <c r="Q723" s="13"/>
      <c r="R723" s="13"/>
      <c r="S723" s="13"/>
      <c r="T723" s="13"/>
      <c r="U723" s="13"/>
      <c r="V723" s="13"/>
      <c r="W723" s="13"/>
      <c r="X723" s="13"/>
    </row>
    <row r="724" spans="4:24" ht="12.75" customHeight="1">
      <c r="D724" s="13"/>
      <c r="E724" s="13"/>
      <c r="F724" s="13"/>
      <c r="G724" s="13"/>
      <c r="H724" s="13"/>
      <c r="I724" s="13"/>
      <c r="J724" s="13"/>
      <c r="K724" s="13"/>
      <c r="L724" s="13"/>
      <c r="M724" s="13"/>
      <c r="N724" s="13"/>
      <c r="O724" s="13"/>
      <c r="P724" s="13"/>
      <c r="Q724" s="13"/>
      <c r="R724" s="13"/>
      <c r="S724" s="13"/>
      <c r="T724" s="13"/>
      <c r="U724" s="13"/>
      <c r="V724" s="13"/>
      <c r="W724" s="13"/>
      <c r="X724" s="13"/>
    </row>
    <row r="725" spans="4:24" ht="12.75" customHeight="1">
      <c r="D725" s="13"/>
      <c r="E725" s="13"/>
      <c r="F725" s="13"/>
      <c r="G725" s="13"/>
      <c r="H725" s="13"/>
      <c r="I725" s="13"/>
      <c r="J725" s="13"/>
      <c r="K725" s="13"/>
      <c r="L725" s="13"/>
      <c r="M725" s="13"/>
      <c r="N725" s="13"/>
      <c r="O725" s="13"/>
      <c r="P725" s="13"/>
      <c r="Q725" s="13"/>
      <c r="R725" s="13"/>
      <c r="S725" s="13"/>
      <c r="T725" s="13"/>
      <c r="U725" s="13"/>
      <c r="V725" s="13"/>
      <c r="W725" s="13"/>
      <c r="X725" s="13"/>
    </row>
    <row r="726" spans="4:24" ht="12.75" customHeight="1">
      <c r="D726" s="13"/>
      <c r="E726" s="13"/>
      <c r="F726" s="13"/>
      <c r="G726" s="13"/>
      <c r="H726" s="13"/>
      <c r="I726" s="13"/>
      <c r="J726" s="13"/>
      <c r="K726" s="13"/>
      <c r="L726" s="13"/>
      <c r="M726" s="13"/>
      <c r="N726" s="13"/>
      <c r="O726" s="13"/>
      <c r="P726" s="13"/>
      <c r="Q726" s="13"/>
      <c r="R726" s="13"/>
      <c r="S726" s="13"/>
      <c r="T726" s="13"/>
      <c r="U726" s="13"/>
      <c r="V726" s="13"/>
      <c r="W726" s="13"/>
      <c r="X726" s="13"/>
    </row>
    <row r="727" spans="4:24" ht="12.75" customHeight="1">
      <c r="D727" s="13"/>
      <c r="E727" s="13"/>
      <c r="F727" s="13"/>
      <c r="G727" s="13"/>
      <c r="H727" s="13"/>
      <c r="I727" s="13"/>
      <c r="J727" s="13"/>
      <c r="K727" s="13"/>
      <c r="L727" s="13"/>
      <c r="M727" s="13"/>
      <c r="N727" s="13"/>
      <c r="O727" s="13"/>
      <c r="P727" s="13"/>
      <c r="Q727" s="13"/>
      <c r="R727" s="13"/>
      <c r="S727" s="13"/>
      <c r="T727" s="13"/>
      <c r="U727" s="13"/>
      <c r="V727" s="13"/>
      <c r="W727" s="13"/>
      <c r="X727" s="13"/>
    </row>
    <row r="728" spans="4:24" ht="12.75" customHeight="1">
      <c r="D728" s="13"/>
      <c r="E728" s="13"/>
      <c r="F728" s="13"/>
      <c r="G728" s="13"/>
      <c r="H728" s="13"/>
      <c r="I728" s="13"/>
      <c r="J728" s="13"/>
      <c r="K728" s="13"/>
      <c r="L728" s="13"/>
      <c r="M728" s="13"/>
      <c r="N728" s="13"/>
      <c r="O728" s="13"/>
      <c r="P728" s="13"/>
      <c r="Q728" s="13"/>
      <c r="R728" s="13"/>
      <c r="S728" s="13"/>
      <c r="T728" s="13"/>
      <c r="U728" s="13"/>
      <c r="V728" s="13"/>
      <c r="W728" s="13"/>
      <c r="X728" s="13"/>
    </row>
    <row r="729" spans="4:24" ht="12.75" customHeight="1">
      <c r="D729" s="13"/>
      <c r="E729" s="13"/>
      <c r="F729" s="13"/>
      <c r="G729" s="13"/>
      <c r="H729" s="13"/>
      <c r="I729" s="13"/>
      <c r="J729" s="13"/>
      <c r="K729" s="13"/>
      <c r="L729" s="13"/>
      <c r="M729" s="13"/>
      <c r="N729" s="13"/>
      <c r="O729" s="13"/>
      <c r="P729" s="13"/>
      <c r="Q729" s="13"/>
      <c r="R729" s="13"/>
      <c r="S729" s="13"/>
      <c r="T729" s="13"/>
      <c r="U729" s="13"/>
      <c r="V729" s="13"/>
      <c r="W729" s="13"/>
      <c r="X729" s="13"/>
    </row>
    <row r="730" spans="4:24" ht="12.75" customHeight="1">
      <c r="D730" s="13"/>
      <c r="E730" s="13"/>
      <c r="F730" s="13"/>
      <c r="G730" s="13"/>
      <c r="H730" s="13"/>
      <c r="I730" s="13"/>
      <c r="J730" s="13"/>
      <c r="K730" s="13"/>
      <c r="L730" s="13"/>
      <c r="M730" s="13"/>
      <c r="N730" s="13"/>
      <c r="O730" s="13"/>
      <c r="P730" s="13"/>
      <c r="Q730" s="13"/>
      <c r="R730" s="13"/>
      <c r="S730" s="13"/>
      <c r="T730" s="13"/>
      <c r="U730" s="13"/>
      <c r="V730" s="13"/>
      <c r="W730" s="13"/>
      <c r="X730" s="13"/>
    </row>
    <row r="731" spans="4:24" ht="12.75" customHeight="1">
      <c r="D731" s="13"/>
      <c r="E731" s="13"/>
      <c r="F731" s="13"/>
      <c r="G731" s="13"/>
      <c r="H731" s="13"/>
      <c r="I731" s="13"/>
      <c r="J731" s="13"/>
      <c r="K731" s="13"/>
      <c r="L731" s="13"/>
      <c r="M731" s="13"/>
      <c r="N731" s="13"/>
      <c r="O731" s="13"/>
      <c r="P731" s="13"/>
      <c r="Q731" s="13"/>
      <c r="R731" s="13"/>
      <c r="S731" s="13"/>
      <c r="T731" s="13"/>
      <c r="U731" s="13"/>
      <c r="V731" s="13"/>
      <c r="W731" s="13"/>
      <c r="X731" s="13"/>
    </row>
    <row r="732" spans="4:24" ht="12.75" customHeight="1">
      <c r="D732" s="13"/>
      <c r="E732" s="13"/>
      <c r="F732" s="13"/>
      <c r="G732" s="13"/>
      <c r="H732" s="13"/>
      <c r="I732" s="13"/>
      <c r="J732" s="13"/>
      <c r="K732" s="13"/>
      <c r="L732" s="13"/>
      <c r="M732" s="13"/>
      <c r="N732" s="13"/>
      <c r="O732" s="13"/>
      <c r="P732" s="13"/>
      <c r="Q732" s="13"/>
      <c r="R732" s="13"/>
      <c r="S732" s="13"/>
      <c r="T732" s="13"/>
      <c r="U732" s="13"/>
      <c r="V732" s="13"/>
      <c r="W732" s="13"/>
      <c r="X732" s="13"/>
    </row>
    <row r="733" spans="4:24" ht="12.75" customHeight="1">
      <c r="D733" s="13"/>
      <c r="E733" s="13"/>
      <c r="F733" s="13"/>
      <c r="G733" s="13"/>
      <c r="H733" s="13"/>
      <c r="I733" s="13"/>
      <c r="J733" s="13"/>
      <c r="K733" s="13"/>
      <c r="L733" s="13"/>
      <c r="M733" s="13"/>
      <c r="N733" s="13"/>
      <c r="O733" s="13"/>
      <c r="P733" s="13"/>
      <c r="Q733" s="13"/>
      <c r="R733" s="13"/>
      <c r="S733" s="13"/>
      <c r="T733" s="13"/>
      <c r="U733" s="13"/>
      <c r="V733" s="13"/>
      <c r="W733" s="13"/>
      <c r="X733" s="13"/>
    </row>
  </sheetData>
  <mergeCells count="12">
    <mergeCell ref="A3:B4"/>
    <mergeCell ref="A130:B130"/>
    <mergeCell ref="A136:B136"/>
    <mergeCell ref="A11:B11"/>
    <mergeCell ref="A34:B34"/>
    <mergeCell ref="A52:B52"/>
    <mergeCell ref="A74:B74"/>
    <mergeCell ref="A89:B89"/>
    <mergeCell ref="A81:B82"/>
    <mergeCell ref="A122:B123"/>
    <mergeCell ref="A97:B97"/>
    <mergeCell ref="A114:B114"/>
  </mergeCells>
  <printOptions horizontalCentered="1"/>
  <pageMargins left="0.23622047244094491" right="0.59055118110236227" top="0.78740157480314965" bottom="0.78740157480314965" header="0" footer="0"/>
  <pageSetup paperSize="9" orientation="portrait" r:id="rId1"/>
  <headerFooter>
    <oddHeader>&amp;L&amp;"Arial Narrow,Negrita"MUNICIPALIDAD VILLA MARÍA&amp;R&amp;"Arial Narrow,Negrita"PRESUPUESTO 2024</oddHeader>
    <oddFooter>&amp;R&amp;"Arial Narrow,Normal"&amp;P</oddFooter>
  </headerFooter>
  <rowBreaks count="2" manualBreakCount="2">
    <brk id="46" max="2" man="1"/>
    <brk id="99" max="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FF33"/>
  </sheetPr>
  <dimension ref="A1:V1000"/>
  <sheetViews>
    <sheetView zoomScaleNormal="100" workbookViewId="0">
      <selection activeCell="E9" sqref="E9"/>
    </sheetView>
  </sheetViews>
  <sheetFormatPr baseColWidth="10" defaultColWidth="14.42578125" defaultRowHeight="15" customHeight="1"/>
  <cols>
    <col min="1" max="1" width="10.7109375" customWidth="1"/>
    <col min="2" max="2" width="50.7109375" customWidth="1"/>
    <col min="3" max="3" width="15.7109375" customWidth="1"/>
    <col min="4" max="4" width="16" customWidth="1"/>
    <col min="5" max="5" width="15.140625" customWidth="1"/>
    <col min="6" max="6" width="14.85546875" customWidth="1"/>
    <col min="7" max="7" width="14" customWidth="1"/>
    <col min="8" max="8" width="14.85546875" customWidth="1"/>
    <col min="9" max="22" width="11.42578125" customWidth="1"/>
  </cols>
  <sheetData>
    <row r="1" spans="1:22" ht="15" customHeight="1" thickBot="1">
      <c r="A1" s="1555" t="s">
        <v>981</v>
      </c>
      <c r="B1" s="1556"/>
      <c r="C1" s="1557"/>
    </row>
    <row r="2" spans="1:22" ht="13.5" customHeight="1" thickBot="1">
      <c r="A2" s="8"/>
      <c r="B2" s="605"/>
      <c r="C2" s="604"/>
      <c r="D2" s="8"/>
      <c r="E2" s="8"/>
      <c r="F2" s="8"/>
      <c r="G2" s="8"/>
      <c r="H2" s="8"/>
      <c r="I2" s="8"/>
      <c r="J2" s="8"/>
      <c r="K2" s="8"/>
      <c r="L2" s="8"/>
      <c r="M2" s="8"/>
      <c r="N2" s="8"/>
      <c r="O2" s="8"/>
      <c r="P2" s="8"/>
      <c r="Q2" s="8"/>
      <c r="R2" s="8"/>
      <c r="S2" s="8"/>
      <c r="T2" s="8"/>
      <c r="U2" s="8"/>
      <c r="V2" s="8"/>
    </row>
    <row r="3" spans="1:22" ht="13.5" customHeight="1">
      <c r="A3" s="1063" t="s">
        <v>269</v>
      </c>
      <c r="B3" s="1153"/>
      <c r="C3" s="1157" t="s">
        <v>270</v>
      </c>
      <c r="D3" s="8"/>
      <c r="E3" s="8"/>
      <c r="F3" s="8"/>
      <c r="G3" s="8"/>
      <c r="H3" s="8"/>
      <c r="I3" s="8"/>
      <c r="J3" s="8"/>
      <c r="K3" s="8"/>
      <c r="L3" s="8"/>
      <c r="M3" s="8"/>
      <c r="N3" s="8"/>
      <c r="O3" s="8"/>
      <c r="P3" s="8"/>
      <c r="Q3" s="8"/>
      <c r="R3" s="8"/>
      <c r="S3" s="8"/>
      <c r="T3" s="8"/>
      <c r="U3" s="8"/>
      <c r="V3" s="8"/>
    </row>
    <row r="4" spans="1:22" ht="13.5" customHeight="1" thickBot="1">
      <c r="A4" s="1064"/>
      <c r="B4" s="1154"/>
      <c r="C4" s="1100"/>
      <c r="D4" s="8"/>
      <c r="E4" s="8"/>
      <c r="F4" s="8"/>
      <c r="G4" s="8"/>
      <c r="H4" s="8"/>
      <c r="I4" s="8"/>
      <c r="J4" s="8"/>
      <c r="K4" s="8"/>
      <c r="L4" s="8"/>
      <c r="M4" s="8"/>
      <c r="N4" s="8"/>
      <c r="O4" s="8"/>
      <c r="P4" s="8"/>
      <c r="Q4" s="8"/>
      <c r="R4" s="8"/>
      <c r="S4" s="8"/>
      <c r="T4" s="8"/>
      <c r="U4" s="8"/>
      <c r="V4" s="8"/>
    </row>
    <row r="5" spans="1:22" ht="13.5" customHeight="1">
      <c r="A5" s="1097" t="s">
        <v>671</v>
      </c>
      <c r="B5" s="986"/>
      <c r="C5" s="1098"/>
      <c r="D5" s="13"/>
      <c r="E5" s="13"/>
      <c r="F5" s="13"/>
      <c r="G5" s="13"/>
      <c r="H5" s="13"/>
      <c r="I5" s="13"/>
      <c r="J5" s="13"/>
      <c r="K5" s="13"/>
      <c r="L5" s="13"/>
      <c r="M5" s="13"/>
      <c r="N5" s="13"/>
      <c r="O5" s="13"/>
      <c r="P5" s="13"/>
      <c r="Q5" s="13"/>
      <c r="R5" s="13"/>
      <c r="S5" s="13"/>
      <c r="T5" s="13"/>
      <c r="U5" s="13"/>
      <c r="V5" s="13"/>
    </row>
    <row r="6" spans="1:22" ht="13.5" customHeight="1">
      <c r="A6" s="1097" t="s">
        <v>271</v>
      </c>
      <c r="B6" s="986"/>
      <c r="C6" s="1098"/>
      <c r="D6" s="13"/>
      <c r="E6" s="13"/>
      <c r="F6" s="13"/>
      <c r="G6" s="13"/>
      <c r="H6" s="13"/>
      <c r="I6" s="13"/>
      <c r="J6" s="13"/>
      <c r="K6" s="13"/>
      <c r="L6" s="13"/>
      <c r="M6" s="13"/>
      <c r="N6" s="13"/>
      <c r="O6" s="13"/>
      <c r="P6" s="13"/>
      <c r="Q6" s="13"/>
      <c r="R6" s="13"/>
      <c r="S6" s="13"/>
      <c r="T6" s="13"/>
      <c r="U6" s="13"/>
      <c r="V6" s="13"/>
    </row>
    <row r="7" spans="1:22" ht="13.5" customHeight="1">
      <c r="A7" s="1097" t="s">
        <v>288</v>
      </c>
      <c r="B7" s="986"/>
      <c r="C7" s="1098"/>
      <c r="D7" s="13"/>
      <c r="E7" s="13"/>
      <c r="F7" s="13"/>
      <c r="G7" s="13"/>
      <c r="H7" s="13"/>
      <c r="I7" s="13"/>
      <c r="J7" s="13"/>
      <c r="K7" s="13"/>
      <c r="L7" s="13"/>
      <c r="M7" s="13"/>
      <c r="N7" s="13"/>
      <c r="O7" s="13"/>
      <c r="P7" s="13"/>
      <c r="Q7" s="13"/>
      <c r="R7" s="13"/>
      <c r="S7" s="13"/>
      <c r="T7" s="13"/>
      <c r="U7" s="13"/>
      <c r="V7" s="13"/>
    </row>
    <row r="8" spans="1:22" ht="13.5" customHeight="1" thickBot="1">
      <c r="A8" s="1097" t="s">
        <v>0</v>
      </c>
      <c r="B8" s="986"/>
      <c r="C8" s="1098"/>
      <c r="D8" s="13"/>
      <c r="E8" s="13"/>
      <c r="F8" s="13"/>
      <c r="G8" s="13"/>
      <c r="H8" s="13"/>
      <c r="I8" s="13"/>
      <c r="J8" s="13"/>
      <c r="K8" s="13"/>
      <c r="L8" s="13"/>
      <c r="M8" s="13"/>
      <c r="N8" s="13"/>
      <c r="O8" s="13"/>
      <c r="P8" s="13"/>
      <c r="Q8" s="13"/>
      <c r="R8" s="13"/>
      <c r="S8" s="13"/>
      <c r="T8" s="13"/>
      <c r="U8" s="13"/>
      <c r="V8" s="13"/>
    </row>
    <row r="9" spans="1:22" ht="13.5" customHeight="1" thickBot="1">
      <c r="A9" s="1158" t="s">
        <v>1</v>
      </c>
      <c r="B9" s="1159"/>
      <c r="C9" s="1651">
        <f>C11+C43+C113</f>
        <v>231398244.76000002</v>
      </c>
      <c r="D9" s="1638"/>
      <c r="E9" s="1621"/>
      <c r="F9" s="1621"/>
      <c r="G9" s="1621"/>
      <c r="H9" s="1621"/>
      <c r="I9" s="1621"/>
      <c r="J9" s="1621"/>
      <c r="K9" s="13"/>
      <c r="L9" s="13"/>
      <c r="M9" s="13"/>
      <c r="N9" s="13"/>
      <c r="O9" s="13"/>
      <c r="P9" s="13"/>
      <c r="Q9" s="13"/>
      <c r="R9" s="13"/>
      <c r="S9" s="13"/>
      <c r="T9" s="13"/>
      <c r="U9" s="13"/>
      <c r="V9" s="13"/>
    </row>
    <row r="10" spans="1:22" ht="13.5" customHeight="1" thickBot="1">
      <c r="A10" s="15"/>
      <c r="B10" s="15"/>
      <c r="C10" s="1622"/>
      <c r="D10" s="1618"/>
      <c r="E10" s="1618"/>
      <c r="F10" s="1618"/>
      <c r="G10" s="1618"/>
      <c r="H10" s="1618"/>
      <c r="I10" s="1621"/>
      <c r="J10" s="1621"/>
      <c r="K10" s="13"/>
      <c r="L10" s="13"/>
      <c r="M10" s="13"/>
      <c r="N10" s="13"/>
      <c r="O10" s="13"/>
      <c r="P10" s="13"/>
      <c r="Q10" s="13"/>
      <c r="R10" s="13"/>
      <c r="S10" s="13"/>
      <c r="T10" s="13"/>
      <c r="U10" s="13"/>
      <c r="V10" s="13"/>
    </row>
    <row r="11" spans="1:22" ht="13.5" customHeight="1" thickBot="1">
      <c r="A11" s="1451" t="s">
        <v>2</v>
      </c>
      <c r="B11" s="1416"/>
      <c r="C11" s="1650">
        <f>C12+C19+C26</f>
        <v>210930244.76000002</v>
      </c>
      <c r="D11" s="1613"/>
      <c r="E11" s="1613"/>
      <c r="F11" s="1613"/>
      <c r="G11" s="1613"/>
      <c r="H11" s="1613"/>
      <c r="I11" s="1621"/>
      <c r="J11" s="1621"/>
      <c r="K11" s="13"/>
      <c r="L11" s="13"/>
      <c r="M11" s="13"/>
      <c r="N11" s="13"/>
      <c r="O11" s="13"/>
      <c r="P11" s="13"/>
      <c r="Q11" s="13"/>
      <c r="R11" s="13"/>
      <c r="S11" s="13"/>
      <c r="T11" s="13"/>
      <c r="U11" s="13"/>
      <c r="V11" s="13"/>
    </row>
    <row r="12" spans="1:22" ht="12.75" customHeight="1">
      <c r="A12" s="48">
        <v>211101</v>
      </c>
      <c r="B12" s="22" t="s">
        <v>667</v>
      </c>
      <c r="C12" s="970">
        <f>SUM(C13:C18)</f>
        <v>31743059.929999996</v>
      </c>
      <c r="D12" s="1615"/>
      <c r="E12" s="1615"/>
      <c r="F12" s="1615"/>
      <c r="G12" s="1615"/>
      <c r="H12" s="1615"/>
      <c r="I12" s="1621"/>
      <c r="J12" s="1621"/>
      <c r="K12" s="13"/>
      <c r="L12" s="13"/>
      <c r="M12" s="13"/>
      <c r="N12" s="13"/>
      <c r="O12" s="13"/>
      <c r="P12" s="13"/>
      <c r="Q12" s="13"/>
      <c r="R12" s="13"/>
      <c r="S12" s="13"/>
      <c r="T12" s="13"/>
      <c r="U12" s="13"/>
      <c r="V12" s="13"/>
    </row>
    <row r="13" spans="1:22" ht="12.75" customHeight="1">
      <c r="A13" s="33">
        <v>21110101</v>
      </c>
      <c r="B13" s="24" t="s">
        <v>810</v>
      </c>
      <c r="C13" s="809">
        <v>26281297.119999997</v>
      </c>
      <c r="D13" s="1615"/>
      <c r="E13" s="1615"/>
      <c r="F13" s="1615"/>
      <c r="G13" s="1615"/>
      <c r="H13" s="1615"/>
      <c r="I13" s="1621"/>
      <c r="J13" s="1621"/>
      <c r="K13" s="13"/>
      <c r="L13" s="13"/>
      <c r="M13" s="13"/>
      <c r="N13" s="13"/>
      <c r="O13" s="13"/>
      <c r="P13" s="13"/>
      <c r="Q13" s="13"/>
      <c r="R13" s="13"/>
      <c r="S13" s="13"/>
      <c r="T13" s="13"/>
      <c r="U13" s="13"/>
      <c r="V13" s="13"/>
    </row>
    <row r="14" spans="1:22" ht="12.75" customHeight="1">
      <c r="A14" s="33">
        <v>21110102</v>
      </c>
      <c r="B14" s="24" t="s">
        <v>811</v>
      </c>
      <c r="C14" s="809">
        <v>4726965.47</v>
      </c>
      <c r="D14" s="1615"/>
      <c r="E14" s="1615"/>
      <c r="F14" s="1617"/>
      <c r="G14" s="1615"/>
      <c r="H14" s="1615"/>
      <c r="I14" s="1621"/>
      <c r="J14" s="1621"/>
      <c r="K14" s="13"/>
      <c r="L14" s="13"/>
      <c r="M14" s="13"/>
      <c r="N14" s="13"/>
      <c r="O14" s="13"/>
      <c r="P14" s="13"/>
      <c r="Q14" s="13"/>
      <c r="R14" s="13"/>
      <c r="S14" s="13"/>
      <c r="T14" s="13"/>
      <c r="U14" s="13"/>
      <c r="V14" s="13"/>
    </row>
    <row r="15" spans="1:22" ht="12.75" customHeight="1">
      <c r="A15" s="33">
        <v>21110103</v>
      </c>
      <c r="B15" s="24" t="s">
        <v>812</v>
      </c>
      <c r="C15" s="809">
        <v>561875.34</v>
      </c>
      <c r="D15" s="1649"/>
      <c r="E15" s="1649"/>
      <c r="F15" s="1620"/>
      <c r="G15" s="1620"/>
      <c r="H15" s="1620"/>
      <c r="I15" s="1620"/>
      <c r="J15" s="1620"/>
      <c r="K15" s="27"/>
      <c r="L15" s="27"/>
      <c r="M15" s="27"/>
      <c r="N15" s="27"/>
      <c r="O15" s="27"/>
      <c r="P15" s="27"/>
      <c r="Q15" s="27"/>
      <c r="R15" s="27"/>
      <c r="S15" s="27"/>
      <c r="T15" s="27"/>
      <c r="U15" s="27"/>
      <c r="V15" s="27"/>
    </row>
    <row r="16" spans="1:22" ht="12.75" customHeight="1">
      <c r="A16" s="33">
        <v>21110104</v>
      </c>
      <c r="B16" s="24" t="s">
        <v>813</v>
      </c>
      <c r="C16" s="809">
        <v>1</v>
      </c>
      <c r="D16" s="1620"/>
      <c r="E16" s="1620"/>
      <c r="F16" s="1620"/>
      <c r="G16" s="1620"/>
      <c r="H16" s="1620"/>
      <c r="I16" s="1620"/>
      <c r="J16" s="1620"/>
      <c r="K16" s="27"/>
      <c r="L16" s="27"/>
      <c r="M16" s="27"/>
      <c r="N16" s="27"/>
      <c r="O16" s="27"/>
      <c r="P16" s="27"/>
      <c r="Q16" s="27"/>
      <c r="R16" s="27"/>
      <c r="S16" s="27"/>
      <c r="T16" s="27"/>
      <c r="U16" s="27"/>
      <c r="V16" s="27"/>
    </row>
    <row r="17" spans="1:22" ht="12.75" customHeight="1">
      <c r="A17" s="33">
        <v>21110105</v>
      </c>
      <c r="B17" s="24" t="s">
        <v>814</v>
      </c>
      <c r="C17" s="809">
        <v>172920</v>
      </c>
      <c r="D17" s="1620"/>
      <c r="E17" s="1620"/>
      <c r="F17" s="1620"/>
      <c r="G17" s="1620"/>
      <c r="H17" s="1620"/>
      <c r="I17" s="1620"/>
      <c r="J17" s="1620"/>
      <c r="K17" s="27"/>
      <c r="L17" s="27"/>
      <c r="M17" s="27"/>
      <c r="N17" s="27"/>
      <c r="O17" s="27"/>
      <c r="P17" s="27"/>
      <c r="Q17" s="27"/>
      <c r="R17" s="27"/>
      <c r="S17" s="27"/>
      <c r="T17" s="27"/>
      <c r="U17" s="27"/>
      <c r="V17" s="27"/>
    </row>
    <row r="18" spans="1:22" ht="12.75" customHeight="1">
      <c r="A18" s="33">
        <v>21110106</v>
      </c>
      <c r="B18" s="24" t="s">
        <v>815</v>
      </c>
      <c r="C18" s="809">
        <v>1</v>
      </c>
      <c r="D18" s="1620"/>
      <c r="E18" s="1620"/>
      <c r="F18" s="1620"/>
      <c r="G18" s="1620"/>
      <c r="H18" s="1620"/>
      <c r="I18" s="1620"/>
      <c r="J18" s="1620"/>
      <c r="K18" s="27"/>
      <c r="L18" s="27"/>
      <c r="M18" s="27"/>
      <c r="N18" s="27"/>
      <c r="O18" s="27"/>
      <c r="P18" s="27"/>
      <c r="Q18" s="27"/>
      <c r="R18" s="27"/>
      <c r="S18" s="27"/>
      <c r="T18" s="27"/>
      <c r="U18" s="27"/>
      <c r="V18" s="27"/>
    </row>
    <row r="19" spans="1:22" ht="12.75" customHeight="1">
      <c r="A19" s="48">
        <v>211102</v>
      </c>
      <c r="B19" s="26" t="s">
        <v>668</v>
      </c>
      <c r="C19" s="970">
        <f>SUM(C20:C25)</f>
        <v>125783595.33000001</v>
      </c>
      <c r="D19" s="1620"/>
      <c r="E19" s="1620"/>
      <c r="F19" s="1620"/>
      <c r="G19" s="1620"/>
      <c r="H19" s="1620"/>
      <c r="I19" s="1620"/>
      <c r="J19" s="1620"/>
      <c r="K19" s="27"/>
      <c r="L19" s="27"/>
      <c r="M19" s="27"/>
      <c r="N19" s="27"/>
      <c r="O19" s="27"/>
      <c r="P19" s="27"/>
      <c r="Q19" s="27"/>
      <c r="R19" s="27"/>
      <c r="S19" s="27"/>
      <c r="T19" s="27"/>
      <c r="U19" s="27"/>
      <c r="V19" s="27"/>
    </row>
    <row r="20" spans="1:22" ht="12.75" customHeight="1">
      <c r="A20" s="33">
        <v>21110201</v>
      </c>
      <c r="B20" s="24" t="s">
        <v>816</v>
      </c>
      <c r="C20" s="24">
        <v>104805177.62</v>
      </c>
      <c r="D20" s="994"/>
      <c r="E20" s="27"/>
      <c r="F20" s="27"/>
      <c r="G20" s="27"/>
      <c r="H20" s="27"/>
      <c r="I20" s="27"/>
      <c r="J20" s="27"/>
      <c r="K20" s="27"/>
      <c r="L20" s="27"/>
      <c r="M20" s="27"/>
      <c r="N20" s="27"/>
      <c r="O20" s="27"/>
      <c r="P20" s="27"/>
      <c r="Q20" s="27"/>
      <c r="R20" s="27"/>
      <c r="S20" s="27"/>
      <c r="T20" s="27"/>
      <c r="U20" s="27"/>
      <c r="V20" s="27"/>
    </row>
    <row r="21" spans="1:22" ht="12.75" customHeight="1">
      <c r="A21" s="33">
        <v>21110202</v>
      </c>
      <c r="B21" s="24" t="s">
        <v>817</v>
      </c>
      <c r="C21" s="24">
        <v>17395207.18</v>
      </c>
      <c r="D21" s="13"/>
      <c r="E21" s="13"/>
      <c r="F21" s="13"/>
      <c r="G21" s="13"/>
      <c r="H21" s="13"/>
      <c r="I21" s="13"/>
      <c r="J21" s="13"/>
      <c r="K21" s="13"/>
      <c r="L21" s="13"/>
      <c r="M21" s="13"/>
      <c r="N21" s="13"/>
      <c r="O21" s="13"/>
      <c r="P21" s="13"/>
      <c r="Q21" s="13"/>
      <c r="R21" s="13"/>
      <c r="S21" s="13"/>
      <c r="T21" s="13"/>
      <c r="U21" s="13"/>
      <c r="V21" s="13"/>
    </row>
    <row r="22" spans="1:22" ht="12.75" customHeight="1">
      <c r="A22" s="33">
        <v>21110203</v>
      </c>
      <c r="B22" s="24" t="s">
        <v>818</v>
      </c>
      <c r="C22" s="24">
        <v>3210464.53</v>
      </c>
      <c r="D22" s="13"/>
      <c r="E22" s="13"/>
      <c r="F22" s="13"/>
      <c r="G22" s="13"/>
      <c r="H22" s="13"/>
      <c r="I22" s="13"/>
      <c r="J22" s="13"/>
      <c r="K22" s="13"/>
      <c r="L22" s="13"/>
      <c r="M22" s="13"/>
      <c r="N22" s="13"/>
      <c r="O22" s="13"/>
      <c r="P22" s="13"/>
      <c r="Q22" s="13"/>
      <c r="R22" s="13"/>
      <c r="S22" s="13"/>
      <c r="T22" s="13"/>
      <c r="U22" s="13"/>
      <c r="V22" s="13"/>
    </row>
    <row r="23" spans="1:22" ht="12.75" customHeight="1">
      <c r="A23" s="33">
        <v>21110204</v>
      </c>
      <c r="B23" s="24" t="s">
        <v>819</v>
      </c>
      <c r="C23" s="24">
        <v>1</v>
      </c>
      <c r="D23" s="27"/>
      <c r="E23" s="27"/>
      <c r="F23" s="27"/>
      <c r="G23" s="27"/>
      <c r="H23" s="27"/>
      <c r="I23" s="27"/>
      <c r="J23" s="27"/>
      <c r="K23" s="27"/>
      <c r="L23" s="27"/>
      <c r="M23" s="27"/>
      <c r="N23" s="27"/>
      <c r="O23" s="27"/>
      <c r="P23" s="27"/>
      <c r="Q23" s="27"/>
      <c r="R23" s="27"/>
      <c r="S23" s="27"/>
      <c r="T23" s="27"/>
      <c r="U23" s="27"/>
      <c r="V23" s="27"/>
    </row>
    <row r="24" spans="1:22" ht="12.75" customHeight="1">
      <c r="A24" s="33">
        <v>21110205</v>
      </c>
      <c r="B24" s="24" t="s">
        <v>820</v>
      </c>
      <c r="C24" s="24">
        <v>372744</v>
      </c>
      <c r="D24" s="27"/>
      <c r="E24" s="27"/>
      <c r="F24" s="27"/>
      <c r="G24" s="27"/>
      <c r="H24" s="27"/>
      <c r="I24" s="27"/>
      <c r="J24" s="27"/>
      <c r="K24" s="27"/>
      <c r="L24" s="27"/>
      <c r="M24" s="27"/>
      <c r="N24" s="27"/>
      <c r="O24" s="27"/>
      <c r="P24" s="27"/>
      <c r="Q24" s="27"/>
      <c r="R24" s="27"/>
      <c r="S24" s="27"/>
      <c r="T24" s="27"/>
      <c r="U24" s="27"/>
      <c r="V24" s="27"/>
    </row>
    <row r="25" spans="1:22" ht="12.75" customHeight="1">
      <c r="A25" s="33">
        <v>21110206</v>
      </c>
      <c r="B25" s="24" t="s">
        <v>821</v>
      </c>
      <c r="C25" s="24">
        <v>1</v>
      </c>
      <c r="D25" s="27"/>
      <c r="E25" s="27"/>
      <c r="F25" s="27"/>
      <c r="G25" s="27"/>
      <c r="H25" s="27"/>
      <c r="I25" s="27"/>
      <c r="J25" s="27"/>
      <c r="K25" s="27"/>
      <c r="L25" s="27"/>
      <c r="M25" s="27"/>
      <c r="N25" s="27"/>
      <c r="O25" s="27"/>
      <c r="P25" s="27"/>
      <c r="Q25" s="27"/>
      <c r="R25" s="27"/>
      <c r="S25" s="27"/>
      <c r="T25" s="27"/>
      <c r="U25" s="27"/>
      <c r="V25" s="27"/>
    </row>
    <row r="26" spans="1:22" ht="12.75" customHeight="1">
      <c r="A26" s="48">
        <v>211103</v>
      </c>
      <c r="B26" s="26" t="s">
        <v>669</v>
      </c>
      <c r="C26" s="26">
        <f>SUM(C27:C32)</f>
        <v>53403589.5</v>
      </c>
      <c r="D26" s="27"/>
      <c r="E26" s="27"/>
      <c r="F26" s="27"/>
      <c r="G26" s="27"/>
      <c r="H26" s="27"/>
      <c r="I26" s="27"/>
      <c r="J26" s="27"/>
      <c r="K26" s="27"/>
      <c r="L26" s="27"/>
      <c r="M26" s="27"/>
      <c r="N26" s="27"/>
      <c r="O26" s="27"/>
      <c r="P26" s="27"/>
      <c r="Q26" s="27"/>
      <c r="R26" s="27"/>
      <c r="S26" s="27"/>
      <c r="T26" s="27"/>
      <c r="U26" s="27"/>
      <c r="V26" s="27"/>
    </row>
    <row r="27" spans="1:22" ht="12.75" customHeight="1">
      <c r="A27" s="33">
        <v>21110301</v>
      </c>
      <c r="B27" s="24" t="s">
        <v>822</v>
      </c>
      <c r="C27" s="24">
        <v>44493977.32</v>
      </c>
      <c r="D27" s="13"/>
      <c r="E27" s="13"/>
      <c r="F27" s="13"/>
      <c r="G27" s="13"/>
      <c r="H27" s="13"/>
      <c r="I27" s="13"/>
      <c r="J27" s="13"/>
      <c r="K27" s="13"/>
      <c r="L27" s="13"/>
      <c r="M27" s="13"/>
      <c r="N27" s="13"/>
      <c r="O27" s="13"/>
      <c r="P27" s="13"/>
      <c r="Q27" s="13"/>
      <c r="R27" s="13"/>
      <c r="S27" s="13"/>
      <c r="T27" s="13"/>
      <c r="U27" s="13"/>
      <c r="V27" s="13"/>
    </row>
    <row r="28" spans="1:22" ht="12.75" customHeight="1">
      <c r="A28" s="33">
        <v>21110302</v>
      </c>
      <c r="B28" s="24" t="s">
        <v>823</v>
      </c>
      <c r="C28" s="24">
        <v>7058107.0299999993</v>
      </c>
      <c r="D28" s="13"/>
      <c r="E28" s="13"/>
      <c r="F28" s="13"/>
      <c r="G28" s="13"/>
      <c r="H28" s="13"/>
      <c r="I28" s="13"/>
      <c r="J28" s="13"/>
      <c r="K28" s="13"/>
      <c r="L28" s="13"/>
      <c r="M28" s="13"/>
      <c r="N28" s="13"/>
      <c r="O28" s="13"/>
      <c r="P28" s="13"/>
      <c r="Q28" s="13"/>
      <c r="R28" s="13"/>
      <c r="S28" s="13"/>
      <c r="T28" s="13"/>
      <c r="U28" s="13"/>
      <c r="V28" s="13"/>
    </row>
    <row r="29" spans="1:22" ht="12.75" customHeight="1">
      <c r="A29" s="33">
        <v>21110303</v>
      </c>
      <c r="B29" s="24" t="s">
        <v>824</v>
      </c>
      <c r="C29" s="24">
        <v>1401095.1500000001</v>
      </c>
      <c r="D29" s="27"/>
      <c r="E29" s="27"/>
      <c r="F29" s="27"/>
      <c r="G29" s="27"/>
      <c r="H29" s="27"/>
      <c r="I29" s="27"/>
      <c r="J29" s="27"/>
      <c r="K29" s="27"/>
      <c r="L29" s="27"/>
      <c r="M29" s="27"/>
      <c r="N29" s="27"/>
      <c r="O29" s="27"/>
      <c r="P29" s="27"/>
      <c r="Q29" s="27"/>
      <c r="R29" s="27"/>
      <c r="S29" s="27"/>
      <c r="T29" s="27"/>
      <c r="U29" s="27"/>
      <c r="V29" s="27"/>
    </row>
    <row r="30" spans="1:22" ht="12.75" customHeight="1">
      <c r="A30" s="33">
        <v>21110304</v>
      </c>
      <c r="B30" s="24" t="s">
        <v>825</v>
      </c>
      <c r="C30" s="24">
        <v>1</v>
      </c>
      <c r="D30" s="27"/>
      <c r="E30" s="27"/>
      <c r="F30" s="27"/>
      <c r="G30" s="27"/>
      <c r="H30" s="27"/>
      <c r="I30" s="27"/>
      <c r="J30" s="27"/>
      <c r="K30" s="27"/>
      <c r="L30" s="27"/>
      <c r="M30" s="27"/>
      <c r="N30" s="27"/>
      <c r="O30" s="27"/>
      <c r="P30" s="27"/>
      <c r="Q30" s="27"/>
      <c r="R30" s="27"/>
      <c r="S30" s="27"/>
      <c r="T30" s="27"/>
      <c r="U30" s="27"/>
      <c r="V30" s="27"/>
    </row>
    <row r="31" spans="1:22" ht="12.75" customHeight="1">
      <c r="A31" s="33">
        <v>21110305</v>
      </c>
      <c r="B31" s="24" t="s">
        <v>826</v>
      </c>
      <c r="C31" s="24">
        <v>450408</v>
      </c>
      <c r="D31" s="27"/>
      <c r="E31" s="27"/>
      <c r="F31" s="27"/>
      <c r="G31" s="27"/>
      <c r="H31" s="27"/>
      <c r="I31" s="27"/>
      <c r="J31" s="27"/>
      <c r="K31" s="27"/>
      <c r="L31" s="27"/>
      <c r="M31" s="27"/>
      <c r="N31" s="27"/>
      <c r="O31" s="27"/>
      <c r="P31" s="27"/>
      <c r="Q31" s="27"/>
      <c r="R31" s="27"/>
      <c r="S31" s="27"/>
      <c r="T31" s="27"/>
      <c r="U31" s="27"/>
      <c r="V31" s="27"/>
    </row>
    <row r="32" spans="1:22" ht="12.75" customHeight="1">
      <c r="A32" s="33">
        <v>21110306</v>
      </c>
      <c r="B32" s="24" t="s">
        <v>670</v>
      </c>
      <c r="C32" s="24">
        <v>1</v>
      </c>
      <c r="D32" s="27"/>
      <c r="E32" s="27"/>
      <c r="F32" s="27"/>
      <c r="G32" s="27"/>
      <c r="H32" s="27"/>
      <c r="I32" s="27"/>
      <c r="J32" s="27"/>
      <c r="K32" s="27"/>
      <c r="L32" s="27"/>
      <c r="M32" s="27"/>
      <c r="N32" s="27"/>
      <c r="O32" s="27"/>
      <c r="P32" s="27"/>
      <c r="Q32" s="27"/>
      <c r="R32" s="27"/>
      <c r="S32" s="27"/>
      <c r="T32" s="27"/>
      <c r="U32" s="27"/>
      <c r="V32" s="27"/>
    </row>
    <row r="33" spans="1:22" ht="12.75" customHeight="1">
      <c r="A33" s="33"/>
      <c r="B33" s="24"/>
      <c r="C33" s="24"/>
      <c r="D33" s="27"/>
      <c r="E33" s="27"/>
      <c r="F33" s="27"/>
      <c r="G33" s="27"/>
      <c r="H33" s="27"/>
      <c r="I33" s="27"/>
      <c r="J33" s="27"/>
      <c r="K33" s="27"/>
      <c r="L33" s="27"/>
      <c r="M33" s="27"/>
      <c r="N33" s="27"/>
      <c r="O33" s="27"/>
      <c r="P33" s="27"/>
      <c r="Q33" s="27"/>
      <c r="R33" s="27"/>
      <c r="S33" s="27"/>
      <c r="T33" s="27"/>
      <c r="U33" s="27"/>
      <c r="V33" s="27"/>
    </row>
    <row r="34" spans="1:22" ht="12.75" customHeight="1" thickBot="1">
      <c r="A34" s="23"/>
      <c r="B34" s="24"/>
      <c r="C34" s="24"/>
      <c r="D34" s="27"/>
      <c r="E34" s="27"/>
      <c r="F34" s="27"/>
      <c r="G34" s="27"/>
      <c r="H34" s="27"/>
      <c r="I34" s="27"/>
      <c r="J34" s="27"/>
      <c r="K34" s="27"/>
      <c r="L34" s="27"/>
      <c r="M34" s="27"/>
      <c r="N34" s="27"/>
      <c r="O34" s="27"/>
      <c r="P34" s="27"/>
      <c r="Q34" s="27"/>
      <c r="R34" s="27"/>
      <c r="S34" s="27"/>
      <c r="T34" s="27"/>
      <c r="U34" s="27"/>
      <c r="V34" s="27"/>
    </row>
    <row r="35" spans="1:22" ht="13.5" customHeight="1">
      <c r="A35" s="1443" t="s">
        <v>937</v>
      </c>
      <c r="B35" s="1444"/>
      <c r="C35" s="1161" t="s">
        <v>272</v>
      </c>
      <c r="D35" s="8"/>
      <c r="E35" s="8"/>
      <c r="F35" s="8"/>
      <c r="G35" s="8"/>
      <c r="H35" s="8"/>
      <c r="I35" s="8"/>
      <c r="J35" s="8"/>
      <c r="K35" s="8"/>
      <c r="L35" s="8"/>
      <c r="M35" s="8"/>
      <c r="N35" s="8"/>
      <c r="O35" s="8"/>
      <c r="P35" s="8"/>
      <c r="Q35" s="8"/>
      <c r="R35" s="8"/>
      <c r="S35" s="8"/>
      <c r="T35" s="8"/>
      <c r="U35" s="8"/>
      <c r="V35" s="8"/>
    </row>
    <row r="36" spans="1:22" ht="13.5" customHeight="1" thickBot="1">
      <c r="A36" s="1166"/>
      <c r="B36" s="1167" t="s">
        <v>273</v>
      </c>
      <c r="C36" s="1162"/>
      <c r="D36" s="8"/>
      <c r="E36" s="8"/>
      <c r="F36" s="8"/>
      <c r="G36" s="8"/>
      <c r="H36" s="8"/>
      <c r="I36" s="8"/>
      <c r="J36" s="8"/>
      <c r="K36" s="8"/>
      <c r="L36" s="8"/>
      <c r="M36" s="8"/>
      <c r="N36" s="8"/>
      <c r="O36" s="8"/>
      <c r="P36" s="8"/>
      <c r="Q36" s="8"/>
      <c r="R36" s="8"/>
      <c r="S36" s="8"/>
      <c r="T36" s="8"/>
      <c r="U36" s="8"/>
      <c r="V36" s="8"/>
    </row>
    <row r="37" spans="1:22" ht="13.5" customHeight="1">
      <c r="A37" s="1445" t="s">
        <v>274</v>
      </c>
      <c r="B37" s="1446"/>
      <c r="C37" s="1447"/>
      <c r="D37" s="13"/>
      <c r="E37" s="13"/>
      <c r="F37" s="13"/>
      <c r="G37" s="13"/>
      <c r="H37" s="13"/>
      <c r="I37" s="13"/>
      <c r="J37" s="13"/>
      <c r="K37" s="13"/>
      <c r="L37" s="13"/>
      <c r="M37" s="13"/>
      <c r="N37" s="13"/>
      <c r="O37" s="13"/>
      <c r="P37" s="13"/>
      <c r="Q37" s="13"/>
      <c r="R37" s="13"/>
      <c r="S37" s="13"/>
      <c r="T37" s="13"/>
      <c r="U37" s="13"/>
      <c r="V37" s="13"/>
    </row>
    <row r="38" spans="1:22" ht="13.5" customHeight="1" thickBot="1">
      <c r="A38" s="1448"/>
      <c r="B38" s="1449"/>
      <c r="C38" s="1450"/>
      <c r="D38" s="13"/>
      <c r="E38" s="13"/>
      <c r="F38" s="13"/>
      <c r="G38" s="13"/>
      <c r="H38" s="13"/>
      <c r="I38" s="13"/>
      <c r="J38" s="13"/>
      <c r="K38" s="13"/>
      <c r="L38" s="13"/>
      <c r="M38" s="13"/>
      <c r="N38" s="13"/>
      <c r="O38" s="13"/>
      <c r="P38" s="13"/>
      <c r="Q38" s="13"/>
      <c r="R38" s="13"/>
      <c r="S38" s="13"/>
      <c r="T38" s="13"/>
      <c r="U38" s="13"/>
      <c r="V38" s="13"/>
    </row>
    <row r="39" spans="1:22" ht="13.5" customHeight="1">
      <c r="A39" s="1097" t="s">
        <v>671</v>
      </c>
      <c r="B39" s="986"/>
      <c r="C39" s="1098"/>
      <c r="D39" s="8"/>
      <c r="E39" s="8"/>
      <c r="F39" s="8"/>
      <c r="G39" s="8"/>
      <c r="H39" s="8"/>
      <c r="I39" s="8"/>
      <c r="J39" s="8"/>
      <c r="K39" s="8"/>
      <c r="L39" s="8"/>
      <c r="M39" s="8"/>
      <c r="N39" s="8"/>
      <c r="O39" s="8"/>
      <c r="P39" s="8"/>
      <c r="Q39" s="8"/>
      <c r="R39" s="8"/>
      <c r="S39" s="8"/>
      <c r="T39" s="8"/>
      <c r="U39" s="8"/>
      <c r="V39" s="8"/>
    </row>
    <row r="40" spans="1:22" ht="13.5" customHeight="1">
      <c r="A40" s="1097" t="s">
        <v>271</v>
      </c>
      <c r="B40" s="986"/>
      <c r="C40" s="1098"/>
      <c r="D40" s="8"/>
      <c r="E40" s="8"/>
      <c r="F40" s="8"/>
      <c r="G40" s="8"/>
      <c r="H40" s="8"/>
      <c r="I40" s="8"/>
      <c r="J40" s="8"/>
      <c r="K40" s="8"/>
      <c r="L40" s="8"/>
      <c r="M40" s="8"/>
      <c r="N40" s="8"/>
      <c r="O40" s="8"/>
      <c r="P40" s="8"/>
      <c r="Q40" s="8"/>
      <c r="R40" s="8"/>
      <c r="S40" s="8"/>
      <c r="T40" s="8"/>
      <c r="U40" s="8"/>
      <c r="V40" s="8"/>
    </row>
    <row r="41" spans="1:22" ht="13.5" customHeight="1">
      <c r="A41" s="1097" t="s">
        <v>287</v>
      </c>
      <c r="B41" s="986"/>
      <c r="C41" s="1098"/>
      <c r="D41" s="8"/>
      <c r="E41" s="8"/>
      <c r="F41" s="8"/>
      <c r="G41" s="8"/>
      <c r="H41" s="8"/>
      <c r="I41" s="8"/>
      <c r="J41" s="8"/>
      <c r="K41" s="8"/>
      <c r="L41" s="8"/>
      <c r="M41" s="8"/>
      <c r="N41" s="8"/>
      <c r="O41" s="8"/>
      <c r="P41" s="8"/>
      <c r="Q41" s="8"/>
      <c r="R41" s="8"/>
      <c r="S41" s="8"/>
      <c r="T41" s="8"/>
      <c r="U41" s="8"/>
      <c r="V41" s="8"/>
    </row>
    <row r="42" spans="1:22" ht="13.5" customHeight="1" thickBot="1">
      <c r="A42" s="1097" t="s">
        <v>0</v>
      </c>
      <c r="B42" s="986"/>
      <c r="C42" s="1098"/>
      <c r="D42" s="8"/>
      <c r="E42" s="8"/>
      <c r="F42" s="8"/>
      <c r="G42" s="8"/>
      <c r="H42" s="8"/>
      <c r="I42" s="8"/>
      <c r="J42" s="8"/>
      <c r="K42" s="8"/>
      <c r="L42" s="8"/>
      <c r="M42" s="8"/>
      <c r="N42" s="8"/>
      <c r="O42" s="8"/>
      <c r="P42" s="8"/>
      <c r="Q42" s="8"/>
      <c r="R42" s="8"/>
      <c r="S42" s="8"/>
      <c r="T42" s="8"/>
      <c r="U42" s="8"/>
      <c r="V42" s="8"/>
    </row>
    <row r="43" spans="1:22" ht="13.5" customHeight="1" thickBot="1">
      <c r="A43" s="1158" t="s">
        <v>66</v>
      </c>
      <c r="B43" s="1159"/>
      <c r="C43" s="1156">
        <f>+C45+C66+C94</f>
        <v>10234000</v>
      </c>
      <c r="D43" s="8"/>
      <c r="E43" s="8"/>
      <c r="F43" s="8"/>
      <c r="G43" s="8"/>
      <c r="H43" s="8"/>
      <c r="I43" s="8"/>
      <c r="J43" s="8"/>
      <c r="K43" s="8"/>
      <c r="L43" s="8"/>
      <c r="M43" s="8"/>
      <c r="N43" s="8"/>
      <c r="O43" s="8"/>
      <c r="P43" s="8"/>
      <c r="Q43" s="8"/>
      <c r="R43" s="8"/>
      <c r="S43" s="8"/>
      <c r="T43" s="8"/>
      <c r="U43" s="8"/>
      <c r="V43" s="8"/>
    </row>
    <row r="44" spans="1:22" ht="13.5" customHeight="1" thickBot="1">
      <c r="A44" s="13"/>
      <c r="B44" s="13"/>
      <c r="C44" s="30"/>
      <c r="D44" s="8"/>
      <c r="E44" s="8"/>
      <c r="F44" s="8"/>
      <c r="G44" s="8"/>
      <c r="H44" s="8"/>
      <c r="I44" s="8"/>
      <c r="J44" s="8"/>
      <c r="K44" s="8"/>
      <c r="L44" s="8"/>
      <c r="M44" s="8"/>
      <c r="N44" s="8"/>
      <c r="O44" s="8"/>
      <c r="P44" s="8"/>
      <c r="Q44" s="8"/>
      <c r="R44" s="8"/>
      <c r="S44" s="8"/>
      <c r="T44" s="8"/>
      <c r="U44" s="8"/>
      <c r="V44" s="8"/>
    </row>
    <row r="45" spans="1:22" ht="13.5" customHeight="1" thickBot="1">
      <c r="A45" s="1280" t="s">
        <v>9</v>
      </c>
      <c r="B45" s="1281"/>
      <c r="C45" s="31">
        <f>C46+C48+C51+C59+C62+C53</f>
        <v>947000</v>
      </c>
      <c r="D45" s="8"/>
      <c r="E45" s="8"/>
      <c r="F45" s="8"/>
      <c r="G45" s="8"/>
      <c r="H45" s="8"/>
      <c r="I45" s="8"/>
      <c r="J45" s="8"/>
      <c r="K45" s="8"/>
      <c r="L45" s="8"/>
      <c r="M45" s="8"/>
      <c r="N45" s="8"/>
      <c r="O45" s="8"/>
      <c r="P45" s="8"/>
      <c r="Q45" s="8"/>
      <c r="R45" s="8"/>
      <c r="S45" s="8"/>
      <c r="T45" s="8"/>
      <c r="U45" s="8"/>
      <c r="V45" s="8"/>
    </row>
    <row r="46" spans="1:22" ht="13.5" customHeight="1">
      <c r="A46" s="48">
        <v>211201</v>
      </c>
      <c r="B46" s="22" t="s">
        <v>459</v>
      </c>
      <c r="C46" s="16">
        <f>SUM(C47)</f>
        <v>114500</v>
      </c>
      <c r="D46" s="8"/>
      <c r="E46" s="8"/>
      <c r="F46" s="8"/>
      <c r="G46" s="8"/>
      <c r="H46" s="8"/>
      <c r="I46" s="8"/>
      <c r="J46" s="8"/>
      <c r="K46" s="8"/>
      <c r="L46" s="8"/>
      <c r="M46" s="8"/>
      <c r="N46" s="8"/>
      <c r="O46" s="8"/>
      <c r="P46" s="8"/>
      <c r="Q46" s="8"/>
      <c r="R46" s="8"/>
      <c r="S46" s="8"/>
      <c r="T46" s="8"/>
      <c r="U46" s="8"/>
      <c r="V46" s="8"/>
    </row>
    <row r="47" spans="1:22" ht="13.5" customHeight="1">
      <c r="A47" s="33">
        <v>21120101</v>
      </c>
      <c r="B47" s="13" t="s">
        <v>460</v>
      </c>
      <c r="C47" s="24">
        <v>114500</v>
      </c>
      <c r="D47" s="13"/>
      <c r="E47" s="13"/>
      <c r="F47" s="13"/>
      <c r="G47" s="13"/>
      <c r="H47" s="13"/>
      <c r="I47" s="13"/>
      <c r="J47" s="13"/>
      <c r="K47" s="13"/>
      <c r="L47" s="13"/>
      <c r="M47" s="13"/>
      <c r="N47" s="13"/>
      <c r="O47" s="13"/>
      <c r="P47" s="13"/>
      <c r="Q47" s="13"/>
      <c r="R47" s="13"/>
      <c r="S47" s="13"/>
      <c r="T47" s="13"/>
      <c r="U47" s="13"/>
      <c r="V47" s="13"/>
    </row>
    <row r="48" spans="1:22" ht="13.5" customHeight="1">
      <c r="A48" s="48">
        <v>211203</v>
      </c>
      <c r="B48" s="15" t="s">
        <v>461</v>
      </c>
      <c r="C48" s="16">
        <f>+SUM(C49:C50)</f>
        <v>31500</v>
      </c>
      <c r="D48" s="13"/>
      <c r="E48" s="13"/>
      <c r="F48" s="13"/>
      <c r="G48" s="13"/>
      <c r="H48" s="13"/>
      <c r="I48" s="13"/>
      <c r="J48" s="13"/>
      <c r="K48" s="13"/>
      <c r="L48" s="13"/>
      <c r="M48" s="13"/>
      <c r="N48" s="13"/>
      <c r="O48" s="13"/>
      <c r="P48" s="13"/>
      <c r="Q48" s="13"/>
      <c r="R48" s="13"/>
      <c r="S48" s="13"/>
      <c r="T48" s="13"/>
      <c r="U48" s="13"/>
      <c r="V48" s="13"/>
    </row>
    <row r="49" spans="1:22" ht="13.5" customHeight="1">
      <c r="A49" s="33">
        <v>21120301</v>
      </c>
      <c r="B49" s="13" t="s">
        <v>527</v>
      </c>
      <c r="C49" s="24">
        <v>25000</v>
      </c>
      <c r="D49" s="13"/>
      <c r="E49" s="13"/>
      <c r="F49" s="13"/>
      <c r="G49" s="13"/>
      <c r="H49" s="13"/>
      <c r="I49" s="13"/>
      <c r="J49" s="13"/>
      <c r="K49" s="13"/>
      <c r="L49" s="13"/>
      <c r="M49" s="13"/>
      <c r="N49" s="13"/>
      <c r="O49" s="13"/>
      <c r="P49" s="13"/>
      <c r="Q49" s="13"/>
      <c r="R49" s="13"/>
      <c r="S49" s="13"/>
      <c r="T49" s="13"/>
      <c r="U49" s="13"/>
      <c r="V49" s="13"/>
    </row>
    <row r="50" spans="1:22" ht="13.5" customHeight="1">
      <c r="A50" s="33">
        <v>21120302</v>
      </c>
      <c r="B50" s="13" t="s">
        <v>462</v>
      </c>
      <c r="C50" s="24">
        <v>6500</v>
      </c>
      <c r="D50" s="13"/>
      <c r="E50" s="13"/>
      <c r="F50" s="13"/>
      <c r="G50" s="13"/>
      <c r="H50" s="13"/>
      <c r="I50" s="13"/>
      <c r="J50" s="13"/>
      <c r="K50" s="13"/>
      <c r="L50" s="13"/>
      <c r="M50" s="13"/>
      <c r="N50" s="13"/>
      <c r="O50" s="13"/>
      <c r="P50" s="13"/>
      <c r="Q50" s="13"/>
      <c r="R50" s="13"/>
      <c r="S50" s="13"/>
      <c r="T50" s="13"/>
      <c r="U50" s="13"/>
      <c r="V50" s="13"/>
    </row>
    <row r="51" spans="1:22" ht="13.5" customHeight="1">
      <c r="A51" s="48">
        <v>211204</v>
      </c>
      <c r="B51" s="15" t="s">
        <v>463</v>
      </c>
      <c r="C51" s="26">
        <f>SUM(C52)</f>
        <v>598500</v>
      </c>
      <c r="D51" s="13"/>
      <c r="E51" s="13"/>
      <c r="F51" s="13"/>
      <c r="G51" s="13"/>
      <c r="H51" s="13"/>
      <c r="I51" s="13"/>
      <c r="J51" s="13"/>
      <c r="K51" s="13"/>
      <c r="L51" s="13"/>
      <c r="M51" s="13"/>
      <c r="N51" s="13"/>
      <c r="O51" s="13"/>
      <c r="P51" s="13"/>
      <c r="Q51" s="13"/>
      <c r="R51" s="13"/>
      <c r="S51" s="13"/>
      <c r="T51" s="13"/>
      <c r="U51" s="13"/>
      <c r="V51" s="13"/>
    </row>
    <row r="52" spans="1:22" ht="13.5" customHeight="1">
      <c r="A52" s="33">
        <v>21120401</v>
      </c>
      <c r="B52" s="24" t="s">
        <v>464</v>
      </c>
      <c r="C52" s="24">
        <v>598500</v>
      </c>
      <c r="D52" s="13"/>
      <c r="E52" s="13"/>
      <c r="F52" s="13"/>
      <c r="G52" s="13"/>
      <c r="H52" s="13"/>
      <c r="I52" s="13"/>
      <c r="J52" s="13"/>
      <c r="K52" s="13"/>
      <c r="L52" s="13"/>
      <c r="M52" s="13"/>
      <c r="N52" s="13"/>
      <c r="O52" s="13"/>
      <c r="P52" s="13"/>
      <c r="Q52" s="13"/>
      <c r="R52" s="13"/>
      <c r="S52" s="13"/>
      <c r="T52" s="13"/>
      <c r="U52" s="13"/>
      <c r="V52" s="13"/>
    </row>
    <row r="53" spans="1:22" ht="13.5" customHeight="1">
      <c r="A53" s="48">
        <v>211207</v>
      </c>
      <c r="B53" s="15" t="s">
        <v>467</v>
      </c>
      <c r="C53" s="26">
        <f>+SUM(C54:C58)</f>
        <v>110500</v>
      </c>
      <c r="D53" s="4"/>
      <c r="E53" s="4"/>
      <c r="F53" s="4"/>
      <c r="G53" s="4"/>
      <c r="H53" s="4"/>
      <c r="I53" s="4"/>
      <c r="J53" s="4"/>
      <c r="K53" s="4"/>
      <c r="L53" s="4"/>
      <c r="M53" s="4"/>
      <c r="N53" s="4"/>
      <c r="O53" s="4"/>
      <c r="P53" s="4"/>
      <c r="Q53" s="4"/>
      <c r="R53" s="4"/>
      <c r="S53" s="4"/>
      <c r="T53" s="4"/>
      <c r="U53" s="4"/>
      <c r="V53" s="4"/>
    </row>
    <row r="54" spans="1:22" ht="13.5" customHeight="1">
      <c r="A54" s="33">
        <v>21120702</v>
      </c>
      <c r="B54" s="13" t="s">
        <v>468</v>
      </c>
      <c r="C54" s="24">
        <v>30000</v>
      </c>
      <c r="D54" s="4"/>
      <c r="E54" s="4"/>
      <c r="F54" s="4"/>
      <c r="G54" s="4"/>
      <c r="H54" s="4"/>
      <c r="I54" s="4"/>
      <c r="J54" s="4"/>
      <c r="K54" s="4"/>
      <c r="L54" s="4"/>
      <c r="M54" s="4"/>
      <c r="N54" s="4"/>
      <c r="O54" s="4"/>
      <c r="P54" s="4"/>
      <c r="Q54" s="4"/>
      <c r="R54" s="4"/>
      <c r="S54" s="4"/>
      <c r="T54" s="4"/>
      <c r="U54" s="4"/>
      <c r="V54" s="4"/>
    </row>
    <row r="55" spans="1:22" ht="13.5" customHeight="1">
      <c r="A55" s="33">
        <v>21120708</v>
      </c>
      <c r="B55" s="13" t="s">
        <v>470</v>
      </c>
      <c r="C55" s="24">
        <v>15000</v>
      </c>
      <c r="D55" s="4"/>
      <c r="E55" s="4"/>
      <c r="F55" s="4"/>
      <c r="G55" s="4"/>
      <c r="H55" s="4"/>
      <c r="I55" s="4"/>
      <c r="J55" s="4"/>
      <c r="K55" s="4"/>
      <c r="L55" s="4"/>
      <c r="M55" s="4"/>
      <c r="N55" s="4"/>
      <c r="O55" s="4"/>
      <c r="P55" s="4"/>
      <c r="Q55" s="4"/>
      <c r="R55" s="4"/>
      <c r="S55" s="4"/>
      <c r="T55" s="4"/>
      <c r="U55" s="4"/>
      <c r="V55" s="4"/>
    </row>
    <row r="56" spans="1:22" ht="13.5" customHeight="1">
      <c r="A56" s="33">
        <v>21120709</v>
      </c>
      <c r="B56" s="24" t="s">
        <v>471</v>
      </c>
      <c r="C56" s="24">
        <v>24000</v>
      </c>
      <c r="D56" s="8"/>
      <c r="E56" s="8"/>
      <c r="F56" s="8"/>
      <c r="G56" s="8"/>
      <c r="H56" s="8"/>
      <c r="I56" s="8"/>
      <c r="J56" s="8"/>
      <c r="K56" s="8"/>
      <c r="L56" s="8"/>
      <c r="M56" s="8"/>
      <c r="N56" s="8"/>
      <c r="O56" s="8"/>
      <c r="P56" s="8"/>
      <c r="Q56" s="8"/>
      <c r="R56" s="8"/>
      <c r="S56" s="8"/>
      <c r="T56" s="8"/>
      <c r="U56" s="8"/>
      <c r="V56" s="8"/>
    </row>
    <row r="57" spans="1:22" ht="13.5" customHeight="1">
      <c r="A57" s="33">
        <v>21120710</v>
      </c>
      <c r="B57" s="24" t="s">
        <v>472</v>
      </c>
      <c r="C57" s="24">
        <v>22500</v>
      </c>
      <c r="D57" s="8"/>
      <c r="E57" s="8"/>
      <c r="F57" s="8"/>
      <c r="G57" s="8"/>
      <c r="H57" s="8"/>
      <c r="I57" s="8"/>
      <c r="J57" s="8"/>
      <c r="K57" s="8"/>
      <c r="L57" s="8"/>
      <c r="M57" s="8"/>
      <c r="N57" s="8"/>
      <c r="O57" s="8"/>
      <c r="P57" s="8"/>
      <c r="Q57" s="8"/>
      <c r="R57" s="8"/>
      <c r="S57" s="8"/>
      <c r="T57" s="8"/>
      <c r="U57" s="8"/>
      <c r="V57" s="8"/>
    </row>
    <row r="58" spans="1:22" ht="13.5" customHeight="1">
      <c r="A58" s="33">
        <v>21120711</v>
      </c>
      <c r="B58" s="24" t="s">
        <v>473</v>
      </c>
      <c r="C58" s="24">
        <v>19000</v>
      </c>
      <c r="D58" s="8"/>
      <c r="E58" s="8"/>
      <c r="F58" s="8"/>
      <c r="G58" s="8"/>
      <c r="H58" s="8"/>
      <c r="I58" s="8"/>
      <c r="J58" s="8"/>
      <c r="K58" s="8"/>
      <c r="L58" s="8"/>
      <c r="M58" s="8"/>
      <c r="N58" s="8"/>
      <c r="O58" s="8"/>
      <c r="P58" s="8"/>
      <c r="Q58" s="8"/>
      <c r="R58" s="8"/>
      <c r="S58" s="8"/>
      <c r="T58" s="8"/>
      <c r="U58" s="8"/>
      <c r="V58" s="8"/>
    </row>
    <row r="59" spans="1:22" ht="13.5" customHeight="1">
      <c r="A59" s="48">
        <v>211208</v>
      </c>
      <c r="B59" s="26" t="s">
        <v>474</v>
      </c>
      <c r="C59" s="26">
        <f>SUM(C60:C61)</f>
        <v>50000</v>
      </c>
      <c r="D59" s="13"/>
      <c r="E59" s="13"/>
      <c r="F59" s="13"/>
      <c r="G59" s="13"/>
      <c r="H59" s="13"/>
      <c r="I59" s="13"/>
      <c r="J59" s="13"/>
      <c r="K59" s="13"/>
      <c r="L59" s="13"/>
      <c r="M59" s="13"/>
      <c r="N59" s="13"/>
      <c r="O59" s="13"/>
      <c r="P59" s="13"/>
      <c r="Q59" s="13"/>
      <c r="R59" s="13"/>
      <c r="S59" s="13"/>
      <c r="T59" s="13"/>
      <c r="U59" s="13"/>
      <c r="V59" s="13"/>
    </row>
    <row r="60" spans="1:22" ht="13.5" customHeight="1">
      <c r="A60" s="33">
        <v>21120801</v>
      </c>
      <c r="B60" s="13" t="s">
        <v>475</v>
      </c>
      <c r="C60" s="24">
        <v>20000</v>
      </c>
      <c r="D60" s="8"/>
      <c r="E60" s="8"/>
      <c r="F60" s="8"/>
      <c r="G60" s="8"/>
      <c r="H60" s="8"/>
      <c r="I60" s="8"/>
      <c r="J60" s="8"/>
      <c r="K60" s="8"/>
      <c r="L60" s="8"/>
      <c r="M60" s="8"/>
      <c r="N60" s="8"/>
      <c r="O60" s="8"/>
      <c r="P60" s="8"/>
      <c r="Q60" s="8"/>
      <c r="R60" s="8"/>
      <c r="S60" s="8"/>
      <c r="T60" s="8"/>
      <c r="U60" s="8"/>
      <c r="V60" s="8"/>
    </row>
    <row r="61" spans="1:22" ht="13.5" customHeight="1">
      <c r="A61" s="33">
        <v>21120805</v>
      </c>
      <c r="B61" s="24" t="s">
        <v>476</v>
      </c>
      <c r="C61" s="14">
        <v>30000</v>
      </c>
      <c r="D61" s="8"/>
      <c r="E61" s="8"/>
      <c r="F61" s="8"/>
      <c r="G61" s="8"/>
      <c r="H61" s="8"/>
      <c r="I61" s="8"/>
      <c r="J61" s="8"/>
      <c r="K61" s="8"/>
      <c r="L61" s="8"/>
      <c r="M61" s="8"/>
      <c r="N61" s="8"/>
      <c r="O61" s="8"/>
      <c r="P61" s="8"/>
      <c r="Q61" s="8"/>
      <c r="R61" s="8"/>
      <c r="S61" s="8"/>
      <c r="T61" s="8"/>
      <c r="U61" s="8"/>
      <c r="V61" s="8"/>
    </row>
    <row r="62" spans="1:22" ht="13.5" customHeight="1">
      <c r="A62" s="48">
        <v>211209</v>
      </c>
      <c r="B62" s="26" t="s">
        <v>477</v>
      </c>
      <c r="C62" s="16">
        <f>SUM(C63:C64)</f>
        <v>42000</v>
      </c>
      <c r="D62" s="8"/>
      <c r="E62" s="8"/>
      <c r="F62" s="8"/>
      <c r="G62" s="8"/>
      <c r="H62" s="8"/>
      <c r="I62" s="8"/>
      <c r="J62" s="8"/>
      <c r="K62" s="8"/>
      <c r="L62" s="8"/>
      <c r="M62" s="8"/>
      <c r="N62" s="8"/>
      <c r="O62" s="8"/>
      <c r="P62" s="8"/>
      <c r="Q62" s="8"/>
      <c r="R62" s="8"/>
      <c r="S62" s="8"/>
      <c r="T62" s="8"/>
      <c r="U62" s="8"/>
      <c r="V62" s="8"/>
    </row>
    <row r="63" spans="1:22" ht="13.5" customHeight="1">
      <c r="A63" s="33">
        <v>21120901</v>
      </c>
      <c r="B63" s="24" t="s">
        <v>478</v>
      </c>
      <c r="C63" s="24">
        <v>32000</v>
      </c>
      <c r="D63" s="13"/>
      <c r="E63" s="13"/>
      <c r="F63" s="13"/>
      <c r="G63" s="13"/>
      <c r="H63" s="13"/>
      <c r="I63" s="13"/>
      <c r="J63" s="13"/>
      <c r="K63" s="13"/>
      <c r="L63" s="13"/>
      <c r="M63" s="13"/>
      <c r="N63" s="13"/>
      <c r="O63" s="13"/>
      <c r="P63" s="13"/>
      <c r="Q63" s="13"/>
      <c r="R63" s="13"/>
      <c r="S63" s="13"/>
      <c r="T63" s="13"/>
      <c r="U63" s="13"/>
      <c r="V63" s="13"/>
    </row>
    <row r="64" spans="1:22" ht="13.5" customHeight="1">
      <c r="A64" s="33">
        <v>21120906</v>
      </c>
      <c r="B64" s="24" t="s">
        <v>479</v>
      </c>
      <c r="C64" s="24">
        <v>10000</v>
      </c>
      <c r="D64" s="13"/>
      <c r="E64" s="13"/>
      <c r="F64" s="13"/>
      <c r="G64" s="13"/>
      <c r="H64" s="13"/>
      <c r="I64" s="13"/>
      <c r="J64" s="13"/>
      <c r="K64" s="13"/>
      <c r="L64" s="13"/>
      <c r="M64" s="13"/>
      <c r="N64" s="13"/>
      <c r="O64" s="13"/>
      <c r="P64" s="13"/>
      <c r="Q64" s="13"/>
      <c r="R64" s="13"/>
      <c r="S64" s="13"/>
      <c r="T64" s="13"/>
      <c r="U64" s="13"/>
      <c r="V64" s="13"/>
    </row>
    <row r="65" spans="1:22" ht="13.5" customHeight="1" thickBot="1">
      <c r="A65" s="33"/>
      <c r="B65" s="24"/>
      <c r="C65" s="24"/>
      <c r="D65" s="13"/>
      <c r="E65" s="13"/>
      <c r="F65" s="13"/>
      <c r="G65" s="13"/>
      <c r="H65" s="13"/>
      <c r="I65" s="13"/>
      <c r="J65" s="13"/>
      <c r="K65" s="13"/>
      <c r="L65" s="13"/>
      <c r="M65" s="13"/>
      <c r="N65" s="13"/>
      <c r="O65" s="13"/>
      <c r="P65" s="13"/>
      <c r="Q65" s="13"/>
      <c r="R65" s="13"/>
      <c r="S65" s="13"/>
      <c r="T65" s="13"/>
      <c r="U65" s="13"/>
      <c r="V65" s="13"/>
    </row>
    <row r="66" spans="1:22" ht="13.5" customHeight="1" thickBot="1">
      <c r="A66" s="1282" t="s">
        <v>4</v>
      </c>
      <c r="B66" s="1281"/>
      <c r="C66" s="41">
        <f>C67+C72+C75+C80+C83+C86+C88</f>
        <v>9022000</v>
      </c>
      <c r="D66" s="8"/>
      <c r="E66" s="8"/>
      <c r="F66" s="8"/>
      <c r="G66" s="8"/>
      <c r="H66" s="8"/>
      <c r="I66" s="8"/>
      <c r="J66" s="8"/>
      <c r="K66" s="8"/>
      <c r="L66" s="8"/>
      <c r="M66" s="8"/>
      <c r="N66" s="8"/>
      <c r="O66" s="8"/>
      <c r="P66" s="8"/>
      <c r="Q66" s="8"/>
      <c r="R66" s="8"/>
      <c r="S66" s="8"/>
      <c r="T66" s="8"/>
      <c r="U66" s="8"/>
      <c r="V66" s="8"/>
    </row>
    <row r="67" spans="1:22" ht="13.5" customHeight="1">
      <c r="A67" s="48">
        <v>211301</v>
      </c>
      <c r="B67" s="22" t="s">
        <v>518</v>
      </c>
      <c r="C67" s="16">
        <f>+SUM(C68:C71)</f>
        <v>4696500</v>
      </c>
      <c r="D67" s="8"/>
      <c r="E67" s="8"/>
      <c r="F67" s="8"/>
      <c r="G67" s="8"/>
      <c r="H67" s="8"/>
      <c r="I67" s="8"/>
      <c r="J67" s="8"/>
      <c r="K67" s="8"/>
      <c r="L67" s="8"/>
      <c r="M67" s="8"/>
      <c r="N67" s="8"/>
      <c r="O67" s="8"/>
      <c r="P67" s="8"/>
      <c r="Q67" s="8"/>
      <c r="R67" s="8"/>
      <c r="S67" s="8"/>
      <c r="T67" s="8"/>
      <c r="U67" s="8"/>
      <c r="V67" s="8"/>
    </row>
    <row r="68" spans="1:22" ht="13.5" customHeight="1">
      <c r="A68" s="33">
        <v>21130102</v>
      </c>
      <c r="B68" s="13" t="s">
        <v>607</v>
      </c>
      <c r="C68" s="24">
        <v>18000</v>
      </c>
      <c r="D68" s="13"/>
      <c r="E68" s="13"/>
      <c r="F68" s="13"/>
      <c r="G68" s="13"/>
      <c r="H68" s="13"/>
      <c r="I68" s="13"/>
      <c r="J68" s="13"/>
      <c r="K68" s="13"/>
      <c r="L68" s="13"/>
      <c r="M68" s="13"/>
      <c r="N68" s="13"/>
      <c r="O68" s="13"/>
      <c r="P68" s="13"/>
      <c r="Q68" s="13"/>
      <c r="R68" s="13"/>
      <c r="S68" s="13"/>
      <c r="T68" s="13"/>
      <c r="U68" s="13"/>
      <c r="V68" s="13"/>
    </row>
    <row r="69" spans="1:22" ht="13.5" customHeight="1">
      <c r="A69" s="33">
        <v>21130103</v>
      </c>
      <c r="B69" s="13" t="s">
        <v>608</v>
      </c>
      <c r="C69" s="24">
        <v>37000</v>
      </c>
      <c r="D69" s="13"/>
      <c r="E69" s="13"/>
      <c r="F69" s="13"/>
      <c r="G69" s="13"/>
      <c r="H69" s="13"/>
      <c r="I69" s="13"/>
      <c r="J69" s="13"/>
      <c r="K69" s="13"/>
      <c r="L69" s="13"/>
      <c r="M69" s="13"/>
      <c r="N69" s="13"/>
      <c r="O69" s="13"/>
      <c r="P69" s="13"/>
      <c r="Q69" s="13"/>
      <c r="R69" s="13"/>
      <c r="S69" s="13"/>
      <c r="T69" s="13"/>
      <c r="U69" s="13"/>
      <c r="V69" s="13"/>
    </row>
    <row r="70" spans="1:22" ht="13.5" customHeight="1">
      <c r="A70" s="33">
        <v>21130104</v>
      </c>
      <c r="B70" s="13" t="s">
        <v>519</v>
      </c>
      <c r="C70" s="24">
        <v>308000</v>
      </c>
      <c r="D70" s="13"/>
      <c r="E70" s="13"/>
      <c r="F70" s="13"/>
      <c r="G70" s="13"/>
      <c r="H70" s="13"/>
      <c r="I70" s="13"/>
      <c r="J70" s="13"/>
      <c r="K70" s="13"/>
      <c r="L70" s="13"/>
      <c r="M70" s="13"/>
      <c r="N70" s="13"/>
      <c r="O70" s="13"/>
      <c r="P70" s="13"/>
      <c r="Q70" s="13"/>
      <c r="R70" s="13"/>
      <c r="S70" s="13"/>
      <c r="T70" s="13"/>
      <c r="U70" s="13"/>
      <c r="V70" s="13"/>
    </row>
    <row r="71" spans="1:22" ht="13.5" customHeight="1">
      <c r="A71" s="33">
        <v>21130105</v>
      </c>
      <c r="B71" s="13" t="s">
        <v>609</v>
      </c>
      <c r="C71" s="24">
        <v>4333500</v>
      </c>
      <c r="D71" s="13"/>
      <c r="E71" s="13"/>
      <c r="F71" s="13"/>
      <c r="G71" s="13"/>
      <c r="H71" s="13"/>
      <c r="I71" s="13"/>
      <c r="J71" s="13"/>
      <c r="K71" s="13"/>
      <c r="L71" s="13"/>
      <c r="M71" s="13"/>
      <c r="N71" s="13"/>
      <c r="O71" s="13"/>
      <c r="P71" s="13"/>
      <c r="Q71" s="13"/>
      <c r="R71" s="13"/>
      <c r="S71" s="13"/>
      <c r="T71" s="13"/>
      <c r="U71" s="13"/>
      <c r="V71" s="13"/>
    </row>
    <row r="72" spans="1:22" ht="13.5" customHeight="1">
      <c r="A72" s="48">
        <v>211302</v>
      </c>
      <c r="B72" s="15" t="s">
        <v>481</v>
      </c>
      <c r="C72" s="26">
        <f>+SUM(C73:C74)</f>
        <v>1972000</v>
      </c>
      <c r="D72" s="13"/>
      <c r="E72" s="13"/>
      <c r="F72" s="13"/>
      <c r="G72" s="13"/>
      <c r="H72" s="13"/>
      <c r="I72" s="13"/>
      <c r="J72" s="13"/>
      <c r="K72" s="13"/>
      <c r="L72" s="13"/>
      <c r="M72" s="13"/>
      <c r="N72" s="13"/>
      <c r="O72" s="13"/>
      <c r="P72" s="13"/>
      <c r="Q72" s="13"/>
      <c r="R72" s="13"/>
      <c r="S72" s="13"/>
      <c r="T72" s="13"/>
      <c r="U72" s="13"/>
      <c r="V72" s="13"/>
    </row>
    <row r="73" spans="1:22" ht="13.5" customHeight="1">
      <c r="A73" s="33">
        <v>21130201</v>
      </c>
      <c r="B73" s="13" t="s">
        <v>482</v>
      </c>
      <c r="C73" s="24">
        <v>1932000</v>
      </c>
      <c r="D73" s="13"/>
      <c r="E73" s="13"/>
      <c r="F73" s="13"/>
      <c r="G73" s="13"/>
      <c r="H73" s="13"/>
      <c r="I73" s="13"/>
      <c r="J73" s="13"/>
      <c r="K73" s="13"/>
      <c r="L73" s="13"/>
      <c r="M73" s="13"/>
      <c r="N73" s="13"/>
      <c r="O73" s="13"/>
      <c r="P73" s="13"/>
      <c r="Q73" s="13"/>
      <c r="R73" s="13"/>
      <c r="S73" s="13"/>
      <c r="T73" s="13"/>
      <c r="U73" s="13"/>
      <c r="V73" s="13"/>
    </row>
    <row r="74" spans="1:22" ht="13.5" customHeight="1">
      <c r="A74" s="40">
        <v>21130204</v>
      </c>
      <c r="B74" s="13" t="s">
        <v>483</v>
      </c>
      <c r="C74" s="24">
        <v>40000</v>
      </c>
      <c r="D74" s="13"/>
      <c r="E74" s="13"/>
      <c r="F74" s="13"/>
      <c r="G74" s="13"/>
      <c r="H74" s="13"/>
      <c r="I74" s="13"/>
      <c r="J74" s="13"/>
      <c r="K74" s="13"/>
      <c r="L74" s="13"/>
      <c r="M74" s="13"/>
      <c r="N74" s="13"/>
      <c r="O74" s="13"/>
      <c r="P74" s="13"/>
      <c r="Q74" s="13"/>
      <c r="R74" s="13"/>
      <c r="S74" s="13"/>
      <c r="T74" s="13"/>
      <c r="U74" s="13"/>
      <c r="V74" s="13"/>
    </row>
    <row r="75" spans="1:22" ht="13.5" customHeight="1">
      <c r="A75" s="22">
        <v>211303</v>
      </c>
      <c r="B75" s="15" t="s">
        <v>484</v>
      </c>
      <c r="C75" s="26">
        <f>+SUM(C76:C79)</f>
        <v>669500</v>
      </c>
      <c r="D75" s="13"/>
      <c r="E75" s="13"/>
      <c r="F75" s="13"/>
      <c r="G75" s="13"/>
      <c r="H75" s="13"/>
      <c r="I75" s="13"/>
      <c r="J75" s="13"/>
      <c r="K75" s="13"/>
      <c r="L75" s="13"/>
      <c r="M75" s="13"/>
      <c r="N75" s="13"/>
      <c r="O75" s="13"/>
      <c r="P75" s="13"/>
      <c r="Q75" s="13"/>
      <c r="R75" s="13"/>
      <c r="S75" s="13"/>
      <c r="T75" s="13"/>
      <c r="U75" s="13"/>
      <c r="V75" s="13"/>
    </row>
    <row r="76" spans="1:22" ht="13.5" customHeight="1">
      <c r="A76" s="40">
        <v>21130301</v>
      </c>
      <c r="B76" s="13" t="s">
        <v>485</v>
      </c>
      <c r="C76" s="24">
        <v>571500</v>
      </c>
      <c r="D76" s="13"/>
      <c r="E76" s="13"/>
      <c r="F76" s="13"/>
      <c r="G76" s="13"/>
      <c r="H76" s="13"/>
      <c r="I76" s="13"/>
      <c r="J76" s="13"/>
      <c r="K76" s="13"/>
      <c r="L76" s="13"/>
      <c r="M76" s="13"/>
      <c r="N76" s="13"/>
      <c r="O76" s="13"/>
      <c r="P76" s="13"/>
      <c r="Q76" s="13"/>
      <c r="R76" s="13"/>
      <c r="S76" s="13"/>
      <c r="T76" s="13"/>
      <c r="U76" s="13"/>
      <c r="V76" s="13"/>
    </row>
    <row r="77" spans="1:22" ht="13.5" customHeight="1">
      <c r="A77" s="40">
        <v>21130302</v>
      </c>
      <c r="B77" s="13" t="s">
        <v>520</v>
      </c>
      <c r="C77" s="24">
        <v>30000</v>
      </c>
      <c r="D77" s="13"/>
      <c r="E77" s="13"/>
      <c r="F77" s="13"/>
      <c r="G77" s="13"/>
      <c r="H77" s="13"/>
      <c r="I77" s="13"/>
      <c r="J77" s="13"/>
      <c r="K77" s="13"/>
      <c r="L77" s="13"/>
      <c r="M77" s="13"/>
      <c r="N77" s="13"/>
      <c r="O77" s="13"/>
      <c r="P77" s="13"/>
      <c r="Q77" s="13"/>
      <c r="R77" s="13"/>
      <c r="S77" s="13"/>
      <c r="T77" s="13"/>
      <c r="U77" s="13"/>
      <c r="V77" s="13"/>
    </row>
    <row r="78" spans="1:22" ht="13.5" customHeight="1">
      <c r="A78" s="40">
        <v>21130306</v>
      </c>
      <c r="B78" s="13" t="s">
        <v>487</v>
      </c>
      <c r="C78" s="14">
        <v>48000</v>
      </c>
      <c r="D78" s="8"/>
      <c r="E78" s="8"/>
      <c r="F78" s="8"/>
      <c r="G78" s="8"/>
      <c r="H78" s="8"/>
      <c r="I78" s="8"/>
      <c r="J78" s="8"/>
      <c r="K78" s="8"/>
      <c r="L78" s="8"/>
      <c r="M78" s="8"/>
      <c r="N78" s="8"/>
      <c r="O78" s="8"/>
      <c r="P78" s="8"/>
      <c r="Q78" s="8"/>
      <c r="R78" s="8"/>
      <c r="S78" s="8"/>
      <c r="T78" s="8"/>
      <c r="U78" s="8"/>
      <c r="V78" s="8"/>
    </row>
    <row r="79" spans="1:22" ht="13.5" customHeight="1">
      <c r="A79" s="40">
        <v>21130307</v>
      </c>
      <c r="B79" s="13" t="s">
        <v>488</v>
      </c>
      <c r="C79" s="24">
        <v>20000</v>
      </c>
      <c r="D79" s="13"/>
      <c r="E79" s="13"/>
      <c r="F79" s="13"/>
      <c r="G79" s="13"/>
      <c r="H79" s="13"/>
      <c r="I79" s="13"/>
      <c r="J79" s="13"/>
      <c r="K79" s="13"/>
      <c r="L79" s="13"/>
      <c r="M79" s="13"/>
      <c r="N79" s="13"/>
      <c r="O79" s="13"/>
      <c r="P79" s="13"/>
      <c r="Q79" s="13"/>
      <c r="R79" s="13"/>
      <c r="S79" s="13"/>
      <c r="T79" s="13"/>
      <c r="U79" s="13"/>
      <c r="V79" s="13"/>
    </row>
    <row r="80" spans="1:22" ht="13.5" customHeight="1">
      <c r="A80" s="48">
        <v>211305</v>
      </c>
      <c r="B80" s="15" t="s">
        <v>489</v>
      </c>
      <c r="C80" s="26">
        <f>SUM(C81:C82)</f>
        <v>34500</v>
      </c>
      <c r="D80" s="8"/>
      <c r="E80" s="265"/>
      <c r="F80" s="8"/>
      <c r="G80" s="265"/>
      <c r="H80" s="8"/>
      <c r="I80" s="265"/>
      <c r="J80" s="8"/>
      <c r="K80" s="265"/>
      <c r="L80" s="8"/>
      <c r="M80" s="265"/>
      <c r="N80" s="8"/>
      <c r="O80" s="265"/>
      <c r="P80" s="8"/>
      <c r="Q80" s="265"/>
      <c r="R80" s="8"/>
      <c r="S80" s="265"/>
      <c r="T80" s="8"/>
      <c r="U80" s="265"/>
      <c r="V80" s="8"/>
    </row>
    <row r="81" spans="1:22" ht="13.5" customHeight="1">
      <c r="A81" s="33">
        <v>21130501</v>
      </c>
      <c r="B81" s="13" t="s">
        <v>490</v>
      </c>
      <c r="C81" s="14">
        <v>7500</v>
      </c>
      <c r="D81" s="8"/>
      <c r="E81" s="8"/>
      <c r="F81" s="8"/>
      <c r="G81" s="8"/>
      <c r="H81" s="8"/>
      <c r="I81" s="8"/>
      <c r="J81" s="8"/>
      <c r="K81" s="8"/>
      <c r="L81" s="8"/>
      <c r="M81" s="8"/>
      <c r="N81" s="8"/>
      <c r="O81" s="8"/>
      <c r="P81" s="8"/>
      <c r="Q81" s="8"/>
      <c r="R81" s="8"/>
      <c r="S81" s="8"/>
      <c r="T81" s="8"/>
      <c r="U81" s="8"/>
      <c r="V81" s="8"/>
    </row>
    <row r="82" spans="1:22" ht="13.5" customHeight="1">
      <c r="A82" s="33">
        <v>21130502</v>
      </c>
      <c r="B82" s="24" t="s">
        <v>491</v>
      </c>
      <c r="C82" s="14">
        <v>27000</v>
      </c>
      <c r="D82" s="8"/>
      <c r="E82" s="8"/>
      <c r="F82" s="8"/>
      <c r="G82" s="8"/>
      <c r="H82" s="8"/>
      <c r="I82" s="8"/>
      <c r="J82" s="8"/>
      <c r="K82" s="8"/>
      <c r="L82" s="8"/>
      <c r="M82" s="8"/>
      <c r="N82" s="8"/>
      <c r="O82" s="8"/>
      <c r="P82" s="8"/>
      <c r="Q82" s="8"/>
      <c r="R82" s="8"/>
      <c r="S82" s="8"/>
      <c r="T82" s="8"/>
      <c r="U82" s="8"/>
      <c r="V82" s="8"/>
    </row>
    <row r="83" spans="1:22" ht="13.5" customHeight="1">
      <c r="A83" s="48">
        <v>211306</v>
      </c>
      <c r="B83" s="26" t="s">
        <v>492</v>
      </c>
      <c r="C83" s="16">
        <f>SUM(C84:C85)</f>
        <v>587500</v>
      </c>
      <c r="D83" s="8"/>
      <c r="E83" s="8"/>
      <c r="F83" s="8"/>
      <c r="G83" s="8"/>
      <c r="H83" s="8"/>
      <c r="I83" s="8"/>
      <c r="J83" s="8"/>
      <c r="K83" s="8"/>
      <c r="L83" s="8"/>
      <c r="M83" s="8"/>
      <c r="N83" s="8"/>
      <c r="O83" s="8"/>
      <c r="P83" s="8"/>
      <c r="Q83" s="8"/>
      <c r="R83" s="8"/>
      <c r="S83" s="8"/>
      <c r="T83" s="8"/>
      <c r="U83" s="8"/>
      <c r="V83" s="8"/>
    </row>
    <row r="84" spans="1:22" ht="13.5" customHeight="1">
      <c r="A84" s="33">
        <v>21130607</v>
      </c>
      <c r="B84" s="24" t="s">
        <v>493</v>
      </c>
      <c r="C84" s="14">
        <v>16000</v>
      </c>
      <c r="D84" s="8"/>
      <c r="E84" s="8"/>
      <c r="F84" s="8"/>
      <c r="G84" s="8"/>
      <c r="H84" s="8"/>
      <c r="I84" s="8"/>
      <c r="J84" s="8"/>
      <c r="K84" s="8"/>
      <c r="L84" s="8"/>
      <c r="M84" s="8"/>
      <c r="N84" s="8"/>
      <c r="O84" s="8"/>
      <c r="P84" s="8"/>
      <c r="Q84" s="8"/>
      <c r="R84" s="8"/>
      <c r="S84" s="8"/>
      <c r="T84" s="8"/>
      <c r="U84" s="8"/>
      <c r="V84" s="8"/>
    </row>
    <row r="85" spans="1:22" ht="13.5" customHeight="1">
      <c r="A85" s="33">
        <v>21130608</v>
      </c>
      <c r="B85" s="13" t="s">
        <v>557</v>
      </c>
      <c r="C85" s="14">
        <v>571500</v>
      </c>
      <c r="D85" s="8"/>
      <c r="E85" s="8"/>
      <c r="F85" s="8"/>
      <c r="G85" s="8"/>
      <c r="H85" s="8"/>
      <c r="I85" s="8"/>
      <c r="J85" s="8"/>
      <c r="K85" s="8"/>
      <c r="L85" s="8"/>
      <c r="M85" s="8"/>
      <c r="N85" s="8"/>
      <c r="O85" s="8"/>
      <c r="P85" s="8"/>
      <c r="Q85" s="8"/>
      <c r="R85" s="8"/>
      <c r="S85" s="8"/>
      <c r="T85" s="8"/>
      <c r="U85" s="8"/>
      <c r="V85" s="8"/>
    </row>
    <row r="86" spans="1:22" ht="13.5" customHeight="1">
      <c r="A86" s="48">
        <v>211307</v>
      </c>
      <c r="B86" s="15" t="s">
        <v>494</v>
      </c>
      <c r="C86" s="16">
        <f>SUM(C87)</f>
        <v>7500</v>
      </c>
      <c r="D86" s="8"/>
      <c r="E86" s="8"/>
      <c r="F86" s="8"/>
      <c r="G86" s="8"/>
      <c r="H86" s="8"/>
      <c r="I86" s="8"/>
      <c r="J86" s="8"/>
      <c r="K86" s="8"/>
      <c r="L86" s="8"/>
      <c r="M86" s="8"/>
      <c r="N86" s="8"/>
      <c r="O86" s="8"/>
      <c r="P86" s="8"/>
      <c r="Q86" s="8"/>
      <c r="R86" s="8"/>
      <c r="S86" s="8"/>
      <c r="T86" s="8"/>
      <c r="U86" s="8"/>
      <c r="V86" s="8"/>
    </row>
    <row r="87" spans="1:22" ht="13.5" customHeight="1">
      <c r="A87" s="33">
        <v>21130701</v>
      </c>
      <c r="B87" s="13" t="s">
        <v>495</v>
      </c>
      <c r="C87" s="14">
        <v>7500</v>
      </c>
      <c r="D87" s="8"/>
      <c r="E87" s="8"/>
      <c r="F87" s="8"/>
      <c r="G87" s="8"/>
      <c r="H87" s="8"/>
      <c r="I87" s="8"/>
      <c r="J87" s="8"/>
      <c r="K87" s="8"/>
      <c r="L87" s="8"/>
      <c r="M87" s="8"/>
      <c r="N87" s="8"/>
      <c r="O87" s="8"/>
      <c r="P87" s="8"/>
      <c r="Q87" s="8"/>
      <c r="R87" s="8"/>
      <c r="S87" s="8"/>
      <c r="T87" s="8"/>
      <c r="U87" s="8"/>
      <c r="V87" s="8"/>
    </row>
    <row r="88" spans="1:22" ht="13.5" customHeight="1">
      <c r="A88" s="48">
        <v>211309</v>
      </c>
      <c r="B88" s="26" t="s">
        <v>496</v>
      </c>
      <c r="C88" s="16">
        <f>+SUM(C89:C92)</f>
        <v>1054500</v>
      </c>
      <c r="D88" s="8"/>
      <c r="E88" s="8"/>
      <c r="F88" s="8"/>
      <c r="G88" s="8"/>
      <c r="H88" s="8"/>
      <c r="I88" s="8"/>
      <c r="J88" s="8"/>
      <c r="K88" s="8"/>
      <c r="L88" s="8"/>
      <c r="M88" s="8"/>
      <c r="N88" s="8"/>
      <c r="O88" s="8"/>
      <c r="P88" s="8"/>
      <c r="Q88" s="8"/>
      <c r="R88" s="8"/>
      <c r="S88" s="8"/>
      <c r="T88" s="8"/>
      <c r="U88" s="8"/>
      <c r="V88" s="8"/>
    </row>
    <row r="89" spans="1:22" ht="13.5" customHeight="1">
      <c r="A89" s="33">
        <v>21130901</v>
      </c>
      <c r="B89" s="24" t="s">
        <v>497</v>
      </c>
      <c r="C89" s="14">
        <v>40000</v>
      </c>
      <c r="D89" s="8"/>
      <c r="E89" s="8"/>
      <c r="F89" s="8"/>
      <c r="G89" s="8"/>
      <c r="H89" s="8"/>
      <c r="I89" s="8"/>
      <c r="J89" s="8"/>
      <c r="K89" s="8"/>
      <c r="L89" s="8"/>
      <c r="M89" s="8"/>
      <c r="N89" s="8"/>
      <c r="O89" s="8"/>
      <c r="P89" s="8"/>
      <c r="Q89" s="8"/>
      <c r="R89" s="8"/>
      <c r="S89" s="8"/>
      <c r="T89" s="8"/>
      <c r="U89" s="8"/>
      <c r="V89" s="8"/>
    </row>
    <row r="90" spans="1:22" ht="13.5" customHeight="1">
      <c r="A90" s="33">
        <v>21130903</v>
      </c>
      <c r="B90" s="24" t="s">
        <v>498</v>
      </c>
      <c r="C90" s="14">
        <v>20000</v>
      </c>
      <c r="D90" s="8"/>
      <c r="E90" s="8"/>
      <c r="F90" s="8"/>
      <c r="G90" s="8"/>
      <c r="H90" s="8"/>
      <c r="I90" s="8"/>
      <c r="J90" s="8"/>
      <c r="K90" s="8"/>
      <c r="L90" s="8"/>
      <c r="M90" s="8"/>
      <c r="N90" s="8"/>
      <c r="O90" s="8"/>
      <c r="P90" s="8"/>
      <c r="Q90" s="8"/>
      <c r="R90" s="8"/>
      <c r="S90" s="8"/>
      <c r="T90" s="8"/>
      <c r="U90" s="8"/>
      <c r="V90" s="8"/>
    </row>
    <row r="91" spans="1:22" ht="12.75" customHeight="1">
      <c r="A91" s="33">
        <v>21130907</v>
      </c>
      <c r="B91" s="13" t="s">
        <v>581</v>
      </c>
      <c r="C91" s="24">
        <v>60000</v>
      </c>
      <c r="D91" s="8"/>
      <c r="E91" s="265"/>
      <c r="F91" s="8"/>
      <c r="G91" s="265"/>
      <c r="H91" s="8"/>
      <c r="I91" s="265"/>
      <c r="J91" s="8"/>
      <c r="K91" s="265"/>
      <c r="L91" s="8"/>
      <c r="M91" s="265"/>
      <c r="N91" s="8"/>
      <c r="O91" s="265"/>
      <c r="P91" s="8"/>
      <c r="Q91" s="265"/>
      <c r="R91" s="8"/>
      <c r="S91" s="265"/>
      <c r="T91" s="8"/>
      <c r="U91" s="265"/>
      <c r="V91" s="8"/>
    </row>
    <row r="92" spans="1:22" ht="13.5" customHeight="1">
      <c r="A92" s="33">
        <v>21130908</v>
      </c>
      <c r="B92" s="24" t="s">
        <v>500</v>
      </c>
      <c r="C92" s="14">
        <v>934500</v>
      </c>
      <c r="D92" s="8"/>
      <c r="E92" s="8"/>
      <c r="F92" s="8"/>
      <c r="G92" s="8"/>
      <c r="H92" s="8"/>
      <c r="I92" s="8"/>
      <c r="J92" s="8"/>
      <c r="K92" s="8"/>
      <c r="L92" s="8"/>
      <c r="M92" s="8"/>
      <c r="N92" s="8"/>
      <c r="O92" s="8"/>
      <c r="P92" s="8"/>
      <c r="Q92" s="8"/>
      <c r="R92" s="8"/>
      <c r="S92" s="8"/>
      <c r="T92" s="8"/>
      <c r="U92" s="8"/>
      <c r="V92" s="8"/>
    </row>
    <row r="93" spans="1:22" ht="13.5" customHeight="1" thickBot="1">
      <c r="A93" s="23"/>
      <c r="B93" s="24"/>
      <c r="C93" s="14"/>
      <c r="D93" s="8"/>
      <c r="E93" s="8"/>
      <c r="F93" s="8"/>
      <c r="G93" s="8"/>
      <c r="H93" s="8"/>
      <c r="I93" s="8"/>
      <c r="J93" s="8"/>
      <c r="K93" s="8"/>
      <c r="L93" s="8"/>
      <c r="M93" s="8"/>
      <c r="N93" s="8"/>
      <c r="O93" s="8"/>
      <c r="P93" s="8"/>
      <c r="Q93" s="8"/>
      <c r="R93" s="8"/>
      <c r="S93" s="8"/>
      <c r="T93" s="8"/>
      <c r="U93" s="8"/>
      <c r="V93" s="8"/>
    </row>
    <row r="94" spans="1:22" ht="13.5" customHeight="1" thickBot="1">
      <c r="A94" s="1283" t="s">
        <v>48</v>
      </c>
      <c r="B94" s="1281"/>
      <c r="C94" s="52">
        <f>+C95+C101+C99</f>
        <v>265000</v>
      </c>
      <c r="D94" s="8"/>
      <c r="E94" s="8"/>
      <c r="F94" s="8"/>
      <c r="G94" s="8"/>
      <c r="H94" s="8"/>
      <c r="I94" s="8"/>
      <c r="J94" s="8"/>
      <c r="K94" s="8"/>
      <c r="L94" s="8"/>
      <c r="M94" s="8"/>
      <c r="N94" s="8"/>
      <c r="O94" s="8"/>
      <c r="P94" s="8"/>
      <c r="Q94" s="8"/>
      <c r="R94" s="8"/>
      <c r="S94" s="8"/>
      <c r="T94" s="8"/>
      <c r="U94" s="8"/>
      <c r="V94" s="8"/>
    </row>
    <row r="95" spans="1:22" ht="13.5" customHeight="1">
      <c r="A95" s="48">
        <v>221104</v>
      </c>
      <c r="B95" s="22" t="s">
        <v>510</v>
      </c>
      <c r="C95" s="16">
        <f>SUM(C96:C98)</f>
        <v>155000</v>
      </c>
      <c r="D95" s="8"/>
      <c r="E95" s="8"/>
      <c r="F95" s="8"/>
      <c r="G95" s="8"/>
      <c r="H95" s="8"/>
      <c r="I95" s="8"/>
      <c r="J95" s="8"/>
      <c r="K95" s="8"/>
      <c r="L95" s="8"/>
      <c r="M95" s="8"/>
      <c r="N95" s="8"/>
      <c r="O95" s="8"/>
      <c r="P95" s="8"/>
      <c r="Q95" s="8"/>
      <c r="R95" s="8"/>
      <c r="S95" s="8"/>
      <c r="T95" s="8"/>
      <c r="U95" s="8"/>
      <c r="V95" s="8"/>
    </row>
    <row r="96" spans="1:22" ht="13.5" customHeight="1">
      <c r="A96" s="33">
        <v>22110401</v>
      </c>
      <c r="B96" s="13" t="s">
        <v>511</v>
      </c>
      <c r="C96" s="14">
        <v>100000</v>
      </c>
      <c r="D96" s="8"/>
      <c r="E96" s="8"/>
      <c r="F96" s="8"/>
      <c r="G96" s="8"/>
      <c r="H96" s="8"/>
      <c r="I96" s="8"/>
      <c r="J96" s="8"/>
      <c r="K96" s="8"/>
      <c r="L96" s="8"/>
      <c r="M96" s="8"/>
      <c r="N96" s="8"/>
      <c r="O96" s="8"/>
      <c r="P96" s="8"/>
      <c r="Q96" s="8"/>
      <c r="R96" s="8"/>
      <c r="S96" s="8"/>
      <c r="T96" s="8"/>
      <c r="U96" s="8"/>
      <c r="V96" s="8"/>
    </row>
    <row r="97" spans="1:22" ht="13.5" customHeight="1">
      <c r="A97" s="40">
        <v>22110404</v>
      </c>
      <c r="B97" s="13" t="s">
        <v>512</v>
      </c>
      <c r="C97" s="14">
        <v>20000</v>
      </c>
      <c r="D97" s="8"/>
      <c r="E97" s="8"/>
      <c r="F97" s="8"/>
      <c r="G97" s="8"/>
      <c r="H97" s="8"/>
      <c r="I97" s="8"/>
      <c r="J97" s="8"/>
      <c r="K97" s="8"/>
      <c r="L97" s="8"/>
      <c r="M97" s="8"/>
      <c r="N97" s="8"/>
      <c r="O97" s="8"/>
      <c r="P97" s="8"/>
      <c r="Q97" s="8"/>
      <c r="R97" s="8"/>
      <c r="S97" s="8"/>
      <c r="T97" s="8"/>
      <c r="U97" s="8"/>
      <c r="V97" s="8"/>
    </row>
    <row r="98" spans="1:22" ht="13.5" customHeight="1">
      <c r="A98" s="33">
        <v>22110409</v>
      </c>
      <c r="B98" s="24" t="s">
        <v>513</v>
      </c>
      <c r="C98" s="24">
        <v>35000</v>
      </c>
      <c r="D98" s="13"/>
      <c r="E98" s="13"/>
      <c r="F98" s="13"/>
      <c r="G98" s="13"/>
      <c r="H98" s="13"/>
      <c r="I98" s="13"/>
      <c r="J98" s="13"/>
      <c r="K98" s="13"/>
      <c r="L98" s="13"/>
      <c r="M98" s="13"/>
      <c r="N98" s="13"/>
      <c r="O98" s="13"/>
      <c r="P98" s="13"/>
      <c r="Q98" s="13"/>
      <c r="R98" s="13"/>
      <c r="S98" s="13"/>
      <c r="T98" s="13"/>
      <c r="U98" s="13"/>
      <c r="V98" s="13"/>
    </row>
    <row r="99" spans="1:22" ht="13.5" customHeight="1">
      <c r="A99" s="48">
        <v>221105</v>
      </c>
      <c r="B99" s="26" t="s">
        <v>523</v>
      </c>
      <c r="C99" s="26">
        <f>SUM(C100)</f>
        <v>80000</v>
      </c>
      <c r="D99" s="13"/>
      <c r="E99" s="13"/>
      <c r="F99" s="13"/>
      <c r="G99" s="13"/>
      <c r="H99" s="13"/>
      <c r="I99" s="13"/>
      <c r="J99" s="13"/>
      <c r="K99" s="13"/>
      <c r="L99" s="13"/>
      <c r="M99" s="13"/>
      <c r="N99" s="13"/>
      <c r="O99" s="13"/>
      <c r="P99" s="13"/>
      <c r="Q99" s="13"/>
      <c r="R99" s="13"/>
      <c r="S99" s="13"/>
      <c r="T99" s="13"/>
      <c r="U99" s="13"/>
      <c r="V99" s="13"/>
    </row>
    <row r="100" spans="1:22" ht="13.5" customHeight="1">
      <c r="A100" s="33">
        <v>22110501</v>
      </c>
      <c r="B100" s="24" t="s">
        <v>524</v>
      </c>
      <c r="C100" s="24">
        <v>80000</v>
      </c>
      <c r="D100" s="13"/>
      <c r="E100" s="13"/>
      <c r="F100" s="13"/>
      <c r="G100" s="13"/>
      <c r="H100" s="13"/>
      <c r="I100" s="13"/>
      <c r="J100" s="13"/>
      <c r="K100" s="13"/>
      <c r="L100" s="13"/>
      <c r="M100" s="13"/>
      <c r="N100" s="13"/>
      <c r="O100" s="13"/>
      <c r="P100" s="13"/>
      <c r="Q100" s="13"/>
      <c r="R100" s="13"/>
      <c r="S100" s="13"/>
      <c r="T100" s="13"/>
      <c r="U100" s="13"/>
      <c r="V100" s="13"/>
    </row>
    <row r="101" spans="1:22" ht="13.5" customHeight="1">
      <c r="A101" s="48">
        <v>221107</v>
      </c>
      <c r="B101" s="26" t="s">
        <v>514</v>
      </c>
      <c r="C101" s="16">
        <f>SUM(C102)</f>
        <v>30000</v>
      </c>
      <c r="D101" s="8"/>
      <c r="E101" s="8"/>
      <c r="F101" s="8"/>
      <c r="G101" s="8"/>
      <c r="H101" s="8"/>
      <c r="I101" s="8"/>
      <c r="J101" s="8"/>
      <c r="K101" s="8"/>
      <c r="L101" s="8"/>
      <c r="M101" s="8"/>
      <c r="N101" s="8"/>
      <c r="O101" s="8"/>
      <c r="P101" s="8"/>
      <c r="Q101" s="8"/>
      <c r="R101" s="8"/>
      <c r="S101" s="8"/>
      <c r="T101" s="8"/>
      <c r="U101" s="8"/>
      <c r="V101" s="8"/>
    </row>
    <row r="102" spans="1:22" ht="13.5" customHeight="1">
      <c r="A102" s="33">
        <v>22110702</v>
      </c>
      <c r="B102" s="24" t="s">
        <v>515</v>
      </c>
      <c r="C102" s="14">
        <v>30000</v>
      </c>
      <c r="D102" s="8"/>
      <c r="E102" s="8"/>
      <c r="F102" s="8"/>
      <c r="G102" s="8"/>
      <c r="H102" s="8"/>
      <c r="I102" s="8"/>
      <c r="J102" s="8"/>
      <c r="K102" s="8"/>
      <c r="L102" s="8"/>
      <c r="M102" s="8"/>
      <c r="N102" s="8"/>
      <c r="O102" s="8"/>
      <c r="P102" s="8"/>
      <c r="Q102" s="8"/>
      <c r="R102" s="8"/>
      <c r="S102" s="8"/>
      <c r="T102" s="8"/>
      <c r="U102" s="8"/>
      <c r="V102" s="8"/>
    </row>
    <row r="103" spans="1:22" ht="13.5" customHeight="1">
      <c r="A103" s="33"/>
      <c r="B103" s="24"/>
      <c r="C103" s="14"/>
      <c r="D103" s="8"/>
      <c r="E103" s="8"/>
      <c r="F103" s="8"/>
      <c r="G103" s="8"/>
      <c r="H103" s="8"/>
      <c r="I103" s="8"/>
      <c r="J103" s="8"/>
      <c r="K103" s="8"/>
      <c r="L103" s="8"/>
      <c r="M103" s="8"/>
      <c r="N103" s="8"/>
      <c r="O103" s="8"/>
      <c r="P103" s="8"/>
      <c r="Q103" s="8"/>
      <c r="R103" s="8"/>
      <c r="S103" s="8"/>
      <c r="T103" s="8"/>
      <c r="U103" s="8"/>
      <c r="V103" s="8"/>
    </row>
    <row r="104" spans="1:22" ht="13.5" customHeight="1" thickBot="1">
      <c r="A104" s="8"/>
      <c r="B104" s="8"/>
      <c r="C104" s="30"/>
      <c r="D104" s="8"/>
      <c r="E104" s="8"/>
      <c r="F104" s="8"/>
      <c r="G104" s="8"/>
      <c r="H104" s="8"/>
      <c r="I104" s="8"/>
      <c r="J104" s="8"/>
      <c r="K104" s="8"/>
      <c r="L104" s="8"/>
      <c r="M104" s="8"/>
      <c r="N104" s="8"/>
      <c r="O104" s="8"/>
      <c r="P104" s="8"/>
      <c r="Q104" s="8"/>
      <c r="R104" s="8"/>
      <c r="S104" s="8"/>
      <c r="T104" s="8"/>
      <c r="U104" s="8"/>
      <c r="V104" s="8"/>
    </row>
    <row r="105" spans="1:22" ht="13.5" customHeight="1">
      <c r="A105" s="1443" t="s">
        <v>937</v>
      </c>
      <c r="B105" s="1444"/>
      <c r="C105" s="1161" t="s">
        <v>275</v>
      </c>
      <c r="D105" s="8"/>
      <c r="E105" s="8"/>
      <c r="F105" s="8"/>
      <c r="G105" s="8"/>
      <c r="H105" s="8"/>
      <c r="I105" s="8"/>
      <c r="J105" s="8"/>
      <c r="K105" s="8"/>
      <c r="L105" s="8"/>
      <c r="M105" s="8"/>
      <c r="N105" s="8"/>
      <c r="O105" s="8"/>
      <c r="P105" s="8"/>
      <c r="Q105" s="8"/>
      <c r="R105" s="8"/>
      <c r="S105" s="8"/>
      <c r="T105" s="8"/>
      <c r="U105" s="8"/>
      <c r="V105" s="8"/>
    </row>
    <row r="106" spans="1:22" ht="13.5" customHeight="1" thickBot="1">
      <c r="A106" s="1163"/>
      <c r="B106" s="1155" t="s">
        <v>276</v>
      </c>
      <c r="C106" s="1164"/>
      <c r="D106" s="8"/>
      <c r="E106" s="8"/>
      <c r="F106" s="8"/>
      <c r="G106" s="8"/>
      <c r="H106" s="8"/>
      <c r="I106" s="8"/>
      <c r="J106" s="8"/>
      <c r="K106" s="8"/>
      <c r="L106" s="8"/>
      <c r="M106" s="8"/>
      <c r="N106" s="8"/>
      <c r="O106" s="8"/>
      <c r="P106" s="8"/>
      <c r="Q106" s="8"/>
      <c r="R106" s="8"/>
      <c r="S106" s="8"/>
      <c r="T106" s="8"/>
      <c r="U106" s="8"/>
      <c r="V106" s="8"/>
    </row>
    <row r="107" spans="1:22" ht="13.5" customHeight="1">
      <c r="A107" s="1445" t="s">
        <v>277</v>
      </c>
      <c r="B107" s="1446"/>
      <c r="C107" s="1447"/>
      <c r="D107" s="13"/>
      <c r="E107" s="13"/>
      <c r="F107" s="13"/>
      <c r="G107" s="13"/>
      <c r="H107" s="13"/>
      <c r="I107" s="13"/>
      <c r="J107" s="13"/>
      <c r="K107" s="13"/>
      <c r="L107" s="13"/>
      <c r="M107" s="13"/>
      <c r="N107" s="13"/>
      <c r="O107" s="13"/>
      <c r="P107" s="13"/>
      <c r="Q107" s="13"/>
      <c r="R107" s="13"/>
      <c r="S107" s="13"/>
      <c r="T107" s="13"/>
      <c r="U107" s="13"/>
      <c r="V107" s="13"/>
    </row>
    <row r="108" spans="1:22" ht="13.5" customHeight="1" thickBot="1">
      <c r="A108" s="1448"/>
      <c r="B108" s="1449"/>
      <c r="C108" s="1450"/>
      <c r="D108" s="13"/>
      <c r="E108" s="13"/>
      <c r="F108" s="13"/>
      <c r="G108" s="13"/>
      <c r="H108" s="13"/>
      <c r="I108" s="13"/>
      <c r="J108" s="13"/>
      <c r="K108" s="13"/>
      <c r="L108" s="13"/>
      <c r="M108" s="13"/>
      <c r="N108" s="13"/>
      <c r="O108" s="13"/>
      <c r="P108" s="13"/>
      <c r="Q108" s="13"/>
      <c r="R108" s="13"/>
      <c r="S108" s="13"/>
      <c r="T108" s="13"/>
      <c r="U108" s="13"/>
      <c r="V108" s="13"/>
    </row>
    <row r="109" spans="1:22" ht="13.5" customHeight="1">
      <c r="A109" s="1097" t="s">
        <v>671</v>
      </c>
      <c r="B109" s="986"/>
      <c r="C109" s="1098"/>
      <c r="D109" s="8"/>
      <c r="E109" s="8"/>
      <c r="F109" s="8"/>
      <c r="G109" s="8"/>
      <c r="H109" s="8"/>
      <c r="I109" s="8"/>
      <c r="J109" s="8"/>
      <c r="K109" s="8"/>
      <c r="L109" s="8"/>
      <c r="M109" s="8"/>
      <c r="N109" s="8"/>
      <c r="O109" s="8"/>
      <c r="P109" s="8"/>
      <c r="Q109" s="8"/>
      <c r="R109" s="8"/>
      <c r="S109" s="8"/>
      <c r="T109" s="8"/>
      <c r="U109" s="8"/>
      <c r="V109" s="8"/>
    </row>
    <row r="110" spans="1:22" ht="13.5" customHeight="1">
      <c r="A110" s="1097" t="s">
        <v>271</v>
      </c>
      <c r="B110" s="986"/>
      <c r="C110" s="1098"/>
      <c r="D110" s="8"/>
      <c r="E110" s="8"/>
      <c r="F110" s="8"/>
      <c r="G110" s="8"/>
      <c r="H110" s="8"/>
      <c r="I110" s="8"/>
      <c r="J110" s="8"/>
      <c r="K110" s="8"/>
      <c r="L110" s="8"/>
      <c r="M110" s="8"/>
      <c r="N110" s="8"/>
      <c r="O110" s="8"/>
      <c r="P110" s="8"/>
      <c r="Q110" s="8"/>
      <c r="R110" s="8"/>
      <c r="S110" s="8"/>
      <c r="T110" s="8"/>
      <c r="U110" s="8"/>
      <c r="V110" s="8"/>
    </row>
    <row r="111" spans="1:22" ht="13.5" customHeight="1">
      <c r="A111" s="1097" t="s">
        <v>289</v>
      </c>
      <c r="B111" s="986"/>
      <c r="C111" s="1098"/>
      <c r="D111" s="8"/>
      <c r="E111" s="8"/>
      <c r="F111" s="8"/>
      <c r="G111" s="8"/>
      <c r="H111" s="8"/>
      <c r="I111" s="8"/>
      <c r="J111" s="8"/>
      <c r="K111" s="8"/>
      <c r="L111" s="8"/>
      <c r="M111" s="8"/>
      <c r="N111" s="8"/>
      <c r="O111" s="8"/>
      <c r="P111" s="8"/>
      <c r="Q111" s="8"/>
      <c r="R111" s="8"/>
      <c r="S111" s="8"/>
      <c r="T111" s="8"/>
      <c r="U111" s="8"/>
      <c r="V111" s="8"/>
    </row>
    <row r="112" spans="1:22" ht="13.5" customHeight="1" thickBot="1">
      <c r="A112" s="1097" t="s">
        <v>0</v>
      </c>
      <c r="B112" s="986"/>
      <c r="C112" s="1098"/>
      <c r="D112" s="8"/>
      <c r="E112" s="8"/>
      <c r="F112" s="8"/>
      <c r="G112" s="8"/>
      <c r="H112" s="8"/>
      <c r="I112" s="8"/>
      <c r="J112" s="8"/>
      <c r="K112" s="8"/>
      <c r="L112" s="8"/>
      <c r="M112" s="8"/>
      <c r="N112" s="8"/>
      <c r="O112" s="8"/>
      <c r="P112" s="8"/>
      <c r="Q112" s="8"/>
      <c r="R112" s="8"/>
      <c r="S112" s="8"/>
      <c r="T112" s="8"/>
      <c r="U112" s="8"/>
      <c r="V112" s="8"/>
    </row>
    <row r="113" spans="1:22" ht="13.5" customHeight="1" thickBot="1">
      <c r="A113" s="1158" t="s">
        <v>66</v>
      </c>
      <c r="B113" s="1159"/>
      <c r="C113" s="1165">
        <f>+C115+C136+C164</f>
        <v>10234000</v>
      </c>
      <c r="D113" s="8"/>
      <c r="E113" s="8"/>
      <c r="F113" s="8"/>
      <c r="G113" s="8"/>
      <c r="H113" s="8"/>
      <c r="I113" s="8"/>
      <c r="J113" s="8"/>
      <c r="K113" s="8"/>
      <c r="L113" s="8"/>
      <c r="M113" s="8"/>
      <c r="N113" s="8"/>
      <c r="O113" s="8"/>
      <c r="P113" s="8"/>
      <c r="Q113" s="8"/>
      <c r="R113" s="8"/>
      <c r="S113" s="8"/>
      <c r="T113" s="8"/>
      <c r="U113" s="8"/>
      <c r="V113" s="8"/>
    </row>
    <row r="114" spans="1:22" ht="13.5" customHeight="1" thickBot="1">
      <c r="A114" s="13"/>
      <c r="B114" s="13"/>
      <c r="C114" s="30"/>
      <c r="D114" s="8"/>
      <c r="E114" s="8"/>
      <c r="F114" s="8"/>
      <c r="G114" s="8"/>
      <c r="H114" s="8"/>
      <c r="I114" s="8"/>
      <c r="J114" s="8"/>
      <c r="K114" s="8"/>
      <c r="L114" s="8"/>
      <c r="M114" s="8"/>
      <c r="N114" s="8"/>
      <c r="O114" s="8"/>
      <c r="P114" s="8"/>
      <c r="Q114" s="8"/>
      <c r="R114" s="8"/>
      <c r="S114" s="8"/>
      <c r="T114" s="8"/>
      <c r="U114" s="8"/>
      <c r="V114" s="8"/>
    </row>
    <row r="115" spans="1:22" ht="13.5" customHeight="1" thickBot="1">
      <c r="A115" s="1280" t="s">
        <v>9</v>
      </c>
      <c r="B115" s="1281"/>
      <c r="C115" s="31">
        <f>C116+C118+C121+C129+C132+C123</f>
        <v>947000</v>
      </c>
      <c r="D115" s="8"/>
      <c r="E115" s="8"/>
      <c r="F115" s="8"/>
      <c r="G115" s="8"/>
      <c r="H115" s="8"/>
      <c r="I115" s="8"/>
      <c r="J115" s="8"/>
      <c r="K115" s="8"/>
      <c r="L115" s="8"/>
      <c r="M115" s="8"/>
      <c r="N115" s="8"/>
      <c r="O115" s="8"/>
      <c r="P115" s="8"/>
      <c r="Q115" s="8"/>
      <c r="R115" s="8"/>
      <c r="S115" s="8"/>
      <c r="T115" s="8"/>
      <c r="U115" s="8"/>
      <c r="V115" s="8"/>
    </row>
    <row r="116" spans="1:22" ht="13.5" customHeight="1">
      <c r="A116" s="48">
        <v>211201</v>
      </c>
      <c r="B116" s="22" t="s">
        <v>459</v>
      </c>
      <c r="C116" s="16">
        <f>SUM(C117)</f>
        <v>114500</v>
      </c>
      <c r="D116" s="8"/>
      <c r="E116" s="8"/>
      <c r="F116" s="8"/>
      <c r="G116" s="8"/>
      <c r="H116" s="8"/>
      <c r="I116" s="8"/>
      <c r="J116" s="8"/>
      <c r="K116" s="8"/>
      <c r="L116" s="8"/>
      <c r="M116" s="8"/>
      <c r="N116" s="8"/>
      <c r="O116" s="8"/>
      <c r="P116" s="8"/>
      <c r="Q116" s="8"/>
      <c r="R116" s="8"/>
      <c r="S116" s="8"/>
      <c r="T116" s="8"/>
      <c r="U116" s="8"/>
      <c r="V116" s="8"/>
    </row>
    <row r="117" spans="1:22" ht="13.5" customHeight="1">
      <c r="A117" s="33">
        <v>21120101</v>
      </c>
      <c r="B117" s="13" t="s">
        <v>460</v>
      </c>
      <c r="C117" s="24">
        <v>114500</v>
      </c>
      <c r="D117" s="13"/>
      <c r="E117" s="13"/>
      <c r="F117" s="13"/>
      <c r="G117" s="13"/>
      <c r="H117" s="13"/>
      <c r="I117" s="13"/>
      <c r="J117" s="13"/>
      <c r="K117" s="13"/>
      <c r="L117" s="13"/>
      <c r="M117" s="13"/>
      <c r="N117" s="13"/>
      <c r="O117" s="13"/>
      <c r="P117" s="13"/>
      <c r="Q117" s="13"/>
      <c r="R117" s="13"/>
      <c r="S117" s="13"/>
      <c r="T117" s="13"/>
      <c r="U117" s="13"/>
      <c r="V117" s="13"/>
    </row>
    <row r="118" spans="1:22" ht="13.5" customHeight="1">
      <c r="A118" s="48">
        <v>211203</v>
      </c>
      <c r="B118" s="15" t="s">
        <v>461</v>
      </c>
      <c r="C118" s="16">
        <f>+SUM(C119:C120)</f>
        <v>31500</v>
      </c>
      <c r="D118" s="13"/>
      <c r="E118" s="13"/>
      <c r="F118" s="13"/>
      <c r="G118" s="13"/>
      <c r="H118" s="13"/>
      <c r="I118" s="13"/>
      <c r="J118" s="13"/>
      <c r="K118" s="13"/>
      <c r="L118" s="13"/>
      <c r="M118" s="13"/>
      <c r="N118" s="13"/>
      <c r="O118" s="13"/>
      <c r="P118" s="13"/>
      <c r="Q118" s="13"/>
      <c r="R118" s="13"/>
      <c r="S118" s="13"/>
      <c r="T118" s="13"/>
      <c r="U118" s="13"/>
      <c r="V118" s="13"/>
    </row>
    <row r="119" spans="1:22" ht="13.5" customHeight="1">
      <c r="A119" s="33">
        <v>21120301</v>
      </c>
      <c r="B119" s="13" t="s">
        <v>527</v>
      </c>
      <c r="C119" s="24">
        <v>25000</v>
      </c>
      <c r="D119" s="13"/>
      <c r="E119" s="13"/>
      <c r="F119" s="13"/>
      <c r="G119" s="13"/>
      <c r="H119" s="13"/>
      <c r="I119" s="13"/>
      <c r="J119" s="13"/>
      <c r="K119" s="13"/>
      <c r="L119" s="13"/>
      <c r="M119" s="13"/>
      <c r="N119" s="13"/>
      <c r="O119" s="13"/>
      <c r="P119" s="13"/>
      <c r="Q119" s="13"/>
      <c r="R119" s="13"/>
      <c r="S119" s="13"/>
      <c r="T119" s="13"/>
      <c r="U119" s="13"/>
      <c r="V119" s="13"/>
    </row>
    <row r="120" spans="1:22" ht="13.5" customHeight="1">
      <c r="A120" s="33">
        <v>21120302</v>
      </c>
      <c r="B120" s="13" t="s">
        <v>462</v>
      </c>
      <c r="C120" s="24">
        <v>6500</v>
      </c>
      <c r="D120" s="13"/>
      <c r="E120" s="13"/>
      <c r="F120" s="13"/>
      <c r="G120" s="13"/>
      <c r="H120" s="13"/>
      <c r="I120" s="13"/>
      <c r="J120" s="13"/>
      <c r="K120" s="13"/>
      <c r="L120" s="13"/>
      <c r="M120" s="13"/>
      <c r="N120" s="13"/>
      <c r="O120" s="13"/>
      <c r="P120" s="13"/>
      <c r="Q120" s="13"/>
      <c r="R120" s="13"/>
      <c r="S120" s="13"/>
      <c r="T120" s="13"/>
      <c r="U120" s="13"/>
      <c r="V120" s="13"/>
    </row>
    <row r="121" spans="1:22" ht="13.5" customHeight="1">
      <c r="A121" s="48">
        <v>211204</v>
      </c>
      <c r="B121" s="15" t="s">
        <v>463</v>
      </c>
      <c r="C121" s="26">
        <f>SUM(C122)</f>
        <v>598500</v>
      </c>
      <c r="D121" s="13"/>
      <c r="E121" s="13"/>
      <c r="F121" s="13"/>
      <c r="G121" s="13"/>
      <c r="H121" s="13"/>
      <c r="I121" s="13"/>
      <c r="J121" s="13"/>
      <c r="K121" s="13"/>
      <c r="L121" s="13"/>
      <c r="M121" s="13"/>
      <c r="N121" s="13"/>
      <c r="O121" s="13"/>
      <c r="P121" s="13"/>
      <c r="Q121" s="13"/>
      <c r="R121" s="13"/>
      <c r="S121" s="13"/>
      <c r="T121" s="13"/>
      <c r="U121" s="13"/>
      <c r="V121" s="13"/>
    </row>
    <row r="122" spans="1:22" ht="13.5" customHeight="1">
      <c r="A122" s="33">
        <v>21120401</v>
      </c>
      <c r="B122" s="24" t="s">
        <v>464</v>
      </c>
      <c r="C122" s="24">
        <v>598500</v>
      </c>
      <c r="D122" s="13"/>
      <c r="E122" s="13"/>
      <c r="F122" s="13"/>
      <c r="G122" s="13"/>
      <c r="H122" s="13"/>
      <c r="I122" s="13"/>
      <c r="J122" s="13"/>
      <c r="K122" s="13"/>
      <c r="L122" s="13"/>
      <c r="M122" s="13"/>
      <c r="N122" s="13"/>
      <c r="O122" s="13"/>
      <c r="P122" s="13"/>
      <c r="Q122" s="13"/>
      <c r="R122" s="13"/>
      <c r="S122" s="13"/>
      <c r="T122" s="13"/>
      <c r="U122" s="13"/>
      <c r="V122" s="13"/>
    </row>
    <row r="123" spans="1:22" ht="13.5" customHeight="1">
      <c r="A123" s="48">
        <v>211207</v>
      </c>
      <c r="B123" s="15" t="s">
        <v>467</v>
      </c>
      <c r="C123" s="26">
        <f>+SUM(C124:C128)</f>
        <v>110500</v>
      </c>
      <c r="D123" s="4"/>
      <c r="E123" s="4"/>
      <c r="F123" s="4"/>
      <c r="G123" s="4"/>
      <c r="H123" s="4"/>
      <c r="I123" s="4"/>
      <c r="J123" s="4"/>
      <c r="K123" s="4"/>
      <c r="L123" s="4"/>
      <c r="M123" s="4"/>
      <c r="N123" s="4"/>
      <c r="O123" s="4"/>
      <c r="P123" s="4"/>
      <c r="Q123" s="4"/>
      <c r="R123" s="4"/>
      <c r="S123" s="4"/>
      <c r="T123" s="4"/>
      <c r="U123" s="4"/>
      <c r="V123" s="4"/>
    </row>
    <row r="124" spans="1:22" ht="13.5" customHeight="1">
      <c r="A124" s="33">
        <v>21120702</v>
      </c>
      <c r="B124" s="13" t="s">
        <v>468</v>
      </c>
      <c r="C124" s="24">
        <v>30000</v>
      </c>
      <c r="D124" s="4"/>
      <c r="E124" s="4"/>
      <c r="F124" s="4"/>
      <c r="G124" s="4"/>
      <c r="H124" s="4"/>
      <c r="I124" s="4"/>
      <c r="J124" s="4"/>
      <c r="K124" s="4"/>
      <c r="L124" s="4"/>
      <c r="M124" s="4"/>
      <c r="N124" s="4"/>
      <c r="O124" s="4"/>
      <c r="P124" s="4"/>
      <c r="Q124" s="4"/>
      <c r="R124" s="4"/>
      <c r="S124" s="4"/>
      <c r="T124" s="4"/>
      <c r="U124" s="4"/>
      <c r="V124" s="4"/>
    </row>
    <row r="125" spans="1:22" ht="13.5" customHeight="1">
      <c r="A125" s="33">
        <v>21120708</v>
      </c>
      <c r="B125" s="13" t="s">
        <v>470</v>
      </c>
      <c r="C125" s="24">
        <v>15000</v>
      </c>
      <c r="D125" s="4"/>
      <c r="E125" s="4"/>
      <c r="F125" s="4"/>
      <c r="G125" s="4"/>
      <c r="H125" s="4"/>
      <c r="I125" s="4"/>
      <c r="J125" s="4"/>
      <c r="K125" s="4"/>
      <c r="L125" s="4"/>
      <c r="M125" s="4"/>
      <c r="N125" s="4"/>
      <c r="O125" s="4"/>
      <c r="P125" s="4"/>
      <c r="Q125" s="4"/>
      <c r="R125" s="4"/>
      <c r="S125" s="4"/>
      <c r="T125" s="4"/>
      <c r="U125" s="4"/>
      <c r="V125" s="4"/>
    </row>
    <row r="126" spans="1:22" ht="13.5" customHeight="1">
      <c r="A126" s="33">
        <v>21120709</v>
      </c>
      <c r="B126" s="24" t="s">
        <v>471</v>
      </c>
      <c r="C126" s="24">
        <v>24000</v>
      </c>
      <c r="D126" s="8"/>
      <c r="E126" s="8"/>
      <c r="F126" s="8"/>
      <c r="G126" s="8"/>
      <c r="H126" s="8"/>
      <c r="I126" s="8"/>
      <c r="J126" s="8"/>
      <c r="K126" s="8"/>
      <c r="L126" s="8"/>
      <c r="M126" s="8"/>
      <c r="N126" s="8"/>
      <c r="O126" s="8"/>
      <c r="P126" s="8"/>
      <c r="Q126" s="8"/>
      <c r="R126" s="8"/>
      <c r="S126" s="8"/>
      <c r="T126" s="8"/>
      <c r="U126" s="8"/>
      <c r="V126" s="8"/>
    </row>
    <row r="127" spans="1:22" ht="13.5" customHeight="1">
      <c r="A127" s="33">
        <v>21120710</v>
      </c>
      <c r="B127" s="24" t="s">
        <v>472</v>
      </c>
      <c r="C127" s="24">
        <v>22500</v>
      </c>
      <c r="D127" s="8"/>
      <c r="E127" s="8"/>
      <c r="F127" s="8"/>
      <c r="G127" s="8"/>
      <c r="H127" s="8"/>
      <c r="I127" s="8"/>
      <c r="J127" s="8"/>
      <c r="K127" s="8"/>
      <c r="L127" s="8"/>
      <c r="M127" s="8"/>
      <c r="N127" s="8"/>
      <c r="O127" s="8"/>
      <c r="P127" s="8"/>
      <c r="Q127" s="8"/>
      <c r="R127" s="8"/>
      <c r="S127" s="8"/>
      <c r="T127" s="8"/>
      <c r="U127" s="8"/>
      <c r="V127" s="8"/>
    </row>
    <row r="128" spans="1:22" ht="13.5" customHeight="1">
      <c r="A128" s="33">
        <v>21120711</v>
      </c>
      <c r="B128" s="24" t="s">
        <v>473</v>
      </c>
      <c r="C128" s="24">
        <v>19000</v>
      </c>
      <c r="D128" s="8"/>
      <c r="E128" s="8"/>
      <c r="F128" s="8"/>
      <c r="G128" s="8"/>
      <c r="H128" s="8"/>
      <c r="I128" s="8"/>
      <c r="J128" s="8"/>
      <c r="K128" s="8"/>
      <c r="L128" s="8"/>
      <c r="M128" s="8"/>
      <c r="N128" s="8"/>
      <c r="O128" s="8"/>
      <c r="P128" s="8"/>
      <c r="Q128" s="8"/>
      <c r="R128" s="8"/>
      <c r="S128" s="8"/>
      <c r="T128" s="8"/>
      <c r="U128" s="8"/>
      <c r="V128" s="8"/>
    </row>
    <row r="129" spans="1:22" ht="13.5" customHeight="1">
      <c r="A129" s="48">
        <v>211208</v>
      </c>
      <c r="B129" s="26" t="s">
        <v>474</v>
      </c>
      <c r="C129" s="26">
        <f>SUM(C130:C131)</f>
        <v>50000</v>
      </c>
      <c r="D129" s="13"/>
      <c r="E129" s="13"/>
      <c r="F129" s="13"/>
      <c r="G129" s="13"/>
      <c r="H129" s="13"/>
      <c r="I129" s="13"/>
      <c r="J129" s="13"/>
      <c r="K129" s="13"/>
      <c r="L129" s="13"/>
      <c r="M129" s="13"/>
      <c r="N129" s="13"/>
      <c r="O129" s="13"/>
      <c r="P129" s="13"/>
      <c r="Q129" s="13"/>
      <c r="R129" s="13"/>
      <c r="S129" s="13"/>
      <c r="T129" s="13"/>
      <c r="U129" s="13"/>
      <c r="V129" s="13"/>
    </row>
    <row r="130" spans="1:22" ht="13.5" customHeight="1">
      <c r="A130" s="33">
        <v>21120801</v>
      </c>
      <c r="B130" s="13" t="s">
        <v>475</v>
      </c>
      <c r="C130" s="24">
        <v>20000</v>
      </c>
      <c r="D130" s="8"/>
      <c r="E130" s="8"/>
      <c r="F130" s="8"/>
      <c r="G130" s="8"/>
      <c r="H130" s="8"/>
      <c r="I130" s="8"/>
      <c r="J130" s="8"/>
      <c r="K130" s="8"/>
      <c r="L130" s="8"/>
      <c r="M130" s="8"/>
      <c r="N130" s="8"/>
      <c r="O130" s="8"/>
      <c r="P130" s="8"/>
      <c r="Q130" s="8"/>
      <c r="R130" s="8"/>
      <c r="S130" s="8"/>
      <c r="T130" s="8"/>
      <c r="U130" s="8"/>
      <c r="V130" s="8"/>
    </row>
    <row r="131" spans="1:22" ht="13.5" customHeight="1">
      <c r="A131" s="33">
        <v>21120805</v>
      </c>
      <c r="B131" s="24" t="s">
        <v>476</v>
      </c>
      <c r="C131" s="14">
        <v>30000</v>
      </c>
      <c r="D131" s="8"/>
      <c r="E131" s="8"/>
      <c r="F131" s="8"/>
      <c r="G131" s="8"/>
      <c r="H131" s="8"/>
      <c r="I131" s="8"/>
      <c r="J131" s="8"/>
      <c r="K131" s="8"/>
      <c r="L131" s="8"/>
      <c r="M131" s="8"/>
      <c r="N131" s="8"/>
      <c r="O131" s="8"/>
      <c r="P131" s="8"/>
      <c r="Q131" s="8"/>
      <c r="R131" s="8"/>
      <c r="S131" s="8"/>
      <c r="T131" s="8"/>
      <c r="U131" s="8"/>
      <c r="V131" s="8"/>
    </row>
    <row r="132" spans="1:22" ht="13.5" customHeight="1">
      <c r="A132" s="48">
        <v>211209</v>
      </c>
      <c r="B132" s="26" t="s">
        <v>477</v>
      </c>
      <c r="C132" s="16">
        <f>SUM(C133:C134)</f>
        <v>42000</v>
      </c>
      <c r="D132" s="8"/>
      <c r="E132" s="8"/>
      <c r="F132" s="8"/>
      <c r="G132" s="8"/>
      <c r="H132" s="8"/>
      <c r="I132" s="8"/>
      <c r="J132" s="8"/>
      <c r="K132" s="8"/>
      <c r="L132" s="8"/>
      <c r="M132" s="8"/>
      <c r="N132" s="8"/>
      <c r="O132" s="8"/>
      <c r="P132" s="8"/>
      <c r="Q132" s="8"/>
      <c r="R132" s="8"/>
      <c r="S132" s="8"/>
      <c r="T132" s="8"/>
      <c r="U132" s="8"/>
      <c r="V132" s="8"/>
    </row>
    <row r="133" spans="1:22" ht="13.5" customHeight="1">
      <c r="A133" s="33">
        <v>21120901</v>
      </c>
      <c r="B133" s="24" t="s">
        <v>478</v>
      </c>
      <c r="C133" s="24">
        <v>32000</v>
      </c>
      <c r="D133" s="13"/>
      <c r="E133" s="13"/>
      <c r="F133" s="13"/>
      <c r="G133" s="13"/>
      <c r="H133" s="13"/>
      <c r="I133" s="13"/>
      <c r="J133" s="13"/>
      <c r="K133" s="13"/>
      <c r="L133" s="13"/>
      <c r="M133" s="13"/>
      <c r="N133" s="13"/>
      <c r="O133" s="13"/>
      <c r="P133" s="13"/>
      <c r="Q133" s="13"/>
      <c r="R133" s="13"/>
      <c r="S133" s="13"/>
      <c r="T133" s="13"/>
      <c r="U133" s="13"/>
      <c r="V133" s="13"/>
    </row>
    <row r="134" spans="1:22" ht="13.5" customHeight="1">
      <c r="A134" s="33">
        <v>21120906</v>
      </c>
      <c r="B134" s="24" t="s">
        <v>479</v>
      </c>
      <c r="C134" s="24">
        <v>10000</v>
      </c>
      <c r="D134" s="13"/>
      <c r="E134" s="13"/>
      <c r="F134" s="13"/>
      <c r="G134" s="13"/>
      <c r="H134" s="13"/>
      <c r="I134" s="13"/>
      <c r="J134" s="13"/>
      <c r="K134" s="13"/>
      <c r="L134" s="13"/>
      <c r="M134" s="13"/>
      <c r="N134" s="13"/>
      <c r="O134" s="13"/>
      <c r="P134" s="13"/>
      <c r="Q134" s="13"/>
      <c r="R134" s="13"/>
      <c r="S134" s="13"/>
      <c r="T134" s="13"/>
      <c r="U134" s="13"/>
      <c r="V134" s="13"/>
    </row>
    <row r="135" spans="1:22" ht="13.5" customHeight="1" thickBot="1">
      <c r="A135" s="23"/>
      <c r="B135" s="24"/>
      <c r="C135" s="24"/>
      <c r="D135" s="13"/>
      <c r="E135" s="13"/>
      <c r="F135" s="13"/>
      <c r="G135" s="13"/>
      <c r="H135" s="13"/>
      <c r="I135" s="13"/>
      <c r="J135" s="13"/>
      <c r="K135" s="13"/>
      <c r="L135" s="13"/>
      <c r="M135" s="13"/>
      <c r="N135" s="13"/>
      <c r="O135" s="13"/>
      <c r="P135" s="13"/>
      <c r="Q135" s="13"/>
      <c r="R135" s="13"/>
      <c r="S135" s="13"/>
      <c r="T135" s="13"/>
      <c r="U135" s="13"/>
      <c r="V135" s="13"/>
    </row>
    <row r="136" spans="1:22" ht="13.5" customHeight="1" thickBot="1">
      <c r="A136" s="1282" t="s">
        <v>4</v>
      </c>
      <c r="B136" s="1281"/>
      <c r="C136" s="41">
        <f>C137+C142+C145+C150+C153+C156+C158</f>
        <v>9022000</v>
      </c>
      <c r="D136" s="8"/>
      <c r="E136" s="8"/>
      <c r="F136" s="8"/>
      <c r="G136" s="8"/>
      <c r="H136" s="8"/>
      <c r="I136" s="8"/>
      <c r="J136" s="8"/>
      <c r="K136" s="8"/>
      <c r="L136" s="8"/>
      <c r="M136" s="8"/>
      <c r="N136" s="8"/>
      <c r="O136" s="8"/>
      <c r="P136" s="8"/>
      <c r="Q136" s="8"/>
      <c r="R136" s="8"/>
      <c r="S136" s="8"/>
      <c r="T136" s="8"/>
      <c r="U136" s="8"/>
      <c r="V136" s="8"/>
    </row>
    <row r="137" spans="1:22" ht="13.5" customHeight="1">
      <c r="A137" s="48">
        <v>211301</v>
      </c>
      <c r="B137" s="22" t="s">
        <v>518</v>
      </c>
      <c r="C137" s="16">
        <f>+SUM(C138:C141)</f>
        <v>4696500</v>
      </c>
      <c r="D137" s="8"/>
      <c r="E137" s="8"/>
      <c r="F137" s="8"/>
      <c r="G137" s="8"/>
      <c r="H137" s="8"/>
      <c r="I137" s="8"/>
      <c r="J137" s="8"/>
      <c r="K137" s="8"/>
      <c r="L137" s="8"/>
      <c r="M137" s="8"/>
      <c r="N137" s="8"/>
      <c r="O137" s="8"/>
      <c r="P137" s="8"/>
      <c r="Q137" s="8"/>
      <c r="R137" s="8"/>
      <c r="S137" s="8"/>
      <c r="T137" s="8"/>
      <c r="U137" s="8"/>
      <c r="V137" s="8"/>
    </row>
    <row r="138" spans="1:22" ht="13.5" customHeight="1">
      <c r="A138" s="33">
        <v>21130102</v>
      </c>
      <c r="B138" s="13" t="s">
        <v>607</v>
      </c>
      <c r="C138" s="24">
        <v>18000</v>
      </c>
      <c r="D138" s="13"/>
      <c r="E138" s="13"/>
      <c r="F138" s="13"/>
      <c r="G138" s="13"/>
      <c r="H138" s="13"/>
      <c r="I138" s="13"/>
      <c r="J138" s="13"/>
      <c r="K138" s="13"/>
      <c r="L138" s="13"/>
      <c r="M138" s="13"/>
      <c r="N138" s="13"/>
      <c r="O138" s="13"/>
      <c r="P138" s="13"/>
      <c r="Q138" s="13"/>
      <c r="R138" s="13"/>
      <c r="S138" s="13"/>
      <c r="T138" s="13"/>
      <c r="U138" s="13"/>
      <c r="V138" s="13"/>
    </row>
    <row r="139" spans="1:22" ht="13.5" customHeight="1">
      <c r="A139" s="33">
        <v>21130103</v>
      </c>
      <c r="B139" s="13" t="s">
        <v>608</v>
      </c>
      <c r="C139" s="24">
        <v>37000</v>
      </c>
      <c r="D139" s="13"/>
      <c r="E139" s="13"/>
      <c r="F139" s="13"/>
      <c r="G139" s="13"/>
      <c r="H139" s="13"/>
      <c r="I139" s="13"/>
      <c r="J139" s="13"/>
      <c r="K139" s="13"/>
      <c r="L139" s="13"/>
      <c r="M139" s="13"/>
      <c r="N139" s="13"/>
      <c r="O139" s="13"/>
      <c r="P139" s="13"/>
      <c r="Q139" s="13"/>
      <c r="R139" s="13"/>
      <c r="S139" s="13"/>
      <c r="T139" s="13"/>
      <c r="U139" s="13"/>
      <c r="V139" s="13"/>
    </row>
    <row r="140" spans="1:22" ht="13.5" customHeight="1">
      <c r="A140" s="33">
        <v>21130104</v>
      </c>
      <c r="B140" s="13" t="s">
        <v>519</v>
      </c>
      <c r="C140" s="24">
        <v>308000</v>
      </c>
      <c r="D140" s="13"/>
      <c r="E140" s="13"/>
      <c r="F140" s="13"/>
      <c r="G140" s="13"/>
      <c r="H140" s="13"/>
      <c r="I140" s="13"/>
      <c r="J140" s="13"/>
      <c r="K140" s="13"/>
      <c r="L140" s="13"/>
      <c r="M140" s="13"/>
      <c r="N140" s="13"/>
      <c r="O140" s="13"/>
      <c r="P140" s="13"/>
      <c r="Q140" s="13"/>
      <c r="R140" s="13"/>
      <c r="S140" s="13"/>
      <c r="T140" s="13"/>
      <c r="U140" s="13"/>
      <c r="V140" s="13"/>
    </row>
    <row r="141" spans="1:22" ht="13.5" customHeight="1">
      <c r="A141" s="33">
        <v>21130105</v>
      </c>
      <c r="B141" s="13" t="s">
        <v>609</v>
      </c>
      <c r="C141" s="24">
        <v>4333500</v>
      </c>
      <c r="D141" s="13"/>
      <c r="E141" s="13"/>
      <c r="F141" s="13"/>
      <c r="G141" s="13"/>
      <c r="H141" s="13"/>
      <c r="I141" s="13"/>
      <c r="J141" s="13"/>
      <c r="K141" s="13"/>
      <c r="L141" s="13"/>
      <c r="M141" s="13"/>
      <c r="N141" s="13"/>
      <c r="O141" s="13"/>
      <c r="P141" s="13"/>
      <c r="Q141" s="13"/>
      <c r="R141" s="13"/>
      <c r="S141" s="13"/>
      <c r="T141" s="13"/>
      <c r="U141" s="13"/>
      <c r="V141" s="13"/>
    </row>
    <row r="142" spans="1:22" ht="13.5" customHeight="1">
      <c r="A142" s="48">
        <v>211302</v>
      </c>
      <c r="B142" s="15" t="s">
        <v>481</v>
      </c>
      <c r="C142" s="26">
        <f>+SUM(C143:C144)</f>
        <v>1972000</v>
      </c>
      <c r="D142" s="13"/>
      <c r="E142" s="13"/>
      <c r="F142" s="13"/>
      <c r="G142" s="13"/>
      <c r="H142" s="13"/>
      <c r="I142" s="13"/>
      <c r="J142" s="13"/>
      <c r="K142" s="13"/>
      <c r="L142" s="13"/>
      <c r="M142" s="13"/>
      <c r="N142" s="13"/>
      <c r="O142" s="13"/>
      <c r="P142" s="13"/>
      <c r="Q142" s="13"/>
      <c r="R142" s="13"/>
      <c r="S142" s="13"/>
      <c r="T142" s="13"/>
      <c r="U142" s="13"/>
      <c r="V142" s="13"/>
    </row>
    <row r="143" spans="1:22" ht="13.5" customHeight="1">
      <c r="A143" s="33">
        <v>21130201</v>
      </c>
      <c r="B143" s="13" t="s">
        <v>482</v>
      </c>
      <c r="C143" s="24">
        <v>1932000</v>
      </c>
      <c r="D143" s="13"/>
      <c r="E143" s="13"/>
      <c r="F143" s="13"/>
      <c r="G143" s="13"/>
      <c r="H143" s="13"/>
      <c r="I143" s="13"/>
      <c r="J143" s="13"/>
      <c r="K143" s="13"/>
      <c r="L143" s="13"/>
      <c r="M143" s="13"/>
      <c r="N143" s="13"/>
      <c r="O143" s="13"/>
      <c r="P143" s="13"/>
      <c r="Q143" s="13"/>
      <c r="R143" s="13"/>
      <c r="S143" s="13"/>
      <c r="T143" s="13"/>
      <c r="U143" s="13"/>
      <c r="V143" s="13"/>
    </row>
    <row r="144" spans="1:22" ht="13.5" customHeight="1">
      <c r="A144" s="40">
        <v>21130204</v>
      </c>
      <c r="B144" s="13" t="s">
        <v>483</v>
      </c>
      <c r="C144" s="24">
        <v>40000</v>
      </c>
      <c r="D144" s="13"/>
      <c r="E144" s="13"/>
      <c r="F144" s="13"/>
      <c r="G144" s="13"/>
      <c r="H144" s="13"/>
      <c r="I144" s="13"/>
      <c r="J144" s="13"/>
      <c r="K144" s="13"/>
      <c r="L144" s="13"/>
      <c r="M144" s="13"/>
      <c r="N144" s="13"/>
      <c r="O144" s="13"/>
      <c r="P144" s="13"/>
      <c r="Q144" s="13"/>
      <c r="R144" s="13"/>
      <c r="S144" s="13"/>
      <c r="T144" s="13"/>
      <c r="U144" s="13"/>
      <c r="V144" s="13"/>
    </row>
    <row r="145" spans="1:22" ht="13.5" customHeight="1">
      <c r="A145" s="22">
        <v>211303</v>
      </c>
      <c r="B145" s="15" t="s">
        <v>484</v>
      </c>
      <c r="C145" s="26">
        <f>+SUM(C146:C149)</f>
        <v>669500</v>
      </c>
      <c r="D145" s="13"/>
      <c r="E145" s="13"/>
      <c r="F145" s="13"/>
      <c r="G145" s="13"/>
      <c r="H145" s="13"/>
      <c r="I145" s="13"/>
      <c r="J145" s="13"/>
      <c r="K145" s="13"/>
      <c r="L145" s="13"/>
      <c r="M145" s="13"/>
      <c r="N145" s="13"/>
      <c r="O145" s="13"/>
      <c r="P145" s="13"/>
      <c r="Q145" s="13"/>
      <c r="R145" s="13"/>
      <c r="S145" s="13"/>
      <c r="T145" s="13"/>
      <c r="U145" s="13"/>
      <c r="V145" s="13"/>
    </row>
    <row r="146" spans="1:22" ht="13.5" customHeight="1">
      <c r="A146" s="40">
        <v>21130301</v>
      </c>
      <c r="B146" s="13" t="s">
        <v>485</v>
      </c>
      <c r="C146" s="24">
        <v>571500</v>
      </c>
      <c r="D146" s="13"/>
      <c r="E146" s="13"/>
      <c r="F146" s="13"/>
      <c r="G146" s="13"/>
      <c r="H146" s="13"/>
      <c r="I146" s="13"/>
      <c r="J146" s="13"/>
      <c r="K146" s="13"/>
      <c r="L146" s="13"/>
      <c r="M146" s="13"/>
      <c r="N146" s="13"/>
      <c r="O146" s="13"/>
      <c r="P146" s="13"/>
      <c r="Q146" s="13"/>
      <c r="R146" s="13"/>
      <c r="S146" s="13"/>
      <c r="T146" s="13"/>
      <c r="U146" s="13"/>
      <c r="V146" s="13"/>
    </row>
    <row r="147" spans="1:22" ht="13.5" customHeight="1">
      <c r="A147" s="40">
        <v>21130302</v>
      </c>
      <c r="B147" s="13" t="s">
        <v>520</v>
      </c>
      <c r="C147" s="24">
        <v>30000</v>
      </c>
      <c r="D147" s="13"/>
      <c r="E147" s="13"/>
      <c r="F147" s="13"/>
      <c r="G147" s="13"/>
      <c r="H147" s="13"/>
      <c r="I147" s="13"/>
      <c r="J147" s="13"/>
      <c r="K147" s="13"/>
      <c r="L147" s="13"/>
      <c r="M147" s="13"/>
      <c r="N147" s="13"/>
      <c r="O147" s="13"/>
      <c r="P147" s="13"/>
      <c r="Q147" s="13"/>
      <c r="R147" s="13"/>
      <c r="S147" s="13"/>
      <c r="T147" s="13"/>
      <c r="U147" s="13"/>
      <c r="V147" s="13"/>
    </row>
    <row r="148" spans="1:22" ht="13.5" customHeight="1">
      <c r="A148" s="40">
        <v>21130306</v>
      </c>
      <c r="B148" s="13" t="s">
        <v>487</v>
      </c>
      <c r="C148" s="14">
        <v>48000</v>
      </c>
      <c r="D148" s="8"/>
      <c r="E148" s="8"/>
      <c r="F148" s="8"/>
      <c r="G148" s="8"/>
      <c r="H148" s="8"/>
      <c r="I148" s="8"/>
      <c r="J148" s="8"/>
      <c r="K148" s="8"/>
      <c r="L148" s="8"/>
      <c r="M148" s="8"/>
      <c r="N148" s="8"/>
      <c r="O148" s="8"/>
      <c r="P148" s="8"/>
      <c r="Q148" s="8"/>
      <c r="R148" s="8"/>
      <c r="S148" s="8"/>
      <c r="T148" s="8"/>
      <c r="U148" s="8"/>
      <c r="V148" s="8"/>
    </row>
    <row r="149" spans="1:22" ht="13.5" customHeight="1">
      <c r="A149" s="40">
        <v>21130307</v>
      </c>
      <c r="B149" s="13" t="s">
        <v>488</v>
      </c>
      <c r="C149" s="24">
        <v>20000</v>
      </c>
      <c r="D149" s="13"/>
      <c r="E149" s="13"/>
      <c r="F149" s="13"/>
      <c r="G149" s="13"/>
      <c r="H149" s="13"/>
      <c r="I149" s="13"/>
      <c r="J149" s="13"/>
      <c r="K149" s="13"/>
      <c r="L149" s="13"/>
      <c r="M149" s="13"/>
      <c r="N149" s="13"/>
      <c r="O149" s="13"/>
      <c r="P149" s="13"/>
      <c r="Q149" s="13"/>
      <c r="R149" s="13"/>
      <c r="S149" s="13"/>
      <c r="T149" s="13"/>
      <c r="U149" s="13"/>
      <c r="V149" s="13"/>
    </row>
    <row r="150" spans="1:22" ht="13.5" customHeight="1">
      <c r="A150" s="48">
        <v>211305</v>
      </c>
      <c r="B150" s="15" t="s">
        <v>489</v>
      </c>
      <c r="C150" s="26">
        <f>SUM(C151:C152)</f>
        <v>34500</v>
      </c>
      <c r="D150" s="8"/>
      <c r="E150" s="265"/>
      <c r="F150" s="8"/>
      <c r="G150" s="265"/>
      <c r="H150" s="8"/>
      <c r="I150" s="265"/>
      <c r="J150" s="8"/>
      <c r="K150" s="265"/>
      <c r="L150" s="8"/>
      <c r="M150" s="265"/>
      <c r="N150" s="8"/>
      <c r="O150" s="265"/>
      <c r="P150" s="8"/>
      <c r="Q150" s="265"/>
      <c r="R150" s="8"/>
      <c r="S150" s="265"/>
      <c r="T150" s="8"/>
      <c r="U150" s="265"/>
      <c r="V150" s="8"/>
    </row>
    <row r="151" spans="1:22" ht="13.5" customHeight="1">
      <c r="A151" s="33">
        <v>21130501</v>
      </c>
      <c r="B151" s="13" t="s">
        <v>490</v>
      </c>
      <c r="C151" s="14">
        <v>7500</v>
      </c>
      <c r="D151" s="8"/>
      <c r="E151" s="8"/>
      <c r="F151" s="8"/>
      <c r="G151" s="8"/>
      <c r="H151" s="8"/>
      <c r="I151" s="8"/>
      <c r="J151" s="8"/>
      <c r="K151" s="8"/>
      <c r="L151" s="8"/>
      <c r="M151" s="8"/>
      <c r="N151" s="8"/>
      <c r="O151" s="8"/>
      <c r="P151" s="8"/>
      <c r="Q151" s="8"/>
      <c r="R151" s="8"/>
      <c r="S151" s="8"/>
      <c r="T151" s="8"/>
      <c r="U151" s="8"/>
      <c r="V151" s="8"/>
    </row>
    <row r="152" spans="1:22" ht="13.5" customHeight="1">
      <c r="A152" s="33">
        <v>21130502</v>
      </c>
      <c r="B152" s="24" t="s">
        <v>491</v>
      </c>
      <c r="C152" s="14">
        <v>27000</v>
      </c>
      <c r="D152" s="8"/>
      <c r="E152" s="8"/>
      <c r="F152" s="8"/>
      <c r="G152" s="8"/>
      <c r="H152" s="8"/>
      <c r="I152" s="8"/>
      <c r="J152" s="8"/>
      <c r="K152" s="8"/>
      <c r="L152" s="8"/>
      <c r="M152" s="8"/>
      <c r="N152" s="8"/>
      <c r="O152" s="8"/>
      <c r="P152" s="8"/>
      <c r="Q152" s="8"/>
      <c r="R152" s="8"/>
      <c r="S152" s="8"/>
      <c r="T152" s="8"/>
      <c r="U152" s="8"/>
      <c r="V152" s="8"/>
    </row>
    <row r="153" spans="1:22" ht="13.5" customHeight="1">
      <c r="A153" s="48">
        <v>211306</v>
      </c>
      <c r="B153" s="26" t="s">
        <v>492</v>
      </c>
      <c r="C153" s="16">
        <f>SUM(C154:C155)</f>
        <v>587500</v>
      </c>
      <c r="D153" s="8"/>
      <c r="E153" s="8"/>
      <c r="F153" s="8"/>
      <c r="G153" s="8"/>
      <c r="H153" s="8"/>
      <c r="I153" s="8"/>
      <c r="J153" s="8"/>
      <c r="K153" s="8"/>
      <c r="L153" s="8"/>
      <c r="M153" s="8"/>
      <c r="N153" s="8"/>
      <c r="O153" s="8"/>
      <c r="P153" s="8"/>
      <c r="Q153" s="8"/>
      <c r="R153" s="8"/>
      <c r="S153" s="8"/>
      <c r="T153" s="8"/>
      <c r="U153" s="8"/>
      <c r="V153" s="8"/>
    </row>
    <row r="154" spans="1:22" ht="13.5" customHeight="1">
      <c r="A154" s="33">
        <v>21130607</v>
      </c>
      <c r="B154" s="24" t="s">
        <v>493</v>
      </c>
      <c r="C154" s="14">
        <v>16000</v>
      </c>
      <c r="D154" s="8"/>
      <c r="E154" s="8"/>
      <c r="F154" s="8"/>
      <c r="G154" s="8"/>
      <c r="H154" s="8"/>
      <c r="I154" s="8"/>
      <c r="J154" s="8"/>
      <c r="K154" s="8"/>
      <c r="L154" s="8"/>
      <c r="M154" s="8"/>
      <c r="N154" s="8"/>
      <c r="O154" s="8"/>
      <c r="P154" s="8"/>
      <c r="Q154" s="8"/>
      <c r="R154" s="8"/>
      <c r="S154" s="8"/>
      <c r="T154" s="8"/>
      <c r="U154" s="8"/>
      <c r="V154" s="8"/>
    </row>
    <row r="155" spans="1:22" ht="13.5" customHeight="1">
      <c r="A155" s="33">
        <v>21130608</v>
      </c>
      <c r="B155" s="13" t="s">
        <v>557</v>
      </c>
      <c r="C155" s="14">
        <v>571500</v>
      </c>
      <c r="D155" s="8"/>
      <c r="E155" s="8"/>
      <c r="F155" s="8"/>
      <c r="G155" s="8"/>
      <c r="H155" s="8"/>
      <c r="I155" s="8"/>
      <c r="J155" s="8"/>
      <c r="K155" s="8"/>
      <c r="L155" s="8"/>
      <c r="M155" s="8"/>
      <c r="N155" s="8"/>
      <c r="O155" s="8"/>
      <c r="P155" s="8"/>
      <c r="Q155" s="8"/>
      <c r="R155" s="8"/>
      <c r="S155" s="8"/>
      <c r="T155" s="8"/>
      <c r="U155" s="8"/>
      <c r="V155" s="8"/>
    </row>
    <row r="156" spans="1:22" ht="13.5" customHeight="1">
      <c r="A156" s="48">
        <v>211307</v>
      </c>
      <c r="B156" s="15" t="s">
        <v>494</v>
      </c>
      <c r="C156" s="16">
        <f>C157</f>
        <v>7500</v>
      </c>
      <c r="D156" s="8"/>
      <c r="E156" s="8"/>
      <c r="F156" s="8"/>
      <c r="G156" s="8"/>
      <c r="H156" s="8"/>
      <c r="I156" s="8"/>
      <c r="J156" s="8"/>
      <c r="K156" s="8"/>
      <c r="L156" s="8"/>
      <c r="M156" s="8"/>
      <c r="N156" s="8"/>
      <c r="O156" s="8"/>
      <c r="P156" s="8"/>
      <c r="Q156" s="8"/>
      <c r="R156" s="8"/>
      <c r="S156" s="8"/>
      <c r="T156" s="8"/>
      <c r="U156" s="8"/>
      <c r="V156" s="8"/>
    </row>
    <row r="157" spans="1:22" ht="13.5" customHeight="1">
      <c r="A157" s="33">
        <v>21130701</v>
      </c>
      <c r="B157" s="13" t="s">
        <v>495</v>
      </c>
      <c r="C157" s="14">
        <v>7500</v>
      </c>
      <c r="D157" s="8"/>
      <c r="E157" s="8"/>
      <c r="F157" s="8"/>
      <c r="G157" s="8"/>
      <c r="H157" s="8"/>
      <c r="I157" s="8"/>
      <c r="J157" s="8"/>
      <c r="K157" s="8"/>
      <c r="L157" s="8"/>
      <c r="M157" s="8"/>
      <c r="N157" s="8"/>
      <c r="O157" s="8"/>
      <c r="P157" s="8"/>
      <c r="Q157" s="8"/>
      <c r="R157" s="8"/>
      <c r="S157" s="8"/>
      <c r="T157" s="8"/>
      <c r="U157" s="8"/>
      <c r="V157" s="8"/>
    </row>
    <row r="158" spans="1:22" ht="13.5" customHeight="1">
      <c r="A158" s="48">
        <v>211309</v>
      </c>
      <c r="B158" s="26" t="s">
        <v>496</v>
      </c>
      <c r="C158" s="16">
        <f>+SUM(C159:C162)</f>
        <v>1054500</v>
      </c>
      <c r="D158" s="8"/>
      <c r="E158" s="8"/>
      <c r="F158" s="8"/>
      <c r="G158" s="8"/>
      <c r="H158" s="8"/>
      <c r="I158" s="8"/>
      <c r="J158" s="8"/>
      <c r="K158" s="8"/>
      <c r="L158" s="8"/>
      <c r="M158" s="8"/>
      <c r="N158" s="8"/>
      <c r="O158" s="8"/>
      <c r="P158" s="8"/>
      <c r="Q158" s="8"/>
      <c r="R158" s="8"/>
      <c r="S158" s="8"/>
      <c r="T158" s="8"/>
      <c r="U158" s="8"/>
      <c r="V158" s="8"/>
    </row>
    <row r="159" spans="1:22" ht="13.5" customHeight="1">
      <c r="A159" s="33">
        <v>21130901</v>
      </c>
      <c r="B159" s="24" t="s">
        <v>497</v>
      </c>
      <c r="C159" s="14">
        <v>40000</v>
      </c>
      <c r="D159" s="8"/>
      <c r="E159" s="8"/>
      <c r="F159" s="8"/>
      <c r="G159" s="8"/>
      <c r="H159" s="8"/>
      <c r="I159" s="8"/>
      <c r="J159" s="8"/>
      <c r="K159" s="8"/>
      <c r="L159" s="8"/>
      <c r="M159" s="8"/>
      <c r="N159" s="8"/>
      <c r="O159" s="8"/>
      <c r="P159" s="8"/>
      <c r="Q159" s="8"/>
      <c r="R159" s="8"/>
      <c r="S159" s="8"/>
      <c r="T159" s="8"/>
      <c r="U159" s="8"/>
      <c r="V159" s="8"/>
    </row>
    <row r="160" spans="1:22" ht="13.5" customHeight="1">
      <c r="A160" s="33">
        <v>21130903</v>
      </c>
      <c r="B160" s="24" t="s">
        <v>498</v>
      </c>
      <c r="C160" s="14">
        <v>20000</v>
      </c>
      <c r="D160" s="8"/>
      <c r="E160" s="8"/>
      <c r="F160" s="8"/>
      <c r="G160" s="8"/>
      <c r="H160" s="8"/>
      <c r="I160" s="8"/>
      <c r="J160" s="8"/>
      <c r="K160" s="8"/>
      <c r="L160" s="8"/>
      <c r="M160" s="8"/>
      <c r="N160" s="8"/>
      <c r="O160" s="8"/>
      <c r="P160" s="8"/>
      <c r="Q160" s="8"/>
      <c r="R160" s="8"/>
      <c r="S160" s="8"/>
      <c r="T160" s="8"/>
      <c r="U160" s="8"/>
      <c r="V160" s="8"/>
    </row>
    <row r="161" spans="1:22" ht="12.75" customHeight="1">
      <c r="A161" s="33">
        <v>21130907</v>
      </c>
      <c r="B161" s="13" t="s">
        <v>581</v>
      </c>
      <c r="C161" s="24">
        <v>60000</v>
      </c>
      <c r="D161" s="8"/>
      <c r="E161" s="265"/>
      <c r="F161" s="8"/>
      <c r="G161" s="265"/>
      <c r="H161" s="8"/>
      <c r="I161" s="265"/>
      <c r="J161" s="8"/>
      <c r="K161" s="265"/>
      <c r="L161" s="8"/>
      <c r="M161" s="265"/>
      <c r="N161" s="8"/>
      <c r="O161" s="265"/>
      <c r="P161" s="8"/>
      <c r="Q161" s="265"/>
      <c r="R161" s="8"/>
      <c r="S161" s="265"/>
      <c r="T161" s="8"/>
      <c r="U161" s="265"/>
      <c r="V161" s="8"/>
    </row>
    <row r="162" spans="1:22" ht="13.5" customHeight="1">
      <c r="A162" s="33">
        <v>21130908</v>
      </c>
      <c r="B162" s="24" t="s">
        <v>500</v>
      </c>
      <c r="C162" s="14">
        <v>934500</v>
      </c>
      <c r="D162" s="8"/>
      <c r="E162" s="8"/>
      <c r="F162" s="8"/>
      <c r="G162" s="8"/>
      <c r="H162" s="8"/>
      <c r="I162" s="8"/>
      <c r="J162" s="8"/>
      <c r="K162" s="8"/>
      <c r="L162" s="8"/>
      <c r="M162" s="8"/>
      <c r="N162" s="8"/>
      <c r="O162" s="8"/>
      <c r="P162" s="8"/>
      <c r="Q162" s="8"/>
      <c r="R162" s="8"/>
      <c r="S162" s="8"/>
      <c r="T162" s="8"/>
      <c r="U162" s="8"/>
      <c r="V162" s="8"/>
    </row>
    <row r="163" spans="1:22" ht="13.5" customHeight="1" thickBot="1">
      <c r="A163" s="23"/>
      <c r="B163" s="24"/>
      <c r="C163" s="14"/>
      <c r="D163" s="8"/>
      <c r="E163" s="8"/>
      <c r="F163" s="8"/>
      <c r="G163" s="8"/>
      <c r="H163" s="8"/>
      <c r="I163" s="8"/>
      <c r="J163" s="8"/>
      <c r="K163" s="8"/>
      <c r="L163" s="8"/>
      <c r="M163" s="8"/>
      <c r="N163" s="8"/>
      <c r="O163" s="8"/>
      <c r="P163" s="8"/>
      <c r="Q163" s="8"/>
      <c r="R163" s="8"/>
      <c r="S163" s="8"/>
      <c r="T163" s="8"/>
      <c r="U163" s="8"/>
      <c r="V163" s="8"/>
    </row>
    <row r="164" spans="1:22" ht="13.5" customHeight="1" thickBot="1">
      <c r="A164" s="1283" t="s">
        <v>48</v>
      </c>
      <c r="B164" s="1281"/>
      <c r="C164" s="52">
        <f>+C165+C171+C169</f>
        <v>265000</v>
      </c>
      <c r="D164" s="8"/>
      <c r="E164" s="8"/>
      <c r="F164" s="8"/>
      <c r="G164" s="8"/>
      <c r="H164" s="8"/>
      <c r="I164" s="8"/>
      <c r="J164" s="8"/>
      <c r="K164" s="8"/>
      <c r="L164" s="8"/>
      <c r="M164" s="8"/>
      <c r="N164" s="8"/>
      <c r="O164" s="8"/>
      <c r="P164" s="8"/>
      <c r="Q164" s="8"/>
      <c r="R164" s="8"/>
      <c r="S164" s="8"/>
      <c r="T164" s="8"/>
      <c r="U164" s="8"/>
      <c r="V164" s="8"/>
    </row>
    <row r="165" spans="1:22" ht="13.5" customHeight="1">
      <c r="A165" s="48">
        <v>221104</v>
      </c>
      <c r="B165" s="22" t="s">
        <v>510</v>
      </c>
      <c r="C165" s="16">
        <f>SUM(C166:C168)</f>
        <v>155000</v>
      </c>
      <c r="D165" s="8"/>
      <c r="E165" s="8"/>
      <c r="F165" s="8"/>
      <c r="G165" s="8"/>
      <c r="H165" s="8"/>
      <c r="I165" s="8"/>
      <c r="J165" s="8"/>
      <c r="K165" s="8"/>
      <c r="L165" s="8"/>
      <c r="M165" s="8"/>
      <c r="N165" s="8"/>
      <c r="O165" s="8"/>
      <c r="P165" s="8"/>
      <c r="Q165" s="8"/>
      <c r="R165" s="8"/>
      <c r="S165" s="8"/>
      <c r="T165" s="8"/>
      <c r="U165" s="8"/>
      <c r="V165" s="8"/>
    </row>
    <row r="166" spans="1:22" ht="13.5" customHeight="1">
      <c r="A166" s="33">
        <v>22110401</v>
      </c>
      <c r="B166" s="13" t="s">
        <v>511</v>
      </c>
      <c r="C166" s="14">
        <v>100000</v>
      </c>
      <c r="D166" s="8"/>
      <c r="E166" s="8"/>
      <c r="F166" s="8"/>
      <c r="G166" s="8"/>
      <c r="H166" s="8"/>
      <c r="I166" s="8"/>
      <c r="J166" s="8"/>
      <c r="K166" s="8"/>
      <c r="L166" s="8"/>
      <c r="M166" s="8"/>
      <c r="N166" s="8"/>
      <c r="O166" s="8"/>
      <c r="P166" s="8"/>
      <c r="Q166" s="8"/>
      <c r="R166" s="8"/>
      <c r="S166" s="8"/>
      <c r="T166" s="8"/>
      <c r="U166" s="8"/>
      <c r="V166" s="8"/>
    </row>
    <row r="167" spans="1:22" ht="13.5" customHeight="1">
      <c r="A167" s="40">
        <v>22110404</v>
      </c>
      <c r="B167" s="13" t="s">
        <v>512</v>
      </c>
      <c r="C167" s="14">
        <v>20000</v>
      </c>
      <c r="D167" s="8"/>
      <c r="E167" s="8"/>
      <c r="F167" s="8"/>
      <c r="G167" s="8"/>
      <c r="H167" s="8"/>
      <c r="I167" s="8"/>
      <c r="J167" s="8"/>
      <c r="K167" s="8"/>
      <c r="L167" s="8"/>
      <c r="M167" s="8"/>
      <c r="N167" s="8"/>
      <c r="O167" s="8"/>
      <c r="P167" s="8"/>
      <c r="Q167" s="8"/>
      <c r="R167" s="8"/>
      <c r="S167" s="8"/>
      <c r="T167" s="8"/>
      <c r="U167" s="8"/>
      <c r="V167" s="8"/>
    </row>
    <row r="168" spans="1:22" ht="13.5" customHeight="1">
      <c r="A168" s="33">
        <v>22110409</v>
      </c>
      <c r="B168" s="24" t="s">
        <v>513</v>
      </c>
      <c r="C168" s="24">
        <v>35000</v>
      </c>
      <c r="D168" s="13"/>
      <c r="E168" s="13"/>
      <c r="F168" s="13"/>
      <c r="G168" s="13"/>
      <c r="H168" s="13"/>
      <c r="I168" s="13"/>
      <c r="J168" s="13"/>
      <c r="K168" s="13"/>
      <c r="L168" s="13"/>
      <c r="M168" s="13"/>
      <c r="N168" s="13"/>
      <c r="O168" s="13"/>
      <c r="P168" s="13"/>
      <c r="Q168" s="13"/>
      <c r="R168" s="13"/>
      <c r="S168" s="13"/>
      <c r="T168" s="13"/>
      <c r="U168" s="13"/>
      <c r="V168" s="13"/>
    </row>
    <row r="169" spans="1:22" ht="13.5" customHeight="1">
      <c r="A169" s="48">
        <v>221105</v>
      </c>
      <c r="B169" s="26" t="s">
        <v>523</v>
      </c>
      <c r="C169" s="26">
        <f>C170</f>
        <v>80000</v>
      </c>
      <c r="D169" s="13"/>
      <c r="E169" s="13"/>
      <c r="F169" s="13"/>
      <c r="G169" s="13"/>
      <c r="H169" s="13"/>
      <c r="I169" s="13"/>
      <c r="J169" s="13"/>
      <c r="K169" s="13"/>
      <c r="L169" s="13"/>
      <c r="M169" s="13"/>
      <c r="N169" s="13"/>
      <c r="O169" s="13"/>
      <c r="P169" s="13"/>
      <c r="Q169" s="13"/>
      <c r="R169" s="13"/>
      <c r="S169" s="13"/>
      <c r="T169" s="13"/>
      <c r="U169" s="13"/>
      <c r="V169" s="13"/>
    </row>
    <row r="170" spans="1:22" ht="13.5" customHeight="1">
      <c r="A170" s="33">
        <v>22110501</v>
      </c>
      <c r="B170" s="24" t="s">
        <v>524</v>
      </c>
      <c r="C170" s="24">
        <v>80000</v>
      </c>
      <c r="D170" s="13"/>
      <c r="E170" s="13"/>
      <c r="F170" s="13"/>
      <c r="G170" s="13"/>
      <c r="H170" s="13"/>
      <c r="I170" s="13"/>
      <c r="J170" s="13"/>
      <c r="K170" s="13"/>
      <c r="L170" s="13"/>
      <c r="M170" s="13"/>
      <c r="N170" s="13"/>
      <c r="O170" s="13"/>
      <c r="P170" s="13"/>
      <c r="Q170" s="13"/>
      <c r="R170" s="13"/>
      <c r="S170" s="13"/>
      <c r="T170" s="13"/>
      <c r="U170" s="13"/>
      <c r="V170" s="13"/>
    </row>
    <row r="171" spans="1:22" ht="13.5" customHeight="1">
      <c r="A171" s="48">
        <v>221107</v>
      </c>
      <c r="B171" s="26" t="s">
        <v>514</v>
      </c>
      <c r="C171" s="16">
        <f>C172</f>
        <v>30000</v>
      </c>
      <c r="D171" s="8"/>
      <c r="E171" s="8"/>
      <c r="F171" s="8"/>
      <c r="G171" s="8"/>
      <c r="H171" s="8"/>
      <c r="I171" s="8"/>
      <c r="J171" s="8"/>
      <c r="K171" s="8"/>
      <c r="L171" s="8"/>
      <c r="M171" s="8"/>
      <c r="N171" s="8"/>
      <c r="O171" s="8"/>
      <c r="P171" s="8"/>
      <c r="Q171" s="8"/>
      <c r="R171" s="8"/>
      <c r="S171" s="8"/>
      <c r="T171" s="8"/>
      <c r="U171" s="8"/>
      <c r="V171" s="8"/>
    </row>
    <row r="172" spans="1:22" ht="13.5" customHeight="1">
      <c r="A172" s="33">
        <v>22110702</v>
      </c>
      <c r="B172" s="24" t="s">
        <v>515</v>
      </c>
      <c r="C172" s="14">
        <v>30000</v>
      </c>
      <c r="D172" s="8"/>
      <c r="E172" s="8"/>
      <c r="F172" s="8"/>
      <c r="G172" s="8"/>
      <c r="H172" s="8"/>
      <c r="I172" s="8"/>
      <c r="J172" s="8"/>
      <c r="K172" s="8"/>
      <c r="L172" s="8"/>
      <c r="M172" s="8"/>
      <c r="N172" s="8"/>
      <c r="O172" s="8"/>
      <c r="P172" s="8"/>
      <c r="Q172" s="8"/>
      <c r="R172" s="8"/>
      <c r="S172" s="8"/>
      <c r="T172" s="8"/>
      <c r="U172" s="8"/>
      <c r="V172" s="8"/>
    </row>
    <row r="173" spans="1:22" ht="13.5" customHeight="1">
      <c r="A173" s="33"/>
      <c r="B173" s="24"/>
      <c r="C173" s="14"/>
      <c r="D173" s="8"/>
      <c r="E173" s="8"/>
      <c r="F173" s="8"/>
      <c r="G173" s="8"/>
      <c r="H173" s="8"/>
      <c r="I173" s="8"/>
      <c r="J173" s="8"/>
      <c r="K173" s="8"/>
      <c r="L173" s="8"/>
      <c r="M173" s="8"/>
      <c r="N173" s="8"/>
      <c r="O173" s="8"/>
      <c r="P173" s="8"/>
      <c r="Q173" s="8"/>
      <c r="R173" s="8"/>
      <c r="S173" s="8"/>
      <c r="T173" s="8"/>
      <c r="U173" s="8"/>
      <c r="V173" s="8"/>
    </row>
    <row r="174" spans="1:22" ht="13.5" customHeight="1" thickBot="1">
      <c r="A174" s="8"/>
      <c r="B174" s="8"/>
      <c r="C174" s="30"/>
      <c r="D174" s="8"/>
      <c r="E174" s="8"/>
      <c r="F174" s="8"/>
      <c r="G174" s="8"/>
      <c r="H174" s="8"/>
      <c r="I174" s="8"/>
      <c r="J174" s="8"/>
      <c r="K174" s="8"/>
      <c r="L174" s="8"/>
      <c r="M174" s="8"/>
      <c r="N174" s="8"/>
      <c r="O174" s="8"/>
      <c r="P174" s="8"/>
      <c r="Q174" s="8"/>
      <c r="R174" s="8"/>
      <c r="S174" s="8"/>
      <c r="T174" s="8"/>
      <c r="U174" s="8"/>
      <c r="V174" s="8"/>
    </row>
    <row r="175" spans="1:22" ht="13.5" customHeight="1">
      <c r="A175" s="1063" t="s">
        <v>278</v>
      </c>
      <c r="B175" s="985"/>
      <c r="C175" s="1161" t="s">
        <v>279</v>
      </c>
      <c r="D175" s="8"/>
      <c r="E175" s="8"/>
      <c r="F175" s="8"/>
      <c r="G175" s="8"/>
      <c r="H175" s="8"/>
      <c r="I175" s="8"/>
      <c r="J175" s="8"/>
      <c r="K175" s="8"/>
      <c r="L175" s="8"/>
      <c r="M175" s="8"/>
      <c r="N175" s="8"/>
      <c r="O175" s="8"/>
      <c r="P175" s="8"/>
      <c r="Q175" s="8"/>
      <c r="R175" s="8"/>
      <c r="S175" s="8"/>
      <c r="T175" s="8"/>
      <c r="U175" s="8"/>
      <c r="V175" s="8"/>
    </row>
    <row r="176" spans="1:22" ht="13.5" customHeight="1" thickBot="1">
      <c r="A176" s="1168"/>
      <c r="B176" s="981"/>
      <c r="C176" s="1169"/>
      <c r="D176" s="8"/>
      <c r="E176" s="8"/>
      <c r="F176" s="8"/>
      <c r="G176" s="8"/>
      <c r="H176" s="8"/>
      <c r="I176" s="8"/>
      <c r="J176" s="8"/>
      <c r="K176" s="8"/>
      <c r="L176" s="8"/>
      <c r="M176" s="8"/>
      <c r="N176" s="8"/>
      <c r="O176" s="8"/>
      <c r="P176" s="8"/>
      <c r="Q176" s="8"/>
      <c r="R176" s="8"/>
      <c r="S176" s="8"/>
      <c r="T176" s="8"/>
      <c r="U176" s="8"/>
      <c r="V176" s="8"/>
    </row>
    <row r="177" spans="1:22" ht="13.5" customHeight="1">
      <c r="A177" s="1097" t="s">
        <v>671</v>
      </c>
      <c r="B177" s="986"/>
      <c r="C177" s="1098"/>
      <c r="D177" s="8"/>
      <c r="E177" s="8"/>
      <c r="F177" s="8"/>
      <c r="G177" s="8"/>
      <c r="H177" s="8"/>
      <c r="I177" s="8"/>
      <c r="J177" s="8"/>
      <c r="K177" s="8"/>
      <c r="L177" s="8"/>
      <c r="M177" s="8"/>
      <c r="N177" s="8"/>
      <c r="O177" s="8"/>
      <c r="P177" s="8"/>
      <c r="Q177" s="8"/>
      <c r="R177" s="8"/>
      <c r="S177" s="8"/>
      <c r="T177" s="8"/>
      <c r="U177" s="8"/>
      <c r="V177" s="8"/>
    </row>
    <row r="178" spans="1:22" ht="13.5" customHeight="1">
      <c r="A178" s="1097" t="s">
        <v>280</v>
      </c>
      <c r="B178" s="986"/>
      <c r="C178" s="1098"/>
      <c r="D178" s="8"/>
      <c r="E178" s="8"/>
      <c r="F178" s="8"/>
      <c r="G178" s="8"/>
      <c r="H178" s="8"/>
      <c r="I178" s="8"/>
      <c r="J178" s="8"/>
      <c r="K178" s="8"/>
      <c r="L178" s="8"/>
      <c r="M178" s="8"/>
      <c r="N178" s="8"/>
      <c r="O178" s="8"/>
      <c r="P178" s="8"/>
      <c r="Q178" s="8"/>
      <c r="R178" s="8"/>
      <c r="S178" s="8"/>
      <c r="T178" s="8"/>
      <c r="U178" s="8"/>
      <c r="V178" s="8"/>
    </row>
    <row r="179" spans="1:22" ht="13.5" customHeight="1">
      <c r="A179" s="1097" t="s">
        <v>242</v>
      </c>
      <c r="B179" s="986"/>
      <c r="C179" s="1098"/>
      <c r="D179" s="8"/>
      <c r="E179" s="8"/>
      <c r="F179" s="8"/>
      <c r="G179" s="8"/>
      <c r="H179" s="8"/>
      <c r="I179" s="8"/>
      <c r="J179" s="8"/>
      <c r="K179" s="8"/>
      <c r="L179" s="8"/>
      <c r="M179" s="8"/>
      <c r="N179" s="8"/>
      <c r="O179" s="8"/>
      <c r="P179" s="8"/>
      <c r="Q179" s="8"/>
      <c r="R179" s="8"/>
      <c r="S179" s="8"/>
      <c r="T179" s="8"/>
      <c r="U179" s="8"/>
      <c r="V179" s="8"/>
    </row>
    <row r="180" spans="1:22" ht="13.5" customHeight="1" thickBot="1">
      <c r="A180" s="1097" t="s">
        <v>0</v>
      </c>
      <c r="B180" s="986"/>
      <c r="C180" s="1098"/>
      <c r="D180" s="8"/>
      <c r="E180" s="8"/>
      <c r="F180" s="8"/>
      <c r="G180" s="8"/>
      <c r="H180" s="8"/>
      <c r="I180" s="8"/>
      <c r="J180" s="8"/>
      <c r="K180" s="8"/>
      <c r="L180" s="8"/>
      <c r="M180" s="8"/>
      <c r="N180" s="8"/>
      <c r="O180" s="8"/>
      <c r="P180" s="8"/>
      <c r="Q180" s="8"/>
      <c r="R180" s="8"/>
      <c r="S180" s="8"/>
      <c r="T180" s="8"/>
      <c r="U180" s="8"/>
      <c r="V180" s="8"/>
    </row>
    <row r="181" spans="1:22" ht="13.5" customHeight="1" thickBot="1">
      <c r="A181" s="1158" t="s">
        <v>1</v>
      </c>
      <c r="B181" s="1159"/>
      <c r="C181" s="1160">
        <f>+C183+C189+C194</f>
        <v>7</v>
      </c>
      <c r="D181" s="8"/>
      <c r="E181" s="8"/>
      <c r="F181" s="8"/>
      <c r="G181" s="8"/>
      <c r="H181" s="8"/>
      <c r="I181" s="8"/>
      <c r="J181" s="8"/>
      <c r="K181" s="8"/>
      <c r="L181" s="8"/>
      <c r="M181" s="8"/>
      <c r="N181" s="8"/>
      <c r="O181" s="8"/>
      <c r="P181" s="8"/>
      <c r="Q181" s="8"/>
      <c r="R181" s="8"/>
      <c r="S181" s="8"/>
      <c r="T181" s="8"/>
      <c r="U181" s="8"/>
      <c r="V181" s="8"/>
    </row>
    <row r="182" spans="1:22" ht="13.5" customHeight="1" thickBot="1">
      <c r="A182" s="15"/>
      <c r="B182" s="15"/>
      <c r="C182" s="16"/>
      <c r="D182" s="8"/>
      <c r="E182" s="8"/>
      <c r="F182" s="8"/>
      <c r="G182" s="8"/>
      <c r="H182" s="8"/>
      <c r="I182" s="8"/>
      <c r="J182" s="8"/>
      <c r="K182" s="8"/>
      <c r="L182" s="8"/>
      <c r="M182" s="8"/>
      <c r="N182" s="8"/>
      <c r="O182" s="8"/>
      <c r="P182" s="8"/>
      <c r="Q182" s="8"/>
      <c r="R182" s="8"/>
      <c r="S182" s="8"/>
      <c r="T182" s="8"/>
      <c r="U182" s="8"/>
      <c r="V182" s="8"/>
    </row>
    <row r="183" spans="1:22" ht="13.5" customHeight="1" thickBot="1">
      <c r="A183" s="1280" t="s">
        <v>9</v>
      </c>
      <c r="B183" s="1281"/>
      <c r="C183" s="31">
        <f>+C184+C186</f>
        <v>2</v>
      </c>
      <c r="D183" s="8"/>
      <c r="E183" s="8"/>
      <c r="F183" s="8"/>
      <c r="G183" s="8"/>
      <c r="H183" s="8"/>
      <c r="I183" s="8"/>
      <c r="J183" s="8"/>
      <c r="K183" s="8"/>
      <c r="L183" s="8"/>
      <c r="M183" s="8"/>
      <c r="N183" s="8"/>
      <c r="O183" s="8"/>
      <c r="P183" s="8"/>
      <c r="Q183" s="8"/>
      <c r="R183" s="8"/>
      <c r="S183" s="8"/>
      <c r="T183" s="8"/>
      <c r="U183" s="8"/>
      <c r="V183" s="8"/>
    </row>
    <row r="184" spans="1:22" ht="13.5" customHeight="1">
      <c r="A184" s="48">
        <v>211204</v>
      </c>
      <c r="B184" s="15" t="s">
        <v>11</v>
      </c>
      <c r="C184" s="16">
        <f>SUM(C185)</f>
        <v>1</v>
      </c>
      <c r="D184" s="8"/>
      <c r="E184" s="8"/>
      <c r="F184" s="8"/>
      <c r="G184" s="8"/>
      <c r="H184" s="8"/>
      <c r="I184" s="8"/>
      <c r="J184" s="8"/>
      <c r="K184" s="8"/>
      <c r="L184" s="8"/>
      <c r="M184" s="8"/>
      <c r="N184" s="8"/>
      <c r="O184" s="8"/>
      <c r="P184" s="8"/>
      <c r="Q184" s="8"/>
      <c r="R184" s="8"/>
      <c r="S184" s="8"/>
      <c r="T184" s="8"/>
      <c r="U184" s="8"/>
      <c r="V184" s="8"/>
    </row>
    <row r="185" spans="1:22" ht="13.5" customHeight="1">
      <c r="A185" s="33">
        <v>21120401</v>
      </c>
      <c r="B185" s="24" t="s">
        <v>12</v>
      </c>
      <c r="C185" s="24">
        <v>1</v>
      </c>
      <c r="D185" s="13"/>
      <c r="E185" s="13"/>
      <c r="F185" s="13"/>
      <c r="G185" s="13"/>
      <c r="H185" s="13"/>
      <c r="I185" s="13"/>
      <c r="J185" s="13"/>
      <c r="K185" s="13"/>
      <c r="L185" s="13"/>
      <c r="M185" s="13"/>
      <c r="N185" s="13"/>
      <c r="O185" s="13"/>
      <c r="P185" s="13"/>
      <c r="Q185" s="13"/>
      <c r="R185" s="13"/>
      <c r="S185" s="13"/>
      <c r="T185" s="13"/>
      <c r="U185" s="13"/>
      <c r="V185" s="13"/>
    </row>
    <row r="186" spans="1:22" ht="13.5" customHeight="1">
      <c r="A186" s="48">
        <v>211209</v>
      </c>
      <c r="B186" s="26" t="s">
        <v>54</v>
      </c>
      <c r="C186" s="26">
        <f>SUM(C187)</f>
        <v>1</v>
      </c>
      <c r="D186" s="13"/>
      <c r="E186" s="13"/>
      <c r="F186" s="13"/>
      <c r="G186" s="13"/>
      <c r="H186" s="13"/>
      <c r="I186" s="13"/>
      <c r="J186" s="13"/>
      <c r="K186" s="13"/>
      <c r="L186" s="13"/>
      <c r="M186" s="13"/>
      <c r="N186" s="13"/>
      <c r="O186" s="13"/>
      <c r="P186" s="13"/>
      <c r="Q186" s="13"/>
      <c r="R186" s="13"/>
      <c r="S186" s="13"/>
      <c r="T186" s="13"/>
      <c r="U186" s="13"/>
      <c r="V186" s="13"/>
    </row>
    <row r="187" spans="1:22" ht="13.5" customHeight="1">
      <c r="A187" s="33">
        <v>21120901</v>
      </c>
      <c r="B187" s="24" t="s">
        <v>22</v>
      </c>
      <c r="C187" s="24">
        <v>1</v>
      </c>
      <c r="D187" s="13"/>
      <c r="E187" s="13"/>
      <c r="F187" s="13"/>
      <c r="G187" s="13"/>
      <c r="H187" s="13"/>
      <c r="I187" s="13"/>
      <c r="J187" s="13"/>
      <c r="K187" s="13"/>
      <c r="L187" s="13"/>
      <c r="M187" s="13"/>
      <c r="N187" s="13"/>
      <c r="O187" s="13"/>
      <c r="P187" s="13"/>
      <c r="Q187" s="13"/>
      <c r="R187" s="13"/>
      <c r="S187" s="13"/>
      <c r="T187" s="13"/>
      <c r="U187" s="13"/>
      <c r="V187" s="13"/>
    </row>
    <row r="188" spans="1:22" ht="13.5" customHeight="1" thickBot="1">
      <c r="A188" s="33"/>
      <c r="B188" s="24"/>
      <c r="C188" s="24"/>
      <c r="D188" s="13"/>
      <c r="E188" s="13"/>
      <c r="F188" s="13"/>
      <c r="G188" s="13"/>
      <c r="H188" s="13"/>
      <c r="I188" s="13"/>
      <c r="J188" s="13"/>
      <c r="K188" s="13"/>
      <c r="L188" s="13"/>
      <c r="M188" s="13"/>
      <c r="N188" s="13"/>
      <c r="O188" s="13"/>
      <c r="P188" s="13"/>
      <c r="Q188" s="13"/>
      <c r="R188" s="13"/>
      <c r="S188" s="13"/>
      <c r="T188" s="13"/>
      <c r="U188" s="13"/>
      <c r="V188" s="13"/>
    </row>
    <row r="189" spans="1:22" ht="13.5" customHeight="1" thickBot="1">
      <c r="A189" s="1282" t="s">
        <v>4</v>
      </c>
      <c r="B189" s="1281"/>
      <c r="C189" s="41">
        <f>C190</f>
        <v>2</v>
      </c>
      <c r="D189" s="8"/>
      <c r="E189" s="8"/>
      <c r="F189" s="8"/>
      <c r="G189" s="8"/>
      <c r="H189" s="8"/>
      <c r="I189" s="8"/>
      <c r="J189" s="8"/>
      <c r="K189" s="8"/>
      <c r="L189" s="8"/>
      <c r="M189" s="8"/>
      <c r="N189" s="8"/>
      <c r="O189" s="8"/>
      <c r="P189" s="8"/>
      <c r="Q189" s="8"/>
      <c r="R189" s="8"/>
      <c r="S189" s="8"/>
      <c r="T189" s="8"/>
      <c r="U189" s="8"/>
      <c r="V189" s="8"/>
    </row>
    <row r="190" spans="1:22" ht="13.5" customHeight="1">
      <c r="A190" s="48" t="s">
        <v>40</v>
      </c>
      <c r="B190" s="26" t="s">
        <v>41</v>
      </c>
      <c r="C190" s="16">
        <f>SUM(C191:C192)</f>
        <v>2</v>
      </c>
      <c r="D190" s="8"/>
      <c r="E190" s="8"/>
      <c r="F190" s="8"/>
      <c r="G190" s="8"/>
      <c r="H190" s="8"/>
      <c r="I190" s="8"/>
      <c r="J190" s="8"/>
      <c r="K190" s="8"/>
      <c r="L190" s="8"/>
      <c r="M190" s="8"/>
      <c r="N190" s="8"/>
      <c r="O190" s="8"/>
      <c r="P190" s="8"/>
      <c r="Q190" s="8"/>
      <c r="R190" s="8"/>
      <c r="S190" s="8"/>
      <c r="T190" s="8"/>
      <c r="U190" s="8"/>
      <c r="V190" s="8"/>
    </row>
    <row r="191" spans="1:22" ht="13.5" customHeight="1">
      <c r="A191" s="33" t="s">
        <v>62</v>
      </c>
      <c r="B191" s="24" t="s">
        <v>41</v>
      </c>
      <c r="C191" s="14">
        <v>1</v>
      </c>
      <c r="D191" s="8"/>
      <c r="E191" s="8"/>
      <c r="F191" s="8"/>
      <c r="G191" s="8"/>
      <c r="H191" s="8"/>
      <c r="I191" s="8"/>
      <c r="J191" s="8"/>
      <c r="K191" s="8"/>
      <c r="L191" s="8"/>
      <c r="M191" s="8"/>
      <c r="N191" s="8"/>
      <c r="O191" s="8"/>
      <c r="P191" s="8"/>
      <c r="Q191" s="8"/>
      <c r="R191" s="8"/>
      <c r="S191" s="8"/>
      <c r="T191" s="8"/>
      <c r="U191" s="8"/>
      <c r="V191" s="8"/>
    </row>
    <row r="192" spans="1:22" ht="13.5" customHeight="1">
      <c r="A192" s="33" t="s">
        <v>43</v>
      </c>
      <c r="B192" s="24" t="s">
        <v>44</v>
      </c>
      <c r="C192" s="14">
        <v>1</v>
      </c>
      <c r="D192" s="8"/>
      <c r="E192" s="8"/>
      <c r="F192" s="8"/>
      <c r="G192" s="8"/>
      <c r="H192" s="8"/>
      <c r="I192" s="8"/>
      <c r="J192" s="8"/>
      <c r="K192" s="8"/>
      <c r="L192" s="8"/>
      <c r="M192" s="8"/>
      <c r="N192" s="8"/>
      <c r="O192" s="8"/>
      <c r="P192" s="8"/>
      <c r="Q192" s="8"/>
      <c r="R192" s="8"/>
      <c r="S192" s="8"/>
      <c r="T192" s="8"/>
      <c r="U192" s="8"/>
      <c r="V192" s="8"/>
    </row>
    <row r="193" spans="1:22" ht="13.5" customHeight="1" thickBot="1">
      <c r="A193" s="33"/>
      <c r="B193" s="24"/>
      <c r="C193" s="14"/>
      <c r="D193" s="8"/>
      <c r="E193" s="8"/>
      <c r="F193" s="8"/>
      <c r="G193" s="8"/>
      <c r="H193" s="8"/>
      <c r="I193" s="8"/>
      <c r="J193" s="8"/>
      <c r="K193" s="8"/>
      <c r="L193" s="8"/>
      <c r="M193" s="8"/>
      <c r="N193" s="8"/>
      <c r="O193" s="8"/>
      <c r="P193" s="8"/>
      <c r="Q193" s="8"/>
      <c r="R193" s="8"/>
      <c r="S193" s="8"/>
      <c r="T193" s="8"/>
      <c r="U193" s="8"/>
      <c r="V193" s="8"/>
    </row>
    <row r="194" spans="1:22" ht="13.5" customHeight="1" thickBot="1">
      <c r="A194" s="1283" t="s">
        <v>48</v>
      </c>
      <c r="B194" s="1281"/>
      <c r="C194" s="52">
        <f>+C195+C197+C199</f>
        <v>3</v>
      </c>
      <c r="D194" s="8"/>
      <c r="E194" s="8"/>
      <c r="F194" s="8"/>
      <c r="G194" s="8"/>
      <c r="H194" s="8"/>
      <c r="I194" s="8"/>
      <c r="J194" s="8"/>
      <c r="K194" s="8"/>
      <c r="L194" s="8"/>
      <c r="M194" s="8"/>
      <c r="N194" s="8"/>
      <c r="O194" s="8"/>
      <c r="P194" s="8"/>
      <c r="Q194" s="8"/>
      <c r="R194" s="8"/>
      <c r="S194" s="8"/>
      <c r="T194" s="8"/>
      <c r="U194" s="8"/>
      <c r="V194" s="8"/>
    </row>
    <row r="195" spans="1:22" ht="13.5" customHeight="1">
      <c r="A195" s="48">
        <v>221104</v>
      </c>
      <c r="B195" s="22" t="s">
        <v>49</v>
      </c>
      <c r="C195" s="16">
        <f>SUM(C196)</f>
        <v>1</v>
      </c>
      <c r="D195" s="8"/>
      <c r="E195" s="8"/>
      <c r="F195" s="8"/>
      <c r="G195" s="8"/>
      <c r="H195" s="8"/>
      <c r="I195" s="8"/>
      <c r="J195" s="8"/>
      <c r="K195" s="8"/>
      <c r="L195" s="8"/>
      <c r="M195" s="8"/>
      <c r="N195" s="8"/>
      <c r="O195" s="8"/>
      <c r="P195" s="8"/>
      <c r="Q195" s="8"/>
      <c r="R195" s="8"/>
      <c r="S195" s="8"/>
      <c r="T195" s="8"/>
      <c r="U195" s="8"/>
      <c r="V195" s="8"/>
    </row>
    <row r="196" spans="1:22" ht="13.5" customHeight="1">
      <c r="A196" s="33">
        <v>22110401</v>
      </c>
      <c r="B196" s="13" t="s">
        <v>57</v>
      </c>
      <c r="C196" s="14">
        <v>1</v>
      </c>
      <c r="D196" s="8"/>
      <c r="E196" s="8"/>
      <c r="F196" s="8"/>
      <c r="G196" s="8"/>
      <c r="H196" s="8"/>
      <c r="I196" s="8"/>
      <c r="J196" s="8"/>
      <c r="K196" s="8"/>
      <c r="L196" s="8"/>
      <c r="M196" s="8"/>
      <c r="N196" s="8"/>
      <c r="O196" s="8"/>
      <c r="P196" s="8"/>
      <c r="Q196" s="8"/>
      <c r="R196" s="8"/>
      <c r="S196" s="8"/>
      <c r="T196" s="8"/>
      <c r="U196" s="8"/>
      <c r="V196" s="8"/>
    </row>
    <row r="197" spans="1:22" ht="13.5" customHeight="1">
      <c r="A197" s="22">
        <v>221105</v>
      </c>
      <c r="B197" s="15" t="s">
        <v>58</v>
      </c>
      <c r="C197" s="16">
        <f>SUM(C198)</f>
        <v>1</v>
      </c>
      <c r="D197" s="8"/>
      <c r="E197" s="8"/>
      <c r="F197" s="8"/>
      <c r="G197" s="8"/>
      <c r="H197" s="8"/>
      <c r="I197" s="8"/>
      <c r="J197" s="8"/>
      <c r="K197" s="8"/>
      <c r="L197" s="8"/>
      <c r="M197" s="8"/>
      <c r="N197" s="8"/>
      <c r="O197" s="8"/>
      <c r="P197" s="8"/>
      <c r="Q197" s="8"/>
      <c r="R197" s="8"/>
      <c r="S197" s="8"/>
      <c r="T197" s="8"/>
      <c r="U197" s="8"/>
      <c r="V197" s="8"/>
    </row>
    <row r="198" spans="1:22" ht="13.5" customHeight="1">
      <c r="A198" s="40">
        <v>22110501</v>
      </c>
      <c r="B198" s="13" t="s">
        <v>58</v>
      </c>
      <c r="C198" s="14">
        <v>1</v>
      </c>
      <c r="D198" s="8"/>
      <c r="E198" s="8"/>
      <c r="F198" s="8"/>
      <c r="G198" s="8"/>
      <c r="H198" s="8"/>
      <c r="I198" s="8"/>
      <c r="J198" s="8"/>
      <c r="K198" s="8"/>
      <c r="L198" s="8"/>
      <c r="M198" s="8"/>
      <c r="N198" s="8"/>
      <c r="O198" s="8"/>
      <c r="P198" s="8"/>
      <c r="Q198" s="8"/>
      <c r="R198" s="8"/>
      <c r="S198" s="8"/>
      <c r="T198" s="8"/>
      <c r="U198" s="8"/>
      <c r="V198" s="8"/>
    </row>
    <row r="199" spans="1:22" ht="13.5" customHeight="1">
      <c r="A199" s="48">
        <v>221107</v>
      </c>
      <c r="B199" s="26" t="s">
        <v>65</v>
      </c>
      <c r="C199" s="16">
        <f>SUM(C200)</f>
        <v>1</v>
      </c>
      <c r="D199" s="8"/>
      <c r="E199" s="8"/>
      <c r="F199" s="8"/>
      <c r="G199" s="8"/>
      <c r="H199" s="8"/>
      <c r="I199" s="8"/>
      <c r="J199" s="8"/>
      <c r="K199" s="8"/>
      <c r="L199" s="8"/>
      <c r="M199" s="8"/>
      <c r="N199" s="8"/>
      <c r="O199" s="8"/>
      <c r="P199" s="8"/>
      <c r="Q199" s="8"/>
      <c r="R199" s="8"/>
      <c r="S199" s="8"/>
      <c r="T199" s="8"/>
      <c r="U199" s="8"/>
      <c r="V199" s="8"/>
    </row>
    <row r="200" spans="1:22" ht="13.5" customHeight="1">
      <c r="A200" s="33">
        <v>22110702</v>
      </c>
      <c r="B200" s="24" t="s">
        <v>50</v>
      </c>
      <c r="C200" s="14">
        <v>1</v>
      </c>
      <c r="D200" s="8"/>
      <c r="E200" s="8"/>
      <c r="F200" s="8"/>
      <c r="G200" s="8"/>
      <c r="H200" s="8"/>
      <c r="I200" s="8"/>
      <c r="J200" s="8"/>
      <c r="K200" s="8"/>
      <c r="L200" s="8"/>
      <c r="M200" s="8"/>
      <c r="N200" s="8"/>
      <c r="O200" s="8"/>
      <c r="P200" s="8"/>
      <c r="Q200" s="8"/>
      <c r="R200" s="8"/>
      <c r="S200" s="8"/>
      <c r="T200" s="8"/>
      <c r="U200" s="8"/>
      <c r="V200" s="8"/>
    </row>
    <row r="201" spans="1:22" ht="13.5" customHeight="1">
      <c r="A201" s="84"/>
      <c r="B201" s="8"/>
      <c r="C201" s="30"/>
      <c r="D201" s="8"/>
      <c r="E201" s="8"/>
      <c r="F201" s="8"/>
      <c r="G201" s="8"/>
      <c r="H201" s="8"/>
      <c r="I201" s="8"/>
      <c r="J201" s="8"/>
      <c r="K201" s="8"/>
      <c r="L201" s="8"/>
      <c r="M201" s="8"/>
      <c r="N201" s="8"/>
      <c r="O201" s="8"/>
      <c r="P201" s="8"/>
      <c r="Q201" s="8"/>
      <c r="R201" s="8"/>
      <c r="S201" s="8"/>
      <c r="T201" s="8"/>
      <c r="U201" s="8"/>
      <c r="V201" s="8"/>
    </row>
    <row r="202" spans="1:22" ht="13.5" customHeight="1">
      <c r="A202" s="8"/>
      <c r="B202" s="8"/>
      <c r="C202" s="30"/>
      <c r="D202" s="8"/>
      <c r="E202" s="8"/>
      <c r="F202" s="8"/>
      <c r="G202" s="8"/>
      <c r="H202" s="8"/>
      <c r="I202" s="8"/>
      <c r="J202" s="8"/>
      <c r="K202" s="8"/>
      <c r="L202" s="8"/>
      <c r="M202" s="8"/>
      <c r="N202" s="8"/>
      <c r="O202" s="8"/>
      <c r="P202" s="8"/>
      <c r="Q202" s="8"/>
      <c r="R202" s="8"/>
      <c r="S202" s="8"/>
      <c r="T202" s="8"/>
      <c r="U202" s="8"/>
      <c r="V202" s="8"/>
    </row>
    <row r="203" spans="1:22" ht="13.5" customHeight="1">
      <c r="A203" s="8"/>
      <c r="B203" s="8"/>
      <c r="C203" s="30"/>
      <c r="D203" s="8"/>
      <c r="E203" s="8"/>
      <c r="F203" s="8"/>
      <c r="G203" s="8"/>
      <c r="H203" s="8"/>
      <c r="I203" s="8"/>
      <c r="J203" s="8"/>
      <c r="K203" s="8"/>
      <c r="L203" s="8"/>
      <c r="M203" s="8"/>
      <c r="N203" s="8"/>
      <c r="O203" s="8"/>
      <c r="P203" s="8"/>
      <c r="Q203" s="8"/>
      <c r="R203" s="8"/>
      <c r="S203" s="8"/>
      <c r="T203" s="8"/>
      <c r="U203" s="8"/>
      <c r="V203" s="8"/>
    </row>
    <row r="204" spans="1:22" ht="13.5" customHeight="1">
      <c r="A204" s="8"/>
      <c r="B204" s="8"/>
      <c r="C204" s="30"/>
      <c r="D204" s="8"/>
      <c r="E204" s="8"/>
      <c r="F204" s="8"/>
      <c r="G204" s="8"/>
      <c r="H204" s="8"/>
      <c r="I204" s="8"/>
      <c r="J204" s="8"/>
      <c r="K204" s="8"/>
      <c r="L204" s="8"/>
      <c r="M204" s="8"/>
      <c r="N204" s="8"/>
      <c r="O204" s="8"/>
      <c r="P204" s="8"/>
      <c r="Q204" s="8"/>
      <c r="R204" s="8"/>
      <c r="S204" s="8"/>
      <c r="T204" s="8"/>
      <c r="U204" s="8"/>
      <c r="V204" s="8"/>
    </row>
    <row r="205" spans="1:22" ht="13.5" customHeight="1">
      <c r="A205" s="8"/>
      <c r="B205" s="8"/>
      <c r="C205" s="30"/>
      <c r="D205" s="8"/>
      <c r="E205" s="8"/>
      <c r="F205" s="8"/>
      <c r="G205" s="8"/>
      <c r="H205" s="8"/>
      <c r="I205" s="8"/>
      <c r="J205" s="8"/>
      <c r="K205" s="8"/>
      <c r="L205" s="8"/>
      <c r="M205" s="8"/>
      <c r="N205" s="8"/>
      <c r="O205" s="8"/>
      <c r="P205" s="8"/>
      <c r="Q205" s="8"/>
      <c r="R205" s="8"/>
      <c r="S205" s="8"/>
      <c r="T205" s="8"/>
      <c r="U205" s="8"/>
      <c r="V205" s="8"/>
    </row>
    <row r="206" spans="1:22" ht="13.5" customHeight="1">
      <c r="A206" s="8"/>
      <c r="B206" s="8"/>
      <c r="C206" s="30"/>
      <c r="D206" s="8"/>
      <c r="E206" s="8"/>
      <c r="F206" s="8"/>
      <c r="G206" s="8"/>
      <c r="H206" s="8"/>
      <c r="I206" s="8"/>
      <c r="J206" s="8"/>
      <c r="K206" s="8"/>
      <c r="L206" s="8"/>
      <c r="M206" s="8"/>
      <c r="N206" s="8"/>
      <c r="O206" s="8"/>
      <c r="P206" s="8"/>
      <c r="Q206" s="8"/>
      <c r="R206" s="8"/>
      <c r="S206" s="8"/>
      <c r="T206" s="8"/>
      <c r="U206" s="8"/>
      <c r="V206" s="8"/>
    </row>
    <row r="207" spans="1:22" ht="13.5" customHeight="1">
      <c r="A207" s="8"/>
      <c r="B207" s="8"/>
      <c r="C207" s="30"/>
      <c r="D207" s="8"/>
      <c r="E207" s="8"/>
      <c r="F207" s="8"/>
      <c r="G207" s="8"/>
      <c r="H207" s="8"/>
      <c r="I207" s="8"/>
      <c r="J207" s="8"/>
      <c r="K207" s="8"/>
      <c r="L207" s="8"/>
      <c r="M207" s="8"/>
      <c r="N207" s="8"/>
      <c r="O207" s="8"/>
      <c r="P207" s="8"/>
      <c r="Q207" s="8"/>
      <c r="R207" s="8"/>
      <c r="S207" s="8"/>
      <c r="T207" s="8"/>
      <c r="U207" s="8"/>
      <c r="V207" s="8"/>
    </row>
    <row r="208" spans="1:22" ht="13.5" customHeight="1">
      <c r="A208" s="8"/>
      <c r="B208" s="8"/>
      <c r="C208" s="30"/>
      <c r="D208" s="8"/>
      <c r="E208" s="8"/>
      <c r="F208" s="8"/>
      <c r="G208" s="8"/>
      <c r="H208" s="8"/>
      <c r="I208" s="8"/>
      <c r="J208" s="8"/>
      <c r="K208" s="8"/>
      <c r="L208" s="8"/>
      <c r="M208" s="8"/>
      <c r="N208" s="8"/>
      <c r="O208" s="8"/>
      <c r="P208" s="8"/>
      <c r="Q208" s="8"/>
      <c r="R208" s="8"/>
      <c r="S208" s="8"/>
      <c r="T208" s="8"/>
      <c r="U208" s="8"/>
      <c r="V208" s="8"/>
    </row>
    <row r="209" spans="1:22" ht="13.5" customHeight="1">
      <c r="A209" s="8"/>
      <c r="B209" s="8"/>
      <c r="C209" s="30"/>
      <c r="D209" s="8"/>
      <c r="E209" s="8"/>
      <c r="F209" s="8"/>
      <c r="G209" s="8"/>
      <c r="H209" s="8"/>
      <c r="I209" s="8"/>
      <c r="J209" s="8"/>
      <c r="K209" s="8"/>
      <c r="L209" s="8"/>
      <c r="M209" s="8"/>
      <c r="N209" s="8"/>
      <c r="O209" s="8"/>
      <c r="P209" s="8"/>
      <c r="Q209" s="8"/>
      <c r="R209" s="8"/>
      <c r="S209" s="8"/>
      <c r="T209" s="8"/>
      <c r="U209" s="8"/>
      <c r="V209" s="8"/>
    </row>
    <row r="210" spans="1:22" ht="13.5" customHeight="1">
      <c r="A210" s="8"/>
      <c r="B210" s="8"/>
      <c r="C210" s="30"/>
      <c r="D210" s="8"/>
      <c r="E210" s="8"/>
      <c r="F210" s="8"/>
      <c r="G210" s="8"/>
      <c r="H210" s="8"/>
      <c r="I210" s="8"/>
      <c r="J210" s="8"/>
      <c r="K210" s="8"/>
      <c r="L210" s="8"/>
      <c r="M210" s="8"/>
      <c r="N210" s="8"/>
      <c r="O210" s="8"/>
      <c r="P210" s="8"/>
      <c r="Q210" s="8"/>
      <c r="R210" s="8"/>
      <c r="S210" s="8"/>
      <c r="T210" s="8"/>
      <c r="U210" s="8"/>
      <c r="V210" s="8"/>
    </row>
    <row r="211" spans="1:22" ht="13.5" customHeight="1">
      <c r="A211" s="8"/>
      <c r="B211" s="8"/>
      <c r="C211" s="30"/>
      <c r="D211" s="8"/>
      <c r="E211" s="8"/>
      <c r="F211" s="8"/>
      <c r="G211" s="8"/>
      <c r="H211" s="8"/>
      <c r="I211" s="8"/>
      <c r="J211" s="8"/>
      <c r="K211" s="8"/>
      <c r="L211" s="8"/>
      <c r="M211" s="8"/>
      <c r="N211" s="8"/>
      <c r="O211" s="8"/>
      <c r="P211" s="8"/>
      <c r="Q211" s="8"/>
      <c r="R211" s="8"/>
      <c r="S211" s="8"/>
      <c r="T211" s="8"/>
      <c r="U211" s="8"/>
      <c r="V211" s="8"/>
    </row>
    <row r="212" spans="1:22" ht="13.5" customHeight="1">
      <c r="A212" s="8"/>
      <c r="B212" s="8"/>
      <c r="C212" s="30"/>
      <c r="D212" s="8"/>
      <c r="E212" s="8"/>
      <c r="F212" s="8"/>
      <c r="G212" s="8"/>
      <c r="H212" s="8"/>
      <c r="I212" s="8"/>
      <c r="J212" s="8"/>
      <c r="K212" s="8"/>
      <c r="L212" s="8"/>
      <c r="M212" s="8"/>
      <c r="N212" s="8"/>
      <c r="O212" s="8"/>
      <c r="P212" s="8"/>
      <c r="Q212" s="8"/>
      <c r="R212" s="8"/>
      <c r="S212" s="8"/>
      <c r="T212" s="8"/>
      <c r="U212" s="8"/>
      <c r="V212" s="8"/>
    </row>
    <row r="213" spans="1:22" ht="13.5" customHeight="1">
      <c r="A213" s="8"/>
      <c r="B213" s="8"/>
      <c r="C213" s="30"/>
      <c r="D213" s="8"/>
      <c r="E213" s="8"/>
      <c r="F213" s="8"/>
      <c r="G213" s="8"/>
      <c r="H213" s="8"/>
      <c r="I213" s="8"/>
      <c r="J213" s="8"/>
      <c r="K213" s="8"/>
      <c r="L213" s="8"/>
      <c r="M213" s="8"/>
      <c r="N213" s="8"/>
      <c r="O213" s="8"/>
      <c r="P213" s="8"/>
      <c r="Q213" s="8"/>
      <c r="R213" s="8"/>
      <c r="S213" s="8"/>
      <c r="T213" s="8"/>
      <c r="U213" s="8"/>
      <c r="V213" s="8"/>
    </row>
    <row r="214" spans="1:22" ht="13.5" customHeight="1">
      <c r="A214" s="8"/>
      <c r="B214" s="8"/>
      <c r="C214" s="30"/>
      <c r="D214" s="8"/>
      <c r="E214" s="8"/>
      <c r="F214" s="8"/>
      <c r="G214" s="8"/>
      <c r="H214" s="8"/>
      <c r="I214" s="8"/>
      <c r="J214" s="8"/>
      <c r="K214" s="8"/>
      <c r="L214" s="8"/>
      <c r="M214" s="8"/>
      <c r="N214" s="8"/>
      <c r="O214" s="8"/>
      <c r="P214" s="8"/>
      <c r="Q214" s="8"/>
      <c r="R214" s="8"/>
      <c r="S214" s="8"/>
      <c r="T214" s="8"/>
      <c r="U214" s="8"/>
      <c r="V214" s="8"/>
    </row>
    <row r="215" spans="1:22" ht="13.5" customHeight="1">
      <c r="A215" s="8"/>
      <c r="B215" s="8"/>
      <c r="C215" s="30"/>
      <c r="D215" s="8"/>
      <c r="E215" s="8"/>
      <c r="F215" s="8"/>
      <c r="G215" s="8"/>
      <c r="H215" s="8"/>
      <c r="I215" s="8"/>
      <c r="J215" s="8"/>
      <c r="K215" s="8"/>
      <c r="L215" s="8"/>
      <c r="M215" s="8"/>
      <c r="N215" s="8"/>
      <c r="O215" s="8"/>
      <c r="P215" s="8"/>
      <c r="Q215" s="8"/>
      <c r="R215" s="8"/>
      <c r="S215" s="8"/>
      <c r="T215" s="8"/>
      <c r="U215" s="8"/>
      <c r="V215" s="8"/>
    </row>
    <row r="216" spans="1:22" ht="13.5" customHeight="1">
      <c r="A216" s="8"/>
      <c r="B216" s="8"/>
      <c r="C216" s="30"/>
      <c r="D216" s="8"/>
      <c r="E216" s="8"/>
      <c r="F216" s="8"/>
      <c r="G216" s="8"/>
      <c r="H216" s="8"/>
      <c r="I216" s="8"/>
      <c r="J216" s="8"/>
      <c r="K216" s="8"/>
      <c r="L216" s="8"/>
      <c r="M216" s="8"/>
      <c r="N216" s="8"/>
      <c r="O216" s="8"/>
      <c r="P216" s="8"/>
      <c r="Q216" s="8"/>
      <c r="R216" s="8"/>
      <c r="S216" s="8"/>
      <c r="T216" s="8"/>
      <c r="U216" s="8"/>
      <c r="V216" s="8"/>
    </row>
    <row r="217" spans="1:22" ht="13.5" customHeight="1">
      <c r="A217" s="8"/>
      <c r="B217" s="8"/>
      <c r="C217" s="30"/>
      <c r="D217" s="8"/>
      <c r="E217" s="8"/>
      <c r="F217" s="8"/>
      <c r="G217" s="8"/>
      <c r="H217" s="8"/>
      <c r="I217" s="8"/>
      <c r="J217" s="8"/>
      <c r="K217" s="8"/>
      <c r="L217" s="8"/>
      <c r="M217" s="8"/>
      <c r="N217" s="8"/>
      <c r="O217" s="8"/>
      <c r="P217" s="8"/>
      <c r="Q217" s="8"/>
      <c r="R217" s="8"/>
      <c r="S217" s="8"/>
      <c r="T217" s="8"/>
      <c r="U217" s="8"/>
      <c r="V217" s="8"/>
    </row>
    <row r="218" spans="1:22" ht="13.5" customHeight="1">
      <c r="A218" s="8"/>
      <c r="B218" s="8"/>
      <c r="C218" s="30"/>
      <c r="D218" s="8"/>
      <c r="E218" s="8"/>
      <c r="F218" s="8"/>
      <c r="G218" s="8"/>
      <c r="H218" s="8"/>
      <c r="I218" s="8"/>
      <c r="J218" s="8"/>
      <c r="K218" s="8"/>
      <c r="L218" s="8"/>
      <c r="M218" s="8"/>
      <c r="N218" s="8"/>
      <c r="O218" s="8"/>
      <c r="P218" s="8"/>
      <c r="Q218" s="8"/>
      <c r="R218" s="8"/>
      <c r="S218" s="8"/>
      <c r="T218" s="8"/>
      <c r="U218" s="8"/>
      <c r="V218" s="8"/>
    </row>
    <row r="219" spans="1:22" ht="13.5" customHeight="1">
      <c r="A219" s="8"/>
      <c r="B219" s="8"/>
      <c r="C219" s="30"/>
      <c r="D219" s="8"/>
      <c r="E219" s="8"/>
      <c r="F219" s="8"/>
      <c r="G219" s="8"/>
      <c r="H219" s="8"/>
      <c r="I219" s="8"/>
      <c r="J219" s="8"/>
      <c r="K219" s="8"/>
      <c r="L219" s="8"/>
      <c r="M219" s="8"/>
      <c r="N219" s="8"/>
      <c r="O219" s="8"/>
      <c r="P219" s="8"/>
      <c r="Q219" s="8"/>
      <c r="R219" s="8"/>
      <c r="S219" s="8"/>
      <c r="T219" s="8"/>
      <c r="U219" s="8"/>
      <c r="V219" s="8"/>
    </row>
    <row r="220" spans="1:22" ht="13.5" customHeight="1">
      <c r="A220" s="8"/>
      <c r="B220" s="8"/>
      <c r="C220" s="30"/>
      <c r="D220" s="8"/>
      <c r="E220" s="8"/>
      <c r="F220" s="8"/>
      <c r="G220" s="8"/>
      <c r="H220" s="8"/>
      <c r="I220" s="8"/>
      <c r="J220" s="8"/>
      <c r="K220" s="8"/>
      <c r="L220" s="8"/>
      <c r="M220" s="8"/>
      <c r="N220" s="8"/>
      <c r="O220" s="8"/>
      <c r="P220" s="8"/>
      <c r="Q220" s="8"/>
      <c r="R220" s="8"/>
      <c r="S220" s="8"/>
      <c r="T220" s="8"/>
      <c r="U220" s="8"/>
      <c r="V220" s="8"/>
    </row>
    <row r="221" spans="1:22" ht="13.5" customHeight="1">
      <c r="A221" s="8"/>
      <c r="B221" s="8"/>
      <c r="C221" s="30"/>
      <c r="D221" s="8"/>
      <c r="E221" s="8"/>
      <c r="F221" s="8"/>
      <c r="G221" s="8"/>
      <c r="H221" s="8"/>
      <c r="I221" s="8"/>
      <c r="J221" s="8"/>
      <c r="K221" s="8"/>
      <c r="L221" s="8"/>
      <c r="M221" s="8"/>
      <c r="N221" s="8"/>
      <c r="O221" s="8"/>
      <c r="P221" s="8"/>
      <c r="Q221" s="8"/>
      <c r="R221" s="8"/>
      <c r="S221" s="8"/>
      <c r="T221" s="8"/>
      <c r="U221" s="8"/>
      <c r="V221" s="8"/>
    </row>
    <row r="222" spans="1:22" ht="13.5" customHeight="1">
      <c r="A222" s="8"/>
      <c r="B222" s="8"/>
      <c r="C222" s="30"/>
      <c r="D222" s="8"/>
      <c r="E222" s="8"/>
      <c r="F222" s="8"/>
      <c r="G222" s="8"/>
      <c r="H222" s="8"/>
      <c r="I222" s="8"/>
      <c r="J222" s="8"/>
      <c r="K222" s="8"/>
      <c r="L222" s="8"/>
      <c r="M222" s="8"/>
      <c r="N222" s="8"/>
      <c r="O222" s="8"/>
      <c r="P222" s="8"/>
      <c r="Q222" s="8"/>
      <c r="R222" s="8"/>
      <c r="S222" s="8"/>
      <c r="T222" s="8"/>
      <c r="U222" s="8"/>
      <c r="V222" s="8"/>
    </row>
    <row r="223" spans="1:22" ht="13.5" customHeight="1">
      <c r="A223" s="8"/>
      <c r="B223" s="8"/>
      <c r="C223" s="30"/>
      <c r="D223" s="8"/>
      <c r="E223" s="8"/>
      <c r="F223" s="8"/>
      <c r="G223" s="8"/>
      <c r="H223" s="8"/>
      <c r="I223" s="8"/>
      <c r="J223" s="8"/>
      <c r="K223" s="8"/>
      <c r="L223" s="8"/>
      <c r="M223" s="8"/>
      <c r="N223" s="8"/>
      <c r="O223" s="8"/>
      <c r="P223" s="8"/>
      <c r="Q223" s="8"/>
      <c r="R223" s="8"/>
      <c r="S223" s="8"/>
      <c r="T223" s="8"/>
      <c r="U223" s="8"/>
      <c r="V223" s="8"/>
    </row>
    <row r="224" spans="1:22" ht="13.5" customHeight="1">
      <c r="A224" s="8"/>
      <c r="B224" s="8"/>
      <c r="C224" s="30"/>
      <c r="D224" s="8"/>
      <c r="E224" s="8"/>
      <c r="F224" s="8"/>
      <c r="G224" s="8"/>
      <c r="H224" s="8"/>
      <c r="I224" s="8"/>
      <c r="J224" s="8"/>
      <c r="K224" s="8"/>
      <c r="L224" s="8"/>
      <c r="M224" s="8"/>
      <c r="N224" s="8"/>
      <c r="O224" s="8"/>
      <c r="P224" s="8"/>
      <c r="Q224" s="8"/>
      <c r="R224" s="8"/>
      <c r="S224" s="8"/>
      <c r="T224" s="8"/>
      <c r="U224" s="8"/>
      <c r="V224" s="8"/>
    </row>
    <row r="225" spans="1:22" ht="13.5" customHeight="1">
      <c r="A225" s="8"/>
      <c r="B225" s="8"/>
      <c r="C225" s="30"/>
      <c r="D225" s="8"/>
      <c r="E225" s="8"/>
      <c r="F225" s="8"/>
      <c r="G225" s="8"/>
      <c r="H225" s="8"/>
      <c r="I225" s="8"/>
      <c r="J225" s="8"/>
      <c r="K225" s="8"/>
      <c r="L225" s="8"/>
      <c r="M225" s="8"/>
      <c r="N225" s="8"/>
      <c r="O225" s="8"/>
      <c r="P225" s="8"/>
      <c r="Q225" s="8"/>
      <c r="R225" s="8"/>
      <c r="S225" s="8"/>
      <c r="T225" s="8"/>
      <c r="U225" s="8"/>
      <c r="V225" s="8"/>
    </row>
    <row r="226" spans="1:22" ht="13.5" customHeight="1">
      <c r="A226" s="8"/>
      <c r="B226" s="8"/>
      <c r="C226" s="30"/>
      <c r="D226" s="8"/>
      <c r="E226" s="8"/>
      <c r="F226" s="8"/>
      <c r="G226" s="8"/>
      <c r="H226" s="8"/>
      <c r="I226" s="8"/>
      <c r="J226" s="8"/>
      <c r="K226" s="8"/>
      <c r="L226" s="8"/>
      <c r="M226" s="8"/>
      <c r="N226" s="8"/>
      <c r="O226" s="8"/>
      <c r="P226" s="8"/>
      <c r="Q226" s="8"/>
      <c r="R226" s="8"/>
      <c r="S226" s="8"/>
      <c r="T226" s="8"/>
      <c r="U226" s="8"/>
      <c r="V226" s="8"/>
    </row>
    <row r="227" spans="1:22" ht="13.5" customHeight="1">
      <c r="A227" s="8"/>
      <c r="B227" s="8"/>
      <c r="C227" s="30"/>
      <c r="D227" s="8"/>
      <c r="E227" s="8"/>
      <c r="F227" s="8"/>
      <c r="G227" s="8"/>
      <c r="H227" s="8"/>
      <c r="I227" s="8"/>
      <c r="J227" s="8"/>
      <c r="K227" s="8"/>
      <c r="L227" s="8"/>
      <c r="M227" s="8"/>
      <c r="N227" s="8"/>
      <c r="O227" s="8"/>
      <c r="P227" s="8"/>
      <c r="Q227" s="8"/>
      <c r="R227" s="8"/>
      <c r="S227" s="8"/>
      <c r="T227" s="8"/>
      <c r="U227" s="8"/>
      <c r="V227" s="8"/>
    </row>
    <row r="228" spans="1:22" ht="13.5" customHeight="1">
      <c r="A228" s="8"/>
      <c r="B228" s="8"/>
      <c r="C228" s="30"/>
      <c r="D228" s="8"/>
      <c r="E228" s="8"/>
      <c r="F228" s="8"/>
      <c r="G228" s="8"/>
      <c r="H228" s="8"/>
      <c r="I228" s="8"/>
      <c r="J228" s="8"/>
      <c r="K228" s="8"/>
      <c r="L228" s="8"/>
      <c r="M228" s="8"/>
      <c r="N228" s="8"/>
      <c r="O228" s="8"/>
      <c r="P228" s="8"/>
      <c r="Q228" s="8"/>
      <c r="R228" s="8"/>
      <c r="S228" s="8"/>
      <c r="T228" s="8"/>
      <c r="U228" s="8"/>
      <c r="V228" s="8"/>
    </row>
    <row r="229" spans="1:22" ht="13.5" customHeight="1">
      <c r="A229" s="8"/>
      <c r="B229" s="8"/>
      <c r="C229" s="30"/>
      <c r="D229" s="8"/>
      <c r="E229" s="8"/>
      <c r="F229" s="8"/>
      <c r="G229" s="8"/>
      <c r="H229" s="8"/>
      <c r="I229" s="8"/>
      <c r="J229" s="8"/>
      <c r="K229" s="8"/>
      <c r="L229" s="8"/>
      <c r="M229" s="8"/>
      <c r="N229" s="8"/>
      <c r="O229" s="8"/>
      <c r="P229" s="8"/>
      <c r="Q229" s="8"/>
      <c r="R229" s="8"/>
      <c r="S229" s="8"/>
      <c r="T229" s="8"/>
      <c r="U229" s="8"/>
      <c r="V229" s="8"/>
    </row>
    <row r="230" spans="1:22" ht="13.5" customHeight="1">
      <c r="A230" s="8"/>
      <c r="B230" s="8"/>
      <c r="C230" s="30"/>
      <c r="D230" s="8"/>
      <c r="E230" s="8"/>
      <c r="F230" s="8"/>
      <c r="G230" s="8"/>
      <c r="H230" s="8"/>
      <c r="I230" s="8"/>
      <c r="J230" s="8"/>
      <c r="K230" s="8"/>
      <c r="L230" s="8"/>
      <c r="M230" s="8"/>
      <c r="N230" s="8"/>
      <c r="O230" s="8"/>
      <c r="P230" s="8"/>
      <c r="Q230" s="8"/>
      <c r="R230" s="8"/>
      <c r="S230" s="8"/>
      <c r="T230" s="8"/>
      <c r="U230" s="8"/>
      <c r="V230" s="8"/>
    </row>
    <row r="231" spans="1:22" ht="13.5" customHeight="1">
      <c r="A231" s="8"/>
      <c r="B231" s="8"/>
      <c r="C231" s="30"/>
      <c r="D231" s="8"/>
      <c r="E231" s="8"/>
      <c r="F231" s="8"/>
      <c r="G231" s="8"/>
      <c r="H231" s="8"/>
      <c r="I231" s="8"/>
      <c r="J231" s="8"/>
      <c r="K231" s="8"/>
      <c r="L231" s="8"/>
      <c r="M231" s="8"/>
      <c r="N231" s="8"/>
      <c r="O231" s="8"/>
      <c r="P231" s="8"/>
      <c r="Q231" s="8"/>
      <c r="R231" s="8"/>
      <c r="S231" s="8"/>
      <c r="T231" s="8"/>
      <c r="U231" s="8"/>
      <c r="V231" s="8"/>
    </row>
    <row r="232" spans="1:22" ht="13.5" customHeight="1">
      <c r="A232" s="8"/>
      <c r="B232" s="8"/>
      <c r="C232" s="30"/>
      <c r="D232" s="8"/>
      <c r="E232" s="8"/>
      <c r="F232" s="8"/>
      <c r="G232" s="8"/>
      <c r="H232" s="8"/>
      <c r="I232" s="8"/>
      <c r="J232" s="8"/>
      <c r="K232" s="8"/>
      <c r="L232" s="8"/>
      <c r="M232" s="8"/>
      <c r="N232" s="8"/>
      <c r="O232" s="8"/>
      <c r="P232" s="8"/>
      <c r="Q232" s="8"/>
      <c r="R232" s="8"/>
      <c r="S232" s="8"/>
      <c r="T232" s="8"/>
      <c r="U232" s="8"/>
      <c r="V232" s="8"/>
    </row>
    <row r="233" spans="1:22" ht="13.5" customHeight="1">
      <c r="A233" s="8"/>
      <c r="B233" s="8"/>
      <c r="C233" s="30"/>
      <c r="D233" s="8"/>
      <c r="E233" s="8"/>
      <c r="F233" s="8"/>
      <c r="G233" s="8"/>
      <c r="H233" s="8"/>
      <c r="I233" s="8"/>
      <c r="J233" s="8"/>
      <c r="K233" s="8"/>
      <c r="L233" s="8"/>
      <c r="M233" s="8"/>
      <c r="N233" s="8"/>
      <c r="O233" s="8"/>
      <c r="P233" s="8"/>
      <c r="Q233" s="8"/>
      <c r="R233" s="8"/>
      <c r="S233" s="8"/>
      <c r="T233" s="8"/>
      <c r="U233" s="8"/>
      <c r="V233" s="8"/>
    </row>
    <row r="234" spans="1:22" ht="13.5" customHeight="1">
      <c r="A234" s="8"/>
      <c r="B234" s="8"/>
      <c r="C234" s="30"/>
      <c r="D234" s="8"/>
      <c r="E234" s="8"/>
      <c r="F234" s="8"/>
      <c r="G234" s="8"/>
      <c r="H234" s="8"/>
      <c r="I234" s="8"/>
      <c r="J234" s="8"/>
      <c r="K234" s="8"/>
      <c r="L234" s="8"/>
      <c r="M234" s="8"/>
      <c r="N234" s="8"/>
      <c r="O234" s="8"/>
      <c r="P234" s="8"/>
      <c r="Q234" s="8"/>
      <c r="R234" s="8"/>
      <c r="S234" s="8"/>
      <c r="T234" s="8"/>
      <c r="U234" s="8"/>
      <c r="V234" s="8"/>
    </row>
    <row r="235" spans="1:22" ht="13.5" customHeight="1">
      <c r="A235" s="8"/>
      <c r="B235" s="8"/>
      <c r="C235" s="30"/>
      <c r="D235" s="8"/>
      <c r="E235" s="8"/>
      <c r="F235" s="8"/>
      <c r="G235" s="8"/>
      <c r="H235" s="8"/>
      <c r="I235" s="8"/>
      <c r="J235" s="8"/>
      <c r="K235" s="8"/>
      <c r="L235" s="8"/>
      <c r="M235" s="8"/>
      <c r="N235" s="8"/>
      <c r="O235" s="8"/>
      <c r="P235" s="8"/>
      <c r="Q235" s="8"/>
      <c r="R235" s="8"/>
      <c r="S235" s="8"/>
      <c r="T235" s="8"/>
      <c r="U235" s="8"/>
      <c r="V235" s="8"/>
    </row>
    <row r="236" spans="1:22" ht="13.5" customHeight="1">
      <c r="A236" s="8"/>
      <c r="B236" s="8"/>
      <c r="C236" s="30"/>
      <c r="D236" s="8"/>
      <c r="E236" s="8"/>
      <c r="F236" s="8"/>
      <c r="G236" s="8"/>
      <c r="H236" s="8"/>
      <c r="I236" s="8"/>
      <c r="J236" s="8"/>
      <c r="K236" s="8"/>
      <c r="L236" s="8"/>
      <c r="M236" s="8"/>
      <c r="N236" s="8"/>
      <c r="O236" s="8"/>
      <c r="P236" s="8"/>
      <c r="Q236" s="8"/>
      <c r="R236" s="8"/>
      <c r="S236" s="8"/>
      <c r="T236" s="8"/>
      <c r="U236" s="8"/>
      <c r="V236" s="8"/>
    </row>
    <row r="237" spans="1:22" ht="13.5" customHeight="1">
      <c r="A237" s="8"/>
      <c r="B237" s="8"/>
      <c r="C237" s="30"/>
      <c r="D237" s="8"/>
      <c r="E237" s="8"/>
      <c r="F237" s="8"/>
      <c r="G237" s="8"/>
      <c r="H237" s="8"/>
      <c r="I237" s="8"/>
      <c r="J237" s="8"/>
      <c r="K237" s="8"/>
      <c r="L237" s="8"/>
      <c r="M237" s="8"/>
      <c r="N237" s="8"/>
      <c r="O237" s="8"/>
      <c r="P237" s="8"/>
      <c r="Q237" s="8"/>
      <c r="R237" s="8"/>
      <c r="S237" s="8"/>
      <c r="T237" s="8"/>
      <c r="U237" s="8"/>
      <c r="V237" s="8"/>
    </row>
    <row r="238" spans="1:22" ht="13.5" customHeight="1">
      <c r="A238" s="8"/>
      <c r="B238" s="8"/>
      <c r="C238" s="30"/>
      <c r="D238" s="8"/>
      <c r="E238" s="8"/>
      <c r="F238" s="8"/>
      <c r="G238" s="8"/>
      <c r="H238" s="8"/>
      <c r="I238" s="8"/>
      <c r="J238" s="8"/>
      <c r="K238" s="8"/>
      <c r="L238" s="8"/>
      <c r="M238" s="8"/>
      <c r="N238" s="8"/>
      <c r="O238" s="8"/>
      <c r="P238" s="8"/>
      <c r="Q238" s="8"/>
      <c r="R238" s="8"/>
      <c r="S238" s="8"/>
      <c r="T238" s="8"/>
      <c r="U238" s="8"/>
      <c r="V238" s="8"/>
    </row>
    <row r="239" spans="1:22" ht="13.5" customHeight="1">
      <c r="A239" s="8"/>
      <c r="B239" s="8"/>
      <c r="C239" s="30"/>
      <c r="D239" s="8"/>
      <c r="E239" s="8"/>
      <c r="F239" s="8"/>
      <c r="G239" s="8"/>
      <c r="H239" s="8"/>
      <c r="I239" s="8"/>
      <c r="J239" s="8"/>
      <c r="K239" s="8"/>
      <c r="L239" s="8"/>
      <c r="M239" s="8"/>
      <c r="N239" s="8"/>
      <c r="O239" s="8"/>
      <c r="P239" s="8"/>
      <c r="Q239" s="8"/>
      <c r="R239" s="8"/>
      <c r="S239" s="8"/>
      <c r="T239" s="8"/>
      <c r="U239" s="8"/>
      <c r="V239" s="8"/>
    </row>
    <row r="240" spans="1:22" ht="13.5" customHeight="1">
      <c r="A240" s="8"/>
      <c r="B240" s="8"/>
      <c r="C240" s="30"/>
      <c r="D240" s="8"/>
      <c r="E240" s="8"/>
      <c r="F240" s="8"/>
      <c r="G240" s="8"/>
      <c r="H240" s="8"/>
      <c r="I240" s="8"/>
      <c r="J240" s="8"/>
      <c r="K240" s="8"/>
      <c r="L240" s="8"/>
      <c r="M240" s="8"/>
      <c r="N240" s="8"/>
      <c r="O240" s="8"/>
      <c r="P240" s="8"/>
      <c r="Q240" s="8"/>
      <c r="R240" s="8"/>
      <c r="S240" s="8"/>
      <c r="T240" s="8"/>
      <c r="U240" s="8"/>
      <c r="V240" s="8"/>
    </row>
    <row r="241" spans="1:22" ht="13.5" customHeight="1">
      <c r="A241" s="8"/>
      <c r="B241" s="8"/>
      <c r="C241" s="30"/>
      <c r="D241" s="8"/>
      <c r="E241" s="8"/>
      <c r="F241" s="8"/>
      <c r="G241" s="8"/>
      <c r="H241" s="8"/>
      <c r="I241" s="8"/>
      <c r="J241" s="8"/>
      <c r="K241" s="8"/>
      <c r="L241" s="8"/>
      <c r="M241" s="8"/>
      <c r="N241" s="8"/>
      <c r="O241" s="8"/>
      <c r="P241" s="8"/>
      <c r="Q241" s="8"/>
      <c r="R241" s="8"/>
      <c r="S241" s="8"/>
      <c r="T241" s="8"/>
      <c r="U241" s="8"/>
      <c r="V241" s="8"/>
    </row>
    <row r="242" spans="1:22" ht="13.5" customHeight="1">
      <c r="A242" s="8"/>
      <c r="B242" s="8"/>
      <c r="C242" s="30"/>
      <c r="D242" s="8"/>
      <c r="E242" s="8"/>
      <c r="F242" s="8"/>
      <c r="G242" s="8"/>
      <c r="H242" s="8"/>
      <c r="I242" s="8"/>
      <c r="J242" s="8"/>
      <c r="K242" s="8"/>
      <c r="L242" s="8"/>
      <c r="M242" s="8"/>
      <c r="N242" s="8"/>
      <c r="O242" s="8"/>
      <c r="P242" s="8"/>
      <c r="Q242" s="8"/>
      <c r="R242" s="8"/>
      <c r="S242" s="8"/>
      <c r="T242" s="8"/>
      <c r="U242" s="8"/>
      <c r="V242" s="8"/>
    </row>
    <row r="243" spans="1:22" ht="13.5" customHeight="1">
      <c r="A243" s="8"/>
      <c r="B243" s="8"/>
      <c r="C243" s="30"/>
      <c r="D243" s="8"/>
      <c r="E243" s="8"/>
      <c r="F243" s="8"/>
      <c r="G243" s="8"/>
      <c r="H243" s="8"/>
      <c r="I243" s="8"/>
      <c r="J243" s="8"/>
      <c r="K243" s="8"/>
      <c r="L243" s="8"/>
      <c r="M243" s="8"/>
      <c r="N243" s="8"/>
      <c r="O243" s="8"/>
      <c r="P243" s="8"/>
      <c r="Q243" s="8"/>
      <c r="R243" s="8"/>
      <c r="S243" s="8"/>
      <c r="T243" s="8"/>
      <c r="U243" s="8"/>
      <c r="V243" s="8"/>
    </row>
    <row r="244" spans="1:22" ht="13.5" customHeight="1">
      <c r="A244" s="8"/>
      <c r="B244" s="8"/>
      <c r="C244" s="30"/>
      <c r="D244" s="8"/>
      <c r="E244" s="8"/>
      <c r="F244" s="8"/>
      <c r="G244" s="8"/>
      <c r="H244" s="8"/>
      <c r="I244" s="8"/>
      <c r="J244" s="8"/>
      <c r="K244" s="8"/>
      <c r="L244" s="8"/>
      <c r="M244" s="8"/>
      <c r="N244" s="8"/>
      <c r="O244" s="8"/>
      <c r="P244" s="8"/>
      <c r="Q244" s="8"/>
      <c r="R244" s="8"/>
      <c r="S244" s="8"/>
      <c r="T244" s="8"/>
      <c r="U244" s="8"/>
      <c r="V244" s="8"/>
    </row>
    <row r="245" spans="1:22" ht="13.5" customHeight="1">
      <c r="A245" s="8"/>
      <c r="B245" s="8"/>
      <c r="C245" s="30"/>
      <c r="D245" s="8"/>
      <c r="E245" s="8"/>
      <c r="F245" s="8"/>
      <c r="G245" s="8"/>
      <c r="H245" s="8"/>
      <c r="I245" s="8"/>
      <c r="J245" s="8"/>
      <c r="K245" s="8"/>
      <c r="L245" s="8"/>
      <c r="M245" s="8"/>
      <c r="N245" s="8"/>
      <c r="O245" s="8"/>
      <c r="P245" s="8"/>
      <c r="Q245" s="8"/>
      <c r="R245" s="8"/>
      <c r="S245" s="8"/>
      <c r="T245" s="8"/>
      <c r="U245" s="8"/>
      <c r="V245" s="8"/>
    </row>
    <row r="246" spans="1:22" ht="13.5" customHeight="1">
      <c r="A246" s="8"/>
      <c r="B246" s="8"/>
      <c r="C246" s="30"/>
      <c r="D246" s="8"/>
      <c r="E246" s="8"/>
      <c r="F246" s="8"/>
      <c r="G246" s="8"/>
      <c r="H246" s="8"/>
      <c r="I246" s="8"/>
      <c r="J246" s="8"/>
      <c r="K246" s="8"/>
      <c r="L246" s="8"/>
      <c r="M246" s="8"/>
      <c r="N246" s="8"/>
      <c r="O246" s="8"/>
      <c r="P246" s="8"/>
      <c r="Q246" s="8"/>
      <c r="R246" s="8"/>
      <c r="S246" s="8"/>
      <c r="T246" s="8"/>
      <c r="U246" s="8"/>
      <c r="V246" s="8"/>
    </row>
    <row r="247" spans="1:22" ht="13.5" customHeight="1">
      <c r="A247" s="8"/>
      <c r="B247" s="8"/>
      <c r="C247" s="30"/>
      <c r="D247" s="8"/>
      <c r="E247" s="8"/>
      <c r="F247" s="8"/>
      <c r="G247" s="8"/>
      <c r="H247" s="8"/>
      <c r="I247" s="8"/>
      <c r="J247" s="8"/>
      <c r="K247" s="8"/>
      <c r="L247" s="8"/>
      <c r="M247" s="8"/>
      <c r="N247" s="8"/>
      <c r="O247" s="8"/>
      <c r="P247" s="8"/>
      <c r="Q247" s="8"/>
      <c r="R247" s="8"/>
      <c r="S247" s="8"/>
      <c r="T247" s="8"/>
      <c r="U247" s="8"/>
      <c r="V247" s="8"/>
    </row>
    <row r="248" spans="1:22" ht="13.5" customHeight="1">
      <c r="A248" s="8"/>
      <c r="B248" s="8"/>
      <c r="C248" s="30"/>
      <c r="D248" s="8"/>
      <c r="E248" s="8"/>
      <c r="F248" s="8"/>
      <c r="G248" s="8"/>
      <c r="H248" s="8"/>
      <c r="I248" s="8"/>
      <c r="J248" s="8"/>
      <c r="K248" s="8"/>
      <c r="L248" s="8"/>
      <c r="M248" s="8"/>
      <c r="N248" s="8"/>
      <c r="O248" s="8"/>
      <c r="P248" s="8"/>
      <c r="Q248" s="8"/>
      <c r="R248" s="8"/>
      <c r="S248" s="8"/>
      <c r="T248" s="8"/>
      <c r="U248" s="8"/>
      <c r="V248" s="8"/>
    </row>
    <row r="249" spans="1:22" ht="13.5" customHeight="1">
      <c r="A249" s="8"/>
      <c r="B249" s="8"/>
      <c r="C249" s="30"/>
      <c r="D249" s="8"/>
      <c r="E249" s="8"/>
      <c r="F249" s="8"/>
      <c r="G249" s="8"/>
      <c r="H249" s="8"/>
      <c r="I249" s="8"/>
      <c r="J249" s="8"/>
      <c r="K249" s="8"/>
      <c r="L249" s="8"/>
      <c r="M249" s="8"/>
      <c r="N249" s="8"/>
      <c r="O249" s="8"/>
      <c r="P249" s="8"/>
      <c r="Q249" s="8"/>
      <c r="R249" s="8"/>
      <c r="S249" s="8"/>
      <c r="T249" s="8"/>
      <c r="U249" s="8"/>
      <c r="V249" s="8"/>
    </row>
    <row r="250" spans="1:22" ht="13.5" customHeight="1">
      <c r="A250" s="8"/>
      <c r="B250" s="8"/>
      <c r="C250" s="30"/>
      <c r="D250" s="8"/>
      <c r="E250" s="8"/>
      <c r="F250" s="8"/>
      <c r="G250" s="8"/>
      <c r="H250" s="8"/>
      <c r="I250" s="8"/>
      <c r="J250" s="8"/>
      <c r="K250" s="8"/>
      <c r="L250" s="8"/>
      <c r="M250" s="8"/>
      <c r="N250" s="8"/>
      <c r="O250" s="8"/>
      <c r="P250" s="8"/>
      <c r="Q250" s="8"/>
      <c r="R250" s="8"/>
      <c r="S250" s="8"/>
      <c r="T250" s="8"/>
      <c r="U250" s="8"/>
      <c r="V250" s="8"/>
    </row>
    <row r="251" spans="1:22" ht="13.5" customHeight="1">
      <c r="A251" s="8"/>
      <c r="B251" s="8"/>
      <c r="C251" s="30"/>
      <c r="D251" s="8"/>
      <c r="E251" s="8"/>
      <c r="F251" s="8"/>
      <c r="G251" s="8"/>
      <c r="H251" s="8"/>
      <c r="I251" s="8"/>
      <c r="J251" s="8"/>
      <c r="K251" s="8"/>
      <c r="L251" s="8"/>
      <c r="M251" s="8"/>
      <c r="N251" s="8"/>
      <c r="O251" s="8"/>
      <c r="P251" s="8"/>
      <c r="Q251" s="8"/>
      <c r="R251" s="8"/>
      <c r="S251" s="8"/>
      <c r="T251" s="8"/>
      <c r="U251" s="8"/>
      <c r="V251" s="8"/>
    </row>
    <row r="252" spans="1:22" ht="13.5" customHeight="1">
      <c r="A252" s="8"/>
      <c r="B252" s="8"/>
      <c r="C252" s="30"/>
      <c r="D252" s="8"/>
      <c r="E252" s="8"/>
      <c r="F252" s="8"/>
      <c r="G252" s="8"/>
      <c r="H252" s="8"/>
      <c r="I252" s="8"/>
      <c r="J252" s="8"/>
      <c r="K252" s="8"/>
      <c r="L252" s="8"/>
      <c r="M252" s="8"/>
      <c r="N252" s="8"/>
      <c r="O252" s="8"/>
      <c r="P252" s="8"/>
      <c r="Q252" s="8"/>
      <c r="R252" s="8"/>
      <c r="S252" s="8"/>
      <c r="T252" s="8"/>
      <c r="U252" s="8"/>
      <c r="V252" s="8"/>
    </row>
    <row r="253" spans="1:22" ht="13.5" customHeight="1">
      <c r="A253" s="8"/>
      <c r="B253" s="8"/>
      <c r="C253" s="30"/>
      <c r="D253" s="8"/>
      <c r="E253" s="8"/>
      <c r="F253" s="8"/>
      <c r="G253" s="8"/>
      <c r="H253" s="8"/>
      <c r="I253" s="8"/>
      <c r="J253" s="8"/>
      <c r="K253" s="8"/>
      <c r="L253" s="8"/>
      <c r="M253" s="8"/>
      <c r="N253" s="8"/>
      <c r="O253" s="8"/>
      <c r="P253" s="8"/>
      <c r="Q253" s="8"/>
      <c r="R253" s="8"/>
      <c r="S253" s="8"/>
      <c r="T253" s="8"/>
      <c r="U253" s="8"/>
      <c r="V253" s="8"/>
    </row>
    <row r="254" spans="1:22" ht="13.5" customHeight="1">
      <c r="A254" s="8"/>
      <c r="B254" s="8"/>
      <c r="C254" s="30"/>
      <c r="D254" s="8"/>
      <c r="E254" s="8"/>
      <c r="F254" s="8"/>
      <c r="G254" s="8"/>
      <c r="H254" s="8"/>
      <c r="I254" s="8"/>
      <c r="J254" s="8"/>
      <c r="K254" s="8"/>
      <c r="L254" s="8"/>
      <c r="M254" s="8"/>
      <c r="N254" s="8"/>
      <c r="O254" s="8"/>
      <c r="P254" s="8"/>
      <c r="Q254" s="8"/>
      <c r="R254" s="8"/>
      <c r="S254" s="8"/>
      <c r="T254" s="8"/>
      <c r="U254" s="8"/>
      <c r="V254" s="8"/>
    </row>
    <row r="255" spans="1:22" ht="13.5" customHeight="1">
      <c r="A255" s="8"/>
      <c r="B255" s="8"/>
      <c r="C255" s="30"/>
      <c r="D255" s="8"/>
      <c r="E255" s="8"/>
      <c r="F255" s="8"/>
      <c r="G255" s="8"/>
      <c r="H255" s="8"/>
      <c r="I255" s="8"/>
      <c r="J255" s="8"/>
      <c r="K255" s="8"/>
      <c r="L255" s="8"/>
      <c r="M255" s="8"/>
      <c r="N255" s="8"/>
      <c r="O255" s="8"/>
      <c r="P255" s="8"/>
      <c r="Q255" s="8"/>
      <c r="R255" s="8"/>
      <c r="S255" s="8"/>
      <c r="T255" s="8"/>
      <c r="U255" s="8"/>
      <c r="V255" s="8"/>
    </row>
    <row r="256" spans="1:22" ht="13.5" customHeight="1">
      <c r="A256" s="8"/>
      <c r="B256" s="8"/>
      <c r="C256" s="30"/>
      <c r="D256" s="8"/>
      <c r="E256" s="8"/>
      <c r="F256" s="8"/>
      <c r="G256" s="8"/>
      <c r="H256" s="8"/>
      <c r="I256" s="8"/>
      <c r="J256" s="8"/>
      <c r="K256" s="8"/>
      <c r="L256" s="8"/>
      <c r="M256" s="8"/>
      <c r="N256" s="8"/>
      <c r="O256" s="8"/>
      <c r="P256" s="8"/>
      <c r="Q256" s="8"/>
      <c r="R256" s="8"/>
      <c r="S256" s="8"/>
      <c r="T256" s="8"/>
      <c r="U256" s="8"/>
      <c r="V256" s="8"/>
    </row>
    <row r="257" spans="1:22" ht="13.5" customHeight="1">
      <c r="A257" s="8"/>
      <c r="B257" s="8"/>
      <c r="C257" s="30"/>
      <c r="D257" s="8"/>
      <c r="E257" s="8"/>
      <c r="F257" s="8"/>
      <c r="G257" s="8"/>
      <c r="H257" s="8"/>
      <c r="I257" s="8"/>
      <c r="J257" s="8"/>
      <c r="K257" s="8"/>
      <c r="L257" s="8"/>
      <c r="M257" s="8"/>
      <c r="N257" s="8"/>
      <c r="O257" s="8"/>
      <c r="P257" s="8"/>
      <c r="Q257" s="8"/>
      <c r="R257" s="8"/>
      <c r="S257" s="8"/>
      <c r="T257" s="8"/>
      <c r="U257" s="8"/>
      <c r="V257" s="8"/>
    </row>
    <row r="258" spans="1:22" ht="13.5" customHeight="1">
      <c r="A258" s="8"/>
      <c r="B258" s="8"/>
      <c r="C258" s="30"/>
      <c r="D258" s="8"/>
      <c r="E258" s="8"/>
      <c r="F258" s="8"/>
      <c r="G258" s="8"/>
      <c r="H258" s="8"/>
      <c r="I258" s="8"/>
      <c r="J258" s="8"/>
      <c r="K258" s="8"/>
      <c r="L258" s="8"/>
      <c r="M258" s="8"/>
      <c r="N258" s="8"/>
      <c r="O258" s="8"/>
      <c r="P258" s="8"/>
      <c r="Q258" s="8"/>
      <c r="R258" s="8"/>
      <c r="S258" s="8"/>
      <c r="T258" s="8"/>
      <c r="U258" s="8"/>
      <c r="V258" s="8"/>
    </row>
    <row r="259" spans="1:22" ht="13.5" customHeight="1">
      <c r="A259" s="8"/>
      <c r="B259" s="8"/>
      <c r="C259" s="30"/>
      <c r="D259" s="8"/>
      <c r="E259" s="8"/>
      <c r="F259" s="8"/>
      <c r="G259" s="8"/>
      <c r="H259" s="8"/>
      <c r="I259" s="8"/>
      <c r="J259" s="8"/>
      <c r="K259" s="8"/>
      <c r="L259" s="8"/>
      <c r="M259" s="8"/>
      <c r="N259" s="8"/>
      <c r="O259" s="8"/>
      <c r="P259" s="8"/>
      <c r="Q259" s="8"/>
      <c r="R259" s="8"/>
      <c r="S259" s="8"/>
      <c r="T259" s="8"/>
      <c r="U259" s="8"/>
      <c r="V259" s="8"/>
    </row>
    <row r="260" spans="1:22" ht="13.5" customHeight="1">
      <c r="A260" s="8"/>
      <c r="B260" s="8"/>
      <c r="C260" s="30"/>
      <c r="D260" s="8"/>
      <c r="E260" s="8"/>
      <c r="F260" s="8"/>
      <c r="G260" s="8"/>
      <c r="H260" s="8"/>
      <c r="I260" s="8"/>
      <c r="J260" s="8"/>
      <c r="K260" s="8"/>
      <c r="L260" s="8"/>
      <c r="M260" s="8"/>
      <c r="N260" s="8"/>
      <c r="O260" s="8"/>
      <c r="P260" s="8"/>
      <c r="Q260" s="8"/>
      <c r="R260" s="8"/>
      <c r="S260" s="8"/>
      <c r="T260" s="8"/>
      <c r="U260" s="8"/>
      <c r="V260" s="8"/>
    </row>
    <row r="261" spans="1:22" ht="13.5" customHeight="1">
      <c r="A261" s="8"/>
      <c r="B261" s="8"/>
      <c r="C261" s="30"/>
      <c r="D261" s="8"/>
      <c r="E261" s="8"/>
      <c r="F261" s="8"/>
      <c r="G261" s="8"/>
      <c r="H261" s="8"/>
      <c r="I261" s="8"/>
      <c r="J261" s="8"/>
      <c r="K261" s="8"/>
      <c r="L261" s="8"/>
      <c r="M261" s="8"/>
      <c r="N261" s="8"/>
      <c r="O261" s="8"/>
      <c r="P261" s="8"/>
      <c r="Q261" s="8"/>
      <c r="R261" s="8"/>
      <c r="S261" s="8"/>
      <c r="T261" s="8"/>
      <c r="U261" s="8"/>
      <c r="V261" s="8"/>
    </row>
    <row r="262" spans="1:22" ht="13.5" customHeight="1">
      <c r="A262" s="8"/>
      <c r="B262" s="8"/>
      <c r="C262" s="30"/>
      <c r="D262" s="8"/>
      <c r="E262" s="8"/>
      <c r="F262" s="8"/>
      <c r="G262" s="8"/>
      <c r="H262" s="8"/>
      <c r="I262" s="8"/>
      <c r="J262" s="8"/>
      <c r="K262" s="8"/>
      <c r="L262" s="8"/>
      <c r="M262" s="8"/>
      <c r="N262" s="8"/>
      <c r="O262" s="8"/>
      <c r="P262" s="8"/>
      <c r="Q262" s="8"/>
      <c r="R262" s="8"/>
      <c r="S262" s="8"/>
      <c r="T262" s="8"/>
      <c r="U262" s="8"/>
      <c r="V262" s="8"/>
    </row>
    <row r="263" spans="1:22" ht="13.5" customHeight="1">
      <c r="A263" s="8"/>
      <c r="B263" s="8"/>
      <c r="C263" s="30"/>
      <c r="D263" s="8"/>
      <c r="E263" s="8"/>
      <c r="F263" s="8"/>
      <c r="G263" s="8"/>
      <c r="H263" s="8"/>
      <c r="I263" s="8"/>
      <c r="J263" s="8"/>
      <c r="K263" s="8"/>
      <c r="L263" s="8"/>
      <c r="M263" s="8"/>
      <c r="N263" s="8"/>
      <c r="O263" s="8"/>
      <c r="P263" s="8"/>
      <c r="Q263" s="8"/>
      <c r="R263" s="8"/>
      <c r="S263" s="8"/>
      <c r="T263" s="8"/>
      <c r="U263" s="8"/>
      <c r="V263" s="8"/>
    </row>
    <row r="264" spans="1:22" ht="13.5" customHeight="1">
      <c r="A264" s="8"/>
      <c r="B264" s="8"/>
      <c r="C264" s="30"/>
      <c r="D264" s="8"/>
      <c r="E264" s="8"/>
      <c r="F264" s="8"/>
      <c r="G264" s="8"/>
      <c r="H264" s="8"/>
      <c r="I264" s="8"/>
      <c r="J264" s="8"/>
      <c r="K264" s="8"/>
      <c r="L264" s="8"/>
      <c r="M264" s="8"/>
      <c r="N264" s="8"/>
      <c r="O264" s="8"/>
      <c r="P264" s="8"/>
      <c r="Q264" s="8"/>
      <c r="R264" s="8"/>
      <c r="S264" s="8"/>
      <c r="T264" s="8"/>
      <c r="U264" s="8"/>
      <c r="V264" s="8"/>
    </row>
    <row r="265" spans="1:22" ht="13.5" customHeight="1">
      <c r="A265" s="8"/>
      <c r="B265" s="8"/>
      <c r="C265" s="30"/>
      <c r="D265" s="8"/>
      <c r="E265" s="8"/>
      <c r="F265" s="8"/>
      <c r="G265" s="8"/>
      <c r="H265" s="8"/>
      <c r="I265" s="8"/>
      <c r="J265" s="8"/>
      <c r="K265" s="8"/>
      <c r="L265" s="8"/>
      <c r="M265" s="8"/>
      <c r="N265" s="8"/>
      <c r="O265" s="8"/>
      <c r="P265" s="8"/>
      <c r="Q265" s="8"/>
      <c r="R265" s="8"/>
      <c r="S265" s="8"/>
      <c r="T265" s="8"/>
      <c r="U265" s="8"/>
      <c r="V265" s="8"/>
    </row>
    <row r="266" spans="1:22" ht="13.5" customHeight="1">
      <c r="A266" s="8"/>
      <c r="B266" s="8"/>
      <c r="C266" s="30"/>
      <c r="D266" s="8"/>
      <c r="E266" s="8"/>
      <c r="F266" s="8"/>
      <c r="G266" s="8"/>
      <c r="H266" s="8"/>
      <c r="I266" s="8"/>
      <c r="J266" s="8"/>
      <c r="K266" s="8"/>
      <c r="L266" s="8"/>
      <c r="M266" s="8"/>
      <c r="N266" s="8"/>
      <c r="O266" s="8"/>
      <c r="P266" s="8"/>
      <c r="Q266" s="8"/>
      <c r="R266" s="8"/>
      <c r="S266" s="8"/>
      <c r="T266" s="8"/>
      <c r="U266" s="8"/>
      <c r="V266" s="8"/>
    </row>
    <row r="267" spans="1:22" ht="13.5" customHeight="1">
      <c r="A267" s="8"/>
      <c r="B267" s="8"/>
      <c r="C267" s="30"/>
      <c r="D267" s="8"/>
      <c r="E267" s="8"/>
      <c r="F267" s="8"/>
      <c r="G267" s="8"/>
      <c r="H267" s="8"/>
      <c r="I267" s="8"/>
      <c r="J267" s="8"/>
      <c r="K267" s="8"/>
      <c r="L267" s="8"/>
      <c r="M267" s="8"/>
      <c r="N267" s="8"/>
      <c r="O267" s="8"/>
      <c r="P267" s="8"/>
      <c r="Q267" s="8"/>
      <c r="R267" s="8"/>
      <c r="S267" s="8"/>
      <c r="T267" s="8"/>
      <c r="U267" s="8"/>
      <c r="V267" s="8"/>
    </row>
    <row r="268" spans="1:22" ht="13.5" customHeight="1">
      <c r="A268" s="8"/>
      <c r="B268" s="8"/>
      <c r="C268" s="30"/>
      <c r="D268" s="8"/>
      <c r="E268" s="8"/>
      <c r="F268" s="8"/>
      <c r="G268" s="8"/>
      <c r="H268" s="8"/>
      <c r="I268" s="8"/>
      <c r="J268" s="8"/>
      <c r="K268" s="8"/>
      <c r="L268" s="8"/>
      <c r="M268" s="8"/>
      <c r="N268" s="8"/>
      <c r="O268" s="8"/>
      <c r="P268" s="8"/>
      <c r="Q268" s="8"/>
      <c r="R268" s="8"/>
      <c r="S268" s="8"/>
      <c r="T268" s="8"/>
      <c r="U268" s="8"/>
      <c r="V268" s="8"/>
    </row>
    <row r="269" spans="1:22" ht="13.5" customHeight="1">
      <c r="A269" s="8"/>
      <c r="B269" s="8"/>
      <c r="C269" s="30"/>
      <c r="D269" s="8"/>
      <c r="E269" s="8"/>
      <c r="F269" s="8"/>
      <c r="G269" s="8"/>
      <c r="H269" s="8"/>
      <c r="I269" s="8"/>
      <c r="J269" s="8"/>
      <c r="K269" s="8"/>
      <c r="L269" s="8"/>
      <c r="M269" s="8"/>
      <c r="N269" s="8"/>
      <c r="O269" s="8"/>
      <c r="P269" s="8"/>
      <c r="Q269" s="8"/>
      <c r="R269" s="8"/>
      <c r="S269" s="8"/>
      <c r="T269" s="8"/>
      <c r="U269" s="8"/>
      <c r="V269" s="8"/>
    </row>
    <row r="270" spans="1:22" ht="13.5" customHeight="1">
      <c r="A270" s="8"/>
      <c r="B270" s="8"/>
      <c r="C270" s="30"/>
      <c r="D270" s="8"/>
      <c r="E270" s="8"/>
      <c r="F270" s="8"/>
      <c r="G270" s="8"/>
      <c r="H270" s="8"/>
      <c r="I270" s="8"/>
      <c r="J270" s="8"/>
      <c r="K270" s="8"/>
      <c r="L270" s="8"/>
      <c r="M270" s="8"/>
      <c r="N270" s="8"/>
      <c r="O270" s="8"/>
      <c r="P270" s="8"/>
      <c r="Q270" s="8"/>
      <c r="R270" s="8"/>
      <c r="S270" s="8"/>
      <c r="T270" s="8"/>
      <c r="U270" s="8"/>
      <c r="V270" s="8"/>
    </row>
    <row r="271" spans="1:22" ht="13.5" customHeight="1">
      <c r="A271" s="8"/>
      <c r="B271" s="8"/>
      <c r="C271" s="30"/>
      <c r="D271" s="8"/>
      <c r="E271" s="8"/>
      <c r="F271" s="8"/>
      <c r="G271" s="8"/>
      <c r="H271" s="8"/>
      <c r="I271" s="8"/>
      <c r="J271" s="8"/>
      <c r="K271" s="8"/>
      <c r="L271" s="8"/>
      <c r="M271" s="8"/>
      <c r="N271" s="8"/>
      <c r="O271" s="8"/>
      <c r="P271" s="8"/>
      <c r="Q271" s="8"/>
      <c r="R271" s="8"/>
      <c r="S271" s="8"/>
      <c r="T271" s="8"/>
      <c r="U271" s="8"/>
      <c r="V271" s="8"/>
    </row>
    <row r="272" spans="1:22" ht="13.5" customHeight="1">
      <c r="A272" s="8"/>
      <c r="B272" s="8"/>
      <c r="C272" s="30"/>
      <c r="D272" s="8"/>
      <c r="E272" s="8"/>
      <c r="F272" s="8"/>
      <c r="G272" s="8"/>
      <c r="H272" s="8"/>
      <c r="I272" s="8"/>
      <c r="J272" s="8"/>
      <c r="K272" s="8"/>
      <c r="L272" s="8"/>
      <c r="M272" s="8"/>
      <c r="N272" s="8"/>
      <c r="O272" s="8"/>
      <c r="P272" s="8"/>
      <c r="Q272" s="8"/>
      <c r="R272" s="8"/>
      <c r="S272" s="8"/>
      <c r="T272" s="8"/>
      <c r="U272" s="8"/>
      <c r="V272" s="8"/>
    </row>
    <row r="273" spans="1:22" ht="13.5" customHeight="1">
      <c r="A273" s="8"/>
      <c r="B273" s="8"/>
      <c r="C273" s="30"/>
      <c r="D273" s="8"/>
      <c r="E273" s="8"/>
      <c r="F273" s="8"/>
      <c r="G273" s="8"/>
      <c r="H273" s="8"/>
      <c r="I273" s="8"/>
      <c r="J273" s="8"/>
      <c r="K273" s="8"/>
      <c r="L273" s="8"/>
      <c r="M273" s="8"/>
      <c r="N273" s="8"/>
      <c r="O273" s="8"/>
      <c r="P273" s="8"/>
      <c r="Q273" s="8"/>
      <c r="R273" s="8"/>
      <c r="S273" s="8"/>
      <c r="T273" s="8"/>
      <c r="U273" s="8"/>
      <c r="V273" s="8"/>
    </row>
    <row r="274" spans="1:22" ht="13.5" customHeight="1">
      <c r="A274" s="8"/>
      <c r="B274" s="8"/>
      <c r="C274" s="30"/>
      <c r="D274" s="8"/>
      <c r="E274" s="8"/>
      <c r="F274" s="8"/>
      <c r="G274" s="8"/>
      <c r="H274" s="8"/>
      <c r="I274" s="8"/>
      <c r="J274" s="8"/>
      <c r="K274" s="8"/>
      <c r="L274" s="8"/>
      <c r="M274" s="8"/>
      <c r="N274" s="8"/>
      <c r="O274" s="8"/>
      <c r="P274" s="8"/>
      <c r="Q274" s="8"/>
      <c r="R274" s="8"/>
      <c r="S274" s="8"/>
      <c r="T274" s="8"/>
      <c r="U274" s="8"/>
      <c r="V274" s="8"/>
    </row>
    <row r="275" spans="1:22" ht="13.5" customHeight="1">
      <c r="A275" s="8"/>
      <c r="B275" s="8"/>
      <c r="C275" s="30"/>
      <c r="D275" s="8"/>
      <c r="E275" s="8"/>
      <c r="F275" s="8"/>
      <c r="G275" s="8"/>
      <c r="H275" s="8"/>
      <c r="I275" s="8"/>
      <c r="J275" s="8"/>
      <c r="K275" s="8"/>
      <c r="L275" s="8"/>
      <c r="M275" s="8"/>
      <c r="N275" s="8"/>
      <c r="O275" s="8"/>
      <c r="P275" s="8"/>
      <c r="Q275" s="8"/>
      <c r="R275" s="8"/>
      <c r="S275" s="8"/>
      <c r="T275" s="8"/>
      <c r="U275" s="8"/>
      <c r="V275" s="8"/>
    </row>
    <row r="276" spans="1:22" ht="13.5" customHeight="1">
      <c r="A276" s="8"/>
      <c r="B276" s="8"/>
      <c r="C276" s="30"/>
      <c r="D276" s="8"/>
      <c r="E276" s="8"/>
      <c r="F276" s="8"/>
      <c r="G276" s="8"/>
      <c r="H276" s="8"/>
      <c r="I276" s="8"/>
      <c r="J276" s="8"/>
      <c r="K276" s="8"/>
      <c r="L276" s="8"/>
      <c r="M276" s="8"/>
      <c r="N276" s="8"/>
      <c r="O276" s="8"/>
      <c r="P276" s="8"/>
      <c r="Q276" s="8"/>
      <c r="R276" s="8"/>
      <c r="S276" s="8"/>
      <c r="T276" s="8"/>
      <c r="U276" s="8"/>
      <c r="V276" s="8"/>
    </row>
    <row r="277" spans="1:22" ht="13.5" customHeight="1">
      <c r="A277" s="8"/>
      <c r="B277" s="8"/>
      <c r="C277" s="30"/>
      <c r="D277" s="8"/>
      <c r="E277" s="8"/>
      <c r="F277" s="8"/>
      <c r="G277" s="8"/>
      <c r="H277" s="8"/>
      <c r="I277" s="8"/>
      <c r="J277" s="8"/>
      <c r="K277" s="8"/>
      <c r="L277" s="8"/>
      <c r="M277" s="8"/>
      <c r="N277" s="8"/>
      <c r="O277" s="8"/>
      <c r="P277" s="8"/>
      <c r="Q277" s="8"/>
      <c r="R277" s="8"/>
      <c r="S277" s="8"/>
      <c r="T277" s="8"/>
      <c r="U277" s="8"/>
      <c r="V277" s="8"/>
    </row>
    <row r="278" spans="1:22" ht="13.5" customHeight="1">
      <c r="A278" s="8"/>
      <c r="B278" s="8"/>
      <c r="C278" s="30"/>
      <c r="D278" s="8"/>
      <c r="E278" s="8"/>
      <c r="F278" s="8"/>
      <c r="G278" s="8"/>
      <c r="H278" s="8"/>
      <c r="I278" s="8"/>
      <c r="J278" s="8"/>
      <c r="K278" s="8"/>
      <c r="L278" s="8"/>
      <c r="M278" s="8"/>
      <c r="N278" s="8"/>
      <c r="O278" s="8"/>
      <c r="P278" s="8"/>
      <c r="Q278" s="8"/>
      <c r="R278" s="8"/>
      <c r="S278" s="8"/>
      <c r="T278" s="8"/>
      <c r="U278" s="8"/>
      <c r="V278" s="8"/>
    </row>
    <row r="279" spans="1:22" ht="13.5" customHeight="1">
      <c r="A279" s="8"/>
      <c r="B279" s="8"/>
      <c r="C279" s="30"/>
      <c r="D279" s="8"/>
      <c r="E279" s="8"/>
      <c r="F279" s="8"/>
      <c r="G279" s="8"/>
      <c r="H279" s="8"/>
      <c r="I279" s="8"/>
      <c r="J279" s="8"/>
      <c r="K279" s="8"/>
      <c r="L279" s="8"/>
      <c r="M279" s="8"/>
      <c r="N279" s="8"/>
      <c r="O279" s="8"/>
      <c r="P279" s="8"/>
      <c r="Q279" s="8"/>
      <c r="R279" s="8"/>
      <c r="S279" s="8"/>
      <c r="T279" s="8"/>
      <c r="U279" s="8"/>
      <c r="V279" s="8"/>
    </row>
    <row r="280" spans="1:22" ht="13.5" customHeight="1">
      <c r="A280" s="8"/>
      <c r="B280" s="8"/>
      <c r="C280" s="30"/>
      <c r="D280" s="8"/>
      <c r="E280" s="8"/>
      <c r="F280" s="8"/>
      <c r="G280" s="8"/>
      <c r="H280" s="8"/>
      <c r="I280" s="8"/>
      <c r="J280" s="8"/>
      <c r="K280" s="8"/>
      <c r="L280" s="8"/>
      <c r="M280" s="8"/>
      <c r="N280" s="8"/>
      <c r="O280" s="8"/>
      <c r="P280" s="8"/>
      <c r="Q280" s="8"/>
      <c r="R280" s="8"/>
      <c r="S280" s="8"/>
      <c r="T280" s="8"/>
      <c r="U280" s="8"/>
      <c r="V280" s="8"/>
    </row>
    <row r="281" spans="1:22" ht="13.5" customHeight="1">
      <c r="A281" s="8"/>
      <c r="B281" s="8"/>
      <c r="C281" s="30"/>
      <c r="D281" s="8"/>
      <c r="E281" s="8"/>
      <c r="F281" s="8"/>
      <c r="G281" s="8"/>
      <c r="H281" s="8"/>
      <c r="I281" s="8"/>
      <c r="J281" s="8"/>
      <c r="K281" s="8"/>
      <c r="L281" s="8"/>
      <c r="M281" s="8"/>
      <c r="N281" s="8"/>
      <c r="O281" s="8"/>
      <c r="P281" s="8"/>
      <c r="Q281" s="8"/>
      <c r="R281" s="8"/>
      <c r="S281" s="8"/>
      <c r="T281" s="8"/>
      <c r="U281" s="8"/>
      <c r="V281" s="8"/>
    </row>
    <row r="282" spans="1:22" ht="13.5" customHeight="1">
      <c r="A282" s="8"/>
      <c r="B282" s="8"/>
      <c r="C282" s="30"/>
      <c r="D282" s="8"/>
      <c r="E282" s="8"/>
      <c r="F282" s="8"/>
      <c r="G282" s="8"/>
      <c r="H282" s="8"/>
      <c r="I282" s="8"/>
      <c r="J282" s="8"/>
      <c r="K282" s="8"/>
      <c r="L282" s="8"/>
      <c r="M282" s="8"/>
      <c r="N282" s="8"/>
      <c r="O282" s="8"/>
      <c r="P282" s="8"/>
      <c r="Q282" s="8"/>
      <c r="R282" s="8"/>
      <c r="S282" s="8"/>
      <c r="T282" s="8"/>
      <c r="U282" s="8"/>
      <c r="V282" s="8"/>
    </row>
    <row r="283" spans="1:22" ht="13.5" customHeight="1">
      <c r="A283" s="8"/>
      <c r="B283" s="8"/>
      <c r="C283" s="30"/>
      <c r="D283" s="8"/>
      <c r="E283" s="8"/>
      <c r="F283" s="8"/>
      <c r="G283" s="8"/>
      <c r="H283" s="8"/>
      <c r="I283" s="8"/>
      <c r="J283" s="8"/>
      <c r="K283" s="8"/>
      <c r="L283" s="8"/>
      <c r="M283" s="8"/>
      <c r="N283" s="8"/>
      <c r="O283" s="8"/>
      <c r="P283" s="8"/>
      <c r="Q283" s="8"/>
      <c r="R283" s="8"/>
      <c r="S283" s="8"/>
      <c r="T283" s="8"/>
      <c r="U283" s="8"/>
      <c r="V283" s="8"/>
    </row>
    <row r="284" spans="1:22" ht="13.5" customHeight="1">
      <c r="A284" s="8"/>
      <c r="B284" s="8"/>
      <c r="C284" s="30"/>
      <c r="D284" s="8"/>
      <c r="E284" s="8"/>
      <c r="F284" s="8"/>
      <c r="G284" s="8"/>
      <c r="H284" s="8"/>
      <c r="I284" s="8"/>
      <c r="J284" s="8"/>
      <c r="K284" s="8"/>
      <c r="L284" s="8"/>
      <c r="M284" s="8"/>
      <c r="N284" s="8"/>
      <c r="O284" s="8"/>
      <c r="P284" s="8"/>
      <c r="Q284" s="8"/>
      <c r="R284" s="8"/>
      <c r="S284" s="8"/>
      <c r="T284" s="8"/>
      <c r="U284" s="8"/>
      <c r="V284" s="8"/>
    </row>
    <row r="285" spans="1:22" ht="13.5" customHeight="1">
      <c r="A285" s="8"/>
      <c r="B285" s="8"/>
      <c r="C285" s="30"/>
      <c r="D285" s="8"/>
      <c r="E285" s="8"/>
      <c r="F285" s="8"/>
      <c r="G285" s="8"/>
      <c r="H285" s="8"/>
      <c r="I285" s="8"/>
      <c r="J285" s="8"/>
      <c r="K285" s="8"/>
      <c r="L285" s="8"/>
      <c r="M285" s="8"/>
      <c r="N285" s="8"/>
      <c r="O285" s="8"/>
      <c r="P285" s="8"/>
      <c r="Q285" s="8"/>
      <c r="R285" s="8"/>
      <c r="S285" s="8"/>
      <c r="T285" s="8"/>
      <c r="U285" s="8"/>
      <c r="V285" s="8"/>
    </row>
    <row r="286" spans="1:22" ht="13.5" customHeight="1">
      <c r="A286" s="8"/>
      <c r="B286" s="8"/>
      <c r="C286" s="30"/>
      <c r="D286" s="8"/>
      <c r="E286" s="8"/>
      <c r="F286" s="8"/>
      <c r="G286" s="8"/>
      <c r="H286" s="8"/>
      <c r="I286" s="8"/>
      <c r="J286" s="8"/>
      <c r="K286" s="8"/>
      <c r="L286" s="8"/>
      <c r="M286" s="8"/>
      <c r="N286" s="8"/>
      <c r="O286" s="8"/>
      <c r="P286" s="8"/>
      <c r="Q286" s="8"/>
      <c r="R286" s="8"/>
      <c r="S286" s="8"/>
      <c r="T286" s="8"/>
      <c r="U286" s="8"/>
      <c r="V286" s="8"/>
    </row>
    <row r="287" spans="1:22" ht="13.5" customHeight="1">
      <c r="A287" s="8"/>
      <c r="B287" s="8"/>
      <c r="C287" s="30"/>
      <c r="D287" s="8"/>
      <c r="E287" s="8"/>
      <c r="F287" s="8"/>
      <c r="G287" s="8"/>
      <c r="H287" s="8"/>
      <c r="I287" s="8"/>
      <c r="J287" s="8"/>
      <c r="K287" s="8"/>
      <c r="L287" s="8"/>
      <c r="M287" s="8"/>
      <c r="N287" s="8"/>
      <c r="O287" s="8"/>
      <c r="P287" s="8"/>
      <c r="Q287" s="8"/>
      <c r="R287" s="8"/>
      <c r="S287" s="8"/>
      <c r="T287" s="8"/>
      <c r="U287" s="8"/>
      <c r="V287" s="8"/>
    </row>
    <row r="288" spans="1:22" ht="13.5" customHeight="1">
      <c r="A288" s="8"/>
      <c r="B288" s="8"/>
      <c r="C288" s="30"/>
      <c r="D288" s="8"/>
      <c r="E288" s="8"/>
      <c r="F288" s="8"/>
      <c r="G288" s="8"/>
      <c r="H288" s="8"/>
      <c r="I288" s="8"/>
      <c r="J288" s="8"/>
      <c r="K288" s="8"/>
      <c r="L288" s="8"/>
      <c r="M288" s="8"/>
      <c r="N288" s="8"/>
      <c r="O288" s="8"/>
      <c r="P288" s="8"/>
      <c r="Q288" s="8"/>
      <c r="R288" s="8"/>
      <c r="S288" s="8"/>
      <c r="T288" s="8"/>
      <c r="U288" s="8"/>
      <c r="V288" s="8"/>
    </row>
    <row r="289" spans="1:22" ht="13.5" customHeight="1">
      <c r="A289" s="8"/>
      <c r="B289" s="8"/>
      <c r="C289" s="30"/>
      <c r="D289" s="8"/>
      <c r="E289" s="8"/>
      <c r="F289" s="8"/>
      <c r="G289" s="8"/>
      <c r="H289" s="8"/>
      <c r="I289" s="8"/>
      <c r="J289" s="8"/>
      <c r="K289" s="8"/>
      <c r="L289" s="8"/>
      <c r="M289" s="8"/>
      <c r="N289" s="8"/>
      <c r="O289" s="8"/>
      <c r="P289" s="8"/>
      <c r="Q289" s="8"/>
      <c r="R289" s="8"/>
      <c r="S289" s="8"/>
      <c r="T289" s="8"/>
      <c r="U289" s="8"/>
      <c r="V289" s="8"/>
    </row>
    <row r="290" spans="1:22" ht="13.5" customHeight="1">
      <c r="A290" s="8"/>
      <c r="B290" s="8"/>
      <c r="C290" s="30"/>
      <c r="D290" s="8"/>
      <c r="E290" s="8"/>
      <c r="F290" s="8"/>
      <c r="G290" s="8"/>
      <c r="H290" s="8"/>
      <c r="I290" s="8"/>
      <c r="J290" s="8"/>
      <c r="K290" s="8"/>
      <c r="L290" s="8"/>
      <c r="M290" s="8"/>
      <c r="N290" s="8"/>
      <c r="O290" s="8"/>
      <c r="P290" s="8"/>
      <c r="Q290" s="8"/>
      <c r="R290" s="8"/>
      <c r="S290" s="8"/>
      <c r="T290" s="8"/>
      <c r="U290" s="8"/>
      <c r="V290" s="8"/>
    </row>
    <row r="291" spans="1:22" ht="13.5" customHeight="1">
      <c r="A291" s="8"/>
      <c r="B291" s="8"/>
      <c r="C291" s="30"/>
      <c r="D291" s="8"/>
      <c r="E291" s="8"/>
      <c r="F291" s="8"/>
      <c r="G291" s="8"/>
      <c r="H291" s="8"/>
      <c r="I291" s="8"/>
      <c r="J291" s="8"/>
      <c r="K291" s="8"/>
      <c r="L291" s="8"/>
      <c r="M291" s="8"/>
      <c r="N291" s="8"/>
      <c r="O291" s="8"/>
      <c r="P291" s="8"/>
      <c r="Q291" s="8"/>
      <c r="R291" s="8"/>
      <c r="S291" s="8"/>
      <c r="T291" s="8"/>
      <c r="U291" s="8"/>
      <c r="V291" s="8"/>
    </row>
    <row r="292" spans="1:22" ht="13.5" customHeight="1">
      <c r="A292" s="8"/>
      <c r="B292" s="8"/>
      <c r="C292" s="30"/>
      <c r="D292" s="8"/>
      <c r="E292" s="8"/>
      <c r="F292" s="8"/>
      <c r="G292" s="8"/>
      <c r="H292" s="8"/>
      <c r="I292" s="8"/>
      <c r="J292" s="8"/>
      <c r="K292" s="8"/>
      <c r="L292" s="8"/>
      <c r="M292" s="8"/>
      <c r="N292" s="8"/>
      <c r="O292" s="8"/>
      <c r="P292" s="8"/>
      <c r="Q292" s="8"/>
      <c r="R292" s="8"/>
      <c r="S292" s="8"/>
      <c r="T292" s="8"/>
      <c r="U292" s="8"/>
      <c r="V292" s="8"/>
    </row>
    <row r="293" spans="1:22" ht="13.5" customHeight="1">
      <c r="A293" s="8"/>
      <c r="B293" s="8"/>
      <c r="C293" s="30"/>
      <c r="D293" s="8"/>
      <c r="E293" s="8"/>
      <c r="F293" s="8"/>
      <c r="G293" s="8"/>
      <c r="H293" s="8"/>
      <c r="I293" s="8"/>
      <c r="J293" s="8"/>
      <c r="K293" s="8"/>
      <c r="L293" s="8"/>
      <c r="M293" s="8"/>
      <c r="N293" s="8"/>
      <c r="O293" s="8"/>
      <c r="P293" s="8"/>
      <c r="Q293" s="8"/>
      <c r="R293" s="8"/>
      <c r="S293" s="8"/>
      <c r="T293" s="8"/>
      <c r="U293" s="8"/>
      <c r="V293" s="8"/>
    </row>
    <row r="294" spans="1:22" ht="13.5" customHeight="1">
      <c r="A294" s="8"/>
      <c r="B294" s="8"/>
      <c r="C294" s="30"/>
      <c r="D294" s="8"/>
      <c r="E294" s="8"/>
      <c r="F294" s="8"/>
      <c r="G294" s="8"/>
      <c r="H294" s="8"/>
      <c r="I294" s="8"/>
      <c r="J294" s="8"/>
      <c r="K294" s="8"/>
      <c r="L294" s="8"/>
      <c r="M294" s="8"/>
      <c r="N294" s="8"/>
      <c r="O294" s="8"/>
      <c r="P294" s="8"/>
      <c r="Q294" s="8"/>
      <c r="R294" s="8"/>
      <c r="S294" s="8"/>
      <c r="T294" s="8"/>
      <c r="U294" s="8"/>
      <c r="V294" s="8"/>
    </row>
    <row r="295" spans="1:22" ht="13.5" customHeight="1">
      <c r="A295" s="8"/>
      <c r="B295" s="8"/>
      <c r="C295" s="30"/>
      <c r="D295" s="8"/>
      <c r="E295" s="8"/>
      <c r="F295" s="8"/>
      <c r="G295" s="8"/>
      <c r="H295" s="8"/>
      <c r="I295" s="8"/>
      <c r="J295" s="8"/>
      <c r="K295" s="8"/>
      <c r="L295" s="8"/>
      <c r="M295" s="8"/>
      <c r="N295" s="8"/>
      <c r="O295" s="8"/>
      <c r="P295" s="8"/>
      <c r="Q295" s="8"/>
      <c r="R295" s="8"/>
      <c r="S295" s="8"/>
      <c r="T295" s="8"/>
      <c r="U295" s="8"/>
      <c r="V295" s="8"/>
    </row>
    <row r="296" spans="1:22" ht="13.5" customHeight="1">
      <c r="A296" s="8"/>
      <c r="B296" s="8"/>
      <c r="C296" s="30"/>
      <c r="D296" s="8"/>
      <c r="E296" s="8"/>
      <c r="F296" s="8"/>
      <c r="G296" s="8"/>
      <c r="H296" s="8"/>
      <c r="I296" s="8"/>
      <c r="J296" s="8"/>
      <c r="K296" s="8"/>
      <c r="L296" s="8"/>
      <c r="M296" s="8"/>
      <c r="N296" s="8"/>
      <c r="O296" s="8"/>
      <c r="P296" s="8"/>
      <c r="Q296" s="8"/>
      <c r="R296" s="8"/>
      <c r="S296" s="8"/>
      <c r="T296" s="8"/>
      <c r="U296" s="8"/>
      <c r="V296" s="8"/>
    </row>
    <row r="297" spans="1:22" ht="13.5" customHeight="1">
      <c r="A297" s="8"/>
      <c r="B297" s="8"/>
      <c r="C297" s="30"/>
      <c r="D297" s="8"/>
      <c r="E297" s="8"/>
      <c r="F297" s="8"/>
      <c r="G297" s="8"/>
      <c r="H297" s="8"/>
      <c r="I297" s="8"/>
      <c r="J297" s="8"/>
      <c r="K297" s="8"/>
      <c r="L297" s="8"/>
      <c r="M297" s="8"/>
      <c r="N297" s="8"/>
      <c r="O297" s="8"/>
      <c r="P297" s="8"/>
      <c r="Q297" s="8"/>
      <c r="R297" s="8"/>
      <c r="S297" s="8"/>
      <c r="T297" s="8"/>
      <c r="U297" s="8"/>
      <c r="V297" s="8"/>
    </row>
    <row r="298" spans="1:22" ht="13.5" customHeight="1">
      <c r="A298" s="8"/>
      <c r="B298" s="8"/>
      <c r="C298" s="30"/>
      <c r="D298" s="8"/>
      <c r="E298" s="8"/>
      <c r="F298" s="8"/>
      <c r="G298" s="8"/>
      <c r="H298" s="8"/>
      <c r="I298" s="8"/>
      <c r="J298" s="8"/>
      <c r="K298" s="8"/>
      <c r="L298" s="8"/>
      <c r="M298" s="8"/>
      <c r="N298" s="8"/>
      <c r="O298" s="8"/>
      <c r="P298" s="8"/>
      <c r="Q298" s="8"/>
      <c r="R298" s="8"/>
      <c r="S298" s="8"/>
      <c r="T298" s="8"/>
      <c r="U298" s="8"/>
      <c r="V298" s="8"/>
    </row>
    <row r="299" spans="1:22" ht="13.5" customHeight="1">
      <c r="A299" s="8"/>
      <c r="B299" s="8"/>
      <c r="C299" s="30"/>
      <c r="D299" s="8"/>
      <c r="E299" s="8"/>
      <c r="F299" s="8"/>
      <c r="G299" s="8"/>
      <c r="H299" s="8"/>
      <c r="I299" s="8"/>
      <c r="J299" s="8"/>
      <c r="K299" s="8"/>
      <c r="L299" s="8"/>
      <c r="M299" s="8"/>
      <c r="N299" s="8"/>
      <c r="O299" s="8"/>
      <c r="P299" s="8"/>
      <c r="Q299" s="8"/>
      <c r="R299" s="8"/>
      <c r="S299" s="8"/>
      <c r="T299" s="8"/>
      <c r="U299" s="8"/>
      <c r="V299" s="8"/>
    </row>
    <row r="300" spans="1:22" ht="13.5" customHeight="1">
      <c r="A300" s="8"/>
      <c r="B300" s="8"/>
      <c r="C300" s="30"/>
      <c r="D300" s="8"/>
      <c r="E300" s="8"/>
      <c r="F300" s="8"/>
      <c r="G300" s="8"/>
      <c r="H300" s="8"/>
      <c r="I300" s="8"/>
      <c r="J300" s="8"/>
      <c r="K300" s="8"/>
      <c r="L300" s="8"/>
      <c r="M300" s="8"/>
      <c r="N300" s="8"/>
      <c r="O300" s="8"/>
      <c r="P300" s="8"/>
      <c r="Q300" s="8"/>
      <c r="R300" s="8"/>
      <c r="S300" s="8"/>
      <c r="T300" s="8"/>
      <c r="U300" s="8"/>
      <c r="V300" s="8"/>
    </row>
    <row r="301" spans="1:22" ht="13.5" customHeight="1">
      <c r="A301" s="8"/>
      <c r="B301" s="8"/>
      <c r="C301" s="30"/>
      <c r="D301" s="8"/>
      <c r="E301" s="8"/>
      <c r="F301" s="8"/>
      <c r="G301" s="8"/>
      <c r="H301" s="8"/>
      <c r="I301" s="8"/>
      <c r="J301" s="8"/>
      <c r="K301" s="8"/>
      <c r="L301" s="8"/>
      <c r="M301" s="8"/>
      <c r="N301" s="8"/>
      <c r="O301" s="8"/>
      <c r="P301" s="8"/>
      <c r="Q301" s="8"/>
      <c r="R301" s="8"/>
      <c r="S301" s="8"/>
      <c r="T301" s="8"/>
      <c r="U301" s="8"/>
      <c r="V301" s="8"/>
    </row>
    <row r="302" spans="1:22" ht="13.5" customHeight="1">
      <c r="A302" s="8"/>
      <c r="B302" s="8"/>
      <c r="C302" s="30"/>
      <c r="D302" s="8"/>
      <c r="E302" s="8"/>
      <c r="F302" s="8"/>
      <c r="G302" s="8"/>
      <c r="H302" s="8"/>
      <c r="I302" s="8"/>
      <c r="J302" s="8"/>
      <c r="K302" s="8"/>
      <c r="L302" s="8"/>
      <c r="M302" s="8"/>
      <c r="N302" s="8"/>
      <c r="O302" s="8"/>
      <c r="P302" s="8"/>
      <c r="Q302" s="8"/>
      <c r="R302" s="8"/>
      <c r="S302" s="8"/>
      <c r="T302" s="8"/>
      <c r="U302" s="8"/>
      <c r="V302" s="8"/>
    </row>
    <row r="303" spans="1:22" ht="13.5" customHeight="1">
      <c r="A303" s="8"/>
      <c r="B303" s="8"/>
      <c r="C303" s="30"/>
      <c r="D303" s="8"/>
      <c r="E303" s="8"/>
      <c r="F303" s="8"/>
      <c r="G303" s="8"/>
      <c r="H303" s="8"/>
      <c r="I303" s="8"/>
      <c r="J303" s="8"/>
      <c r="K303" s="8"/>
      <c r="L303" s="8"/>
      <c r="M303" s="8"/>
      <c r="N303" s="8"/>
      <c r="O303" s="8"/>
      <c r="P303" s="8"/>
      <c r="Q303" s="8"/>
      <c r="R303" s="8"/>
      <c r="S303" s="8"/>
      <c r="T303" s="8"/>
      <c r="U303" s="8"/>
      <c r="V303" s="8"/>
    </row>
    <row r="304" spans="1:22" ht="13.5" customHeight="1">
      <c r="A304" s="8"/>
      <c r="B304" s="8"/>
      <c r="C304" s="30"/>
      <c r="D304" s="8"/>
      <c r="E304" s="8"/>
      <c r="F304" s="8"/>
      <c r="G304" s="8"/>
      <c r="H304" s="8"/>
      <c r="I304" s="8"/>
      <c r="J304" s="8"/>
      <c r="K304" s="8"/>
      <c r="L304" s="8"/>
      <c r="M304" s="8"/>
      <c r="N304" s="8"/>
      <c r="O304" s="8"/>
      <c r="P304" s="8"/>
      <c r="Q304" s="8"/>
      <c r="R304" s="8"/>
      <c r="S304" s="8"/>
      <c r="T304" s="8"/>
      <c r="U304" s="8"/>
      <c r="V304" s="8"/>
    </row>
    <row r="305" spans="1:22" ht="13.5" customHeight="1">
      <c r="A305" s="8"/>
      <c r="B305" s="8"/>
      <c r="C305" s="30"/>
      <c r="D305" s="8"/>
      <c r="E305" s="8"/>
      <c r="F305" s="8"/>
      <c r="G305" s="8"/>
      <c r="H305" s="8"/>
      <c r="I305" s="8"/>
      <c r="J305" s="8"/>
      <c r="K305" s="8"/>
      <c r="L305" s="8"/>
      <c r="M305" s="8"/>
      <c r="N305" s="8"/>
      <c r="O305" s="8"/>
      <c r="P305" s="8"/>
      <c r="Q305" s="8"/>
      <c r="R305" s="8"/>
      <c r="S305" s="8"/>
      <c r="T305" s="8"/>
      <c r="U305" s="8"/>
      <c r="V305" s="8"/>
    </row>
    <row r="306" spans="1:22" ht="13.5" customHeight="1">
      <c r="A306" s="8"/>
      <c r="B306" s="8"/>
      <c r="C306" s="30"/>
      <c r="D306" s="8"/>
      <c r="E306" s="8"/>
      <c r="F306" s="8"/>
      <c r="G306" s="8"/>
      <c r="H306" s="8"/>
      <c r="I306" s="8"/>
      <c r="J306" s="8"/>
      <c r="K306" s="8"/>
      <c r="L306" s="8"/>
      <c r="M306" s="8"/>
      <c r="N306" s="8"/>
      <c r="O306" s="8"/>
      <c r="P306" s="8"/>
      <c r="Q306" s="8"/>
      <c r="R306" s="8"/>
      <c r="S306" s="8"/>
      <c r="T306" s="8"/>
      <c r="U306" s="8"/>
      <c r="V306" s="8"/>
    </row>
    <row r="307" spans="1:22" ht="13.5" customHeight="1">
      <c r="A307" s="8"/>
      <c r="B307" s="8"/>
      <c r="C307" s="30"/>
      <c r="D307" s="8"/>
      <c r="E307" s="8"/>
      <c r="F307" s="8"/>
      <c r="G307" s="8"/>
      <c r="H307" s="8"/>
      <c r="I307" s="8"/>
      <c r="J307" s="8"/>
      <c r="K307" s="8"/>
      <c r="L307" s="8"/>
      <c r="M307" s="8"/>
      <c r="N307" s="8"/>
      <c r="O307" s="8"/>
      <c r="P307" s="8"/>
      <c r="Q307" s="8"/>
      <c r="R307" s="8"/>
      <c r="S307" s="8"/>
      <c r="T307" s="8"/>
      <c r="U307" s="8"/>
      <c r="V307" s="8"/>
    </row>
    <row r="308" spans="1:22" ht="13.5" customHeight="1">
      <c r="A308" s="8"/>
      <c r="B308" s="8"/>
      <c r="C308" s="30"/>
      <c r="D308" s="8"/>
      <c r="E308" s="8"/>
      <c r="F308" s="8"/>
      <c r="G308" s="8"/>
      <c r="H308" s="8"/>
      <c r="I308" s="8"/>
      <c r="J308" s="8"/>
      <c r="K308" s="8"/>
      <c r="L308" s="8"/>
      <c r="M308" s="8"/>
      <c r="N308" s="8"/>
      <c r="O308" s="8"/>
      <c r="P308" s="8"/>
      <c r="Q308" s="8"/>
      <c r="R308" s="8"/>
      <c r="S308" s="8"/>
      <c r="T308" s="8"/>
      <c r="U308" s="8"/>
      <c r="V308" s="8"/>
    </row>
    <row r="309" spans="1:22" ht="13.5" customHeight="1">
      <c r="A309" s="8"/>
      <c r="B309" s="8"/>
      <c r="C309" s="30"/>
      <c r="D309" s="8"/>
      <c r="E309" s="8"/>
      <c r="F309" s="8"/>
      <c r="G309" s="8"/>
      <c r="H309" s="8"/>
      <c r="I309" s="8"/>
      <c r="J309" s="8"/>
      <c r="K309" s="8"/>
      <c r="L309" s="8"/>
      <c r="M309" s="8"/>
      <c r="N309" s="8"/>
      <c r="O309" s="8"/>
      <c r="P309" s="8"/>
      <c r="Q309" s="8"/>
      <c r="R309" s="8"/>
      <c r="S309" s="8"/>
      <c r="T309" s="8"/>
      <c r="U309" s="8"/>
      <c r="V309" s="8"/>
    </row>
    <row r="310" spans="1:22" ht="13.5" customHeight="1">
      <c r="A310" s="8"/>
      <c r="B310" s="8"/>
      <c r="C310" s="30"/>
      <c r="D310" s="8"/>
      <c r="E310" s="8"/>
      <c r="F310" s="8"/>
      <c r="G310" s="8"/>
      <c r="H310" s="8"/>
      <c r="I310" s="8"/>
      <c r="J310" s="8"/>
      <c r="K310" s="8"/>
      <c r="L310" s="8"/>
      <c r="M310" s="8"/>
      <c r="N310" s="8"/>
      <c r="O310" s="8"/>
      <c r="P310" s="8"/>
      <c r="Q310" s="8"/>
      <c r="R310" s="8"/>
      <c r="S310" s="8"/>
      <c r="T310" s="8"/>
      <c r="U310" s="8"/>
      <c r="V310" s="8"/>
    </row>
    <row r="311" spans="1:22" ht="13.5" customHeight="1">
      <c r="A311" s="8"/>
      <c r="B311" s="8"/>
      <c r="C311" s="30"/>
      <c r="D311" s="8"/>
      <c r="E311" s="8"/>
      <c r="F311" s="8"/>
      <c r="G311" s="8"/>
      <c r="H311" s="8"/>
      <c r="I311" s="8"/>
      <c r="J311" s="8"/>
      <c r="K311" s="8"/>
      <c r="L311" s="8"/>
      <c r="M311" s="8"/>
      <c r="N311" s="8"/>
      <c r="O311" s="8"/>
      <c r="P311" s="8"/>
      <c r="Q311" s="8"/>
      <c r="R311" s="8"/>
      <c r="S311" s="8"/>
      <c r="T311" s="8"/>
      <c r="U311" s="8"/>
      <c r="V311" s="8"/>
    </row>
    <row r="312" spans="1:22" ht="13.5" customHeight="1">
      <c r="A312" s="8"/>
      <c r="B312" s="8"/>
      <c r="C312" s="30"/>
      <c r="D312" s="8"/>
      <c r="E312" s="8"/>
      <c r="F312" s="8"/>
      <c r="G312" s="8"/>
      <c r="H312" s="8"/>
      <c r="I312" s="8"/>
      <c r="J312" s="8"/>
      <c r="K312" s="8"/>
      <c r="L312" s="8"/>
      <c r="M312" s="8"/>
      <c r="N312" s="8"/>
      <c r="O312" s="8"/>
      <c r="P312" s="8"/>
      <c r="Q312" s="8"/>
      <c r="R312" s="8"/>
      <c r="S312" s="8"/>
      <c r="T312" s="8"/>
      <c r="U312" s="8"/>
      <c r="V312" s="8"/>
    </row>
    <row r="313" spans="1:22" ht="13.5" customHeight="1">
      <c r="A313" s="8"/>
      <c r="B313" s="8"/>
      <c r="C313" s="30"/>
      <c r="D313" s="8"/>
      <c r="E313" s="8"/>
      <c r="F313" s="8"/>
      <c r="G313" s="8"/>
      <c r="H313" s="8"/>
      <c r="I313" s="8"/>
      <c r="J313" s="8"/>
      <c r="K313" s="8"/>
      <c r="L313" s="8"/>
      <c r="M313" s="8"/>
      <c r="N313" s="8"/>
      <c r="O313" s="8"/>
      <c r="P313" s="8"/>
      <c r="Q313" s="8"/>
      <c r="R313" s="8"/>
      <c r="S313" s="8"/>
      <c r="T313" s="8"/>
      <c r="U313" s="8"/>
      <c r="V313" s="8"/>
    </row>
    <row r="314" spans="1:22" ht="13.5" customHeight="1">
      <c r="A314" s="8"/>
      <c r="B314" s="8"/>
      <c r="C314" s="30"/>
      <c r="D314" s="8"/>
      <c r="E314" s="8"/>
      <c r="F314" s="8"/>
      <c r="G314" s="8"/>
      <c r="H314" s="8"/>
      <c r="I314" s="8"/>
      <c r="J314" s="8"/>
      <c r="K314" s="8"/>
      <c r="L314" s="8"/>
      <c r="M314" s="8"/>
      <c r="N314" s="8"/>
      <c r="O314" s="8"/>
      <c r="P314" s="8"/>
      <c r="Q314" s="8"/>
      <c r="R314" s="8"/>
      <c r="S314" s="8"/>
      <c r="T314" s="8"/>
      <c r="U314" s="8"/>
      <c r="V314" s="8"/>
    </row>
    <row r="315" spans="1:22" ht="13.5" customHeight="1">
      <c r="A315" s="8"/>
      <c r="B315" s="8"/>
      <c r="C315" s="30"/>
      <c r="D315" s="8"/>
      <c r="E315" s="8"/>
      <c r="F315" s="8"/>
      <c r="G315" s="8"/>
      <c r="H315" s="8"/>
      <c r="I315" s="8"/>
      <c r="J315" s="8"/>
      <c r="K315" s="8"/>
      <c r="L315" s="8"/>
      <c r="M315" s="8"/>
      <c r="N315" s="8"/>
      <c r="O315" s="8"/>
      <c r="P315" s="8"/>
      <c r="Q315" s="8"/>
      <c r="R315" s="8"/>
      <c r="S315" s="8"/>
      <c r="T315" s="8"/>
      <c r="U315" s="8"/>
      <c r="V315" s="8"/>
    </row>
    <row r="316" spans="1:22" ht="13.5" customHeight="1">
      <c r="A316" s="8"/>
      <c r="B316" s="8"/>
      <c r="C316" s="30"/>
      <c r="D316" s="8"/>
      <c r="E316" s="8"/>
      <c r="F316" s="8"/>
      <c r="G316" s="8"/>
      <c r="H316" s="8"/>
      <c r="I316" s="8"/>
      <c r="J316" s="8"/>
      <c r="K316" s="8"/>
      <c r="L316" s="8"/>
      <c r="M316" s="8"/>
      <c r="N316" s="8"/>
      <c r="O316" s="8"/>
      <c r="P316" s="8"/>
      <c r="Q316" s="8"/>
      <c r="R316" s="8"/>
      <c r="S316" s="8"/>
      <c r="T316" s="8"/>
      <c r="U316" s="8"/>
      <c r="V316" s="8"/>
    </row>
    <row r="317" spans="1:22" ht="13.5" customHeight="1">
      <c r="A317" s="8"/>
      <c r="B317" s="8"/>
      <c r="C317" s="30"/>
      <c r="D317" s="8"/>
      <c r="E317" s="8"/>
      <c r="F317" s="8"/>
      <c r="G317" s="8"/>
      <c r="H317" s="8"/>
      <c r="I317" s="8"/>
      <c r="J317" s="8"/>
      <c r="K317" s="8"/>
      <c r="L317" s="8"/>
      <c r="M317" s="8"/>
      <c r="N317" s="8"/>
      <c r="O317" s="8"/>
      <c r="P317" s="8"/>
      <c r="Q317" s="8"/>
      <c r="R317" s="8"/>
      <c r="S317" s="8"/>
      <c r="T317" s="8"/>
      <c r="U317" s="8"/>
      <c r="V317" s="8"/>
    </row>
    <row r="318" spans="1:22" ht="13.5" customHeight="1">
      <c r="A318" s="8"/>
      <c r="B318" s="8"/>
      <c r="C318" s="30"/>
      <c r="D318" s="8"/>
      <c r="E318" s="8"/>
      <c r="F318" s="8"/>
      <c r="G318" s="8"/>
      <c r="H318" s="8"/>
      <c r="I318" s="8"/>
      <c r="J318" s="8"/>
      <c r="K318" s="8"/>
      <c r="L318" s="8"/>
      <c r="M318" s="8"/>
      <c r="N318" s="8"/>
      <c r="O318" s="8"/>
      <c r="P318" s="8"/>
      <c r="Q318" s="8"/>
      <c r="R318" s="8"/>
      <c r="S318" s="8"/>
      <c r="T318" s="8"/>
      <c r="U318" s="8"/>
      <c r="V318" s="8"/>
    </row>
    <row r="319" spans="1:22" ht="13.5" customHeight="1">
      <c r="A319" s="8"/>
      <c r="B319" s="8"/>
      <c r="C319" s="30"/>
      <c r="D319" s="8"/>
      <c r="E319" s="8"/>
      <c r="F319" s="8"/>
      <c r="G319" s="8"/>
      <c r="H319" s="8"/>
      <c r="I319" s="8"/>
      <c r="J319" s="8"/>
      <c r="K319" s="8"/>
      <c r="L319" s="8"/>
      <c r="M319" s="8"/>
      <c r="N319" s="8"/>
      <c r="O319" s="8"/>
      <c r="P319" s="8"/>
      <c r="Q319" s="8"/>
      <c r="R319" s="8"/>
      <c r="S319" s="8"/>
      <c r="T319" s="8"/>
      <c r="U319" s="8"/>
      <c r="V319" s="8"/>
    </row>
    <row r="320" spans="1:22" ht="13.5" customHeight="1">
      <c r="A320" s="8"/>
      <c r="B320" s="8"/>
      <c r="C320" s="30"/>
      <c r="D320" s="8"/>
      <c r="E320" s="8"/>
      <c r="F320" s="8"/>
      <c r="G320" s="8"/>
      <c r="H320" s="8"/>
      <c r="I320" s="8"/>
      <c r="J320" s="8"/>
      <c r="K320" s="8"/>
      <c r="L320" s="8"/>
      <c r="M320" s="8"/>
      <c r="N320" s="8"/>
      <c r="O320" s="8"/>
      <c r="P320" s="8"/>
      <c r="Q320" s="8"/>
      <c r="R320" s="8"/>
      <c r="S320" s="8"/>
      <c r="T320" s="8"/>
      <c r="U320" s="8"/>
      <c r="V320" s="8"/>
    </row>
    <row r="321" spans="1:22" ht="13.5" customHeight="1">
      <c r="A321" s="8"/>
      <c r="B321" s="8"/>
      <c r="C321" s="30"/>
      <c r="D321" s="8"/>
      <c r="E321" s="8"/>
      <c r="F321" s="8"/>
      <c r="G321" s="8"/>
      <c r="H321" s="8"/>
      <c r="I321" s="8"/>
      <c r="J321" s="8"/>
      <c r="K321" s="8"/>
      <c r="L321" s="8"/>
      <c r="M321" s="8"/>
      <c r="N321" s="8"/>
      <c r="O321" s="8"/>
      <c r="P321" s="8"/>
      <c r="Q321" s="8"/>
      <c r="R321" s="8"/>
      <c r="S321" s="8"/>
      <c r="T321" s="8"/>
      <c r="U321" s="8"/>
      <c r="V321" s="8"/>
    </row>
    <row r="322" spans="1:22" ht="13.5" customHeight="1">
      <c r="A322" s="8"/>
      <c r="B322" s="8"/>
      <c r="C322" s="30"/>
      <c r="D322" s="8"/>
      <c r="E322" s="8"/>
      <c r="F322" s="8"/>
      <c r="G322" s="8"/>
      <c r="H322" s="8"/>
      <c r="I322" s="8"/>
      <c r="J322" s="8"/>
      <c r="K322" s="8"/>
      <c r="L322" s="8"/>
      <c r="M322" s="8"/>
      <c r="N322" s="8"/>
      <c r="O322" s="8"/>
      <c r="P322" s="8"/>
      <c r="Q322" s="8"/>
      <c r="R322" s="8"/>
      <c r="S322" s="8"/>
      <c r="T322" s="8"/>
      <c r="U322" s="8"/>
      <c r="V322" s="8"/>
    </row>
    <row r="323" spans="1:22" ht="13.5" customHeight="1">
      <c r="A323" s="8"/>
      <c r="B323" s="8"/>
      <c r="C323" s="30"/>
      <c r="D323" s="8"/>
      <c r="E323" s="8"/>
      <c r="F323" s="8"/>
      <c r="G323" s="8"/>
      <c r="H323" s="8"/>
      <c r="I323" s="8"/>
      <c r="J323" s="8"/>
      <c r="K323" s="8"/>
      <c r="L323" s="8"/>
      <c r="M323" s="8"/>
      <c r="N323" s="8"/>
      <c r="O323" s="8"/>
      <c r="P323" s="8"/>
      <c r="Q323" s="8"/>
      <c r="R323" s="8"/>
      <c r="S323" s="8"/>
      <c r="T323" s="8"/>
      <c r="U323" s="8"/>
      <c r="V323" s="8"/>
    </row>
    <row r="324" spans="1:22" ht="13.5" customHeight="1">
      <c r="A324" s="8"/>
      <c r="B324" s="8"/>
      <c r="C324" s="30"/>
      <c r="D324" s="8"/>
      <c r="E324" s="8"/>
      <c r="F324" s="8"/>
      <c r="G324" s="8"/>
      <c r="H324" s="8"/>
      <c r="I324" s="8"/>
      <c r="J324" s="8"/>
      <c r="K324" s="8"/>
      <c r="L324" s="8"/>
      <c r="M324" s="8"/>
      <c r="N324" s="8"/>
      <c r="O324" s="8"/>
      <c r="P324" s="8"/>
      <c r="Q324" s="8"/>
      <c r="R324" s="8"/>
      <c r="S324" s="8"/>
      <c r="T324" s="8"/>
      <c r="U324" s="8"/>
      <c r="V324" s="8"/>
    </row>
    <row r="325" spans="1:22" ht="13.5" customHeight="1">
      <c r="A325" s="8"/>
      <c r="B325" s="8"/>
      <c r="C325" s="30"/>
      <c r="D325" s="8"/>
      <c r="E325" s="8"/>
      <c r="F325" s="8"/>
      <c r="G325" s="8"/>
      <c r="H325" s="8"/>
      <c r="I325" s="8"/>
      <c r="J325" s="8"/>
      <c r="K325" s="8"/>
      <c r="L325" s="8"/>
      <c r="M325" s="8"/>
      <c r="N325" s="8"/>
      <c r="O325" s="8"/>
      <c r="P325" s="8"/>
      <c r="Q325" s="8"/>
      <c r="R325" s="8"/>
      <c r="S325" s="8"/>
      <c r="T325" s="8"/>
      <c r="U325" s="8"/>
      <c r="V325" s="8"/>
    </row>
    <row r="326" spans="1:22" ht="13.5" customHeight="1">
      <c r="A326" s="8"/>
      <c r="B326" s="8"/>
      <c r="C326" s="30"/>
      <c r="D326" s="8"/>
      <c r="E326" s="8"/>
      <c r="F326" s="8"/>
      <c r="G326" s="8"/>
      <c r="H326" s="8"/>
      <c r="I326" s="8"/>
      <c r="J326" s="8"/>
      <c r="K326" s="8"/>
      <c r="L326" s="8"/>
      <c r="M326" s="8"/>
      <c r="N326" s="8"/>
      <c r="O326" s="8"/>
      <c r="P326" s="8"/>
      <c r="Q326" s="8"/>
      <c r="R326" s="8"/>
      <c r="S326" s="8"/>
      <c r="T326" s="8"/>
      <c r="U326" s="8"/>
      <c r="V326" s="8"/>
    </row>
    <row r="327" spans="1:22" ht="13.5" customHeight="1">
      <c r="A327" s="8"/>
      <c r="B327" s="8"/>
      <c r="C327" s="30"/>
      <c r="D327" s="8"/>
      <c r="E327" s="8"/>
      <c r="F327" s="8"/>
      <c r="G327" s="8"/>
      <c r="H327" s="8"/>
      <c r="I327" s="8"/>
      <c r="J327" s="8"/>
      <c r="K327" s="8"/>
      <c r="L327" s="8"/>
      <c r="M327" s="8"/>
      <c r="N327" s="8"/>
      <c r="O327" s="8"/>
      <c r="P327" s="8"/>
      <c r="Q327" s="8"/>
      <c r="R327" s="8"/>
      <c r="S327" s="8"/>
      <c r="T327" s="8"/>
      <c r="U327" s="8"/>
      <c r="V327" s="8"/>
    </row>
    <row r="328" spans="1:22" ht="13.5" customHeight="1">
      <c r="A328" s="8"/>
      <c r="B328" s="8"/>
      <c r="C328" s="30"/>
      <c r="D328" s="8"/>
      <c r="E328" s="8"/>
      <c r="F328" s="8"/>
      <c r="G328" s="8"/>
      <c r="H328" s="8"/>
      <c r="I328" s="8"/>
      <c r="J328" s="8"/>
      <c r="K328" s="8"/>
      <c r="L328" s="8"/>
      <c r="M328" s="8"/>
      <c r="N328" s="8"/>
      <c r="O328" s="8"/>
      <c r="P328" s="8"/>
      <c r="Q328" s="8"/>
      <c r="R328" s="8"/>
      <c r="S328" s="8"/>
      <c r="T328" s="8"/>
      <c r="U328" s="8"/>
      <c r="V328" s="8"/>
    </row>
    <row r="329" spans="1:22" ht="13.5" customHeight="1">
      <c r="A329" s="8"/>
      <c r="B329" s="8"/>
      <c r="C329" s="30"/>
      <c r="D329" s="8"/>
      <c r="E329" s="8"/>
      <c r="F329" s="8"/>
      <c r="G329" s="8"/>
      <c r="H329" s="8"/>
      <c r="I329" s="8"/>
      <c r="J329" s="8"/>
      <c r="K329" s="8"/>
      <c r="L329" s="8"/>
      <c r="M329" s="8"/>
      <c r="N329" s="8"/>
      <c r="O329" s="8"/>
      <c r="P329" s="8"/>
      <c r="Q329" s="8"/>
      <c r="R329" s="8"/>
      <c r="S329" s="8"/>
      <c r="T329" s="8"/>
      <c r="U329" s="8"/>
      <c r="V329" s="8"/>
    </row>
    <row r="330" spans="1:22" ht="13.5" customHeight="1">
      <c r="A330" s="8"/>
      <c r="B330" s="8"/>
      <c r="C330" s="30"/>
      <c r="D330" s="8"/>
      <c r="E330" s="8"/>
      <c r="F330" s="8"/>
      <c r="G330" s="8"/>
      <c r="H330" s="8"/>
      <c r="I330" s="8"/>
      <c r="J330" s="8"/>
      <c r="K330" s="8"/>
      <c r="L330" s="8"/>
      <c r="M330" s="8"/>
      <c r="N330" s="8"/>
      <c r="O330" s="8"/>
      <c r="P330" s="8"/>
      <c r="Q330" s="8"/>
      <c r="R330" s="8"/>
      <c r="S330" s="8"/>
      <c r="T330" s="8"/>
      <c r="U330" s="8"/>
      <c r="V330" s="8"/>
    </row>
    <row r="331" spans="1:22" ht="13.5" customHeight="1">
      <c r="A331" s="8"/>
      <c r="B331" s="8"/>
      <c r="C331" s="30"/>
      <c r="D331" s="8"/>
      <c r="E331" s="8"/>
      <c r="F331" s="8"/>
      <c r="G331" s="8"/>
      <c r="H331" s="8"/>
      <c r="I331" s="8"/>
      <c r="J331" s="8"/>
      <c r="K331" s="8"/>
      <c r="L331" s="8"/>
      <c r="M331" s="8"/>
      <c r="N331" s="8"/>
      <c r="O331" s="8"/>
      <c r="P331" s="8"/>
      <c r="Q331" s="8"/>
      <c r="R331" s="8"/>
      <c r="S331" s="8"/>
      <c r="T331" s="8"/>
      <c r="U331" s="8"/>
      <c r="V331" s="8"/>
    </row>
    <row r="332" spans="1:22" ht="13.5" customHeight="1">
      <c r="A332" s="8"/>
      <c r="B332" s="8"/>
      <c r="C332" s="30"/>
      <c r="D332" s="8"/>
      <c r="E332" s="8"/>
      <c r="F332" s="8"/>
      <c r="G332" s="8"/>
      <c r="H332" s="8"/>
      <c r="I332" s="8"/>
      <c r="J332" s="8"/>
      <c r="K332" s="8"/>
      <c r="L332" s="8"/>
      <c r="M332" s="8"/>
      <c r="N332" s="8"/>
      <c r="O332" s="8"/>
      <c r="P332" s="8"/>
      <c r="Q332" s="8"/>
      <c r="R332" s="8"/>
      <c r="S332" s="8"/>
      <c r="T332" s="8"/>
      <c r="U332" s="8"/>
      <c r="V332" s="8"/>
    </row>
    <row r="333" spans="1:22" ht="13.5" customHeight="1">
      <c r="A333" s="8"/>
      <c r="B333" s="8"/>
      <c r="C333" s="30"/>
      <c r="D333" s="8"/>
      <c r="E333" s="8"/>
      <c r="F333" s="8"/>
      <c r="G333" s="8"/>
      <c r="H333" s="8"/>
      <c r="I333" s="8"/>
      <c r="J333" s="8"/>
      <c r="K333" s="8"/>
      <c r="L333" s="8"/>
      <c r="M333" s="8"/>
      <c r="N333" s="8"/>
      <c r="O333" s="8"/>
      <c r="P333" s="8"/>
      <c r="Q333" s="8"/>
      <c r="R333" s="8"/>
      <c r="S333" s="8"/>
      <c r="T333" s="8"/>
      <c r="U333" s="8"/>
      <c r="V333" s="8"/>
    </row>
    <row r="334" spans="1:22" ht="13.5" customHeight="1">
      <c r="A334" s="8"/>
      <c r="B334" s="8"/>
      <c r="C334" s="30"/>
      <c r="D334" s="8"/>
      <c r="E334" s="8"/>
      <c r="F334" s="8"/>
      <c r="G334" s="8"/>
      <c r="H334" s="8"/>
      <c r="I334" s="8"/>
      <c r="J334" s="8"/>
      <c r="K334" s="8"/>
      <c r="L334" s="8"/>
      <c r="M334" s="8"/>
      <c r="N334" s="8"/>
      <c r="O334" s="8"/>
      <c r="P334" s="8"/>
      <c r="Q334" s="8"/>
      <c r="R334" s="8"/>
      <c r="S334" s="8"/>
      <c r="T334" s="8"/>
      <c r="U334" s="8"/>
      <c r="V334" s="8"/>
    </row>
    <row r="335" spans="1:22" ht="13.5" customHeight="1">
      <c r="A335" s="8"/>
      <c r="B335" s="8"/>
      <c r="C335" s="30"/>
      <c r="D335" s="8"/>
      <c r="E335" s="8"/>
      <c r="F335" s="8"/>
      <c r="G335" s="8"/>
      <c r="H335" s="8"/>
      <c r="I335" s="8"/>
      <c r="J335" s="8"/>
      <c r="K335" s="8"/>
      <c r="L335" s="8"/>
      <c r="M335" s="8"/>
      <c r="N335" s="8"/>
      <c r="O335" s="8"/>
      <c r="P335" s="8"/>
      <c r="Q335" s="8"/>
      <c r="R335" s="8"/>
      <c r="S335" s="8"/>
      <c r="T335" s="8"/>
      <c r="U335" s="8"/>
      <c r="V335" s="8"/>
    </row>
    <row r="336" spans="1:22" ht="13.5" customHeight="1">
      <c r="A336" s="8"/>
      <c r="B336" s="8"/>
      <c r="C336" s="30"/>
      <c r="D336" s="8"/>
      <c r="E336" s="8"/>
      <c r="F336" s="8"/>
      <c r="G336" s="8"/>
      <c r="H336" s="8"/>
      <c r="I336" s="8"/>
      <c r="J336" s="8"/>
      <c r="K336" s="8"/>
      <c r="L336" s="8"/>
      <c r="M336" s="8"/>
      <c r="N336" s="8"/>
      <c r="O336" s="8"/>
      <c r="P336" s="8"/>
      <c r="Q336" s="8"/>
      <c r="R336" s="8"/>
      <c r="S336" s="8"/>
      <c r="T336" s="8"/>
      <c r="U336" s="8"/>
      <c r="V336" s="8"/>
    </row>
    <row r="337" spans="1:22" ht="13.5" customHeight="1">
      <c r="A337" s="8"/>
      <c r="B337" s="8"/>
      <c r="C337" s="30"/>
      <c r="D337" s="8"/>
      <c r="E337" s="8"/>
      <c r="F337" s="8"/>
      <c r="G337" s="8"/>
      <c r="H337" s="8"/>
      <c r="I337" s="8"/>
      <c r="J337" s="8"/>
      <c r="K337" s="8"/>
      <c r="L337" s="8"/>
      <c r="M337" s="8"/>
      <c r="N337" s="8"/>
      <c r="O337" s="8"/>
      <c r="P337" s="8"/>
      <c r="Q337" s="8"/>
      <c r="R337" s="8"/>
      <c r="S337" s="8"/>
      <c r="T337" s="8"/>
      <c r="U337" s="8"/>
      <c r="V337" s="8"/>
    </row>
    <row r="338" spans="1:22" ht="13.5" customHeight="1">
      <c r="A338" s="8"/>
      <c r="B338" s="8"/>
      <c r="C338" s="30"/>
      <c r="D338" s="8"/>
      <c r="E338" s="8"/>
      <c r="F338" s="8"/>
      <c r="G338" s="8"/>
      <c r="H338" s="8"/>
      <c r="I338" s="8"/>
      <c r="J338" s="8"/>
      <c r="K338" s="8"/>
      <c r="L338" s="8"/>
      <c r="M338" s="8"/>
      <c r="N338" s="8"/>
      <c r="O338" s="8"/>
      <c r="P338" s="8"/>
      <c r="Q338" s="8"/>
      <c r="R338" s="8"/>
      <c r="S338" s="8"/>
      <c r="T338" s="8"/>
      <c r="U338" s="8"/>
      <c r="V338" s="8"/>
    </row>
    <row r="339" spans="1:22" ht="13.5" customHeight="1">
      <c r="A339" s="8"/>
      <c r="B339" s="8"/>
      <c r="C339" s="30"/>
      <c r="D339" s="8"/>
      <c r="E339" s="8"/>
      <c r="F339" s="8"/>
      <c r="G339" s="8"/>
      <c r="H339" s="8"/>
      <c r="I339" s="8"/>
      <c r="J339" s="8"/>
      <c r="K339" s="8"/>
      <c r="L339" s="8"/>
      <c r="M339" s="8"/>
      <c r="N339" s="8"/>
      <c r="O339" s="8"/>
      <c r="P339" s="8"/>
      <c r="Q339" s="8"/>
      <c r="R339" s="8"/>
      <c r="S339" s="8"/>
      <c r="T339" s="8"/>
      <c r="U339" s="8"/>
      <c r="V339" s="8"/>
    </row>
    <row r="340" spans="1:22" ht="13.5" customHeight="1">
      <c r="A340" s="8"/>
      <c r="B340" s="8"/>
      <c r="C340" s="30"/>
      <c r="D340" s="8"/>
      <c r="E340" s="8"/>
      <c r="F340" s="8"/>
      <c r="G340" s="8"/>
      <c r="H340" s="8"/>
      <c r="I340" s="8"/>
      <c r="J340" s="8"/>
      <c r="K340" s="8"/>
      <c r="L340" s="8"/>
      <c r="M340" s="8"/>
      <c r="N340" s="8"/>
      <c r="O340" s="8"/>
      <c r="P340" s="8"/>
      <c r="Q340" s="8"/>
      <c r="R340" s="8"/>
      <c r="S340" s="8"/>
      <c r="T340" s="8"/>
      <c r="U340" s="8"/>
      <c r="V340" s="8"/>
    </row>
    <row r="341" spans="1:22" ht="13.5" customHeight="1">
      <c r="A341" s="8"/>
      <c r="B341" s="8"/>
      <c r="C341" s="30"/>
      <c r="D341" s="8"/>
      <c r="E341" s="8"/>
      <c r="F341" s="8"/>
      <c r="G341" s="8"/>
      <c r="H341" s="8"/>
      <c r="I341" s="8"/>
      <c r="J341" s="8"/>
      <c r="K341" s="8"/>
      <c r="L341" s="8"/>
      <c r="M341" s="8"/>
      <c r="N341" s="8"/>
      <c r="O341" s="8"/>
      <c r="P341" s="8"/>
      <c r="Q341" s="8"/>
      <c r="R341" s="8"/>
      <c r="S341" s="8"/>
      <c r="T341" s="8"/>
      <c r="U341" s="8"/>
      <c r="V341" s="8"/>
    </row>
    <row r="342" spans="1:22" ht="13.5" customHeight="1">
      <c r="A342" s="8"/>
      <c r="B342" s="8"/>
      <c r="C342" s="30"/>
      <c r="D342" s="8"/>
      <c r="E342" s="8"/>
      <c r="F342" s="8"/>
      <c r="G342" s="8"/>
      <c r="H342" s="8"/>
      <c r="I342" s="8"/>
      <c r="J342" s="8"/>
      <c r="K342" s="8"/>
      <c r="L342" s="8"/>
      <c r="M342" s="8"/>
      <c r="N342" s="8"/>
      <c r="O342" s="8"/>
      <c r="P342" s="8"/>
      <c r="Q342" s="8"/>
      <c r="R342" s="8"/>
      <c r="S342" s="8"/>
      <c r="T342" s="8"/>
      <c r="U342" s="8"/>
      <c r="V342" s="8"/>
    </row>
    <row r="343" spans="1:22" ht="13.5" customHeight="1">
      <c r="A343" s="8"/>
      <c r="B343" s="8"/>
      <c r="C343" s="30"/>
      <c r="D343" s="8"/>
      <c r="E343" s="8"/>
      <c r="F343" s="8"/>
      <c r="G343" s="8"/>
      <c r="H343" s="8"/>
      <c r="I343" s="8"/>
      <c r="J343" s="8"/>
      <c r="K343" s="8"/>
      <c r="L343" s="8"/>
      <c r="M343" s="8"/>
      <c r="N343" s="8"/>
      <c r="O343" s="8"/>
      <c r="P343" s="8"/>
      <c r="Q343" s="8"/>
      <c r="R343" s="8"/>
      <c r="S343" s="8"/>
      <c r="T343" s="8"/>
      <c r="U343" s="8"/>
      <c r="V343" s="8"/>
    </row>
    <row r="344" spans="1:22" ht="13.5" customHeight="1">
      <c r="A344" s="8"/>
      <c r="B344" s="8"/>
      <c r="C344" s="30"/>
      <c r="D344" s="8"/>
      <c r="E344" s="8"/>
      <c r="F344" s="8"/>
      <c r="G344" s="8"/>
      <c r="H344" s="8"/>
      <c r="I344" s="8"/>
      <c r="J344" s="8"/>
      <c r="K344" s="8"/>
      <c r="L344" s="8"/>
      <c r="M344" s="8"/>
      <c r="N344" s="8"/>
      <c r="O344" s="8"/>
      <c r="P344" s="8"/>
      <c r="Q344" s="8"/>
      <c r="R344" s="8"/>
      <c r="S344" s="8"/>
      <c r="T344" s="8"/>
      <c r="U344" s="8"/>
      <c r="V344" s="8"/>
    </row>
    <row r="345" spans="1:22" ht="13.5" customHeight="1">
      <c r="A345" s="8"/>
      <c r="B345" s="8"/>
      <c r="C345" s="30"/>
      <c r="D345" s="8"/>
      <c r="E345" s="8"/>
      <c r="F345" s="8"/>
      <c r="G345" s="8"/>
      <c r="H345" s="8"/>
      <c r="I345" s="8"/>
      <c r="J345" s="8"/>
      <c r="K345" s="8"/>
      <c r="L345" s="8"/>
      <c r="M345" s="8"/>
      <c r="N345" s="8"/>
      <c r="O345" s="8"/>
      <c r="P345" s="8"/>
      <c r="Q345" s="8"/>
      <c r="R345" s="8"/>
      <c r="S345" s="8"/>
      <c r="T345" s="8"/>
      <c r="U345" s="8"/>
      <c r="V345" s="8"/>
    </row>
    <row r="346" spans="1:22" ht="13.5" customHeight="1">
      <c r="A346" s="8"/>
      <c r="B346" s="8"/>
      <c r="C346" s="30"/>
      <c r="D346" s="8"/>
      <c r="E346" s="8"/>
      <c r="F346" s="8"/>
      <c r="G346" s="8"/>
      <c r="H346" s="8"/>
      <c r="I346" s="8"/>
      <c r="J346" s="8"/>
      <c r="K346" s="8"/>
      <c r="L346" s="8"/>
      <c r="M346" s="8"/>
      <c r="N346" s="8"/>
      <c r="O346" s="8"/>
      <c r="P346" s="8"/>
      <c r="Q346" s="8"/>
      <c r="R346" s="8"/>
      <c r="S346" s="8"/>
      <c r="T346" s="8"/>
      <c r="U346" s="8"/>
      <c r="V346" s="8"/>
    </row>
    <row r="347" spans="1:22" ht="13.5" customHeight="1">
      <c r="A347" s="8"/>
      <c r="B347" s="8"/>
      <c r="C347" s="30"/>
      <c r="D347" s="8"/>
      <c r="E347" s="8"/>
      <c r="F347" s="8"/>
      <c r="G347" s="8"/>
      <c r="H347" s="8"/>
      <c r="I347" s="8"/>
      <c r="J347" s="8"/>
      <c r="K347" s="8"/>
      <c r="L347" s="8"/>
      <c r="M347" s="8"/>
      <c r="N347" s="8"/>
      <c r="O347" s="8"/>
      <c r="P347" s="8"/>
      <c r="Q347" s="8"/>
      <c r="R347" s="8"/>
      <c r="S347" s="8"/>
      <c r="T347" s="8"/>
      <c r="U347" s="8"/>
      <c r="V347" s="8"/>
    </row>
    <row r="348" spans="1:22" ht="13.5" customHeight="1">
      <c r="A348" s="8"/>
      <c r="B348" s="8"/>
      <c r="C348" s="30"/>
      <c r="D348" s="8"/>
      <c r="E348" s="8"/>
      <c r="F348" s="8"/>
      <c r="G348" s="8"/>
      <c r="H348" s="8"/>
      <c r="I348" s="8"/>
      <c r="J348" s="8"/>
      <c r="K348" s="8"/>
      <c r="L348" s="8"/>
      <c r="M348" s="8"/>
      <c r="N348" s="8"/>
      <c r="O348" s="8"/>
      <c r="P348" s="8"/>
      <c r="Q348" s="8"/>
      <c r="R348" s="8"/>
      <c r="S348" s="8"/>
      <c r="T348" s="8"/>
      <c r="U348" s="8"/>
      <c r="V348" s="8"/>
    </row>
    <row r="349" spans="1:22" ht="13.5" customHeight="1">
      <c r="A349" s="8"/>
      <c r="B349" s="8"/>
      <c r="C349" s="30"/>
      <c r="D349" s="8"/>
      <c r="E349" s="8"/>
      <c r="F349" s="8"/>
      <c r="G349" s="8"/>
      <c r="H349" s="8"/>
      <c r="I349" s="8"/>
      <c r="J349" s="8"/>
      <c r="K349" s="8"/>
      <c r="L349" s="8"/>
      <c r="M349" s="8"/>
      <c r="N349" s="8"/>
      <c r="O349" s="8"/>
      <c r="P349" s="8"/>
      <c r="Q349" s="8"/>
      <c r="R349" s="8"/>
      <c r="S349" s="8"/>
      <c r="T349" s="8"/>
      <c r="U349" s="8"/>
      <c r="V349" s="8"/>
    </row>
    <row r="350" spans="1:22" ht="13.5" customHeight="1">
      <c r="A350" s="8"/>
      <c r="B350" s="8"/>
      <c r="C350" s="30"/>
      <c r="D350" s="8"/>
      <c r="E350" s="8"/>
      <c r="F350" s="8"/>
      <c r="G350" s="8"/>
      <c r="H350" s="8"/>
      <c r="I350" s="8"/>
      <c r="J350" s="8"/>
      <c r="K350" s="8"/>
      <c r="L350" s="8"/>
      <c r="M350" s="8"/>
      <c r="N350" s="8"/>
      <c r="O350" s="8"/>
      <c r="P350" s="8"/>
      <c r="Q350" s="8"/>
      <c r="R350" s="8"/>
      <c r="S350" s="8"/>
      <c r="T350" s="8"/>
      <c r="U350" s="8"/>
      <c r="V350" s="8"/>
    </row>
    <row r="351" spans="1:22" ht="13.5" customHeight="1">
      <c r="A351" s="8"/>
      <c r="B351" s="8"/>
      <c r="C351" s="30"/>
      <c r="D351" s="8"/>
      <c r="E351" s="8"/>
      <c r="F351" s="8"/>
      <c r="G351" s="8"/>
      <c r="H351" s="8"/>
      <c r="I351" s="8"/>
      <c r="J351" s="8"/>
      <c r="K351" s="8"/>
      <c r="L351" s="8"/>
      <c r="M351" s="8"/>
      <c r="N351" s="8"/>
      <c r="O351" s="8"/>
      <c r="P351" s="8"/>
      <c r="Q351" s="8"/>
      <c r="R351" s="8"/>
      <c r="S351" s="8"/>
      <c r="T351" s="8"/>
      <c r="U351" s="8"/>
      <c r="V351" s="8"/>
    </row>
    <row r="352" spans="1:22" ht="13.5" customHeight="1">
      <c r="A352" s="8"/>
      <c r="B352" s="8"/>
      <c r="C352" s="30"/>
      <c r="D352" s="8"/>
      <c r="E352" s="8"/>
      <c r="F352" s="8"/>
      <c r="G352" s="8"/>
      <c r="H352" s="8"/>
      <c r="I352" s="8"/>
      <c r="J352" s="8"/>
      <c r="K352" s="8"/>
      <c r="L352" s="8"/>
      <c r="M352" s="8"/>
      <c r="N352" s="8"/>
      <c r="O352" s="8"/>
      <c r="P352" s="8"/>
      <c r="Q352" s="8"/>
      <c r="R352" s="8"/>
      <c r="S352" s="8"/>
      <c r="T352" s="8"/>
      <c r="U352" s="8"/>
      <c r="V352" s="8"/>
    </row>
    <row r="353" spans="1:22" ht="13.5" customHeight="1">
      <c r="A353" s="8"/>
      <c r="B353" s="8"/>
      <c r="C353" s="30"/>
      <c r="D353" s="8"/>
      <c r="E353" s="8"/>
      <c r="F353" s="8"/>
      <c r="G353" s="8"/>
      <c r="H353" s="8"/>
      <c r="I353" s="8"/>
      <c r="J353" s="8"/>
      <c r="K353" s="8"/>
      <c r="L353" s="8"/>
      <c r="M353" s="8"/>
      <c r="N353" s="8"/>
      <c r="O353" s="8"/>
      <c r="P353" s="8"/>
      <c r="Q353" s="8"/>
      <c r="R353" s="8"/>
      <c r="S353" s="8"/>
      <c r="T353" s="8"/>
      <c r="U353" s="8"/>
      <c r="V353" s="8"/>
    </row>
    <row r="354" spans="1:22" ht="13.5" customHeight="1">
      <c r="A354" s="8"/>
      <c r="B354" s="8"/>
      <c r="C354" s="30"/>
      <c r="D354" s="8"/>
      <c r="E354" s="8"/>
      <c r="F354" s="8"/>
      <c r="G354" s="8"/>
      <c r="H354" s="8"/>
      <c r="I354" s="8"/>
      <c r="J354" s="8"/>
      <c r="K354" s="8"/>
      <c r="L354" s="8"/>
      <c r="M354" s="8"/>
      <c r="N354" s="8"/>
      <c r="O354" s="8"/>
      <c r="P354" s="8"/>
      <c r="Q354" s="8"/>
      <c r="R354" s="8"/>
      <c r="S354" s="8"/>
      <c r="T354" s="8"/>
      <c r="U354" s="8"/>
      <c r="V354" s="8"/>
    </row>
    <row r="355" spans="1:22" ht="13.5" customHeight="1">
      <c r="A355" s="8"/>
      <c r="B355" s="8"/>
      <c r="C355" s="30"/>
      <c r="D355" s="8"/>
      <c r="E355" s="8"/>
      <c r="F355" s="8"/>
      <c r="G355" s="8"/>
      <c r="H355" s="8"/>
      <c r="I355" s="8"/>
      <c r="J355" s="8"/>
      <c r="K355" s="8"/>
      <c r="L355" s="8"/>
      <c r="M355" s="8"/>
      <c r="N355" s="8"/>
      <c r="O355" s="8"/>
      <c r="P355" s="8"/>
      <c r="Q355" s="8"/>
      <c r="R355" s="8"/>
      <c r="S355" s="8"/>
      <c r="T355" s="8"/>
      <c r="U355" s="8"/>
      <c r="V355" s="8"/>
    </row>
    <row r="356" spans="1:22" ht="13.5" customHeight="1">
      <c r="A356" s="8"/>
      <c r="B356" s="8"/>
      <c r="C356" s="30"/>
      <c r="D356" s="8"/>
      <c r="E356" s="8"/>
      <c r="F356" s="8"/>
      <c r="G356" s="8"/>
      <c r="H356" s="8"/>
      <c r="I356" s="8"/>
      <c r="J356" s="8"/>
      <c r="K356" s="8"/>
      <c r="L356" s="8"/>
      <c r="M356" s="8"/>
      <c r="N356" s="8"/>
      <c r="O356" s="8"/>
      <c r="P356" s="8"/>
      <c r="Q356" s="8"/>
      <c r="R356" s="8"/>
      <c r="S356" s="8"/>
      <c r="T356" s="8"/>
      <c r="U356" s="8"/>
      <c r="V356" s="8"/>
    </row>
    <row r="357" spans="1:22" ht="13.5" customHeight="1">
      <c r="A357" s="8"/>
      <c r="B357" s="8"/>
      <c r="C357" s="30"/>
      <c r="D357" s="8"/>
      <c r="E357" s="8"/>
      <c r="F357" s="8"/>
      <c r="G357" s="8"/>
      <c r="H357" s="8"/>
      <c r="I357" s="8"/>
      <c r="J357" s="8"/>
      <c r="K357" s="8"/>
      <c r="L357" s="8"/>
      <c r="M357" s="8"/>
      <c r="N357" s="8"/>
      <c r="O357" s="8"/>
      <c r="P357" s="8"/>
      <c r="Q357" s="8"/>
      <c r="R357" s="8"/>
      <c r="S357" s="8"/>
      <c r="T357" s="8"/>
      <c r="U357" s="8"/>
      <c r="V357" s="8"/>
    </row>
    <row r="358" spans="1:22" ht="13.5" customHeight="1">
      <c r="A358" s="8"/>
      <c r="B358" s="8"/>
      <c r="C358" s="30"/>
      <c r="D358" s="8"/>
      <c r="E358" s="8"/>
      <c r="F358" s="8"/>
      <c r="G358" s="8"/>
      <c r="H358" s="8"/>
      <c r="I358" s="8"/>
      <c r="J358" s="8"/>
      <c r="K358" s="8"/>
      <c r="L358" s="8"/>
      <c r="M358" s="8"/>
      <c r="N358" s="8"/>
      <c r="O358" s="8"/>
      <c r="P358" s="8"/>
      <c r="Q358" s="8"/>
      <c r="R358" s="8"/>
      <c r="S358" s="8"/>
      <c r="T358" s="8"/>
      <c r="U358" s="8"/>
      <c r="V358" s="8"/>
    </row>
    <row r="359" spans="1:22" ht="13.5" customHeight="1">
      <c r="A359" s="8"/>
      <c r="B359" s="8"/>
      <c r="C359" s="30"/>
      <c r="D359" s="8"/>
      <c r="E359" s="8"/>
      <c r="F359" s="8"/>
      <c r="G359" s="8"/>
      <c r="H359" s="8"/>
      <c r="I359" s="8"/>
      <c r="J359" s="8"/>
      <c r="K359" s="8"/>
      <c r="L359" s="8"/>
      <c r="M359" s="8"/>
      <c r="N359" s="8"/>
      <c r="O359" s="8"/>
      <c r="P359" s="8"/>
      <c r="Q359" s="8"/>
      <c r="R359" s="8"/>
      <c r="S359" s="8"/>
      <c r="T359" s="8"/>
      <c r="U359" s="8"/>
      <c r="V359" s="8"/>
    </row>
    <row r="360" spans="1:22" ht="13.5" customHeight="1">
      <c r="A360" s="8"/>
      <c r="B360" s="8"/>
      <c r="C360" s="30"/>
      <c r="D360" s="8"/>
      <c r="E360" s="8"/>
      <c r="F360" s="8"/>
      <c r="G360" s="8"/>
      <c r="H360" s="8"/>
      <c r="I360" s="8"/>
      <c r="J360" s="8"/>
      <c r="K360" s="8"/>
      <c r="L360" s="8"/>
      <c r="M360" s="8"/>
      <c r="N360" s="8"/>
      <c r="O360" s="8"/>
      <c r="P360" s="8"/>
      <c r="Q360" s="8"/>
      <c r="R360" s="8"/>
      <c r="S360" s="8"/>
      <c r="T360" s="8"/>
      <c r="U360" s="8"/>
      <c r="V360" s="8"/>
    </row>
    <row r="361" spans="1:22" ht="13.5" customHeight="1">
      <c r="A361" s="8"/>
      <c r="B361" s="8"/>
      <c r="C361" s="30"/>
      <c r="D361" s="8"/>
      <c r="E361" s="8"/>
      <c r="F361" s="8"/>
      <c r="G361" s="8"/>
      <c r="H361" s="8"/>
      <c r="I361" s="8"/>
      <c r="J361" s="8"/>
      <c r="K361" s="8"/>
      <c r="L361" s="8"/>
      <c r="M361" s="8"/>
      <c r="N361" s="8"/>
      <c r="O361" s="8"/>
      <c r="P361" s="8"/>
      <c r="Q361" s="8"/>
      <c r="R361" s="8"/>
      <c r="S361" s="8"/>
      <c r="T361" s="8"/>
      <c r="U361" s="8"/>
      <c r="V361" s="8"/>
    </row>
    <row r="362" spans="1:22" ht="13.5" customHeight="1">
      <c r="A362" s="8"/>
      <c r="B362" s="8"/>
      <c r="C362" s="30"/>
      <c r="D362" s="8"/>
      <c r="E362" s="8"/>
      <c r="F362" s="8"/>
      <c r="G362" s="8"/>
      <c r="H362" s="8"/>
      <c r="I362" s="8"/>
      <c r="J362" s="8"/>
      <c r="K362" s="8"/>
      <c r="L362" s="8"/>
      <c r="M362" s="8"/>
      <c r="N362" s="8"/>
      <c r="O362" s="8"/>
      <c r="P362" s="8"/>
      <c r="Q362" s="8"/>
      <c r="R362" s="8"/>
      <c r="S362" s="8"/>
      <c r="T362" s="8"/>
      <c r="U362" s="8"/>
      <c r="V362" s="8"/>
    </row>
    <row r="363" spans="1:22" ht="13.5" customHeight="1">
      <c r="A363" s="8"/>
      <c r="B363" s="8"/>
      <c r="C363" s="30"/>
      <c r="D363" s="8"/>
      <c r="E363" s="8"/>
      <c r="F363" s="8"/>
      <c r="G363" s="8"/>
      <c r="H363" s="8"/>
      <c r="I363" s="8"/>
      <c r="J363" s="8"/>
      <c r="K363" s="8"/>
      <c r="L363" s="8"/>
      <c r="M363" s="8"/>
      <c r="N363" s="8"/>
      <c r="O363" s="8"/>
      <c r="P363" s="8"/>
      <c r="Q363" s="8"/>
      <c r="R363" s="8"/>
      <c r="S363" s="8"/>
      <c r="T363" s="8"/>
      <c r="U363" s="8"/>
      <c r="V363" s="8"/>
    </row>
    <row r="364" spans="1:22" ht="13.5" customHeight="1">
      <c r="A364" s="8"/>
      <c r="B364" s="8"/>
      <c r="C364" s="30"/>
      <c r="D364" s="8"/>
      <c r="E364" s="8"/>
      <c r="F364" s="8"/>
      <c r="G364" s="8"/>
      <c r="H364" s="8"/>
      <c r="I364" s="8"/>
      <c r="J364" s="8"/>
      <c r="K364" s="8"/>
      <c r="L364" s="8"/>
      <c r="M364" s="8"/>
      <c r="N364" s="8"/>
      <c r="O364" s="8"/>
      <c r="P364" s="8"/>
      <c r="Q364" s="8"/>
      <c r="R364" s="8"/>
      <c r="S364" s="8"/>
      <c r="T364" s="8"/>
      <c r="U364" s="8"/>
      <c r="V364" s="8"/>
    </row>
    <row r="365" spans="1:22" ht="13.5" customHeight="1">
      <c r="A365" s="8"/>
      <c r="B365" s="8"/>
      <c r="C365" s="30"/>
      <c r="D365" s="8"/>
      <c r="E365" s="8"/>
      <c r="F365" s="8"/>
      <c r="G365" s="8"/>
      <c r="H365" s="8"/>
      <c r="I365" s="8"/>
      <c r="J365" s="8"/>
      <c r="K365" s="8"/>
      <c r="L365" s="8"/>
      <c r="M365" s="8"/>
      <c r="N365" s="8"/>
      <c r="O365" s="8"/>
      <c r="P365" s="8"/>
      <c r="Q365" s="8"/>
      <c r="R365" s="8"/>
      <c r="S365" s="8"/>
      <c r="T365" s="8"/>
      <c r="U365" s="8"/>
      <c r="V365" s="8"/>
    </row>
    <row r="366" spans="1:22" ht="13.5" customHeight="1">
      <c r="A366" s="8"/>
      <c r="B366" s="8"/>
      <c r="C366" s="30"/>
      <c r="D366" s="8"/>
      <c r="E366" s="8"/>
      <c r="F366" s="8"/>
      <c r="G366" s="8"/>
      <c r="H366" s="8"/>
      <c r="I366" s="8"/>
      <c r="J366" s="8"/>
      <c r="K366" s="8"/>
      <c r="L366" s="8"/>
      <c r="M366" s="8"/>
      <c r="N366" s="8"/>
      <c r="O366" s="8"/>
      <c r="P366" s="8"/>
      <c r="Q366" s="8"/>
      <c r="R366" s="8"/>
      <c r="S366" s="8"/>
      <c r="T366" s="8"/>
      <c r="U366" s="8"/>
      <c r="V366" s="8"/>
    </row>
    <row r="367" spans="1:22" ht="13.5" customHeight="1">
      <c r="A367" s="8"/>
      <c r="B367" s="8"/>
      <c r="C367" s="30"/>
      <c r="D367" s="8"/>
      <c r="E367" s="8"/>
      <c r="F367" s="8"/>
      <c r="G367" s="8"/>
      <c r="H367" s="8"/>
      <c r="I367" s="8"/>
      <c r="J367" s="8"/>
      <c r="K367" s="8"/>
      <c r="L367" s="8"/>
      <c r="M367" s="8"/>
      <c r="N367" s="8"/>
      <c r="O367" s="8"/>
      <c r="P367" s="8"/>
      <c r="Q367" s="8"/>
      <c r="R367" s="8"/>
      <c r="S367" s="8"/>
      <c r="T367" s="8"/>
      <c r="U367" s="8"/>
      <c r="V367" s="8"/>
    </row>
    <row r="368" spans="1:22" ht="13.5" customHeight="1">
      <c r="A368" s="8"/>
      <c r="B368" s="8"/>
      <c r="C368" s="30"/>
      <c r="D368" s="8"/>
      <c r="E368" s="8"/>
      <c r="F368" s="8"/>
      <c r="G368" s="8"/>
      <c r="H368" s="8"/>
      <c r="I368" s="8"/>
      <c r="J368" s="8"/>
      <c r="K368" s="8"/>
      <c r="L368" s="8"/>
      <c r="M368" s="8"/>
      <c r="N368" s="8"/>
      <c r="O368" s="8"/>
      <c r="P368" s="8"/>
      <c r="Q368" s="8"/>
      <c r="R368" s="8"/>
      <c r="S368" s="8"/>
      <c r="T368" s="8"/>
      <c r="U368" s="8"/>
      <c r="V368" s="8"/>
    </row>
    <row r="369" spans="1:22" ht="13.5" customHeight="1">
      <c r="A369" s="8"/>
      <c r="B369" s="8"/>
      <c r="C369" s="30"/>
      <c r="D369" s="8"/>
      <c r="E369" s="8"/>
      <c r="F369" s="8"/>
      <c r="G369" s="8"/>
      <c r="H369" s="8"/>
      <c r="I369" s="8"/>
      <c r="J369" s="8"/>
      <c r="K369" s="8"/>
      <c r="L369" s="8"/>
      <c r="M369" s="8"/>
      <c r="N369" s="8"/>
      <c r="O369" s="8"/>
      <c r="P369" s="8"/>
      <c r="Q369" s="8"/>
      <c r="R369" s="8"/>
      <c r="S369" s="8"/>
      <c r="T369" s="8"/>
      <c r="U369" s="8"/>
      <c r="V369" s="8"/>
    </row>
    <row r="370" spans="1:22" ht="13.5" customHeight="1">
      <c r="A370" s="8"/>
      <c r="B370" s="8"/>
      <c r="C370" s="30"/>
      <c r="D370" s="8"/>
      <c r="E370" s="8"/>
      <c r="F370" s="8"/>
      <c r="G370" s="8"/>
      <c r="H370" s="8"/>
      <c r="I370" s="8"/>
      <c r="J370" s="8"/>
      <c r="K370" s="8"/>
      <c r="L370" s="8"/>
      <c r="M370" s="8"/>
      <c r="N370" s="8"/>
      <c r="O370" s="8"/>
      <c r="P370" s="8"/>
      <c r="Q370" s="8"/>
      <c r="R370" s="8"/>
      <c r="S370" s="8"/>
      <c r="T370" s="8"/>
      <c r="U370" s="8"/>
      <c r="V370" s="8"/>
    </row>
    <row r="371" spans="1:22" ht="13.5" customHeight="1">
      <c r="A371" s="8"/>
      <c r="B371" s="8"/>
      <c r="C371" s="30"/>
      <c r="D371" s="8"/>
      <c r="E371" s="8"/>
      <c r="F371" s="8"/>
      <c r="G371" s="8"/>
      <c r="H371" s="8"/>
      <c r="I371" s="8"/>
      <c r="J371" s="8"/>
      <c r="K371" s="8"/>
      <c r="L371" s="8"/>
      <c r="M371" s="8"/>
      <c r="N371" s="8"/>
      <c r="O371" s="8"/>
      <c r="P371" s="8"/>
      <c r="Q371" s="8"/>
      <c r="R371" s="8"/>
      <c r="S371" s="8"/>
      <c r="T371" s="8"/>
      <c r="U371" s="8"/>
      <c r="V371" s="8"/>
    </row>
    <row r="372" spans="1:22" ht="13.5" customHeight="1">
      <c r="A372" s="8"/>
      <c r="B372" s="8"/>
      <c r="C372" s="30"/>
      <c r="D372" s="8"/>
      <c r="E372" s="8"/>
      <c r="F372" s="8"/>
      <c r="G372" s="8"/>
      <c r="H372" s="8"/>
      <c r="I372" s="8"/>
      <c r="J372" s="8"/>
      <c r="K372" s="8"/>
      <c r="L372" s="8"/>
      <c r="M372" s="8"/>
      <c r="N372" s="8"/>
      <c r="O372" s="8"/>
      <c r="P372" s="8"/>
      <c r="Q372" s="8"/>
      <c r="R372" s="8"/>
      <c r="S372" s="8"/>
      <c r="T372" s="8"/>
      <c r="U372" s="8"/>
      <c r="V372" s="8"/>
    </row>
    <row r="373" spans="1:22" ht="13.5" customHeight="1">
      <c r="A373" s="8"/>
      <c r="B373" s="8"/>
      <c r="C373" s="30"/>
      <c r="D373" s="8"/>
      <c r="E373" s="8"/>
      <c r="F373" s="8"/>
      <c r="G373" s="8"/>
      <c r="H373" s="8"/>
      <c r="I373" s="8"/>
      <c r="J373" s="8"/>
      <c r="K373" s="8"/>
      <c r="L373" s="8"/>
      <c r="M373" s="8"/>
      <c r="N373" s="8"/>
      <c r="O373" s="8"/>
      <c r="P373" s="8"/>
      <c r="Q373" s="8"/>
      <c r="R373" s="8"/>
      <c r="S373" s="8"/>
      <c r="T373" s="8"/>
      <c r="U373" s="8"/>
      <c r="V373" s="8"/>
    </row>
    <row r="374" spans="1:22" ht="13.5" customHeight="1">
      <c r="A374" s="8"/>
      <c r="B374" s="8"/>
      <c r="C374" s="30"/>
      <c r="D374" s="8"/>
      <c r="E374" s="8"/>
      <c r="F374" s="8"/>
      <c r="G374" s="8"/>
      <c r="H374" s="8"/>
      <c r="I374" s="8"/>
      <c r="J374" s="8"/>
      <c r="K374" s="8"/>
      <c r="L374" s="8"/>
      <c r="M374" s="8"/>
      <c r="N374" s="8"/>
      <c r="O374" s="8"/>
      <c r="P374" s="8"/>
      <c r="Q374" s="8"/>
      <c r="R374" s="8"/>
      <c r="S374" s="8"/>
      <c r="T374" s="8"/>
      <c r="U374" s="8"/>
      <c r="V374" s="8"/>
    </row>
    <row r="375" spans="1:22" ht="13.5" customHeight="1">
      <c r="A375" s="8"/>
      <c r="B375" s="8"/>
      <c r="C375" s="30"/>
      <c r="D375" s="8"/>
      <c r="E375" s="8"/>
      <c r="F375" s="8"/>
      <c r="G375" s="8"/>
      <c r="H375" s="8"/>
      <c r="I375" s="8"/>
      <c r="J375" s="8"/>
      <c r="K375" s="8"/>
      <c r="L375" s="8"/>
      <c r="M375" s="8"/>
      <c r="N375" s="8"/>
      <c r="O375" s="8"/>
      <c r="P375" s="8"/>
      <c r="Q375" s="8"/>
      <c r="R375" s="8"/>
      <c r="S375" s="8"/>
      <c r="T375" s="8"/>
      <c r="U375" s="8"/>
      <c r="V375" s="8"/>
    </row>
    <row r="376" spans="1:22" ht="13.5" customHeight="1">
      <c r="A376" s="8"/>
      <c r="B376" s="8"/>
      <c r="C376" s="30"/>
      <c r="D376" s="8"/>
      <c r="E376" s="8"/>
      <c r="F376" s="8"/>
      <c r="G376" s="8"/>
      <c r="H376" s="8"/>
      <c r="I376" s="8"/>
      <c r="J376" s="8"/>
      <c r="K376" s="8"/>
      <c r="L376" s="8"/>
      <c r="M376" s="8"/>
      <c r="N376" s="8"/>
      <c r="O376" s="8"/>
      <c r="P376" s="8"/>
      <c r="Q376" s="8"/>
      <c r="R376" s="8"/>
      <c r="S376" s="8"/>
      <c r="T376" s="8"/>
      <c r="U376" s="8"/>
      <c r="V376" s="8"/>
    </row>
    <row r="377" spans="1:22" ht="13.5" customHeight="1">
      <c r="A377" s="8"/>
      <c r="B377" s="8"/>
      <c r="C377" s="30"/>
      <c r="D377" s="8"/>
      <c r="E377" s="8"/>
      <c r="F377" s="8"/>
      <c r="G377" s="8"/>
      <c r="H377" s="8"/>
      <c r="I377" s="8"/>
      <c r="J377" s="8"/>
      <c r="K377" s="8"/>
      <c r="L377" s="8"/>
      <c r="M377" s="8"/>
      <c r="N377" s="8"/>
      <c r="O377" s="8"/>
      <c r="P377" s="8"/>
      <c r="Q377" s="8"/>
      <c r="R377" s="8"/>
      <c r="S377" s="8"/>
      <c r="T377" s="8"/>
      <c r="U377" s="8"/>
      <c r="V377" s="8"/>
    </row>
    <row r="378" spans="1:22" ht="13.5" customHeight="1">
      <c r="A378" s="8"/>
      <c r="B378" s="8"/>
      <c r="C378" s="30"/>
      <c r="D378" s="8"/>
      <c r="E378" s="8"/>
      <c r="F378" s="8"/>
      <c r="G378" s="8"/>
      <c r="H378" s="8"/>
      <c r="I378" s="8"/>
      <c r="J378" s="8"/>
      <c r="K378" s="8"/>
      <c r="L378" s="8"/>
      <c r="M378" s="8"/>
      <c r="N378" s="8"/>
      <c r="O378" s="8"/>
      <c r="P378" s="8"/>
      <c r="Q378" s="8"/>
      <c r="R378" s="8"/>
      <c r="S378" s="8"/>
      <c r="T378" s="8"/>
      <c r="U378" s="8"/>
      <c r="V378" s="8"/>
    </row>
    <row r="379" spans="1:22" ht="13.5" customHeight="1">
      <c r="A379" s="8"/>
      <c r="B379" s="8"/>
      <c r="C379" s="30"/>
      <c r="D379" s="8"/>
      <c r="E379" s="8"/>
      <c r="F379" s="8"/>
      <c r="G379" s="8"/>
      <c r="H379" s="8"/>
      <c r="I379" s="8"/>
      <c r="J379" s="8"/>
      <c r="K379" s="8"/>
      <c r="L379" s="8"/>
      <c r="M379" s="8"/>
      <c r="N379" s="8"/>
      <c r="O379" s="8"/>
      <c r="P379" s="8"/>
      <c r="Q379" s="8"/>
      <c r="R379" s="8"/>
      <c r="S379" s="8"/>
      <c r="T379" s="8"/>
      <c r="U379" s="8"/>
      <c r="V379" s="8"/>
    </row>
    <row r="380" spans="1:22" ht="13.5" customHeight="1">
      <c r="A380" s="8"/>
      <c r="B380" s="8"/>
      <c r="C380" s="30"/>
      <c r="D380" s="8"/>
      <c r="E380" s="8"/>
      <c r="F380" s="8"/>
      <c r="G380" s="8"/>
      <c r="H380" s="8"/>
      <c r="I380" s="8"/>
      <c r="J380" s="8"/>
      <c r="K380" s="8"/>
      <c r="L380" s="8"/>
      <c r="M380" s="8"/>
      <c r="N380" s="8"/>
      <c r="O380" s="8"/>
      <c r="P380" s="8"/>
      <c r="Q380" s="8"/>
      <c r="R380" s="8"/>
      <c r="S380" s="8"/>
      <c r="T380" s="8"/>
      <c r="U380" s="8"/>
      <c r="V380" s="8"/>
    </row>
    <row r="381" spans="1:22" ht="13.5" customHeight="1">
      <c r="A381" s="8"/>
      <c r="B381" s="8"/>
      <c r="C381" s="30"/>
      <c r="D381" s="8"/>
      <c r="E381" s="8"/>
      <c r="F381" s="8"/>
      <c r="G381" s="8"/>
      <c r="H381" s="8"/>
      <c r="I381" s="8"/>
      <c r="J381" s="8"/>
      <c r="K381" s="8"/>
      <c r="L381" s="8"/>
      <c r="M381" s="8"/>
      <c r="N381" s="8"/>
      <c r="O381" s="8"/>
      <c r="P381" s="8"/>
      <c r="Q381" s="8"/>
      <c r="R381" s="8"/>
      <c r="S381" s="8"/>
      <c r="T381" s="8"/>
      <c r="U381" s="8"/>
      <c r="V381" s="8"/>
    </row>
    <row r="382" spans="1:22" ht="13.5" customHeight="1">
      <c r="A382" s="8"/>
      <c r="B382" s="8"/>
      <c r="C382" s="30"/>
      <c r="D382" s="8"/>
      <c r="E382" s="8"/>
      <c r="F382" s="8"/>
      <c r="G382" s="8"/>
      <c r="H382" s="8"/>
      <c r="I382" s="8"/>
      <c r="J382" s="8"/>
      <c r="K382" s="8"/>
      <c r="L382" s="8"/>
      <c r="M382" s="8"/>
      <c r="N382" s="8"/>
      <c r="O382" s="8"/>
      <c r="P382" s="8"/>
      <c r="Q382" s="8"/>
      <c r="R382" s="8"/>
      <c r="S382" s="8"/>
      <c r="T382" s="8"/>
      <c r="U382" s="8"/>
      <c r="V382" s="8"/>
    </row>
    <row r="383" spans="1:22" ht="13.5" customHeight="1">
      <c r="A383" s="8"/>
      <c r="B383" s="8"/>
      <c r="C383" s="30"/>
      <c r="D383" s="8"/>
      <c r="E383" s="8"/>
      <c r="F383" s="8"/>
      <c r="G383" s="8"/>
      <c r="H383" s="8"/>
      <c r="I383" s="8"/>
      <c r="J383" s="8"/>
      <c r="K383" s="8"/>
      <c r="L383" s="8"/>
      <c r="M383" s="8"/>
      <c r="N383" s="8"/>
      <c r="O383" s="8"/>
      <c r="P383" s="8"/>
      <c r="Q383" s="8"/>
      <c r="R383" s="8"/>
      <c r="S383" s="8"/>
      <c r="T383" s="8"/>
      <c r="U383" s="8"/>
      <c r="V383" s="8"/>
    </row>
    <row r="384" spans="1:22" ht="13.5" customHeight="1">
      <c r="A384" s="8"/>
      <c r="B384" s="8"/>
      <c r="C384" s="30"/>
      <c r="D384" s="8"/>
      <c r="E384" s="8"/>
      <c r="F384" s="8"/>
      <c r="G384" s="8"/>
      <c r="H384" s="8"/>
      <c r="I384" s="8"/>
      <c r="J384" s="8"/>
      <c r="K384" s="8"/>
      <c r="L384" s="8"/>
      <c r="M384" s="8"/>
      <c r="N384" s="8"/>
      <c r="O384" s="8"/>
      <c r="P384" s="8"/>
      <c r="Q384" s="8"/>
      <c r="R384" s="8"/>
      <c r="S384" s="8"/>
      <c r="T384" s="8"/>
      <c r="U384" s="8"/>
      <c r="V384" s="8"/>
    </row>
    <row r="385" spans="1:22" ht="13.5" customHeight="1">
      <c r="A385" s="8"/>
      <c r="B385" s="8"/>
      <c r="C385" s="30"/>
      <c r="D385" s="8"/>
      <c r="E385" s="8"/>
      <c r="F385" s="8"/>
      <c r="G385" s="8"/>
      <c r="H385" s="8"/>
      <c r="I385" s="8"/>
      <c r="J385" s="8"/>
      <c r="K385" s="8"/>
      <c r="L385" s="8"/>
      <c r="M385" s="8"/>
      <c r="N385" s="8"/>
      <c r="O385" s="8"/>
      <c r="P385" s="8"/>
      <c r="Q385" s="8"/>
      <c r="R385" s="8"/>
      <c r="S385" s="8"/>
      <c r="T385" s="8"/>
      <c r="U385" s="8"/>
      <c r="V385" s="8"/>
    </row>
    <row r="386" spans="1:22" ht="13.5" customHeight="1">
      <c r="A386" s="8"/>
      <c r="B386" s="8"/>
      <c r="C386" s="30"/>
      <c r="D386" s="8"/>
      <c r="E386" s="8"/>
      <c r="F386" s="8"/>
      <c r="G386" s="8"/>
      <c r="H386" s="8"/>
      <c r="I386" s="8"/>
      <c r="J386" s="8"/>
      <c r="K386" s="8"/>
      <c r="L386" s="8"/>
      <c r="M386" s="8"/>
      <c r="N386" s="8"/>
      <c r="O386" s="8"/>
      <c r="P386" s="8"/>
      <c r="Q386" s="8"/>
      <c r="R386" s="8"/>
      <c r="S386" s="8"/>
      <c r="T386" s="8"/>
      <c r="U386" s="8"/>
      <c r="V386" s="8"/>
    </row>
    <row r="387" spans="1:22" ht="13.5" customHeight="1">
      <c r="A387" s="8"/>
      <c r="B387" s="8"/>
      <c r="C387" s="30"/>
      <c r="D387" s="8"/>
      <c r="E387" s="8"/>
      <c r="F387" s="8"/>
      <c r="G387" s="8"/>
      <c r="H387" s="8"/>
      <c r="I387" s="8"/>
      <c r="J387" s="8"/>
      <c r="K387" s="8"/>
      <c r="L387" s="8"/>
      <c r="M387" s="8"/>
      <c r="N387" s="8"/>
      <c r="O387" s="8"/>
      <c r="P387" s="8"/>
      <c r="Q387" s="8"/>
      <c r="R387" s="8"/>
      <c r="S387" s="8"/>
      <c r="T387" s="8"/>
      <c r="U387" s="8"/>
      <c r="V387" s="8"/>
    </row>
    <row r="388" spans="1:22" ht="13.5" customHeight="1">
      <c r="A388" s="8"/>
      <c r="B388" s="8"/>
      <c r="C388" s="30"/>
      <c r="D388" s="8"/>
      <c r="E388" s="8"/>
      <c r="F388" s="8"/>
      <c r="G388" s="8"/>
      <c r="H388" s="8"/>
      <c r="I388" s="8"/>
      <c r="J388" s="8"/>
      <c r="K388" s="8"/>
      <c r="L388" s="8"/>
      <c r="M388" s="8"/>
      <c r="N388" s="8"/>
      <c r="O388" s="8"/>
      <c r="P388" s="8"/>
      <c r="Q388" s="8"/>
      <c r="R388" s="8"/>
      <c r="S388" s="8"/>
      <c r="T388" s="8"/>
      <c r="U388" s="8"/>
      <c r="V388" s="8"/>
    </row>
    <row r="389" spans="1:22" ht="13.5" customHeight="1">
      <c r="A389" s="8"/>
      <c r="B389" s="8"/>
      <c r="C389" s="30"/>
      <c r="D389" s="8"/>
      <c r="E389" s="8"/>
      <c r="F389" s="8"/>
      <c r="G389" s="8"/>
      <c r="H389" s="8"/>
      <c r="I389" s="8"/>
      <c r="J389" s="8"/>
      <c r="K389" s="8"/>
      <c r="L389" s="8"/>
      <c r="M389" s="8"/>
      <c r="N389" s="8"/>
      <c r="O389" s="8"/>
      <c r="P389" s="8"/>
      <c r="Q389" s="8"/>
      <c r="R389" s="8"/>
      <c r="S389" s="8"/>
      <c r="T389" s="8"/>
      <c r="U389" s="8"/>
      <c r="V389" s="8"/>
    </row>
    <row r="390" spans="1:22" ht="13.5" customHeight="1">
      <c r="A390" s="8"/>
      <c r="B390" s="8"/>
      <c r="C390" s="30"/>
      <c r="D390" s="8"/>
      <c r="E390" s="8"/>
      <c r="F390" s="8"/>
      <c r="G390" s="8"/>
      <c r="H390" s="8"/>
      <c r="I390" s="8"/>
      <c r="J390" s="8"/>
      <c r="K390" s="8"/>
      <c r="L390" s="8"/>
      <c r="M390" s="8"/>
      <c r="N390" s="8"/>
      <c r="O390" s="8"/>
      <c r="P390" s="8"/>
      <c r="Q390" s="8"/>
      <c r="R390" s="8"/>
      <c r="S390" s="8"/>
      <c r="T390" s="8"/>
      <c r="U390" s="8"/>
      <c r="V390" s="8"/>
    </row>
    <row r="391" spans="1:22" ht="13.5" customHeight="1">
      <c r="A391" s="8"/>
      <c r="B391" s="8"/>
      <c r="C391" s="30"/>
      <c r="D391" s="8"/>
      <c r="E391" s="8"/>
      <c r="F391" s="8"/>
      <c r="G391" s="8"/>
      <c r="H391" s="8"/>
      <c r="I391" s="8"/>
      <c r="J391" s="8"/>
      <c r="K391" s="8"/>
      <c r="L391" s="8"/>
      <c r="M391" s="8"/>
      <c r="N391" s="8"/>
      <c r="O391" s="8"/>
      <c r="P391" s="8"/>
      <c r="Q391" s="8"/>
      <c r="R391" s="8"/>
      <c r="S391" s="8"/>
      <c r="T391" s="8"/>
      <c r="U391" s="8"/>
      <c r="V391" s="8"/>
    </row>
    <row r="392" spans="1:22" ht="13.5" customHeight="1">
      <c r="A392" s="8"/>
      <c r="B392" s="8"/>
      <c r="C392" s="30"/>
      <c r="D392" s="8"/>
      <c r="E392" s="8"/>
      <c r="F392" s="8"/>
      <c r="G392" s="8"/>
      <c r="H392" s="8"/>
      <c r="I392" s="8"/>
      <c r="J392" s="8"/>
      <c r="K392" s="8"/>
      <c r="L392" s="8"/>
      <c r="M392" s="8"/>
      <c r="N392" s="8"/>
      <c r="O392" s="8"/>
      <c r="P392" s="8"/>
      <c r="Q392" s="8"/>
      <c r="R392" s="8"/>
      <c r="S392" s="8"/>
      <c r="T392" s="8"/>
      <c r="U392" s="8"/>
      <c r="V392" s="8"/>
    </row>
    <row r="393" spans="1:22" ht="13.5" customHeight="1">
      <c r="A393" s="8"/>
      <c r="B393" s="8"/>
      <c r="C393" s="30"/>
      <c r="D393" s="8"/>
      <c r="E393" s="8"/>
      <c r="F393" s="8"/>
      <c r="G393" s="8"/>
      <c r="H393" s="8"/>
      <c r="I393" s="8"/>
      <c r="J393" s="8"/>
      <c r="K393" s="8"/>
      <c r="L393" s="8"/>
      <c r="M393" s="8"/>
      <c r="N393" s="8"/>
      <c r="O393" s="8"/>
      <c r="P393" s="8"/>
      <c r="Q393" s="8"/>
      <c r="R393" s="8"/>
      <c r="S393" s="8"/>
      <c r="T393" s="8"/>
      <c r="U393" s="8"/>
      <c r="V393" s="8"/>
    </row>
    <row r="394" spans="1:22" ht="13.5" customHeight="1">
      <c r="A394" s="8"/>
      <c r="B394" s="8"/>
      <c r="C394" s="30"/>
      <c r="D394" s="8"/>
      <c r="E394" s="8"/>
      <c r="F394" s="8"/>
      <c r="G394" s="8"/>
      <c r="H394" s="8"/>
      <c r="I394" s="8"/>
      <c r="J394" s="8"/>
      <c r="K394" s="8"/>
      <c r="L394" s="8"/>
      <c r="M394" s="8"/>
      <c r="N394" s="8"/>
      <c r="O394" s="8"/>
      <c r="P394" s="8"/>
      <c r="Q394" s="8"/>
      <c r="R394" s="8"/>
      <c r="S394" s="8"/>
      <c r="T394" s="8"/>
      <c r="U394" s="8"/>
      <c r="V394" s="8"/>
    </row>
    <row r="395" spans="1:22" ht="13.5" customHeight="1">
      <c r="A395" s="8"/>
      <c r="B395" s="8"/>
      <c r="C395" s="30"/>
      <c r="D395" s="8"/>
      <c r="E395" s="8"/>
      <c r="F395" s="8"/>
      <c r="G395" s="8"/>
      <c r="H395" s="8"/>
      <c r="I395" s="8"/>
      <c r="J395" s="8"/>
      <c r="K395" s="8"/>
      <c r="L395" s="8"/>
      <c r="M395" s="8"/>
      <c r="N395" s="8"/>
      <c r="O395" s="8"/>
      <c r="P395" s="8"/>
      <c r="Q395" s="8"/>
      <c r="R395" s="8"/>
      <c r="S395" s="8"/>
      <c r="T395" s="8"/>
      <c r="U395" s="8"/>
      <c r="V395" s="8"/>
    </row>
    <row r="396" spans="1:22" ht="13.5" customHeight="1">
      <c r="A396" s="8"/>
      <c r="B396" s="8"/>
      <c r="C396" s="30"/>
      <c r="D396" s="8"/>
      <c r="E396" s="8"/>
      <c r="F396" s="8"/>
      <c r="G396" s="8"/>
      <c r="H396" s="8"/>
      <c r="I396" s="8"/>
      <c r="J396" s="8"/>
      <c r="K396" s="8"/>
      <c r="L396" s="8"/>
      <c r="M396" s="8"/>
      <c r="N396" s="8"/>
      <c r="O396" s="8"/>
      <c r="P396" s="8"/>
      <c r="Q396" s="8"/>
      <c r="R396" s="8"/>
      <c r="S396" s="8"/>
      <c r="T396" s="8"/>
      <c r="U396" s="8"/>
      <c r="V396" s="8"/>
    </row>
    <row r="397" spans="1:22" ht="13.5" customHeight="1">
      <c r="A397" s="8"/>
      <c r="B397" s="8"/>
      <c r="C397" s="30"/>
      <c r="D397" s="8"/>
      <c r="E397" s="8"/>
      <c r="F397" s="8"/>
      <c r="G397" s="8"/>
      <c r="H397" s="8"/>
      <c r="I397" s="8"/>
      <c r="J397" s="8"/>
      <c r="K397" s="8"/>
      <c r="L397" s="8"/>
      <c r="M397" s="8"/>
      <c r="N397" s="8"/>
      <c r="O397" s="8"/>
      <c r="P397" s="8"/>
      <c r="Q397" s="8"/>
      <c r="R397" s="8"/>
      <c r="S397" s="8"/>
      <c r="T397" s="8"/>
      <c r="U397" s="8"/>
      <c r="V397" s="8"/>
    </row>
    <row r="398" spans="1:22" ht="13.5" customHeight="1">
      <c r="A398" s="8"/>
      <c r="B398" s="8"/>
      <c r="C398" s="30"/>
      <c r="D398" s="8"/>
      <c r="E398" s="8"/>
      <c r="F398" s="8"/>
      <c r="G398" s="8"/>
      <c r="H398" s="8"/>
      <c r="I398" s="8"/>
      <c r="J398" s="8"/>
      <c r="K398" s="8"/>
      <c r="L398" s="8"/>
      <c r="M398" s="8"/>
      <c r="N398" s="8"/>
      <c r="O398" s="8"/>
      <c r="P398" s="8"/>
      <c r="Q398" s="8"/>
      <c r="R398" s="8"/>
      <c r="S398" s="8"/>
      <c r="T398" s="8"/>
      <c r="U398" s="8"/>
      <c r="V398" s="8"/>
    </row>
    <row r="399" spans="1:22" ht="13.5" customHeight="1">
      <c r="A399" s="8"/>
      <c r="B399" s="8"/>
      <c r="C399" s="30"/>
      <c r="D399" s="8"/>
      <c r="E399" s="8"/>
      <c r="F399" s="8"/>
      <c r="G399" s="8"/>
      <c r="H399" s="8"/>
      <c r="I399" s="8"/>
      <c r="J399" s="8"/>
      <c r="K399" s="8"/>
      <c r="L399" s="8"/>
      <c r="M399" s="8"/>
      <c r="N399" s="8"/>
      <c r="O399" s="8"/>
      <c r="P399" s="8"/>
      <c r="Q399" s="8"/>
      <c r="R399" s="8"/>
      <c r="S399" s="8"/>
      <c r="T399" s="8"/>
      <c r="U399" s="8"/>
      <c r="V399" s="8"/>
    </row>
    <row r="400" spans="1:22" ht="13.5" customHeight="1">
      <c r="A400" s="8"/>
      <c r="B400" s="8"/>
      <c r="C400" s="30"/>
      <c r="D400" s="8"/>
      <c r="E400" s="8"/>
      <c r="F400" s="8"/>
      <c r="G400" s="8"/>
      <c r="H400" s="8"/>
      <c r="I400" s="8"/>
      <c r="J400" s="8"/>
      <c r="K400" s="8"/>
      <c r="L400" s="8"/>
      <c r="M400" s="8"/>
      <c r="N400" s="8"/>
      <c r="O400" s="8"/>
      <c r="P400" s="8"/>
      <c r="Q400" s="8"/>
      <c r="R400" s="8"/>
      <c r="S400" s="8"/>
      <c r="T400" s="8"/>
      <c r="U400" s="8"/>
      <c r="V400" s="8"/>
    </row>
    <row r="401" spans="1:22" ht="13.5" customHeight="1">
      <c r="A401" s="8"/>
      <c r="B401" s="8"/>
      <c r="C401" s="30"/>
      <c r="D401" s="8"/>
      <c r="E401" s="8"/>
      <c r="F401" s="8"/>
      <c r="G401" s="8"/>
      <c r="H401" s="8"/>
      <c r="I401" s="8"/>
      <c r="J401" s="8"/>
      <c r="K401" s="8"/>
      <c r="L401" s="8"/>
      <c r="M401" s="8"/>
      <c r="N401" s="8"/>
      <c r="O401" s="8"/>
      <c r="P401" s="8"/>
      <c r="Q401" s="8"/>
      <c r="R401" s="8"/>
      <c r="S401" s="8"/>
      <c r="T401" s="8"/>
      <c r="U401" s="8"/>
      <c r="V401" s="8"/>
    </row>
    <row r="402" spans="1:22" ht="13.5" customHeight="1">
      <c r="A402" s="8"/>
      <c r="B402" s="8"/>
      <c r="C402" s="30"/>
      <c r="D402" s="8"/>
      <c r="E402" s="8"/>
      <c r="F402" s="8"/>
      <c r="G402" s="8"/>
      <c r="H402" s="8"/>
      <c r="I402" s="8"/>
      <c r="J402" s="8"/>
      <c r="K402" s="8"/>
      <c r="L402" s="8"/>
      <c r="M402" s="8"/>
      <c r="N402" s="8"/>
      <c r="O402" s="8"/>
      <c r="P402" s="8"/>
      <c r="Q402" s="8"/>
      <c r="R402" s="8"/>
      <c r="S402" s="8"/>
      <c r="T402" s="8"/>
      <c r="U402" s="8"/>
      <c r="V402" s="8"/>
    </row>
    <row r="403" spans="1:22" ht="13.5" customHeight="1">
      <c r="A403" s="8"/>
      <c r="B403" s="8"/>
      <c r="C403" s="30"/>
      <c r="D403" s="8"/>
      <c r="E403" s="8"/>
      <c r="F403" s="8"/>
      <c r="G403" s="8"/>
      <c r="H403" s="8"/>
      <c r="I403" s="8"/>
      <c r="J403" s="8"/>
      <c r="K403" s="8"/>
      <c r="L403" s="8"/>
      <c r="M403" s="8"/>
      <c r="N403" s="8"/>
      <c r="O403" s="8"/>
      <c r="P403" s="8"/>
      <c r="Q403" s="8"/>
      <c r="R403" s="8"/>
      <c r="S403" s="8"/>
      <c r="T403" s="8"/>
      <c r="U403" s="8"/>
      <c r="V403" s="8"/>
    </row>
    <row r="404" spans="1:22" ht="13.5" customHeight="1">
      <c r="A404" s="8"/>
      <c r="B404" s="8"/>
      <c r="C404" s="30"/>
      <c r="D404" s="8"/>
      <c r="E404" s="8"/>
      <c r="F404" s="8"/>
      <c r="G404" s="8"/>
      <c r="H404" s="8"/>
      <c r="I404" s="8"/>
      <c r="J404" s="8"/>
      <c r="K404" s="8"/>
      <c r="L404" s="8"/>
      <c r="M404" s="8"/>
      <c r="N404" s="8"/>
      <c r="O404" s="8"/>
      <c r="P404" s="8"/>
      <c r="Q404" s="8"/>
      <c r="R404" s="8"/>
      <c r="S404" s="8"/>
      <c r="T404" s="8"/>
      <c r="U404" s="8"/>
      <c r="V404" s="8"/>
    </row>
    <row r="405" spans="1:22" ht="13.5" customHeight="1">
      <c r="A405" s="8"/>
      <c r="B405" s="8"/>
      <c r="C405" s="30"/>
      <c r="D405" s="8"/>
      <c r="E405" s="8"/>
      <c r="F405" s="8"/>
      <c r="G405" s="8"/>
      <c r="H405" s="8"/>
      <c r="I405" s="8"/>
      <c r="J405" s="8"/>
      <c r="K405" s="8"/>
      <c r="L405" s="8"/>
      <c r="M405" s="8"/>
      <c r="N405" s="8"/>
      <c r="O405" s="8"/>
      <c r="P405" s="8"/>
      <c r="Q405" s="8"/>
      <c r="R405" s="8"/>
      <c r="S405" s="8"/>
      <c r="T405" s="8"/>
      <c r="U405" s="8"/>
      <c r="V405" s="8"/>
    </row>
    <row r="406" spans="1:22" ht="13.5" customHeight="1">
      <c r="A406" s="8"/>
      <c r="B406" s="8"/>
      <c r="C406" s="30"/>
      <c r="D406" s="8"/>
      <c r="E406" s="8"/>
      <c r="F406" s="8"/>
      <c r="G406" s="8"/>
      <c r="H406" s="8"/>
      <c r="I406" s="8"/>
      <c r="J406" s="8"/>
      <c r="K406" s="8"/>
      <c r="L406" s="8"/>
      <c r="M406" s="8"/>
      <c r="N406" s="8"/>
      <c r="O406" s="8"/>
      <c r="P406" s="8"/>
      <c r="Q406" s="8"/>
      <c r="R406" s="8"/>
      <c r="S406" s="8"/>
      <c r="T406" s="8"/>
      <c r="U406" s="8"/>
      <c r="V406" s="8"/>
    </row>
    <row r="407" spans="1:22" ht="13.5" customHeight="1">
      <c r="A407" s="8"/>
      <c r="B407" s="8"/>
      <c r="C407" s="30"/>
      <c r="D407" s="8"/>
      <c r="E407" s="8"/>
      <c r="F407" s="8"/>
      <c r="G407" s="8"/>
      <c r="H407" s="8"/>
      <c r="I407" s="8"/>
      <c r="J407" s="8"/>
      <c r="K407" s="8"/>
      <c r="L407" s="8"/>
      <c r="M407" s="8"/>
      <c r="N407" s="8"/>
      <c r="O407" s="8"/>
      <c r="P407" s="8"/>
      <c r="Q407" s="8"/>
      <c r="R407" s="8"/>
      <c r="S407" s="8"/>
      <c r="T407" s="8"/>
      <c r="U407" s="8"/>
      <c r="V407" s="8"/>
    </row>
    <row r="408" spans="1:22" ht="13.5" customHeight="1">
      <c r="A408" s="8"/>
      <c r="B408" s="8"/>
      <c r="C408" s="30"/>
      <c r="D408" s="8"/>
      <c r="E408" s="8"/>
      <c r="F408" s="8"/>
      <c r="G408" s="8"/>
      <c r="H408" s="8"/>
      <c r="I408" s="8"/>
      <c r="J408" s="8"/>
      <c r="K408" s="8"/>
      <c r="L408" s="8"/>
      <c r="M408" s="8"/>
      <c r="N408" s="8"/>
      <c r="O408" s="8"/>
      <c r="P408" s="8"/>
      <c r="Q408" s="8"/>
      <c r="R408" s="8"/>
      <c r="S408" s="8"/>
      <c r="T408" s="8"/>
      <c r="U408" s="8"/>
      <c r="V408" s="8"/>
    </row>
    <row r="409" spans="1:22" ht="13.5" customHeight="1">
      <c r="A409" s="8"/>
      <c r="B409" s="8"/>
      <c r="C409" s="30"/>
      <c r="D409" s="8"/>
      <c r="E409" s="8"/>
      <c r="F409" s="8"/>
      <c r="G409" s="8"/>
      <c r="H409" s="8"/>
      <c r="I409" s="8"/>
      <c r="J409" s="8"/>
      <c r="K409" s="8"/>
      <c r="L409" s="8"/>
      <c r="M409" s="8"/>
      <c r="N409" s="8"/>
      <c r="O409" s="8"/>
      <c r="P409" s="8"/>
      <c r="Q409" s="8"/>
      <c r="R409" s="8"/>
      <c r="S409" s="8"/>
      <c r="T409" s="8"/>
      <c r="U409" s="8"/>
      <c r="V409" s="8"/>
    </row>
    <row r="410" spans="1:22" ht="13.5" customHeight="1">
      <c r="A410" s="8"/>
      <c r="B410" s="8"/>
      <c r="C410" s="30"/>
      <c r="D410" s="8"/>
      <c r="E410" s="8"/>
      <c r="F410" s="8"/>
      <c r="G410" s="8"/>
      <c r="H410" s="8"/>
      <c r="I410" s="8"/>
      <c r="J410" s="8"/>
      <c r="K410" s="8"/>
      <c r="L410" s="8"/>
      <c r="M410" s="8"/>
      <c r="N410" s="8"/>
      <c r="O410" s="8"/>
      <c r="P410" s="8"/>
      <c r="Q410" s="8"/>
      <c r="R410" s="8"/>
      <c r="S410" s="8"/>
      <c r="T410" s="8"/>
      <c r="U410" s="8"/>
      <c r="V410" s="8"/>
    </row>
    <row r="411" spans="1:22" ht="13.5" customHeight="1">
      <c r="A411" s="8"/>
      <c r="B411" s="8"/>
      <c r="C411" s="30"/>
      <c r="D411" s="8"/>
      <c r="E411" s="8"/>
      <c r="F411" s="8"/>
      <c r="G411" s="8"/>
      <c r="H411" s="8"/>
      <c r="I411" s="8"/>
      <c r="J411" s="8"/>
      <c r="K411" s="8"/>
      <c r="L411" s="8"/>
      <c r="M411" s="8"/>
      <c r="N411" s="8"/>
      <c r="O411" s="8"/>
      <c r="P411" s="8"/>
      <c r="Q411" s="8"/>
      <c r="R411" s="8"/>
      <c r="S411" s="8"/>
      <c r="T411" s="8"/>
      <c r="U411" s="8"/>
      <c r="V411" s="8"/>
    </row>
    <row r="412" spans="1:22" ht="13.5" customHeight="1">
      <c r="A412" s="8"/>
      <c r="B412" s="8"/>
      <c r="C412" s="30"/>
      <c r="D412" s="8"/>
      <c r="E412" s="8"/>
      <c r="F412" s="8"/>
      <c r="G412" s="8"/>
      <c r="H412" s="8"/>
      <c r="I412" s="8"/>
      <c r="J412" s="8"/>
      <c r="K412" s="8"/>
      <c r="L412" s="8"/>
      <c r="M412" s="8"/>
      <c r="N412" s="8"/>
      <c r="O412" s="8"/>
      <c r="P412" s="8"/>
      <c r="Q412" s="8"/>
      <c r="R412" s="8"/>
      <c r="S412" s="8"/>
      <c r="T412" s="8"/>
      <c r="U412" s="8"/>
      <c r="V412" s="8"/>
    </row>
    <row r="413" spans="1:22" ht="13.5" customHeight="1">
      <c r="A413" s="8"/>
      <c r="B413" s="8"/>
      <c r="C413" s="30"/>
      <c r="D413" s="8"/>
      <c r="E413" s="8"/>
      <c r="F413" s="8"/>
      <c r="G413" s="8"/>
      <c r="H413" s="8"/>
      <c r="I413" s="8"/>
      <c r="J413" s="8"/>
      <c r="K413" s="8"/>
      <c r="L413" s="8"/>
      <c r="M413" s="8"/>
      <c r="N413" s="8"/>
      <c r="O413" s="8"/>
      <c r="P413" s="8"/>
      <c r="Q413" s="8"/>
      <c r="R413" s="8"/>
      <c r="S413" s="8"/>
      <c r="T413" s="8"/>
      <c r="U413" s="8"/>
      <c r="V413" s="8"/>
    </row>
    <row r="414" spans="1:22" ht="13.5" customHeight="1">
      <c r="A414" s="8"/>
      <c r="B414" s="8"/>
      <c r="C414" s="30"/>
      <c r="D414" s="8"/>
      <c r="E414" s="8"/>
      <c r="F414" s="8"/>
      <c r="G414" s="8"/>
      <c r="H414" s="8"/>
      <c r="I414" s="8"/>
      <c r="J414" s="8"/>
      <c r="K414" s="8"/>
      <c r="L414" s="8"/>
      <c r="M414" s="8"/>
      <c r="N414" s="8"/>
      <c r="O414" s="8"/>
      <c r="P414" s="8"/>
      <c r="Q414" s="8"/>
      <c r="R414" s="8"/>
      <c r="S414" s="8"/>
      <c r="T414" s="8"/>
      <c r="U414" s="8"/>
      <c r="V414" s="8"/>
    </row>
    <row r="415" spans="1:22" ht="13.5" customHeight="1">
      <c r="A415" s="8"/>
      <c r="B415" s="8"/>
      <c r="C415" s="30"/>
      <c r="D415" s="8"/>
      <c r="E415" s="8"/>
      <c r="F415" s="8"/>
      <c r="G415" s="8"/>
      <c r="H415" s="8"/>
      <c r="I415" s="8"/>
      <c r="J415" s="8"/>
      <c r="K415" s="8"/>
      <c r="L415" s="8"/>
      <c r="M415" s="8"/>
      <c r="N415" s="8"/>
      <c r="O415" s="8"/>
      <c r="P415" s="8"/>
      <c r="Q415" s="8"/>
      <c r="R415" s="8"/>
      <c r="S415" s="8"/>
      <c r="T415" s="8"/>
      <c r="U415" s="8"/>
      <c r="V415" s="8"/>
    </row>
    <row r="416" spans="1:22" ht="13.5" customHeight="1">
      <c r="A416" s="8"/>
      <c r="B416" s="8"/>
      <c r="C416" s="30"/>
      <c r="D416" s="8"/>
      <c r="E416" s="8"/>
      <c r="F416" s="8"/>
      <c r="G416" s="8"/>
      <c r="H416" s="8"/>
      <c r="I416" s="8"/>
      <c r="J416" s="8"/>
      <c r="K416" s="8"/>
      <c r="L416" s="8"/>
      <c r="M416" s="8"/>
      <c r="N416" s="8"/>
      <c r="O416" s="8"/>
      <c r="P416" s="8"/>
      <c r="Q416" s="8"/>
      <c r="R416" s="8"/>
      <c r="S416" s="8"/>
      <c r="T416" s="8"/>
      <c r="U416" s="8"/>
      <c r="V416" s="8"/>
    </row>
    <row r="417" spans="1:22" ht="13.5" customHeight="1">
      <c r="A417" s="8"/>
      <c r="B417" s="8"/>
      <c r="C417" s="30"/>
      <c r="D417" s="8"/>
      <c r="E417" s="8"/>
      <c r="F417" s="8"/>
      <c r="G417" s="8"/>
      <c r="H417" s="8"/>
      <c r="I417" s="8"/>
      <c r="J417" s="8"/>
      <c r="K417" s="8"/>
      <c r="L417" s="8"/>
      <c r="M417" s="8"/>
      <c r="N417" s="8"/>
      <c r="O417" s="8"/>
      <c r="P417" s="8"/>
      <c r="Q417" s="8"/>
      <c r="R417" s="8"/>
      <c r="S417" s="8"/>
      <c r="T417" s="8"/>
      <c r="U417" s="8"/>
      <c r="V417" s="8"/>
    </row>
    <row r="418" spans="1:22" ht="13.5" customHeight="1">
      <c r="A418" s="8"/>
      <c r="B418" s="8"/>
      <c r="C418" s="30"/>
      <c r="D418" s="8"/>
      <c r="E418" s="8"/>
      <c r="F418" s="8"/>
      <c r="G418" s="8"/>
      <c r="H418" s="8"/>
      <c r="I418" s="8"/>
      <c r="J418" s="8"/>
      <c r="K418" s="8"/>
      <c r="L418" s="8"/>
      <c r="M418" s="8"/>
      <c r="N418" s="8"/>
      <c r="O418" s="8"/>
      <c r="P418" s="8"/>
      <c r="Q418" s="8"/>
      <c r="R418" s="8"/>
      <c r="S418" s="8"/>
      <c r="T418" s="8"/>
      <c r="U418" s="8"/>
      <c r="V418" s="8"/>
    </row>
    <row r="419" spans="1:22" ht="13.5" customHeight="1">
      <c r="A419" s="8"/>
      <c r="B419" s="8"/>
      <c r="C419" s="30"/>
      <c r="D419" s="8"/>
      <c r="E419" s="8"/>
      <c r="F419" s="8"/>
      <c r="G419" s="8"/>
      <c r="H419" s="8"/>
      <c r="I419" s="8"/>
      <c r="J419" s="8"/>
      <c r="K419" s="8"/>
      <c r="L419" s="8"/>
      <c r="M419" s="8"/>
      <c r="N419" s="8"/>
      <c r="O419" s="8"/>
      <c r="P419" s="8"/>
      <c r="Q419" s="8"/>
      <c r="R419" s="8"/>
      <c r="S419" s="8"/>
      <c r="T419" s="8"/>
      <c r="U419" s="8"/>
      <c r="V419" s="8"/>
    </row>
    <row r="420" spans="1:22" ht="13.5" customHeight="1">
      <c r="A420" s="8"/>
      <c r="B420" s="8"/>
      <c r="C420" s="30"/>
      <c r="D420" s="8"/>
      <c r="E420" s="8"/>
      <c r="F420" s="8"/>
      <c r="G420" s="8"/>
      <c r="H420" s="8"/>
      <c r="I420" s="8"/>
      <c r="J420" s="8"/>
      <c r="K420" s="8"/>
      <c r="L420" s="8"/>
      <c r="M420" s="8"/>
      <c r="N420" s="8"/>
      <c r="O420" s="8"/>
      <c r="P420" s="8"/>
      <c r="Q420" s="8"/>
      <c r="R420" s="8"/>
      <c r="S420" s="8"/>
      <c r="T420" s="8"/>
      <c r="U420" s="8"/>
      <c r="V420" s="8"/>
    </row>
    <row r="421" spans="1:22" ht="13.5" customHeight="1">
      <c r="A421" s="8"/>
      <c r="B421" s="8"/>
      <c r="C421" s="30"/>
      <c r="D421" s="8"/>
      <c r="E421" s="8"/>
      <c r="F421" s="8"/>
      <c r="G421" s="8"/>
      <c r="H421" s="8"/>
      <c r="I421" s="8"/>
      <c r="J421" s="8"/>
      <c r="K421" s="8"/>
      <c r="L421" s="8"/>
      <c r="M421" s="8"/>
      <c r="N421" s="8"/>
      <c r="O421" s="8"/>
      <c r="P421" s="8"/>
      <c r="Q421" s="8"/>
      <c r="R421" s="8"/>
      <c r="S421" s="8"/>
      <c r="T421" s="8"/>
      <c r="U421" s="8"/>
      <c r="V421" s="8"/>
    </row>
    <row r="422" spans="1:22" ht="13.5" customHeight="1">
      <c r="A422" s="8"/>
      <c r="B422" s="8"/>
      <c r="C422" s="30"/>
      <c r="D422" s="8"/>
      <c r="E422" s="8"/>
      <c r="F422" s="8"/>
      <c r="G422" s="8"/>
      <c r="H422" s="8"/>
      <c r="I422" s="8"/>
      <c r="J422" s="8"/>
      <c r="K422" s="8"/>
      <c r="L422" s="8"/>
      <c r="M422" s="8"/>
      <c r="N422" s="8"/>
      <c r="O422" s="8"/>
      <c r="P422" s="8"/>
      <c r="Q422" s="8"/>
      <c r="R422" s="8"/>
      <c r="S422" s="8"/>
      <c r="T422" s="8"/>
      <c r="U422" s="8"/>
      <c r="V422" s="8"/>
    </row>
    <row r="423" spans="1:22" ht="13.5" customHeight="1">
      <c r="A423" s="8"/>
      <c r="B423" s="8"/>
      <c r="C423" s="30"/>
      <c r="D423" s="8"/>
      <c r="E423" s="8"/>
      <c r="F423" s="8"/>
      <c r="G423" s="8"/>
      <c r="H423" s="8"/>
      <c r="I423" s="8"/>
      <c r="J423" s="8"/>
      <c r="K423" s="8"/>
      <c r="L423" s="8"/>
      <c r="M423" s="8"/>
      <c r="N423" s="8"/>
      <c r="O423" s="8"/>
      <c r="P423" s="8"/>
      <c r="Q423" s="8"/>
      <c r="R423" s="8"/>
      <c r="S423" s="8"/>
      <c r="T423" s="8"/>
      <c r="U423" s="8"/>
      <c r="V423" s="8"/>
    </row>
    <row r="424" spans="1:22" ht="13.5" customHeight="1">
      <c r="A424" s="8"/>
      <c r="B424" s="8"/>
      <c r="C424" s="30"/>
      <c r="D424" s="8"/>
      <c r="E424" s="8"/>
      <c r="F424" s="8"/>
      <c r="G424" s="8"/>
      <c r="H424" s="8"/>
      <c r="I424" s="8"/>
      <c r="J424" s="8"/>
      <c r="K424" s="8"/>
      <c r="L424" s="8"/>
      <c r="M424" s="8"/>
      <c r="N424" s="8"/>
      <c r="O424" s="8"/>
      <c r="P424" s="8"/>
      <c r="Q424" s="8"/>
      <c r="R424" s="8"/>
      <c r="S424" s="8"/>
      <c r="T424" s="8"/>
      <c r="U424" s="8"/>
      <c r="V424" s="8"/>
    </row>
    <row r="425" spans="1:22" ht="13.5" customHeight="1">
      <c r="A425" s="8"/>
      <c r="B425" s="8"/>
      <c r="C425" s="30"/>
      <c r="D425" s="8"/>
      <c r="E425" s="8"/>
      <c r="F425" s="8"/>
      <c r="G425" s="8"/>
      <c r="H425" s="8"/>
      <c r="I425" s="8"/>
      <c r="J425" s="8"/>
      <c r="K425" s="8"/>
      <c r="L425" s="8"/>
      <c r="M425" s="8"/>
      <c r="N425" s="8"/>
      <c r="O425" s="8"/>
      <c r="P425" s="8"/>
      <c r="Q425" s="8"/>
      <c r="R425" s="8"/>
      <c r="S425" s="8"/>
      <c r="T425" s="8"/>
      <c r="U425" s="8"/>
      <c r="V425" s="8"/>
    </row>
    <row r="426" spans="1:22" ht="13.5" customHeight="1">
      <c r="A426" s="8"/>
      <c r="B426" s="8"/>
      <c r="C426" s="30"/>
      <c r="D426" s="8"/>
      <c r="E426" s="8"/>
      <c r="F426" s="8"/>
      <c r="G426" s="8"/>
      <c r="H426" s="8"/>
      <c r="I426" s="8"/>
      <c r="J426" s="8"/>
      <c r="K426" s="8"/>
      <c r="L426" s="8"/>
      <c r="M426" s="8"/>
      <c r="N426" s="8"/>
      <c r="O426" s="8"/>
      <c r="P426" s="8"/>
      <c r="Q426" s="8"/>
      <c r="R426" s="8"/>
      <c r="S426" s="8"/>
      <c r="T426" s="8"/>
      <c r="U426" s="8"/>
      <c r="V426" s="8"/>
    </row>
    <row r="427" spans="1:22" ht="13.5" customHeight="1">
      <c r="A427" s="8"/>
      <c r="B427" s="8"/>
      <c r="C427" s="30"/>
      <c r="D427" s="8"/>
      <c r="E427" s="8"/>
      <c r="F427" s="8"/>
      <c r="G427" s="8"/>
      <c r="H427" s="8"/>
      <c r="I427" s="8"/>
      <c r="J427" s="8"/>
      <c r="K427" s="8"/>
      <c r="L427" s="8"/>
      <c r="M427" s="8"/>
      <c r="N427" s="8"/>
      <c r="O427" s="8"/>
      <c r="P427" s="8"/>
      <c r="Q427" s="8"/>
      <c r="R427" s="8"/>
      <c r="S427" s="8"/>
      <c r="T427" s="8"/>
      <c r="U427" s="8"/>
      <c r="V427" s="8"/>
    </row>
    <row r="428" spans="1:22" ht="13.5" customHeight="1">
      <c r="A428" s="8"/>
      <c r="B428" s="8"/>
      <c r="C428" s="30"/>
      <c r="D428" s="8"/>
      <c r="E428" s="8"/>
      <c r="F428" s="8"/>
      <c r="G428" s="8"/>
      <c r="H428" s="8"/>
      <c r="I428" s="8"/>
      <c r="J428" s="8"/>
      <c r="K428" s="8"/>
      <c r="L428" s="8"/>
      <c r="M428" s="8"/>
      <c r="N428" s="8"/>
      <c r="O428" s="8"/>
      <c r="P428" s="8"/>
      <c r="Q428" s="8"/>
      <c r="R428" s="8"/>
      <c r="S428" s="8"/>
      <c r="T428" s="8"/>
      <c r="U428" s="8"/>
      <c r="V428" s="8"/>
    </row>
    <row r="429" spans="1:22" ht="13.5" customHeight="1">
      <c r="A429" s="8"/>
      <c r="B429" s="8"/>
      <c r="C429" s="30"/>
      <c r="D429" s="8"/>
      <c r="E429" s="8"/>
      <c r="F429" s="8"/>
      <c r="G429" s="8"/>
      <c r="H429" s="8"/>
      <c r="I429" s="8"/>
      <c r="J429" s="8"/>
      <c r="K429" s="8"/>
      <c r="L429" s="8"/>
      <c r="M429" s="8"/>
      <c r="N429" s="8"/>
      <c r="O429" s="8"/>
      <c r="P429" s="8"/>
      <c r="Q429" s="8"/>
      <c r="R429" s="8"/>
      <c r="S429" s="8"/>
      <c r="T429" s="8"/>
      <c r="U429" s="8"/>
      <c r="V429" s="8"/>
    </row>
    <row r="430" spans="1:22" ht="13.5" customHeight="1">
      <c r="A430" s="8"/>
      <c r="B430" s="8"/>
      <c r="C430" s="30"/>
      <c r="D430" s="8"/>
      <c r="E430" s="8"/>
      <c r="F430" s="8"/>
      <c r="G430" s="8"/>
      <c r="H430" s="8"/>
      <c r="I430" s="8"/>
      <c r="J430" s="8"/>
      <c r="K430" s="8"/>
      <c r="L430" s="8"/>
      <c r="M430" s="8"/>
      <c r="N430" s="8"/>
      <c r="O430" s="8"/>
      <c r="P430" s="8"/>
      <c r="Q430" s="8"/>
      <c r="R430" s="8"/>
      <c r="S430" s="8"/>
      <c r="T430" s="8"/>
      <c r="U430" s="8"/>
      <c r="V430" s="8"/>
    </row>
    <row r="431" spans="1:22" ht="13.5" customHeight="1">
      <c r="A431" s="8"/>
      <c r="B431" s="8"/>
      <c r="C431" s="30"/>
      <c r="D431" s="8"/>
      <c r="E431" s="8"/>
      <c r="F431" s="8"/>
      <c r="G431" s="8"/>
      <c r="H431" s="8"/>
      <c r="I431" s="8"/>
      <c r="J431" s="8"/>
      <c r="K431" s="8"/>
      <c r="L431" s="8"/>
      <c r="M431" s="8"/>
      <c r="N431" s="8"/>
      <c r="O431" s="8"/>
      <c r="P431" s="8"/>
      <c r="Q431" s="8"/>
      <c r="R431" s="8"/>
      <c r="S431" s="8"/>
      <c r="T431" s="8"/>
      <c r="U431" s="8"/>
      <c r="V431" s="8"/>
    </row>
    <row r="432" spans="1:22" ht="13.5" customHeight="1">
      <c r="A432" s="8"/>
      <c r="B432" s="8"/>
      <c r="C432" s="30"/>
      <c r="D432" s="8"/>
      <c r="E432" s="8"/>
      <c r="F432" s="8"/>
      <c r="G432" s="8"/>
      <c r="H432" s="8"/>
      <c r="I432" s="8"/>
      <c r="J432" s="8"/>
      <c r="K432" s="8"/>
      <c r="L432" s="8"/>
      <c r="M432" s="8"/>
      <c r="N432" s="8"/>
      <c r="O432" s="8"/>
      <c r="P432" s="8"/>
      <c r="Q432" s="8"/>
      <c r="R432" s="8"/>
      <c r="S432" s="8"/>
      <c r="T432" s="8"/>
      <c r="U432" s="8"/>
      <c r="V432" s="8"/>
    </row>
    <row r="433" spans="1:22" ht="13.5" customHeight="1">
      <c r="A433" s="8"/>
      <c r="B433" s="8"/>
      <c r="C433" s="30"/>
      <c r="D433" s="8"/>
      <c r="E433" s="8"/>
      <c r="F433" s="8"/>
      <c r="G433" s="8"/>
      <c r="H433" s="8"/>
      <c r="I433" s="8"/>
      <c r="J433" s="8"/>
      <c r="K433" s="8"/>
      <c r="L433" s="8"/>
      <c r="M433" s="8"/>
      <c r="N433" s="8"/>
      <c r="O433" s="8"/>
      <c r="P433" s="8"/>
      <c r="Q433" s="8"/>
      <c r="R433" s="8"/>
      <c r="S433" s="8"/>
      <c r="T433" s="8"/>
      <c r="U433" s="8"/>
      <c r="V433" s="8"/>
    </row>
    <row r="434" spans="1:22" ht="13.5" customHeight="1">
      <c r="A434" s="8"/>
      <c r="B434" s="8"/>
      <c r="C434" s="30"/>
      <c r="D434" s="8"/>
      <c r="E434" s="8"/>
      <c r="F434" s="8"/>
      <c r="G434" s="8"/>
      <c r="H434" s="8"/>
      <c r="I434" s="8"/>
      <c r="J434" s="8"/>
      <c r="K434" s="8"/>
      <c r="L434" s="8"/>
      <c r="M434" s="8"/>
      <c r="N434" s="8"/>
      <c r="O434" s="8"/>
      <c r="P434" s="8"/>
      <c r="Q434" s="8"/>
      <c r="R434" s="8"/>
      <c r="S434" s="8"/>
      <c r="T434" s="8"/>
      <c r="U434" s="8"/>
      <c r="V434" s="8"/>
    </row>
    <row r="435" spans="1:22" ht="13.5" customHeight="1">
      <c r="A435" s="8"/>
      <c r="B435" s="8"/>
      <c r="C435" s="30"/>
      <c r="D435" s="8"/>
      <c r="E435" s="8"/>
      <c r="F435" s="8"/>
      <c r="G435" s="8"/>
      <c r="H435" s="8"/>
      <c r="I435" s="8"/>
      <c r="J435" s="8"/>
      <c r="K435" s="8"/>
      <c r="L435" s="8"/>
      <c r="M435" s="8"/>
      <c r="N435" s="8"/>
      <c r="O435" s="8"/>
      <c r="P435" s="8"/>
      <c r="Q435" s="8"/>
      <c r="R435" s="8"/>
      <c r="S435" s="8"/>
      <c r="T435" s="8"/>
      <c r="U435" s="8"/>
      <c r="V435" s="8"/>
    </row>
    <row r="436" spans="1:22" ht="13.5" customHeight="1">
      <c r="A436" s="8"/>
      <c r="B436" s="8"/>
      <c r="C436" s="30"/>
      <c r="D436" s="8"/>
      <c r="E436" s="8"/>
      <c r="F436" s="8"/>
      <c r="G436" s="8"/>
      <c r="H436" s="8"/>
      <c r="I436" s="8"/>
      <c r="J436" s="8"/>
      <c r="K436" s="8"/>
      <c r="L436" s="8"/>
      <c r="M436" s="8"/>
      <c r="N436" s="8"/>
      <c r="O436" s="8"/>
      <c r="P436" s="8"/>
      <c r="Q436" s="8"/>
      <c r="R436" s="8"/>
      <c r="S436" s="8"/>
      <c r="T436" s="8"/>
      <c r="U436" s="8"/>
      <c r="V436" s="8"/>
    </row>
    <row r="437" spans="1:22" ht="13.5" customHeight="1">
      <c r="A437" s="8"/>
      <c r="B437" s="8"/>
      <c r="C437" s="30"/>
      <c r="D437" s="8"/>
      <c r="E437" s="8"/>
      <c r="F437" s="8"/>
      <c r="G437" s="8"/>
      <c r="H437" s="8"/>
      <c r="I437" s="8"/>
      <c r="J437" s="8"/>
      <c r="K437" s="8"/>
      <c r="L437" s="8"/>
      <c r="M437" s="8"/>
      <c r="N437" s="8"/>
      <c r="O437" s="8"/>
      <c r="P437" s="8"/>
      <c r="Q437" s="8"/>
      <c r="R437" s="8"/>
      <c r="S437" s="8"/>
      <c r="T437" s="8"/>
      <c r="U437" s="8"/>
      <c r="V437" s="8"/>
    </row>
    <row r="438" spans="1:22" ht="13.5" customHeight="1">
      <c r="A438" s="8"/>
      <c r="B438" s="8"/>
      <c r="C438" s="30"/>
      <c r="D438" s="8"/>
      <c r="E438" s="8"/>
      <c r="F438" s="8"/>
      <c r="G438" s="8"/>
      <c r="H438" s="8"/>
      <c r="I438" s="8"/>
      <c r="J438" s="8"/>
      <c r="K438" s="8"/>
      <c r="L438" s="8"/>
      <c r="M438" s="8"/>
      <c r="N438" s="8"/>
      <c r="O438" s="8"/>
      <c r="P438" s="8"/>
      <c r="Q438" s="8"/>
      <c r="R438" s="8"/>
      <c r="S438" s="8"/>
      <c r="T438" s="8"/>
      <c r="U438" s="8"/>
      <c r="V438" s="8"/>
    </row>
    <row r="439" spans="1:22" ht="13.5" customHeight="1">
      <c r="A439" s="8"/>
      <c r="B439" s="8"/>
      <c r="C439" s="30"/>
      <c r="D439" s="8"/>
      <c r="E439" s="8"/>
      <c r="F439" s="8"/>
      <c r="G439" s="8"/>
      <c r="H439" s="8"/>
      <c r="I439" s="8"/>
      <c r="J439" s="8"/>
      <c r="K439" s="8"/>
      <c r="L439" s="8"/>
      <c r="M439" s="8"/>
      <c r="N439" s="8"/>
      <c r="O439" s="8"/>
      <c r="P439" s="8"/>
      <c r="Q439" s="8"/>
      <c r="R439" s="8"/>
      <c r="S439" s="8"/>
      <c r="T439" s="8"/>
      <c r="U439" s="8"/>
      <c r="V439" s="8"/>
    </row>
    <row r="440" spans="1:22" ht="13.5" customHeight="1">
      <c r="A440" s="8"/>
      <c r="B440" s="8"/>
      <c r="C440" s="30"/>
      <c r="D440" s="8"/>
      <c r="E440" s="8"/>
      <c r="F440" s="8"/>
      <c r="G440" s="8"/>
      <c r="H440" s="8"/>
      <c r="I440" s="8"/>
      <c r="J440" s="8"/>
      <c r="K440" s="8"/>
      <c r="L440" s="8"/>
      <c r="M440" s="8"/>
      <c r="N440" s="8"/>
      <c r="O440" s="8"/>
      <c r="P440" s="8"/>
      <c r="Q440" s="8"/>
      <c r="R440" s="8"/>
      <c r="S440" s="8"/>
      <c r="T440" s="8"/>
      <c r="U440" s="8"/>
      <c r="V440" s="8"/>
    </row>
    <row r="441" spans="1:22" ht="13.5" customHeight="1">
      <c r="A441" s="8"/>
      <c r="B441" s="8"/>
      <c r="C441" s="30"/>
      <c r="D441" s="8"/>
      <c r="E441" s="8"/>
      <c r="F441" s="8"/>
      <c r="G441" s="8"/>
      <c r="H441" s="8"/>
      <c r="I441" s="8"/>
      <c r="J441" s="8"/>
      <c r="K441" s="8"/>
      <c r="L441" s="8"/>
      <c r="M441" s="8"/>
      <c r="N441" s="8"/>
      <c r="O441" s="8"/>
      <c r="P441" s="8"/>
      <c r="Q441" s="8"/>
      <c r="R441" s="8"/>
      <c r="S441" s="8"/>
      <c r="T441" s="8"/>
      <c r="U441" s="8"/>
      <c r="V441" s="8"/>
    </row>
    <row r="442" spans="1:22" ht="13.5" customHeight="1">
      <c r="A442" s="8"/>
      <c r="B442" s="8"/>
      <c r="C442" s="30"/>
      <c r="D442" s="8"/>
      <c r="E442" s="8"/>
      <c r="F442" s="8"/>
      <c r="G442" s="8"/>
      <c r="H442" s="8"/>
      <c r="I442" s="8"/>
      <c r="J442" s="8"/>
      <c r="K442" s="8"/>
      <c r="L442" s="8"/>
      <c r="M442" s="8"/>
      <c r="N442" s="8"/>
      <c r="O442" s="8"/>
      <c r="P442" s="8"/>
      <c r="Q442" s="8"/>
      <c r="R442" s="8"/>
      <c r="S442" s="8"/>
      <c r="T442" s="8"/>
      <c r="U442" s="8"/>
      <c r="V442" s="8"/>
    </row>
    <row r="443" spans="1:22" ht="13.5" customHeight="1">
      <c r="A443" s="8"/>
      <c r="B443" s="8"/>
      <c r="C443" s="30"/>
      <c r="D443" s="8"/>
      <c r="E443" s="8"/>
      <c r="F443" s="8"/>
      <c r="G443" s="8"/>
      <c r="H443" s="8"/>
      <c r="I443" s="8"/>
      <c r="J443" s="8"/>
      <c r="K443" s="8"/>
      <c r="L443" s="8"/>
      <c r="M443" s="8"/>
      <c r="N443" s="8"/>
      <c r="O443" s="8"/>
      <c r="P443" s="8"/>
      <c r="Q443" s="8"/>
      <c r="R443" s="8"/>
      <c r="S443" s="8"/>
      <c r="T443" s="8"/>
      <c r="U443" s="8"/>
      <c r="V443" s="8"/>
    </row>
    <row r="444" spans="1:22" ht="13.5" customHeight="1">
      <c r="A444" s="8"/>
      <c r="B444" s="8"/>
      <c r="C444" s="30"/>
      <c r="D444" s="8"/>
      <c r="E444" s="8"/>
      <c r="F444" s="8"/>
      <c r="G444" s="8"/>
      <c r="H444" s="8"/>
      <c r="I444" s="8"/>
      <c r="J444" s="8"/>
      <c r="K444" s="8"/>
      <c r="L444" s="8"/>
      <c r="M444" s="8"/>
      <c r="N444" s="8"/>
      <c r="O444" s="8"/>
      <c r="P444" s="8"/>
      <c r="Q444" s="8"/>
      <c r="R444" s="8"/>
      <c r="S444" s="8"/>
      <c r="T444" s="8"/>
      <c r="U444" s="8"/>
      <c r="V444" s="8"/>
    </row>
    <row r="445" spans="1:22" ht="13.5" customHeight="1">
      <c r="A445" s="8"/>
      <c r="B445" s="8"/>
      <c r="C445" s="30"/>
      <c r="D445" s="8"/>
      <c r="E445" s="8"/>
      <c r="F445" s="8"/>
      <c r="G445" s="8"/>
      <c r="H445" s="8"/>
      <c r="I445" s="8"/>
      <c r="J445" s="8"/>
      <c r="K445" s="8"/>
      <c r="L445" s="8"/>
      <c r="M445" s="8"/>
      <c r="N445" s="8"/>
      <c r="O445" s="8"/>
      <c r="P445" s="8"/>
      <c r="Q445" s="8"/>
      <c r="R445" s="8"/>
      <c r="S445" s="8"/>
      <c r="T445" s="8"/>
      <c r="U445" s="8"/>
      <c r="V445" s="8"/>
    </row>
    <row r="446" spans="1:22" ht="13.5" customHeight="1">
      <c r="A446" s="8"/>
      <c r="B446" s="8"/>
      <c r="C446" s="30"/>
      <c r="D446" s="8"/>
      <c r="E446" s="8"/>
      <c r="F446" s="8"/>
      <c r="G446" s="8"/>
      <c r="H446" s="8"/>
      <c r="I446" s="8"/>
      <c r="J446" s="8"/>
      <c r="K446" s="8"/>
      <c r="L446" s="8"/>
      <c r="M446" s="8"/>
      <c r="N446" s="8"/>
      <c r="O446" s="8"/>
      <c r="P446" s="8"/>
      <c r="Q446" s="8"/>
      <c r="R446" s="8"/>
      <c r="S446" s="8"/>
      <c r="T446" s="8"/>
      <c r="U446" s="8"/>
      <c r="V446" s="8"/>
    </row>
    <row r="447" spans="1:22" ht="13.5" customHeight="1">
      <c r="A447" s="8"/>
      <c r="B447" s="8"/>
      <c r="C447" s="30"/>
      <c r="D447" s="8"/>
      <c r="E447" s="8"/>
      <c r="F447" s="8"/>
      <c r="G447" s="8"/>
      <c r="H447" s="8"/>
      <c r="I447" s="8"/>
      <c r="J447" s="8"/>
      <c r="K447" s="8"/>
      <c r="L447" s="8"/>
      <c r="M447" s="8"/>
      <c r="N447" s="8"/>
      <c r="O447" s="8"/>
      <c r="P447" s="8"/>
      <c r="Q447" s="8"/>
      <c r="R447" s="8"/>
      <c r="S447" s="8"/>
      <c r="T447" s="8"/>
      <c r="U447" s="8"/>
      <c r="V447" s="8"/>
    </row>
    <row r="448" spans="1:22" ht="13.5" customHeight="1">
      <c r="A448" s="8"/>
      <c r="B448" s="8"/>
      <c r="C448" s="30"/>
      <c r="D448" s="8"/>
      <c r="E448" s="8"/>
      <c r="F448" s="8"/>
      <c r="G448" s="8"/>
      <c r="H448" s="8"/>
      <c r="I448" s="8"/>
      <c r="J448" s="8"/>
      <c r="K448" s="8"/>
      <c r="L448" s="8"/>
      <c r="M448" s="8"/>
      <c r="N448" s="8"/>
      <c r="O448" s="8"/>
      <c r="P448" s="8"/>
      <c r="Q448" s="8"/>
      <c r="R448" s="8"/>
      <c r="S448" s="8"/>
      <c r="T448" s="8"/>
      <c r="U448" s="8"/>
      <c r="V448" s="8"/>
    </row>
    <row r="449" spans="1:22" ht="13.5" customHeight="1">
      <c r="A449" s="8"/>
      <c r="B449" s="8"/>
      <c r="C449" s="30"/>
      <c r="D449" s="8"/>
      <c r="E449" s="8"/>
      <c r="F449" s="8"/>
      <c r="G449" s="8"/>
      <c r="H449" s="8"/>
      <c r="I449" s="8"/>
      <c r="J449" s="8"/>
      <c r="K449" s="8"/>
      <c r="L449" s="8"/>
      <c r="M449" s="8"/>
      <c r="N449" s="8"/>
      <c r="O449" s="8"/>
      <c r="P449" s="8"/>
      <c r="Q449" s="8"/>
      <c r="R449" s="8"/>
      <c r="S449" s="8"/>
      <c r="T449" s="8"/>
      <c r="U449" s="8"/>
      <c r="V449" s="8"/>
    </row>
    <row r="450" spans="1:22" ht="13.5" customHeight="1">
      <c r="A450" s="8"/>
      <c r="B450" s="8"/>
      <c r="C450" s="30"/>
      <c r="D450" s="8"/>
      <c r="E450" s="8"/>
      <c r="F450" s="8"/>
      <c r="G450" s="8"/>
      <c r="H450" s="8"/>
      <c r="I450" s="8"/>
      <c r="J450" s="8"/>
      <c r="K450" s="8"/>
      <c r="L450" s="8"/>
      <c r="M450" s="8"/>
      <c r="N450" s="8"/>
      <c r="O450" s="8"/>
      <c r="P450" s="8"/>
      <c r="Q450" s="8"/>
      <c r="R450" s="8"/>
      <c r="S450" s="8"/>
      <c r="T450" s="8"/>
      <c r="U450" s="8"/>
      <c r="V450" s="8"/>
    </row>
    <row r="451" spans="1:22" ht="13.5" customHeight="1">
      <c r="A451" s="8"/>
      <c r="B451" s="8"/>
      <c r="C451" s="30"/>
      <c r="D451" s="8"/>
      <c r="E451" s="8"/>
      <c r="F451" s="8"/>
      <c r="G451" s="8"/>
      <c r="H451" s="8"/>
      <c r="I451" s="8"/>
      <c r="J451" s="8"/>
      <c r="K451" s="8"/>
      <c r="L451" s="8"/>
      <c r="M451" s="8"/>
      <c r="N451" s="8"/>
      <c r="O451" s="8"/>
      <c r="P451" s="8"/>
      <c r="Q451" s="8"/>
      <c r="R451" s="8"/>
      <c r="S451" s="8"/>
      <c r="T451" s="8"/>
      <c r="U451" s="8"/>
      <c r="V451" s="8"/>
    </row>
    <row r="452" spans="1:22" ht="13.5" customHeight="1">
      <c r="A452" s="8"/>
      <c r="B452" s="8"/>
      <c r="C452" s="30"/>
      <c r="D452" s="8"/>
      <c r="E452" s="8"/>
      <c r="F452" s="8"/>
      <c r="G452" s="8"/>
      <c r="H452" s="8"/>
      <c r="I452" s="8"/>
      <c r="J452" s="8"/>
      <c r="K452" s="8"/>
      <c r="L452" s="8"/>
      <c r="M452" s="8"/>
      <c r="N452" s="8"/>
      <c r="O452" s="8"/>
      <c r="P452" s="8"/>
      <c r="Q452" s="8"/>
      <c r="R452" s="8"/>
      <c r="S452" s="8"/>
      <c r="T452" s="8"/>
      <c r="U452" s="8"/>
      <c r="V452" s="8"/>
    </row>
    <row r="453" spans="1:22" ht="13.5" customHeight="1">
      <c r="A453" s="8"/>
      <c r="B453" s="8"/>
      <c r="C453" s="30"/>
      <c r="D453" s="8"/>
      <c r="E453" s="8"/>
      <c r="F453" s="8"/>
      <c r="G453" s="8"/>
      <c r="H453" s="8"/>
      <c r="I453" s="8"/>
      <c r="J453" s="8"/>
      <c r="K453" s="8"/>
      <c r="L453" s="8"/>
      <c r="M453" s="8"/>
      <c r="N453" s="8"/>
      <c r="O453" s="8"/>
      <c r="P453" s="8"/>
      <c r="Q453" s="8"/>
      <c r="R453" s="8"/>
      <c r="S453" s="8"/>
      <c r="T453" s="8"/>
      <c r="U453" s="8"/>
      <c r="V453" s="8"/>
    </row>
    <row r="454" spans="1:22" ht="13.5" customHeight="1">
      <c r="A454" s="8"/>
      <c r="B454" s="8"/>
      <c r="C454" s="30"/>
      <c r="D454" s="8"/>
      <c r="E454" s="8"/>
      <c r="F454" s="8"/>
      <c r="G454" s="8"/>
      <c r="H454" s="8"/>
      <c r="I454" s="8"/>
      <c r="J454" s="8"/>
      <c r="K454" s="8"/>
      <c r="L454" s="8"/>
      <c r="M454" s="8"/>
      <c r="N454" s="8"/>
      <c r="O454" s="8"/>
      <c r="P454" s="8"/>
      <c r="Q454" s="8"/>
      <c r="R454" s="8"/>
      <c r="S454" s="8"/>
      <c r="T454" s="8"/>
      <c r="U454" s="8"/>
      <c r="V454" s="8"/>
    </row>
    <row r="455" spans="1:22" ht="13.5" customHeight="1">
      <c r="A455" s="8"/>
      <c r="B455" s="8"/>
      <c r="C455" s="30"/>
      <c r="D455" s="8"/>
      <c r="E455" s="8"/>
      <c r="F455" s="8"/>
      <c r="G455" s="8"/>
      <c r="H455" s="8"/>
      <c r="I455" s="8"/>
      <c r="J455" s="8"/>
      <c r="K455" s="8"/>
      <c r="L455" s="8"/>
      <c r="M455" s="8"/>
      <c r="N455" s="8"/>
      <c r="O455" s="8"/>
      <c r="P455" s="8"/>
      <c r="Q455" s="8"/>
      <c r="R455" s="8"/>
      <c r="S455" s="8"/>
      <c r="T455" s="8"/>
      <c r="U455" s="8"/>
      <c r="V455" s="8"/>
    </row>
    <row r="456" spans="1:22" ht="13.5" customHeight="1">
      <c r="A456" s="8"/>
      <c r="B456" s="8"/>
      <c r="C456" s="30"/>
      <c r="D456" s="8"/>
      <c r="E456" s="8"/>
      <c r="F456" s="8"/>
      <c r="G456" s="8"/>
      <c r="H456" s="8"/>
      <c r="I456" s="8"/>
      <c r="J456" s="8"/>
      <c r="K456" s="8"/>
      <c r="L456" s="8"/>
      <c r="M456" s="8"/>
      <c r="N456" s="8"/>
      <c r="O456" s="8"/>
      <c r="P456" s="8"/>
      <c r="Q456" s="8"/>
      <c r="R456" s="8"/>
      <c r="S456" s="8"/>
      <c r="T456" s="8"/>
      <c r="U456" s="8"/>
      <c r="V456" s="8"/>
    </row>
    <row r="457" spans="1:22" ht="13.5" customHeight="1">
      <c r="A457" s="8"/>
      <c r="B457" s="8"/>
      <c r="C457" s="30"/>
      <c r="D457" s="8"/>
      <c r="E457" s="8"/>
      <c r="F457" s="8"/>
      <c r="G457" s="8"/>
      <c r="H457" s="8"/>
      <c r="I457" s="8"/>
      <c r="J457" s="8"/>
      <c r="K457" s="8"/>
      <c r="L457" s="8"/>
      <c r="M457" s="8"/>
      <c r="N457" s="8"/>
      <c r="O457" s="8"/>
      <c r="P457" s="8"/>
      <c r="Q457" s="8"/>
      <c r="R457" s="8"/>
      <c r="S457" s="8"/>
      <c r="T457" s="8"/>
      <c r="U457" s="8"/>
      <c r="V457" s="8"/>
    </row>
    <row r="458" spans="1:22" ht="13.5" customHeight="1">
      <c r="A458" s="8"/>
      <c r="B458" s="8"/>
      <c r="C458" s="30"/>
      <c r="D458" s="8"/>
      <c r="E458" s="8"/>
      <c r="F458" s="8"/>
      <c r="G458" s="8"/>
      <c r="H458" s="8"/>
      <c r="I458" s="8"/>
      <c r="J458" s="8"/>
      <c r="K458" s="8"/>
      <c r="L458" s="8"/>
      <c r="M458" s="8"/>
      <c r="N458" s="8"/>
      <c r="O458" s="8"/>
      <c r="P458" s="8"/>
      <c r="Q458" s="8"/>
      <c r="R458" s="8"/>
      <c r="S458" s="8"/>
      <c r="T458" s="8"/>
      <c r="U458" s="8"/>
      <c r="V458" s="8"/>
    </row>
    <row r="459" spans="1:22" ht="13.5" customHeight="1">
      <c r="A459" s="8"/>
      <c r="B459" s="8"/>
      <c r="C459" s="30"/>
      <c r="D459" s="8"/>
      <c r="E459" s="8"/>
      <c r="F459" s="8"/>
      <c r="G459" s="8"/>
      <c r="H459" s="8"/>
      <c r="I459" s="8"/>
      <c r="J459" s="8"/>
      <c r="K459" s="8"/>
      <c r="L459" s="8"/>
      <c r="M459" s="8"/>
      <c r="N459" s="8"/>
      <c r="O459" s="8"/>
      <c r="P459" s="8"/>
      <c r="Q459" s="8"/>
      <c r="R459" s="8"/>
      <c r="S459" s="8"/>
      <c r="T459" s="8"/>
      <c r="U459" s="8"/>
      <c r="V459" s="8"/>
    </row>
    <row r="460" spans="1:22" ht="13.5" customHeight="1">
      <c r="A460" s="8"/>
      <c r="B460" s="8"/>
      <c r="C460" s="30"/>
      <c r="D460" s="8"/>
      <c r="E460" s="8"/>
      <c r="F460" s="8"/>
      <c r="G460" s="8"/>
      <c r="H460" s="8"/>
      <c r="I460" s="8"/>
      <c r="J460" s="8"/>
      <c r="K460" s="8"/>
      <c r="L460" s="8"/>
      <c r="M460" s="8"/>
      <c r="N460" s="8"/>
      <c r="O460" s="8"/>
      <c r="P460" s="8"/>
      <c r="Q460" s="8"/>
      <c r="R460" s="8"/>
      <c r="S460" s="8"/>
      <c r="T460" s="8"/>
      <c r="U460" s="8"/>
      <c r="V460" s="8"/>
    </row>
    <row r="461" spans="1:22" ht="13.5" customHeight="1">
      <c r="A461" s="8"/>
      <c r="B461" s="8"/>
      <c r="C461" s="30"/>
      <c r="D461" s="8"/>
      <c r="E461" s="8"/>
      <c r="F461" s="8"/>
      <c r="G461" s="8"/>
      <c r="H461" s="8"/>
      <c r="I461" s="8"/>
      <c r="J461" s="8"/>
      <c r="K461" s="8"/>
      <c r="L461" s="8"/>
      <c r="M461" s="8"/>
      <c r="N461" s="8"/>
      <c r="O461" s="8"/>
      <c r="P461" s="8"/>
      <c r="Q461" s="8"/>
      <c r="R461" s="8"/>
      <c r="S461" s="8"/>
      <c r="T461" s="8"/>
      <c r="U461" s="8"/>
      <c r="V461" s="8"/>
    </row>
    <row r="462" spans="1:22" ht="13.5" customHeight="1">
      <c r="A462" s="8"/>
      <c r="B462" s="8"/>
      <c r="C462" s="30"/>
      <c r="D462" s="8"/>
      <c r="E462" s="8"/>
      <c r="F462" s="8"/>
      <c r="G462" s="8"/>
      <c r="H462" s="8"/>
      <c r="I462" s="8"/>
      <c r="J462" s="8"/>
      <c r="K462" s="8"/>
      <c r="L462" s="8"/>
      <c r="M462" s="8"/>
      <c r="N462" s="8"/>
      <c r="O462" s="8"/>
      <c r="P462" s="8"/>
      <c r="Q462" s="8"/>
      <c r="R462" s="8"/>
      <c r="S462" s="8"/>
      <c r="T462" s="8"/>
      <c r="U462" s="8"/>
      <c r="V462" s="8"/>
    </row>
    <row r="463" spans="1:22" ht="13.5" customHeight="1">
      <c r="A463" s="8"/>
      <c r="B463" s="8"/>
      <c r="C463" s="30"/>
      <c r="D463" s="8"/>
      <c r="E463" s="8"/>
      <c r="F463" s="8"/>
      <c r="G463" s="8"/>
      <c r="H463" s="8"/>
      <c r="I463" s="8"/>
      <c r="J463" s="8"/>
      <c r="K463" s="8"/>
      <c r="L463" s="8"/>
      <c r="M463" s="8"/>
      <c r="N463" s="8"/>
      <c r="O463" s="8"/>
      <c r="P463" s="8"/>
      <c r="Q463" s="8"/>
      <c r="R463" s="8"/>
      <c r="S463" s="8"/>
      <c r="T463" s="8"/>
      <c r="U463" s="8"/>
      <c r="V463" s="8"/>
    </row>
    <row r="464" spans="1:22" ht="13.5" customHeight="1">
      <c r="A464" s="8"/>
      <c r="B464" s="8"/>
      <c r="C464" s="30"/>
      <c r="D464" s="8"/>
      <c r="E464" s="8"/>
      <c r="F464" s="8"/>
      <c r="G464" s="8"/>
      <c r="H464" s="8"/>
      <c r="I464" s="8"/>
      <c r="J464" s="8"/>
      <c r="K464" s="8"/>
      <c r="L464" s="8"/>
      <c r="M464" s="8"/>
      <c r="N464" s="8"/>
      <c r="O464" s="8"/>
      <c r="P464" s="8"/>
      <c r="Q464" s="8"/>
      <c r="R464" s="8"/>
      <c r="S464" s="8"/>
      <c r="T464" s="8"/>
      <c r="U464" s="8"/>
      <c r="V464" s="8"/>
    </row>
    <row r="465" spans="1:22" ht="13.5" customHeight="1">
      <c r="A465" s="8"/>
      <c r="B465" s="8"/>
      <c r="C465" s="30"/>
      <c r="D465" s="8"/>
      <c r="E465" s="8"/>
      <c r="F465" s="8"/>
      <c r="G465" s="8"/>
      <c r="H465" s="8"/>
      <c r="I465" s="8"/>
      <c r="J465" s="8"/>
      <c r="K465" s="8"/>
      <c r="L465" s="8"/>
      <c r="M465" s="8"/>
      <c r="N465" s="8"/>
      <c r="O465" s="8"/>
      <c r="P465" s="8"/>
      <c r="Q465" s="8"/>
      <c r="R465" s="8"/>
      <c r="S465" s="8"/>
      <c r="T465" s="8"/>
      <c r="U465" s="8"/>
      <c r="V465" s="8"/>
    </row>
    <row r="466" spans="1:22" ht="13.5" customHeight="1">
      <c r="A466" s="8"/>
      <c r="B466" s="8"/>
      <c r="C466" s="30"/>
      <c r="D466" s="8"/>
      <c r="E466" s="8"/>
      <c r="F466" s="8"/>
      <c r="G466" s="8"/>
      <c r="H466" s="8"/>
      <c r="I466" s="8"/>
      <c r="J466" s="8"/>
      <c r="K466" s="8"/>
      <c r="L466" s="8"/>
      <c r="M466" s="8"/>
      <c r="N466" s="8"/>
      <c r="O466" s="8"/>
      <c r="P466" s="8"/>
      <c r="Q466" s="8"/>
      <c r="R466" s="8"/>
      <c r="S466" s="8"/>
      <c r="T466" s="8"/>
      <c r="U466" s="8"/>
      <c r="V466" s="8"/>
    </row>
    <row r="467" spans="1:22" ht="13.5" customHeight="1">
      <c r="A467" s="8"/>
      <c r="B467" s="8"/>
      <c r="C467" s="30"/>
      <c r="D467" s="8"/>
      <c r="E467" s="8"/>
      <c r="F467" s="8"/>
      <c r="G467" s="8"/>
      <c r="H467" s="8"/>
      <c r="I467" s="8"/>
      <c r="J467" s="8"/>
      <c r="K467" s="8"/>
      <c r="L467" s="8"/>
      <c r="M467" s="8"/>
      <c r="N467" s="8"/>
      <c r="O467" s="8"/>
      <c r="P467" s="8"/>
      <c r="Q467" s="8"/>
      <c r="R467" s="8"/>
      <c r="S467" s="8"/>
      <c r="T467" s="8"/>
      <c r="U467" s="8"/>
      <c r="V467" s="8"/>
    </row>
    <row r="468" spans="1:22" ht="13.5" customHeight="1">
      <c r="A468" s="8"/>
      <c r="B468" s="8"/>
      <c r="C468" s="30"/>
      <c r="D468" s="8"/>
      <c r="E468" s="8"/>
      <c r="F468" s="8"/>
      <c r="G468" s="8"/>
      <c r="H468" s="8"/>
      <c r="I468" s="8"/>
      <c r="J468" s="8"/>
      <c r="K468" s="8"/>
      <c r="L468" s="8"/>
      <c r="M468" s="8"/>
      <c r="N468" s="8"/>
      <c r="O468" s="8"/>
      <c r="P468" s="8"/>
      <c r="Q468" s="8"/>
      <c r="R468" s="8"/>
      <c r="S468" s="8"/>
      <c r="T468" s="8"/>
      <c r="U468" s="8"/>
      <c r="V468" s="8"/>
    </row>
    <row r="469" spans="1:22" ht="13.5" customHeight="1">
      <c r="A469" s="8"/>
      <c r="B469" s="8"/>
      <c r="C469" s="30"/>
      <c r="D469" s="8"/>
      <c r="E469" s="8"/>
      <c r="F469" s="8"/>
      <c r="G469" s="8"/>
      <c r="H469" s="8"/>
      <c r="I469" s="8"/>
      <c r="J469" s="8"/>
      <c r="K469" s="8"/>
      <c r="L469" s="8"/>
      <c r="M469" s="8"/>
      <c r="N469" s="8"/>
      <c r="O469" s="8"/>
      <c r="P469" s="8"/>
      <c r="Q469" s="8"/>
      <c r="R469" s="8"/>
      <c r="S469" s="8"/>
      <c r="T469" s="8"/>
      <c r="U469" s="8"/>
      <c r="V469" s="8"/>
    </row>
    <row r="470" spans="1:22" ht="13.5" customHeight="1">
      <c r="A470" s="8"/>
      <c r="B470" s="8"/>
      <c r="C470" s="30"/>
      <c r="D470" s="8"/>
      <c r="E470" s="8"/>
      <c r="F470" s="8"/>
      <c r="G470" s="8"/>
      <c r="H470" s="8"/>
      <c r="I470" s="8"/>
      <c r="J470" s="8"/>
      <c r="K470" s="8"/>
      <c r="L470" s="8"/>
      <c r="M470" s="8"/>
      <c r="N470" s="8"/>
      <c r="O470" s="8"/>
      <c r="P470" s="8"/>
      <c r="Q470" s="8"/>
      <c r="R470" s="8"/>
      <c r="S470" s="8"/>
      <c r="T470" s="8"/>
      <c r="U470" s="8"/>
      <c r="V470" s="8"/>
    </row>
    <row r="471" spans="1:22" ht="13.5" customHeight="1">
      <c r="A471" s="8"/>
      <c r="B471" s="8"/>
      <c r="C471" s="30"/>
      <c r="D471" s="8"/>
      <c r="E471" s="8"/>
      <c r="F471" s="8"/>
      <c r="G471" s="8"/>
      <c r="H471" s="8"/>
      <c r="I471" s="8"/>
      <c r="J471" s="8"/>
      <c r="K471" s="8"/>
      <c r="L471" s="8"/>
      <c r="M471" s="8"/>
      <c r="N471" s="8"/>
      <c r="O471" s="8"/>
      <c r="P471" s="8"/>
      <c r="Q471" s="8"/>
      <c r="R471" s="8"/>
      <c r="S471" s="8"/>
      <c r="T471" s="8"/>
      <c r="U471" s="8"/>
      <c r="V471" s="8"/>
    </row>
    <row r="472" spans="1:22" ht="13.5" customHeight="1">
      <c r="A472" s="8"/>
      <c r="B472" s="8"/>
      <c r="C472" s="30"/>
      <c r="D472" s="8"/>
      <c r="E472" s="8"/>
      <c r="F472" s="8"/>
      <c r="G472" s="8"/>
      <c r="H472" s="8"/>
      <c r="I472" s="8"/>
      <c r="J472" s="8"/>
      <c r="K472" s="8"/>
      <c r="L472" s="8"/>
      <c r="M472" s="8"/>
      <c r="N472" s="8"/>
      <c r="O472" s="8"/>
      <c r="P472" s="8"/>
      <c r="Q472" s="8"/>
      <c r="R472" s="8"/>
      <c r="S472" s="8"/>
      <c r="T472" s="8"/>
      <c r="U472" s="8"/>
      <c r="V472" s="8"/>
    </row>
    <row r="473" spans="1:22" ht="13.5" customHeight="1">
      <c r="A473" s="8"/>
      <c r="B473" s="8"/>
      <c r="C473" s="30"/>
      <c r="D473" s="8"/>
      <c r="E473" s="8"/>
      <c r="F473" s="8"/>
      <c r="G473" s="8"/>
      <c r="H473" s="8"/>
      <c r="I473" s="8"/>
      <c r="J473" s="8"/>
      <c r="K473" s="8"/>
      <c r="L473" s="8"/>
      <c r="M473" s="8"/>
      <c r="N473" s="8"/>
      <c r="O473" s="8"/>
      <c r="P473" s="8"/>
      <c r="Q473" s="8"/>
      <c r="R473" s="8"/>
      <c r="S473" s="8"/>
      <c r="T473" s="8"/>
      <c r="U473" s="8"/>
      <c r="V473" s="8"/>
    </row>
    <row r="474" spans="1:22" ht="13.5" customHeight="1">
      <c r="A474" s="8"/>
      <c r="B474" s="8"/>
      <c r="C474" s="30"/>
      <c r="D474" s="8"/>
      <c r="E474" s="8"/>
      <c r="F474" s="8"/>
      <c r="G474" s="8"/>
      <c r="H474" s="8"/>
      <c r="I474" s="8"/>
      <c r="J474" s="8"/>
      <c r="K474" s="8"/>
      <c r="L474" s="8"/>
      <c r="M474" s="8"/>
      <c r="N474" s="8"/>
      <c r="O474" s="8"/>
      <c r="P474" s="8"/>
      <c r="Q474" s="8"/>
      <c r="R474" s="8"/>
      <c r="S474" s="8"/>
      <c r="T474" s="8"/>
      <c r="U474" s="8"/>
      <c r="V474" s="8"/>
    </row>
    <row r="475" spans="1:22" ht="13.5" customHeight="1">
      <c r="A475" s="8"/>
      <c r="B475" s="8"/>
      <c r="C475" s="30"/>
      <c r="D475" s="8"/>
      <c r="E475" s="8"/>
      <c r="F475" s="8"/>
      <c r="G475" s="8"/>
      <c r="H475" s="8"/>
      <c r="I475" s="8"/>
      <c r="J475" s="8"/>
      <c r="K475" s="8"/>
      <c r="L475" s="8"/>
      <c r="M475" s="8"/>
      <c r="N475" s="8"/>
      <c r="O475" s="8"/>
      <c r="P475" s="8"/>
      <c r="Q475" s="8"/>
      <c r="R475" s="8"/>
      <c r="S475" s="8"/>
      <c r="T475" s="8"/>
      <c r="U475" s="8"/>
      <c r="V475" s="8"/>
    </row>
    <row r="476" spans="1:22" ht="13.5" customHeight="1">
      <c r="A476" s="8"/>
      <c r="B476" s="8"/>
      <c r="C476" s="30"/>
      <c r="D476" s="8"/>
      <c r="E476" s="8"/>
      <c r="F476" s="8"/>
      <c r="G476" s="8"/>
      <c r="H476" s="8"/>
      <c r="I476" s="8"/>
      <c r="J476" s="8"/>
      <c r="K476" s="8"/>
      <c r="L476" s="8"/>
      <c r="M476" s="8"/>
      <c r="N476" s="8"/>
      <c r="O476" s="8"/>
      <c r="P476" s="8"/>
      <c r="Q476" s="8"/>
      <c r="R476" s="8"/>
      <c r="S476" s="8"/>
      <c r="T476" s="8"/>
      <c r="U476" s="8"/>
      <c r="V476" s="8"/>
    </row>
    <row r="477" spans="1:22" ht="13.5" customHeight="1">
      <c r="A477" s="8"/>
      <c r="B477" s="8"/>
      <c r="C477" s="30"/>
      <c r="D477" s="8"/>
      <c r="E477" s="8"/>
      <c r="F477" s="8"/>
      <c r="G477" s="8"/>
      <c r="H477" s="8"/>
      <c r="I477" s="8"/>
      <c r="J477" s="8"/>
      <c r="K477" s="8"/>
      <c r="L477" s="8"/>
      <c r="M477" s="8"/>
      <c r="N477" s="8"/>
      <c r="O477" s="8"/>
      <c r="P477" s="8"/>
      <c r="Q477" s="8"/>
      <c r="R477" s="8"/>
      <c r="S477" s="8"/>
      <c r="T477" s="8"/>
      <c r="U477" s="8"/>
      <c r="V477" s="8"/>
    </row>
    <row r="478" spans="1:22" ht="13.5" customHeight="1">
      <c r="A478" s="8"/>
      <c r="B478" s="8"/>
      <c r="C478" s="30"/>
      <c r="D478" s="8"/>
      <c r="E478" s="8"/>
      <c r="F478" s="8"/>
      <c r="G478" s="8"/>
      <c r="H478" s="8"/>
      <c r="I478" s="8"/>
      <c r="J478" s="8"/>
      <c r="K478" s="8"/>
      <c r="L478" s="8"/>
      <c r="M478" s="8"/>
      <c r="N478" s="8"/>
      <c r="O478" s="8"/>
      <c r="P478" s="8"/>
      <c r="Q478" s="8"/>
      <c r="R478" s="8"/>
      <c r="S478" s="8"/>
      <c r="T478" s="8"/>
      <c r="U478" s="8"/>
      <c r="V478" s="8"/>
    </row>
    <row r="479" spans="1:22" ht="13.5" customHeight="1">
      <c r="A479" s="8"/>
      <c r="B479" s="8"/>
      <c r="C479" s="30"/>
      <c r="D479" s="8"/>
      <c r="E479" s="8"/>
      <c r="F479" s="8"/>
      <c r="G479" s="8"/>
      <c r="H479" s="8"/>
      <c r="I479" s="8"/>
      <c r="J479" s="8"/>
      <c r="K479" s="8"/>
      <c r="L479" s="8"/>
      <c r="M479" s="8"/>
      <c r="N479" s="8"/>
      <c r="O479" s="8"/>
      <c r="P479" s="8"/>
      <c r="Q479" s="8"/>
      <c r="R479" s="8"/>
      <c r="S479" s="8"/>
      <c r="T479" s="8"/>
      <c r="U479" s="8"/>
      <c r="V479" s="8"/>
    </row>
    <row r="480" spans="1:22" ht="13.5" customHeight="1">
      <c r="A480" s="8"/>
      <c r="B480" s="8"/>
      <c r="C480" s="30"/>
      <c r="D480" s="8"/>
      <c r="E480" s="8"/>
      <c r="F480" s="8"/>
      <c r="G480" s="8"/>
      <c r="H480" s="8"/>
      <c r="I480" s="8"/>
      <c r="J480" s="8"/>
      <c r="K480" s="8"/>
      <c r="L480" s="8"/>
      <c r="M480" s="8"/>
      <c r="N480" s="8"/>
      <c r="O480" s="8"/>
      <c r="P480" s="8"/>
      <c r="Q480" s="8"/>
      <c r="R480" s="8"/>
      <c r="S480" s="8"/>
      <c r="T480" s="8"/>
      <c r="U480" s="8"/>
      <c r="V480" s="8"/>
    </row>
    <row r="481" spans="1:22" ht="13.5" customHeight="1">
      <c r="A481" s="8"/>
      <c r="B481" s="8"/>
      <c r="C481" s="30"/>
      <c r="D481" s="8"/>
      <c r="E481" s="8"/>
      <c r="F481" s="8"/>
      <c r="G481" s="8"/>
      <c r="H481" s="8"/>
      <c r="I481" s="8"/>
      <c r="J481" s="8"/>
      <c r="K481" s="8"/>
      <c r="L481" s="8"/>
      <c r="M481" s="8"/>
      <c r="N481" s="8"/>
      <c r="O481" s="8"/>
      <c r="P481" s="8"/>
      <c r="Q481" s="8"/>
      <c r="R481" s="8"/>
      <c r="S481" s="8"/>
      <c r="T481" s="8"/>
      <c r="U481" s="8"/>
      <c r="V481" s="8"/>
    </row>
    <row r="482" spans="1:22" ht="13.5" customHeight="1">
      <c r="A482" s="8"/>
      <c r="B482" s="8"/>
      <c r="C482" s="30"/>
      <c r="D482" s="8"/>
      <c r="E482" s="8"/>
      <c r="F482" s="8"/>
      <c r="G482" s="8"/>
      <c r="H482" s="8"/>
      <c r="I482" s="8"/>
      <c r="J482" s="8"/>
      <c r="K482" s="8"/>
      <c r="L482" s="8"/>
      <c r="M482" s="8"/>
      <c r="N482" s="8"/>
      <c r="O482" s="8"/>
      <c r="P482" s="8"/>
      <c r="Q482" s="8"/>
      <c r="R482" s="8"/>
      <c r="S482" s="8"/>
      <c r="T482" s="8"/>
      <c r="U482" s="8"/>
      <c r="V482" s="8"/>
    </row>
    <row r="483" spans="1:22" ht="13.5" customHeight="1">
      <c r="A483" s="8"/>
      <c r="B483" s="8"/>
      <c r="C483" s="30"/>
      <c r="D483" s="8"/>
      <c r="E483" s="8"/>
      <c r="F483" s="8"/>
      <c r="G483" s="8"/>
      <c r="H483" s="8"/>
      <c r="I483" s="8"/>
      <c r="J483" s="8"/>
      <c r="K483" s="8"/>
      <c r="L483" s="8"/>
      <c r="M483" s="8"/>
      <c r="N483" s="8"/>
      <c r="O483" s="8"/>
      <c r="P483" s="8"/>
      <c r="Q483" s="8"/>
      <c r="R483" s="8"/>
      <c r="S483" s="8"/>
      <c r="T483" s="8"/>
      <c r="U483" s="8"/>
      <c r="V483" s="8"/>
    </row>
    <row r="484" spans="1:22" ht="13.5" customHeight="1">
      <c r="A484" s="8"/>
      <c r="B484" s="8"/>
      <c r="C484" s="30"/>
      <c r="D484" s="8"/>
      <c r="E484" s="8"/>
      <c r="F484" s="8"/>
      <c r="G484" s="8"/>
      <c r="H484" s="8"/>
      <c r="I484" s="8"/>
      <c r="J484" s="8"/>
      <c r="K484" s="8"/>
      <c r="L484" s="8"/>
      <c r="M484" s="8"/>
      <c r="N484" s="8"/>
      <c r="O484" s="8"/>
      <c r="P484" s="8"/>
      <c r="Q484" s="8"/>
      <c r="R484" s="8"/>
      <c r="S484" s="8"/>
      <c r="T484" s="8"/>
      <c r="U484" s="8"/>
      <c r="V484" s="8"/>
    </row>
    <row r="485" spans="1:22" ht="13.5" customHeight="1">
      <c r="A485" s="8"/>
      <c r="B485" s="8"/>
      <c r="C485" s="30"/>
      <c r="D485" s="8"/>
      <c r="E485" s="8"/>
      <c r="F485" s="8"/>
      <c r="G485" s="8"/>
      <c r="H485" s="8"/>
      <c r="I485" s="8"/>
      <c r="J485" s="8"/>
      <c r="K485" s="8"/>
      <c r="L485" s="8"/>
      <c r="M485" s="8"/>
      <c r="N485" s="8"/>
      <c r="O485" s="8"/>
      <c r="P485" s="8"/>
      <c r="Q485" s="8"/>
      <c r="R485" s="8"/>
      <c r="S485" s="8"/>
      <c r="T485" s="8"/>
      <c r="U485" s="8"/>
      <c r="V485" s="8"/>
    </row>
    <row r="486" spans="1:22" ht="13.5" customHeight="1">
      <c r="A486" s="8"/>
      <c r="B486" s="8"/>
      <c r="C486" s="30"/>
      <c r="D486" s="8"/>
      <c r="E486" s="8"/>
      <c r="F486" s="8"/>
      <c r="G486" s="8"/>
      <c r="H486" s="8"/>
      <c r="I486" s="8"/>
      <c r="J486" s="8"/>
      <c r="K486" s="8"/>
      <c r="L486" s="8"/>
      <c r="M486" s="8"/>
      <c r="N486" s="8"/>
      <c r="O486" s="8"/>
      <c r="P486" s="8"/>
      <c r="Q486" s="8"/>
      <c r="R486" s="8"/>
      <c r="S486" s="8"/>
      <c r="T486" s="8"/>
      <c r="U486" s="8"/>
      <c r="V486" s="8"/>
    </row>
    <row r="487" spans="1:22" ht="13.5" customHeight="1">
      <c r="A487" s="8"/>
      <c r="B487" s="8"/>
      <c r="C487" s="30"/>
      <c r="D487" s="8"/>
      <c r="E487" s="8"/>
      <c r="F487" s="8"/>
      <c r="G487" s="8"/>
      <c r="H487" s="8"/>
      <c r="I487" s="8"/>
      <c r="J487" s="8"/>
      <c r="K487" s="8"/>
      <c r="L487" s="8"/>
      <c r="M487" s="8"/>
      <c r="N487" s="8"/>
      <c r="O487" s="8"/>
      <c r="P487" s="8"/>
      <c r="Q487" s="8"/>
      <c r="R487" s="8"/>
      <c r="S487" s="8"/>
      <c r="T487" s="8"/>
      <c r="U487" s="8"/>
      <c r="V487" s="8"/>
    </row>
    <row r="488" spans="1:22" ht="13.5" customHeight="1">
      <c r="A488" s="8"/>
      <c r="B488" s="8"/>
      <c r="C488" s="30"/>
      <c r="D488" s="8"/>
      <c r="E488" s="8"/>
      <c r="F488" s="8"/>
      <c r="G488" s="8"/>
      <c r="H488" s="8"/>
      <c r="I488" s="8"/>
      <c r="J488" s="8"/>
      <c r="K488" s="8"/>
      <c r="L488" s="8"/>
      <c r="M488" s="8"/>
      <c r="N488" s="8"/>
      <c r="O488" s="8"/>
      <c r="P488" s="8"/>
      <c r="Q488" s="8"/>
      <c r="R488" s="8"/>
      <c r="S488" s="8"/>
      <c r="T488" s="8"/>
      <c r="U488" s="8"/>
      <c r="V488" s="8"/>
    </row>
    <row r="489" spans="1:22" ht="13.5" customHeight="1">
      <c r="A489" s="8"/>
      <c r="B489" s="8"/>
      <c r="C489" s="30"/>
      <c r="D489" s="8"/>
      <c r="E489" s="8"/>
      <c r="F489" s="8"/>
      <c r="G489" s="8"/>
      <c r="H489" s="8"/>
      <c r="I489" s="8"/>
      <c r="J489" s="8"/>
      <c r="K489" s="8"/>
      <c r="L489" s="8"/>
      <c r="M489" s="8"/>
      <c r="N489" s="8"/>
      <c r="O489" s="8"/>
      <c r="P489" s="8"/>
      <c r="Q489" s="8"/>
      <c r="R489" s="8"/>
      <c r="S489" s="8"/>
      <c r="T489" s="8"/>
      <c r="U489" s="8"/>
      <c r="V489" s="8"/>
    </row>
    <row r="490" spans="1:22" ht="13.5" customHeight="1">
      <c r="A490" s="8"/>
      <c r="B490" s="8"/>
      <c r="C490" s="30"/>
      <c r="D490" s="8"/>
      <c r="E490" s="8"/>
      <c r="F490" s="8"/>
      <c r="G490" s="8"/>
      <c r="H490" s="8"/>
      <c r="I490" s="8"/>
      <c r="J490" s="8"/>
      <c r="K490" s="8"/>
      <c r="L490" s="8"/>
      <c r="M490" s="8"/>
      <c r="N490" s="8"/>
      <c r="O490" s="8"/>
      <c r="P490" s="8"/>
      <c r="Q490" s="8"/>
      <c r="R490" s="8"/>
      <c r="S490" s="8"/>
      <c r="T490" s="8"/>
      <c r="U490" s="8"/>
      <c r="V490" s="8"/>
    </row>
    <row r="491" spans="1:22" ht="13.5" customHeight="1">
      <c r="A491" s="8"/>
      <c r="B491" s="8"/>
      <c r="C491" s="30"/>
      <c r="D491" s="8"/>
      <c r="E491" s="8"/>
      <c r="F491" s="8"/>
      <c r="G491" s="8"/>
      <c r="H491" s="8"/>
      <c r="I491" s="8"/>
      <c r="J491" s="8"/>
      <c r="K491" s="8"/>
      <c r="L491" s="8"/>
      <c r="M491" s="8"/>
      <c r="N491" s="8"/>
      <c r="O491" s="8"/>
      <c r="P491" s="8"/>
      <c r="Q491" s="8"/>
      <c r="R491" s="8"/>
      <c r="S491" s="8"/>
      <c r="T491" s="8"/>
      <c r="U491" s="8"/>
      <c r="V491" s="8"/>
    </row>
    <row r="492" spans="1:22" ht="13.5" customHeight="1">
      <c r="A492" s="8"/>
      <c r="B492" s="8"/>
      <c r="C492" s="30"/>
      <c r="D492" s="8"/>
      <c r="E492" s="8"/>
      <c r="F492" s="8"/>
      <c r="G492" s="8"/>
      <c r="H492" s="8"/>
      <c r="I492" s="8"/>
      <c r="J492" s="8"/>
      <c r="K492" s="8"/>
      <c r="L492" s="8"/>
      <c r="M492" s="8"/>
      <c r="N492" s="8"/>
      <c r="O492" s="8"/>
      <c r="P492" s="8"/>
      <c r="Q492" s="8"/>
      <c r="R492" s="8"/>
      <c r="S492" s="8"/>
      <c r="T492" s="8"/>
      <c r="U492" s="8"/>
      <c r="V492" s="8"/>
    </row>
    <row r="493" spans="1:22" ht="13.5" customHeight="1">
      <c r="A493" s="8"/>
      <c r="B493" s="8"/>
      <c r="C493" s="30"/>
      <c r="D493" s="8"/>
      <c r="E493" s="8"/>
      <c r="F493" s="8"/>
      <c r="G493" s="8"/>
      <c r="H493" s="8"/>
      <c r="I493" s="8"/>
      <c r="J493" s="8"/>
      <c r="K493" s="8"/>
      <c r="L493" s="8"/>
      <c r="M493" s="8"/>
      <c r="N493" s="8"/>
      <c r="O493" s="8"/>
      <c r="P493" s="8"/>
      <c r="Q493" s="8"/>
      <c r="R493" s="8"/>
      <c r="S493" s="8"/>
      <c r="T493" s="8"/>
      <c r="U493" s="8"/>
      <c r="V493" s="8"/>
    </row>
    <row r="494" spans="1:22" ht="13.5" customHeight="1">
      <c r="A494" s="8"/>
      <c r="B494" s="8"/>
      <c r="C494" s="30"/>
      <c r="D494" s="8"/>
      <c r="E494" s="8"/>
      <c r="F494" s="8"/>
      <c r="G494" s="8"/>
      <c r="H494" s="8"/>
      <c r="I494" s="8"/>
      <c r="J494" s="8"/>
      <c r="K494" s="8"/>
      <c r="L494" s="8"/>
      <c r="M494" s="8"/>
      <c r="N494" s="8"/>
      <c r="O494" s="8"/>
      <c r="P494" s="8"/>
      <c r="Q494" s="8"/>
      <c r="R494" s="8"/>
      <c r="S494" s="8"/>
      <c r="T494" s="8"/>
      <c r="U494" s="8"/>
      <c r="V494" s="8"/>
    </row>
    <row r="495" spans="1:22" ht="13.5" customHeight="1">
      <c r="A495" s="8"/>
      <c r="B495" s="8"/>
      <c r="C495" s="30"/>
      <c r="D495" s="8"/>
      <c r="E495" s="8"/>
      <c r="F495" s="8"/>
      <c r="G495" s="8"/>
      <c r="H495" s="8"/>
      <c r="I495" s="8"/>
      <c r="J495" s="8"/>
      <c r="K495" s="8"/>
      <c r="L495" s="8"/>
      <c r="M495" s="8"/>
      <c r="N495" s="8"/>
      <c r="O495" s="8"/>
      <c r="P495" s="8"/>
      <c r="Q495" s="8"/>
      <c r="R495" s="8"/>
      <c r="S495" s="8"/>
      <c r="T495" s="8"/>
      <c r="U495" s="8"/>
      <c r="V495" s="8"/>
    </row>
    <row r="496" spans="1:22" ht="13.5" customHeight="1">
      <c r="A496" s="8"/>
      <c r="B496" s="8"/>
      <c r="C496" s="30"/>
      <c r="D496" s="8"/>
      <c r="E496" s="8"/>
      <c r="F496" s="8"/>
      <c r="G496" s="8"/>
      <c r="H496" s="8"/>
      <c r="I496" s="8"/>
      <c r="J496" s="8"/>
      <c r="K496" s="8"/>
      <c r="L496" s="8"/>
      <c r="M496" s="8"/>
      <c r="N496" s="8"/>
      <c r="O496" s="8"/>
      <c r="P496" s="8"/>
      <c r="Q496" s="8"/>
      <c r="R496" s="8"/>
      <c r="S496" s="8"/>
      <c r="T496" s="8"/>
      <c r="U496" s="8"/>
      <c r="V496" s="8"/>
    </row>
    <row r="497" spans="1:22" ht="13.5" customHeight="1">
      <c r="A497" s="8"/>
      <c r="B497" s="8"/>
      <c r="C497" s="30"/>
      <c r="D497" s="8"/>
      <c r="E497" s="8"/>
      <c r="F497" s="8"/>
      <c r="G497" s="8"/>
      <c r="H497" s="8"/>
      <c r="I497" s="8"/>
      <c r="J497" s="8"/>
      <c r="K497" s="8"/>
      <c r="L497" s="8"/>
      <c r="M497" s="8"/>
      <c r="N497" s="8"/>
      <c r="O497" s="8"/>
      <c r="P497" s="8"/>
      <c r="Q497" s="8"/>
      <c r="R497" s="8"/>
      <c r="S497" s="8"/>
      <c r="T497" s="8"/>
      <c r="U497" s="8"/>
      <c r="V497" s="8"/>
    </row>
    <row r="498" spans="1:22" ht="13.5" customHeight="1">
      <c r="A498" s="8"/>
      <c r="B498" s="8"/>
      <c r="C498" s="30"/>
      <c r="D498" s="8"/>
      <c r="E498" s="8"/>
      <c r="F498" s="8"/>
      <c r="G498" s="8"/>
      <c r="H498" s="8"/>
      <c r="I498" s="8"/>
      <c r="J498" s="8"/>
      <c r="K498" s="8"/>
      <c r="L498" s="8"/>
      <c r="M498" s="8"/>
      <c r="N498" s="8"/>
      <c r="O498" s="8"/>
      <c r="P498" s="8"/>
      <c r="Q498" s="8"/>
      <c r="R498" s="8"/>
      <c r="S498" s="8"/>
      <c r="T498" s="8"/>
      <c r="U498" s="8"/>
      <c r="V498" s="8"/>
    </row>
    <row r="499" spans="1:22" ht="13.5" customHeight="1">
      <c r="A499" s="8"/>
      <c r="B499" s="8"/>
      <c r="C499" s="30"/>
      <c r="D499" s="8"/>
      <c r="E499" s="8"/>
      <c r="F499" s="8"/>
      <c r="G499" s="8"/>
      <c r="H499" s="8"/>
      <c r="I499" s="8"/>
      <c r="J499" s="8"/>
      <c r="K499" s="8"/>
      <c r="L499" s="8"/>
      <c r="M499" s="8"/>
      <c r="N499" s="8"/>
      <c r="O499" s="8"/>
      <c r="P499" s="8"/>
      <c r="Q499" s="8"/>
      <c r="R499" s="8"/>
      <c r="S499" s="8"/>
      <c r="T499" s="8"/>
      <c r="U499" s="8"/>
      <c r="V499" s="8"/>
    </row>
    <row r="500" spans="1:22" ht="13.5" customHeight="1">
      <c r="A500" s="8"/>
      <c r="B500" s="8"/>
      <c r="C500" s="30"/>
      <c r="D500" s="8"/>
      <c r="E500" s="8"/>
      <c r="F500" s="8"/>
      <c r="G500" s="8"/>
      <c r="H500" s="8"/>
      <c r="I500" s="8"/>
      <c r="J500" s="8"/>
      <c r="K500" s="8"/>
      <c r="L500" s="8"/>
      <c r="M500" s="8"/>
      <c r="N500" s="8"/>
      <c r="O500" s="8"/>
      <c r="P500" s="8"/>
      <c r="Q500" s="8"/>
      <c r="R500" s="8"/>
      <c r="S500" s="8"/>
      <c r="T500" s="8"/>
      <c r="U500" s="8"/>
      <c r="V500" s="8"/>
    </row>
    <row r="501" spans="1:22" ht="13.5" customHeight="1">
      <c r="A501" s="8"/>
      <c r="B501" s="8"/>
      <c r="C501" s="30"/>
      <c r="D501" s="8"/>
      <c r="E501" s="8"/>
      <c r="F501" s="8"/>
      <c r="G501" s="8"/>
      <c r="H501" s="8"/>
      <c r="I501" s="8"/>
      <c r="J501" s="8"/>
      <c r="K501" s="8"/>
      <c r="L501" s="8"/>
      <c r="M501" s="8"/>
      <c r="N501" s="8"/>
      <c r="O501" s="8"/>
      <c r="P501" s="8"/>
      <c r="Q501" s="8"/>
      <c r="R501" s="8"/>
      <c r="S501" s="8"/>
      <c r="T501" s="8"/>
      <c r="U501" s="8"/>
      <c r="V501" s="8"/>
    </row>
    <row r="502" spans="1:22" ht="13.5" customHeight="1">
      <c r="A502" s="8"/>
      <c r="B502" s="8"/>
      <c r="C502" s="30"/>
      <c r="D502" s="8"/>
      <c r="E502" s="8"/>
      <c r="F502" s="8"/>
      <c r="G502" s="8"/>
      <c r="H502" s="8"/>
      <c r="I502" s="8"/>
      <c r="J502" s="8"/>
      <c r="K502" s="8"/>
      <c r="L502" s="8"/>
      <c r="M502" s="8"/>
      <c r="N502" s="8"/>
      <c r="O502" s="8"/>
      <c r="P502" s="8"/>
      <c r="Q502" s="8"/>
      <c r="R502" s="8"/>
      <c r="S502" s="8"/>
      <c r="T502" s="8"/>
      <c r="U502" s="8"/>
      <c r="V502" s="8"/>
    </row>
    <row r="503" spans="1:22" ht="13.5" customHeight="1">
      <c r="A503" s="8"/>
      <c r="B503" s="8"/>
      <c r="C503" s="30"/>
      <c r="D503" s="8"/>
      <c r="E503" s="8"/>
      <c r="F503" s="8"/>
      <c r="G503" s="8"/>
      <c r="H503" s="8"/>
      <c r="I503" s="8"/>
      <c r="J503" s="8"/>
      <c r="K503" s="8"/>
      <c r="L503" s="8"/>
      <c r="M503" s="8"/>
      <c r="N503" s="8"/>
      <c r="O503" s="8"/>
      <c r="P503" s="8"/>
      <c r="Q503" s="8"/>
      <c r="R503" s="8"/>
      <c r="S503" s="8"/>
      <c r="T503" s="8"/>
      <c r="U503" s="8"/>
      <c r="V503" s="8"/>
    </row>
    <row r="504" spans="1:22" ht="13.5" customHeight="1">
      <c r="A504" s="8"/>
      <c r="B504" s="8"/>
      <c r="C504" s="30"/>
      <c r="D504" s="8"/>
      <c r="E504" s="8"/>
      <c r="F504" s="8"/>
      <c r="G504" s="8"/>
      <c r="H504" s="8"/>
      <c r="I504" s="8"/>
      <c r="J504" s="8"/>
      <c r="K504" s="8"/>
      <c r="L504" s="8"/>
      <c r="M504" s="8"/>
      <c r="N504" s="8"/>
      <c r="O504" s="8"/>
      <c r="P504" s="8"/>
      <c r="Q504" s="8"/>
      <c r="R504" s="8"/>
      <c r="S504" s="8"/>
      <c r="T504" s="8"/>
      <c r="U504" s="8"/>
      <c r="V504" s="8"/>
    </row>
    <row r="505" spans="1:22" ht="13.5" customHeight="1">
      <c r="A505" s="8"/>
      <c r="B505" s="8"/>
      <c r="C505" s="30"/>
      <c r="D505" s="8"/>
      <c r="E505" s="8"/>
      <c r="F505" s="8"/>
      <c r="G505" s="8"/>
      <c r="H505" s="8"/>
      <c r="I505" s="8"/>
      <c r="J505" s="8"/>
      <c r="K505" s="8"/>
      <c r="L505" s="8"/>
      <c r="M505" s="8"/>
      <c r="N505" s="8"/>
      <c r="O505" s="8"/>
      <c r="P505" s="8"/>
      <c r="Q505" s="8"/>
      <c r="R505" s="8"/>
      <c r="S505" s="8"/>
      <c r="T505" s="8"/>
      <c r="U505" s="8"/>
      <c r="V505" s="8"/>
    </row>
    <row r="506" spans="1:22" ht="13.5" customHeight="1">
      <c r="A506" s="8"/>
      <c r="B506" s="8"/>
      <c r="C506" s="30"/>
      <c r="D506" s="8"/>
      <c r="E506" s="8"/>
      <c r="F506" s="8"/>
      <c r="G506" s="8"/>
      <c r="H506" s="8"/>
      <c r="I506" s="8"/>
      <c r="J506" s="8"/>
      <c r="K506" s="8"/>
      <c r="L506" s="8"/>
      <c r="M506" s="8"/>
      <c r="N506" s="8"/>
      <c r="O506" s="8"/>
      <c r="P506" s="8"/>
      <c r="Q506" s="8"/>
      <c r="R506" s="8"/>
      <c r="S506" s="8"/>
      <c r="T506" s="8"/>
      <c r="U506" s="8"/>
      <c r="V506" s="8"/>
    </row>
    <row r="507" spans="1:22" ht="13.5" customHeight="1">
      <c r="A507" s="8"/>
      <c r="B507" s="8"/>
      <c r="C507" s="30"/>
      <c r="D507" s="8"/>
      <c r="E507" s="8"/>
      <c r="F507" s="8"/>
      <c r="G507" s="8"/>
      <c r="H507" s="8"/>
      <c r="I507" s="8"/>
      <c r="J507" s="8"/>
      <c r="K507" s="8"/>
      <c r="L507" s="8"/>
      <c r="M507" s="8"/>
      <c r="N507" s="8"/>
      <c r="O507" s="8"/>
      <c r="P507" s="8"/>
      <c r="Q507" s="8"/>
      <c r="R507" s="8"/>
      <c r="S507" s="8"/>
      <c r="T507" s="8"/>
      <c r="U507" s="8"/>
      <c r="V507" s="8"/>
    </row>
    <row r="508" spans="1:22" ht="13.5" customHeight="1">
      <c r="A508" s="8"/>
      <c r="B508" s="8"/>
      <c r="C508" s="30"/>
      <c r="D508" s="8"/>
      <c r="E508" s="8"/>
      <c r="F508" s="8"/>
      <c r="G508" s="8"/>
      <c r="H508" s="8"/>
      <c r="I508" s="8"/>
      <c r="J508" s="8"/>
      <c r="K508" s="8"/>
      <c r="L508" s="8"/>
      <c r="M508" s="8"/>
      <c r="N508" s="8"/>
      <c r="O508" s="8"/>
      <c r="P508" s="8"/>
      <c r="Q508" s="8"/>
      <c r="R508" s="8"/>
      <c r="S508" s="8"/>
      <c r="T508" s="8"/>
      <c r="U508" s="8"/>
      <c r="V508" s="8"/>
    </row>
    <row r="509" spans="1:22" ht="13.5" customHeight="1">
      <c r="A509" s="8"/>
      <c r="B509" s="8"/>
      <c r="C509" s="30"/>
      <c r="D509" s="8"/>
      <c r="E509" s="8"/>
      <c r="F509" s="8"/>
      <c r="G509" s="8"/>
      <c r="H509" s="8"/>
      <c r="I509" s="8"/>
      <c r="J509" s="8"/>
      <c r="K509" s="8"/>
      <c r="L509" s="8"/>
      <c r="M509" s="8"/>
      <c r="N509" s="8"/>
      <c r="O509" s="8"/>
      <c r="P509" s="8"/>
      <c r="Q509" s="8"/>
      <c r="R509" s="8"/>
      <c r="S509" s="8"/>
      <c r="T509" s="8"/>
      <c r="U509" s="8"/>
      <c r="V509" s="8"/>
    </row>
    <row r="510" spans="1:22" ht="13.5" customHeight="1">
      <c r="A510" s="8"/>
      <c r="B510" s="8"/>
      <c r="C510" s="30"/>
      <c r="D510" s="8"/>
      <c r="E510" s="8"/>
      <c r="F510" s="8"/>
      <c r="G510" s="8"/>
      <c r="H510" s="8"/>
      <c r="I510" s="8"/>
      <c r="J510" s="8"/>
      <c r="K510" s="8"/>
      <c r="L510" s="8"/>
      <c r="M510" s="8"/>
      <c r="N510" s="8"/>
      <c r="O510" s="8"/>
      <c r="P510" s="8"/>
      <c r="Q510" s="8"/>
      <c r="R510" s="8"/>
      <c r="S510" s="8"/>
      <c r="T510" s="8"/>
      <c r="U510" s="8"/>
      <c r="V510" s="8"/>
    </row>
    <row r="511" spans="1:22" ht="13.5" customHeight="1">
      <c r="A511" s="8"/>
      <c r="B511" s="8"/>
      <c r="C511" s="30"/>
      <c r="D511" s="8"/>
      <c r="E511" s="8"/>
      <c r="F511" s="8"/>
      <c r="G511" s="8"/>
      <c r="H511" s="8"/>
      <c r="I511" s="8"/>
      <c r="J511" s="8"/>
      <c r="K511" s="8"/>
      <c r="L511" s="8"/>
      <c r="M511" s="8"/>
      <c r="N511" s="8"/>
      <c r="O511" s="8"/>
      <c r="P511" s="8"/>
      <c r="Q511" s="8"/>
      <c r="R511" s="8"/>
      <c r="S511" s="8"/>
      <c r="T511" s="8"/>
      <c r="U511" s="8"/>
      <c r="V511" s="8"/>
    </row>
    <row r="512" spans="1:22" ht="13.5" customHeight="1">
      <c r="A512" s="8"/>
      <c r="B512" s="8"/>
      <c r="C512" s="30"/>
      <c r="D512" s="8"/>
      <c r="E512" s="8"/>
      <c r="F512" s="8"/>
      <c r="G512" s="8"/>
      <c r="H512" s="8"/>
      <c r="I512" s="8"/>
      <c r="J512" s="8"/>
      <c r="K512" s="8"/>
      <c r="L512" s="8"/>
      <c r="M512" s="8"/>
      <c r="N512" s="8"/>
      <c r="O512" s="8"/>
      <c r="P512" s="8"/>
      <c r="Q512" s="8"/>
      <c r="R512" s="8"/>
      <c r="S512" s="8"/>
      <c r="T512" s="8"/>
      <c r="U512" s="8"/>
      <c r="V512" s="8"/>
    </row>
    <row r="513" spans="1:22" ht="13.5" customHeight="1">
      <c r="A513" s="8"/>
      <c r="B513" s="8"/>
      <c r="C513" s="30"/>
      <c r="D513" s="8"/>
      <c r="E513" s="8"/>
      <c r="F513" s="8"/>
      <c r="G513" s="8"/>
      <c r="H513" s="8"/>
      <c r="I513" s="8"/>
      <c r="J513" s="8"/>
      <c r="K513" s="8"/>
      <c r="L513" s="8"/>
      <c r="M513" s="8"/>
      <c r="N513" s="8"/>
      <c r="O513" s="8"/>
      <c r="P513" s="8"/>
      <c r="Q513" s="8"/>
      <c r="R513" s="8"/>
      <c r="S513" s="8"/>
      <c r="T513" s="8"/>
      <c r="U513" s="8"/>
      <c r="V513" s="8"/>
    </row>
    <row r="514" spans="1:22" ht="13.5" customHeight="1">
      <c r="A514" s="8"/>
      <c r="B514" s="8"/>
      <c r="C514" s="30"/>
      <c r="D514" s="8"/>
      <c r="E514" s="8"/>
      <c r="F514" s="8"/>
      <c r="G514" s="8"/>
      <c r="H514" s="8"/>
      <c r="I514" s="8"/>
      <c r="J514" s="8"/>
      <c r="K514" s="8"/>
      <c r="L514" s="8"/>
      <c r="M514" s="8"/>
      <c r="N514" s="8"/>
      <c r="O514" s="8"/>
      <c r="P514" s="8"/>
      <c r="Q514" s="8"/>
      <c r="R514" s="8"/>
      <c r="S514" s="8"/>
      <c r="T514" s="8"/>
      <c r="U514" s="8"/>
      <c r="V514" s="8"/>
    </row>
    <row r="515" spans="1:22" ht="13.5" customHeight="1">
      <c r="A515" s="8"/>
      <c r="B515" s="8"/>
      <c r="C515" s="30"/>
      <c r="D515" s="8"/>
      <c r="E515" s="8"/>
      <c r="F515" s="8"/>
      <c r="G515" s="8"/>
      <c r="H515" s="8"/>
      <c r="I515" s="8"/>
      <c r="J515" s="8"/>
      <c r="K515" s="8"/>
      <c r="L515" s="8"/>
      <c r="M515" s="8"/>
      <c r="N515" s="8"/>
      <c r="O515" s="8"/>
      <c r="P515" s="8"/>
      <c r="Q515" s="8"/>
      <c r="R515" s="8"/>
      <c r="S515" s="8"/>
      <c r="T515" s="8"/>
      <c r="U515" s="8"/>
      <c r="V515" s="8"/>
    </row>
    <row r="516" spans="1:22" ht="13.5" customHeight="1">
      <c r="A516" s="8"/>
      <c r="B516" s="8"/>
      <c r="C516" s="30"/>
      <c r="D516" s="8"/>
      <c r="E516" s="8"/>
      <c r="F516" s="8"/>
      <c r="G516" s="8"/>
      <c r="H516" s="8"/>
      <c r="I516" s="8"/>
      <c r="J516" s="8"/>
      <c r="K516" s="8"/>
      <c r="L516" s="8"/>
      <c r="M516" s="8"/>
      <c r="N516" s="8"/>
      <c r="O516" s="8"/>
      <c r="P516" s="8"/>
      <c r="Q516" s="8"/>
      <c r="R516" s="8"/>
      <c r="S516" s="8"/>
      <c r="T516" s="8"/>
      <c r="U516" s="8"/>
      <c r="V516" s="8"/>
    </row>
    <row r="517" spans="1:22" ht="13.5" customHeight="1">
      <c r="A517" s="8"/>
      <c r="B517" s="8"/>
      <c r="C517" s="30"/>
      <c r="D517" s="8"/>
      <c r="E517" s="8"/>
      <c r="F517" s="8"/>
      <c r="G517" s="8"/>
      <c r="H517" s="8"/>
      <c r="I517" s="8"/>
      <c r="J517" s="8"/>
      <c r="K517" s="8"/>
      <c r="L517" s="8"/>
      <c r="M517" s="8"/>
      <c r="N517" s="8"/>
      <c r="O517" s="8"/>
      <c r="P517" s="8"/>
      <c r="Q517" s="8"/>
      <c r="R517" s="8"/>
      <c r="S517" s="8"/>
      <c r="T517" s="8"/>
      <c r="U517" s="8"/>
      <c r="V517" s="8"/>
    </row>
    <row r="518" spans="1:22" ht="13.5" customHeight="1">
      <c r="A518" s="8"/>
      <c r="B518" s="8"/>
      <c r="C518" s="30"/>
      <c r="D518" s="8"/>
      <c r="E518" s="8"/>
      <c r="F518" s="8"/>
      <c r="G518" s="8"/>
      <c r="H518" s="8"/>
      <c r="I518" s="8"/>
      <c r="J518" s="8"/>
      <c r="K518" s="8"/>
      <c r="L518" s="8"/>
      <c r="M518" s="8"/>
      <c r="N518" s="8"/>
      <c r="O518" s="8"/>
      <c r="P518" s="8"/>
      <c r="Q518" s="8"/>
      <c r="R518" s="8"/>
      <c r="S518" s="8"/>
      <c r="T518" s="8"/>
      <c r="U518" s="8"/>
      <c r="V518" s="8"/>
    </row>
    <row r="519" spans="1:22" ht="13.5" customHeight="1">
      <c r="A519" s="8"/>
      <c r="B519" s="8"/>
      <c r="C519" s="30"/>
      <c r="D519" s="8"/>
      <c r="E519" s="8"/>
      <c r="F519" s="8"/>
      <c r="G519" s="8"/>
      <c r="H519" s="8"/>
      <c r="I519" s="8"/>
      <c r="J519" s="8"/>
      <c r="K519" s="8"/>
      <c r="L519" s="8"/>
      <c r="M519" s="8"/>
      <c r="N519" s="8"/>
      <c r="O519" s="8"/>
      <c r="P519" s="8"/>
      <c r="Q519" s="8"/>
      <c r="R519" s="8"/>
      <c r="S519" s="8"/>
      <c r="T519" s="8"/>
      <c r="U519" s="8"/>
      <c r="V519" s="8"/>
    </row>
    <row r="520" spans="1:22" ht="13.5" customHeight="1">
      <c r="A520" s="8"/>
      <c r="B520" s="8"/>
      <c r="C520" s="30"/>
      <c r="D520" s="8"/>
      <c r="E520" s="8"/>
      <c r="F520" s="8"/>
      <c r="G520" s="8"/>
      <c r="H520" s="8"/>
      <c r="I520" s="8"/>
      <c r="J520" s="8"/>
      <c r="K520" s="8"/>
      <c r="L520" s="8"/>
      <c r="M520" s="8"/>
      <c r="N520" s="8"/>
      <c r="O520" s="8"/>
      <c r="P520" s="8"/>
      <c r="Q520" s="8"/>
      <c r="R520" s="8"/>
      <c r="S520" s="8"/>
      <c r="T520" s="8"/>
      <c r="U520" s="8"/>
      <c r="V520" s="8"/>
    </row>
    <row r="521" spans="1:22" ht="13.5" customHeight="1">
      <c r="A521" s="8"/>
      <c r="B521" s="8"/>
      <c r="C521" s="30"/>
      <c r="D521" s="8"/>
      <c r="E521" s="8"/>
      <c r="F521" s="8"/>
      <c r="G521" s="8"/>
      <c r="H521" s="8"/>
      <c r="I521" s="8"/>
      <c r="J521" s="8"/>
      <c r="K521" s="8"/>
      <c r="L521" s="8"/>
      <c r="M521" s="8"/>
      <c r="N521" s="8"/>
      <c r="O521" s="8"/>
      <c r="P521" s="8"/>
      <c r="Q521" s="8"/>
      <c r="R521" s="8"/>
      <c r="S521" s="8"/>
      <c r="T521" s="8"/>
      <c r="U521" s="8"/>
      <c r="V521" s="8"/>
    </row>
    <row r="522" spans="1:22" ht="13.5" customHeight="1">
      <c r="A522" s="8"/>
      <c r="B522" s="8"/>
      <c r="C522" s="30"/>
      <c r="D522" s="8"/>
      <c r="E522" s="8"/>
      <c r="F522" s="8"/>
      <c r="G522" s="8"/>
      <c r="H522" s="8"/>
      <c r="I522" s="8"/>
      <c r="J522" s="8"/>
      <c r="K522" s="8"/>
      <c r="L522" s="8"/>
      <c r="M522" s="8"/>
      <c r="N522" s="8"/>
      <c r="O522" s="8"/>
      <c r="P522" s="8"/>
      <c r="Q522" s="8"/>
      <c r="R522" s="8"/>
      <c r="S522" s="8"/>
      <c r="T522" s="8"/>
      <c r="U522" s="8"/>
      <c r="V522" s="8"/>
    </row>
    <row r="523" spans="1:22" ht="13.5" customHeight="1">
      <c r="A523" s="8"/>
      <c r="B523" s="8"/>
      <c r="C523" s="30"/>
      <c r="D523" s="8"/>
      <c r="E523" s="8"/>
      <c r="F523" s="8"/>
      <c r="G523" s="8"/>
      <c r="H523" s="8"/>
      <c r="I523" s="8"/>
      <c r="J523" s="8"/>
      <c r="K523" s="8"/>
      <c r="L523" s="8"/>
      <c r="M523" s="8"/>
      <c r="N523" s="8"/>
      <c r="O523" s="8"/>
      <c r="P523" s="8"/>
      <c r="Q523" s="8"/>
      <c r="R523" s="8"/>
      <c r="S523" s="8"/>
      <c r="T523" s="8"/>
      <c r="U523" s="8"/>
      <c r="V523" s="8"/>
    </row>
    <row r="524" spans="1:22" ht="13.5" customHeight="1">
      <c r="A524" s="8"/>
      <c r="B524" s="8"/>
      <c r="C524" s="30"/>
      <c r="D524" s="8"/>
      <c r="E524" s="8"/>
      <c r="F524" s="8"/>
      <c r="G524" s="8"/>
      <c r="H524" s="8"/>
      <c r="I524" s="8"/>
      <c r="J524" s="8"/>
      <c r="K524" s="8"/>
      <c r="L524" s="8"/>
      <c r="M524" s="8"/>
      <c r="N524" s="8"/>
      <c r="O524" s="8"/>
      <c r="P524" s="8"/>
      <c r="Q524" s="8"/>
      <c r="R524" s="8"/>
      <c r="S524" s="8"/>
      <c r="T524" s="8"/>
      <c r="U524" s="8"/>
      <c r="V524" s="8"/>
    </row>
    <row r="525" spans="1:22" ht="13.5" customHeight="1">
      <c r="A525" s="8"/>
      <c r="B525" s="8"/>
      <c r="C525" s="30"/>
      <c r="D525" s="8"/>
      <c r="E525" s="8"/>
      <c r="F525" s="8"/>
      <c r="G525" s="8"/>
      <c r="H525" s="8"/>
      <c r="I525" s="8"/>
      <c r="J525" s="8"/>
      <c r="K525" s="8"/>
      <c r="L525" s="8"/>
      <c r="M525" s="8"/>
      <c r="N525" s="8"/>
      <c r="O525" s="8"/>
      <c r="P525" s="8"/>
      <c r="Q525" s="8"/>
      <c r="R525" s="8"/>
      <c r="S525" s="8"/>
      <c r="T525" s="8"/>
      <c r="U525" s="8"/>
      <c r="V525" s="8"/>
    </row>
    <row r="526" spans="1:22" ht="13.5" customHeight="1">
      <c r="A526" s="8"/>
      <c r="B526" s="8"/>
      <c r="C526" s="30"/>
      <c r="D526" s="8"/>
      <c r="E526" s="8"/>
      <c r="F526" s="8"/>
      <c r="G526" s="8"/>
      <c r="H526" s="8"/>
      <c r="I526" s="8"/>
      <c r="J526" s="8"/>
      <c r="K526" s="8"/>
      <c r="L526" s="8"/>
      <c r="M526" s="8"/>
      <c r="N526" s="8"/>
      <c r="O526" s="8"/>
      <c r="P526" s="8"/>
      <c r="Q526" s="8"/>
      <c r="R526" s="8"/>
      <c r="S526" s="8"/>
      <c r="T526" s="8"/>
      <c r="U526" s="8"/>
      <c r="V526" s="8"/>
    </row>
    <row r="527" spans="1:22" ht="13.5" customHeight="1">
      <c r="A527" s="8"/>
      <c r="B527" s="8"/>
      <c r="C527" s="30"/>
      <c r="D527" s="8"/>
      <c r="E527" s="8"/>
      <c r="F527" s="8"/>
      <c r="G527" s="8"/>
      <c r="H527" s="8"/>
      <c r="I527" s="8"/>
      <c r="J527" s="8"/>
      <c r="K527" s="8"/>
      <c r="L527" s="8"/>
      <c r="M527" s="8"/>
      <c r="N527" s="8"/>
      <c r="O527" s="8"/>
      <c r="P527" s="8"/>
      <c r="Q527" s="8"/>
      <c r="R527" s="8"/>
      <c r="S527" s="8"/>
      <c r="T527" s="8"/>
      <c r="U527" s="8"/>
      <c r="V527" s="8"/>
    </row>
    <row r="528" spans="1:22" ht="13.5" customHeight="1">
      <c r="A528" s="8"/>
      <c r="B528" s="8"/>
      <c r="C528" s="30"/>
      <c r="D528" s="8"/>
      <c r="E528" s="8"/>
      <c r="F528" s="8"/>
      <c r="G528" s="8"/>
      <c r="H528" s="8"/>
      <c r="I528" s="8"/>
      <c r="J528" s="8"/>
      <c r="K528" s="8"/>
      <c r="L528" s="8"/>
      <c r="M528" s="8"/>
      <c r="N528" s="8"/>
      <c r="O528" s="8"/>
      <c r="P528" s="8"/>
      <c r="Q528" s="8"/>
      <c r="R528" s="8"/>
      <c r="S528" s="8"/>
      <c r="T528" s="8"/>
      <c r="U528" s="8"/>
      <c r="V528" s="8"/>
    </row>
    <row r="529" spans="1:22" ht="13.5" customHeight="1">
      <c r="A529" s="8"/>
      <c r="B529" s="8"/>
      <c r="C529" s="30"/>
      <c r="D529" s="8"/>
      <c r="E529" s="8"/>
      <c r="F529" s="8"/>
      <c r="G529" s="8"/>
      <c r="H529" s="8"/>
      <c r="I529" s="8"/>
      <c r="J529" s="8"/>
      <c r="K529" s="8"/>
      <c r="L529" s="8"/>
      <c r="M529" s="8"/>
      <c r="N529" s="8"/>
      <c r="O529" s="8"/>
      <c r="P529" s="8"/>
      <c r="Q529" s="8"/>
      <c r="R529" s="8"/>
      <c r="S529" s="8"/>
      <c r="T529" s="8"/>
      <c r="U529" s="8"/>
      <c r="V529" s="8"/>
    </row>
    <row r="530" spans="1:22" ht="13.5" customHeight="1">
      <c r="A530" s="8"/>
      <c r="B530" s="8"/>
      <c r="C530" s="30"/>
      <c r="D530" s="8"/>
      <c r="E530" s="8"/>
      <c r="F530" s="8"/>
      <c r="G530" s="8"/>
      <c r="H530" s="8"/>
      <c r="I530" s="8"/>
      <c r="J530" s="8"/>
      <c r="K530" s="8"/>
      <c r="L530" s="8"/>
      <c r="M530" s="8"/>
      <c r="N530" s="8"/>
      <c r="O530" s="8"/>
      <c r="P530" s="8"/>
      <c r="Q530" s="8"/>
      <c r="R530" s="8"/>
      <c r="S530" s="8"/>
      <c r="T530" s="8"/>
      <c r="U530" s="8"/>
      <c r="V530" s="8"/>
    </row>
    <row r="531" spans="1:22" ht="13.5" customHeight="1">
      <c r="A531" s="8"/>
      <c r="B531" s="8"/>
      <c r="C531" s="30"/>
      <c r="D531" s="8"/>
      <c r="E531" s="8"/>
      <c r="F531" s="8"/>
      <c r="G531" s="8"/>
      <c r="H531" s="8"/>
      <c r="I531" s="8"/>
      <c r="J531" s="8"/>
      <c r="K531" s="8"/>
      <c r="L531" s="8"/>
      <c r="M531" s="8"/>
      <c r="N531" s="8"/>
      <c r="O531" s="8"/>
      <c r="P531" s="8"/>
      <c r="Q531" s="8"/>
      <c r="R531" s="8"/>
      <c r="S531" s="8"/>
      <c r="T531" s="8"/>
      <c r="U531" s="8"/>
      <c r="V531" s="8"/>
    </row>
    <row r="532" spans="1:22" ht="13.5" customHeight="1">
      <c r="A532" s="8"/>
      <c r="B532" s="8"/>
      <c r="C532" s="30"/>
      <c r="D532" s="8"/>
      <c r="E532" s="8"/>
      <c r="F532" s="8"/>
      <c r="G532" s="8"/>
      <c r="H532" s="8"/>
      <c r="I532" s="8"/>
      <c r="J532" s="8"/>
      <c r="K532" s="8"/>
      <c r="L532" s="8"/>
      <c r="M532" s="8"/>
      <c r="N532" s="8"/>
      <c r="O532" s="8"/>
      <c r="P532" s="8"/>
      <c r="Q532" s="8"/>
      <c r="R532" s="8"/>
      <c r="S532" s="8"/>
      <c r="T532" s="8"/>
      <c r="U532" s="8"/>
      <c r="V532" s="8"/>
    </row>
    <row r="533" spans="1:22" ht="13.5" customHeight="1">
      <c r="A533" s="8"/>
      <c r="B533" s="8"/>
      <c r="C533" s="30"/>
      <c r="D533" s="8"/>
      <c r="E533" s="8"/>
      <c r="F533" s="8"/>
      <c r="G533" s="8"/>
      <c r="H533" s="8"/>
      <c r="I533" s="8"/>
      <c r="J533" s="8"/>
      <c r="K533" s="8"/>
      <c r="L533" s="8"/>
      <c r="M533" s="8"/>
      <c r="N533" s="8"/>
      <c r="O533" s="8"/>
      <c r="P533" s="8"/>
      <c r="Q533" s="8"/>
      <c r="R533" s="8"/>
      <c r="S533" s="8"/>
      <c r="T533" s="8"/>
      <c r="U533" s="8"/>
      <c r="V533" s="8"/>
    </row>
    <row r="534" spans="1:22" ht="13.5" customHeight="1">
      <c r="A534" s="8"/>
      <c r="B534" s="8"/>
      <c r="C534" s="30"/>
      <c r="D534" s="8"/>
      <c r="E534" s="8"/>
      <c r="F534" s="8"/>
      <c r="G534" s="8"/>
      <c r="H534" s="8"/>
      <c r="I534" s="8"/>
      <c r="J534" s="8"/>
      <c r="K534" s="8"/>
      <c r="L534" s="8"/>
      <c r="M534" s="8"/>
      <c r="N534" s="8"/>
      <c r="O534" s="8"/>
      <c r="P534" s="8"/>
      <c r="Q534" s="8"/>
      <c r="R534" s="8"/>
      <c r="S534" s="8"/>
      <c r="T534" s="8"/>
      <c r="U534" s="8"/>
      <c r="V534" s="8"/>
    </row>
    <row r="535" spans="1:22" ht="13.5" customHeight="1">
      <c r="A535" s="8"/>
      <c r="B535" s="8"/>
      <c r="C535" s="30"/>
      <c r="D535" s="8"/>
      <c r="E535" s="8"/>
      <c r="F535" s="8"/>
      <c r="G535" s="8"/>
      <c r="H535" s="8"/>
      <c r="I535" s="8"/>
      <c r="J535" s="8"/>
      <c r="K535" s="8"/>
      <c r="L535" s="8"/>
      <c r="M535" s="8"/>
      <c r="N535" s="8"/>
      <c r="O535" s="8"/>
      <c r="P535" s="8"/>
      <c r="Q535" s="8"/>
      <c r="R535" s="8"/>
      <c r="S535" s="8"/>
      <c r="T535" s="8"/>
      <c r="U535" s="8"/>
      <c r="V535" s="8"/>
    </row>
    <row r="536" spans="1:22" ht="13.5" customHeight="1">
      <c r="A536" s="8"/>
      <c r="B536" s="8"/>
      <c r="C536" s="30"/>
      <c r="D536" s="8"/>
      <c r="E536" s="8"/>
      <c r="F536" s="8"/>
      <c r="G536" s="8"/>
      <c r="H536" s="8"/>
      <c r="I536" s="8"/>
      <c r="J536" s="8"/>
      <c r="K536" s="8"/>
      <c r="L536" s="8"/>
      <c r="M536" s="8"/>
      <c r="N536" s="8"/>
      <c r="O536" s="8"/>
      <c r="P536" s="8"/>
      <c r="Q536" s="8"/>
      <c r="R536" s="8"/>
      <c r="S536" s="8"/>
      <c r="T536" s="8"/>
      <c r="U536" s="8"/>
      <c r="V536" s="8"/>
    </row>
    <row r="537" spans="1:22" ht="13.5" customHeight="1">
      <c r="A537" s="8"/>
      <c r="B537" s="8"/>
      <c r="C537" s="30"/>
      <c r="D537" s="8"/>
      <c r="E537" s="8"/>
      <c r="F537" s="8"/>
      <c r="G537" s="8"/>
      <c r="H537" s="8"/>
      <c r="I537" s="8"/>
      <c r="J537" s="8"/>
      <c r="K537" s="8"/>
      <c r="L537" s="8"/>
      <c r="M537" s="8"/>
      <c r="N537" s="8"/>
      <c r="O537" s="8"/>
      <c r="P537" s="8"/>
      <c r="Q537" s="8"/>
      <c r="R537" s="8"/>
      <c r="S537" s="8"/>
      <c r="T537" s="8"/>
      <c r="U537" s="8"/>
      <c r="V537" s="8"/>
    </row>
    <row r="538" spans="1:22" ht="13.5" customHeight="1">
      <c r="A538" s="8"/>
      <c r="B538" s="8"/>
      <c r="C538" s="30"/>
      <c r="D538" s="8"/>
      <c r="E538" s="8"/>
      <c r="F538" s="8"/>
      <c r="G538" s="8"/>
      <c r="H538" s="8"/>
      <c r="I538" s="8"/>
      <c r="J538" s="8"/>
      <c r="K538" s="8"/>
      <c r="L538" s="8"/>
      <c r="M538" s="8"/>
      <c r="N538" s="8"/>
      <c r="O538" s="8"/>
      <c r="P538" s="8"/>
      <c r="Q538" s="8"/>
      <c r="R538" s="8"/>
      <c r="S538" s="8"/>
      <c r="T538" s="8"/>
      <c r="U538" s="8"/>
      <c r="V538" s="8"/>
    </row>
    <row r="539" spans="1:22" ht="13.5" customHeight="1">
      <c r="A539" s="8"/>
      <c r="B539" s="8"/>
      <c r="C539" s="30"/>
      <c r="D539" s="8"/>
      <c r="E539" s="8"/>
      <c r="F539" s="8"/>
      <c r="G539" s="8"/>
      <c r="H539" s="8"/>
      <c r="I539" s="8"/>
      <c r="J539" s="8"/>
      <c r="K539" s="8"/>
      <c r="L539" s="8"/>
      <c r="M539" s="8"/>
      <c r="N539" s="8"/>
      <c r="O539" s="8"/>
      <c r="P539" s="8"/>
      <c r="Q539" s="8"/>
      <c r="R539" s="8"/>
      <c r="S539" s="8"/>
      <c r="T539" s="8"/>
      <c r="U539" s="8"/>
      <c r="V539" s="8"/>
    </row>
    <row r="540" spans="1:22" ht="13.5" customHeight="1">
      <c r="A540" s="8"/>
      <c r="B540" s="8"/>
      <c r="C540" s="30"/>
      <c r="D540" s="8"/>
      <c r="E540" s="8"/>
      <c r="F540" s="8"/>
      <c r="G540" s="8"/>
      <c r="H540" s="8"/>
      <c r="I540" s="8"/>
      <c r="J540" s="8"/>
      <c r="K540" s="8"/>
      <c r="L540" s="8"/>
      <c r="M540" s="8"/>
      <c r="N540" s="8"/>
      <c r="O540" s="8"/>
      <c r="P540" s="8"/>
      <c r="Q540" s="8"/>
      <c r="R540" s="8"/>
      <c r="S540" s="8"/>
      <c r="T540" s="8"/>
      <c r="U540" s="8"/>
      <c r="V540" s="8"/>
    </row>
    <row r="541" spans="1:22" ht="13.5" customHeight="1">
      <c r="A541" s="8"/>
      <c r="B541" s="8"/>
      <c r="C541" s="30"/>
      <c r="D541" s="8"/>
      <c r="E541" s="8"/>
      <c r="F541" s="8"/>
      <c r="G541" s="8"/>
      <c r="H541" s="8"/>
      <c r="I541" s="8"/>
      <c r="J541" s="8"/>
      <c r="K541" s="8"/>
      <c r="L541" s="8"/>
      <c r="M541" s="8"/>
      <c r="N541" s="8"/>
      <c r="O541" s="8"/>
      <c r="P541" s="8"/>
      <c r="Q541" s="8"/>
      <c r="R541" s="8"/>
      <c r="S541" s="8"/>
      <c r="T541" s="8"/>
      <c r="U541" s="8"/>
      <c r="V541" s="8"/>
    </row>
    <row r="542" spans="1:22" ht="13.5" customHeight="1">
      <c r="A542" s="8"/>
      <c r="B542" s="8"/>
      <c r="C542" s="30"/>
      <c r="D542" s="8"/>
      <c r="E542" s="8"/>
      <c r="F542" s="8"/>
      <c r="G542" s="8"/>
      <c r="H542" s="8"/>
      <c r="I542" s="8"/>
      <c r="J542" s="8"/>
      <c r="K542" s="8"/>
      <c r="L542" s="8"/>
      <c r="M542" s="8"/>
      <c r="N542" s="8"/>
      <c r="O542" s="8"/>
      <c r="P542" s="8"/>
      <c r="Q542" s="8"/>
      <c r="R542" s="8"/>
      <c r="S542" s="8"/>
      <c r="T542" s="8"/>
      <c r="U542" s="8"/>
      <c r="V542" s="8"/>
    </row>
    <row r="543" spans="1:22" ht="13.5" customHeight="1">
      <c r="A543" s="8"/>
      <c r="B543" s="8"/>
      <c r="C543" s="30"/>
      <c r="D543" s="8"/>
      <c r="E543" s="8"/>
      <c r="F543" s="8"/>
      <c r="G543" s="8"/>
      <c r="H543" s="8"/>
      <c r="I543" s="8"/>
      <c r="J543" s="8"/>
      <c r="K543" s="8"/>
      <c r="L543" s="8"/>
      <c r="M543" s="8"/>
      <c r="N543" s="8"/>
      <c r="O543" s="8"/>
      <c r="P543" s="8"/>
      <c r="Q543" s="8"/>
      <c r="R543" s="8"/>
      <c r="S543" s="8"/>
      <c r="T543" s="8"/>
      <c r="U543" s="8"/>
      <c r="V543" s="8"/>
    </row>
    <row r="544" spans="1:22" ht="13.5" customHeight="1">
      <c r="A544" s="8"/>
      <c r="B544" s="8"/>
      <c r="C544" s="30"/>
      <c r="D544" s="8"/>
      <c r="E544" s="8"/>
      <c r="F544" s="8"/>
      <c r="G544" s="8"/>
      <c r="H544" s="8"/>
      <c r="I544" s="8"/>
      <c r="J544" s="8"/>
      <c r="K544" s="8"/>
      <c r="L544" s="8"/>
      <c r="M544" s="8"/>
      <c r="N544" s="8"/>
      <c r="O544" s="8"/>
      <c r="P544" s="8"/>
      <c r="Q544" s="8"/>
      <c r="R544" s="8"/>
      <c r="S544" s="8"/>
      <c r="T544" s="8"/>
      <c r="U544" s="8"/>
      <c r="V544" s="8"/>
    </row>
    <row r="545" spans="1:22" ht="13.5" customHeight="1">
      <c r="A545" s="8"/>
      <c r="B545" s="8"/>
      <c r="C545" s="30"/>
      <c r="D545" s="8"/>
      <c r="E545" s="8"/>
      <c r="F545" s="8"/>
      <c r="G545" s="8"/>
      <c r="H545" s="8"/>
      <c r="I545" s="8"/>
      <c r="J545" s="8"/>
      <c r="K545" s="8"/>
      <c r="L545" s="8"/>
      <c r="M545" s="8"/>
      <c r="N545" s="8"/>
      <c r="O545" s="8"/>
      <c r="P545" s="8"/>
      <c r="Q545" s="8"/>
      <c r="R545" s="8"/>
      <c r="S545" s="8"/>
      <c r="T545" s="8"/>
      <c r="U545" s="8"/>
      <c r="V545" s="8"/>
    </row>
    <row r="546" spans="1:22" ht="13.5" customHeight="1">
      <c r="A546" s="8"/>
      <c r="B546" s="8"/>
      <c r="C546" s="30"/>
      <c r="D546" s="8"/>
      <c r="E546" s="8"/>
      <c r="F546" s="8"/>
      <c r="G546" s="8"/>
      <c r="H546" s="8"/>
      <c r="I546" s="8"/>
      <c r="J546" s="8"/>
      <c r="K546" s="8"/>
      <c r="L546" s="8"/>
      <c r="M546" s="8"/>
      <c r="N546" s="8"/>
      <c r="O546" s="8"/>
      <c r="P546" s="8"/>
      <c r="Q546" s="8"/>
      <c r="R546" s="8"/>
      <c r="S546" s="8"/>
      <c r="T546" s="8"/>
      <c r="U546" s="8"/>
      <c r="V546" s="8"/>
    </row>
    <row r="547" spans="1:22" ht="13.5" customHeight="1">
      <c r="A547" s="8"/>
      <c r="B547" s="8"/>
      <c r="C547" s="30"/>
      <c r="D547" s="8"/>
      <c r="E547" s="8"/>
      <c r="F547" s="8"/>
      <c r="G547" s="8"/>
      <c r="H547" s="8"/>
      <c r="I547" s="8"/>
      <c r="J547" s="8"/>
      <c r="K547" s="8"/>
      <c r="L547" s="8"/>
      <c r="M547" s="8"/>
      <c r="N547" s="8"/>
      <c r="O547" s="8"/>
      <c r="P547" s="8"/>
      <c r="Q547" s="8"/>
      <c r="R547" s="8"/>
      <c r="S547" s="8"/>
      <c r="T547" s="8"/>
      <c r="U547" s="8"/>
      <c r="V547" s="8"/>
    </row>
    <row r="548" spans="1:22" ht="13.5" customHeight="1">
      <c r="A548" s="8"/>
      <c r="B548" s="8"/>
      <c r="C548" s="30"/>
      <c r="D548" s="8"/>
      <c r="E548" s="8"/>
      <c r="F548" s="8"/>
      <c r="G548" s="8"/>
      <c r="H548" s="8"/>
      <c r="I548" s="8"/>
      <c r="J548" s="8"/>
      <c r="K548" s="8"/>
      <c r="L548" s="8"/>
      <c r="M548" s="8"/>
      <c r="N548" s="8"/>
      <c r="O548" s="8"/>
      <c r="P548" s="8"/>
      <c r="Q548" s="8"/>
      <c r="R548" s="8"/>
      <c r="S548" s="8"/>
      <c r="T548" s="8"/>
      <c r="U548" s="8"/>
      <c r="V548" s="8"/>
    </row>
    <row r="549" spans="1:22" ht="13.5" customHeight="1">
      <c r="A549" s="8"/>
      <c r="B549" s="8"/>
      <c r="C549" s="30"/>
      <c r="D549" s="8"/>
      <c r="E549" s="8"/>
      <c r="F549" s="8"/>
      <c r="G549" s="8"/>
      <c r="H549" s="8"/>
      <c r="I549" s="8"/>
      <c r="J549" s="8"/>
      <c r="K549" s="8"/>
      <c r="L549" s="8"/>
      <c r="M549" s="8"/>
      <c r="N549" s="8"/>
      <c r="O549" s="8"/>
      <c r="P549" s="8"/>
      <c r="Q549" s="8"/>
      <c r="R549" s="8"/>
      <c r="S549" s="8"/>
      <c r="T549" s="8"/>
      <c r="U549" s="8"/>
      <c r="V549" s="8"/>
    </row>
    <row r="550" spans="1:22" ht="13.5" customHeight="1">
      <c r="A550" s="8"/>
      <c r="B550" s="8"/>
      <c r="C550" s="30"/>
      <c r="D550" s="8"/>
      <c r="E550" s="8"/>
      <c r="F550" s="8"/>
      <c r="G550" s="8"/>
      <c r="H550" s="8"/>
      <c r="I550" s="8"/>
      <c r="J550" s="8"/>
      <c r="K550" s="8"/>
      <c r="L550" s="8"/>
      <c r="M550" s="8"/>
      <c r="N550" s="8"/>
      <c r="O550" s="8"/>
      <c r="P550" s="8"/>
      <c r="Q550" s="8"/>
      <c r="R550" s="8"/>
      <c r="S550" s="8"/>
      <c r="T550" s="8"/>
      <c r="U550" s="8"/>
      <c r="V550" s="8"/>
    </row>
    <row r="551" spans="1:22" ht="13.5" customHeight="1">
      <c r="A551" s="8"/>
      <c r="B551" s="8"/>
      <c r="C551" s="30"/>
      <c r="D551" s="8"/>
      <c r="E551" s="8"/>
      <c r="F551" s="8"/>
      <c r="G551" s="8"/>
      <c r="H551" s="8"/>
      <c r="I551" s="8"/>
      <c r="J551" s="8"/>
      <c r="K551" s="8"/>
      <c r="L551" s="8"/>
      <c r="M551" s="8"/>
      <c r="N551" s="8"/>
      <c r="O551" s="8"/>
      <c r="P551" s="8"/>
      <c r="Q551" s="8"/>
      <c r="R551" s="8"/>
      <c r="S551" s="8"/>
      <c r="T551" s="8"/>
      <c r="U551" s="8"/>
      <c r="V551" s="8"/>
    </row>
    <row r="552" spans="1:22" ht="13.5" customHeight="1">
      <c r="A552" s="8"/>
      <c r="B552" s="8"/>
      <c r="C552" s="30"/>
      <c r="D552" s="8"/>
      <c r="E552" s="8"/>
      <c r="F552" s="8"/>
      <c r="G552" s="8"/>
      <c r="H552" s="8"/>
      <c r="I552" s="8"/>
      <c r="J552" s="8"/>
      <c r="K552" s="8"/>
      <c r="L552" s="8"/>
      <c r="M552" s="8"/>
      <c r="N552" s="8"/>
      <c r="O552" s="8"/>
      <c r="P552" s="8"/>
      <c r="Q552" s="8"/>
      <c r="R552" s="8"/>
      <c r="S552" s="8"/>
      <c r="T552" s="8"/>
      <c r="U552" s="8"/>
      <c r="V552" s="8"/>
    </row>
    <row r="553" spans="1:22" ht="13.5" customHeight="1">
      <c r="A553" s="8"/>
      <c r="B553" s="8"/>
      <c r="C553" s="30"/>
      <c r="D553" s="8"/>
      <c r="E553" s="8"/>
      <c r="F553" s="8"/>
      <c r="G553" s="8"/>
      <c r="H553" s="8"/>
      <c r="I553" s="8"/>
      <c r="J553" s="8"/>
      <c r="K553" s="8"/>
      <c r="L553" s="8"/>
      <c r="M553" s="8"/>
      <c r="N553" s="8"/>
      <c r="O553" s="8"/>
      <c r="P553" s="8"/>
      <c r="Q553" s="8"/>
      <c r="R553" s="8"/>
      <c r="S553" s="8"/>
      <c r="T553" s="8"/>
      <c r="U553" s="8"/>
      <c r="V553" s="8"/>
    </row>
    <row r="554" spans="1:22" ht="13.5" customHeight="1">
      <c r="A554" s="8"/>
      <c r="B554" s="8"/>
      <c r="C554" s="30"/>
      <c r="D554" s="8"/>
      <c r="E554" s="8"/>
      <c r="F554" s="8"/>
      <c r="G554" s="8"/>
      <c r="H554" s="8"/>
      <c r="I554" s="8"/>
      <c r="J554" s="8"/>
      <c r="K554" s="8"/>
      <c r="L554" s="8"/>
      <c r="M554" s="8"/>
      <c r="N554" s="8"/>
      <c r="O554" s="8"/>
      <c r="P554" s="8"/>
      <c r="Q554" s="8"/>
      <c r="R554" s="8"/>
      <c r="S554" s="8"/>
      <c r="T554" s="8"/>
      <c r="U554" s="8"/>
      <c r="V554" s="8"/>
    </row>
    <row r="555" spans="1:22" ht="13.5" customHeight="1">
      <c r="A555" s="8"/>
      <c r="B555" s="8"/>
      <c r="C555" s="30"/>
      <c r="D555" s="8"/>
      <c r="E555" s="8"/>
      <c r="F555" s="8"/>
      <c r="G555" s="8"/>
      <c r="H555" s="8"/>
      <c r="I555" s="8"/>
      <c r="J555" s="8"/>
      <c r="K555" s="8"/>
      <c r="L555" s="8"/>
      <c r="M555" s="8"/>
      <c r="N555" s="8"/>
      <c r="O555" s="8"/>
      <c r="P555" s="8"/>
      <c r="Q555" s="8"/>
      <c r="R555" s="8"/>
      <c r="S555" s="8"/>
      <c r="T555" s="8"/>
      <c r="U555" s="8"/>
      <c r="V555" s="8"/>
    </row>
    <row r="556" spans="1:22" ht="13.5" customHeight="1">
      <c r="A556" s="8"/>
      <c r="B556" s="8"/>
      <c r="C556" s="30"/>
      <c r="D556" s="8"/>
      <c r="E556" s="8"/>
      <c r="F556" s="8"/>
      <c r="G556" s="8"/>
      <c r="H556" s="8"/>
      <c r="I556" s="8"/>
      <c r="J556" s="8"/>
      <c r="K556" s="8"/>
      <c r="L556" s="8"/>
      <c r="M556" s="8"/>
      <c r="N556" s="8"/>
      <c r="O556" s="8"/>
      <c r="P556" s="8"/>
      <c r="Q556" s="8"/>
      <c r="R556" s="8"/>
      <c r="S556" s="8"/>
      <c r="T556" s="8"/>
      <c r="U556" s="8"/>
      <c r="V556" s="8"/>
    </row>
    <row r="557" spans="1:22" ht="13.5" customHeight="1">
      <c r="A557" s="8"/>
      <c r="B557" s="8"/>
      <c r="C557" s="30"/>
      <c r="D557" s="8"/>
      <c r="E557" s="8"/>
      <c r="F557" s="8"/>
      <c r="G557" s="8"/>
      <c r="H557" s="8"/>
      <c r="I557" s="8"/>
      <c r="J557" s="8"/>
      <c r="K557" s="8"/>
      <c r="L557" s="8"/>
      <c r="M557" s="8"/>
      <c r="N557" s="8"/>
      <c r="O557" s="8"/>
      <c r="P557" s="8"/>
      <c r="Q557" s="8"/>
      <c r="R557" s="8"/>
      <c r="S557" s="8"/>
      <c r="T557" s="8"/>
      <c r="U557" s="8"/>
      <c r="V557" s="8"/>
    </row>
    <row r="558" spans="1:22" ht="13.5" customHeight="1">
      <c r="A558" s="8"/>
      <c r="B558" s="8"/>
      <c r="C558" s="30"/>
      <c r="D558" s="8"/>
      <c r="E558" s="8"/>
      <c r="F558" s="8"/>
      <c r="G558" s="8"/>
      <c r="H558" s="8"/>
      <c r="I558" s="8"/>
      <c r="J558" s="8"/>
      <c r="K558" s="8"/>
      <c r="L558" s="8"/>
      <c r="M558" s="8"/>
      <c r="N558" s="8"/>
      <c r="O558" s="8"/>
      <c r="P558" s="8"/>
      <c r="Q558" s="8"/>
      <c r="R558" s="8"/>
      <c r="S558" s="8"/>
      <c r="T558" s="8"/>
      <c r="U558" s="8"/>
      <c r="V558" s="8"/>
    </row>
    <row r="559" spans="1:22" ht="13.5" customHeight="1">
      <c r="A559" s="8"/>
      <c r="B559" s="8"/>
      <c r="C559" s="30"/>
      <c r="D559" s="8"/>
      <c r="E559" s="8"/>
      <c r="F559" s="8"/>
      <c r="G559" s="8"/>
      <c r="H559" s="8"/>
      <c r="I559" s="8"/>
      <c r="J559" s="8"/>
      <c r="K559" s="8"/>
      <c r="L559" s="8"/>
      <c r="M559" s="8"/>
      <c r="N559" s="8"/>
      <c r="O559" s="8"/>
      <c r="P559" s="8"/>
      <c r="Q559" s="8"/>
      <c r="R559" s="8"/>
      <c r="S559" s="8"/>
      <c r="T559" s="8"/>
      <c r="U559" s="8"/>
      <c r="V559" s="8"/>
    </row>
    <row r="560" spans="1:22" ht="13.5" customHeight="1">
      <c r="A560" s="8"/>
      <c r="B560" s="8"/>
      <c r="C560" s="30"/>
      <c r="D560" s="8"/>
      <c r="E560" s="8"/>
      <c r="F560" s="8"/>
      <c r="G560" s="8"/>
      <c r="H560" s="8"/>
      <c r="I560" s="8"/>
      <c r="J560" s="8"/>
      <c r="K560" s="8"/>
      <c r="L560" s="8"/>
      <c r="M560" s="8"/>
      <c r="N560" s="8"/>
      <c r="O560" s="8"/>
      <c r="P560" s="8"/>
      <c r="Q560" s="8"/>
      <c r="R560" s="8"/>
      <c r="S560" s="8"/>
      <c r="T560" s="8"/>
      <c r="U560" s="8"/>
      <c r="V560" s="8"/>
    </row>
    <row r="561" spans="1:22" ht="13.5" customHeight="1">
      <c r="A561" s="8"/>
      <c r="B561" s="8"/>
      <c r="C561" s="30"/>
      <c r="D561" s="8"/>
      <c r="E561" s="8"/>
      <c r="F561" s="8"/>
      <c r="G561" s="8"/>
      <c r="H561" s="8"/>
      <c r="I561" s="8"/>
      <c r="J561" s="8"/>
      <c r="K561" s="8"/>
      <c r="L561" s="8"/>
      <c r="M561" s="8"/>
      <c r="N561" s="8"/>
      <c r="O561" s="8"/>
      <c r="P561" s="8"/>
      <c r="Q561" s="8"/>
      <c r="R561" s="8"/>
      <c r="S561" s="8"/>
      <c r="T561" s="8"/>
      <c r="U561" s="8"/>
      <c r="V561" s="8"/>
    </row>
    <row r="562" spans="1:22" ht="13.5" customHeight="1">
      <c r="A562" s="8"/>
      <c r="B562" s="8"/>
      <c r="C562" s="30"/>
      <c r="D562" s="8"/>
      <c r="E562" s="8"/>
      <c r="F562" s="8"/>
      <c r="G562" s="8"/>
      <c r="H562" s="8"/>
      <c r="I562" s="8"/>
      <c r="J562" s="8"/>
      <c r="K562" s="8"/>
      <c r="L562" s="8"/>
      <c r="M562" s="8"/>
      <c r="N562" s="8"/>
      <c r="O562" s="8"/>
      <c r="P562" s="8"/>
      <c r="Q562" s="8"/>
      <c r="R562" s="8"/>
      <c r="S562" s="8"/>
      <c r="T562" s="8"/>
      <c r="U562" s="8"/>
      <c r="V562" s="8"/>
    </row>
    <row r="563" spans="1:22" ht="13.5" customHeight="1">
      <c r="A563" s="8"/>
      <c r="B563" s="8"/>
      <c r="C563" s="30"/>
      <c r="D563" s="8"/>
      <c r="E563" s="8"/>
      <c r="F563" s="8"/>
      <c r="G563" s="8"/>
      <c r="H563" s="8"/>
      <c r="I563" s="8"/>
      <c r="J563" s="8"/>
      <c r="K563" s="8"/>
      <c r="L563" s="8"/>
      <c r="M563" s="8"/>
      <c r="N563" s="8"/>
      <c r="O563" s="8"/>
      <c r="P563" s="8"/>
      <c r="Q563" s="8"/>
      <c r="R563" s="8"/>
      <c r="S563" s="8"/>
      <c r="T563" s="8"/>
      <c r="U563" s="8"/>
      <c r="V563" s="8"/>
    </row>
    <row r="564" spans="1:22" ht="13.5" customHeight="1">
      <c r="A564" s="8"/>
      <c r="B564" s="8"/>
      <c r="C564" s="30"/>
      <c r="D564" s="8"/>
      <c r="E564" s="8"/>
      <c r="F564" s="8"/>
      <c r="G564" s="8"/>
      <c r="H564" s="8"/>
      <c r="I564" s="8"/>
      <c r="J564" s="8"/>
      <c r="K564" s="8"/>
      <c r="L564" s="8"/>
      <c r="M564" s="8"/>
      <c r="N564" s="8"/>
      <c r="O564" s="8"/>
      <c r="P564" s="8"/>
      <c r="Q564" s="8"/>
      <c r="R564" s="8"/>
      <c r="S564" s="8"/>
      <c r="T564" s="8"/>
      <c r="U564" s="8"/>
      <c r="V564" s="8"/>
    </row>
    <row r="565" spans="1:22" ht="13.5" customHeight="1">
      <c r="A565" s="8"/>
      <c r="B565" s="8"/>
      <c r="C565" s="30"/>
      <c r="D565" s="8"/>
      <c r="E565" s="8"/>
      <c r="F565" s="8"/>
      <c r="G565" s="8"/>
      <c r="H565" s="8"/>
      <c r="I565" s="8"/>
      <c r="J565" s="8"/>
      <c r="K565" s="8"/>
      <c r="L565" s="8"/>
      <c r="M565" s="8"/>
      <c r="N565" s="8"/>
      <c r="O565" s="8"/>
      <c r="P565" s="8"/>
      <c r="Q565" s="8"/>
      <c r="R565" s="8"/>
      <c r="S565" s="8"/>
      <c r="T565" s="8"/>
      <c r="U565" s="8"/>
      <c r="V565" s="8"/>
    </row>
    <row r="566" spans="1:22" ht="13.5" customHeight="1">
      <c r="A566" s="8"/>
      <c r="B566" s="8"/>
      <c r="C566" s="30"/>
      <c r="D566" s="8"/>
      <c r="E566" s="8"/>
      <c r="F566" s="8"/>
      <c r="G566" s="8"/>
      <c r="H566" s="8"/>
      <c r="I566" s="8"/>
      <c r="J566" s="8"/>
      <c r="K566" s="8"/>
      <c r="L566" s="8"/>
      <c r="M566" s="8"/>
      <c r="N566" s="8"/>
      <c r="O566" s="8"/>
      <c r="P566" s="8"/>
      <c r="Q566" s="8"/>
      <c r="R566" s="8"/>
      <c r="S566" s="8"/>
      <c r="T566" s="8"/>
      <c r="U566" s="8"/>
      <c r="V566" s="8"/>
    </row>
    <row r="567" spans="1:22" ht="13.5" customHeight="1">
      <c r="A567" s="8"/>
      <c r="B567" s="8"/>
      <c r="C567" s="30"/>
      <c r="D567" s="8"/>
      <c r="E567" s="8"/>
      <c r="F567" s="8"/>
      <c r="G567" s="8"/>
      <c r="H567" s="8"/>
      <c r="I567" s="8"/>
      <c r="J567" s="8"/>
      <c r="K567" s="8"/>
      <c r="L567" s="8"/>
      <c r="M567" s="8"/>
      <c r="N567" s="8"/>
      <c r="O567" s="8"/>
      <c r="P567" s="8"/>
      <c r="Q567" s="8"/>
      <c r="R567" s="8"/>
      <c r="S567" s="8"/>
      <c r="T567" s="8"/>
      <c r="U567" s="8"/>
      <c r="V567" s="8"/>
    </row>
    <row r="568" spans="1:22" ht="13.5" customHeight="1">
      <c r="A568" s="8"/>
      <c r="B568" s="8"/>
      <c r="C568" s="30"/>
      <c r="D568" s="8"/>
      <c r="E568" s="8"/>
      <c r="F568" s="8"/>
      <c r="G568" s="8"/>
      <c r="H568" s="8"/>
      <c r="I568" s="8"/>
      <c r="J568" s="8"/>
      <c r="K568" s="8"/>
      <c r="L568" s="8"/>
      <c r="M568" s="8"/>
      <c r="N568" s="8"/>
      <c r="O568" s="8"/>
      <c r="P568" s="8"/>
      <c r="Q568" s="8"/>
      <c r="R568" s="8"/>
      <c r="S568" s="8"/>
      <c r="T568" s="8"/>
      <c r="U568" s="8"/>
      <c r="V568" s="8"/>
    </row>
    <row r="569" spans="1:22" ht="13.5" customHeight="1">
      <c r="A569" s="8"/>
      <c r="B569" s="8"/>
      <c r="C569" s="30"/>
      <c r="D569" s="8"/>
      <c r="E569" s="8"/>
      <c r="F569" s="8"/>
      <c r="G569" s="8"/>
      <c r="H569" s="8"/>
      <c r="I569" s="8"/>
      <c r="J569" s="8"/>
      <c r="K569" s="8"/>
      <c r="L569" s="8"/>
      <c r="M569" s="8"/>
      <c r="N569" s="8"/>
      <c r="O569" s="8"/>
      <c r="P569" s="8"/>
      <c r="Q569" s="8"/>
      <c r="R569" s="8"/>
      <c r="S569" s="8"/>
      <c r="T569" s="8"/>
      <c r="U569" s="8"/>
      <c r="V569" s="8"/>
    </row>
    <row r="570" spans="1:22" ht="13.5" customHeight="1">
      <c r="A570" s="8"/>
      <c r="B570" s="8"/>
      <c r="C570" s="30"/>
      <c r="D570" s="8"/>
      <c r="E570" s="8"/>
      <c r="F570" s="8"/>
      <c r="G570" s="8"/>
      <c r="H570" s="8"/>
      <c r="I570" s="8"/>
      <c r="J570" s="8"/>
      <c r="K570" s="8"/>
      <c r="L570" s="8"/>
      <c r="M570" s="8"/>
      <c r="N570" s="8"/>
      <c r="O570" s="8"/>
      <c r="P570" s="8"/>
      <c r="Q570" s="8"/>
      <c r="R570" s="8"/>
      <c r="S570" s="8"/>
      <c r="T570" s="8"/>
      <c r="U570" s="8"/>
      <c r="V570" s="8"/>
    </row>
    <row r="571" spans="1:22" ht="13.5" customHeight="1">
      <c r="A571" s="8"/>
      <c r="B571" s="8"/>
      <c r="C571" s="30"/>
      <c r="D571" s="8"/>
      <c r="E571" s="8"/>
      <c r="F571" s="8"/>
      <c r="G571" s="8"/>
      <c r="H571" s="8"/>
      <c r="I571" s="8"/>
      <c r="J571" s="8"/>
      <c r="K571" s="8"/>
      <c r="L571" s="8"/>
      <c r="M571" s="8"/>
      <c r="N571" s="8"/>
      <c r="O571" s="8"/>
      <c r="P571" s="8"/>
      <c r="Q571" s="8"/>
      <c r="R571" s="8"/>
      <c r="S571" s="8"/>
      <c r="T571" s="8"/>
      <c r="U571" s="8"/>
      <c r="V571" s="8"/>
    </row>
    <row r="572" spans="1:22" ht="13.5" customHeight="1">
      <c r="A572" s="8"/>
      <c r="B572" s="8"/>
      <c r="C572" s="30"/>
      <c r="D572" s="8"/>
      <c r="E572" s="8"/>
      <c r="F572" s="8"/>
      <c r="G572" s="8"/>
      <c r="H572" s="8"/>
      <c r="I572" s="8"/>
      <c r="J572" s="8"/>
      <c r="K572" s="8"/>
      <c r="L572" s="8"/>
      <c r="M572" s="8"/>
      <c r="N572" s="8"/>
      <c r="O572" s="8"/>
      <c r="P572" s="8"/>
      <c r="Q572" s="8"/>
      <c r="R572" s="8"/>
      <c r="S572" s="8"/>
      <c r="T572" s="8"/>
      <c r="U572" s="8"/>
      <c r="V572" s="8"/>
    </row>
    <row r="573" spans="1:22" ht="13.5" customHeight="1">
      <c r="A573" s="8"/>
      <c r="B573" s="8"/>
      <c r="C573" s="30"/>
      <c r="D573" s="8"/>
      <c r="E573" s="8"/>
      <c r="F573" s="8"/>
      <c r="G573" s="8"/>
      <c r="H573" s="8"/>
      <c r="I573" s="8"/>
      <c r="J573" s="8"/>
      <c r="K573" s="8"/>
      <c r="L573" s="8"/>
      <c r="M573" s="8"/>
      <c r="N573" s="8"/>
      <c r="O573" s="8"/>
      <c r="P573" s="8"/>
      <c r="Q573" s="8"/>
      <c r="R573" s="8"/>
      <c r="S573" s="8"/>
      <c r="T573" s="8"/>
      <c r="U573" s="8"/>
      <c r="V573" s="8"/>
    </row>
    <row r="574" spans="1:22" ht="13.5" customHeight="1">
      <c r="A574" s="8"/>
      <c r="B574" s="8"/>
      <c r="C574" s="30"/>
      <c r="D574" s="8"/>
      <c r="E574" s="8"/>
      <c r="F574" s="8"/>
      <c r="G574" s="8"/>
      <c r="H574" s="8"/>
      <c r="I574" s="8"/>
      <c r="J574" s="8"/>
      <c r="K574" s="8"/>
      <c r="L574" s="8"/>
      <c r="M574" s="8"/>
      <c r="N574" s="8"/>
      <c r="O574" s="8"/>
      <c r="P574" s="8"/>
      <c r="Q574" s="8"/>
      <c r="R574" s="8"/>
      <c r="S574" s="8"/>
      <c r="T574" s="8"/>
      <c r="U574" s="8"/>
      <c r="V574" s="8"/>
    </row>
    <row r="575" spans="1:22" ht="13.5" customHeight="1">
      <c r="A575" s="8"/>
      <c r="B575" s="8"/>
      <c r="C575" s="30"/>
      <c r="D575" s="8"/>
      <c r="E575" s="8"/>
      <c r="F575" s="8"/>
      <c r="G575" s="8"/>
      <c r="H575" s="8"/>
      <c r="I575" s="8"/>
      <c r="J575" s="8"/>
      <c r="K575" s="8"/>
      <c r="L575" s="8"/>
      <c r="M575" s="8"/>
      <c r="N575" s="8"/>
      <c r="O575" s="8"/>
      <c r="P575" s="8"/>
      <c r="Q575" s="8"/>
      <c r="R575" s="8"/>
      <c r="S575" s="8"/>
      <c r="T575" s="8"/>
      <c r="U575" s="8"/>
      <c r="V575" s="8"/>
    </row>
    <row r="576" spans="1:22" ht="13.5" customHeight="1">
      <c r="A576" s="8"/>
      <c r="B576" s="8"/>
      <c r="C576" s="30"/>
      <c r="D576" s="8"/>
      <c r="E576" s="8"/>
      <c r="F576" s="8"/>
      <c r="G576" s="8"/>
      <c r="H576" s="8"/>
      <c r="I576" s="8"/>
      <c r="J576" s="8"/>
      <c r="K576" s="8"/>
      <c r="L576" s="8"/>
      <c r="M576" s="8"/>
      <c r="N576" s="8"/>
      <c r="O576" s="8"/>
      <c r="P576" s="8"/>
      <c r="Q576" s="8"/>
      <c r="R576" s="8"/>
      <c r="S576" s="8"/>
      <c r="T576" s="8"/>
      <c r="U576" s="8"/>
      <c r="V576" s="8"/>
    </row>
    <row r="577" spans="1:22" ht="13.5" customHeight="1">
      <c r="A577" s="8"/>
      <c r="B577" s="8"/>
      <c r="C577" s="30"/>
      <c r="D577" s="8"/>
      <c r="E577" s="8"/>
      <c r="F577" s="8"/>
      <c r="G577" s="8"/>
      <c r="H577" s="8"/>
      <c r="I577" s="8"/>
      <c r="J577" s="8"/>
      <c r="K577" s="8"/>
      <c r="L577" s="8"/>
      <c r="M577" s="8"/>
      <c r="N577" s="8"/>
      <c r="O577" s="8"/>
      <c r="P577" s="8"/>
      <c r="Q577" s="8"/>
      <c r="R577" s="8"/>
      <c r="S577" s="8"/>
      <c r="T577" s="8"/>
      <c r="U577" s="8"/>
      <c r="V577" s="8"/>
    </row>
    <row r="578" spans="1:22" ht="13.5" customHeight="1">
      <c r="A578" s="8"/>
      <c r="B578" s="8"/>
      <c r="C578" s="30"/>
      <c r="D578" s="8"/>
      <c r="E578" s="8"/>
      <c r="F578" s="8"/>
      <c r="G578" s="8"/>
      <c r="H578" s="8"/>
      <c r="I578" s="8"/>
      <c r="J578" s="8"/>
      <c r="K578" s="8"/>
      <c r="L578" s="8"/>
      <c r="M578" s="8"/>
      <c r="N578" s="8"/>
      <c r="O578" s="8"/>
      <c r="P578" s="8"/>
      <c r="Q578" s="8"/>
      <c r="R578" s="8"/>
      <c r="S578" s="8"/>
      <c r="T578" s="8"/>
      <c r="U578" s="8"/>
      <c r="V578" s="8"/>
    </row>
    <row r="579" spans="1:22" ht="13.5" customHeight="1">
      <c r="A579" s="8"/>
      <c r="B579" s="8"/>
      <c r="C579" s="30"/>
      <c r="D579" s="8"/>
      <c r="E579" s="8"/>
      <c r="F579" s="8"/>
      <c r="G579" s="8"/>
      <c r="H579" s="8"/>
      <c r="I579" s="8"/>
      <c r="J579" s="8"/>
      <c r="K579" s="8"/>
      <c r="L579" s="8"/>
      <c r="M579" s="8"/>
      <c r="N579" s="8"/>
      <c r="O579" s="8"/>
      <c r="P579" s="8"/>
      <c r="Q579" s="8"/>
      <c r="R579" s="8"/>
      <c r="S579" s="8"/>
      <c r="T579" s="8"/>
      <c r="U579" s="8"/>
      <c r="V579" s="8"/>
    </row>
    <row r="580" spans="1:22" ht="13.5" customHeight="1">
      <c r="A580" s="8"/>
      <c r="B580" s="8"/>
      <c r="C580" s="30"/>
      <c r="D580" s="8"/>
      <c r="E580" s="8"/>
      <c r="F580" s="8"/>
      <c r="G580" s="8"/>
      <c r="H580" s="8"/>
      <c r="I580" s="8"/>
      <c r="J580" s="8"/>
      <c r="K580" s="8"/>
      <c r="L580" s="8"/>
      <c r="M580" s="8"/>
      <c r="N580" s="8"/>
      <c r="O580" s="8"/>
      <c r="P580" s="8"/>
      <c r="Q580" s="8"/>
      <c r="R580" s="8"/>
      <c r="S580" s="8"/>
      <c r="T580" s="8"/>
      <c r="U580" s="8"/>
      <c r="V580" s="8"/>
    </row>
    <row r="581" spans="1:22" ht="13.5" customHeight="1">
      <c r="A581" s="8"/>
      <c r="B581" s="8"/>
      <c r="C581" s="30"/>
      <c r="D581" s="8"/>
      <c r="E581" s="8"/>
      <c r="F581" s="8"/>
      <c r="G581" s="8"/>
      <c r="H581" s="8"/>
      <c r="I581" s="8"/>
      <c r="J581" s="8"/>
      <c r="K581" s="8"/>
      <c r="L581" s="8"/>
      <c r="M581" s="8"/>
      <c r="N581" s="8"/>
      <c r="O581" s="8"/>
      <c r="P581" s="8"/>
      <c r="Q581" s="8"/>
      <c r="R581" s="8"/>
      <c r="S581" s="8"/>
      <c r="T581" s="8"/>
      <c r="U581" s="8"/>
      <c r="V581" s="8"/>
    </row>
    <row r="582" spans="1:22" ht="13.5" customHeight="1">
      <c r="A582" s="8"/>
      <c r="B582" s="8"/>
      <c r="C582" s="30"/>
      <c r="D582" s="8"/>
      <c r="E582" s="8"/>
      <c r="F582" s="8"/>
      <c r="G582" s="8"/>
      <c r="H582" s="8"/>
      <c r="I582" s="8"/>
      <c r="J582" s="8"/>
      <c r="K582" s="8"/>
      <c r="L582" s="8"/>
      <c r="M582" s="8"/>
      <c r="N582" s="8"/>
      <c r="O582" s="8"/>
      <c r="P582" s="8"/>
      <c r="Q582" s="8"/>
      <c r="R582" s="8"/>
      <c r="S582" s="8"/>
      <c r="T582" s="8"/>
      <c r="U582" s="8"/>
      <c r="V582" s="8"/>
    </row>
    <row r="583" spans="1:22" ht="13.5" customHeight="1">
      <c r="A583" s="8"/>
      <c r="B583" s="8"/>
      <c r="C583" s="30"/>
      <c r="D583" s="8"/>
      <c r="E583" s="8"/>
      <c r="F583" s="8"/>
      <c r="G583" s="8"/>
      <c r="H583" s="8"/>
      <c r="I583" s="8"/>
      <c r="J583" s="8"/>
      <c r="K583" s="8"/>
      <c r="L583" s="8"/>
      <c r="M583" s="8"/>
      <c r="N583" s="8"/>
      <c r="O583" s="8"/>
      <c r="P583" s="8"/>
      <c r="Q583" s="8"/>
      <c r="R583" s="8"/>
      <c r="S583" s="8"/>
      <c r="T583" s="8"/>
      <c r="U583" s="8"/>
      <c r="V583" s="8"/>
    </row>
    <row r="584" spans="1:22" ht="13.5" customHeight="1">
      <c r="A584" s="8"/>
      <c r="B584" s="8"/>
      <c r="C584" s="30"/>
      <c r="D584" s="8"/>
      <c r="E584" s="8"/>
      <c r="F584" s="8"/>
      <c r="G584" s="8"/>
      <c r="H584" s="8"/>
      <c r="I584" s="8"/>
      <c r="J584" s="8"/>
      <c r="K584" s="8"/>
      <c r="L584" s="8"/>
      <c r="M584" s="8"/>
      <c r="N584" s="8"/>
      <c r="O584" s="8"/>
      <c r="P584" s="8"/>
      <c r="Q584" s="8"/>
      <c r="R584" s="8"/>
      <c r="S584" s="8"/>
      <c r="T584" s="8"/>
      <c r="U584" s="8"/>
      <c r="V584" s="8"/>
    </row>
    <row r="585" spans="1:22" ht="13.5" customHeight="1">
      <c r="A585" s="8"/>
      <c r="B585" s="8"/>
      <c r="C585" s="30"/>
      <c r="D585" s="8"/>
      <c r="E585" s="8"/>
      <c r="F585" s="8"/>
      <c r="G585" s="8"/>
      <c r="H585" s="8"/>
      <c r="I585" s="8"/>
      <c r="J585" s="8"/>
      <c r="K585" s="8"/>
      <c r="L585" s="8"/>
      <c r="M585" s="8"/>
      <c r="N585" s="8"/>
      <c r="O585" s="8"/>
      <c r="P585" s="8"/>
      <c r="Q585" s="8"/>
      <c r="R585" s="8"/>
      <c r="S585" s="8"/>
      <c r="T585" s="8"/>
      <c r="U585" s="8"/>
      <c r="V585" s="8"/>
    </row>
    <row r="586" spans="1:22" ht="13.5" customHeight="1">
      <c r="A586" s="8"/>
      <c r="B586" s="8"/>
      <c r="C586" s="30"/>
      <c r="D586" s="8"/>
      <c r="E586" s="8"/>
      <c r="F586" s="8"/>
      <c r="G586" s="8"/>
      <c r="H586" s="8"/>
      <c r="I586" s="8"/>
      <c r="J586" s="8"/>
      <c r="K586" s="8"/>
      <c r="L586" s="8"/>
      <c r="M586" s="8"/>
      <c r="N586" s="8"/>
      <c r="O586" s="8"/>
      <c r="P586" s="8"/>
      <c r="Q586" s="8"/>
      <c r="R586" s="8"/>
      <c r="S586" s="8"/>
      <c r="T586" s="8"/>
      <c r="U586" s="8"/>
      <c r="V586" s="8"/>
    </row>
    <row r="587" spans="1:22" ht="13.5" customHeight="1">
      <c r="A587" s="8"/>
      <c r="B587" s="8"/>
      <c r="C587" s="30"/>
      <c r="D587" s="8"/>
      <c r="E587" s="8"/>
      <c r="F587" s="8"/>
      <c r="G587" s="8"/>
      <c r="H587" s="8"/>
      <c r="I587" s="8"/>
      <c r="J587" s="8"/>
      <c r="K587" s="8"/>
      <c r="L587" s="8"/>
      <c r="M587" s="8"/>
      <c r="N587" s="8"/>
      <c r="O587" s="8"/>
      <c r="P587" s="8"/>
      <c r="Q587" s="8"/>
      <c r="R587" s="8"/>
      <c r="S587" s="8"/>
      <c r="T587" s="8"/>
      <c r="U587" s="8"/>
      <c r="V587" s="8"/>
    </row>
    <row r="588" spans="1:22" ht="13.5" customHeight="1">
      <c r="A588" s="8"/>
      <c r="B588" s="8"/>
      <c r="C588" s="30"/>
      <c r="D588" s="8"/>
      <c r="E588" s="8"/>
      <c r="F588" s="8"/>
      <c r="G588" s="8"/>
      <c r="H588" s="8"/>
      <c r="I588" s="8"/>
      <c r="J588" s="8"/>
      <c r="K588" s="8"/>
      <c r="L588" s="8"/>
      <c r="M588" s="8"/>
      <c r="N588" s="8"/>
      <c r="O588" s="8"/>
      <c r="P588" s="8"/>
      <c r="Q588" s="8"/>
      <c r="R588" s="8"/>
      <c r="S588" s="8"/>
      <c r="T588" s="8"/>
      <c r="U588" s="8"/>
      <c r="V588" s="8"/>
    </row>
    <row r="589" spans="1:22" ht="13.5" customHeight="1">
      <c r="A589" s="8"/>
      <c r="B589" s="8"/>
      <c r="C589" s="30"/>
      <c r="D589" s="8"/>
      <c r="E589" s="8"/>
      <c r="F589" s="8"/>
      <c r="G589" s="8"/>
      <c r="H589" s="8"/>
      <c r="I589" s="8"/>
      <c r="J589" s="8"/>
      <c r="K589" s="8"/>
      <c r="L589" s="8"/>
      <c r="M589" s="8"/>
      <c r="N589" s="8"/>
      <c r="O589" s="8"/>
      <c r="P589" s="8"/>
      <c r="Q589" s="8"/>
      <c r="R589" s="8"/>
      <c r="S589" s="8"/>
      <c r="T589" s="8"/>
      <c r="U589" s="8"/>
      <c r="V589" s="8"/>
    </row>
    <row r="590" spans="1:22" ht="13.5" customHeight="1">
      <c r="A590" s="8"/>
      <c r="B590" s="8"/>
      <c r="C590" s="30"/>
      <c r="D590" s="8"/>
      <c r="E590" s="8"/>
      <c r="F590" s="8"/>
      <c r="G590" s="8"/>
      <c r="H590" s="8"/>
      <c r="I590" s="8"/>
      <c r="J590" s="8"/>
      <c r="K590" s="8"/>
      <c r="L590" s="8"/>
      <c r="M590" s="8"/>
      <c r="N590" s="8"/>
      <c r="O590" s="8"/>
      <c r="P590" s="8"/>
      <c r="Q590" s="8"/>
      <c r="R590" s="8"/>
      <c r="S590" s="8"/>
      <c r="T590" s="8"/>
      <c r="U590" s="8"/>
      <c r="V590" s="8"/>
    </row>
    <row r="591" spans="1:22" ht="13.5" customHeight="1">
      <c r="A591" s="8"/>
      <c r="B591" s="8"/>
      <c r="C591" s="30"/>
      <c r="D591" s="8"/>
      <c r="E591" s="8"/>
      <c r="F591" s="8"/>
      <c r="G591" s="8"/>
      <c r="H591" s="8"/>
      <c r="I591" s="8"/>
      <c r="J591" s="8"/>
      <c r="K591" s="8"/>
      <c r="L591" s="8"/>
      <c r="M591" s="8"/>
      <c r="N591" s="8"/>
      <c r="O591" s="8"/>
      <c r="P591" s="8"/>
      <c r="Q591" s="8"/>
      <c r="R591" s="8"/>
      <c r="S591" s="8"/>
      <c r="T591" s="8"/>
      <c r="U591" s="8"/>
      <c r="V591" s="8"/>
    </row>
    <row r="592" spans="1:22" ht="13.5" customHeight="1">
      <c r="A592" s="8"/>
      <c r="B592" s="8"/>
      <c r="C592" s="30"/>
      <c r="D592" s="8"/>
      <c r="E592" s="8"/>
      <c r="F592" s="8"/>
      <c r="G592" s="8"/>
      <c r="H592" s="8"/>
      <c r="I592" s="8"/>
      <c r="J592" s="8"/>
      <c r="K592" s="8"/>
      <c r="L592" s="8"/>
      <c r="M592" s="8"/>
      <c r="N592" s="8"/>
      <c r="O592" s="8"/>
      <c r="P592" s="8"/>
      <c r="Q592" s="8"/>
      <c r="R592" s="8"/>
      <c r="S592" s="8"/>
      <c r="T592" s="8"/>
      <c r="U592" s="8"/>
      <c r="V592" s="8"/>
    </row>
    <row r="593" spans="1:22" ht="13.5" customHeight="1">
      <c r="A593" s="8"/>
      <c r="B593" s="8"/>
      <c r="C593" s="30"/>
      <c r="D593" s="8"/>
      <c r="E593" s="8"/>
      <c r="F593" s="8"/>
      <c r="G593" s="8"/>
      <c r="H593" s="8"/>
      <c r="I593" s="8"/>
      <c r="J593" s="8"/>
      <c r="K593" s="8"/>
      <c r="L593" s="8"/>
      <c r="M593" s="8"/>
      <c r="N593" s="8"/>
      <c r="O593" s="8"/>
      <c r="P593" s="8"/>
      <c r="Q593" s="8"/>
      <c r="R593" s="8"/>
      <c r="S593" s="8"/>
      <c r="T593" s="8"/>
      <c r="U593" s="8"/>
      <c r="V593" s="8"/>
    </row>
    <row r="594" spans="1:22" ht="13.5" customHeight="1">
      <c r="A594" s="8"/>
      <c r="B594" s="8"/>
      <c r="C594" s="30"/>
      <c r="D594" s="8"/>
      <c r="E594" s="8"/>
      <c r="F594" s="8"/>
      <c r="G594" s="8"/>
      <c r="H594" s="8"/>
      <c r="I594" s="8"/>
      <c r="J594" s="8"/>
      <c r="K594" s="8"/>
      <c r="L594" s="8"/>
      <c r="M594" s="8"/>
      <c r="N594" s="8"/>
      <c r="O594" s="8"/>
      <c r="P594" s="8"/>
      <c r="Q594" s="8"/>
      <c r="R594" s="8"/>
      <c r="S594" s="8"/>
      <c r="T594" s="8"/>
      <c r="U594" s="8"/>
      <c r="V594" s="8"/>
    </row>
    <row r="595" spans="1:22" ht="13.5" customHeight="1">
      <c r="A595" s="8"/>
      <c r="B595" s="8"/>
      <c r="C595" s="30"/>
      <c r="D595" s="8"/>
      <c r="E595" s="8"/>
      <c r="F595" s="8"/>
      <c r="G595" s="8"/>
      <c r="H595" s="8"/>
      <c r="I595" s="8"/>
      <c r="J595" s="8"/>
      <c r="K595" s="8"/>
      <c r="L595" s="8"/>
      <c r="M595" s="8"/>
      <c r="N595" s="8"/>
      <c r="O595" s="8"/>
      <c r="P595" s="8"/>
      <c r="Q595" s="8"/>
      <c r="R595" s="8"/>
      <c r="S595" s="8"/>
      <c r="T595" s="8"/>
      <c r="U595" s="8"/>
      <c r="V595" s="8"/>
    </row>
    <row r="596" spans="1:22" ht="13.5" customHeight="1">
      <c r="A596" s="8"/>
      <c r="B596" s="8"/>
      <c r="C596" s="30"/>
      <c r="D596" s="8"/>
      <c r="E596" s="8"/>
      <c r="F596" s="8"/>
      <c r="G596" s="8"/>
      <c r="H596" s="8"/>
      <c r="I596" s="8"/>
      <c r="J596" s="8"/>
      <c r="K596" s="8"/>
      <c r="L596" s="8"/>
      <c r="M596" s="8"/>
      <c r="N596" s="8"/>
      <c r="O596" s="8"/>
      <c r="P596" s="8"/>
      <c r="Q596" s="8"/>
      <c r="R596" s="8"/>
      <c r="S596" s="8"/>
      <c r="T596" s="8"/>
      <c r="U596" s="8"/>
      <c r="V596" s="8"/>
    </row>
    <row r="597" spans="1:22" ht="13.5" customHeight="1">
      <c r="A597" s="8"/>
      <c r="B597" s="8"/>
      <c r="C597" s="30"/>
      <c r="D597" s="8"/>
      <c r="E597" s="8"/>
      <c r="F597" s="8"/>
      <c r="G597" s="8"/>
      <c r="H597" s="8"/>
      <c r="I597" s="8"/>
      <c r="J597" s="8"/>
      <c r="K597" s="8"/>
      <c r="L597" s="8"/>
      <c r="M597" s="8"/>
      <c r="N597" s="8"/>
      <c r="O597" s="8"/>
      <c r="P597" s="8"/>
      <c r="Q597" s="8"/>
      <c r="R597" s="8"/>
      <c r="S597" s="8"/>
      <c r="T597" s="8"/>
      <c r="U597" s="8"/>
      <c r="V597" s="8"/>
    </row>
    <row r="598" spans="1:22" ht="13.5" customHeight="1">
      <c r="A598" s="8"/>
      <c r="B598" s="8"/>
      <c r="C598" s="30"/>
      <c r="D598" s="8"/>
      <c r="E598" s="8"/>
      <c r="F598" s="8"/>
      <c r="G598" s="8"/>
      <c r="H598" s="8"/>
      <c r="I598" s="8"/>
      <c r="J598" s="8"/>
      <c r="K598" s="8"/>
      <c r="L598" s="8"/>
      <c r="M598" s="8"/>
      <c r="N598" s="8"/>
      <c r="O598" s="8"/>
      <c r="P598" s="8"/>
      <c r="Q598" s="8"/>
      <c r="R598" s="8"/>
      <c r="S598" s="8"/>
      <c r="T598" s="8"/>
      <c r="U598" s="8"/>
      <c r="V598" s="8"/>
    </row>
    <row r="599" spans="1:22" ht="13.5" customHeight="1">
      <c r="A599" s="8"/>
      <c r="B599" s="8"/>
      <c r="C599" s="30"/>
      <c r="D599" s="8"/>
      <c r="E599" s="8"/>
      <c r="F599" s="8"/>
      <c r="G599" s="8"/>
      <c r="H599" s="8"/>
      <c r="I599" s="8"/>
      <c r="J599" s="8"/>
      <c r="K599" s="8"/>
      <c r="L599" s="8"/>
      <c r="M599" s="8"/>
      <c r="N599" s="8"/>
      <c r="O599" s="8"/>
      <c r="P599" s="8"/>
      <c r="Q599" s="8"/>
      <c r="R599" s="8"/>
      <c r="S599" s="8"/>
      <c r="T599" s="8"/>
      <c r="U599" s="8"/>
      <c r="V599" s="8"/>
    </row>
    <row r="600" spans="1:22" ht="13.5" customHeight="1">
      <c r="A600" s="8"/>
      <c r="B600" s="8"/>
      <c r="C600" s="30"/>
      <c r="D600" s="8"/>
      <c r="E600" s="8"/>
      <c r="F600" s="8"/>
      <c r="G600" s="8"/>
      <c r="H600" s="8"/>
      <c r="I600" s="8"/>
      <c r="J600" s="8"/>
      <c r="K600" s="8"/>
      <c r="L600" s="8"/>
      <c r="M600" s="8"/>
      <c r="N600" s="8"/>
      <c r="O600" s="8"/>
      <c r="P600" s="8"/>
      <c r="Q600" s="8"/>
      <c r="R600" s="8"/>
      <c r="S600" s="8"/>
      <c r="T600" s="8"/>
      <c r="U600" s="8"/>
      <c r="V600" s="8"/>
    </row>
    <row r="601" spans="1:22" ht="13.5" customHeight="1">
      <c r="A601" s="8"/>
      <c r="B601" s="8"/>
      <c r="C601" s="30"/>
      <c r="D601" s="8"/>
      <c r="E601" s="8"/>
      <c r="F601" s="8"/>
      <c r="G601" s="8"/>
      <c r="H601" s="8"/>
      <c r="I601" s="8"/>
      <c r="J601" s="8"/>
      <c r="K601" s="8"/>
      <c r="L601" s="8"/>
      <c r="M601" s="8"/>
      <c r="N601" s="8"/>
      <c r="O601" s="8"/>
      <c r="P601" s="8"/>
      <c r="Q601" s="8"/>
      <c r="R601" s="8"/>
      <c r="S601" s="8"/>
      <c r="T601" s="8"/>
      <c r="U601" s="8"/>
      <c r="V601" s="8"/>
    </row>
    <row r="602" spans="1:22" ht="13.5" customHeight="1">
      <c r="A602" s="8"/>
      <c r="B602" s="8"/>
      <c r="C602" s="30"/>
      <c r="D602" s="8"/>
      <c r="E602" s="8"/>
      <c r="F602" s="8"/>
      <c r="G602" s="8"/>
      <c r="H602" s="8"/>
      <c r="I602" s="8"/>
      <c r="J602" s="8"/>
      <c r="K602" s="8"/>
      <c r="L602" s="8"/>
      <c r="M602" s="8"/>
      <c r="N602" s="8"/>
      <c r="O602" s="8"/>
      <c r="P602" s="8"/>
      <c r="Q602" s="8"/>
      <c r="R602" s="8"/>
      <c r="S602" s="8"/>
      <c r="T602" s="8"/>
      <c r="U602" s="8"/>
      <c r="V602" s="8"/>
    </row>
    <row r="603" spans="1:22" ht="13.5" customHeight="1">
      <c r="A603" s="8"/>
      <c r="B603" s="8"/>
      <c r="C603" s="30"/>
      <c r="D603" s="8"/>
      <c r="E603" s="8"/>
      <c r="F603" s="8"/>
      <c r="G603" s="8"/>
      <c r="H603" s="8"/>
      <c r="I603" s="8"/>
      <c r="J603" s="8"/>
      <c r="K603" s="8"/>
      <c r="L603" s="8"/>
      <c r="M603" s="8"/>
      <c r="N603" s="8"/>
      <c r="O603" s="8"/>
      <c r="P603" s="8"/>
      <c r="Q603" s="8"/>
      <c r="R603" s="8"/>
      <c r="S603" s="8"/>
      <c r="T603" s="8"/>
      <c r="U603" s="8"/>
      <c r="V603" s="8"/>
    </row>
    <row r="604" spans="1:22" ht="13.5" customHeight="1">
      <c r="A604" s="8"/>
      <c r="B604" s="8"/>
      <c r="C604" s="30"/>
      <c r="D604" s="8"/>
      <c r="E604" s="8"/>
      <c r="F604" s="8"/>
      <c r="G604" s="8"/>
      <c r="H604" s="8"/>
      <c r="I604" s="8"/>
      <c r="J604" s="8"/>
      <c r="K604" s="8"/>
      <c r="L604" s="8"/>
      <c r="M604" s="8"/>
      <c r="N604" s="8"/>
      <c r="O604" s="8"/>
      <c r="P604" s="8"/>
      <c r="Q604" s="8"/>
      <c r="R604" s="8"/>
      <c r="S604" s="8"/>
      <c r="T604" s="8"/>
      <c r="U604" s="8"/>
      <c r="V604" s="8"/>
    </row>
    <row r="605" spans="1:22" ht="13.5" customHeight="1">
      <c r="A605" s="8"/>
      <c r="B605" s="8"/>
      <c r="C605" s="30"/>
      <c r="D605" s="8"/>
      <c r="E605" s="8"/>
      <c r="F605" s="8"/>
      <c r="G605" s="8"/>
      <c r="H605" s="8"/>
      <c r="I605" s="8"/>
      <c r="J605" s="8"/>
      <c r="K605" s="8"/>
      <c r="L605" s="8"/>
      <c r="M605" s="8"/>
      <c r="N605" s="8"/>
      <c r="O605" s="8"/>
      <c r="P605" s="8"/>
      <c r="Q605" s="8"/>
      <c r="R605" s="8"/>
      <c r="S605" s="8"/>
      <c r="T605" s="8"/>
      <c r="U605" s="8"/>
      <c r="V605" s="8"/>
    </row>
    <row r="606" spans="1:22" ht="13.5" customHeight="1">
      <c r="A606" s="8"/>
      <c r="B606" s="8"/>
      <c r="C606" s="30"/>
      <c r="D606" s="8"/>
      <c r="E606" s="8"/>
      <c r="F606" s="8"/>
      <c r="G606" s="8"/>
      <c r="H606" s="8"/>
      <c r="I606" s="8"/>
      <c r="J606" s="8"/>
      <c r="K606" s="8"/>
      <c r="L606" s="8"/>
      <c r="M606" s="8"/>
      <c r="N606" s="8"/>
      <c r="O606" s="8"/>
      <c r="P606" s="8"/>
      <c r="Q606" s="8"/>
      <c r="R606" s="8"/>
      <c r="S606" s="8"/>
      <c r="T606" s="8"/>
      <c r="U606" s="8"/>
      <c r="V606" s="8"/>
    </row>
    <row r="607" spans="1:22" ht="13.5" customHeight="1">
      <c r="A607" s="8"/>
      <c r="B607" s="8"/>
      <c r="C607" s="30"/>
      <c r="D607" s="8"/>
      <c r="E607" s="8"/>
      <c r="F607" s="8"/>
      <c r="G607" s="8"/>
      <c r="H607" s="8"/>
      <c r="I607" s="8"/>
      <c r="J607" s="8"/>
      <c r="K607" s="8"/>
      <c r="L607" s="8"/>
      <c r="M607" s="8"/>
      <c r="N607" s="8"/>
      <c r="O607" s="8"/>
      <c r="P607" s="8"/>
      <c r="Q607" s="8"/>
      <c r="R607" s="8"/>
      <c r="S607" s="8"/>
      <c r="T607" s="8"/>
      <c r="U607" s="8"/>
      <c r="V607" s="8"/>
    </row>
    <row r="608" spans="1:22" ht="13.5" customHeight="1">
      <c r="A608" s="8"/>
      <c r="B608" s="8"/>
      <c r="C608" s="30"/>
      <c r="D608" s="8"/>
      <c r="E608" s="8"/>
      <c r="F608" s="8"/>
      <c r="G608" s="8"/>
      <c r="H608" s="8"/>
      <c r="I608" s="8"/>
      <c r="J608" s="8"/>
      <c r="K608" s="8"/>
      <c r="L608" s="8"/>
      <c r="M608" s="8"/>
      <c r="N608" s="8"/>
      <c r="O608" s="8"/>
      <c r="P608" s="8"/>
      <c r="Q608" s="8"/>
      <c r="R608" s="8"/>
      <c r="S608" s="8"/>
      <c r="T608" s="8"/>
      <c r="U608" s="8"/>
      <c r="V608" s="8"/>
    </row>
    <row r="609" spans="1:22" ht="13.5" customHeight="1">
      <c r="A609" s="8"/>
      <c r="B609" s="8"/>
      <c r="C609" s="30"/>
      <c r="D609" s="8"/>
      <c r="E609" s="8"/>
      <c r="F609" s="8"/>
      <c r="G609" s="8"/>
      <c r="H609" s="8"/>
      <c r="I609" s="8"/>
      <c r="J609" s="8"/>
      <c r="K609" s="8"/>
      <c r="L609" s="8"/>
      <c r="M609" s="8"/>
      <c r="N609" s="8"/>
      <c r="O609" s="8"/>
      <c r="P609" s="8"/>
      <c r="Q609" s="8"/>
      <c r="R609" s="8"/>
      <c r="S609" s="8"/>
      <c r="T609" s="8"/>
      <c r="U609" s="8"/>
      <c r="V609" s="8"/>
    </row>
    <row r="610" spans="1:22" ht="13.5" customHeight="1">
      <c r="A610" s="8"/>
      <c r="B610" s="8"/>
      <c r="C610" s="30"/>
      <c r="D610" s="8"/>
      <c r="E610" s="8"/>
      <c r="F610" s="8"/>
      <c r="G610" s="8"/>
      <c r="H610" s="8"/>
      <c r="I610" s="8"/>
      <c r="J610" s="8"/>
      <c r="K610" s="8"/>
      <c r="L610" s="8"/>
      <c r="M610" s="8"/>
      <c r="N610" s="8"/>
      <c r="O610" s="8"/>
      <c r="P610" s="8"/>
      <c r="Q610" s="8"/>
      <c r="R610" s="8"/>
      <c r="S610" s="8"/>
      <c r="T610" s="8"/>
      <c r="U610" s="8"/>
      <c r="V610" s="8"/>
    </row>
    <row r="611" spans="1:22" ht="13.5" customHeight="1">
      <c r="A611" s="8"/>
      <c r="B611" s="8"/>
      <c r="C611" s="30"/>
      <c r="D611" s="8"/>
      <c r="E611" s="8"/>
      <c r="F611" s="8"/>
      <c r="G611" s="8"/>
      <c r="H611" s="8"/>
      <c r="I611" s="8"/>
      <c r="J611" s="8"/>
      <c r="K611" s="8"/>
      <c r="L611" s="8"/>
      <c r="M611" s="8"/>
      <c r="N611" s="8"/>
      <c r="O611" s="8"/>
      <c r="P611" s="8"/>
      <c r="Q611" s="8"/>
      <c r="R611" s="8"/>
      <c r="S611" s="8"/>
      <c r="T611" s="8"/>
      <c r="U611" s="8"/>
      <c r="V611" s="8"/>
    </row>
    <row r="612" spans="1:22" ht="13.5" customHeight="1">
      <c r="A612" s="8"/>
      <c r="B612" s="8"/>
      <c r="C612" s="30"/>
      <c r="D612" s="8"/>
      <c r="E612" s="8"/>
      <c r="F612" s="8"/>
      <c r="G612" s="8"/>
      <c r="H612" s="8"/>
      <c r="I612" s="8"/>
      <c r="J612" s="8"/>
      <c r="K612" s="8"/>
      <c r="L612" s="8"/>
      <c r="M612" s="8"/>
      <c r="N612" s="8"/>
      <c r="O612" s="8"/>
      <c r="P612" s="8"/>
      <c r="Q612" s="8"/>
      <c r="R612" s="8"/>
      <c r="S612" s="8"/>
      <c r="T612" s="8"/>
      <c r="U612" s="8"/>
      <c r="V612" s="8"/>
    </row>
    <row r="613" spans="1:22" ht="13.5" customHeight="1">
      <c r="A613" s="8"/>
      <c r="B613" s="8"/>
      <c r="C613" s="30"/>
      <c r="D613" s="8"/>
      <c r="E613" s="8"/>
      <c r="F613" s="8"/>
      <c r="G613" s="8"/>
      <c r="H613" s="8"/>
      <c r="I613" s="8"/>
      <c r="J613" s="8"/>
      <c r="K613" s="8"/>
      <c r="L613" s="8"/>
      <c r="M613" s="8"/>
      <c r="N613" s="8"/>
      <c r="O613" s="8"/>
      <c r="P613" s="8"/>
      <c r="Q613" s="8"/>
      <c r="R613" s="8"/>
      <c r="S613" s="8"/>
      <c r="T613" s="8"/>
      <c r="U613" s="8"/>
      <c r="V613" s="8"/>
    </row>
    <row r="614" spans="1:22" ht="13.5" customHeight="1">
      <c r="A614" s="8"/>
      <c r="B614" s="8"/>
      <c r="C614" s="30"/>
      <c r="D614" s="8"/>
      <c r="E614" s="8"/>
      <c r="F614" s="8"/>
      <c r="G614" s="8"/>
      <c r="H614" s="8"/>
      <c r="I614" s="8"/>
      <c r="J614" s="8"/>
      <c r="K614" s="8"/>
      <c r="L614" s="8"/>
      <c r="M614" s="8"/>
      <c r="N614" s="8"/>
      <c r="O614" s="8"/>
      <c r="P614" s="8"/>
      <c r="Q614" s="8"/>
      <c r="R614" s="8"/>
      <c r="S614" s="8"/>
      <c r="T614" s="8"/>
      <c r="U614" s="8"/>
      <c r="V614" s="8"/>
    </row>
    <row r="615" spans="1:22" ht="13.5" customHeight="1">
      <c r="A615" s="8"/>
      <c r="B615" s="8"/>
      <c r="C615" s="30"/>
      <c r="D615" s="8"/>
      <c r="E615" s="8"/>
      <c r="F615" s="8"/>
      <c r="G615" s="8"/>
      <c r="H615" s="8"/>
      <c r="I615" s="8"/>
      <c r="J615" s="8"/>
      <c r="K615" s="8"/>
      <c r="L615" s="8"/>
      <c r="M615" s="8"/>
      <c r="N615" s="8"/>
      <c r="O615" s="8"/>
      <c r="P615" s="8"/>
      <c r="Q615" s="8"/>
      <c r="R615" s="8"/>
      <c r="S615" s="8"/>
      <c r="T615" s="8"/>
      <c r="U615" s="8"/>
      <c r="V615" s="8"/>
    </row>
    <row r="616" spans="1:22" ht="13.5" customHeight="1">
      <c r="A616" s="8"/>
      <c r="B616" s="8"/>
      <c r="C616" s="30"/>
      <c r="D616" s="8"/>
      <c r="E616" s="8"/>
      <c r="F616" s="8"/>
      <c r="G616" s="8"/>
      <c r="H616" s="8"/>
      <c r="I616" s="8"/>
      <c r="J616" s="8"/>
      <c r="K616" s="8"/>
      <c r="L616" s="8"/>
      <c r="M616" s="8"/>
      <c r="N616" s="8"/>
      <c r="O616" s="8"/>
      <c r="P616" s="8"/>
      <c r="Q616" s="8"/>
      <c r="R616" s="8"/>
      <c r="S616" s="8"/>
      <c r="T616" s="8"/>
      <c r="U616" s="8"/>
      <c r="V616" s="8"/>
    </row>
    <row r="617" spans="1:22" ht="13.5" customHeight="1">
      <c r="A617" s="8"/>
      <c r="B617" s="8"/>
      <c r="C617" s="30"/>
      <c r="D617" s="8"/>
      <c r="E617" s="8"/>
      <c r="F617" s="8"/>
      <c r="G617" s="8"/>
      <c r="H617" s="8"/>
      <c r="I617" s="8"/>
      <c r="J617" s="8"/>
      <c r="K617" s="8"/>
      <c r="L617" s="8"/>
      <c r="M617" s="8"/>
      <c r="N617" s="8"/>
      <c r="O617" s="8"/>
      <c r="P617" s="8"/>
      <c r="Q617" s="8"/>
      <c r="R617" s="8"/>
      <c r="S617" s="8"/>
      <c r="T617" s="8"/>
      <c r="U617" s="8"/>
      <c r="V617" s="8"/>
    </row>
    <row r="618" spans="1:22" ht="13.5" customHeight="1">
      <c r="A618" s="8"/>
      <c r="B618" s="8"/>
      <c r="C618" s="30"/>
      <c r="D618" s="8"/>
      <c r="E618" s="8"/>
      <c r="F618" s="8"/>
      <c r="G618" s="8"/>
      <c r="H618" s="8"/>
      <c r="I618" s="8"/>
      <c r="J618" s="8"/>
      <c r="K618" s="8"/>
      <c r="L618" s="8"/>
      <c r="M618" s="8"/>
      <c r="N618" s="8"/>
      <c r="O618" s="8"/>
      <c r="P618" s="8"/>
      <c r="Q618" s="8"/>
      <c r="R618" s="8"/>
      <c r="S618" s="8"/>
      <c r="T618" s="8"/>
      <c r="U618" s="8"/>
      <c r="V618" s="8"/>
    </row>
    <row r="619" spans="1:22" ht="13.5" customHeight="1">
      <c r="A619" s="8"/>
      <c r="B619" s="8"/>
      <c r="C619" s="30"/>
      <c r="D619" s="8"/>
      <c r="E619" s="8"/>
      <c r="F619" s="8"/>
      <c r="G619" s="8"/>
      <c r="H619" s="8"/>
      <c r="I619" s="8"/>
      <c r="J619" s="8"/>
      <c r="K619" s="8"/>
      <c r="L619" s="8"/>
      <c r="M619" s="8"/>
      <c r="N619" s="8"/>
      <c r="O619" s="8"/>
      <c r="P619" s="8"/>
      <c r="Q619" s="8"/>
      <c r="R619" s="8"/>
      <c r="S619" s="8"/>
      <c r="T619" s="8"/>
      <c r="U619" s="8"/>
      <c r="V619" s="8"/>
    </row>
    <row r="620" spans="1:22" ht="13.5" customHeight="1">
      <c r="A620" s="8"/>
      <c r="B620" s="8"/>
      <c r="C620" s="30"/>
      <c r="D620" s="8"/>
      <c r="E620" s="8"/>
      <c r="F620" s="8"/>
      <c r="G620" s="8"/>
      <c r="H620" s="8"/>
      <c r="I620" s="8"/>
      <c r="J620" s="8"/>
      <c r="K620" s="8"/>
      <c r="L620" s="8"/>
      <c r="M620" s="8"/>
      <c r="N620" s="8"/>
      <c r="O620" s="8"/>
      <c r="P620" s="8"/>
      <c r="Q620" s="8"/>
      <c r="R620" s="8"/>
      <c r="S620" s="8"/>
      <c r="T620" s="8"/>
      <c r="U620" s="8"/>
      <c r="V620" s="8"/>
    </row>
    <row r="621" spans="1:22" ht="13.5" customHeight="1">
      <c r="A621" s="8"/>
      <c r="B621" s="8"/>
      <c r="C621" s="30"/>
      <c r="D621" s="8"/>
      <c r="E621" s="8"/>
      <c r="F621" s="8"/>
      <c r="G621" s="8"/>
      <c r="H621" s="8"/>
      <c r="I621" s="8"/>
      <c r="J621" s="8"/>
      <c r="K621" s="8"/>
      <c r="L621" s="8"/>
      <c r="M621" s="8"/>
      <c r="N621" s="8"/>
      <c r="O621" s="8"/>
      <c r="P621" s="8"/>
      <c r="Q621" s="8"/>
      <c r="R621" s="8"/>
      <c r="S621" s="8"/>
      <c r="T621" s="8"/>
      <c r="U621" s="8"/>
      <c r="V621" s="8"/>
    </row>
    <row r="622" spans="1:22" ht="13.5" customHeight="1">
      <c r="A622" s="8"/>
      <c r="B622" s="8"/>
      <c r="C622" s="30"/>
      <c r="D622" s="8"/>
      <c r="E622" s="8"/>
      <c r="F622" s="8"/>
      <c r="G622" s="8"/>
      <c r="H622" s="8"/>
      <c r="I622" s="8"/>
      <c r="J622" s="8"/>
      <c r="K622" s="8"/>
      <c r="L622" s="8"/>
      <c r="M622" s="8"/>
      <c r="N622" s="8"/>
      <c r="O622" s="8"/>
      <c r="P622" s="8"/>
      <c r="Q622" s="8"/>
      <c r="R622" s="8"/>
      <c r="S622" s="8"/>
      <c r="T622" s="8"/>
      <c r="U622" s="8"/>
      <c r="V622" s="8"/>
    </row>
    <row r="623" spans="1:22" ht="13.5" customHeight="1">
      <c r="A623" s="8"/>
      <c r="B623" s="8"/>
      <c r="C623" s="30"/>
      <c r="D623" s="8"/>
      <c r="E623" s="8"/>
      <c r="F623" s="8"/>
      <c r="G623" s="8"/>
      <c r="H623" s="8"/>
      <c r="I623" s="8"/>
      <c r="J623" s="8"/>
      <c r="K623" s="8"/>
      <c r="L623" s="8"/>
      <c r="M623" s="8"/>
      <c r="N623" s="8"/>
      <c r="O623" s="8"/>
      <c r="P623" s="8"/>
      <c r="Q623" s="8"/>
      <c r="R623" s="8"/>
      <c r="S623" s="8"/>
      <c r="T623" s="8"/>
      <c r="U623" s="8"/>
      <c r="V623" s="8"/>
    </row>
    <row r="624" spans="1:22" ht="13.5" customHeight="1">
      <c r="A624" s="8"/>
      <c r="B624" s="8"/>
      <c r="C624" s="30"/>
      <c r="D624" s="8"/>
      <c r="E624" s="8"/>
      <c r="F624" s="8"/>
      <c r="G624" s="8"/>
      <c r="H624" s="8"/>
      <c r="I624" s="8"/>
      <c r="J624" s="8"/>
      <c r="K624" s="8"/>
      <c r="L624" s="8"/>
      <c r="M624" s="8"/>
      <c r="N624" s="8"/>
      <c r="O624" s="8"/>
      <c r="P624" s="8"/>
      <c r="Q624" s="8"/>
      <c r="R624" s="8"/>
      <c r="S624" s="8"/>
      <c r="T624" s="8"/>
      <c r="U624" s="8"/>
      <c r="V624" s="8"/>
    </row>
    <row r="625" spans="1:22" ht="13.5" customHeight="1">
      <c r="A625" s="8"/>
      <c r="B625" s="8"/>
      <c r="C625" s="30"/>
      <c r="D625" s="8"/>
      <c r="E625" s="8"/>
      <c r="F625" s="8"/>
      <c r="G625" s="8"/>
      <c r="H625" s="8"/>
      <c r="I625" s="8"/>
      <c r="J625" s="8"/>
      <c r="K625" s="8"/>
      <c r="L625" s="8"/>
      <c r="M625" s="8"/>
      <c r="N625" s="8"/>
      <c r="O625" s="8"/>
      <c r="P625" s="8"/>
      <c r="Q625" s="8"/>
      <c r="R625" s="8"/>
      <c r="S625" s="8"/>
      <c r="T625" s="8"/>
      <c r="U625" s="8"/>
      <c r="V625" s="8"/>
    </row>
    <row r="626" spans="1:22" ht="13.5" customHeight="1">
      <c r="A626" s="8"/>
      <c r="B626" s="8"/>
      <c r="C626" s="30"/>
      <c r="D626" s="8"/>
      <c r="E626" s="8"/>
      <c r="F626" s="8"/>
      <c r="G626" s="8"/>
      <c r="H626" s="8"/>
      <c r="I626" s="8"/>
      <c r="J626" s="8"/>
      <c r="K626" s="8"/>
      <c r="L626" s="8"/>
      <c r="M626" s="8"/>
      <c r="N626" s="8"/>
      <c r="O626" s="8"/>
      <c r="P626" s="8"/>
      <c r="Q626" s="8"/>
      <c r="R626" s="8"/>
      <c r="S626" s="8"/>
      <c r="T626" s="8"/>
      <c r="U626" s="8"/>
      <c r="V626" s="8"/>
    </row>
    <row r="627" spans="1:22" ht="13.5" customHeight="1">
      <c r="A627" s="8"/>
      <c r="B627" s="8"/>
      <c r="C627" s="30"/>
      <c r="D627" s="8"/>
      <c r="E627" s="8"/>
      <c r="F627" s="8"/>
      <c r="G627" s="8"/>
      <c r="H627" s="8"/>
      <c r="I627" s="8"/>
      <c r="J627" s="8"/>
      <c r="K627" s="8"/>
      <c r="L627" s="8"/>
      <c r="M627" s="8"/>
      <c r="N627" s="8"/>
      <c r="O627" s="8"/>
      <c r="P627" s="8"/>
      <c r="Q627" s="8"/>
      <c r="R627" s="8"/>
      <c r="S627" s="8"/>
      <c r="T627" s="8"/>
      <c r="U627" s="8"/>
      <c r="V627" s="8"/>
    </row>
    <row r="628" spans="1:22" ht="13.5" customHeight="1">
      <c r="A628" s="8"/>
      <c r="B628" s="8"/>
      <c r="C628" s="30"/>
      <c r="D628" s="8"/>
      <c r="E628" s="8"/>
      <c r="F628" s="8"/>
      <c r="G628" s="8"/>
      <c r="H628" s="8"/>
      <c r="I628" s="8"/>
      <c r="J628" s="8"/>
      <c r="K628" s="8"/>
      <c r="L628" s="8"/>
      <c r="M628" s="8"/>
      <c r="N628" s="8"/>
      <c r="O628" s="8"/>
      <c r="P628" s="8"/>
      <c r="Q628" s="8"/>
      <c r="R628" s="8"/>
      <c r="S628" s="8"/>
      <c r="T628" s="8"/>
      <c r="U628" s="8"/>
      <c r="V628" s="8"/>
    </row>
    <row r="629" spans="1:22" ht="13.5" customHeight="1">
      <c r="A629" s="8"/>
      <c r="B629" s="8"/>
      <c r="C629" s="30"/>
      <c r="D629" s="8"/>
      <c r="E629" s="8"/>
      <c r="F629" s="8"/>
      <c r="G629" s="8"/>
      <c r="H629" s="8"/>
      <c r="I629" s="8"/>
      <c r="J629" s="8"/>
      <c r="K629" s="8"/>
      <c r="L629" s="8"/>
      <c r="M629" s="8"/>
      <c r="N629" s="8"/>
      <c r="O629" s="8"/>
      <c r="P629" s="8"/>
      <c r="Q629" s="8"/>
      <c r="R629" s="8"/>
      <c r="S629" s="8"/>
      <c r="T629" s="8"/>
      <c r="U629" s="8"/>
      <c r="V629" s="8"/>
    </row>
    <row r="630" spans="1:22" ht="13.5" customHeight="1">
      <c r="A630" s="8"/>
      <c r="B630" s="8"/>
      <c r="C630" s="30"/>
      <c r="D630" s="8"/>
      <c r="E630" s="8"/>
      <c r="F630" s="8"/>
      <c r="G630" s="8"/>
      <c r="H630" s="8"/>
      <c r="I630" s="8"/>
      <c r="J630" s="8"/>
      <c r="K630" s="8"/>
      <c r="L630" s="8"/>
      <c r="M630" s="8"/>
      <c r="N630" s="8"/>
      <c r="O630" s="8"/>
      <c r="P630" s="8"/>
      <c r="Q630" s="8"/>
      <c r="R630" s="8"/>
      <c r="S630" s="8"/>
      <c r="T630" s="8"/>
      <c r="U630" s="8"/>
      <c r="V630" s="8"/>
    </row>
    <row r="631" spans="1:22" ht="13.5" customHeight="1">
      <c r="A631" s="8"/>
      <c r="B631" s="8"/>
      <c r="C631" s="30"/>
      <c r="D631" s="8"/>
      <c r="E631" s="8"/>
      <c r="F631" s="8"/>
      <c r="G631" s="8"/>
      <c r="H631" s="8"/>
      <c r="I631" s="8"/>
      <c r="J631" s="8"/>
      <c r="K631" s="8"/>
      <c r="L631" s="8"/>
      <c r="M631" s="8"/>
      <c r="N631" s="8"/>
      <c r="O631" s="8"/>
      <c r="P631" s="8"/>
      <c r="Q631" s="8"/>
      <c r="R631" s="8"/>
      <c r="S631" s="8"/>
      <c r="T631" s="8"/>
      <c r="U631" s="8"/>
      <c r="V631" s="8"/>
    </row>
    <row r="632" spans="1:22" ht="13.5" customHeight="1">
      <c r="A632" s="8"/>
      <c r="B632" s="8"/>
      <c r="C632" s="30"/>
      <c r="D632" s="8"/>
      <c r="E632" s="8"/>
      <c r="F632" s="8"/>
      <c r="G632" s="8"/>
      <c r="H632" s="8"/>
      <c r="I632" s="8"/>
      <c r="J632" s="8"/>
      <c r="K632" s="8"/>
      <c r="L632" s="8"/>
      <c r="M632" s="8"/>
      <c r="N632" s="8"/>
      <c r="O632" s="8"/>
      <c r="P632" s="8"/>
      <c r="Q632" s="8"/>
      <c r="R632" s="8"/>
      <c r="S632" s="8"/>
      <c r="T632" s="8"/>
      <c r="U632" s="8"/>
      <c r="V632" s="8"/>
    </row>
    <row r="633" spans="1:22" ht="13.5" customHeight="1">
      <c r="A633" s="8"/>
      <c r="B633" s="8"/>
      <c r="C633" s="30"/>
      <c r="D633" s="8"/>
      <c r="E633" s="8"/>
      <c r="F633" s="8"/>
      <c r="G633" s="8"/>
      <c r="H633" s="8"/>
      <c r="I633" s="8"/>
      <c r="J633" s="8"/>
      <c r="K633" s="8"/>
      <c r="L633" s="8"/>
      <c r="M633" s="8"/>
      <c r="N633" s="8"/>
      <c r="O633" s="8"/>
      <c r="P633" s="8"/>
      <c r="Q633" s="8"/>
      <c r="R633" s="8"/>
      <c r="S633" s="8"/>
      <c r="T633" s="8"/>
      <c r="U633" s="8"/>
      <c r="V633" s="8"/>
    </row>
    <row r="634" spans="1:22" ht="13.5" customHeight="1">
      <c r="A634" s="8"/>
      <c r="B634" s="8"/>
      <c r="C634" s="30"/>
      <c r="D634" s="8"/>
      <c r="E634" s="8"/>
      <c r="F634" s="8"/>
      <c r="G634" s="8"/>
      <c r="H634" s="8"/>
      <c r="I634" s="8"/>
      <c r="J634" s="8"/>
      <c r="K634" s="8"/>
      <c r="L634" s="8"/>
      <c r="M634" s="8"/>
      <c r="N634" s="8"/>
      <c r="O634" s="8"/>
      <c r="P634" s="8"/>
      <c r="Q634" s="8"/>
      <c r="R634" s="8"/>
      <c r="S634" s="8"/>
      <c r="T634" s="8"/>
      <c r="U634" s="8"/>
      <c r="V634" s="8"/>
    </row>
    <row r="635" spans="1:22" ht="13.5" customHeight="1">
      <c r="A635" s="8"/>
      <c r="B635" s="8"/>
      <c r="C635" s="30"/>
      <c r="D635" s="8"/>
      <c r="E635" s="8"/>
      <c r="F635" s="8"/>
      <c r="G635" s="8"/>
      <c r="H635" s="8"/>
      <c r="I635" s="8"/>
      <c r="J635" s="8"/>
      <c r="K635" s="8"/>
      <c r="L635" s="8"/>
      <c r="M635" s="8"/>
      <c r="N635" s="8"/>
      <c r="O635" s="8"/>
      <c r="P635" s="8"/>
      <c r="Q635" s="8"/>
      <c r="R635" s="8"/>
      <c r="S635" s="8"/>
      <c r="T635" s="8"/>
      <c r="U635" s="8"/>
      <c r="V635" s="8"/>
    </row>
    <row r="636" spans="1:22" ht="13.5" customHeight="1">
      <c r="A636" s="8"/>
      <c r="B636" s="8"/>
      <c r="C636" s="30"/>
      <c r="D636" s="8"/>
      <c r="E636" s="8"/>
      <c r="F636" s="8"/>
      <c r="G636" s="8"/>
      <c r="H636" s="8"/>
      <c r="I636" s="8"/>
      <c r="J636" s="8"/>
      <c r="K636" s="8"/>
      <c r="L636" s="8"/>
      <c r="M636" s="8"/>
      <c r="N636" s="8"/>
      <c r="O636" s="8"/>
      <c r="P636" s="8"/>
      <c r="Q636" s="8"/>
      <c r="R636" s="8"/>
      <c r="S636" s="8"/>
      <c r="T636" s="8"/>
      <c r="U636" s="8"/>
      <c r="V636" s="8"/>
    </row>
    <row r="637" spans="1:22" ht="13.5" customHeight="1">
      <c r="A637" s="8"/>
      <c r="B637" s="8"/>
      <c r="C637" s="30"/>
      <c r="D637" s="8"/>
      <c r="E637" s="8"/>
      <c r="F637" s="8"/>
      <c r="G637" s="8"/>
      <c r="H637" s="8"/>
      <c r="I637" s="8"/>
      <c r="J637" s="8"/>
      <c r="K637" s="8"/>
      <c r="L637" s="8"/>
      <c r="M637" s="8"/>
      <c r="N637" s="8"/>
      <c r="O637" s="8"/>
      <c r="P637" s="8"/>
      <c r="Q637" s="8"/>
      <c r="R637" s="8"/>
      <c r="S637" s="8"/>
      <c r="T637" s="8"/>
      <c r="U637" s="8"/>
      <c r="V637" s="8"/>
    </row>
    <row r="638" spans="1:22" ht="13.5" customHeight="1">
      <c r="A638" s="8"/>
      <c r="B638" s="8"/>
      <c r="C638" s="30"/>
      <c r="D638" s="8"/>
      <c r="E638" s="8"/>
      <c r="F638" s="8"/>
      <c r="G638" s="8"/>
      <c r="H638" s="8"/>
      <c r="I638" s="8"/>
      <c r="J638" s="8"/>
      <c r="K638" s="8"/>
      <c r="L638" s="8"/>
      <c r="M638" s="8"/>
      <c r="N638" s="8"/>
      <c r="O638" s="8"/>
      <c r="P638" s="8"/>
      <c r="Q638" s="8"/>
      <c r="R638" s="8"/>
      <c r="S638" s="8"/>
      <c r="T638" s="8"/>
      <c r="U638" s="8"/>
      <c r="V638" s="8"/>
    </row>
    <row r="639" spans="1:22" ht="13.5" customHeight="1">
      <c r="A639" s="8"/>
      <c r="B639" s="8"/>
      <c r="C639" s="30"/>
      <c r="D639" s="8"/>
      <c r="E639" s="8"/>
      <c r="F639" s="8"/>
      <c r="G639" s="8"/>
      <c r="H639" s="8"/>
      <c r="I639" s="8"/>
      <c r="J639" s="8"/>
      <c r="K639" s="8"/>
      <c r="L639" s="8"/>
      <c r="M639" s="8"/>
      <c r="N639" s="8"/>
      <c r="O639" s="8"/>
      <c r="P639" s="8"/>
      <c r="Q639" s="8"/>
      <c r="R639" s="8"/>
      <c r="S639" s="8"/>
      <c r="T639" s="8"/>
      <c r="U639" s="8"/>
      <c r="V639" s="8"/>
    </row>
    <row r="640" spans="1:22" ht="13.5" customHeight="1">
      <c r="A640" s="8"/>
      <c r="B640" s="8"/>
      <c r="C640" s="30"/>
      <c r="D640" s="8"/>
      <c r="E640" s="8"/>
      <c r="F640" s="8"/>
      <c r="G640" s="8"/>
      <c r="H640" s="8"/>
      <c r="I640" s="8"/>
      <c r="J640" s="8"/>
      <c r="K640" s="8"/>
      <c r="L640" s="8"/>
      <c r="M640" s="8"/>
      <c r="N640" s="8"/>
      <c r="O640" s="8"/>
      <c r="P640" s="8"/>
      <c r="Q640" s="8"/>
      <c r="R640" s="8"/>
      <c r="S640" s="8"/>
      <c r="T640" s="8"/>
      <c r="U640" s="8"/>
      <c r="V640" s="8"/>
    </row>
    <row r="641" spans="1:22" ht="13.5" customHeight="1">
      <c r="A641" s="8"/>
      <c r="B641" s="8"/>
      <c r="C641" s="30"/>
      <c r="D641" s="8"/>
      <c r="E641" s="8"/>
      <c r="F641" s="8"/>
      <c r="G641" s="8"/>
      <c r="H641" s="8"/>
      <c r="I641" s="8"/>
      <c r="J641" s="8"/>
      <c r="K641" s="8"/>
      <c r="L641" s="8"/>
      <c r="M641" s="8"/>
      <c r="N641" s="8"/>
      <c r="O641" s="8"/>
      <c r="P641" s="8"/>
      <c r="Q641" s="8"/>
      <c r="R641" s="8"/>
      <c r="S641" s="8"/>
      <c r="T641" s="8"/>
      <c r="U641" s="8"/>
      <c r="V641" s="8"/>
    </row>
    <row r="642" spans="1:22" ht="13.5" customHeight="1">
      <c r="A642" s="8"/>
      <c r="B642" s="8"/>
      <c r="C642" s="30"/>
      <c r="D642" s="8"/>
      <c r="E642" s="8"/>
      <c r="F642" s="8"/>
      <c r="G642" s="8"/>
      <c r="H642" s="8"/>
      <c r="I642" s="8"/>
      <c r="J642" s="8"/>
      <c r="K642" s="8"/>
      <c r="L642" s="8"/>
      <c r="M642" s="8"/>
      <c r="N642" s="8"/>
      <c r="O642" s="8"/>
      <c r="P642" s="8"/>
      <c r="Q642" s="8"/>
      <c r="R642" s="8"/>
      <c r="S642" s="8"/>
      <c r="T642" s="8"/>
      <c r="U642" s="8"/>
      <c r="V642" s="8"/>
    </row>
    <row r="643" spans="1:22" ht="13.5" customHeight="1">
      <c r="A643" s="8"/>
      <c r="B643" s="8"/>
      <c r="C643" s="30"/>
      <c r="D643" s="8"/>
      <c r="E643" s="8"/>
      <c r="F643" s="8"/>
      <c r="G643" s="8"/>
      <c r="H643" s="8"/>
      <c r="I643" s="8"/>
      <c r="J643" s="8"/>
      <c r="K643" s="8"/>
      <c r="L643" s="8"/>
      <c r="M643" s="8"/>
      <c r="N643" s="8"/>
      <c r="O643" s="8"/>
      <c r="P643" s="8"/>
      <c r="Q643" s="8"/>
      <c r="R643" s="8"/>
      <c r="S643" s="8"/>
      <c r="T643" s="8"/>
      <c r="U643" s="8"/>
      <c r="V643" s="8"/>
    </row>
    <row r="644" spans="1:22" ht="13.5" customHeight="1">
      <c r="A644" s="8"/>
      <c r="B644" s="8"/>
      <c r="C644" s="30"/>
      <c r="D644" s="8"/>
      <c r="E644" s="8"/>
      <c r="F644" s="8"/>
      <c r="G644" s="8"/>
      <c r="H644" s="8"/>
      <c r="I644" s="8"/>
      <c r="J644" s="8"/>
      <c r="K644" s="8"/>
      <c r="L644" s="8"/>
      <c r="M644" s="8"/>
      <c r="N644" s="8"/>
      <c r="O644" s="8"/>
      <c r="P644" s="8"/>
      <c r="Q644" s="8"/>
      <c r="R644" s="8"/>
      <c r="S644" s="8"/>
      <c r="T644" s="8"/>
      <c r="U644" s="8"/>
      <c r="V644" s="8"/>
    </row>
    <row r="645" spans="1:22" ht="13.5" customHeight="1">
      <c r="A645" s="8"/>
      <c r="B645" s="8"/>
      <c r="C645" s="30"/>
      <c r="D645" s="8"/>
      <c r="E645" s="8"/>
      <c r="F645" s="8"/>
      <c r="G645" s="8"/>
      <c r="H645" s="8"/>
      <c r="I645" s="8"/>
      <c r="J645" s="8"/>
      <c r="K645" s="8"/>
      <c r="L645" s="8"/>
      <c r="M645" s="8"/>
      <c r="N645" s="8"/>
      <c r="O645" s="8"/>
      <c r="P645" s="8"/>
      <c r="Q645" s="8"/>
      <c r="R645" s="8"/>
      <c r="S645" s="8"/>
      <c r="T645" s="8"/>
      <c r="U645" s="8"/>
      <c r="V645" s="8"/>
    </row>
    <row r="646" spans="1:22" ht="13.5" customHeight="1">
      <c r="A646" s="8"/>
      <c r="B646" s="8"/>
      <c r="C646" s="30"/>
      <c r="D646" s="8"/>
      <c r="E646" s="8"/>
      <c r="F646" s="8"/>
      <c r="G646" s="8"/>
      <c r="H646" s="8"/>
      <c r="I646" s="8"/>
      <c r="J646" s="8"/>
      <c r="K646" s="8"/>
      <c r="L646" s="8"/>
      <c r="M646" s="8"/>
      <c r="N646" s="8"/>
      <c r="O646" s="8"/>
      <c r="P646" s="8"/>
      <c r="Q646" s="8"/>
      <c r="R646" s="8"/>
      <c r="S646" s="8"/>
      <c r="T646" s="8"/>
      <c r="U646" s="8"/>
      <c r="V646" s="8"/>
    </row>
    <row r="647" spans="1:22" ht="13.5" customHeight="1">
      <c r="A647" s="8"/>
      <c r="B647" s="8"/>
      <c r="C647" s="30"/>
      <c r="D647" s="8"/>
      <c r="E647" s="8"/>
      <c r="F647" s="8"/>
      <c r="G647" s="8"/>
      <c r="H647" s="8"/>
      <c r="I647" s="8"/>
      <c r="J647" s="8"/>
      <c r="K647" s="8"/>
      <c r="L647" s="8"/>
      <c r="M647" s="8"/>
      <c r="N647" s="8"/>
      <c r="O647" s="8"/>
      <c r="P647" s="8"/>
      <c r="Q647" s="8"/>
      <c r="R647" s="8"/>
      <c r="S647" s="8"/>
      <c r="T647" s="8"/>
      <c r="U647" s="8"/>
      <c r="V647" s="8"/>
    </row>
    <row r="648" spans="1:22" ht="13.5" customHeight="1">
      <c r="A648" s="8"/>
      <c r="B648" s="8"/>
      <c r="C648" s="30"/>
      <c r="D648" s="8"/>
      <c r="E648" s="8"/>
      <c r="F648" s="8"/>
      <c r="G648" s="8"/>
      <c r="H648" s="8"/>
      <c r="I648" s="8"/>
      <c r="J648" s="8"/>
      <c r="K648" s="8"/>
      <c r="L648" s="8"/>
      <c r="M648" s="8"/>
      <c r="N648" s="8"/>
      <c r="O648" s="8"/>
      <c r="P648" s="8"/>
      <c r="Q648" s="8"/>
      <c r="R648" s="8"/>
      <c r="S648" s="8"/>
      <c r="T648" s="8"/>
      <c r="U648" s="8"/>
      <c r="V648" s="8"/>
    </row>
    <row r="649" spans="1:22" ht="13.5" customHeight="1">
      <c r="A649" s="8"/>
      <c r="B649" s="8"/>
      <c r="C649" s="30"/>
      <c r="D649" s="8"/>
      <c r="E649" s="8"/>
      <c r="F649" s="8"/>
      <c r="G649" s="8"/>
      <c r="H649" s="8"/>
      <c r="I649" s="8"/>
      <c r="J649" s="8"/>
      <c r="K649" s="8"/>
      <c r="L649" s="8"/>
      <c r="M649" s="8"/>
      <c r="N649" s="8"/>
      <c r="O649" s="8"/>
      <c r="P649" s="8"/>
      <c r="Q649" s="8"/>
      <c r="R649" s="8"/>
      <c r="S649" s="8"/>
      <c r="T649" s="8"/>
      <c r="U649" s="8"/>
      <c r="V649" s="8"/>
    </row>
    <row r="650" spans="1:22" ht="13.5" customHeight="1">
      <c r="A650" s="8"/>
      <c r="B650" s="8"/>
      <c r="C650" s="30"/>
      <c r="D650" s="8"/>
      <c r="E650" s="8"/>
      <c r="F650" s="8"/>
      <c r="G650" s="8"/>
      <c r="H650" s="8"/>
      <c r="I650" s="8"/>
      <c r="J650" s="8"/>
      <c r="K650" s="8"/>
      <c r="L650" s="8"/>
      <c r="M650" s="8"/>
      <c r="N650" s="8"/>
      <c r="O650" s="8"/>
      <c r="P650" s="8"/>
      <c r="Q650" s="8"/>
      <c r="R650" s="8"/>
      <c r="S650" s="8"/>
      <c r="T650" s="8"/>
      <c r="U650" s="8"/>
      <c r="V650" s="8"/>
    </row>
    <row r="651" spans="1:22" ht="13.5" customHeight="1">
      <c r="A651" s="8"/>
      <c r="B651" s="8"/>
      <c r="C651" s="30"/>
      <c r="D651" s="8"/>
      <c r="E651" s="8"/>
      <c r="F651" s="8"/>
      <c r="G651" s="8"/>
      <c r="H651" s="8"/>
      <c r="I651" s="8"/>
      <c r="J651" s="8"/>
      <c r="K651" s="8"/>
      <c r="L651" s="8"/>
      <c r="M651" s="8"/>
      <c r="N651" s="8"/>
      <c r="O651" s="8"/>
      <c r="P651" s="8"/>
      <c r="Q651" s="8"/>
      <c r="R651" s="8"/>
      <c r="S651" s="8"/>
      <c r="T651" s="8"/>
      <c r="U651" s="8"/>
      <c r="V651" s="8"/>
    </row>
    <row r="652" spans="1:22" ht="13.5" customHeight="1">
      <c r="A652" s="8"/>
      <c r="B652" s="8"/>
      <c r="C652" s="30"/>
      <c r="D652" s="8"/>
      <c r="E652" s="8"/>
      <c r="F652" s="8"/>
      <c r="G652" s="8"/>
      <c r="H652" s="8"/>
      <c r="I652" s="8"/>
      <c r="J652" s="8"/>
      <c r="K652" s="8"/>
      <c r="L652" s="8"/>
      <c r="M652" s="8"/>
      <c r="N652" s="8"/>
      <c r="O652" s="8"/>
      <c r="P652" s="8"/>
      <c r="Q652" s="8"/>
      <c r="R652" s="8"/>
      <c r="S652" s="8"/>
      <c r="T652" s="8"/>
      <c r="U652" s="8"/>
      <c r="V652" s="8"/>
    </row>
    <row r="653" spans="1:22" ht="13.5" customHeight="1">
      <c r="A653" s="8"/>
      <c r="B653" s="8"/>
      <c r="C653" s="30"/>
      <c r="D653" s="8"/>
      <c r="E653" s="8"/>
      <c r="F653" s="8"/>
      <c r="G653" s="8"/>
      <c r="H653" s="8"/>
      <c r="I653" s="8"/>
      <c r="J653" s="8"/>
      <c r="K653" s="8"/>
      <c r="L653" s="8"/>
      <c r="M653" s="8"/>
      <c r="N653" s="8"/>
      <c r="O653" s="8"/>
      <c r="P653" s="8"/>
      <c r="Q653" s="8"/>
      <c r="R653" s="8"/>
      <c r="S653" s="8"/>
      <c r="T653" s="8"/>
      <c r="U653" s="8"/>
      <c r="V653" s="8"/>
    </row>
    <row r="654" spans="1:22" ht="13.5" customHeight="1">
      <c r="A654" s="8"/>
      <c r="B654" s="8"/>
      <c r="C654" s="30"/>
      <c r="D654" s="8"/>
      <c r="E654" s="8"/>
      <c r="F654" s="8"/>
      <c r="G654" s="8"/>
      <c r="H654" s="8"/>
      <c r="I654" s="8"/>
      <c r="J654" s="8"/>
      <c r="K654" s="8"/>
      <c r="L654" s="8"/>
      <c r="M654" s="8"/>
      <c r="N654" s="8"/>
      <c r="O654" s="8"/>
      <c r="P654" s="8"/>
      <c r="Q654" s="8"/>
      <c r="R654" s="8"/>
      <c r="S654" s="8"/>
      <c r="T654" s="8"/>
      <c r="U654" s="8"/>
      <c r="V654" s="8"/>
    </row>
    <row r="655" spans="1:22" ht="13.5" customHeight="1">
      <c r="A655" s="8"/>
      <c r="B655" s="8"/>
      <c r="C655" s="30"/>
      <c r="D655" s="8"/>
      <c r="E655" s="8"/>
      <c r="F655" s="8"/>
      <c r="G655" s="8"/>
      <c r="H655" s="8"/>
      <c r="I655" s="8"/>
      <c r="J655" s="8"/>
      <c r="K655" s="8"/>
      <c r="L655" s="8"/>
      <c r="M655" s="8"/>
      <c r="N655" s="8"/>
      <c r="O655" s="8"/>
      <c r="P655" s="8"/>
      <c r="Q655" s="8"/>
      <c r="R655" s="8"/>
      <c r="S655" s="8"/>
      <c r="T655" s="8"/>
      <c r="U655" s="8"/>
      <c r="V655" s="8"/>
    </row>
    <row r="656" spans="1:22" ht="13.5" customHeight="1">
      <c r="A656" s="8"/>
      <c r="B656" s="8"/>
      <c r="C656" s="30"/>
      <c r="D656" s="8"/>
      <c r="E656" s="8"/>
      <c r="F656" s="8"/>
      <c r="G656" s="8"/>
      <c r="H656" s="8"/>
      <c r="I656" s="8"/>
      <c r="J656" s="8"/>
      <c r="K656" s="8"/>
      <c r="L656" s="8"/>
      <c r="M656" s="8"/>
      <c r="N656" s="8"/>
      <c r="O656" s="8"/>
      <c r="P656" s="8"/>
      <c r="Q656" s="8"/>
      <c r="R656" s="8"/>
      <c r="S656" s="8"/>
      <c r="T656" s="8"/>
      <c r="U656" s="8"/>
      <c r="V656" s="8"/>
    </row>
    <row r="657" spans="1:22" ht="13.5" customHeight="1">
      <c r="A657" s="8"/>
      <c r="B657" s="8"/>
      <c r="C657" s="30"/>
      <c r="D657" s="8"/>
      <c r="E657" s="8"/>
      <c r="F657" s="8"/>
      <c r="G657" s="8"/>
      <c r="H657" s="8"/>
      <c r="I657" s="8"/>
      <c r="J657" s="8"/>
      <c r="K657" s="8"/>
      <c r="L657" s="8"/>
      <c r="M657" s="8"/>
      <c r="N657" s="8"/>
      <c r="O657" s="8"/>
      <c r="P657" s="8"/>
      <c r="Q657" s="8"/>
      <c r="R657" s="8"/>
      <c r="S657" s="8"/>
      <c r="T657" s="8"/>
      <c r="U657" s="8"/>
      <c r="V657" s="8"/>
    </row>
    <row r="658" spans="1:22" ht="13.5" customHeight="1">
      <c r="A658" s="8"/>
      <c r="B658" s="8"/>
      <c r="C658" s="30"/>
      <c r="D658" s="8"/>
      <c r="E658" s="8"/>
      <c r="F658" s="8"/>
      <c r="G658" s="8"/>
      <c r="H658" s="8"/>
      <c r="I658" s="8"/>
      <c r="J658" s="8"/>
      <c r="K658" s="8"/>
      <c r="L658" s="8"/>
      <c r="M658" s="8"/>
      <c r="N658" s="8"/>
      <c r="O658" s="8"/>
      <c r="P658" s="8"/>
      <c r="Q658" s="8"/>
      <c r="R658" s="8"/>
      <c r="S658" s="8"/>
      <c r="T658" s="8"/>
      <c r="U658" s="8"/>
      <c r="V658" s="8"/>
    </row>
    <row r="659" spans="1:22" ht="13.5" customHeight="1">
      <c r="A659" s="8"/>
      <c r="B659" s="8"/>
      <c r="C659" s="30"/>
      <c r="D659" s="8"/>
      <c r="E659" s="8"/>
      <c r="F659" s="8"/>
      <c r="G659" s="8"/>
      <c r="H659" s="8"/>
      <c r="I659" s="8"/>
      <c r="J659" s="8"/>
      <c r="K659" s="8"/>
      <c r="L659" s="8"/>
      <c r="M659" s="8"/>
      <c r="N659" s="8"/>
      <c r="O659" s="8"/>
      <c r="P659" s="8"/>
      <c r="Q659" s="8"/>
      <c r="R659" s="8"/>
      <c r="S659" s="8"/>
      <c r="T659" s="8"/>
      <c r="U659" s="8"/>
      <c r="V659" s="8"/>
    </row>
    <row r="660" spans="1:22" ht="13.5" customHeight="1">
      <c r="A660" s="8"/>
      <c r="B660" s="8"/>
      <c r="C660" s="30"/>
      <c r="D660" s="8"/>
      <c r="E660" s="8"/>
      <c r="F660" s="8"/>
      <c r="G660" s="8"/>
      <c r="H660" s="8"/>
      <c r="I660" s="8"/>
      <c r="J660" s="8"/>
      <c r="K660" s="8"/>
      <c r="L660" s="8"/>
      <c r="M660" s="8"/>
      <c r="N660" s="8"/>
      <c r="O660" s="8"/>
      <c r="P660" s="8"/>
      <c r="Q660" s="8"/>
      <c r="R660" s="8"/>
      <c r="S660" s="8"/>
      <c r="T660" s="8"/>
      <c r="U660" s="8"/>
      <c r="V660" s="8"/>
    </row>
    <row r="661" spans="1:22" ht="13.5" customHeight="1">
      <c r="A661" s="8"/>
      <c r="B661" s="8"/>
      <c r="C661" s="30"/>
      <c r="D661" s="8"/>
      <c r="E661" s="8"/>
      <c r="F661" s="8"/>
      <c r="G661" s="8"/>
      <c r="H661" s="8"/>
      <c r="I661" s="8"/>
      <c r="J661" s="8"/>
      <c r="K661" s="8"/>
      <c r="L661" s="8"/>
      <c r="M661" s="8"/>
      <c r="N661" s="8"/>
      <c r="O661" s="8"/>
      <c r="P661" s="8"/>
      <c r="Q661" s="8"/>
      <c r="R661" s="8"/>
      <c r="S661" s="8"/>
      <c r="T661" s="8"/>
      <c r="U661" s="8"/>
      <c r="V661" s="8"/>
    </row>
    <row r="662" spans="1:22" ht="13.5" customHeight="1">
      <c r="A662" s="8"/>
      <c r="B662" s="8"/>
      <c r="C662" s="30"/>
      <c r="D662" s="8"/>
      <c r="E662" s="8"/>
      <c r="F662" s="8"/>
      <c r="G662" s="8"/>
      <c r="H662" s="8"/>
      <c r="I662" s="8"/>
      <c r="J662" s="8"/>
      <c r="K662" s="8"/>
      <c r="L662" s="8"/>
      <c r="M662" s="8"/>
      <c r="N662" s="8"/>
      <c r="O662" s="8"/>
      <c r="P662" s="8"/>
      <c r="Q662" s="8"/>
      <c r="R662" s="8"/>
      <c r="S662" s="8"/>
      <c r="T662" s="8"/>
      <c r="U662" s="8"/>
      <c r="V662" s="8"/>
    </row>
    <row r="663" spans="1:22" ht="13.5" customHeight="1">
      <c r="A663" s="8"/>
      <c r="B663" s="8"/>
      <c r="C663" s="30"/>
      <c r="D663" s="8"/>
      <c r="E663" s="8"/>
      <c r="F663" s="8"/>
      <c r="G663" s="8"/>
      <c r="H663" s="8"/>
      <c r="I663" s="8"/>
      <c r="J663" s="8"/>
      <c r="K663" s="8"/>
      <c r="L663" s="8"/>
      <c r="M663" s="8"/>
      <c r="N663" s="8"/>
      <c r="O663" s="8"/>
      <c r="P663" s="8"/>
      <c r="Q663" s="8"/>
      <c r="R663" s="8"/>
      <c r="S663" s="8"/>
      <c r="T663" s="8"/>
      <c r="U663" s="8"/>
      <c r="V663" s="8"/>
    </row>
    <row r="664" spans="1:22" ht="13.5" customHeight="1">
      <c r="A664" s="8"/>
      <c r="B664" s="8"/>
      <c r="C664" s="30"/>
      <c r="D664" s="8"/>
      <c r="E664" s="8"/>
      <c r="F664" s="8"/>
      <c r="G664" s="8"/>
      <c r="H664" s="8"/>
      <c r="I664" s="8"/>
      <c r="J664" s="8"/>
      <c r="K664" s="8"/>
      <c r="L664" s="8"/>
      <c r="M664" s="8"/>
      <c r="N664" s="8"/>
      <c r="O664" s="8"/>
      <c r="P664" s="8"/>
      <c r="Q664" s="8"/>
      <c r="R664" s="8"/>
      <c r="S664" s="8"/>
      <c r="T664" s="8"/>
      <c r="U664" s="8"/>
      <c r="V664" s="8"/>
    </row>
    <row r="665" spans="1:22" ht="13.5" customHeight="1">
      <c r="A665" s="8"/>
      <c r="B665" s="8"/>
      <c r="C665" s="30"/>
      <c r="D665" s="8"/>
      <c r="E665" s="8"/>
      <c r="F665" s="8"/>
      <c r="G665" s="8"/>
      <c r="H665" s="8"/>
      <c r="I665" s="8"/>
      <c r="J665" s="8"/>
      <c r="K665" s="8"/>
      <c r="L665" s="8"/>
      <c r="M665" s="8"/>
      <c r="N665" s="8"/>
      <c r="O665" s="8"/>
      <c r="P665" s="8"/>
      <c r="Q665" s="8"/>
      <c r="R665" s="8"/>
      <c r="S665" s="8"/>
      <c r="T665" s="8"/>
      <c r="U665" s="8"/>
      <c r="V665" s="8"/>
    </row>
    <row r="666" spans="1:22" ht="13.5" customHeight="1">
      <c r="A666" s="8"/>
      <c r="B666" s="8"/>
      <c r="C666" s="30"/>
      <c r="D666" s="8"/>
      <c r="E666" s="8"/>
      <c r="F666" s="8"/>
      <c r="G666" s="8"/>
      <c r="H666" s="8"/>
      <c r="I666" s="8"/>
      <c r="J666" s="8"/>
      <c r="K666" s="8"/>
      <c r="L666" s="8"/>
      <c r="M666" s="8"/>
      <c r="N666" s="8"/>
      <c r="O666" s="8"/>
      <c r="P666" s="8"/>
      <c r="Q666" s="8"/>
      <c r="R666" s="8"/>
      <c r="S666" s="8"/>
      <c r="T666" s="8"/>
      <c r="U666" s="8"/>
      <c r="V666" s="8"/>
    </row>
    <row r="667" spans="1:22" ht="13.5" customHeight="1">
      <c r="A667" s="8"/>
      <c r="B667" s="8"/>
      <c r="C667" s="30"/>
      <c r="D667" s="8"/>
      <c r="E667" s="8"/>
      <c r="F667" s="8"/>
      <c r="G667" s="8"/>
      <c r="H667" s="8"/>
      <c r="I667" s="8"/>
      <c r="J667" s="8"/>
      <c r="K667" s="8"/>
      <c r="L667" s="8"/>
      <c r="M667" s="8"/>
      <c r="N667" s="8"/>
      <c r="O667" s="8"/>
      <c r="P667" s="8"/>
      <c r="Q667" s="8"/>
      <c r="R667" s="8"/>
      <c r="S667" s="8"/>
      <c r="T667" s="8"/>
      <c r="U667" s="8"/>
      <c r="V667" s="8"/>
    </row>
    <row r="668" spans="1:22" ht="13.5" customHeight="1">
      <c r="A668" s="8"/>
      <c r="B668" s="8"/>
      <c r="C668" s="30"/>
      <c r="D668" s="8"/>
      <c r="E668" s="8"/>
      <c r="F668" s="8"/>
      <c r="G668" s="8"/>
      <c r="H668" s="8"/>
      <c r="I668" s="8"/>
      <c r="J668" s="8"/>
      <c r="K668" s="8"/>
      <c r="L668" s="8"/>
      <c r="M668" s="8"/>
      <c r="N668" s="8"/>
      <c r="O668" s="8"/>
      <c r="P668" s="8"/>
      <c r="Q668" s="8"/>
      <c r="R668" s="8"/>
      <c r="S668" s="8"/>
      <c r="T668" s="8"/>
      <c r="U668" s="8"/>
      <c r="V668" s="8"/>
    </row>
    <row r="669" spans="1:22" ht="13.5" customHeight="1">
      <c r="A669" s="8"/>
      <c r="B669" s="8"/>
      <c r="C669" s="30"/>
      <c r="D669" s="8"/>
      <c r="E669" s="8"/>
      <c r="F669" s="8"/>
      <c r="G669" s="8"/>
      <c r="H669" s="8"/>
      <c r="I669" s="8"/>
      <c r="J669" s="8"/>
      <c r="K669" s="8"/>
      <c r="L669" s="8"/>
      <c r="M669" s="8"/>
      <c r="N669" s="8"/>
      <c r="O669" s="8"/>
      <c r="P669" s="8"/>
      <c r="Q669" s="8"/>
      <c r="R669" s="8"/>
      <c r="S669" s="8"/>
      <c r="T669" s="8"/>
      <c r="U669" s="8"/>
      <c r="V669" s="8"/>
    </row>
    <row r="670" spans="1:22" ht="13.5" customHeight="1">
      <c r="A670" s="8"/>
      <c r="B670" s="8"/>
      <c r="C670" s="30"/>
      <c r="D670" s="8"/>
      <c r="E670" s="8"/>
      <c r="F670" s="8"/>
      <c r="G670" s="8"/>
      <c r="H670" s="8"/>
      <c r="I670" s="8"/>
      <c r="J670" s="8"/>
      <c r="K670" s="8"/>
      <c r="L670" s="8"/>
      <c r="M670" s="8"/>
      <c r="N670" s="8"/>
      <c r="O670" s="8"/>
      <c r="P670" s="8"/>
      <c r="Q670" s="8"/>
      <c r="R670" s="8"/>
      <c r="S670" s="8"/>
      <c r="T670" s="8"/>
      <c r="U670" s="8"/>
      <c r="V670" s="8"/>
    </row>
    <row r="671" spans="1:22" ht="13.5" customHeight="1">
      <c r="A671" s="8"/>
      <c r="B671" s="8"/>
      <c r="C671" s="30"/>
      <c r="D671" s="8"/>
      <c r="E671" s="8"/>
      <c r="F671" s="8"/>
      <c r="G671" s="8"/>
      <c r="H671" s="8"/>
      <c r="I671" s="8"/>
      <c r="J671" s="8"/>
      <c r="K671" s="8"/>
      <c r="L671" s="8"/>
      <c r="M671" s="8"/>
      <c r="N671" s="8"/>
      <c r="O671" s="8"/>
      <c r="P671" s="8"/>
      <c r="Q671" s="8"/>
      <c r="R671" s="8"/>
      <c r="S671" s="8"/>
      <c r="T671" s="8"/>
      <c r="U671" s="8"/>
      <c r="V671" s="8"/>
    </row>
    <row r="672" spans="1:22" ht="13.5" customHeight="1">
      <c r="A672" s="8"/>
      <c r="B672" s="8"/>
      <c r="C672" s="30"/>
      <c r="D672" s="8"/>
      <c r="E672" s="8"/>
      <c r="F672" s="8"/>
      <c r="G672" s="8"/>
      <c r="H672" s="8"/>
      <c r="I672" s="8"/>
      <c r="J672" s="8"/>
      <c r="K672" s="8"/>
      <c r="L672" s="8"/>
      <c r="M672" s="8"/>
      <c r="N672" s="8"/>
      <c r="O672" s="8"/>
      <c r="P672" s="8"/>
      <c r="Q672" s="8"/>
      <c r="R672" s="8"/>
      <c r="S672" s="8"/>
      <c r="T672" s="8"/>
      <c r="U672" s="8"/>
      <c r="V672" s="8"/>
    </row>
    <row r="673" spans="1:22" ht="13.5" customHeight="1">
      <c r="A673" s="8"/>
      <c r="B673" s="8"/>
      <c r="C673" s="30"/>
      <c r="D673" s="8"/>
      <c r="E673" s="8"/>
      <c r="F673" s="8"/>
      <c r="G673" s="8"/>
      <c r="H673" s="8"/>
      <c r="I673" s="8"/>
      <c r="J673" s="8"/>
      <c r="K673" s="8"/>
      <c r="L673" s="8"/>
      <c r="M673" s="8"/>
      <c r="N673" s="8"/>
      <c r="O673" s="8"/>
      <c r="P673" s="8"/>
      <c r="Q673" s="8"/>
      <c r="R673" s="8"/>
      <c r="S673" s="8"/>
      <c r="T673" s="8"/>
      <c r="U673" s="8"/>
      <c r="V673" s="8"/>
    </row>
    <row r="674" spans="1:22" ht="13.5" customHeight="1">
      <c r="A674" s="8"/>
      <c r="B674" s="8"/>
      <c r="C674" s="30"/>
      <c r="D674" s="8"/>
      <c r="E674" s="8"/>
      <c r="F674" s="8"/>
      <c r="G674" s="8"/>
      <c r="H674" s="8"/>
      <c r="I674" s="8"/>
      <c r="J674" s="8"/>
      <c r="K674" s="8"/>
      <c r="L674" s="8"/>
      <c r="M674" s="8"/>
      <c r="N674" s="8"/>
      <c r="O674" s="8"/>
      <c r="P674" s="8"/>
      <c r="Q674" s="8"/>
      <c r="R674" s="8"/>
      <c r="S674" s="8"/>
      <c r="T674" s="8"/>
      <c r="U674" s="8"/>
      <c r="V674" s="8"/>
    </row>
    <row r="675" spans="1:22" ht="13.5" customHeight="1">
      <c r="A675" s="8"/>
      <c r="B675" s="8"/>
      <c r="C675" s="30"/>
      <c r="D675" s="8"/>
      <c r="E675" s="8"/>
      <c r="F675" s="8"/>
      <c r="G675" s="8"/>
      <c r="H675" s="8"/>
      <c r="I675" s="8"/>
      <c r="J675" s="8"/>
      <c r="K675" s="8"/>
      <c r="L675" s="8"/>
      <c r="M675" s="8"/>
      <c r="N675" s="8"/>
      <c r="O675" s="8"/>
      <c r="P675" s="8"/>
      <c r="Q675" s="8"/>
      <c r="R675" s="8"/>
      <c r="S675" s="8"/>
      <c r="T675" s="8"/>
      <c r="U675" s="8"/>
      <c r="V675" s="8"/>
    </row>
    <row r="676" spans="1:22" ht="13.5" customHeight="1">
      <c r="A676" s="8"/>
      <c r="B676" s="8"/>
      <c r="C676" s="30"/>
      <c r="D676" s="8"/>
      <c r="E676" s="8"/>
      <c r="F676" s="8"/>
      <c r="G676" s="8"/>
      <c r="H676" s="8"/>
      <c r="I676" s="8"/>
      <c r="J676" s="8"/>
      <c r="K676" s="8"/>
      <c r="L676" s="8"/>
      <c r="M676" s="8"/>
      <c r="N676" s="8"/>
      <c r="O676" s="8"/>
      <c r="P676" s="8"/>
      <c r="Q676" s="8"/>
      <c r="R676" s="8"/>
      <c r="S676" s="8"/>
      <c r="T676" s="8"/>
      <c r="U676" s="8"/>
      <c r="V676" s="8"/>
    </row>
    <row r="677" spans="1:22" ht="13.5" customHeight="1">
      <c r="A677" s="8"/>
      <c r="B677" s="8"/>
      <c r="C677" s="30"/>
      <c r="D677" s="8"/>
      <c r="E677" s="8"/>
      <c r="F677" s="8"/>
      <c r="G677" s="8"/>
      <c r="H677" s="8"/>
      <c r="I677" s="8"/>
      <c r="J677" s="8"/>
      <c r="K677" s="8"/>
      <c r="L677" s="8"/>
      <c r="M677" s="8"/>
      <c r="N677" s="8"/>
      <c r="O677" s="8"/>
      <c r="P677" s="8"/>
      <c r="Q677" s="8"/>
      <c r="R677" s="8"/>
      <c r="S677" s="8"/>
      <c r="T677" s="8"/>
      <c r="U677" s="8"/>
      <c r="V677" s="8"/>
    </row>
    <row r="678" spans="1:22" ht="13.5" customHeight="1">
      <c r="A678" s="8"/>
      <c r="B678" s="8"/>
      <c r="C678" s="30"/>
      <c r="D678" s="8"/>
      <c r="E678" s="8"/>
      <c r="F678" s="8"/>
      <c r="G678" s="8"/>
      <c r="H678" s="8"/>
      <c r="I678" s="8"/>
      <c r="J678" s="8"/>
      <c r="K678" s="8"/>
      <c r="L678" s="8"/>
      <c r="M678" s="8"/>
      <c r="N678" s="8"/>
      <c r="O678" s="8"/>
      <c r="P678" s="8"/>
      <c r="Q678" s="8"/>
      <c r="R678" s="8"/>
      <c r="S678" s="8"/>
      <c r="T678" s="8"/>
      <c r="U678" s="8"/>
      <c r="V678" s="8"/>
    </row>
    <row r="679" spans="1:22" ht="13.5" customHeight="1">
      <c r="A679" s="8"/>
      <c r="B679" s="8"/>
      <c r="C679" s="30"/>
      <c r="D679" s="8"/>
      <c r="E679" s="8"/>
      <c r="F679" s="8"/>
      <c r="G679" s="8"/>
      <c r="H679" s="8"/>
      <c r="I679" s="8"/>
      <c r="J679" s="8"/>
      <c r="K679" s="8"/>
      <c r="L679" s="8"/>
      <c r="M679" s="8"/>
      <c r="N679" s="8"/>
      <c r="O679" s="8"/>
      <c r="P679" s="8"/>
      <c r="Q679" s="8"/>
      <c r="R679" s="8"/>
      <c r="S679" s="8"/>
      <c r="T679" s="8"/>
      <c r="U679" s="8"/>
      <c r="V679" s="8"/>
    </row>
    <row r="680" spans="1:22" ht="13.5" customHeight="1">
      <c r="A680" s="8"/>
      <c r="B680" s="8"/>
      <c r="C680" s="30"/>
      <c r="D680" s="8"/>
      <c r="E680" s="8"/>
      <c r="F680" s="8"/>
      <c r="G680" s="8"/>
      <c r="H680" s="8"/>
      <c r="I680" s="8"/>
      <c r="J680" s="8"/>
      <c r="K680" s="8"/>
      <c r="L680" s="8"/>
      <c r="M680" s="8"/>
      <c r="N680" s="8"/>
      <c r="O680" s="8"/>
      <c r="P680" s="8"/>
      <c r="Q680" s="8"/>
      <c r="R680" s="8"/>
      <c r="S680" s="8"/>
      <c r="T680" s="8"/>
      <c r="U680" s="8"/>
      <c r="V680" s="8"/>
    </row>
    <row r="681" spans="1:22" ht="13.5" customHeight="1">
      <c r="A681" s="8"/>
      <c r="B681" s="8"/>
      <c r="C681" s="30"/>
      <c r="D681" s="8"/>
      <c r="E681" s="8"/>
      <c r="F681" s="8"/>
      <c r="G681" s="8"/>
      <c r="H681" s="8"/>
      <c r="I681" s="8"/>
      <c r="J681" s="8"/>
      <c r="K681" s="8"/>
      <c r="L681" s="8"/>
      <c r="M681" s="8"/>
      <c r="N681" s="8"/>
      <c r="O681" s="8"/>
      <c r="P681" s="8"/>
      <c r="Q681" s="8"/>
      <c r="R681" s="8"/>
      <c r="S681" s="8"/>
      <c r="T681" s="8"/>
      <c r="U681" s="8"/>
      <c r="V681" s="8"/>
    </row>
    <row r="682" spans="1:22" ht="13.5" customHeight="1">
      <c r="A682" s="8"/>
      <c r="B682" s="8"/>
      <c r="C682" s="30"/>
      <c r="D682" s="8"/>
      <c r="E682" s="8"/>
      <c r="F682" s="8"/>
      <c r="G682" s="8"/>
      <c r="H682" s="8"/>
      <c r="I682" s="8"/>
      <c r="J682" s="8"/>
      <c r="K682" s="8"/>
      <c r="L682" s="8"/>
      <c r="M682" s="8"/>
      <c r="N682" s="8"/>
      <c r="O682" s="8"/>
      <c r="P682" s="8"/>
      <c r="Q682" s="8"/>
      <c r="R682" s="8"/>
      <c r="S682" s="8"/>
      <c r="T682" s="8"/>
      <c r="U682" s="8"/>
      <c r="V682" s="8"/>
    </row>
    <row r="683" spans="1:22" ht="13.5" customHeight="1">
      <c r="A683" s="8"/>
      <c r="B683" s="8"/>
      <c r="C683" s="30"/>
      <c r="D683" s="8"/>
      <c r="E683" s="8"/>
      <c r="F683" s="8"/>
      <c r="G683" s="8"/>
      <c r="H683" s="8"/>
      <c r="I683" s="8"/>
      <c r="J683" s="8"/>
      <c r="K683" s="8"/>
      <c r="L683" s="8"/>
      <c r="M683" s="8"/>
      <c r="N683" s="8"/>
      <c r="O683" s="8"/>
      <c r="P683" s="8"/>
      <c r="Q683" s="8"/>
      <c r="R683" s="8"/>
      <c r="S683" s="8"/>
      <c r="T683" s="8"/>
      <c r="U683" s="8"/>
      <c r="V683" s="8"/>
    </row>
    <row r="684" spans="1:22" ht="13.5" customHeight="1">
      <c r="A684" s="8"/>
      <c r="B684" s="8"/>
      <c r="C684" s="30"/>
      <c r="D684" s="8"/>
      <c r="E684" s="8"/>
      <c r="F684" s="8"/>
      <c r="G684" s="8"/>
      <c r="H684" s="8"/>
      <c r="I684" s="8"/>
      <c r="J684" s="8"/>
      <c r="K684" s="8"/>
      <c r="L684" s="8"/>
      <c r="M684" s="8"/>
      <c r="N684" s="8"/>
      <c r="O684" s="8"/>
      <c r="P684" s="8"/>
      <c r="Q684" s="8"/>
      <c r="R684" s="8"/>
      <c r="S684" s="8"/>
      <c r="T684" s="8"/>
      <c r="U684" s="8"/>
      <c r="V684" s="8"/>
    </row>
    <row r="685" spans="1:22" ht="13.5" customHeight="1">
      <c r="A685" s="8"/>
      <c r="B685" s="8"/>
      <c r="C685" s="30"/>
      <c r="D685" s="8"/>
      <c r="E685" s="8"/>
      <c r="F685" s="8"/>
      <c r="G685" s="8"/>
      <c r="H685" s="8"/>
      <c r="I685" s="8"/>
      <c r="J685" s="8"/>
      <c r="K685" s="8"/>
      <c r="L685" s="8"/>
      <c r="M685" s="8"/>
      <c r="N685" s="8"/>
      <c r="O685" s="8"/>
      <c r="P685" s="8"/>
      <c r="Q685" s="8"/>
      <c r="R685" s="8"/>
      <c r="S685" s="8"/>
      <c r="T685" s="8"/>
      <c r="U685" s="8"/>
      <c r="V685" s="8"/>
    </row>
    <row r="686" spans="1:22" ht="13.5" customHeight="1">
      <c r="A686" s="8"/>
      <c r="B686" s="8"/>
      <c r="C686" s="30"/>
      <c r="D686" s="8"/>
      <c r="E686" s="8"/>
      <c r="F686" s="8"/>
      <c r="G686" s="8"/>
      <c r="H686" s="8"/>
      <c r="I686" s="8"/>
      <c r="J686" s="8"/>
      <c r="K686" s="8"/>
      <c r="L686" s="8"/>
      <c r="M686" s="8"/>
      <c r="N686" s="8"/>
      <c r="O686" s="8"/>
      <c r="P686" s="8"/>
      <c r="Q686" s="8"/>
      <c r="R686" s="8"/>
      <c r="S686" s="8"/>
      <c r="T686" s="8"/>
      <c r="U686" s="8"/>
      <c r="V686" s="8"/>
    </row>
    <row r="687" spans="1:22" ht="13.5" customHeight="1">
      <c r="A687" s="8"/>
      <c r="B687" s="8"/>
      <c r="C687" s="30"/>
      <c r="D687" s="8"/>
      <c r="E687" s="8"/>
      <c r="F687" s="8"/>
      <c r="G687" s="8"/>
      <c r="H687" s="8"/>
      <c r="I687" s="8"/>
      <c r="J687" s="8"/>
      <c r="K687" s="8"/>
      <c r="L687" s="8"/>
      <c r="M687" s="8"/>
      <c r="N687" s="8"/>
      <c r="O687" s="8"/>
      <c r="P687" s="8"/>
      <c r="Q687" s="8"/>
      <c r="R687" s="8"/>
      <c r="S687" s="8"/>
      <c r="T687" s="8"/>
      <c r="U687" s="8"/>
      <c r="V687" s="8"/>
    </row>
    <row r="688" spans="1:22" ht="13.5" customHeight="1">
      <c r="A688" s="8"/>
      <c r="B688" s="8"/>
      <c r="C688" s="30"/>
      <c r="D688" s="8"/>
      <c r="E688" s="8"/>
      <c r="F688" s="8"/>
      <c r="G688" s="8"/>
      <c r="H688" s="8"/>
      <c r="I688" s="8"/>
      <c r="J688" s="8"/>
      <c r="K688" s="8"/>
      <c r="L688" s="8"/>
      <c r="M688" s="8"/>
      <c r="N688" s="8"/>
      <c r="O688" s="8"/>
      <c r="P688" s="8"/>
      <c r="Q688" s="8"/>
      <c r="R688" s="8"/>
      <c r="S688" s="8"/>
      <c r="T688" s="8"/>
      <c r="U688" s="8"/>
      <c r="V688" s="8"/>
    </row>
    <row r="689" spans="1:22" ht="13.5" customHeight="1">
      <c r="A689" s="8"/>
      <c r="B689" s="8"/>
      <c r="C689" s="30"/>
      <c r="D689" s="8"/>
      <c r="E689" s="8"/>
      <c r="F689" s="8"/>
      <c r="G689" s="8"/>
      <c r="H689" s="8"/>
      <c r="I689" s="8"/>
      <c r="J689" s="8"/>
      <c r="K689" s="8"/>
      <c r="L689" s="8"/>
      <c r="M689" s="8"/>
      <c r="N689" s="8"/>
      <c r="O689" s="8"/>
      <c r="P689" s="8"/>
      <c r="Q689" s="8"/>
      <c r="R689" s="8"/>
      <c r="S689" s="8"/>
      <c r="T689" s="8"/>
      <c r="U689" s="8"/>
      <c r="V689" s="8"/>
    </row>
    <row r="690" spans="1:22" ht="13.5" customHeight="1">
      <c r="A690" s="8"/>
      <c r="B690" s="8"/>
      <c r="C690" s="30"/>
      <c r="D690" s="8"/>
      <c r="E690" s="8"/>
      <c r="F690" s="8"/>
      <c r="G690" s="8"/>
      <c r="H690" s="8"/>
      <c r="I690" s="8"/>
      <c r="J690" s="8"/>
      <c r="K690" s="8"/>
      <c r="L690" s="8"/>
      <c r="M690" s="8"/>
      <c r="N690" s="8"/>
      <c r="O690" s="8"/>
      <c r="P690" s="8"/>
      <c r="Q690" s="8"/>
      <c r="R690" s="8"/>
      <c r="S690" s="8"/>
      <c r="T690" s="8"/>
      <c r="U690" s="8"/>
      <c r="V690" s="8"/>
    </row>
    <row r="691" spans="1:22" ht="13.5" customHeight="1">
      <c r="A691" s="8"/>
      <c r="B691" s="8"/>
      <c r="C691" s="30"/>
      <c r="D691" s="8"/>
      <c r="E691" s="8"/>
      <c r="F691" s="8"/>
      <c r="G691" s="8"/>
      <c r="H691" s="8"/>
      <c r="I691" s="8"/>
      <c r="J691" s="8"/>
      <c r="K691" s="8"/>
      <c r="L691" s="8"/>
      <c r="M691" s="8"/>
      <c r="N691" s="8"/>
      <c r="O691" s="8"/>
      <c r="P691" s="8"/>
      <c r="Q691" s="8"/>
      <c r="R691" s="8"/>
      <c r="S691" s="8"/>
      <c r="T691" s="8"/>
      <c r="U691" s="8"/>
      <c r="V691" s="8"/>
    </row>
    <row r="692" spans="1:22" ht="13.5" customHeight="1">
      <c r="A692" s="8"/>
      <c r="B692" s="8"/>
      <c r="C692" s="30"/>
      <c r="D692" s="8"/>
      <c r="E692" s="8"/>
      <c r="F692" s="8"/>
      <c r="G692" s="8"/>
      <c r="H692" s="8"/>
      <c r="I692" s="8"/>
      <c r="J692" s="8"/>
      <c r="K692" s="8"/>
      <c r="L692" s="8"/>
      <c r="M692" s="8"/>
      <c r="N692" s="8"/>
      <c r="O692" s="8"/>
      <c r="P692" s="8"/>
      <c r="Q692" s="8"/>
      <c r="R692" s="8"/>
      <c r="S692" s="8"/>
      <c r="T692" s="8"/>
      <c r="U692" s="8"/>
      <c r="V692" s="8"/>
    </row>
    <row r="693" spans="1:22" ht="13.5" customHeight="1">
      <c r="A693" s="8"/>
      <c r="B693" s="8"/>
      <c r="C693" s="30"/>
      <c r="D693" s="8"/>
      <c r="E693" s="8"/>
      <c r="F693" s="8"/>
      <c r="G693" s="8"/>
      <c r="H693" s="8"/>
      <c r="I693" s="8"/>
      <c r="J693" s="8"/>
      <c r="K693" s="8"/>
      <c r="L693" s="8"/>
      <c r="M693" s="8"/>
      <c r="N693" s="8"/>
      <c r="O693" s="8"/>
      <c r="P693" s="8"/>
      <c r="Q693" s="8"/>
      <c r="R693" s="8"/>
      <c r="S693" s="8"/>
      <c r="T693" s="8"/>
      <c r="U693" s="8"/>
      <c r="V693" s="8"/>
    </row>
    <row r="694" spans="1:22" ht="13.5" customHeight="1">
      <c r="A694" s="8"/>
      <c r="B694" s="8"/>
      <c r="C694" s="30"/>
      <c r="D694" s="8"/>
      <c r="E694" s="8"/>
      <c r="F694" s="8"/>
      <c r="G694" s="8"/>
      <c r="H694" s="8"/>
      <c r="I694" s="8"/>
      <c r="J694" s="8"/>
      <c r="K694" s="8"/>
      <c r="L694" s="8"/>
      <c r="M694" s="8"/>
      <c r="N694" s="8"/>
      <c r="O694" s="8"/>
      <c r="P694" s="8"/>
      <c r="Q694" s="8"/>
      <c r="R694" s="8"/>
      <c r="S694" s="8"/>
      <c r="T694" s="8"/>
      <c r="U694" s="8"/>
      <c r="V694" s="8"/>
    </row>
    <row r="695" spans="1:22" ht="13.5" customHeight="1">
      <c r="A695" s="8"/>
      <c r="B695" s="8"/>
      <c r="C695" s="30"/>
      <c r="D695" s="8"/>
      <c r="E695" s="8"/>
      <c r="F695" s="8"/>
      <c r="G695" s="8"/>
      <c r="H695" s="8"/>
      <c r="I695" s="8"/>
      <c r="J695" s="8"/>
      <c r="K695" s="8"/>
      <c r="L695" s="8"/>
      <c r="M695" s="8"/>
      <c r="N695" s="8"/>
      <c r="O695" s="8"/>
      <c r="P695" s="8"/>
      <c r="Q695" s="8"/>
      <c r="R695" s="8"/>
      <c r="S695" s="8"/>
      <c r="T695" s="8"/>
      <c r="U695" s="8"/>
      <c r="V695" s="8"/>
    </row>
    <row r="696" spans="1:22" ht="13.5" customHeight="1">
      <c r="A696" s="8"/>
      <c r="B696" s="8"/>
      <c r="C696" s="30"/>
      <c r="D696" s="8"/>
      <c r="E696" s="8"/>
      <c r="F696" s="8"/>
      <c r="G696" s="8"/>
      <c r="H696" s="8"/>
      <c r="I696" s="8"/>
      <c r="J696" s="8"/>
      <c r="K696" s="8"/>
      <c r="L696" s="8"/>
      <c r="M696" s="8"/>
      <c r="N696" s="8"/>
      <c r="O696" s="8"/>
      <c r="P696" s="8"/>
      <c r="Q696" s="8"/>
      <c r="R696" s="8"/>
      <c r="S696" s="8"/>
      <c r="T696" s="8"/>
      <c r="U696" s="8"/>
      <c r="V696" s="8"/>
    </row>
    <row r="697" spans="1:22" ht="13.5" customHeight="1">
      <c r="A697" s="8"/>
      <c r="B697" s="8"/>
      <c r="C697" s="30"/>
      <c r="D697" s="8"/>
      <c r="E697" s="8"/>
      <c r="F697" s="8"/>
      <c r="G697" s="8"/>
      <c r="H697" s="8"/>
      <c r="I697" s="8"/>
      <c r="J697" s="8"/>
      <c r="K697" s="8"/>
      <c r="L697" s="8"/>
      <c r="M697" s="8"/>
      <c r="N697" s="8"/>
      <c r="O697" s="8"/>
      <c r="P697" s="8"/>
      <c r="Q697" s="8"/>
      <c r="R697" s="8"/>
      <c r="S697" s="8"/>
      <c r="T697" s="8"/>
      <c r="U697" s="8"/>
      <c r="V697" s="8"/>
    </row>
    <row r="698" spans="1:22" ht="13.5" customHeight="1">
      <c r="A698" s="8"/>
      <c r="B698" s="8"/>
      <c r="C698" s="30"/>
      <c r="D698" s="8"/>
      <c r="E698" s="8"/>
      <c r="F698" s="8"/>
      <c r="G698" s="8"/>
      <c r="H698" s="8"/>
      <c r="I698" s="8"/>
      <c r="J698" s="8"/>
      <c r="K698" s="8"/>
      <c r="L698" s="8"/>
      <c r="M698" s="8"/>
      <c r="N698" s="8"/>
      <c r="O698" s="8"/>
      <c r="P698" s="8"/>
      <c r="Q698" s="8"/>
      <c r="R698" s="8"/>
      <c r="S698" s="8"/>
      <c r="T698" s="8"/>
      <c r="U698" s="8"/>
      <c r="V698" s="8"/>
    </row>
    <row r="699" spans="1:22" ht="13.5" customHeight="1">
      <c r="A699" s="8"/>
      <c r="B699" s="8"/>
      <c r="C699" s="30"/>
      <c r="D699" s="8"/>
      <c r="E699" s="8"/>
      <c r="F699" s="8"/>
      <c r="G699" s="8"/>
      <c r="H699" s="8"/>
      <c r="I699" s="8"/>
      <c r="J699" s="8"/>
      <c r="K699" s="8"/>
      <c r="L699" s="8"/>
      <c r="M699" s="8"/>
      <c r="N699" s="8"/>
      <c r="O699" s="8"/>
      <c r="P699" s="8"/>
      <c r="Q699" s="8"/>
      <c r="R699" s="8"/>
      <c r="S699" s="8"/>
      <c r="T699" s="8"/>
      <c r="U699" s="8"/>
      <c r="V699" s="8"/>
    </row>
    <row r="700" spans="1:22" ht="13.5" customHeight="1">
      <c r="A700" s="8"/>
      <c r="B700" s="8"/>
      <c r="C700" s="30"/>
      <c r="D700" s="8"/>
      <c r="E700" s="8"/>
      <c r="F700" s="8"/>
      <c r="G700" s="8"/>
      <c r="H700" s="8"/>
      <c r="I700" s="8"/>
      <c r="J700" s="8"/>
      <c r="K700" s="8"/>
      <c r="L700" s="8"/>
      <c r="M700" s="8"/>
      <c r="N700" s="8"/>
      <c r="O700" s="8"/>
      <c r="P700" s="8"/>
      <c r="Q700" s="8"/>
      <c r="R700" s="8"/>
      <c r="S700" s="8"/>
      <c r="T700" s="8"/>
      <c r="U700" s="8"/>
      <c r="V700" s="8"/>
    </row>
    <row r="701" spans="1:22" ht="13.5" customHeight="1">
      <c r="A701" s="8"/>
      <c r="B701" s="8"/>
      <c r="C701" s="30"/>
      <c r="D701" s="8"/>
      <c r="E701" s="8"/>
      <c r="F701" s="8"/>
      <c r="G701" s="8"/>
      <c r="H701" s="8"/>
      <c r="I701" s="8"/>
      <c r="J701" s="8"/>
      <c r="K701" s="8"/>
      <c r="L701" s="8"/>
      <c r="M701" s="8"/>
      <c r="N701" s="8"/>
      <c r="O701" s="8"/>
      <c r="P701" s="8"/>
      <c r="Q701" s="8"/>
      <c r="R701" s="8"/>
      <c r="S701" s="8"/>
      <c r="T701" s="8"/>
      <c r="U701" s="8"/>
      <c r="V701" s="8"/>
    </row>
    <row r="702" spans="1:22" ht="13.5" customHeight="1">
      <c r="A702" s="8"/>
      <c r="B702" s="8"/>
      <c r="C702" s="30"/>
      <c r="D702" s="8"/>
      <c r="E702" s="8"/>
      <c r="F702" s="8"/>
      <c r="G702" s="8"/>
      <c r="H702" s="8"/>
      <c r="I702" s="8"/>
      <c r="J702" s="8"/>
      <c r="K702" s="8"/>
      <c r="L702" s="8"/>
      <c r="M702" s="8"/>
      <c r="N702" s="8"/>
      <c r="O702" s="8"/>
      <c r="P702" s="8"/>
      <c r="Q702" s="8"/>
      <c r="R702" s="8"/>
      <c r="S702" s="8"/>
      <c r="T702" s="8"/>
      <c r="U702" s="8"/>
      <c r="V702" s="8"/>
    </row>
    <row r="703" spans="1:22" ht="13.5" customHeight="1">
      <c r="A703" s="8"/>
      <c r="B703" s="8"/>
      <c r="C703" s="30"/>
      <c r="D703" s="8"/>
      <c r="E703" s="8"/>
      <c r="F703" s="8"/>
      <c r="G703" s="8"/>
      <c r="H703" s="8"/>
      <c r="I703" s="8"/>
      <c r="J703" s="8"/>
      <c r="K703" s="8"/>
      <c r="L703" s="8"/>
      <c r="M703" s="8"/>
      <c r="N703" s="8"/>
      <c r="O703" s="8"/>
      <c r="P703" s="8"/>
      <c r="Q703" s="8"/>
      <c r="R703" s="8"/>
      <c r="S703" s="8"/>
      <c r="T703" s="8"/>
      <c r="U703" s="8"/>
      <c r="V703" s="8"/>
    </row>
    <row r="704" spans="1:22" ht="13.5" customHeight="1">
      <c r="A704" s="8"/>
      <c r="B704" s="8"/>
      <c r="C704" s="30"/>
      <c r="D704" s="8"/>
      <c r="E704" s="8"/>
      <c r="F704" s="8"/>
      <c r="G704" s="8"/>
      <c r="H704" s="8"/>
      <c r="I704" s="8"/>
      <c r="J704" s="8"/>
      <c r="K704" s="8"/>
      <c r="L704" s="8"/>
      <c r="M704" s="8"/>
      <c r="N704" s="8"/>
      <c r="O704" s="8"/>
      <c r="P704" s="8"/>
      <c r="Q704" s="8"/>
      <c r="R704" s="8"/>
      <c r="S704" s="8"/>
      <c r="T704" s="8"/>
      <c r="U704" s="8"/>
      <c r="V704" s="8"/>
    </row>
    <row r="705" spans="1:22" ht="13.5" customHeight="1">
      <c r="A705" s="8"/>
      <c r="B705" s="8"/>
      <c r="C705" s="30"/>
      <c r="D705" s="8"/>
      <c r="E705" s="8"/>
      <c r="F705" s="8"/>
      <c r="G705" s="8"/>
      <c r="H705" s="8"/>
      <c r="I705" s="8"/>
      <c r="J705" s="8"/>
      <c r="K705" s="8"/>
      <c r="L705" s="8"/>
      <c r="M705" s="8"/>
      <c r="N705" s="8"/>
      <c r="O705" s="8"/>
      <c r="P705" s="8"/>
      <c r="Q705" s="8"/>
      <c r="R705" s="8"/>
      <c r="S705" s="8"/>
      <c r="T705" s="8"/>
      <c r="U705" s="8"/>
      <c r="V705" s="8"/>
    </row>
    <row r="706" spans="1:22" ht="13.5" customHeight="1">
      <c r="A706" s="8"/>
      <c r="B706" s="8"/>
      <c r="C706" s="30"/>
      <c r="D706" s="8"/>
      <c r="E706" s="8"/>
      <c r="F706" s="8"/>
      <c r="G706" s="8"/>
      <c r="H706" s="8"/>
      <c r="I706" s="8"/>
      <c r="J706" s="8"/>
      <c r="K706" s="8"/>
      <c r="L706" s="8"/>
      <c r="M706" s="8"/>
      <c r="N706" s="8"/>
      <c r="O706" s="8"/>
      <c r="P706" s="8"/>
      <c r="Q706" s="8"/>
      <c r="R706" s="8"/>
      <c r="S706" s="8"/>
      <c r="T706" s="8"/>
      <c r="U706" s="8"/>
      <c r="V706" s="8"/>
    </row>
    <row r="707" spans="1:22" ht="13.5" customHeight="1">
      <c r="A707" s="8"/>
      <c r="B707" s="8"/>
      <c r="C707" s="30"/>
      <c r="D707" s="8"/>
      <c r="E707" s="8"/>
      <c r="F707" s="8"/>
      <c r="G707" s="8"/>
      <c r="H707" s="8"/>
      <c r="I707" s="8"/>
      <c r="J707" s="8"/>
      <c r="K707" s="8"/>
      <c r="L707" s="8"/>
      <c r="M707" s="8"/>
      <c r="N707" s="8"/>
      <c r="O707" s="8"/>
      <c r="P707" s="8"/>
      <c r="Q707" s="8"/>
      <c r="R707" s="8"/>
      <c r="S707" s="8"/>
      <c r="T707" s="8"/>
      <c r="U707" s="8"/>
      <c r="V707" s="8"/>
    </row>
    <row r="708" spans="1:22" ht="13.5" customHeight="1">
      <c r="A708" s="8"/>
      <c r="B708" s="8"/>
      <c r="C708" s="30"/>
      <c r="D708" s="8"/>
      <c r="E708" s="8"/>
      <c r="F708" s="8"/>
      <c r="G708" s="8"/>
      <c r="H708" s="8"/>
      <c r="I708" s="8"/>
      <c r="J708" s="8"/>
      <c r="K708" s="8"/>
      <c r="L708" s="8"/>
      <c r="M708" s="8"/>
      <c r="N708" s="8"/>
      <c r="O708" s="8"/>
      <c r="P708" s="8"/>
      <c r="Q708" s="8"/>
      <c r="R708" s="8"/>
      <c r="S708" s="8"/>
      <c r="T708" s="8"/>
      <c r="U708" s="8"/>
      <c r="V708" s="8"/>
    </row>
    <row r="709" spans="1:22" ht="13.5" customHeight="1">
      <c r="A709" s="8"/>
      <c r="B709" s="8"/>
      <c r="C709" s="30"/>
      <c r="D709" s="8"/>
      <c r="E709" s="8"/>
      <c r="F709" s="8"/>
      <c r="G709" s="8"/>
      <c r="H709" s="8"/>
      <c r="I709" s="8"/>
      <c r="J709" s="8"/>
      <c r="K709" s="8"/>
      <c r="L709" s="8"/>
      <c r="M709" s="8"/>
      <c r="N709" s="8"/>
      <c r="O709" s="8"/>
      <c r="P709" s="8"/>
      <c r="Q709" s="8"/>
      <c r="R709" s="8"/>
      <c r="S709" s="8"/>
      <c r="T709" s="8"/>
      <c r="U709" s="8"/>
      <c r="V709" s="8"/>
    </row>
    <row r="710" spans="1:22" ht="13.5" customHeight="1">
      <c r="A710" s="8"/>
      <c r="B710" s="8"/>
      <c r="C710" s="30"/>
      <c r="D710" s="8"/>
      <c r="E710" s="8"/>
      <c r="F710" s="8"/>
      <c r="G710" s="8"/>
      <c r="H710" s="8"/>
      <c r="I710" s="8"/>
      <c r="J710" s="8"/>
      <c r="K710" s="8"/>
      <c r="L710" s="8"/>
      <c r="M710" s="8"/>
      <c r="N710" s="8"/>
      <c r="O710" s="8"/>
      <c r="P710" s="8"/>
      <c r="Q710" s="8"/>
      <c r="R710" s="8"/>
      <c r="S710" s="8"/>
      <c r="T710" s="8"/>
      <c r="U710" s="8"/>
      <c r="V710" s="8"/>
    </row>
    <row r="711" spans="1:22" ht="13.5" customHeight="1">
      <c r="A711" s="8"/>
      <c r="B711" s="8"/>
      <c r="C711" s="30"/>
      <c r="D711" s="8"/>
      <c r="E711" s="8"/>
      <c r="F711" s="8"/>
      <c r="G711" s="8"/>
      <c r="H711" s="8"/>
      <c r="I711" s="8"/>
      <c r="J711" s="8"/>
      <c r="K711" s="8"/>
      <c r="L711" s="8"/>
      <c r="M711" s="8"/>
      <c r="N711" s="8"/>
      <c r="O711" s="8"/>
      <c r="P711" s="8"/>
      <c r="Q711" s="8"/>
      <c r="R711" s="8"/>
      <c r="S711" s="8"/>
      <c r="T711" s="8"/>
      <c r="U711" s="8"/>
      <c r="V711" s="8"/>
    </row>
    <row r="712" spans="1:22" ht="13.5" customHeight="1">
      <c r="A712" s="8"/>
      <c r="B712" s="8"/>
      <c r="C712" s="30"/>
      <c r="D712" s="8"/>
      <c r="E712" s="8"/>
      <c r="F712" s="8"/>
      <c r="G712" s="8"/>
      <c r="H712" s="8"/>
      <c r="I712" s="8"/>
      <c r="J712" s="8"/>
      <c r="K712" s="8"/>
      <c r="L712" s="8"/>
      <c r="M712" s="8"/>
      <c r="N712" s="8"/>
      <c r="O712" s="8"/>
      <c r="P712" s="8"/>
      <c r="Q712" s="8"/>
      <c r="R712" s="8"/>
      <c r="S712" s="8"/>
      <c r="T712" s="8"/>
      <c r="U712" s="8"/>
      <c r="V712" s="8"/>
    </row>
    <row r="713" spans="1:22" ht="13.5" customHeight="1">
      <c r="A713" s="8"/>
      <c r="B713" s="8"/>
      <c r="C713" s="30"/>
      <c r="D713" s="8"/>
      <c r="E713" s="8"/>
      <c r="F713" s="8"/>
      <c r="G713" s="8"/>
      <c r="H713" s="8"/>
      <c r="I713" s="8"/>
      <c r="J713" s="8"/>
      <c r="K713" s="8"/>
      <c r="L713" s="8"/>
      <c r="M713" s="8"/>
      <c r="N713" s="8"/>
      <c r="O713" s="8"/>
      <c r="P713" s="8"/>
      <c r="Q713" s="8"/>
      <c r="R713" s="8"/>
      <c r="S713" s="8"/>
      <c r="T713" s="8"/>
      <c r="U713" s="8"/>
      <c r="V713" s="8"/>
    </row>
    <row r="714" spans="1:22" ht="13.5" customHeight="1">
      <c r="A714" s="8"/>
      <c r="B714" s="8"/>
      <c r="C714" s="30"/>
      <c r="D714" s="8"/>
      <c r="E714" s="8"/>
      <c r="F714" s="8"/>
      <c r="G714" s="8"/>
      <c r="H714" s="8"/>
      <c r="I714" s="8"/>
      <c r="J714" s="8"/>
      <c r="K714" s="8"/>
      <c r="L714" s="8"/>
      <c r="M714" s="8"/>
      <c r="N714" s="8"/>
      <c r="O714" s="8"/>
      <c r="P714" s="8"/>
      <c r="Q714" s="8"/>
      <c r="R714" s="8"/>
      <c r="S714" s="8"/>
      <c r="T714" s="8"/>
      <c r="U714" s="8"/>
      <c r="V714" s="8"/>
    </row>
    <row r="715" spans="1:22" ht="13.5" customHeight="1">
      <c r="A715" s="8"/>
      <c r="B715" s="8"/>
      <c r="C715" s="30"/>
      <c r="D715" s="8"/>
      <c r="E715" s="8"/>
      <c r="F715" s="8"/>
      <c r="G715" s="8"/>
      <c r="H715" s="8"/>
      <c r="I715" s="8"/>
      <c r="J715" s="8"/>
      <c r="K715" s="8"/>
      <c r="L715" s="8"/>
      <c r="M715" s="8"/>
      <c r="N715" s="8"/>
      <c r="O715" s="8"/>
      <c r="P715" s="8"/>
      <c r="Q715" s="8"/>
      <c r="R715" s="8"/>
      <c r="S715" s="8"/>
      <c r="T715" s="8"/>
      <c r="U715" s="8"/>
      <c r="V715" s="8"/>
    </row>
    <row r="716" spans="1:22" ht="13.5" customHeight="1">
      <c r="A716" s="8"/>
      <c r="B716" s="8"/>
      <c r="C716" s="30"/>
      <c r="D716" s="8"/>
      <c r="E716" s="8"/>
      <c r="F716" s="8"/>
      <c r="G716" s="8"/>
      <c r="H716" s="8"/>
      <c r="I716" s="8"/>
      <c r="J716" s="8"/>
      <c r="K716" s="8"/>
      <c r="L716" s="8"/>
      <c r="M716" s="8"/>
      <c r="N716" s="8"/>
      <c r="O716" s="8"/>
      <c r="P716" s="8"/>
      <c r="Q716" s="8"/>
      <c r="R716" s="8"/>
      <c r="S716" s="8"/>
      <c r="T716" s="8"/>
      <c r="U716" s="8"/>
      <c r="V716" s="8"/>
    </row>
    <row r="717" spans="1:22" ht="13.5" customHeight="1">
      <c r="A717" s="8"/>
      <c r="B717" s="8"/>
      <c r="C717" s="30"/>
      <c r="D717" s="8"/>
      <c r="E717" s="8"/>
      <c r="F717" s="8"/>
      <c r="G717" s="8"/>
      <c r="H717" s="8"/>
      <c r="I717" s="8"/>
      <c r="J717" s="8"/>
      <c r="K717" s="8"/>
      <c r="L717" s="8"/>
      <c r="M717" s="8"/>
      <c r="N717" s="8"/>
      <c r="O717" s="8"/>
      <c r="P717" s="8"/>
      <c r="Q717" s="8"/>
      <c r="R717" s="8"/>
      <c r="S717" s="8"/>
      <c r="T717" s="8"/>
      <c r="U717" s="8"/>
      <c r="V717" s="8"/>
    </row>
    <row r="718" spans="1:22" ht="13.5" customHeight="1">
      <c r="A718" s="8"/>
      <c r="B718" s="8"/>
      <c r="C718" s="30"/>
      <c r="D718" s="8"/>
      <c r="E718" s="8"/>
      <c r="F718" s="8"/>
      <c r="G718" s="8"/>
      <c r="H718" s="8"/>
      <c r="I718" s="8"/>
      <c r="J718" s="8"/>
      <c r="K718" s="8"/>
      <c r="L718" s="8"/>
      <c r="M718" s="8"/>
      <c r="N718" s="8"/>
      <c r="O718" s="8"/>
      <c r="P718" s="8"/>
      <c r="Q718" s="8"/>
      <c r="R718" s="8"/>
      <c r="S718" s="8"/>
      <c r="T718" s="8"/>
      <c r="U718" s="8"/>
      <c r="V718" s="8"/>
    </row>
    <row r="719" spans="1:22" ht="13.5" customHeight="1">
      <c r="A719" s="8"/>
      <c r="B719" s="8"/>
      <c r="C719" s="30"/>
      <c r="D719" s="8"/>
      <c r="E719" s="8"/>
      <c r="F719" s="8"/>
      <c r="G719" s="8"/>
      <c r="H719" s="8"/>
      <c r="I719" s="8"/>
      <c r="J719" s="8"/>
      <c r="K719" s="8"/>
      <c r="L719" s="8"/>
      <c r="M719" s="8"/>
      <c r="N719" s="8"/>
      <c r="O719" s="8"/>
      <c r="P719" s="8"/>
      <c r="Q719" s="8"/>
      <c r="R719" s="8"/>
      <c r="S719" s="8"/>
      <c r="T719" s="8"/>
      <c r="U719" s="8"/>
      <c r="V719" s="8"/>
    </row>
    <row r="720" spans="1:22" ht="13.5" customHeight="1">
      <c r="A720" s="8"/>
      <c r="B720" s="8"/>
      <c r="C720" s="30"/>
      <c r="D720" s="8"/>
      <c r="E720" s="8"/>
      <c r="F720" s="8"/>
      <c r="G720" s="8"/>
      <c r="H720" s="8"/>
      <c r="I720" s="8"/>
      <c r="J720" s="8"/>
      <c r="K720" s="8"/>
      <c r="L720" s="8"/>
      <c r="M720" s="8"/>
      <c r="N720" s="8"/>
      <c r="O720" s="8"/>
      <c r="P720" s="8"/>
      <c r="Q720" s="8"/>
      <c r="R720" s="8"/>
      <c r="S720" s="8"/>
      <c r="T720" s="8"/>
      <c r="U720" s="8"/>
      <c r="V720" s="8"/>
    </row>
    <row r="721" spans="1:22" ht="13.5" customHeight="1">
      <c r="A721" s="8"/>
      <c r="B721" s="8"/>
      <c r="C721" s="30"/>
      <c r="D721" s="8"/>
      <c r="E721" s="8"/>
      <c r="F721" s="8"/>
      <c r="G721" s="8"/>
      <c r="H721" s="8"/>
      <c r="I721" s="8"/>
      <c r="J721" s="8"/>
      <c r="K721" s="8"/>
      <c r="L721" s="8"/>
      <c r="M721" s="8"/>
      <c r="N721" s="8"/>
      <c r="O721" s="8"/>
      <c r="P721" s="8"/>
      <c r="Q721" s="8"/>
      <c r="R721" s="8"/>
      <c r="S721" s="8"/>
      <c r="T721" s="8"/>
      <c r="U721" s="8"/>
      <c r="V721" s="8"/>
    </row>
    <row r="722" spans="1:22" ht="13.5" customHeight="1">
      <c r="A722" s="8"/>
      <c r="B722" s="8"/>
      <c r="C722" s="30"/>
      <c r="D722" s="8"/>
      <c r="E722" s="8"/>
      <c r="F722" s="8"/>
      <c r="G722" s="8"/>
      <c r="H722" s="8"/>
      <c r="I722" s="8"/>
      <c r="J722" s="8"/>
      <c r="K722" s="8"/>
      <c r="L722" s="8"/>
      <c r="M722" s="8"/>
      <c r="N722" s="8"/>
      <c r="O722" s="8"/>
      <c r="P722" s="8"/>
      <c r="Q722" s="8"/>
      <c r="R722" s="8"/>
      <c r="S722" s="8"/>
      <c r="T722" s="8"/>
      <c r="U722" s="8"/>
      <c r="V722" s="8"/>
    </row>
    <row r="723" spans="1:22" ht="13.5" customHeight="1">
      <c r="A723" s="8"/>
      <c r="B723" s="8"/>
      <c r="C723" s="30"/>
      <c r="D723" s="8"/>
      <c r="E723" s="8"/>
      <c r="F723" s="8"/>
      <c r="G723" s="8"/>
      <c r="H723" s="8"/>
      <c r="I723" s="8"/>
      <c r="J723" s="8"/>
      <c r="K723" s="8"/>
      <c r="L723" s="8"/>
      <c r="M723" s="8"/>
      <c r="N723" s="8"/>
      <c r="O723" s="8"/>
      <c r="P723" s="8"/>
      <c r="Q723" s="8"/>
      <c r="R723" s="8"/>
      <c r="S723" s="8"/>
      <c r="T723" s="8"/>
      <c r="U723" s="8"/>
      <c r="V723" s="8"/>
    </row>
    <row r="724" spans="1:22" ht="13.5" customHeight="1">
      <c r="A724" s="8"/>
      <c r="B724" s="8"/>
      <c r="C724" s="30"/>
      <c r="D724" s="8"/>
      <c r="E724" s="8"/>
      <c r="F724" s="8"/>
      <c r="G724" s="8"/>
      <c r="H724" s="8"/>
      <c r="I724" s="8"/>
      <c r="J724" s="8"/>
      <c r="K724" s="8"/>
      <c r="L724" s="8"/>
      <c r="M724" s="8"/>
      <c r="N724" s="8"/>
      <c r="O724" s="8"/>
      <c r="P724" s="8"/>
      <c r="Q724" s="8"/>
      <c r="R724" s="8"/>
      <c r="S724" s="8"/>
      <c r="T724" s="8"/>
      <c r="U724" s="8"/>
      <c r="V724" s="8"/>
    </row>
    <row r="725" spans="1:22" ht="13.5" customHeight="1">
      <c r="A725" s="8"/>
      <c r="B725" s="8"/>
      <c r="C725" s="30"/>
      <c r="D725" s="8"/>
      <c r="E725" s="8"/>
      <c r="F725" s="8"/>
      <c r="G725" s="8"/>
      <c r="H725" s="8"/>
      <c r="I725" s="8"/>
      <c r="J725" s="8"/>
      <c r="K725" s="8"/>
      <c r="L725" s="8"/>
      <c r="M725" s="8"/>
      <c r="N725" s="8"/>
      <c r="O725" s="8"/>
      <c r="P725" s="8"/>
      <c r="Q725" s="8"/>
      <c r="R725" s="8"/>
      <c r="S725" s="8"/>
      <c r="T725" s="8"/>
      <c r="U725" s="8"/>
      <c r="V725" s="8"/>
    </row>
    <row r="726" spans="1:22" ht="13.5" customHeight="1">
      <c r="A726" s="8"/>
      <c r="B726" s="8"/>
      <c r="C726" s="30"/>
      <c r="D726" s="8"/>
      <c r="E726" s="8"/>
      <c r="F726" s="8"/>
      <c r="G726" s="8"/>
      <c r="H726" s="8"/>
      <c r="I726" s="8"/>
      <c r="J726" s="8"/>
      <c r="K726" s="8"/>
      <c r="L726" s="8"/>
      <c r="M726" s="8"/>
      <c r="N726" s="8"/>
      <c r="O726" s="8"/>
      <c r="P726" s="8"/>
      <c r="Q726" s="8"/>
      <c r="R726" s="8"/>
      <c r="S726" s="8"/>
      <c r="T726" s="8"/>
      <c r="U726" s="8"/>
      <c r="V726" s="8"/>
    </row>
    <row r="727" spans="1:22" ht="13.5" customHeight="1">
      <c r="A727" s="8"/>
      <c r="B727" s="8"/>
      <c r="C727" s="30"/>
      <c r="D727" s="8"/>
      <c r="E727" s="8"/>
      <c r="F727" s="8"/>
      <c r="G727" s="8"/>
      <c r="H727" s="8"/>
      <c r="I727" s="8"/>
      <c r="J727" s="8"/>
      <c r="K727" s="8"/>
      <c r="L727" s="8"/>
      <c r="M727" s="8"/>
      <c r="N727" s="8"/>
      <c r="O727" s="8"/>
      <c r="P727" s="8"/>
      <c r="Q727" s="8"/>
      <c r="R727" s="8"/>
      <c r="S727" s="8"/>
      <c r="T727" s="8"/>
      <c r="U727" s="8"/>
      <c r="V727" s="8"/>
    </row>
    <row r="728" spans="1:22" ht="13.5" customHeight="1">
      <c r="A728" s="8"/>
      <c r="B728" s="8"/>
      <c r="C728" s="30"/>
      <c r="D728" s="8"/>
      <c r="E728" s="8"/>
      <c r="F728" s="8"/>
      <c r="G728" s="8"/>
      <c r="H728" s="8"/>
      <c r="I728" s="8"/>
      <c r="J728" s="8"/>
      <c r="K728" s="8"/>
      <c r="L728" s="8"/>
      <c r="M728" s="8"/>
      <c r="N728" s="8"/>
      <c r="O728" s="8"/>
      <c r="P728" s="8"/>
      <c r="Q728" s="8"/>
      <c r="R728" s="8"/>
      <c r="S728" s="8"/>
      <c r="T728" s="8"/>
      <c r="U728" s="8"/>
      <c r="V728" s="8"/>
    </row>
    <row r="729" spans="1:22" ht="13.5" customHeight="1">
      <c r="A729" s="8"/>
      <c r="B729" s="8"/>
      <c r="C729" s="30"/>
      <c r="D729" s="8"/>
      <c r="E729" s="8"/>
      <c r="F729" s="8"/>
      <c r="G729" s="8"/>
      <c r="H729" s="8"/>
      <c r="I729" s="8"/>
      <c r="J729" s="8"/>
      <c r="K729" s="8"/>
      <c r="L729" s="8"/>
      <c r="M729" s="8"/>
      <c r="N729" s="8"/>
      <c r="O729" s="8"/>
      <c r="P729" s="8"/>
      <c r="Q729" s="8"/>
      <c r="R729" s="8"/>
      <c r="S729" s="8"/>
      <c r="T729" s="8"/>
      <c r="U729" s="8"/>
      <c r="V729" s="8"/>
    </row>
    <row r="730" spans="1:22" ht="13.5" customHeight="1">
      <c r="A730" s="8"/>
      <c r="B730" s="8"/>
      <c r="C730" s="30"/>
      <c r="D730" s="8"/>
      <c r="E730" s="8"/>
      <c r="F730" s="8"/>
      <c r="G730" s="8"/>
      <c r="H730" s="8"/>
      <c r="I730" s="8"/>
      <c r="J730" s="8"/>
      <c r="K730" s="8"/>
      <c r="L730" s="8"/>
      <c r="M730" s="8"/>
      <c r="N730" s="8"/>
      <c r="O730" s="8"/>
      <c r="P730" s="8"/>
      <c r="Q730" s="8"/>
      <c r="R730" s="8"/>
      <c r="S730" s="8"/>
      <c r="T730" s="8"/>
      <c r="U730" s="8"/>
      <c r="V730" s="8"/>
    </row>
    <row r="731" spans="1:22" ht="13.5" customHeight="1">
      <c r="A731" s="8"/>
      <c r="B731" s="8"/>
      <c r="C731" s="30"/>
      <c r="D731" s="8"/>
      <c r="E731" s="8"/>
      <c r="F731" s="8"/>
      <c r="G731" s="8"/>
      <c r="H731" s="8"/>
      <c r="I731" s="8"/>
      <c r="J731" s="8"/>
      <c r="K731" s="8"/>
      <c r="L731" s="8"/>
      <c r="M731" s="8"/>
      <c r="N731" s="8"/>
      <c r="O731" s="8"/>
      <c r="P731" s="8"/>
      <c r="Q731" s="8"/>
      <c r="R731" s="8"/>
      <c r="S731" s="8"/>
      <c r="T731" s="8"/>
      <c r="U731" s="8"/>
      <c r="V731" s="8"/>
    </row>
    <row r="732" spans="1:22" ht="13.5" customHeight="1">
      <c r="A732" s="8"/>
      <c r="B732" s="8"/>
      <c r="C732" s="30"/>
      <c r="D732" s="8"/>
      <c r="E732" s="8"/>
      <c r="F732" s="8"/>
      <c r="G732" s="8"/>
      <c r="H732" s="8"/>
      <c r="I732" s="8"/>
      <c r="J732" s="8"/>
      <c r="K732" s="8"/>
      <c r="L732" s="8"/>
      <c r="M732" s="8"/>
      <c r="N732" s="8"/>
      <c r="O732" s="8"/>
      <c r="P732" s="8"/>
      <c r="Q732" s="8"/>
      <c r="R732" s="8"/>
      <c r="S732" s="8"/>
      <c r="T732" s="8"/>
      <c r="U732" s="8"/>
      <c r="V732" s="8"/>
    </row>
    <row r="733" spans="1:22" ht="13.5" customHeight="1">
      <c r="A733" s="8"/>
      <c r="B733" s="8"/>
      <c r="C733" s="30"/>
      <c r="D733" s="8"/>
      <c r="E733" s="8"/>
      <c r="F733" s="8"/>
      <c r="G733" s="8"/>
      <c r="H733" s="8"/>
      <c r="I733" s="8"/>
      <c r="J733" s="8"/>
      <c r="K733" s="8"/>
      <c r="L733" s="8"/>
      <c r="M733" s="8"/>
      <c r="N733" s="8"/>
      <c r="O733" s="8"/>
      <c r="P733" s="8"/>
      <c r="Q733" s="8"/>
      <c r="R733" s="8"/>
      <c r="S733" s="8"/>
      <c r="T733" s="8"/>
      <c r="U733" s="8"/>
      <c r="V733" s="8"/>
    </row>
    <row r="734" spans="1:22" ht="13.5" customHeight="1">
      <c r="A734" s="8"/>
      <c r="B734" s="8"/>
      <c r="C734" s="30"/>
      <c r="D734" s="8"/>
      <c r="E734" s="8"/>
      <c r="F734" s="8"/>
      <c r="G734" s="8"/>
      <c r="H734" s="8"/>
      <c r="I734" s="8"/>
      <c r="J734" s="8"/>
      <c r="K734" s="8"/>
      <c r="L734" s="8"/>
      <c r="M734" s="8"/>
      <c r="N734" s="8"/>
      <c r="O734" s="8"/>
      <c r="P734" s="8"/>
      <c r="Q734" s="8"/>
      <c r="R734" s="8"/>
      <c r="S734" s="8"/>
      <c r="T734" s="8"/>
      <c r="U734" s="8"/>
      <c r="V734" s="8"/>
    </row>
    <row r="735" spans="1:22" ht="13.5" customHeight="1">
      <c r="A735" s="8"/>
      <c r="B735" s="8"/>
      <c r="C735" s="30"/>
      <c r="D735" s="8"/>
      <c r="E735" s="8"/>
      <c r="F735" s="8"/>
      <c r="G735" s="8"/>
      <c r="H735" s="8"/>
      <c r="I735" s="8"/>
      <c r="J735" s="8"/>
      <c r="K735" s="8"/>
      <c r="L735" s="8"/>
      <c r="M735" s="8"/>
      <c r="N735" s="8"/>
      <c r="O735" s="8"/>
      <c r="P735" s="8"/>
      <c r="Q735" s="8"/>
      <c r="R735" s="8"/>
      <c r="S735" s="8"/>
      <c r="T735" s="8"/>
      <c r="U735" s="8"/>
      <c r="V735" s="8"/>
    </row>
    <row r="736" spans="1:22" ht="13.5" customHeight="1">
      <c r="A736" s="8"/>
      <c r="B736" s="8"/>
      <c r="C736" s="30"/>
      <c r="D736" s="8"/>
      <c r="E736" s="8"/>
      <c r="F736" s="8"/>
      <c r="G736" s="8"/>
      <c r="H736" s="8"/>
      <c r="I736" s="8"/>
      <c r="J736" s="8"/>
      <c r="K736" s="8"/>
      <c r="L736" s="8"/>
      <c r="M736" s="8"/>
      <c r="N736" s="8"/>
      <c r="O736" s="8"/>
      <c r="P736" s="8"/>
      <c r="Q736" s="8"/>
      <c r="R736" s="8"/>
      <c r="S736" s="8"/>
      <c r="T736" s="8"/>
      <c r="U736" s="8"/>
      <c r="V736" s="8"/>
    </row>
    <row r="737" spans="1:22" ht="13.5" customHeight="1">
      <c r="A737" s="8"/>
      <c r="B737" s="8"/>
      <c r="C737" s="30"/>
      <c r="D737" s="8"/>
      <c r="E737" s="8"/>
      <c r="F737" s="8"/>
      <c r="G737" s="8"/>
      <c r="H737" s="8"/>
      <c r="I737" s="8"/>
      <c r="J737" s="8"/>
      <c r="K737" s="8"/>
      <c r="L737" s="8"/>
      <c r="M737" s="8"/>
      <c r="N737" s="8"/>
      <c r="O737" s="8"/>
      <c r="P737" s="8"/>
      <c r="Q737" s="8"/>
      <c r="R737" s="8"/>
      <c r="S737" s="8"/>
      <c r="T737" s="8"/>
      <c r="U737" s="8"/>
      <c r="V737" s="8"/>
    </row>
    <row r="738" spans="1:22" ht="13.5" customHeight="1">
      <c r="A738" s="8"/>
      <c r="B738" s="8"/>
      <c r="C738" s="30"/>
      <c r="D738" s="8"/>
      <c r="E738" s="8"/>
      <c r="F738" s="8"/>
      <c r="G738" s="8"/>
      <c r="H738" s="8"/>
      <c r="I738" s="8"/>
      <c r="J738" s="8"/>
      <c r="K738" s="8"/>
      <c r="L738" s="8"/>
      <c r="M738" s="8"/>
      <c r="N738" s="8"/>
      <c r="O738" s="8"/>
      <c r="P738" s="8"/>
      <c r="Q738" s="8"/>
      <c r="R738" s="8"/>
      <c r="S738" s="8"/>
      <c r="T738" s="8"/>
      <c r="U738" s="8"/>
      <c r="V738" s="8"/>
    </row>
    <row r="739" spans="1:22" ht="13.5" customHeight="1">
      <c r="A739" s="8"/>
      <c r="B739" s="8"/>
      <c r="C739" s="30"/>
      <c r="D739" s="8"/>
      <c r="E739" s="8"/>
      <c r="F739" s="8"/>
      <c r="G739" s="8"/>
      <c r="H739" s="8"/>
      <c r="I739" s="8"/>
      <c r="J739" s="8"/>
      <c r="K739" s="8"/>
      <c r="L739" s="8"/>
      <c r="M739" s="8"/>
      <c r="N739" s="8"/>
      <c r="O739" s="8"/>
      <c r="P739" s="8"/>
      <c r="Q739" s="8"/>
      <c r="R739" s="8"/>
      <c r="S739" s="8"/>
      <c r="T739" s="8"/>
      <c r="U739" s="8"/>
      <c r="V739" s="8"/>
    </row>
    <row r="740" spans="1:22" ht="13.5" customHeight="1">
      <c r="A740" s="8"/>
      <c r="B740" s="8"/>
      <c r="C740" s="30"/>
      <c r="D740" s="8"/>
      <c r="E740" s="8"/>
      <c r="F740" s="8"/>
      <c r="G740" s="8"/>
      <c r="H740" s="8"/>
      <c r="I740" s="8"/>
      <c r="J740" s="8"/>
      <c r="K740" s="8"/>
      <c r="L740" s="8"/>
      <c r="M740" s="8"/>
      <c r="N740" s="8"/>
      <c r="O740" s="8"/>
      <c r="P740" s="8"/>
      <c r="Q740" s="8"/>
      <c r="R740" s="8"/>
      <c r="S740" s="8"/>
      <c r="T740" s="8"/>
      <c r="U740" s="8"/>
      <c r="V740" s="8"/>
    </row>
    <row r="741" spans="1:22" ht="13.5" customHeight="1">
      <c r="A741" s="8"/>
      <c r="B741" s="8"/>
      <c r="C741" s="30"/>
      <c r="D741" s="8"/>
      <c r="E741" s="8"/>
      <c r="F741" s="8"/>
      <c r="G741" s="8"/>
      <c r="H741" s="8"/>
      <c r="I741" s="8"/>
      <c r="J741" s="8"/>
      <c r="K741" s="8"/>
      <c r="L741" s="8"/>
      <c r="M741" s="8"/>
      <c r="N741" s="8"/>
      <c r="O741" s="8"/>
      <c r="P741" s="8"/>
      <c r="Q741" s="8"/>
      <c r="R741" s="8"/>
      <c r="S741" s="8"/>
      <c r="T741" s="8"/>
      <c r="U741" s="8"/>
      <c r="V741" s="8"/>
    </row>
    <row r="742" spans="1:22" ht="13.5" customHeight="1">
      <c r="A742" s="8"/>
      <c r="B742" s="8"/>
      <c r="C742" s="30"/>
      <c r="D742" s="8"/>
      <c r="E742" s="8"/>
      <c r="F742" s="8"/>
      <c r="G742" s="8"/>
      <c r="H742" s="8"/>
      <c r="I742" s="8"/>
      <c r="J742" s="8"/>
      <c r="K742" s="8"/>
      <c r="L742" s="8"/>
      <c r="M742" s="8"/>
      <c r="N742" s="8"/>
      <c r="O742" s="8"/>
      <c r="P742" s="8"/>
      <c r="Q742" s="8"/>
      <c r="R742" s="8"/>
      <c r="S742" s="8"/>
      <c r="T742" s="8"/>
      <c r="U742" s="8"/>
      <c r="V742" s="8"/>
    </row>
    <row r="743" spans="1:22" ht="13.5" customHeight="1">
      <c r="A743" s="8"/>
      <c r="B743" s="8"/>
      <c r="C743" s="30"/>
      <c r="D743" s="8"/>
      <c r="E743" s="8"/>
      <c r="F743" s="8"/>
      <c r="G743" s="8"/>
      <c r="H743" s="8"/>
      <c r="I743" s="8"/>
      <c r="J743" s="8"/>
      <c r="K743" s="8"/>
      <c r="L743" s="8"/>
      <c r="M743" s="8"/>
      <c r="N743" s="8"/>
      <c r="O743" s="8"/>
      <c r="P743" s="8"/>
      <c r="Q743" s="8"/>
      <c r="R743" s="8"/>
      <c r="S743" s="8"/>
      <c r="T743" s="8"/>
      <c r="U743" s="8"/>
      <c r="V743" s="8"/>
    </row>
    <row r="744" spans="1:22" ht="13.5" customHeight="1">
      <c r="A744" s="8"/>
      <c r="B744" s="8"/>
      <c r="C744" s="30"/>
      <c r="D744" s="8"/>
      <c r="E744" s="8"/>
      <c r="F744" s="8"/>
      <c r="G744" s="8"/>
      <c r="H744" s="8"/>
      <c r="I744" s="8"/>
      <c r="J744" s="8"/>
      <c r="K744" s="8"/>
      <c r="L744" s="8"/>
      <c r="M744" s="8"/>
      <c r="N744" s="8"/>
      <c r="O744" s="8"/>
      <c r="P744" s="8"/>
      <c r="Q744" s="8"/>
      <c r="R744" s="8"/>
      <c r="S744" s="8"/>
      <c r="T744" s="8"/>
      <c r="U744" s="8"/>
      <c r="V744" s="8"/>
    </row>
    <row r="745" spans="1:22" ht="13.5" customHeight="1">
      <c r="A745" s="8"/>
      <c r="B745" s="8"/>
      <c r="C745" s="30"/>
      <c r="D745" s="8"/>
      <c r="E745" s="8"/>
      <c r="F745" s="8"/>
      <c r="G745" s="8"/>
      <c r="H745" s="8"/>
      <c r="I745" s="8"/>
      <c r="J745" s="8"/>
      <c r="K745" s="8"/>
      <c r="L745" s="8"/>
      <c r="M745" s="8"/>
      <c r="N745" s="8"/>
      <c r="O745" s="8"/>
      <c r="P745" s="8"/>
      <c r="Q745" s="8"/>
      <c r="R745" s="8"/>
      <c r="S745" s="8"/>
      <c r="T745" s="8"/>
      <c r="U745" s="8"/>
      <c r="V745" s="8"/>
    </row>
    <row r="746" spans="1:22" ht="13.5" customHeight="1">
      <c r="A746" s="8"/>
      <c r="B746" s="8"/>
      <c r="C746" s="30"/>
      <c r="D746" s="8"/>
      <c r="E746" s="8"/>
      <c r="F746" s="8"/>
      <c r="G746" s="8"/>
      <c r="H746" s="8"/>
      <c r="I746" s="8"/>
      <c r="J746" s="8"/>
      <c r="K746" s="8"/>
      <c r="L746" s="8"/>
      <c r="M746" s="8"/>
      <c r="N746" s="8"/>
      <c r="O746" s="8"/>
      <c r="P746" s="8"/>
      <c r="Q746" s="8"/>
      <c r="R746" s="8"/>
      <c r="S746" s="8"/>
      <c r="T746" s="8"/>
      <c r="U746" s="8"/>
      <c r="V746" s="8"/>
    </row>
    <row r="747" spans="1:22" ht="13.5" customHeight="1">
      <c r="A747" s="8"/>
      <c r="B747" s="8"/>
      <c r="C747" s="30"/>
      <c r="D747" s="8"/>
      <c r="E747" s="8"/>
      <c r="F747" s="8"/>
      <c r="G747" s="8"/>
      <c r="H747" s="8"/>
      <c r="I747" s="8"/>
      <c r="J747" s="8"/>
      <c r="K747" s="8"/>
      <c r="L747" s="8"/>
      <c r="M747" s="8"/>
      <c r="N747" s="8"/>
      <c r="O747" s="8"/>
      <c r="P747" s="8"/>
      <c r="Q747" s="8"/>
      <c r="R747" s="8"/>
      <c r="S747" s="8"/>
      <c r="T747" s="8"/>
      <c r="U747" s="8"/>
      <c r="V747" s="8"/>
    </row>
    <row r="748" spans="1:22" ht="13.5" customHeight="1">
      <c r="A748" s="8"/>
      <c r="B748" s="8"/>
      <c r="C748" s="30"/>
      <c r="D748" s="8"/>
      <c r="E748" s="8"/>
      <c r="F748" s="8"/>
      <c r="G748" s="8"/>
      <c r="H748" s="8"/>
      <c r="I748" s="8"/>
      <c r="J748" s="8"/>
      <c r="K748" s="8"/>
      <c r="L748" s="8"/>
      <c r="M748" s="8"/>
      <c r="N748" s="8"/>
      <c r="O748" s="8"/>
      <c r="P748" s="8"/>
      <c r="Q748" s="8"/>
      <c r="R748" s="8"/>
      <c r="S748" s="8"/>
      <c r="T748" s="8"/>
      <c r="U748" s="8"/>
      <c r="V748" s="8"/>
    </row>
    <row r="749" spans="1:22" ht="13.5" customHeight="1">
      <c r="A749" s="8"/>
      <c r="B749" s="8"/>
      <c r="C749" s="30"/>
      <c r="D749" s="8"/>
      <c r="E749" s="8"/>
      <c r="F749" s="8"/>
      <c r="G749" s="8"/>
      <c r="H749" s="8"/>
      <c r="I749" s="8"/>
      <c r="J749" s="8"/>
      <c r="K749" s="8"/>
      <c r="L749" s="8"/>
      <c r="M749" s="8"/>
      <c r="N749" s="8"/>
      <c r="O749" s="8"/>
      <c r="P749" s="8"/>
      <c r="Q749" s="8"/>
      <c r="R749" s="8"/>
      <c r="S749" s="8"/>
      <c r="T749" s="8"/>
      <c r="U749" s="8"/>
      <c r="V749" s="8"/>
    </row>
    <row r="750" spans="1:22" ht="13.5" customHeight="1">
      <c r="A750" s="8"/>
      <c r="B750" s="8"/>
      <c r="C750" s="30"/>
      <c r="D750" s="8"/>
      <c r="E750" s="8"/>
      <c r="F750" s="8"/>
      <c r="G750" s="8"/>
      <c r="H750" s="8"/>
      <c r="I750" s="8"/>
      <c r="J750" s="8"/>
      <c r="K750" s="8"/>
      <c r="L750" s="8"/>
      <c r="M750" s="8"/>
      <c r="N750" s="8"/>
      <c r="O750" s="8"/>
      <c r="P750" s="8"/>
      <c r="Q750" s="8"/>
      <c r="R750" s="8"/>
      <c r="S750" s="8"/>
      <c r="T750" s="8"/>
      <c r="U750" s="8"/>
      <c r="V750" s="8"/>
    </row>
    <row r="751" spans="1:22" ht="13.5" customHeight="1">
      <c r="A751" s="8"/>
      <c r="B751" s="8"/>
      <c r="C751" s="30"/>
      <c r="D751" s="8"/>
      <c r="E751" s="8"/>
      <c r="F751" s="8"/>
      <c r="G751" s="8"/>
      <c r="H751" s="8"/>
      <c r="I751" s="8"/>
      <c r="J751" s="8"/>
      <c r="K751" s="8"/>
      <c r="L751" s="8"/>
      <c r="M751" s="8"/>
      <c r="N751" s="8"/>
      <c r="O751" s="8"/>
      <c r="P751" s="8"/>
      <c r="Q751" s="8"/>
      <c r="R751" s="8"/>
      <c r="S751" s="8"/>
      <c r="T751" s="8"/>
      <c r="U751" s="8"/>
      <c r="V751" s="8"/>
    </row>
    <row r="752" spans="1:22" ht="13.5" customHeight="1">
      <c r="A752" s="8"/>
      <c r="B752" s="8"/>
      <c r="C752" s="30"/>
      <c r="D752" s="8"/>
      <c r="E752" s="8"/>
      <c r="F752" s="8"/>
      <c r="G752" s="8"/>
      <c r="H752" s="8"/>
      <c r="I752" s="8"/>
      <c r="J752" s="8"/>
      <c r="K752" s="8"/>
      <c r="L752" s="8"/>
      <c r="M752" s="8"/>
      <c r="N752" s="8"/>
      <c r="O752" s="8"/>
      <c r="P752" s="8"/>
      <c r="Q752" s="8"/>
      <c r="R752" s="8"/>
      <c r="S752" s="8"/>
      <c r="T752" s="8"/>
      <c r="U752" s="8"/>
      <c r="V752" s="8"/>
    </row>
    <row r="753" spans="1:22" ht="13.5" customHeight="1">
      <c r="A753" s="8"/>
      <c r="B753" s="8"/>
      <c r="C753" s="30"/>
      <c r="D753" s="8"/>
      <c r="E753" s="8"/>
      <c r="F753" s="8"/>
      <c r="G753" s="8"/>
      <c r="H753" s="8"/>
      <c r="I753" s="8"/>
      <c r="J753" s="8"/>
      <c r="K753" s="8"/>
      <c r="L753" s="8"/>
      <c r="M753" s="8"/>
      <c r="N753" s="8"/>
      <c r="O753" s="8"/>
      <c r="P753" s="8"/>
      <c r="Q753" s="8"/>
      <c r="R753" s="8"/>
      <c r="S753" s="8"/>
      <c r="T753" s="8"/>
      <c r="U753" s="8"/>
      <c r="V753" s="8"/>
    </row>
    <row r="754" spans="1:22" ht="13.5" customHeight="1">
      <c r="A754" s="8"/>
      <c r="B754" s="8"/>
      <c r="C754" s="30"/>
      <c r="D754" s="8"/>
      <c r="E754" s="8"/>
      <c r="F754" s="8"/>
      <c r="G754" s="8"/>
      <c r="H754" s="8"/>
      <c r="I754" s="8"/>
      <c r="J754" s="8"/>
      <c r="K754" s="8"/>
      <c r="L754" s="8"/>
      <c r="M754" s="8"/>
      <c r="N754" s="8"/>
      <c r="O754" s="8"/>
      <c r="P754" s="8"/>
      <c r="Q754" s="8"/>
      <c r="R754" s="8"/>
      <c r="S754" s="8"/>
      <c r="T754" s="8"/>
      <c r="U754" s="8"/>
      <c r="V754" s="8"/>
    </row>
    <row r="755" spans="1:22" ht="13.5" customHeight="1">
      <c r="A755" s="8"/>
      <c r="B755" s="8"/>
      <c r="C755" s="30"/>
      <c r="D755" s="8"/>
      <c r="E755" s="8"/>
      <c r="F755" s="8"/>
      <c r="G755" s="8"/>
      <c r="H755" s="8"/>
      <c r="I755" s="8"/>
      <c r="J755" s="8"/>
      <c r="K755" s="8"/>
      <c r="L755" s="8"/>
      <c r="M755" s="8"/>
      <c r="N755" s="8"/>
      <c r="O755" s="8"/>
      <c r="P755" s="8"/>
      <c r="Q755" s="8"/>
      <c r="R755" s="8"/>
      <c r="S755" s="8"/>
      <c r="T755" s="8"/>
      <c r="U755" s="8"/>
      <c r="V755" s="8"/>
    </row>
    <row r="756" spans="1:22" ht="13.5" customHeight="1">
      <c r="A756" s="8"/>
      <c r="B756" s="8"/>
      <c r="C756" s="30"/>
      <c r="D756" s="8"/>
      <c r="E756" s="8"/>
      <c r="F756" s="8"/>
      <c r="G756" s="8"/>
      <c r="H756" s="8"/>
      <c r="I756" s="8"/>
      <c r="J756" s="8"/>
      <c r="K756" s="8"/>
      <c r="L756" s="8"/>
      <c r="M756" s="8"/>
      <c r="N756" s="8"/>
      <c r="O756" s="8"/>
      <c r="P756" s="8"/>
      <c r="Q756" s="8"/>
      <c r="R756" s="8"/>
      <c r="S756" s="8"/>
      <c r="T756" s="8"/>
      <c r="U756" s="8"/>
      <c r="V756" s="8"/>
    </row>
    <row r="757" spans="1:22" ht="13.5" customHeight="1">
      <c r="A757" s="8"/>
      <c r="B757" s="8"/>
      <c r="C757" s="30"/>
      <c r="D757" s="8"/>
      <c r="E757" s="8"/>
      <c r="F757" s="8"/>
      <c r="G757" s="8"/>
      <c r="H757" s="8"/>
      <c r="I757" s="8"/>
      <c r="J757" s="8"/>
      <c r="K757" s="8"/>
      <c r="L757" s="8"/>
      <c r="M757" s="8"/>
      <c r="N757" s="8"/>
      <c r="O757" s="8"/>
      <c r="P757" s="8"/>
      <c r="Q757" s="8"/>
      <c r="R757" s="8"/>
      <c r="S757" s="8"/>
      <c r="T757" s="8"/>
      <c r="U757" s="8"/>
      <c r="V757" s="8"/>
    </row>
    <row r="758" spans="1:22" ht="13.5" customHeight="1">
      <c r="A758" s="8"/>
      <c r="B758" s="8"/>
      <c r="C758" s="30"/>
      <c r="D758" s="8"/>
      <c r="E758" s="8"/>
      <c r="F758" s="8"/>
      <c r="G758" s="8"/>
      <c r="H758" s="8"/>
      <c r="I758" s="8"/>
      <c r="J758" s="8"/>
      <c r="K758" s="8"/>
      <c r="L758" s="8"/>
      <c r="M758" s="8"/>
      <c r="N758" s="8"/>
      <c r="O758" s="8"/>
      <c r="P758" s="8"/>
      <c r="Q758" s="8"/>
      <c r="R758" s="8"/>
      <c r="S758" s="8"/>
      <c r="T758" s="8"/>
      <c r="U758" s="8"/>
      <c r="V758" s="8"/>
    </row>
    <row r="759" spans="1:22" ht="13.5" customHeight="1">
      <c r="A759" s="8"/>
      <c r="B759" s="8"/>
      <c r="C759" s="30"/>
      <c r="D759" s="8"/>
      <c r="E759" s="8"/>
      <c r="F759" s="8"/>
      <c r="G759" s="8"/>
      <c r="H759" s="8"/>
      <c r="I759" s="8"/>
      <c r="J759" s="8"/>
      <c r="K759" s="8"/>
      <c r="L759" s="8"/>
      <c r="M759" s="8"/>
      <c r="N759" s="8"/>
      <c r="O759" s="8"/>
      <c r="P759" s="8"/>
      <c r="Q759" s="8"/>
      <c r="R759" s="8"/>
      <c r="S759" s="8"/>
      <c r="T759" s="8"/>
      <c r="U759" s="8"/>
      <c r="V759" s="8"/>
    </row>
    <row r="760" spans="1:22" ht="13.5" customHeight="1">
      <c r="A760" s="8"/>
      <c r="B760" s="8"/>
      <c r="C760" s="30"/>
      <c r="D760" s="8"/>
      <c r="E760" s="8"/>
      <c r="F760" s="8"/>
      <c r="G760" s="8"/>
      <c r="H760" s="8"/>
      <c r="I760" s="8"/>
      <c r="J760" s="8"/>
      <c r="K760" s="8"/>
      <c r="L760" s="8"/>
      <c r="M760" s="8"/>
      <c r="N760" s="8"/>
      <c r="O760" s="8"/>
      <c r="P760" s="8"/>
      <c r="Q760" s="8"/>
      <c r="R760" s="8"/>
      <c r="S760" s="8"/>
      <c r="T760" s="8"/>
      <c r="U760" s="8"/>
      <c r="V760" s="8"/>
    </row>
    <row r="761" spans="1:22" ht="13.5" customHeight="1">
      <c r="A761" s="8"/>
      <c r="B761" s="8"/>
      <c r="C761" s="30"/>
      <c r="D761" s="8"/>
      <c r="E761" s="8"/>
      <c r="F761" s="8"/>
      <c r="G761" s="8"/>
      <c r="H761" s="8"/>
      <c r="I761" s="8"/>
      <c r="J761" s="8"/>
      <c r="K761" s="8"/>
      <c r="L761" s="8"/>
      <c r="M761" s="8"/>
      <c r="N761" s="8"/>
      <c r="O761" s="8"/>
      <c r="P761" s="8"/>
      <c r="Q761" s="8"/>
      <c r="R761" s="8"/>
      <c r="S761" s="8"/>
      <c r="T761" s="8"/>
      <c r="U761" s="8"/>
      <c r="V761" s="8"/>
    </row>
    <row r="762" spans="1:22" ht="13.5" customHeight="1">
      <c r="A762" s="8"/>
      <c r="B762" s="8"/>
      <c r="C762" s="30"/>
      <c r="D762" s="8"/>
      <c r="E762" s="8"/>
      <c r="F762" s="8"/>
      <c r="G762" s="8"/>
      <c r="H762" s="8"/>
      <c r="I762" s="8"/>
      <c r="J762" s="8"/>
      <c r="K762" s="8"/>
      <c r="L762" s="8"/>
      <c r="M762" s="8"/>
      <c r="N762" s="8"/>
      <c r="O762" s="8"/>
      <c r="P762" s="8"/>
      <c r="Q762" s="8"/>
      <c r="R762" s="8"/>
      <c r="S762" s="8"/>
      <c r="T762" s="8"/>
      <c r="U762" s="8"/>
      <c r="V762" s="8"/>
    </row>
    <row r="763" spans="1:22" ht="13.5" customHeight="1">
      <c r="A763" s="8"/>
      <c r="B763" s="8"/>
      <c r="C763" s="30"/>
      <c r="D763" s="8"/>
      <c r="E763" s="8"/>
      <c r="F763" s="8"/>
      <c r="G763" s="8"/>
      <c r="H763" s="8"/>
      <c r="I763" s="8"/>
      <c r="J763" s="8"/>
      <c r="K763" s="8"/>
      <c r="L763" s="8"/>
      <c r="M763" s="8"/>
      <c r="N763" s="8"/>
      <c r="O763" s="8"/>
      <c r="P763" s="8"/>
      <c r="Q763" s="8"/>
      <c r="R763" s="8"/>
      <c r="S763" s="8"/>
      <c r="T763" s="8"/>
      <c r="U763" s="8"/>
      <c r="V763" s="8"/>
    </row>
    <row r="764" spans="1:22" ht="13.5" customHeight="1">
      <c r="A764" s="8"/>
      <c r="B764" s="8"/>
      <c r="C764" s="30"/>
      <c r="D764" s="8"/>
      <c r="E764" s="8"/>
      <c r="F764" s="8"/>
      <c r="G764" s="8"/>
      <c r="H764" s="8"/>
      <c r="I764" s="8"/>
      <c r="J764" s="8"/>
      <c r="K764" s="8"/>
      <c r="L764" s="8"/>
      <c r="M764" s="8"/>
      <c r="N764" s="8"/>
      <c r="O764" s="8"/>
      <c r="P764" s="8"/>
      <c r="Q764" s="8"/>
      <c r="R764" s="8"/>
      <c r="S764" s="8"/>
      <c r="T764" s="8"/>
      <c r="U764" s="8"/>
      <c r="V764" s="8"/>
    </row>
    <row r="765" spans="1:22" ht="13.5" customHeight="1">
      <c r="A765" s="8"/>
      <c r="B765" s="8"/>
      <c r="C765" s="30"/>
      <c r="D765" s="8"/>
      <c r="E765" s="8"/>
      <c r="F765" s="8"/>
      <c r="G765" s="8"/>
      <c r="H765" s="8"/>
      <c r="I765" s="8"/>
      <c r="J765" s="8"/>
      <c r="K765" s="8"/>
      <c r="L765" s="8"/>
      <c r="M765" s="8"/>
      <c r="N765" s="8"/>
      <c r="O765" s="8"/>
      <c r="P765" s="8"/>
      <c r="Q765" s="8"/>
      <c r="R765" s="8"/>
      <c r="S765" s="8"/>
      <c r="T765" s="8"/>
      <c r="U765" s="8"/>
      <c r="V765" s="8"/>
    </row>
    <row r="766" spans="1:22" ht="13.5" customHeight="1">
      <c r="A766" s="8"/>
      <c r="B766" s="8"/>
      <c r="C766" s="30"/>
      <c r="D766" s="8"/>
      <c r="E766" s="8"/>
      <c r="F766" s="8"/>
      <c r="G766" s="8"/>
      <c r="H766" s="8"/>
      <c r="I766" s="8"/>
      <c r="J766" s="8"/>
      <c r="K766" s="8"/>
      <c r="L766" s="8"/>
      <c r="M766" s="8"/>
      <c r="N766" s="8"/>
      <c r="O766" s="8"/>
      <c r="P766" s="8"/>
      <c r="Q766" s="8"/>
      <c r="R766" s="8"/>
      <c r="S766" s="8"/>
      <c r="T766" s="8"/>
      <c r="U766" s="8"/>
      <c r="V766" s="8"/>
    </row>
    <row r="767" spans="1:22" ht="13.5" customHeight="1">
      <c r="A767" s="8"/>
      <c r="B767" s="8"/>
      <c r="C767" s="30"/>
      <c r="D767" s="8"/>
      <c r="E767" s="8"/>
      <c r="F767" s="8"/>
      <c r="G767" s="8"/>
      <c r="H767" s="8"/>
      <c r="I767" s="8"/>
      <c r="J767" s="8"/>
      <c r="K767" s="8"/>
      <c r="L767" s="8"/>
      <c r="M767" s="8"/>
      <c r="N767" s="8"/>
      <c r="O767" s="8"/>
      <c r="P767" s="8"/>
      <c r="Q767" s="8"/>
      <c r="R767" s="8"/>
      <c r="S767" s="8"/>
      <c r="T767" s="8"/>
      <c r="U767" s="8"/>
      <c r="V767" s="8"/>
    </row>
    <row r="768" spans="1:22" ht="13.5" customHeight="1">
      <c r="A768" s="8"/>
      <c r="B768" s="8"/>
      <c r="C768" s="30"/>
      <c r="D768" s="8"/>
      <c r="E768" s="8"/>
      <c r="F768" s="8"/>
      <c r="G768" s="8"/>
      <c r="H768" s="8"/>
      <c r="I768" s="8"/>
      <c r="J768" s="8"/>
      <c r="K768" s="8"/>
      <c r="L768" s="8"/>
      <c r="M768" s="8"/>
      <c r="N768" s="8"/>
      <c r="O768" s="8"/>
      <c r="P768" s="8"/>
      <c r="Q768" s="8"/>
      <c r="R768" s="8"/>
      <c r="S768" s="8"/>
      <c r="T768" s="8"/>
      <c r="U768" s="8"/>
      <c r="V768" s="8"/>
    </row>
    <row r="769" spans="1:22" ht="13.5" customHeight="1">
      <c r="A769" s="8"/>
      <c r="B769" s="8"/>
      <c r="C769" s="30"/>
      <c r="D769" s="8"/>
      <c r="E769" s="8"/>
      <c r="F769" s="8"/>
      <c r="G769" s="8"/>
      <c r="H769" s="8"/>
      <c r="I769" s="8"/>
      <c r="J769" s="8"/>
      <c r="K769" s="8"/>
      <c r="L769" s="8"/>
      <c r="M769" s="8"/>
      <c r="N769" s="8"/>
      <c r="O769" s="8"/>
      <c r="P769" s="8"/>
      <c r="Q769" s="8"/>
      <c r="R769" s="8"/>
      <c r="S769" s="8"/>
      <c r="T769" s="8"/>
      <c r="U769" s="8"/>
      <c r="V769" s="8"/>
    </row>
    <row r="770" spans="1:22" ht="13.5" customHeight="1">
      <c r="A770" s="8"/>
      <c r="B770" s="8"/>
      <c r="C770" s="30"/>
      <c r="D770" s="8"/>
      <c r="E770" s="8"/>
      <c r="F770" s="8"/>
      <c r="G770" s="8"/>
      <c r="H770" s="8"/>
      <c r="I770" s="8"/>
      <c r="J770" s="8"/>
      <c r="K770" s="8"/>
      <c r="L770" s="8"/>
      <c r="M770" s="8"/>
      <c r="N770" s="8"/>
      <c r="O770" s="8"/>
      <c r="P770" s="8"/>
      <c r="Q770" s="8"/>
      <c r="R770" s="8"/>
      <c r="S770" s="8"/>
      <c r="T770" s="8"/>
      <c r="U770" s="8"/>
      <c r="V770" s="8"/>
    </row>
    <row r="771" spans="1:22" ht="13.5" customHeight="1">
      <c r="A771" s="8"/>
      <c r="B771" s="8"/>
      <c r="C771" s="30"/>
      <c r="D771" s="8"/>
      <c r="E771" s="8"/>
      <c r="F771" s="8"/>
      <c r="G771" s="8"/>
      <c r="H771" s="8"/>
      <c r="I771" s="8"/>
      <c r="J771" s="8"/>
      <c r="K771" s="8"/>
      <c r="L771" s="8"/>
      <c r="M771" s="8"/>
      <c r="N771" s="8"/>
      <c r="O771" s="8"/>
      <c r="P771" s="8"/>
      <c r="Q771" s="8"/>
      <c r="R771" s="8"/>
      <c r="S771" s="8"/>
      <c r="T771" s="8"/>
      <c r="U771" s="8"/>
      <c r="V771" s="8"/>
    </row>
    <row r="772" spans="1:22" ht="13.5" customHeight="1">
      <c r="A772" s="8"/>
      <c r="B772" s="8"/>
      <c r="C772" s="30"/>
      <c r="D772" s="8"/>
      <c r="E772" s="8"/>
      <c r="F772" s="8"/>
      <c r="G772" s="8"/>
      <c r="H772" s="8"/>
      <c r="I772" s="8"/>
      <c r="J772" s="8"/>
      <c r="K772" s="8"/>
      <c r="L772" s="8"/>
      <c r="M772" s="8"/>
      <c r="N772" s="8"/>
      <c r="O772" s="8"/>
      <c r="P772" s="8"/>
      <c r="Q772" s="8"/>
      <c r="R772" s="8"/>
      <c r="S772" s="8"/>
      <c r="T772" s="8"/>
      <c r="U772" s="8"/>
      <c r="V772" s="8"/>
    </row>
    <row r="773" spans="1:22" ht="13.5" customHeight="1">
      <c r="A773" s="8"/>
      <c r="B773" s="8"/>
      <c r="C773" s="30"/>
      <c r="D773" s="8"/>
      <c r="E773" s="8"/>
      <c r="F773" s="8"/>
      <c r="G773" s="8"/>
      <c r="H773" s="8"/>
      <c r="I773" s="8"/>
      <c r="J773" s="8"/>
      <c r="K773" s="8"/>
      <c r="L773" s="8"/>
      <c r="M773" s="8"/>
      <c r="N773" s="8"/>
      <c r="O773" s="8"/>
      <c r="P773" s="8"/>
      <c r="Q773" s="8"/>
      <c r="R773" s="8"/>
      <c r="S773" s="8"/>
      <c r="T773" s="8"/>
      <c r="U773" s="8"/>
      <c r="V773" s="8"/>
    </row>
    <row r="774" spans="1:22" ht="13.5" customHeight="1">
      <c r="A774" s="8"/>
      <c r="B774" s="8"/>
      <c r="C774" s="30"/>
      <c r="D774" s="8"/>
      <c r="E774" s="8"/>
      <c r="F774" s="8"/>
      <c r="G774" s="8"/>
      <c r="H774" s="8"/>
      <c r="I774" s="8"/>
      <c r="J774" s="8"/>
      <c r="K774" s="8"/>
      <c r="L774" s="8"/>
      <c r="M774" s="8"/>
      <c r="N774" s="8"/>
      <c r="O774" s="8"/>
      <c r="P774" s="8"/>
      <c r="Q774" s="8"/>
      <c r="R774" s="8"/>
      <c r="S774" s="8"/>
      <c r="T774" s="8"/>
      <c r="U774" s="8"/>
      <c r="V774" s="8"/>
    </row>
    <row r="775" spans="1:22" ht="13.5" customHeight="1">
      <c r="A775" s="8"/>
      <c r="B775" s="8"/>
      <c r="C775" s="30"/>
      <c r="D775" s="8"/>
      <c r="E775" s="8"/>
      <c r="F775" s="8"/>
      <c r="G775" s="8"/>
      <c r="H775" s="8"/>
      <c r="I775" s="8"/>
      <c r="J775" s="8"/>
      <c r="K775" s="8"/>
      <c r="L775" s="8"/>
      <c r="M775" s="8"/>
      <c r="N775" s="8"/>
      <c r="O775" s="8"/>
      <c r="P775" s="8"/>
      <c r="Q775" s="8"/>
      <c r="R775" s="8"/>
      <c r="S775" s="8"/>
      <c r="T775" s="8"/>
      <c r="U775" s="8"/>
      <c r="V775" s="8"/>
    </row>
    <row r="776" spans="1:22" ht="13.5" customHeight="1">
      <c r="A776" s="8"/>
      <c r="B776" s="8"/>
      <c r="C776" s="30"/>
      <c r="D776" s="8"/>
      <c r="E776" s="8"/>
      <c r="F776" s="8"/>
      <c r="G776" s="8"/>
      <c r="H776" s="8"/>
      <c r="I776" s="8"/>
      <c r="J776" s="8"/>
      <c r="K776" s="8"/>
      <c r="L776" s="8"/>
      <c r="M776" s="8"/>
      <c r="N776" s="8"/>
      <c r="O776" s="8"/>
      <c r="P776" s="8"/>
      <c r="Q776" s="8"/>
      <c r="R776" s="8"/>
      <c r="S776" s="8"/>
      <c r="T776" s="8"/>
      <c r="U776" s="8"/>
      <c r="V776" s="8"/>
    </row>
    <row r="777" spans="1:22" ht="13.5" customHeight="1">
      <c r="A777" s="8"/>
      <c r="B777" s="8"/>
      <c r="C777" s="30"/>
      <c r="D777" s="8"/>
      <c r="E777" s="8"/>
      <c r="F777" s="8"/>
      <c r="G777" s="8"/>
      <c r="H777" s="8"/>
      <c r="I777" s="8"/>
      <c r="J777" s="8"/>
      <c r="K777" s="8"/>
      <c r="L777" s="8"/>
      <c r="M777" s="8"/>
      <c r="N777" s="8"/>
      <c r="O777" s="8"/>
      <c r="P777" s="8"/>
      <c r="Q777" s="8"/>
      <c r="R777" s="8"/>
      <c r="S777" s="8"/>
      <c r="T777" s="8"/>
      <c r="U777" s="8"/>
      <c r="V777" s="8"/>
    </row>
    <row r="778" spans="1:22" ht="13.5" customHeight="1">
      <c r="A778" s="8"/>
      <c r="B778" s="8"/>
      <c r="C778" s="30"/>
      <c r="D778" s="8"/>
      <c r="E778" s="8"/>
      <c r="F778" s="8"/>
      <c r="G778" s="8"/>
      <c r="H778" s="8"/>
      <c r="I778" s="8"/>
      <c r="J778" s="8"/>
      <c r="K778" s="8"/>
      <c r="L778" s="8"/>
      <c r="M778" s="8"/>
      <c r="N778" s="8"/>
      <c r="O778" s="8"/>
      <c r="P778" s="8"/>
      <c r="Q778" s="8"/>
      <c r="R778" s="8"/>
      <c r="S778" s="8"/>
      <c r="T778" s="8"/>
      <c r="U778" s="8"/>
      <c r="V778" s="8"/>
    </row>
    <row r="779" spans="1:22" ht="13.5" customHeight="1">
      <c r="A779" s="8"/>
      <c r="B779" s="8"/>
      <c r="C779" s="30"/>
      <c r="D779" s="8"/>
      <c r="E779" s="8"/>
      <c r="F779" s="8"/>
      <c r="G779" s="8"/>
      <c r="H779" s="8"/>
      <c r="I779" s="8"/>
      <c r="J779" s="8"/>
      <c r="K779" s="8"/>
      <c r="L779" s="8"/>
      <c r="M779" s="8"/>
      <c r="N779" s="8"/>
      <c r="O779" s="8"/>
      <c r="P779" s="8"/>
      <c r="Q779" s="8"/>
      <c r="R779" s="8"/>
      <c r="S779" s="8"/>
      <c r="T779" s="8"/>
      <c r="U779" s="8"/>
      <c r="V779" s="8"/>
    </row>
    <row r="780" spans="1:22" ht="13.5" customHeight="1">
      <c r="A780" s="8"/>
      <c r="B780" s="8"/>
      <c r="C780" s="30"/>
      <c r="D780" s="8"/>
      <c r="E780" s="8"/>
      <c r="F780" s="8"/>
      <c r="G780" s="8"/>
      <c r="H780" s="8"/>
      <c r="I780" s="8"/>
      <c r="J780" s="8"/>
      <c r="K780" s="8"/>
      <c r="L780" s="8"/>
      <c r="M780" s="8"/>
      <c r="N780" s="8"/>
      <c r="O780" s="8"/>
      <c r="P780" s="8"/>
      <c r="Q780" s="8"/>
      <c r="R780" s="8"/>
      <c r="S780" s="8"/>
      <c r="T780" s="8"/>
      <c r="U780" s="8"/>
      <c r="V780" s="8"/>
    </row>
    <row r="781" spans="1:22" ht="13.5" customHeight="1">
      <c r="A781" s="8"/>
      <c r="B781" s="8"/>
      <c r="C781" s="30"/>
      <c r="D781" s="8"/>
      <c r="E781" s="8"/>
      <c r="F781" s="8"/>
      <c r="G781" s="8"/>
      <c r="H781" s="8"/>
      <c r="I781" s="8"/>
      <c r="J781" s="8"/>
      <c r="K781" s="8"/>
      <c r="L781" s="8"/>
      <c r="M781" s="8"/>
      <c r="N781" s="8"/>
      <c r="O781" s="8"/>
      <c r="P781" s="8"/>
      <c r="Q781" s="8"/>
      <c r="R781" s="8"/>
      <c r="S781" s="8"/>
      <c r="T781" s="8"/>
      <c r="U781" s="8"/>
      <c r="V781" s="8"/>
    </row>
    <row r="782" spans="1:22" ht="13.5" customHeight="1">
      <c r="A782" s="8"/>
      <c r="B782" s="8"/>
      <c r="C782" s="30"/>
      <c r="D782" s="8"/>
      <c r="E782" s="8"/>
      <c r="F782" s="8"/>
      <c r="G782" s="8"/>
      <c r="H782" s="8"/>
      <c r="I782" s="8"/>
      <c r="J782" s="8"/>
      <c r="K782" s="8"/>
      <c r="L782" s="8"/>
      <c r="M782" s="8"/>
      <c r="N782" s="8"/>
      <c r="O782" s="8"/>
      <c r="P782" s="8"/>
      <c r="Q782" s="8"/>
      <c r="R782" s="8"/>
      <c r="S782" s="8"/>
      <c r="T782" s="8"/>
      <c r="U782" s="8"/>
      <c r="V782" s="8"/>
    </row>
    <row r="783" spans="1:22" ht="13.5" customHeight="1">
      <c r="A783" s="8"/>
      <c r="B783" s="8"/>
      <c r="C783" s="30"/>
      <c r="D783" s="8"/>
      <c r="E783" s="8"/>
      <c r="F783" s="8"/>
      <c r="G783" s="8"/>
      <c r="H783" s="8"/>
      <c r="I783" s="8"/>
      <c r="J783" s="8"/>
      <c r="K783" s="8"/>
      <c r="L783" s="8"/>
      <c r="M783" s="8"/>
      <c r="N783" s="8"/>
      <c r="O783" s="8"/>
      <c r="P783" s="8"/>
      <c r="Q783" s="8"/>
      <c r="R783" s="8"/>
      <c r="S783" s="8"/>
      <c r="T783" s="8"/>
      <c r="U783" s="8"/>
      <c r="V783" s="8"/>
    </row>
    <row r="784" spans="1:22" ht="13.5" customHeight="1">
      <c r="A784" s="8"/>
      <c r="B784" s="8"/>
      <c r="C784" s="30"/>
      <c r="D784" s="8"/>
      <c r="E784" s="8"/>
      <c r="F784" s="8"/>
      <c r="G784" s="8"/>
      <c r="H784" s="8"/>
      <c r="I784" s="8"/>
      <c r="J784" s="8"/>
      <c r="K784" s="8"/>
      <c r="L784" s="8"/>
      <c r="M784" s="8"/>
      <c r="N784" s="8"/>
      <c r="O784" s="8"/>
      <c r="P784" s="8"/>
      <c r="Q784" s="8"/>
      <c r="R784" s="8"/>
      <c r="S784" s="8"/>
      <c r="T784" s="8"/>
      <c r="U784" s="8"/>
      <c r="V784" s="8"/>
    </row>
    <row r="785" spans="1:22" ht="13.5" customHeight="1">
      <c r="A785" s="8"/>
      <c r="B785" s="8"/>
      <c r="C785" s="30"/>
      <c r="D785" s="8"/>
      <c r="E785" s="8"/>
      <c r="F785" s="8"/>
      <c r="G785" s="8"/>
      <c r="H785" s="8"/>
      <c r="I785" s="8"/>
      <c r="J785" s="8"/>
      <c r="K785" s="8"/>
      <c r="L785" s="8"/>
      <c r="M785" s="8"/>
      <c r="N785" s="8"/>
      <c r="O785" s="8"/>
      <c r="P785" s="8"/>
      <c r="Q785" s="8"/>
      <c r="R785" s="8"/>
      <c r="S785" s="8"/>
      <c r="T785" s="8"/>
      <c r="U785" s="8"/>
      <c r="V785" s="8"/>
    </row>
    <row r="786" spans="1:22" ht="13.5" customHeight="1">
      <c r="A786" s="8"/>
      <c r="B786" s="8"/>
      <c r="C786" s="30"/>
      <c r="D786" s="8"/>
      <c r="E786" s="8"/>
      <c r="F786" s="8"/>
      <c r="G786" s="8"/>
      <c r="H786" s="8"/>
      <c r="I786" s="8"/>
      <c r="J786" s="8"/>
      <c r="K786" s="8"/>
      <c r="L786" s="8"/>
      <c r="M786" s="8"/>
      <c r="N786" s="8"/>
      <c r="O786" s="8"/>
      <c r="P786" s="8"/>
      <c r="Q786" s="8"/>
      <c r="R786" s="8"/>
      <c r="S786" s="8"/>
      <c r="T786" s="8"/>
      <c r="U786" s="8"/>
      <c r="V786" s="8"/>
    </row>
    <row r="787" spans="1:22" ht="13.5" customHeight="1">
      <c r="A787" s="8"/>
      <c r="B787" s="8"/>
      <c r="C787" s="30"/>
      <c r="D787" s="8"/>
      <c r="E787" s="8"/>
      <c r="F787" s="8"/>
      <c r="G787" s="8"/>
      <c r="H787" s="8"/>
      <c r="I787" s="8"/>
      <c r="J787" s="8"/>
      <c r="K787" s="8"/>
      <c r="L787" s="8"/>
      <c r="M787" s="8"/>
      <c r="N787" s="8"/>
      <c r="O787" s="8"/>
      <c r="P787" s="8"/>
      <c r="Q787" s="8"/>
      <c r="R787" s="8"/>
      <c r="S787" s="8"/>
      <c r="T787" s="8"/>
      <c r="U787" s="8"/>
      <c r="V787" s="8"/>
    </row>
    <row r="788" spans="1:22" ht="13.5" customHeight="1">
      <c r="A788" s="8"/>
      <c r="B788" s="8"/>
      <c r="C788" s="30"/>
      <c r="D788" s="8"/>
      <c r="E788" s="8"/>
      <c r="F788" s="8"/>
      <c r="G788" s="8"/>
      <c r="H788" s="8"/>
      <c r="I788" s="8"/>
      <c r="J788" s="8"/>
      <c r="K788" s="8"/>
      <c r="L788" s="8"/>
      <c r="M788" s="8"/>
      <c r="N788" s="8"/>
      <c r="O788" s="8"/>
      <c r="P788" s="8"/>
      <c r="Q788" s="8"/>
      <c r="R788" s="8"/>
      <c r="S788" s="8"/>
      <c r="T788" s="8"/>
      <c r="U788" s="8"/>
      <c r="V788" s="8"/>
    </row>
    <row r="789" spans="1:22" ht="13.5" customHeight="1">
      <c r="A789" s="8"/>
      <c r="B789" s="8"/>
      <c r="C789" s="30"/>
      <c r="D789" s="8"/>
      <c r="E789" s="8"/>
      <c r="F789" s="8"/>
      <c r="G789" s="8"/>
      <c r="H789" s="8"/>
      <c r="I789" s="8"/>
      <c r="J789" s="8"/>
      <c r="K789" s="8"/>
      <c r="L789" s="8"/>
      <c r="M789" s="8"/>
      <c r="N789" s="8"/>
      <c r="O789" s="8"/>
      <c r="P789" s="8"/>
      <c r="Q789" s="8"/>
      <c r="R789" s="8"/>
      <c r="S789" s="8"/>
      <c r="T789" s="8"/>
      <c r="U789" s="8"/>
      <c r="V789" s="8"/>
    </row>
    <row r="790" spans="1:22" ht="13.5" customHeight="1">
      <c r="A790" s="8"/>
      <c r="B790" s="8"/>
      <c r="C790" s="30"/>
      <c r="D790" s="8"/>
      <c r="E790" s="8"/>
      <c r="F790" s="8"/>
      <c r="G790" s="8"/>
      <c r="H790" s="8"/>
      <c r="I790" s="8"/>
      <c r="J790" s="8"/>
      <c r="K790" s="8"/>
      <c r="L790" s="8"/>
      <c r="M790" s="8"/>
      <c r="N790" s="8"/>
      <c r="O790" s="8"/>
      <c r="P790" s="8"/>
      <c r="Q790" s="8"/>
      <c r="R790" s="8"/>
      <c r="S790" s="8"/>
      <c r="T790" s="8"/>
      <c r="U790" s="8"/>
      <c r="V790" s="8"/>
    </row>
    <row r="791" spans="1:22" ht="13.5" customHeight="1">
      <c r="A791" s="8"/>
      <c r="B791" s="8"/>
      <c r="C791" s="30"/>
      <c r="D791" s="8"/>
      <c r="E791" s="8"/>
      <c r="F791" s="8"/>
      <c r="G791" s="8"/>
      <c r="H791" s="8"/>
      <c r="I791" s="8"/>
      <c r="J791" s="8"/>
      <c r="K791" s="8"/>
      <c r="L791" s="8"/>
      <c r="M791" s="8"/>
      <c r="N791" s="8"/>
      <c r="O791" s="8"/>
      <c r="P791" s="8"/>
      <c r="Q791" s="8"/>
      <c r="R791" s="8"/>
      <c r="S791" s="8"/>
      <c r="T791" s="8"/>
      <c r="U791" s="8"/>
      <c r="V791" s="8"/>
    </row>
    <row r="792" spans="1:22" ht="13.5" customHeight="1">
      <c r="A792" s="8"/>
      <c r="B792" s="8"/>
      <c r="C792" s="30"/>
      <c r="D792" s="8"/>
      <c r="E792" s="8"/>
      <c r="F792" s="8"/>
      <c r="G792" s="8"/>
      <c r="H792" s="8"/>
      <c r="I792" s="8"/>
      <c r="J792" s="8"/>
      <c r="K792" s="8"/>
      <c r="L792" s="8"/>
      <c r="M792" s="8"/>
      <c r="N792" s="8"/>
      <c r="O792" s="8"/>
      <c r="P792" s="8"/>
      <c r="Q792" s="8"/>
      <c r="R792" s="8"/>
      <c r="S792" s="8"/>
      <c r="T792" s="8"/>
      <c r="U792" s="8"/>
      <c r="V792" s="8"/>
    </row>
    <row r="793" spans="1:22" ht="13.5" customHeight="1">
      <c r="A793" s="8"/>
      <c r="B793" s="8"/>
      <c r="C793" s="30"/>
      <c r="D793" s="8"/>
      <c r="E793" s="8"/>
      <c r="F793" s="8"/>
      <c r="G793" s="8"/>
      <c r="H793" s="8"/>
      <c r="I793" s="8"/>
      <c r="J793" s="8"/>
      <c r="K793" s="8"/>
      <c r="L793" s="8"/>
      <c r="M793" s="8"/>
      <c r="N793" s="8"/>
      <c r="O793" s="8"/>
      <c r="P793" s="8"/>
      <c r="Q793" s="8"/>
      <c r="R793" s="8"/>
      <c r="S793" s="8"/>
      <c r="T793" s="8"/>
      <c r="U793" s="8"/>
      <c r="V793" s="8"/>
    </row>
    <row r="794" spans="1:22" ht="13.5" customHeight="1">
      <c r="A794" s="8"/>
      <c r="B794" s="8"/>
      <c r="C794" s="30"/>
      <c r="D794" s="8"/>
      <c r="E794" s="8"/>
      <c r="F794" s="8"/>
      <c r="G794" s="8"/>
      <c r="H794" s="8"/>
      <c r="I794" s="8"/>
      <c r="J794" s="8"/>
      <c r="K794" s="8"/>
      <c r="L794" s="8"/>
      <c r="M794" s="8"/>
      <c r="N794" s="8"/>
      <c r="O794" s="8"/>
      <c r="P794" s="8"/>
      <c r="Q794" s="8"/>
      <c r="R794" s="8"/>
      <c r="S794" s="8"/>
      <c r="T794" s="8"/>
      <c r="U794" s="8"/>
      <c r="V794" s="8"/>
    </row>
    <row r="795" spans="1:22" ht="13.5" customHeight="1">
      <c r="A795" s="8"/>
      <c r="B795" s="8"/>
      <c r="C795" s="30"/>
      <c r="D795" s="8"/>
      <c r="E795" s="8"/>
      <c r="F795" s="8"/>
      <c r="G795" s="8"/>
      <c r="H795" s="8"/>
      <c r="I795" s="8"/>
      <c r="J795" s="8"/>
      <c r="K795" s="8"/>
      <c r="L795" s="8"/>
      <c r="M795" s="8"/>
      <c r="N795" s="8"/>
      <c r="O795" s="8"/>
      <c r="P795" s="8"/>
      <c r="Q795" s="8"/>
      <c r="R795" s="8"/>
      <c r="S795" s="8"/>
      <c r="T795" s="8"/>
      <c r="U795" s="8"/>
      <c r="V795" s="8"/>
    </row>
    <row r="796" spans="1:22" ht="13.5" customHeight="1">
      <c r="A796" s="8"/>
      <c r="B796" s="8"/>
      <c r="C796" s="30"/>
      <c r="D796" s="8"/>
      <c r="E796" s="8"/>
      <c r="F796" s="8"/>
      <c r="G796" s="8"/>
      <c r="H796" s="8"/>
      <c r="I796" s="8"/>
      <c r="J796" s="8"/>
      <c r="K796" s="8"/>
      <c r="L796" s="8"/>
      <c r="M796" s="8"/>
      <c r="N796" s="8"/>
      <c r="O796" s="8"/>
      <c r="P796" s="8"/>
      <c r="Q796" s="8"/>
      <c r="R796" s="8"/>
      <c r="S796" s="8"/>
      <c r="T796" s="8"/>
      <c r="U796" s="8"/>
      <c r="V796" s="8"/>
    </row>
    <row r="797" spans="1:22" ht="13.5" customHeight="1">
      <c r="A797" s="8"/>
      <c r="B797" s="8"/>
      <c r="C797" s="30"/>
      <c r="D797" s="8"/>
      <c r="E797" s="8"/>
      <c r="F797" s="8"/>
      <c r="G797" s="8"/>
      <c r="H797" s="8"/>
      <c r="I797" s="8"/>
      <c r="J797" s="8"/>
      <c r="K797" s="8"/>
      <c r="L797" s="8"/>
      <c r="M797" s="8"/>
      <c r="N797" s="8"/>
      <c r="O797" s="8"/>
      <c r="P797" s="8"/>
      <c r="Q797" s="8"/>
      <c r="R797" s="8"/>
      <c r="S797" s="8"/>
      <c r="T797" s="8"/>
      <c r="U797" s="8"/>
      <c r="V797" s="8"/>
    </row>
    <row r="798" spans="1:22" ht="13.5" customHeight="1">
      <c r="A798" s="8"/>
      <c r="B798" s="8"/>
      <c r="C798" s="30"/>
      <c r="D798" s="8"/>
      <c r="E798" s="8"/>
      <c r="F798" s="8"/>
      <c r="G798" s="8"/>
      <c r="H798" s="8"/>
      <c r="I798" s="8"/>
      <c r="J798" s="8"/>
      <c r="K798" s="8"/>
      <c r="L798" s="8"/>
      <c r="M798" s="8"/>
      <c r="N798" s="8"/>
      <c r="O798" s="8"/>
      <c r="P798" s="8"/>
      <c r="Q798" s="8"/>
      <c r="R798" s="8"/>
      <c r="S798" s="8"/>
      <c r="T798" s="8"/>
      <c r="U798" s="8"/>
      <c r="V798" s="8"/>
    </row>
    <row r="799" spans="1:22" ht="13.5" customHeight="1">
      <c r="A799" s="8"/>
      <c r="B799" s="8"/>
      <c r="C799" s="30"/>
      <c r="D799" s="8"/>
      <c r="E799" s="8"/>
      <c r="F799" s="8"/>
      <c r="G799" s="8"/>
      <c r="H799" s="8"/>
      <c r="I799" s="8"/>
      <c r="J799" s="8"/>
      <c r="K799" s="8"/>
      <c r="L799" s="8"/>
      <c r="M799" s="8"/>
      <c r="N799" s="8"/>
      <c r="O799" s="8"/>
      <c r="P799" s="8"/>
      <c r="Q799" s="8"/>
      <c r="R799" s="8"/>
      <c r="S799" s="8"/>
      <c r="T799" s="8"/>
      <c r="U799" s="8"/>
      <c r="V799" s="8"/>
    </row>
    <row r="800" spans="1:22" ht="13.5" customHeight="1">
      <c r="A800" s="8"/>
      <c r="B800" s="8"/>
      <c r="C800" s="30"/>
      <c r="D800" s="8"/>
      <c r="E800" s="8"/>
      <c r="F800" s="8"/>
      <c r="G800" s="8"/>
      <c r="H800" s="8"/>
      <c r="I800" s="8"/>
      <c r="J800" s="8"/>
      <c r="K800" s="8"/>
      <c r="L800" s="8"/>
      <c r="M800" s="8"/>
      <c r="N800" s="8"/>
      <c r="O800" s="8"/>
      <c r="P800" s="8"/>
      <c r="Q800" s="8"/>
      <c r="R800" s="8"/>
      <c r="S800" s="8"/>
      <c r="T800" s="8"/>
      <c r="U800" s="8"/>
      <c r="V800" s="8"/>
    </row>
    <row r="801" spans="1:22" ht="13.5" customHeight="1">
      <c r="A801" s="8"/>
      <c r="B801" s="8"/>
      <c r="C801" s="30"/>
      <c r="D801" s="8"/>
      <c r="E801" s="8"/>
      <c r="F801" s="8"/>
      <c r="G801" s="8"/>
      <c r="H801" s="8"/>
      <c r="I801" s="8"/>
      <c r="J801" s="8"/>
      <c r="K801" s="8"/>
      <c r="L801" s="8"/>
      <c r="M801" s="8"/>
      <c r="N801" s="8"/>
      <c r="O801" s="8"/>
      <c r="P801" s="8"/>
      <c r="Q801" s="8"/>
      <c r="R801" s="8"/>
      <c r="S801" s="8"/>
      <c r="T801" s="8"/>
      <c r="U801" s="8"/>
      <c r="V801" s="8"/>
    </row>
    <row r="802" spans="1:22" ht="13.5" customHeight="1">
      <c r="A802" s="8"/>
      <c r="B802" s="8"/>
      <c r="C802" s="30"/>
      <c r="D802" s="8"/>
      <c r="E802" s="8"/>
      <c r="F802" s="8"/>
      <c r="G802" s="8"/>
      <c r="H802" s="8"/>
      <c r="I802" s="8"/>
      <c r="J802" s="8"/>
      <c r="K802" s="8"/>
      <c r="L802" s="8"/>
      <c r="M802" s="8"/>
      <c r="N802" s="8"/>
      <c r="O802" s="8"/>
      <c r="P802" s="8"/>
      <c r="Q802" s="8"/>
      <c r="R802" s="8"/>
      <c r="S802" s="8"/>
      <c r="T802" s="8"/>
      <c r="U802" s="8"/>
      <c r="V802" s="8"/>
    </row>
    <row r="803" spans="1:22" ht="13.5" customHeight="1">
      <c r="A803" s="8"/>
      <c r="B803" s="8"/>
      <c r="C803" s="30"/>
      <c r="D803" s="8"/>
      <c r="E803" s="8"/>
      <c r="F803" s="8"/>
      <c r="G803" s="8"/>
      <c r="H803" s="8"/>
      <c r="I803" s="8"/>
      <c r="J803" s="8"/>
      <c r="K803" s="8"/>
      <c r="L803" s="8"/>
      <c r="M803" s="8"/>
      <c r="N803" s="8"/>
      <c r="O803" s="8"/>
      <c r="P803" s="8"/>
      <c r="Q803" s="8"/>
      <c r="R803" s="8"/>
      <c r="S803" s="8"/>
      <c r="T803" s="8"/>
      <c r="U803" s="8"/>
      <c r="V803" s="8"/>
    </row>
    <row r="804" spans="1:22" ht="13.5" customHeight="1">
      <c r="A804" s="8"/>
      <c r="B804" s="8"/>
      <c r="C804" s="30"/>
      <c r="D804" s="8"/>
      <c r="E804" s="8"/>
      <c r="F804" s="8"/>
      <c r="G804" s="8"/>
      <c r="H804" s="8"/>
      <c r="I804" s="8"/>
      <c r="J804" s="8"/>
      <c r="K804" s="8"/>
      <c r="L804" s="8"/>
      <c r="M804" s="8"/>
      <c r="N804" s="8"/>
      <c r="O804" s="8"/>
      <c r="P804" s="8"/>
      <c r="Q804" s="8"/>
      <c r="R804" s="8"/>
      <c r="S804" s="8"/>
      <c r="T804" s="8"/>
      <c r="U804" s="8"/>
      <c r="V804" s="8"/>
    </row>
    <row r="805" spans="1:22" ht="13.5" customHeight="1">
      <c r="A805" s="8"/>
      <c r="B805" s="8"/>
      <c r="C805" s="30"/>
      <c r="D805" s="8"/>
      <c r="E805" s="8"/>
      <c r="F805" s="8"/>
      <c r="G805" s="8"/>
      <c r="H805" s="8"/>
      <c r="I805" s="8"/>
      <c r="J805" s="8"/>
      <c r="K805" s="8"/>
      <c r="L805" s="8"/>
      <c r="M805" s="8"/>
      <c r="N805" s="8"/>
      <c r="O805" s="8"/>
      <c r="P805" s="8"/>
      <c r="Q805" s="8"/>
      <c r="R805" s="8"/>
      <c r="S805" s="8"/>
      <c r="T805" s="8"/>
      <c r="U805" s="8"/>
      <c r="V805" s="8"/>
    </row>
    <row r="806" spans="1:22" ht="13.5" customHeight="1">
      <c r="A806" s="8"/>
      <c r="B806" s="8"/>
      <c r="C806" s="30"/>
      <c r="D806" s="8"/>
      <c r="E806" s="8"/>
      <c r="F806" s="8"/>
      <c r="G806" s="8"/>
      <c r="H806" s="8"/>
      <c r="I806" s="8"/>
      <c r="J806" s="8"/>
      <c r="K806" s="8"/>
      <c r="L806" s="8"/>
      <c r="M806" s="8"/>
      <c r="N806" s="8"/>
      <c r="O806" s="8"/>
      <c r="P806" s="8"/>
      <c r="Q806" s="8"/>
      <c r="R806" s="8"/>
      <c r="S806" s="8"/>
      <c r="T806" s="8"/>
      <c r="U806" s="8"/>
      <c r="V806" s="8"/>
    </row>
    <row r="807" spans="1:22" ht="13.5" customHeight="1">
      <c r="A807" s="8"/>
      <c r="B807" s="8"/>
      <c r="C807" s="30"/>
      <c r="D807" s="8"/>
      <c r="E807" s="8"/>
      <c r="F807" s="8"/>
      <c r="G807" s="8"/>
      <c r="H807" s="8"/>
      <c r="I807" s="8"/>
      <c r="J807" s="8"/>
      <c r="K807" s="8"/>
      <c r="L807" s="8"/>
      <c r="M807" s="8"/>
      <c r="N807" s="8"/>
      <c r="O807" s="8"/>
      <c r="P807" s="8"/>
      <c r="Q807" s="8"/>
      <c r="R807" s="8"/>
      <c r="S807" s="8"/>
      <c r="T807" s="8"/>
      <c r="U807" s="8"/>
      <c r="V807" s="8"/>
    </row>
    <row r="808" spans="1:22" ht="13.5" customHeight="1">
      <c r="A808" s="8"/>
      <c r="B808" s="8"/>
      <c r="C808" s="30"/>
      <c r="D808" s="8"/>
      <c r="E808" s="8"/>
      <c r="F808" s="8"/>
      <c r="G808" s="8"/>
      <c r="H808" s="8"/>
      <c r="I808" s="8"/>
      <c r="J808" s="8"/>
      <c r="K808" s="8"/>
      <c r="L808" s="8"/>
      <c r="M808" s="8"/>
      <c r="N808" s="8"/>
      <c r="O808" s="8"/>
      <c r="P808" s="8"/>
      <c r="Q808" s="8"/>
      <c r="R808" s="8"/>
      <c r="S808" s="8"/>
      <c r="T808" s="8"/>
      <c r="U808" s="8"/>
      <c r="V808" s="8"/>
    </row>
    <row r="809" spans="1:22" ht="13.5" customHeight="1">
      <c r="A809" s="8"/>
      <c r="B809" s="8"/>
      <c r="C809" s="30"/>
      <c r="D809" s="8"/>
      <c r="E809" s="8"/>
      <c r="F809" s="8"/>
      <c r="G809" s="8"/>
      <c r="H809" s="8"/>
      <c r="I809" s="8"/>
      <c r="J809" s="8"/>
      <c r="K809" s="8"/>
      <c r="L809" s="8"/>
      <c r="M809" s="8"/>
      <c r="N809" s="8"/>
      <c r="O809" s="8"/>
      <c r="P809" s="8"/>
      <c r="Q809" s="8"/>
      <c r="R809" s="8"/>
      <c r="S809" s="8"/>
      <c r="T809" s="8"/>
      <c r="U809" s="8"/>
      <c r="V809" s="8"/>
    </row>
    <row r="810" spans="1:22" ht="13.5" customHeight="1">
      <c r="A810" s="8"/>
      <c r="B810" s="8"/>
      <c r="C810" s="30"/>
      <c r="D810" s="8"/>
      <c r="E810" s="8"/>
      <c r="F810" s="8"/>
      <c r="G810" s="8"/>
      <c r="H810" s="8"/>
      <c r="I810" s="8"/>
      <c r="J810" s="8"/>
      <c r="K810" s="8"/>
      <c r="L810" s="8"/>
      <c r="M810" s="8"/>
      <c r="N810" s="8"/>
      <c r="O810" s="8"/>
      <c r="P810" s="8"/>
      <c r="Q810" s="8"/>
      <c r="R810" s="8"/>
      <c r="S810" s="8"/>
      <c r="T810" s="8"/>
      <c r="U810" s="8"/>
      <c r="V810" s="8"/>
    </row>
    <row r="811" spans="1:22" ht="13.5" customHeight="1">
      <c r="A811" s="8"/>
      <c r="B811" s="8"/>
      <c r="C811" s="30"/>
      <c r="D811" s="8"/>
      <c r="E811" s="8"/>
      <c r="F811" s="8"/>
      <c r="G811" s="8"/>
      <c r="H811" s="8"/>
      <c r="I811" s="8"/>
      <c r="J811" s="8"/>
      <c r="K811" s="8"/>
      <c r="L811" s="8"/>
      <c r="M811" s="8"/>
      <c r="N811" s="8"/>
      <c r="O811" s="8"/>
      <c r="P811" s="8"/>
      <c r="Q811" s="8"/>
      <c r="R811" s="8"/>
      <c r="S811" s="8"/>
      <c r="T811" s="8"/>
      <c r="U811" s="8"/>
      <c r="V811" s="8"/>
    </row>
    <row r="812" spans="1:22" ht="13.5" customHeight="1">
      <c r="A812" s="8"/>
      <c r="B812" s="8"/>
      <c r="C812" s="30"/>
      <c r="D812" s="8"/>
      <c r="E812" s="8"/>
      <c r="F812" s="8"/>
      <c r="G812" s="8"/>
      <c r="H812" s="8"/>
      <c r="I812" s="8"/>
      <c r="J812" s="8"/>
      <c r="K812" s="8"/>
      <c r="L812" s="8"/>
      <c r="M812" s="8"/>
      <c r="N812" s="8"/>
      <c r="O812" s="8"/>
      <c r="P812" s="8"/>
      <c r="Q812" s="8"/>
      <c r="R812" s="8"/>
      <c r="S812" s="8"/>
      <c r="T812" s="8"/>
      <c r="U812" s="8"/>
      <c r="V812" s="8"/>
    </row>
    <row r="813" spans="1:22" ht="13.5" customHeight="1">
      <c r="A813" s="8"/>
      <c r="B813" s="8"/>
      <c r="C813" s="30"/>
      <c r="D813" s="8"/>
      <c r="E813" s="8"/>
      <c r="F813" s="8"/>
      <c r="G813" s="8"/>
      <c r="H813" s="8"/>
      <c r="I813" s="8"/>
      <c r="J813" s="8"/>
      <c r="K813" s="8"/>
      <c r="L813" s="8"/>
      <c r="M813" s="8"/>
      <c r="N813" s="8"/>
      <c r="O813" s="8"/>
      <c r="P813" s="8"/>
      <c r="Q813" s="8"/>
      <c r="R813" s="8"/>
      <c r="S813" s="8"/>
      <c r="T813" s="8"/>
      <c r="U813" s="8"/>
      <c r="V813" s="8"/>
    </row>
    <row r="814" spans="1:22" ht="13.5" customHeight="1">
      <c r="A814" s="8"/>
      <c r="B814" s="8"/>
      <c r="C814" s="30"/>
      <c r="D814" s="8"/>
      <c r="E814" s="8"/>
      <c r="F814" s="8"/>
      <c r="G814" s="8"/>
      <c r="H814" s="8"/>
      <c r="I814" s="8"/>
      <c r="J814" s="8"/>
      <c r="K814" s="8"/>
      <c r="L814" s="8"/>
      <c r="M814" s="8"/>
      <c r="N814" s="8"/>
      <c r="O814" s="8"/>
      <c r="P814" s="8"/>
      <c r="Q814" s="8"/>
      <c r="R814" s="8"/>
      <c r="S814" s="8"/>
      <c r="T814" s="8"/>
      <c r="U814" s="8"/>
      <c r="V814" s="8"/>
    </row>
    <row r="815" spans="1:22" ht="13.5" customHeight="1">
      <c r="A815" s="8"/>
      <c r="B815" s="8"/>
      <c r="C815" s="30"/>
      <c r="D815" s="8"/>
      <c r="E815" s="8"/>
      <c r="F815" s="8"/>
      <c r="G815" s="8"/>
      <c r="H815" s="8"/>
      <c r="I815" s="8"/>
      <c r="J815" s="8"/>
      <c r="K815" s="8"/>
      <c r="L815" s="8"/>
      <c r="M815" s="8"/>
      <c r="N815" s="8"/>
      <c r="O815" s="8"/>
      <c r="P815" s="8"/>
      <c r="Q815" s="8"/>
      <c r="R815" s="8"/>
      <c r="S815" s="8"/>
      <c r="T815" s="8"/>
      <c r="U815" s="8"/>
      <c r="V815" s="8"/>
    </row>
    <row r="816" spans="1:22" ht="13.5" customHeight="1">
      <c r="A816" s="8"/>
      <c r="B816" s="8"/>
      <c r="C816" s="30"/>
      <c r="D816" s="8"/>
      <c r="E816" s="8"/>
      <c r="F816" s="8"/>
      <c r="G816" s="8"/>
      <c r="H816" s="8"/>
      <c r="I816" s="8"/>
      <c r="J816" s="8"/>
      <c r="K816" s="8"/>
      <c r="L816" s="8"/>
      <c r="M816" s="8"/>
      <c r="N816" s="8"/>
      <c r="O816" s="8"/>
      <c r="P816" s="8"/>
      <c r="Q816" s="8"/>
      <c r="R816" s="8"/>
      <c r="S816" s="8"/>
      <c r="T816" s="8"/>
      <c r="U816" s="8"/>
      <c r="V816" s="8"/>
    </row>
    <row r="817" spans="1:22" ht="13.5" customHeight="1">
      <c r="A817" s="8"/>
      <c r="B817" s="8"/>
      <c r="C817" s="30"/>
      <c r="D817" s="8"/>
      <c r="E817" s="8"/>
      <c r="F817" s="8"/>
      <c r="G817" s="8"/>
      <c r="H817" s="8"/>
      <c r="I817" s="8"/>
      <c r="J817" s="8"/>
      <c r="K817" s="8"/>
      <c r="L817" s="8"/>
      <c r="M817" s="8"/>
      <c r="N817" s="8"/>
      <c r="O817" s="8"/>
      <c r="P817" s="8"/>
      <c r="Q817" s="8"/>
      <c r="R817" s="8"/>
      <c r="S817" s="8"/>
      <c r="T817" s="8"/>
      <c r="U817" s="8"/>
      <c r="V817" s="8"/>
    </row>
    <row r="818" spans="1:22" ht="13.5" customHeight="1">
      <c r="A818" s="8"/>
      <c r="B818" s="8"/>
      <c r="C818" s="30"/>
      <c r="D818" s="8"/>
      <c r="E818" s="8"/>
      <c r="F818" s="8"/>
      <c r="G818" s="8"/>
      <c r="H818" s="8"/>
      <c r="I818" s="8"/>
      <c r="J818" s="8"/>
      <c r="K818" s="8"/>
      <c r="L818" s="8"/>
      <c r="M818" s="8"/>
      <c r="N818" s="8"/>
      <c r="O818" s="8"/>
      <c r="P818" s="8"/>
      <c r="Q818" s="8"/>
      <c r="R818" s="8"/>
      <c r="S818" s="8"/>
      <c r="T818" s="8"/>
      <c r="U818" s="8"/>
      <c r="V818" s="8"/>
    </row>
    <row r="819" spans="1:22" ht="13.5" customHeight="1">
      <c r="A819" s="8"/>
      <c r="B819" s="8"/>
      <c r="C819" s="30"/>
      <c r="D819" s="8"/>
      <c r="E819" s="8"/>
      <c r="F819" s="8"/>
      <c r="G819" s="8"/>
      <c r="H819" s="8"/>
      <c r="I819" s="8"/>
      <c r="J819" s="8"/>
      <c r="K819" s="8"/>
      <c r="L819" s="8"/>
      <c r="M819" s="8"/>
      <c r="N819" s="8"/>
      <c r="O819" s="8"/>
      <c r="P819" s="8"/>
      <c r="Q819" s="8"/>
      <c r="R819" s="8"/>
      <c r="S819" s="8"/>
      <c r="T819" s="8"/>
      <c r="U819" s="8"/>
      <c r="V819" s="8"/>
    </row>
    <row r="820" spans="1:22" ht="13.5" customHeight="1">
      <c r="A820" s="8"/>
      <c r="B820" s="8"/>
      <c r="C820" s="30"/>
      <c r="D820" s="8"/>
      <c r="E820" s="8"/>
      <c r="F820" s="8"/>
      <c r="G820" s="8"/>
      <c r="H820" s="8"/>
      <c r="I820" s="8"/>
      <c r="J820" s="8"/>
      <c r="K820" s="8"/>
      <c r="L820" s="8"/>
      <c r="M820" s="8"/>
      <c r="N820" s="8"/>
      <c r="O820" s="8"/>
      <c r="P820" s="8"/>
      <c r="Q820" s="8"/>
      <c r="R820" s="8"/>
      <c r="S820" s="8"/>
      <c r="T820" s="8"/>
      <c r="U820" s="8"/>
      <c r="V820" s="8"/>
    </row>
    <row r="821" spans="1:22" ht="13.5" customHeight="1">
      <c r="A821" s="8"/>
      <c r="B821" s="8"/>
      <c r="C821" s="30"/>
      <c r="D821" s="8"/>
      <c r="E821" s="8"/>
      <c r="F821" s="8"/>
      <c r="G821" s="8"/>
      <c r="H821" s="8"/>
      <c r="I821" s="8"/>
      <c r="J821" s="8"/>
      <c r="K821" s="8"/>
      <c r="L821" s="8"/>
      <c r="M821" s="8"/>
      <c r="N821" s="8"/>
      <c r="O821" s="8"/>
      <c r="P821" s="8"/>
      <c r="Q821" s="8"/>
      <c r="R821" s="8"/>
      <c r="S821" s="8"/>
      <c r="T821" s="8"/>
      <c r="U821" s="8"/>
      <c r="V821" s="8"/>
    </row>
    <row r="822" spans="1:22" ht="13.5" customHeight="1">
      <c r="A822" s="8"/>
      <c r="B822" s="8"/>
      <c r="C822" s="30"/>
      <c r="D822" s="8"/>
      <c r="E822" s="8"/>
      <c r="F822" s="8"/>
      <c r="G822" s="8"/>
      <c r="H822" s="8"/>
      <c r="I822" s="8"/>
      <c r="J822" s="8"/>
      <c r="K822" s="8"/>
      <c r="L822" s="8"/>
      <c r="M822" s="8"/>
      <c r="N822" s="8"/>
      <c r="O822" s="8"/>
      <c r="P822" s="8"/>
      <c r="Q822" s="8"/>
      <c r="R822" s="8"/>
      <c r="S822" s="8"/>
      <c r="T822" s="8"/>
      <c r="U822" s="8"/>
      <c r="V822" s="8"/>
    </row>
    <row r="823" spans="1:22" ht="13.5" customHeight="1">
      <c r="A823" s="8"/>
      <c r="B823" s="8"/>
      <c r="C823" s="30"/>
      <c r="D823" s="8"/>
      <c r="E823" s="8"/>
      <c r="F823" s="8"/>
      <c r="G823" s="8"/>
      <c r="H823" s="8"/>
      <c r="I823" s="8"/>
      <c r="J823" s="8"/>
      <c r="K823" s="8"/>
      <c r="L823" s="8"/>
      <c r="M823" s="8"/>
      <c r="N823" s="8"/>
      <c r="O823" s="8"/>
      <c r="P823" s="8"/>
      <c r="Q823" s="8"/>
      <c r="R823" s="8"/>
      <c r="S823" s="8"/>
      <c r="T823" s="8"/>
      <c r="U823" s="8"/>
      <c r="V823" s="8"/>
    </row>
    <row r="824" spans="1:22" ht="13.5" customHeight="1">
      <c r="A824" s="8"/>
      <c r="B824" s="8"/>
      <c r="C824" s="30"/>
      <c r="D824" s="8"/>
      <c r="E824" s="8"/>
      <c r="F824" s="8"/>
      <c r="G824" s="8"/>
      <c r="H824" s="8"/>
      <c r="I824" s="8"/>
      <c r="J824" s="8"/>
      <c r="K824" s="8"/>
      <c r="L824" s="8"/>
      <c r="M824" s="8"/>
      <c r="N824" s="8"/>
      <c r="O824" s="8"/>
      <c r="P824" s="8"/>
      <c r="Q824" s="8"/>
      <c r="R824" s="8"/>
      <c r="S824" s="8"/>
      <c r="T824" s="8"/>
      <c r="U824" s="8"/>
      <c r="V824" s="8"/>
    </row>
    <row r="825" spans="1:22" ht="13.5" customHeight="1">
      <c r="A825" s="8"/>
      <c r="B825" s="8"/>
      <c r="C825" s="30"/>
      <c r="D825" s="8"/>
      <c r="E825" s="8"/>
      <c r="F825" s="8"/>
      <c r="G825" s="8"/>
      <c r="H825" s="8"/>
      <c r="I825" s="8"/>
      <c r="J825" s="8"/>
      <c r="K825" s="8"/>
      <c r="L825" s="8"/>
      <c r="M825" s="8"/>
      <c r="N825" s="8"/>
      <c r="O825" s="8"/>
      <c r="P825" s="8"/>
      <c r="Q825" s="8"/>
      <c r="R825" s="8"/>
      <c r="S825" s="8"/>
      <c r="T825" s="8"/>
      <c r="U825" s="8"/>
      <c r="V825" s="8"/>
    </row>
    <row r="826" spans="1:22" ht="13.5" customHeight="1">
      <c r="A826" s="8"/>
      <c r="B826" s="8"/>
      <c r="C826" s="30"/>
      <c r="D826" s="8"/>
      <c r="E826" s="8"/>
      <c r="F826" s="8"/>
      <c r="G826" s="8"/>
      <c r="H826" s="8"/>
      <c r="I826" s="8"/>
      <c r="J826" s="8"/>
      <c r="K826" s="8"/>
      <c r="L826" s="8"/>
      <c r="M826" s="8"/>
      <c r="N826" s="8"/>
      <c r="O826" s="8"/>
      <c r="P826" s="8"/>
      <c r="Q826" s="8"/>
      <c r="R826" s="8"/>
      <c r="S826" s="8"/>
      <c r="T826" s="8"/>
      <c r="U826" s="8"/>
      <c r="V826" s="8"/>
    </row>
    <row r="827" spans="1:22" ht="13.5" customHeight="1">
      <c r="A827" s="8"/>
      <c r="B827" s="8"/>
      <c r="C827" s="30"/>
      <c r="D827" s="8"/>
      <c r="E827" s="8"/>
      <c r="F827" s="8"/>
      <c r="G827" s="8"/>
      <c r="H827" s="8"/>
      <c r="I827" s="8"/>
      <c r="J827" s="8"/>
      <c r="K827" s="8"/>
      <c r="L827" s="8"/>
      <c r="M827" s="8"/>
      <c r="N827" s="8"/>
      <c r="O827" s="8"/>
      <c r="P827" s="8"/>
      <c r="Q827" s="8"/>
      <c r="R827" s="8"/>
      <c r="S827" s="8"/>
      <c r="T827" s="8"/>
      <c r="U827" s="8"/>
      <c r="V827" s="8"/>
    </row>
    <row r="828" spans="1:22" ht="13.5" customHeight="1">
      <c r="A828" s="8"/>
      <c r="B828" s="8"/>
      <c r="C828" s="30"/>
      <c r="D828" s="8"/>
      <c r="E828" s="8"/>
      <c r="F828" s="8"/>
      <c r="G828" s="8"/>
      <c r="H828" s="8"/>
      <c r="I828" s="8"/>
      <c r="J828" s="8"/>
      <c r="K828" s="8"/>
      <c r="L828" s="8"/>
      <c r="M828" s="8"/>
      <c r="N828" s="8"/>
      <c r="O828" s="8"/>
      <c r="P828" s="8"/>
      <c r="Q828" s="8"/>
      <c r="R828" s="8"/>
      <c r="S828" s="8"/>
      <c r="T828" s="8"/>
      <c r="U828" s="8"/>
      <c r="V828" s="8"/>
    </row>
    <row r="829" spans="1:22" ht="13.5" customHeight="1">
      <c r="A829" s="8"/>
      <c r="B829" s="8"/>
      <c r="C829" s="30"/>
      <c r="D829" s="8"/>
      <c r="E829" s="8"/>
      <c r="F829" s="8"/>
      <c r="G829" s="8"/>
      <c r="H829" s="8"/>
      <c r="I829" s="8"/>
      <c r="J829" s="8"/>
      <c r="K829" s="8"/>
      <c r="L829" s="8"/>
      <c r="M829" s="8"/>
      <c r="N829" s="8"/>
      <c r="O829" s="8"/>
      <c r="P829" s="8"/>
      <c r="Q829" s="8"/>
      <c r="R829" s="8"/>
      <c r="S829" s="8"/>
      <c r="T829" s="8"/>
      <c r="U829" s="8"/>
      <c r="V829" s="8"/>
    </row>
    <row r="830" spans="1:22" ht="13.5" customHeight="1">
      <c r="A830" s="8"/>
      <c r="B830" s="8"/>
      <c r="C830" s="30"/>
      <c r="D830" s="8"/>
      <c r="E830" s="8"/>
      <c r="F830" s="8"/>
      <c r="G830" s="8"/>
      <c r="H830" s="8"/>
      <c r="I830" s="8"/>
      <c r="J830" s="8"/>
      <c r="K830" s="8"/>
      <c r="L830" s="8"/>
      <c r="M830" s="8"/>
      <c r="N830" s="8"/>
      <c r="O830" s="8"/>
      <c r="P830" s="8"/>
      <c r="Q830" s="8"/>
      <c r="R830" s="8"/>
      <c r="S830" s="8"/>
      <c r="T830" s="8"/>
      <c r="U830" s="8"/>
      <c r="V830" s="8"/>
    </row>
    <row r="831" spans="1:22" ht="13.5" customHeight="1">
      <c r="A831" s="8"/>
      <c r="B831" s="8"/>
      <c r="C831" s="30"/>
      <c r="D831" s="8"/>
      <c r="E831" s="8"/>
      <c r="F831" s="8"/>
      <c r="G831" s="8"/>
      <c r="H831" s="8"/>
      <c r="I831" s="8"/>
      <c r="J831" s="8"/>
      <c r="K831" s="8"/>
      <c r="L831" s="8"/>
      <c r="M831" s="8"/>
      <c r="N831" s="8"/>
      <c r="O831" s="8"/>
      <c r="P831" s="8"/>
      <c r="Q831" s="8"/>
      <c r="R831" s="8"/>
      <c r="S831" s="8"/>
      <c r="T831" s="8"/>
      <c r="U831" s="8"/>
      <c r="V831" s="8"/>
    </row>
    <row r="832" spans="1:22" ht="13.5" customHeight="1">
      <c r="A832" s="8"/>
      <c r="B832" s="8"/>
      <c r="C832" s="30"/>
      <c r="D832" s="8"/>
      <c r="E832" s="8"/>
      <c r="F832" s="8"/>
      <c r="G832" s="8"/>
      <c r="H832" s="8"/>
      <c r="I832" s="8"/>
      <c r="J832" s="8"/>
      <c r="K832" s="8"/>
      <c r="L832" s="8"/>
      <c r="M832" s="8"/>
      <c r="N832" s="8"/>
      <c r="O832" s="8"/>
      <c r="P832" s="8"/>
      <c r="Q832" s="8"/>
      <c r="R832" s="8"/>
      <c r="S832" s="8"/>
      <c r="T832" s="8"/>
      <c r="U832" s="8"/>
      <c r="V832" s="8"/>
    </row>
    <row r="833" spans="1:22" ht="13.5" customHeight="1">
      <c r="A833" s="8"/>
      <c r="B833" s="8"/>
      <c r="C833" s="30"/>
      <c r="D833" s="8"/>
      <c r="E833" s="8"/>
      <c r="F833" s="8"/>
      <c r="G833" s="8"/>
      <c r="H833" s="8"/>
      <c r="I833" s="8"/>
      <c r="J833" s="8"/>
      <c r="K833" s="8"/>
      <c r="L833" s="8"/>
      <c r="M833" s="8"/>
      <c r="N833" s="8"/>
      <c r="O833" s="8"/>
      <c r="P833" s="8"/>
      <c r="Q833" s="8"/>
      <c r="R833" s="8"/>
      <c r="S833" s="8"/>
      <c r="T833" s="8"/>
      <c r="U833" s="8"/>
      <c r="V833" s="8"/>
    </row>
    <row r="834" spans="1:22" ht="13.5" customHeight="1">
      <c r="A834" s="8"/>
      <c r="B834" s="8"/>
      <c r="C834" s="30"/>
      <c r="D834" s="8"/>
      <c r="E834" s="8"/>
      <c r="F834" s="8"/>
      <c r="G834" s="8"/>
      <c r="H834" s="8"/>
      <c r="I834" s="8"/>
      <c r="J834" s="8"/>
      <c r="K834" s="8"/>
      <c r="L834" s="8"/>
      <c r="M834" s="8"/>
      <c r="N834" s="8"/>
      <c r="O834" s="8"/>
      <c r="P834" s="8"/>
      <c r="Q834" s="8"/>
      <c r="R834" s="8"/>
      <c r="S834" s="8"/>
      <c r="T834" s="8"/>
      <c r="U834" s="8"/>
      <c r="V834" s="8"/>
    </row>
    <row r="835" spans="1:22" ht="13.5" customHeight="1">
      <c r="A835" s="8"/>
      <c r="B835" s="8"/>
      <c r="C835" s="30"/>
      <c r="D835" s="8"/>
      <c r="E835" s="8"/>
      <c r="F835" s="8"/>
      <c r="G835" s="8"/>
      <c r="H835" s="8"/>
      <c r="I835" s="8"/>
      <c r="J835" s="8"/>
      <c r="K835" s="8"/>
      <c r="L835" s="8"/>
      <c r="M835" s="8"/>
      <c r="N835" s="8"/>
      <c r="O835" s="8"/>
      <c r="P835" s="8"/>
      <c r="Q835" s="8"/>
      <c r="R835" s="8"/>
      <c r="S835" s="8"/>
      <c r="T835" s="8"/>
      <c r="U835" s="8"/>
      <c r="V835" s="8"/>
    </row>
    <row r="836" spans="1:22" ht="13.5" customHeight="1">
      <c r="A836" s="8"/>
      <c r="B836" s="8"/>
      <c r="C836" s="30"/>
      <c r="D836" s="8"/>
      <c r="E836" s="8"/>
      <c r="F836" s="8"/>
      <c r="G836" s="8"/>
      <c r="H836" s="8"/>
      <c r="I836" s="8"/>
      <c r="J836" s="8"/>
      <c r="K836" s="8"/>
      <c r="L836" s="8"/>
      <c r="M836" s="8"/>
      <c r="N836" s="8"/>
      <c r="O836" s="8"/>
      <c r="P836" s="8"/>
      <c r="Q836" s="8"/>
      <c r="R836" s="8"/>
      <c r="S836" s="8"/>
      <c r="T836" s="8"/>
      <c r="U836" s="8"/>
      <c r="V836" s="8"/>
    </row>
    <row r="837" spans="1:22" ht="13.5" customHeight="1">
      <c r="A837" s="8"/>
      <c r="B837" s="8"/>
      <c r="C837" s="30"/>
      <c r="D837" s="8"/>
      <c r="E837" s="8"/>
      <c r="F837" s="8"/>
      <c r="G837" s="8"/>
      <c r="H837" s="8"/>
      <c r="I837" s="8"/>
      <c r="J837" s="8"/>
      <c r="K837" s="8"/>
      <c r="L837" s="8"/>
      <c r="M837" s="8"/>
      <c r="N837" s="8"/>
      <c r="O837" s="8"/>
      <c r="P837" s="8"/>
      <c r="Q837" s="8"/>
      <c r="R837" s="8"/>
      <c r="S837" s="8"/>
      <c r="T837" s="8"/>
      <c r="U837" s="8"/>
      <c r="V837" s="8"/>
    </row>
    <row r="838" spans="1:22" ht="13.5" customHeight="1">
      <c r="A838" s="8"/>
      <c r="B838" s="8"/>
      <c r="C838" s="30"/>
      <c r="D838" s="8"/>
      <c r="E838" s="8"/>
      <c r="F838" s="8"/>
      <c r="G838" s="8"/>
      <c r="H838" s="8"/>
      <c r="I838" s="8"/>
      <c r="J838" s="8"/>
      <c r="K838" s="8"/>
      <c r="L838" s="8"/>
      <c r="M838" s="8"/>
      <c r="N838" s="8"/>
      <c r="O838" s="8"/>
      <c r="P838" s="8"/>
      <c r="Q838" s="8"/>
      <c r="R838" s="8"/>
      <c r="S838" s="8"/>
      <c r="T838" s="8"/>
      <c r="U838" s="8"/>
      <c r="V838" s="8"/>
    </row>
    <row r="839" spans="1:22" ht="13.5" customHeight="1">
      <c r="A839" s="8"/>
      <c r="B839" s="8"/>
      <c r="C839" s="30"/>
      <c r="D839" s="8"/>
      <c r="E839" s="8"/>
      <c r="F839" s="8"/>
      <c r="G839" s="8"/>
      <c r="H839" s="8"/>
      <c r="I839" s="8"/>
      <c r="J839" s="8"/>
      <c r="K839" s="8"/>
      <c r="L839" s="8"/>
      <c r="M839" s="8"/>
      <c r="N839" s="8"/>
      <c r="O839" s="8"/>
      <c r="P839" s="8"/>
      <c r="Q839" s="8"/>
      <c r="R839" s="8"/>
      <c r="S839" s="8"/>
      <c r="T839" s="8"/>
      <c r="U839" s="8"/>
      <c r="V839" s="8"/>
    </row>
    <row r="840" spans="1:22" ht="13.5" customHeight="1">
      <c r="A840" s="8"/>
      <c r="B840" s="8"/>
      <c r="C840" s="30"/>
      <c r="D840" s="8"/>
      <c r="E840" s="8"/>
      <c r="F840" s="8"/>
      <c r="G840" s="8"/>
      <c r="H840" s="8"/>
      <c r="I840" s="8"/>
      <c r="J840" s="8"/>
      <c r="K840" s="8"/>
      <c r="L840" s="8"/>
      <c r="M840" s="8"/>
      <c r="N840" s="8"/>
      <c r="O840" s="8"/>
      <c r="P840" s="8"/>
      <c r="Q840" s="8"/>
      <c r="R840" s="8"/>
      <c r="S840" s="8"/>
      <c r="T840" s="8"/>
      <c r="U840" s="8"/>
      <c r="V840" s="8"/>
    </row>
    <row r="841" spans="1:22" ht="13.5" customHeight="1">
      <c r="A841" s="8"/>
      <c r="B841" s="8"/>
      <c r="C841" s="30"/>
      <c r="D841" s="8"/>
      <c r="E841" s="8"/>
      <c r="F841" s="8"/>
      <c r="G841" s="8"/>
      <c r="H841" s="8"/>
      <c r="I841" s="8"/>
      <c r="J841" s="8"/>
      <c r="K841" s="8"/>
      <c r="L841" s="8"/>
      <c r="M841" s="8"/>
      <c r="N841" s="8"/>
      <c r="O841" s="8"/>
      <c r="P841" s="8"/>
      <c r="Q841" s="8"/>
      <c r="R841" s="8"/>
      <c r="S841" s="8"/>
      <c r="T841" s="8"/>
      <c r="U841" s="8"/>
      <c r="V841" s="8"/>
    </row>
    <row r="842" spans="1:22" ht="13.5" customHeight="1">
      <c r="A842" s="8"/>
      <c r="B842" s="8"/>
      <c r="C842" s="30"/>
      <c r="D842" s="8"/>
      <c r="E842" s="8"/>
      <c r="F842" s="8"/>
      <c r="G842" s="8"/>
      <c r="H842" s="8"/>
      <c r="I842" s="8"/>
      <c r="J842" s="8"/>
      <c r="K842" s="8"/>
      <c r="L842" s="8"/>
      <c r="M842" s="8"/>
      <c r="N842" s="8"/>
      <c r="O842" s="8"/>
      <c r="P842" s="8"/>
      <c r="Q842" s="8"/>
      <c r="R842" s="8"/>
      <c r="S842" s="8"/>
      <c r="T842" s="8"/>
      <c r="U842" s="8"/>
      <c r="V842" s="8"/>
    </row>
    <row r="843" spans="1:22" ht="13.5" customHeight="1">
      <c r="A843" s="8"/>
      <c r="B843" s="8"/>
      <c r="C843" s="30"/>
      <c r="D843" s="8"/>
      <c r="E843" s="8"/>
      <c r="F843" s="8"/>
      <c r="G843" s="8"/>
      <c r="H843" s="8"/>
      <c r="I843" s="8"/>
      <c r="J843" s="8"/>
      <c r="K843" s="8"/>
      <c r="L843" s="8"/>
      <c r="M843" s="8"/>
      <c r="N843" s="8"/>
      <c r="O843" s="8"/>
      <c r="P843" s="8"/>
      <c r="Q843" s="8"/>
      <c r="R843" s="8"/>
      <c r="S843" s="8"/>
      <c r="T843" s="8"/>
      <c r="U843" s="8"/>
      <c r="V843" s="8"/>
    </row>
    <row r="844" spans="1:22" ht="13.5" customHeight="1">
      <c r="A844" s="8"/>
      <c r="B844" s="8"/>
      <c r="C844" s="30"/>
      <c r="D844" s="8"/>
      <c r="E844" s="8"/>
      <c r="F844" s="8"/>
      <c r="G844" s="8"/>
      <c r="H844" s="8"/>
      <c r="I844" s="8"/>
      <c r="J844" s="8"/>
      <c r="K844" s="8"/>
      <c r="L844" s="8"/>
      <c r="M844" s="8"/>
      <c r="N844" s="8"/>
      <c r="O844" s="8"/>
      <c r="P844" s="8"/>
      <c r="Q844" s="8"/>
      <c r="R844" s="8"/>
      <c r="S844" s="8"/>
      <c r="T844" s="8"/>
      <c r="U844" s="8"/>
      <c r="V844" s="8"/>
    </row>
    <row r="845" spans="1:22" ht="13.5" customHeight="1">
      <c r="A845" s="8"/>
      <c r="B845" s="8"/>
      <c r="C845" s="30"/>
      <c r="D845" s="8"/>
      <c r="E845" s="8"/>
      <c r="F845" s="8"/>
      <c r="G845" s="8"/>
      <c r="H845" s="8"/>
      <c r="I845" s="8"/>
      <c r="J845" s="8"/>
      <c r="K845" s="8"/>
      <c r="L845" s="8"/>
      <c r="M845" s="8"/>
      <c r="N845" s="8"/>
      <c r="O845" s="8"/>
      <c r="P845" s="8"/>
      <c r="Q845" s="8"/>
      <c r="R845" s="8"/>
      <c r="S845" s="8"/>
      <c r="T845" s="8"/>
      <c r="U845" s="8"/>
      <c r="V845" s="8"/>
    </row>
    <row r="846" spans="1:22" ht="13.5" customHeight="1">
      <c r="A846" s="8"/>
      <c r="B846" s="8"/>
      <c r="C846" s="30"/>
      <c r="D846" s="8"/>
      <c r="E846" s="8"/>
      <c r="F846" s="8"/>
      <c r="G846" s="8"/>
      <c r="H846" s="8"/>
      <c r="I846" s="8"/>
      <c r="J846" s="8"/>
      <c r="K846" s="8"/>
      <c r="L846" s="8"/>
      <c r="M846" s="8"/>
      <c r="N846" s="8"/>
      <c r="O846" s="8"/>
      <c r="P846" s="8"/>
      <c r="Q846" s="8"/>
      <c r="R846" s="8"/>
      <c r="S846" s="8"/>
      <c r="T846" s="8"/>
      <c r="U846" s="8"/>
      <c r="V846" s="8"/>
    </row>
    <row r="847" spans="1:22" ht="13.5" customHeight="1">
      <c r="A847" s="8"/>
      <c r="B847" s="8"/>
      <c r="C847" s="30"/>
      <c r="D847" s="8"/>
      <c r="E847" s="8"/>
      <c r="F847" s="8"/>
      <c r="G847" s="8"/>
      <c r="H847" s="8"/>
      <c r="I847" s="8"/>
      <c r="J847" s="8"/>
      <c r="K847" s="8"/>
      <c r="L847" s="8"/>
      <c r="M847" s="8"/>
      <c r="N847" s="8"/>
      <c r="O847" s="8"/>
      <c r="P847" s="8"/>
      <c r="Q847" s="8"/>
      <c r="R847" s="8"/>
      <c r="S847" s="8"/>
      <c r="T847" s="8"/>
      <c r="U847" s="8"/>
      <c r="V847" s="8"/>
    </row>
    <row r="848" spans="1:22" ht="13.5" customHeight="1">
      <c r="A848" s="8"/>
      <c r="B848" s="8"/>
      <c r="C848" s="30"/>
      <c r="D848" s="8"/>
      <c r="E848" s="8"/>
      <c r="F848" s="8"/>
      <c r="G848" s="8"/>
      <c r="H848" s="8"/>
      <c r="I848" s="8"/>
      <c r="J848" s="8"/>
      <c r="K848" s="8"/>
      <c r="L848" s="8"/>
      <c r="M848" s="8"/>
      <c r="N848" s="8"/>
      <c r="O848" s="8"/>
      <c r="P848" s="8"/>
      <c r="Q848" s="8"/>
      <c r="R848" s="8"/>
      <c r="S848" s="8"/>
      <c r="T848" s="8"/>
      <c r="U848" s="8"/>
      <c r="V848" s="8"/>
    </row>
    <row r="849" spans="1:22" ht="13.5" customHeight="1">
      <c r="A849" s="8"/>
      <c r="B849" s="8"/>
      <c r="C849" s="30"/>
      <c r="D849" s="8"/>
      <c r="E849" s="8"/>
      <c r="F849" s="8"/>
      <c r="G849" s="8"/>
      <c r="H849" s="8"/>
      <c r="I849" s="8"/>
      <c r="J849" s="8"/>
      <c r="K849" s="8"/>
      <c r="L849" s="8"/>
      <c r="M849" s="8"/>
      <c r="N849" s="8"/>
      <c r="O849" s="8"/>
      <c r="P849" s="8"/>
      <c r="Q849" s="8"/>
      <c r="R849" s="8"/>
      <c r="S849" s="8"/>
      <c r="T849" s="8"/>
      <c r="U849" s="8"/>
      <c r="V849" s="8"/>
    </row>
    <row r="850" spans="1:22" ht="13.5" customHeight="1">
      <c r="A850" s="8"/>
      <c r="B850" s="8"/>
      <c r="C850" s="30"/>
      <c r="D850" s="8"/>
      <c r="E850" s="8"/>
      <c r="F850" s="8"/>
      <c r="G850" s="8"/>
      <c r="H850" s="8"/>
      <c r="I850" s="8"/>
      <c r="J850" s="8"/>
      <c r="K850" s="8"/>
      <c r="L850" s="8"/>
      <c r="M850" s="8"/>
      <c r="N850" s="8"/>
      <c r="O850" s="8"/>
      <c r="P850" s="8"/>
      <c r="Q850" s="8"/>
      <c r="R850" s="8"/>
      <c r="S850" s="8"/>
      <c r="T850" s="8"/>
      <c r="U850" s="8"/>
      <c r="V850" s="8"/>
    </row>
    <row r="851" spans="1:22" ht="13.5" customHeight="1">
      <c r="A851" s="8"/>
      <c r="B851" s="8"/>
      <c r="C851" s="30"/>
      <c r="D851" s="8"/>
      <c r="E851" s="8"/>
      <c r="F851" s="8"/>
      <c r="G851" s="8"/>
      <c r="H851" s="8"/>
      <c r="I851" s="8"/>
      <c r="J851" s="8"/>
      <c r="K851" s="8"/>
      <c r="L851" s="8"/>
      <c r="M851" s="8"/>
      <c r="N851" s="8"/>
      <c r="O851" s="8"/>
      <c r="P851" s="8"/>
      <c r="Q851" s="8"/>
      <c r="R851" s="8"/>
      <c r="S851" s="8"/>
      <c r="T851" s="8"/>
      <c r="U851" s="8"/>
      <c r="V851" s="8"/>
    </row>
    <row r="852" spans="1:22" ht="13.5" customHeight="1">
      <c r="A852" s="8"/>
      <c r="B852" s="8"/>
      <c r="C852" s="30"/>
      <c r="D852" s="8"/>
      <c r="E852" s="8"/>
      <c r="F852" s="8"/>
      <c r="G852" s="8"/>
      <c r="H852" s="8"/>
      <c r="I852" s="8"/>
      <c r="J852" s="8"/>
      <c r="K852" s="8"/>
      <c r="L852" s="8"/>
      <c r="M852" s="8"/>
      <c r="N852" s="8"/>
      <c r="O852" s="8"/>
      <c r="P852" s="8"/>
      <c r="Q852" s="8"/>
      <c r="R852" s="8"/>
      <c r="S852" s="8"/>
      <c r="T852" s="8"/>
      <c r="U852" s="8"/>
      <c r="V852" s="8"/>
    </row>
    <row r="853" spans="1:22" ht="13.5" customHeight="1">
      <c r="A853" s="8"/>
      <c r="B853" s="8"/>
      <c r="C853" s="30"/>
      <c r="D853" s="8"/>
      <c r="E853" s="8"/>
      <c r="F853" s="8"/>
      <c r="G853" s="8"/>
      <c r="H853" s="8"/>
      <c r="I853" s="8"/>
      <c r="J853" s="8"/>
      <c r="K853" s="8"/>
      <c r="L853" s="8"/>
      <c r="M853" s="8"/>
      <c r="N853" s="8"/>
      <c r="O853" s="8"/>
      <c r="P853" s="8"/>
      <c r="Q853" s="8"/>
      <c r="R853" s="8"/>
      <c r="S853" s="8"/>
      <c r="T853" s="8"/>
      <c r="U853" s="8"/>
      <c r="V853" s="8"/>
    </row>
    <row r="854" spans="1:22" ht="13.5" customHeight="1">
      <c r="A854" s="8"/>
      <c r="B854" s="8"/>
      <c r="C854" s="30"/>
      <c r="D854" s="8"/>
      <c r="E854" s="8"/>
      <c r="F854" s="8"/>
      <c r="G854" s="8"/>
      <c r="H854" s="8"/>
      <c r="I854" s="8"/>
      <c r="J854" s="8"/>
      <c r="K854" s="8"/>
      <c r="L854" s="8"/>
      <c r="M854" s="8"/>
      <c r="N854" s="8"/>
      <c r="O854" s="8"/>
      <c r="P854" s="8"/>
      <c r="Q854" s="8"/>
      <c r="R854" s="8"/>
      <c r="S854" s="8"/>
      <c r="T854" s="8"/>
      <c r="U854" s="8"/>
      <c r="V854" s="8"/>
    </row>
    <row r="855" spans="1:22" ht="13.5" customHeight="1">
      <c r="A855" s="8"/>
      <c r="B855" s="8"/>
      <c r="C855" s="30"/>
      <c r="D855" s="8"/>
      <c r="E855" s="8"/>
      <c r="F855" s="8"/>
      <c r="G855" s="8"/>
      <c r="H855" s="8"/>
      <c r="I855" s="8"/>
      <c r="J855" s="8"/>
      <c r="K855" s="8"/>
      <c r="L855" s="8"/>
      <c r="M855" s="8"/>
      <c r="N855" s="8"/>
      <c r="O855" s="8"/>
      <c r="P855" s="8"/>
      <c r="Q855" s="8"/>
      <c r="R855" s="8"/>
      <c r="S855" s="8"/>
      <c r="T855" s="8"/>
      <c r="U855" s="8"/>
      <c r="V855" s="8"/>
    </row>
    <row r="856" spans="1:22" ht="13.5" customHeight="1">
      <c r="A856" s="8"/>
      <c r="B856" s="8"/>
      <c r="C856" s="30"/>
      <c r="D856" s="8"/>
      <c r="E856" s="8"/>
      <c r="F856" s="8"/>
      <c r="G856" s="8"/>
      <c r="H856" s="8"/>
      <c r="I856" s="8"/>
      <c r="J856" s="8"/>
      <c r="K856" s="8"/>
      <c r="L856" s="8"/>
      <c r="M856" s="8"/>
      <c r="N856" s="8"/>
      <c r="O856" s="8"/>
      <c r="P856" s="8"/>
      <c r="Q856" s="8"/>
      <c r="R856" s="8"/>
      <c r="S856" s="8"/>
      <c r="T856" s="8"/>
      <c r="U856" s="8"/>
      <c r="V856" s="8"/>
    </row>
    <row r="857" spans="1:22" ht="13.5" customHeight="1">
      <c r="A857" s="8"/>
      <c r="B857" s="8"/>
      <c r="C857" s="30"/>
      <c r="D857" s="8"/>
      <c r="E857" s="8"/>
      <c r="F857" s="8"/>
      <c r="G857" s="8"/>
      <c r="H857" s="8"/>
      <c r="I857" s="8"/>
      <c r="J857" s="8"/>
      <c r="K857" s="8"/>
      <c r="L857" s="8"/>
      <c r="M857" s="8"/>
      <c r="N857" s="8"/>
      <c r="O857" s="8"/>
      <c r="P857" s="8"/>
      <c r="Q857" s="8"/>
      <c r="R857" s="8"/>
      <c r="S857" s="8"/>
      <c r="T857" s="8"/>
      <c r="U857" s="8"/>
      <c r="V857" s="8"/>
    </row>
    <row r="858" spans="1:22" ht="13.5" customHeight="1">
      <c r="A858" s="8"/>
      <c r="B858" s="8"/>
      <c r="C858" s="30"/>
      <c r="D858" s="8"/>
      <c r="E858" s="8"/>
      <c r="F858" s="8"/>
      <c r="G858" s="8"/>
      <c r="H858" s="8"/>
      <c r="I858" s="8"/>
      <c r="J858" s="8"/>
      <c r="K858" s="8"/>
      <c r="L858" s="8"/>
      <c r="M858" s="8"/>
      <c r="N858" s="8"/>
      <c r="O858" s="8"/>
      <c r="P858" s="8"/>
      <c r="Q858" s="8"/>
      <c r="R858" s="8"/>
      <c r="S858" s="8"/>
      <c r="T858" s="8"/>
      <c r="U858" s="8"/>
      <c r="V858" s="8"/>
    </row>
    <row r="859" spans="1:22" ht="13.5" customHeight="1">
      <c r="A859" s="8"/>
      <c r="B859" s="8"/>
      <c r="C859" s="30"/>
      <c r="D859" s="8"/>
      <c r="E859" s="8"/>
      <c r="F859" s="8"/>
      <c r="G859" s="8"/>
      <c r="H859" s="8"/>
      <c r="I859" s="8"/>
      <c r="J859" s="8"/>
      <c r="K859" s="8"/>
      <c r="L859" s="8"/>
      <c r="M859" s="8"/>
      <c r="N859" s="8"/>
      <c r="O859" s="8"/>
      <c r="P859" s="8"/>
      <c r="Q859" s="8"/>
      <c r="R859" s="8"/>
      <c r="S859" s="8"/>
      <c r="T859" s="8"/>
      <c r="U859" s="8"/>
      <c r="V859" s="8"/>
    </row>
    <row r="860" spans="1:22" ht="13.5" customHeight="1">
      <c r="A860" s="8"/>
      <c r="B860" s="8"/>
      <c r="C860" s="30"/>
      <c r="D860" s="8"/>
      <c r="E860" s="8"/>
      <c r="F860" s="8"/>
      <c r="G860" s="8"/>
      <c r="H860" s="8"/>
      <c r="I860" s="8"/>
      <c r="J860" s="8"/>
      <c r="K860" s="8"/>
      <c r="L860" s="8"/>
      <c r="M860" s="8"/>
      <c r="N860" s="8"/>
      <c r="O860" s="8"/>
      <c r="P860" s="8"/>
      <c r="Q860" s="8"/>
      <c r="R860" s="8"/>
      <c r="S860" s="8"/>
      <c r="T860" s="8"/>
      <c r="U860" s="8"/>
      <c r="V860" s="8"/>
    </row>
    <row r="861" spans="1:22" ht="13.5" customHeight="1">
      <c r="A861" s="8"/>
      <c r="B861" s="8"/>
      <c r="C861" s="30"/>
      <c r="D861" s="8"/>
      <c r="E861" s="8"/>
      <c r="F861" s="8"/>
      <c r="G861" s="8"/>
      <c r="H861" s="8"/>
      <c r="I861" s="8"/>
      <c r="J861" s="8"/>
      <c r="K861" s="8"/>
      <c r="L861" s="8"/>
      <c r="M861" s="8"/>
      <c r="N861" s="8"/>
      <c r="O861" s="8"/>
      <c r="P861" s="8"/>
      <c r="Q861" s="8"/>
      <c r="R861" s="8"/>
      <c r="S861" s="8"/>
      <c r="T861" s="8"/>
      <c r="U861" s="8"/>
      <c r="V861" s="8"/>
    </row>
    <row r="862" spans="1:22" ht="13.5" customHeight="1">
      <c r="A862" s="8"/>
      <c r="B862" s="8"/>
      <c r="C862" s="30"/>
      <c r="D862" s="8"/>
      <c r="E862" s="8"/>
      <c r="F862" s="8"/>
      <c r="G862" s="8"/>
      <c r="H862" s="8"/>
      <c r="I862" s="8"/>
      <c r="J862" s="8"/>
      <c r="K862" s="8"/>
      <c r="L862" s="8"/>
      <c r="M862" s="8"/>
      <c r="N862" s="8"/>
      <c r="O862" s="8"/>
      <c r="P862" s="8"/>
      <c r="Q862" s="8"/>
      <c r="R862" s="8"/>
      <c r="S862" s="8"/>
      <c r="T862" s="8"/>
      <c r="U862" s="8"/>
      <c r="V862" s="8"/>
    </row>
    <row r="863" spans="1:22" ht="13.5" customHeight="1">
      <c r="A863" s="8"/>
      <c r="B863" s="8"/>
      <c r="C863" s="30"/>
      <c r="D863" s="8"/>
      <c r="E863" s="8"/>
      <c r="F863" s="8"/>
      <c r="G863" s="8"/>
      <c r="H863" s="8"/>
      <c r="I863" s="8"/>
      <c r="J863" s="8"/>
      <c r="K863" s="8"/>
      <c r="L863" s="8"/>
      <c r="M863" s="8"/>
      <c r="N863" s="8"/>
      <c r="O863" s="8"/>
      <c r="P863" s="8"/>
      <c r="Q863" s="8"/>
      <c r="R863" s="8"/>
      <c r="S863" s="8"/>
      <c r="T863" s="8"/>
      <c r="U863" s="8"/>
      <c r="V863" s="8"/>
    </row>
    <row r="864" spans="1:22" ht="13.5" customHeight="1">
      <c r="A864" s="8"/>
      <c r="B864" s="8"/>
      <c r="C864" s="30"/>
      <c r="D864" s="8"/>
      <c r="E864" s="8"/>
      <c r="F864" s="8"/>
      <c r="G864" s="8"/>
      <c r="H864" s="8"/>
      <c r="I864" s="8"/>
      <c r="J864" s="8"/>
      <c r="K864" s="8"/>
      <c r="L864" s="8"/>
      <c r="M864" s="8"/>
      <c r="N864" s="8"/>
      <c r="O864" s="8"/>
      <c r="P864" s="8"/>
      <c r="Q864" s="8"/>
      <c r="R864" s="8"/>
      <c r="S864" s="8"/>
      <c r="T864" s="8"/>
      <c r="U864" s="8"/>
      <c r="V864" s="8"/>
    </row>
    <row r="865" spans="1:22" ht="13.5" customHeight="1">
      <c r="A865" s="8"/>
      <c r="B865" s="8"/>
      <c r="C865" s="30"/>
      <c r="D865" s="8"/>
      <c r="E865" s="8"/>
      <c r="F865" s="8"/>
      <c r="G865" s="8"/>
      <c r="H865" s="8"/>
      <c r="I865" s="8"/>
      <c r="J865" s="8"/>
      <c r="K865" s="8"/>
      <c r="L865" s="8"/>
      <c r="M865" s="8"/>
      <c r="N865" s="8"/>
      <c r="O865" s="8"/>
      <c r="P865" s="8"/>
      <c r="Q865" s="8"/>
      <c r="R865" s="8"/>
      <c r="S865" s="8"/>
      <c r="T865" s="8"/>
      <c r="U865" s="8"/>
      <c r="V865" s="8"/>
    </row>
    <row r="866" spans="1:22" ht="13.5" customHeight="1">
      <c r="A866" s="8"/>
      <c r="B866" s="8"/>
      <c r="C866" s="30"/>
      <c r="D866" s="8"/>
      <c r="E866" s="8"/>
      <c r="F866" s="8"/>
      <c r="G866" s="8"/>
      <c r="H866" s="8"/>
      <c r="I866" s="8"/>
      <c r="J866" s="8"/>
      <c r="K866" s="8"/>
      <c r="L866" s="8"/>
      <c r="M866" s="8"/>
      <c r="N866" s="8"/>
      <c r="O866" s="8"/>
      <c r="P866" s="8"/>
      <c r="Q866" s="8"/>
      <c r="R866" s="8"/>
      <c r="S866" s="8"/>
      <c r="T866" s="8"/>
      <c r="U866" s="8"/>
      <c r="V866" s="8"/>
    </row>
    <row r="867" spans="1:22" ht="13.5" customHeight="1">
      <c r="A867" s="8"/>
      <c r="B867" s="8"/>
      <c r="C867" s="30"/>
      <c r="D867" s="8"/>
      <c r="E867" s="8"/>
      <c r="F867" s="8"/>
      <c r="G867" s="8"/>
      <c r="H867" s="8"/>
      <c r="I867" s="8"/>
      <c r="J867" s="8"/>
      <c r="K867" s="8"/>
      <c r="L867" s="8"/>
      <c r="M867" s="8"/>
      <c r="N867" s="8"/>
      <c r="O867" s="8"/>
      <c r="P867" s="8"/>
      <c r="Q867" s="8"/>
      <c r="R867" s="8"/>
      <c r="S867" s="8"/>
      <c r="T867" s="8"/>
      <c r="U867" s="8"/>
      <c r="V867" s="8"/>
    </row>
    <row r="868" spans="1:22" ht="13.5" customHeight="1">
      <c r="A868" s="8"/>
      <c r="B868" s="8"/>
      <c r="C868" s="30"/>
      <c r="D868" s="8"/>
      <c r="E868" s="8"/>
      <c r="F868" s="8"/>
      <c r="G868" s="8"/>
      <c r="H868" s="8"/>
      <c r="I868" s="8"/>
      <c r="J868" s="8"/>
      <c r="K868" s="8"/>
      <c r="L868" s="8"/>
      <c r="M868" s="8"/>
      <c r="N868" s="8"/>
      <c r="O868" s="8"/>
      <c r="P868" s="8"/>
      <c r="Q868" s="8"/>
      <c r="R868" s="8"/>
      <c r="S868" s="8"/>
      <c r="T868" s="8"/>
      <c r="U868" s="8"/>
      <c r="V868" s="8"/>
    </row>
    <row r="869" spans="1:22" ht="13.5" customHeight="1">
      <c r="A869" s="8"/>
      <c r="B869" s="8"/>
      <c r="C869" s="30"/>
      <c r="D869" s="8"/>
      <c r="E869" s="8"/>
      <c r="F869" s="8"/>
      <c r="G869" s="8"/>
      <c r="H869" s="8"/>
      <c r="I869" s="8"/>
      <c r="J869" s="8"/>
      <c r="K869" s="8"/>
      <c r="L869" s="8"/>
      <c r="M869" s="8"/>
      <c r="N869" s="8"/>
      <c r="O869" s="8"/>
      <c r="P869" s="8"/>
      <c r="Q869" s="8"/>
      <c r="R869" s="8"/>
      <c r="S869" s="8"/>
      <c r="T869" s="8"/>
      <c r="U869" s="8"/>
      <c r="V869" s="8"/>
    </row>
    <row r="870" spans="1:22" ht="13.5" customHeight="1">
      <c r="A870" s="8"/>
      <c r="B870" s="8"/>
      <c r="C870" s="30"/>
      <c r="D870" s="8"/>
      <c r="E870" s="8"/>
      <c r="F870" s="8"/>
      <c r="G870" s="8"/>
      <c r="H870" s="8"/>
      <c r="I870" s="8"/>
      <c r="J870" s="8"/>
      <c r="K870" s="8"/>
      <c r="L870" s="8"/>
      <c r="M870" s="8"/>
      <c r="N870" s="8"/>
      <c r="O870" s="8"/>
      <c r="P870" s="8"/>
      <c r="Q870" s="8"/>
      <c r="R870" s="8"/>
      <c r="S870" s="8"/>
      <c r="T870" s="8"/>
      <c r="U870" s="8"/>
      <c r="V870" s="8"/>
    </row>
    <row r="871" spans="1:22" ht="13.5" customHeight="1">
      <c r="A871" s="8"/>
      <c r="B871" s="8"/>
      <c r="C871" s="30"/>
      <c r="D871" s="8"/>
      <c r="E871" s="8"/>
      <c r="F871" s="8"/>
      <c r="G871" s="8"/>
      <c r="H871" s="8"/>
      <c r="I871" s="8"/>
      <c r="J871" s="8"/>
      <c r="K871" s="8"/>
      <c r="L871" s="8"/>
      <c r="M871" s="8"/>
      <c r="N871" s="8"/>
      <c r="O871" s="8"/>
      <c r="P871" s="8"/>
      <c r="Q871" s="8"/>
      <c r="R871" s="8"/>
      <c r="S871" s="8"/>
      <c r="T871" s="8"/>
      <c r="U871" s="8"/>
      <c r="V871" s="8"/>
    </row>
    <row r="872" spans="1:22" ht="13.5" customHeight="1">
      <c r="A872" s="8"/>
      <c r="B872" s="8"/>
      <c r="C872" s="30"/>
      <c r="D872" s="8"/>
      <c r="E872" s="8"/>
      <c r="F872" s="8"/>
      <c r="G872" s="8"/>
      <c r="H872" s="8"/>
      <c r="I872" s="8"/>
      <c r="J872" s="8"/>
      <c r="K872" s="8"/>
      <c r="L872" s="8"/>
      <c r="M872" s="8"/>
      <c r="N872" s="8"/>
      <c r="O872" s="8"/>
      <c r="P872" s="8"/>
      <c r="Q872" s="8"/>
      <c r="R872" s="8"/>
      <c r="S872" s="8"/>
      <c r="T872" s="8"/>
      <c r="U872" s="8"/>
      <c r="V872" s="8"/>
    </row>
    <row r="873" spans="1:22" ht="13.5" customHeight="1">
      <c r="A873" s="8"/>
      <c r="B873" s="8"/>
      <c r="C873" s="30"/>
      <c r="D873" s="8"/>
      <c r="E873" s="8"/>
      <c r="F873" s="8"/>
      <c r="G873" s="8"/>
      <c r="H873" s="8"/>
      <c r="I873" s="8"/>
      <c r="J873" s="8"/>
      <c r="K873" s="8"/>
      <c r="L873" s="8"/>
      <c r="M873" s="8"/>
      <c r="N873" s="8"/>
      <c r="O873" s="8"/>
      <c r="P873" s="8"/>
      <c r="Q873" s="8"/>
      <c r="R873" s="8"/>
      <c r="S873" s="8"/>
      <c r="T873" s="8"/>
      <c r="U873" s="8"/>
      <c r="V873" s="8"/>
    </row>
    <row r="874" spans="1:22" ht="13.5" customHeight="1">
      <c r="A874" s="8"/>
      <c r="B874" s="8"/>
      <c r="C874" s="30"/>
      <c r="D874" s="8"/>
      <c r="E874" s="8"/>
      <c r="F874" s="8"/>
      <c r="G874" s="8"/>
      <c r="H874" s="8"/>
      <c r="I874" s="8"/>
      <c r="J874" s="8"/>
      <c r="K874" s="8"/>
      <c r="L874" s="8"/>
      <c r="M874" s="8"/>
      <c r="N874" s="8"/>
      <c r="O874" s="8"/>
      <c r="P874" s="8"/>
      <c r="Q874" s="8"/>
      <c r="R874" s="8"/>
      <c r="S874" s="8"/>
      <c r="T874" s="8"/>
      <c r="U874" s="8"/>
      <c r="V874" s="8"/>
    </row>
    <row r="875" spans="1:22" ht="13.5" customHeight="1">
      <c r="A875" s="8"/>
      <c r="B875" s="8"/>
      <c r="C875" s="30"/>
      <c r="D875" s="8"/>
      <c r="E875" s="8"/>
      <c r="F875" s="8"/>
      <c r="G875" s="8"/>
      <c r="H875" s="8"/>
      <c r="I875" s="8"/>
      <c r="J875" s="8"/>
      <c r="K875" s="8"/>
      <c r="L875" s="8"/>
      <c r="M875" s="8"/>
      <c r="N875" s="8"/>
      <c r="O875" s="8"/>
      <c r="P875" s="8"/>
      <c r="Q875" s="8"/>
      <c r="R875" s="8"/>
      <c r="S875" s="8"/>
      <c r="T875" s="8"/>
      <c r="U875" s="8"/>
      <c r="V875" s="8"/>
    </row>
    <row r="876" spans="1:22" ht="13.5" customHeight="1">
      <c r="A876" s="8"/>
      <c r="B876" s="8"/>
      <c r="C876" s="30"/>
      <c r="D876" s="8"/>
      <c r="E876" s="8"/>
      <c r="F876" s="8"/>
      <c r="G876" s="8"/>
      <c r="H876" s="8"/>
      <c r="I876" s="8"/>
      <c r="J876" s="8"/>
      <c r="K876" s="8"/>
      <c r="L876" s="8"/>
      <c r="M876" s="8"/>
      <c r="N876" s="8"/>
      <c r="O876" s="8"/>
      <c r="P876" s="8"/>
      <c r="Q876" s="8"/>
      <c r="R876" s="8"/>
      <c r="S876" s="8"/>
      <c r="T876" s="8"/>
      <c r="U876" s="8"/>
      <c r="V876" s="8"/>
    </row>
    <row r="877" spans="1:22" ht="13.5" customHeight="1">
      <c r="A877" s="8"/>
      <c r="B877" s="8"/>
      <c r="C877" s="30"/>
      <c r="D877" s="8"/>
      <c r="E877" s="8"/>
      <c r="F877" s="8"/>
      <c r="G877" s="8"/>
      <c r="H877" s="8"/>
      <c r="I877" s="8"/>
      <c r="J877" s="8"/>
      <c r="K877" s="8"/>
      <c r="L877" s="8"/>
      <c r="M877" s="8"/>
      <c r="N877" s="8"/>
      <c r="O877" s="8"/>
      <c r="P877" s="8"/>
      <c r="Q877" s="8"/>
      <c r="R877" s="8"/>
      <c r="S877" s="8"/>
      <c r="T877" s="8"/>
      <c r="U877" s="8"/>
      <c r="V877" s="8"/>
    </row>
    <row r="878" spans="1:22" ht="13.5" customHeight="1">
      <c r="A878" s="8"/>
      <c r="B878" s="8"/>
      <c r="C878" s="30"/>
      <c r="D878" s="8"/>
      <c r="E878" s="8"/>
      <c r="F878" s="8"/>
      <c r="G878" s="8"/>
      <c r="H878" s="8"/>
      <c r="I878" s="8"/>
      <c r="J878" s="8"/>
      <c r="K878" s="8"/>
      <c r="L878" s="8"/>
      <c r="M878" s="8"/>
      <c r="N878" s="8"/>
      <c r="O878" s="8"/>
      <c r="P878" s="8"/>
      <c r="Q878" s="8"/>
      <c r="R878" s="8"/>
      <c r="S878" s="8"/>
      <c r="T878" s="8"/>
      <c r="U878" s="8"/>
      <c r="V878" s="8"/>
    </row>
    <row r="879" spans="1:22" ht="13.5" customHeight="1">
      <c r="A879" s="8"/>
      <c r="B879" s="8"/>
      <c r="C879" s="30"/>
      <c r="D879" s="8"/>
      <c r="E879" s="8"/>
      <c r="F879" s="8"/>
      <c r="G879" s="8"/>
      <c r="H879" s="8"/>
      <c r="I879" s="8"/>
      <c r="J879" s="8"/>
      <c r="K879" s="8"/>
      <c r="L879" s="8"/>
      <c r="M879" s="8"/>
      <c r="N879" s="8"/>
      <c r="O879" s="8"/>
      <c r="P879" s="8"/>
      <c r="Q879" s="8"/>
      <c r="R879" s="8"/>
      <c r="S879" s="8"/>
      <c r="T879" s="8"/>
      <c r="U879" s="8"/>
      <c r="V879" s="8"/>
    </row>
    <row r="880" spans="1:22" ht="13.5" customHeight="1">
      <c r="A880" s="8"/>
      <c r="B880" s="8"/>
      <c r="C880" s="30"/>
      <c r="D880" s="8"/>
      <c r="E880" s="8"/>
      <c r="F880" s="8"/>
      <c r="G880" s="8"/>
      <c r="H880" s="8"/>
      <c r="I880" s="8"/>
      <c r="J880" s="8"/>
      <c r="K880" s="8"/>
      <c r="L880" s="8"/>
      <c r="M880" s="8"/>
      <c r="N880" s="8"/>
      <c r="O880" s="8"/>
      <c r="P880" s="8"/>
      <c r="Q880" s="8"/>
      <c r="R880" s="8"/>
      <c r="S880" s="8"/>
      <c r="T880" s="8"/>
      <c r="U880" s="8"/>
      <c r="V880" s="8"/>
    </row>
    <row r="881" spans="1:22" ht="13.5" customHeight="1">
      <c r="A881" s="8"/>
      <c r="B881" s="8"/>
      <c r="C881" s="30"/>
      <c r="D881" s="8"/>
      <c r="E881" s="8"/>
      <c r="F881" s="8"/>
      <c r="G881" s="8"/>
      <c r="H881" s="8"/>
      <c r="I881" s="8"/>
      <c r="J881" s="8"/>
      <c r="K881" s="8"/>
      <c r="L881" s="8"/>
      <c r="M881" s="8"/>
      <c r="N881" s="8"/>
      <c r="O881" s="8"/>
      <c r="P881" s="8"/>
      <c r="Q881" s="8"/>
      <c r="R881" s="8"/>
      <c r="S881" s="8"/>
      <c r="T881" s="8"/>
      <c r="U881" s="8"/>
      <c r="V881" s="8"/>
    </row>
    <row r="882" spans="1:22" ht="13.5" customHeight="1">
      <c r="A882" s="8"/>
      <c r="B882" s="8"/>
      <c r="C882" s="30"/>
      <c r="D882" s="8"/>
      <c r="E882" s="8"/>
      <c r="F882" s="8"/>
      <c r="G882" s="8"/>
      <c r="H882" s="8"/>
      <c r="I882" s="8"/>
      <c r="J882" s="8"/>
      <c r="K882" s="8"/>
      <c r="L882" s="8"/>
      <c r="M882" s="8"/>
      <c r="N882" s="8"/>
      <c r="O882" s="8"/>
      <c r="P882" s="8"/>
      <c r="Q882" s="8"/>
      <c r="R882" s="8"/>
      <c r="S882" s="8"/>
      <c r="T882" s="8"/>
      <c r="U882" s="8"/>
      <c r="V882" s="8"/>
    </row>
    <row r="883" spans="1:22" ht="13.5" customHeight="1">
      <c r="A883" s="8"/>
      <c r="B883" s="8"/>
      <c r="C883" s="30"/>
      <c r="D883" s="8"/>
      <c r="E883" s="8"/>
      <c r="F883" s="8"/>
      <c r="G883" s="8"/>
      <c r="H883" s="8"/>
      <c r="I883" s="8"/>
      <c r="J883" s="8"/>
      <c r="K883" s="8"/>
      <c r="L883" s="8"/>
      <c r="M883" s="8"/>
      <c r="N883" s="8"/>
      <c r="O883" s="8"/>
      <c r="P883" s="8"/>
      <c r="Q883" s="8"/>
      <c r="R883" s="8"/>
      <c r="S883" s="8"/>
      <c r="T883" s="8"/>
      <c r="U883" s="8"/>
      <c r="V883" s="8"/>
    </row>
    <row r="884" spans="1:22" ht="13.5" customHeight="1">
      <c r="A884" s="8"/>
      <c r="B884" s="8"/>
      <c r="C884" s="30"/>
      <c r="D884" s="8"/>
      <c r="E884" s="8"/>
      <c r="F884" s="8"/>
      <c r="G884" s="8"/>
      <c r="H884" s="8"/>
      <c r="I884" s="8"/>
      <c r="J884" s="8"/>
      <c r="K884" s="8"/>
      <c r="L884" s="8"/>
      <c r="M884" s="8"/>
      <c r="N884" s="8"/>
      <c r="O884" s="8"/>
      <c r="P884" s="8"/>
      <c r="Q884" s="8"/>
      <c r="R884" s="8"/>
      <c r="S884" s="8"/>
      <c r="T884" s="8"/>
      <c r="U884" s="8"/>
      <c r="V884" s="8"/>
    </row>
    <row r="885" spans="1:22" ht="13.5" customHeight="1">
      <c r="A885" s="8"/>
      <c r="B885" s="8"/>
      <c r="C885" s="30"/>
      <c r="D885" s="8"/>
      <c r="E885" s="8"/>
      <c r="F885" s="8"/>
      <c r="G885" s="8"/>
      <c r="H885" s="8"/>
      <c r="I885" s="8"/>
      <c r="J885" s="8"/>
      <c r="K885" s="8"/>
      <c r="L885" s="8"/>
      <c r="M885" s="8"/>
      <c r="N885" s="8"/>
      <c r="O885" s="8"/>
      <c r="P885" s="8"/>
      <c r="Q885" s="8"/>
      <c r="R885" s="8"/>
      <c r="S885" s="8"/>
      <c r="T885" s="8"/>
      <c r="U885" s="8"/>
      <c r="V885" s="8"/>
    </row>
    <row r="886" spans="1:22" ht="13.5" customHeight="1">
      <c r="A886" s="8"/>
      <c r="B886" s="8"/>
      <c r="C886" s="30"/>
      <c r="D886" s="8"/>
      <c r="E886" s="8"/>
      <c r="F886" s="8"/>
      <c r="G886" s="8"/>
      <c r="H886" s="8"/>
      <c r="I886" s="8"/>
      <c r="J886" s="8"/>
      <c r="K886" s="8"/>
      <c r="L886" s="8"/>
      <c r="M886" s="8"/>
      <c r="N886" s="8"/>
      <c r="O886" s="8"/>
      <c r="P886" s="8"/>
      <c r="Q886" s="8"/>
      <c r="R886" s="8"/>
      <c r="S886" s="8"/>
      <c r="T886" s="8"/>
      <c r="U886" s="8"/>
      <c r="V886" s="8"/>
    </row>
    <row r="887" spans="1:22" ht="13.5" customHeight="1">
      <c r="A887" s="8"/>
      <c r="B887" s="8"/>
      <c r="C887" s="30"/>
      <c r="D887" s="8"/>
      <c r="E887" s="8"/>
      <c r="F887" s="8"/>
      <c r="G887" s="8"/>
      <c r="H887" s="8"/>
      <c r="I887" s="8"/>
      <c r="J887" s="8"/>
      <c r="K887" s="8"/>
      <c r="L887" s="8"/>
      <c r="M887" s="8"/>
      <c r="N887" s="8"/>
      <c r="O887" s="8"/>
      <c r="P887" s="8"/>
      <c r="Q887" s="8"/>
      <c r="R887" s="8"/>
      <c r="S887" s="8"/>
      <c r="T887" s="8"/>
      <c r="U887" s="8"/>
      <c r="V887" s="8"/>
    </row>
    <row r="888" spans="1:22" ht="13.5" customHeight="1">
      <c r="A888" s="8"/>
      <c r="B888" s="8"/>
      <c r="C888" s="30"/>
      <c r="D888" s="8"/>
      <c r="E888" s="8"/>
      <c r="F888" s="8"/>
      <c r="G888" s="8"/>
      <c r="H888" s="8"/>
      <c r="I888" s="8"/>
      <c r="J888" s="8"/>
      <c r="K888" s="8"/>
      <c r="L888" s="8"/>
      <c r="M888" s="8"/>
      <c r="N888" s="8"/>
      <c r="O888" s="8"/>
      <c r="P888" s="8"/>
      <c r="Q888" s="8"/>
      <c r="R888" s="8"/>
      <c r="S888" s="8"/>
      <c r="T888" s="8"/>
      <c r="U888" s="8"/>
      <c r="V888" s="8"/>
    </row>
    <row r="889" spans="1:22" ht="13.5" customHeight="1">
      <c r="A889" s="8"/>
      <c r="B889" s="8"/>
      <c r="C889" s="30"/>
      <c r="D889" s="8"/>
      <c r="E889" s="8"/>
      <c r="F889" s="8"/>
      <c r="G889" s="8"/>
      <c r="H889" s="8"/>
      <c r="I889" s="8"/>
      <c r="J889" s="8"/>
      <c r="K889" s="8"/>
      <c r="L889" s="8"/>
      <c r="M889" s="8"/>
      <c r="N889" s="8"/>
      <c r="O889" s="8"/>
      <c r="P889" s="8"/>
      <c r="Q889" s="8"/>
      <c r="R889" s="8"/>
      <c r="S889" s="8"/>
      <c r="T889" s="8"/>
      <c r="U889" s="8"/>
      <c r="V889" s="8"/>
    </row>
    <row r="890" spans="1:22" ht="13.5" customHeight="1">
      <c r="A890" s="8"/>
      <c r="B890" s="8"/>
      <c r="C890" s="30"/>
      <c r="D890" s="8"/>
      <c r="E890" s="8"/>
      <c r="F890" s="8"/>
      <c r="G890" s="8"/>
      <c r="H890" s="8"/>
      <c r="I890" s="8"/>
      <c r="J890" s="8"/>
      <c r="K890" s="8"/>
      <c r="L890" s="8"/>
      <c r="M890" s="8"/>
      <c r="N890" s="8"/>
      <c r="O890" s="8"/>
      <c r="P890" s="8"/>
      <c r="Q890" s="8"/>
      <c r="R890" s="8"/>
      <c r="S890" s="8"/>
      <c r="T890" s="8"/>
      <c r="U890" s="8"/>
      <c r="V890" s="8"/>
    </row>
    <row r="891" spans="1:22" ht="13.5" customHeight="1">
      <c r="A891" s="8"/>
      <c r="B891" s="8"/>
      <c r="C891" s="30"/>
      <c r="D891" s="8"/>
      <c r="E891" s="8"/>
      <c r="F891" s="8"/>
      <c r="G891" s="8"/>
      <c r="H891" s="8"/>
      <c r="I891" s="8"/>
      <c r="J891" s="8"/>
      <c r="K891" s="8"/>
      <c r="L891" s="8"/>
      <c r="M891" s="8"/>
      <c r="N891" s="8"/>
      <c r="O891" s="8"/>
      <c r="P891" s="8"/>
      <c r="Q891" s="8"/>
      <c r="R891" s="8"/>
      <c r="S891" s="8"/>
      <c r="T891" s="8"/>
      <c r="U891" s="8"/>
      <c r="V891" s="8"/>
    </row>
    <row r="892" spans="1:22" ht="13.5" customHeight="1">
      <c r="A892" s="8"/>
      <c r="B892" s="8"/>
      <c r="C892" s="30"/>
      <c r="D892" s="8"/>
      <c r="E892" s="8"/>
      <c r="F892" s="8"/>
      <c r="G892" s="8"/>
      <c r="H892" s="8"/>
      <c r="I892" s="8"/>
      <c r="J892" s="8"/>
      <c r="K892" s="8"/>
      <c r="L892" s="8"/>
      <c r="M892" s="8"/>
      <c r="N892" s="8"/>
      <c r="O892" s="8"/>
      <c r="P892" s="8"/>
      <c r="Q892" s="8"/>
      <c r="R892" s="8"/>
      <c r="S892" s="8"/>
      <c r="T892" s="8"/>
      <c r="U892" s="8"/>
      <c r="V892" s="8"/>
    </row>
    <row r="893" spans="1:22" ht="13.5" customHeight="1">
      <c r="A893" s="8"/>
      <c r="B893" s="8"/>
      <c r="C893" s="30"/>
      <c r="D893" s="8"/>
      <c r="E893" s="8"/>
      <c r="F893" s="8"/>
      <c r="G893" s="8"/>
      <c r="H893" s="8"/>
      <c r="I893" s="8"/>
      <c r="J893" s="8"/>
      <c r="K893" s="8"/>
      <c r="L893" s="8"/>
      <c r="M893" s="8"/>
      <c r="N893" s="8"/>
      <c r="O893" s="8"/>
      <c r="P893" s="8"/>
      <c r="Q893" s="8"/>
      <c r="R893" s="8"/>
      <c r="S893" s="8"/>
      <c r="T893" s="8"/>
      <c r="U893" s="8"/>
      <c r="V893" s="8"/>
    </row>
    <row r="894" spans="1:22" ht="13.5" customHeight="1">
      <c r="A894" s="8"/>
      <c r="B894" s="8"/>
      <c r="C894" s="30"/>
      <c r="D894" s="8"/>
      <c r="E894" s="8"/>
      <c r="F894" s="8"/>
      <c r="G894" s="8"/>
      <c r="H894" s="8"/>
      <c r="I894" s="8"/>
      <c r="J894" s="8"/>
      <c r="K894" s="8"/>
      <c r="L894" s="8"/>
      <c r="M894" s="8"/>
      <c r="N894" s="8"/>
      <c r="O894" s="8"/>
      <c r="P894" s="8"/>
      <c r="Q894" s="8"/>
      <c r="R894" s="8"/>
      <c r="S894" s="8"/>
      <c r="T894" s="8"/>
      <c r="U894" s="8"/>
      <c r="V894" s="8"/>
    </row>
    <row r="895" spans="1:22" ht="13.5" customHeight="1">
      <c r="A895" s="8"/>
      <c r="B895" s="8"/>
      <c r="C895" s="30"/>
      <c r="D895" s="8"/>
      <c r="E895" s="8"/>
      <c r="F895" s="8"/>
      <c r="G895" s="8"/>
      <c r="H895" s="8"/>
      <c r="I895" s="8"/>
      <c r="J895" s="8"/>
      <c r="K895" s="8"/>
      <c r="L895" s="8"/>
      <c r="M895" s="8"/>
      <c r="N895" s="8"/>
      <c r="O895" s="8"/>
      <c r="P895" s="8"/>
      <c r="Q895" s="8"/>
      <c r="R895" s="8"/>
      <c r="S895" s="8"/>
      <c r="T895" s="8"/>
      <c r="U895" s="8"/>
      <c r="V895" s="8"/>
    </row>
    <row r="896" spans="1:22" ht="13.5" customHeight="1">
      <c r="A896" s="8"/>
      <c r="B896" s="8"/>
      <c r="C896" s="30"/>
      <c r="D896" s="8"/>
      <c r="E896" s="8"/>
      <c r="F896" s="8"/>
      <c r="G896" s="8"/>
      <c r="H896" s="8"/>
      <c r="I896" s="8"/>
      <c r="J896" s="8"/>
      <c r="K896" s="8"/>
      <c r="L896" s="8"/>
      <c r="M896" s="8"/>
      <c r="N896" s="8"/>
      <c r="O896" s="8"/>
      <c r="P896" s="8"/>
      <c r="Q896" s="8"/>
      <c r="R896" s="8"/>
      <c r="S896" s="8"/>
      <c r="T896" s="8"/>
      <c r="U896" s="8"/>
      <c r="V896" s="8"/>
    </row>
    <row r="897" spans="1:22" ht="13.5" customHeight="1">
      <c r="A897" s="8"/>
      <c r="B897" s="8"/>
      <c r="C897" s="30"/>
      <c r="D897" s="8"/>
      <c r="E897" s="8"/>
      <c r="F897" s="8"/>
      <c r="G897" s="8"/>
      <c r="H897" s="8"/>
      <c r="I897" s="8"/>
      <c r="J897" s="8"/>
      <c r="K897" s="8"/>
      <c r="L897" s="8"/>
      <c r="M897" s="8"/>
      <c r="N897" s="8"/>
      <c r="O897" s="8"/>
      <c r="P897" s="8"/>
      <c r="Q897" s="8"/>
      <c r="R897" s="8"/>
      <c r="S897" s="8"/>
      <c r="T897" s="8"/>
      <c r="U897" s="8"/>
      <c r="V897" s="8"/>
    </row>
    <row r="898" spans="1:22" ht="13.5" customHeight="1">
      <c r="A898" s="8"/>
      <c r="B898" s="8"/>
      <c r="C898" s="30"/>
      <c r="D898" s="8"/>
      <c r="E898" s="8"/>
      <c r="F898" s="8"/>
      <c r="G898" s="8"/>
      <c r="H898" s="8"/>
      <c r="I898" s="8"/>
      <c r="J898" s="8"/>
      <c r="K898" s="8"/>
      <c r="L898" s="8"/>
      <c r="M898" s="8"/>
      <c r="N898" s="8"/>
      <c r="O898" s="8"/>
      <c r="P898" s="8"/>
      <c r="Q898" s="8"/>
      <c r="R898" s="8"/>
      <c r="S898" s="8"/>
      <c r="T898" s="8"/>
      <c r="U898" s="8"/>
      <c r="V898" s="8"/>
    </row>
    <row r="899" spans="1:22" ht="13.5" customHeight="1">
      <c r="A899" s="8"/>
      <c r="B899" s="8"/>
      <c r="C899" s="30"/>
      <c r="D899" s="8"/>
      <c r="E899" s="8"/>
      <c r="F899" s="8"/>
      <c r="G899" s="8"/>
      <c r="H899" s="8"/>
      <c r="I899" s="8"/>
      <c r="J899" s="8"/>
      <c r="K899" s="8"/>
      <c r="L899" s="8"/>
      <c r="M899" s="8"/>
      <c r="N899" s="8"/>
      <c r="O899" s="8"/>
      <c r="P899" s="8"/>
      <c r="Q899" s="8"/>
      <c r="R899" s="8"/>
      <c r="S899" s="8"/>
      <c r="T899" s="8"/>
      <c r="U899" s="8"/>
      <c r="V899" s="8"/>
    </row>
    <row r="900" spans="1:22" ht="13.5" customHeight="1">
      <c r="A900" s="8"/>
      <c r="B900" s="8"/>
      <c r="C900" s="30"/>
      <c r="D900" s="8"/>
      <c r="E900" s="8"/>
      <c r="F900" s="8"/>
      <c r="G900" s="8"/>
      <c r="H900" s="8"/>
      <c r="I900" s="8"/>
      <c r="J900" s="8"/>
      <c r="K900" s="8"/>
      <c r="L900" s="8"/>
      <c r="M900" s="8"/>
      <c r="N900" s="8"/>
      <c r="O900" s="8"/>
      <c r="P900" s="8"/>
      <c r="Q900" s="8"/>
      <c r="R900" s="8"/>
      <c r="S900" s="8"/>
      <c r="T900" s="8"/>
      <c r="U900" s="8"/>
      <c r="V900" s="8"/>
    </row>
    <row r="901" spans="1:22" ht="13.5" customHeight="1">
      <c r="A901" s="8"/>
      <c r="B901" s="8"/>
      <c r="C901" s="30"/>
      <c r="D901" s="8"/>
      <c r="E901" s="8"/>
      <c r="F901" s="8"/>
      <c r="G901" s="8"/>
      <c r="H901" s="8"/>
      <c r="I901" s="8"/>
      <c r="J901" s="8"/>
      <c r="K901" s="8"/>
      <c r="L901" s="8"/>
      <c r="M901" s="8"/>
      <c r="N901" s="8"/>
      <c r="O901" s="8"/>
      <c r="P901" s="8"/>
      <c r="Q901" s="8"/>
      <c r="R901" s="8"/>
      <c r="S901" s="8"/>
      <c r="T901" s="8"/>
      <c r="U901" s="8"/>
      <c r="V901" s="8"/>
    </row>
    <row r="902" spans="1:22" ht="13.5" customHeight="1">
      <c r="A902" s="8"/>
      <c r="B902" s="8"/>
      <c r="C902" s="30"/>
      <c r="D902" s="8"/>
      <c r="E902" s="8"/>
      <c r="F902" s="8"/>
      <c r="G902" s="8"/>
      <c r="H902" s="8"/>
      <c r="I902" s="8"/>
      <c r="J902" s="8"/>
      <c r="K902" s="8"/>
      <c r="L902" s="8"/>
      <c r="M902" s="8"/>
      <c r="N902" s="8"/>
      <c r="O902" s="8"/>
      <c r="P902" s="8"/>
      <c r="Q902" s="8"/>
      <c r="R902" s="8"/>
      <c r="S902" s="8"/>
      <c r="T902" s="8"/>
      <c r="U902" s="8"/>
      <c r="V902" s="8"/>
    </row>
    <row r="903" spans="1:22" ht="13.5" customHeight="1">
      <c r="A903" s="8"/>
      <c r="B903" s="8"/>
      <c r="C903" s="30"/>
      <c r="D903" s="8"/>
      <c r="E903" s="8"/>
      <c r="F903" s="8"/>
      <c r="G903" s="8"/>
      <c r="H903" s="8"/>
      <c r="I903" s="8"/>
      <c r="J903" s="8"/>
      <c r="K903" s="8"/>
      <c r="L903" s="8"/>
      <c r="M903" s="8"/>
      <c r="N903" s="8"/>
      <c r="O903" s="8"/>
      <c r="P903" s="8"/>
      <c r="Q903" s="8"/>
      <c r="R903" s="8"/>
      <c r="S903" s="8"/>
      <c r="T903" s="8"/>
      <c r="U903" s="8"/>
      <c r="V903" s="8"/>
    </row>
    <row r="904" spans="1:22" ht="13.5" customHeight="1">
      <c r="A904" s="8"/>
      <c r="B904" s="8"/>
      <c r="C904" s="30"/>
      <c r="D904" s="8"/>
      <c r="E904" s="8"/>
      <c r="F904" s="8"/>
      <c r="G904" s="8"/>
      <c r="H904" s="8"/>
      <c r="I904" s="8"/>
      <c r="J904" s="8"/>
      <c r="K904" s="8"/>
      <c r="L904" s="8"/>
      <c r="M904" s="8"/>
      <c r="N904" s="8"/>
      <c r="O904" s="8"/>
      <c r="P904" s="8"/>
      <c r="Q904" s="8"/>
      <c r="R904" s="8"/>
      <c r="S904" s="8"/>
      <c r="T904" s="8"/>
      <c r="U904" s="8"/>
      <c r="V904" s="8"/>
    </row>
    <row r="905" spans="1:22" ht="13.5" customHeight="1">
      <c r="A905" s="8"/>
      <c r="B905" s="8"/>
      <c r="C905" s="30"/>
      <c r="D905" s="8"/>
      <c r="E905" s="8"/>
      <c r="F905" s="8"/>
      <c r="G905" s="8"/>
      <c r="H905" s="8"/>
      <c r="I905" s="8"/>
      <c r="J905" s="8"/>
      <c r="K905" s="8"/>
      <c r="L905" s="8"/>
      <c r="M905" s="8"/>
      <c r="N905" s="8"/>
      <c r="O905" s="8"/>
      <c r="P905" s="8"/>
      <c r="Q905" s="8"/>
      <c r="R905" s="8"/>
      <c r="S905" s="8"/>
      <c r="T905" s="8"/>
      <c r="U905" s="8"/>
      <c r="V905" s="8"/>
    </row>
    <row r="906" spans="1:22" ht="13.5" customHeight="1">
      <c r="A906" s="8"/>
      <c r="B906" s="8"/>
      <c r="C906" s="30"/>
      <c r="D906" s="8"/>
      <c r="E906" s="8"/>
      <c r="F906" s="8"/>
      <c r="G906" s="8"/>
      <c r="H906" s="8"/>
      <c r="I906" s="8"/>
      <c r="J906" s="8"/>
      <c r="K906" s="8"/>
      <c r="L906" s="8"/>
      <c r="M906" s="8"/>
      <c r="N906" s="8"/>
      <c r="O906" s="8"/>
      <c r="P906" s="8"/>
      <c r="Q906" s="8"/>
      <c r="R906" s="8"/>
      <c r="S906" s="8"/>
      <c r="T906" s="8"/>
      <c r="U906" s="8"/>
      <c r="V906" s="8"/>
    </row>
    <row r="907" spans="1:22" ht="13.5" customHeight="1">
      <c r="A907" s="8"/>
      <c r="B907" s="8"/>
      <c r="C907" s="30"/>
      <c r="D907" s="8"/>
      <c r="E907" s="8"/>
      <c r="F907" s="8"/>
      <c r="G907" s="8"/>
      <c r="H907" s="8"/>
      <c r="I907" s="8"/>
      <c r="J907" s="8"/>
      <c r="K907" s="8"/>
      <c r="L907" s="8"/>
      <c r="M907" s="8"/>
      <c r="N907" s="8"/>
      <c r="O907" s="8"/>
      <c r="P907" s="8"/>
      <c r="Q907" s="8"/>
      <c r="R907" s="8"/>
      <c r="S907" s="8"/>
      <c r="T907" s="8"/>
      <c r="U907" s="8"/>
      <c r="V907" s="8"/>
    </row>
    <row r="908" spans="1:22" ht="13.5" customHeight="1">
      <c r="A908" s="8"/>
      <c r="B908" s="8"/>
      <c r="C908" s="30"/>
      <c r="D908" s="8"/>
      <c r="E908" s="8"/>
      <c r="F908" s="8"/>
      <c r="G908" s="8"/>
      <c r="H908" s="8"/>
      <c r="I908" s="8"/>
      <c r="J908" s="8"/>
      <c r="K908" s="8"/>
      <c r="L908" s="8"/>
      <c r="M908" s="8"/>
      <c r="N908" s="8"/>
      <c r="O908" s="8"/>
      <c r="P908" s="8"/>
      <c r="Q908" s="8"/>
      <c r="R908" s="8"/>
      <c r="S908" s="8"/>
      <c r="T908" s="8"/>
      <c r="U908" s="8"/>
      <c r="V908" s="8"/>
    </row>
    <row r="909" spans="1:22" ht="13.5" customHeight="1">
      <c r="A909" s="8"/>
      <c r="B909" s="8"/>
      <c r="C909" s="30"/>
      <c r="D909" s="8"/>
      <c r="E909" s="8"/>
      <c r="F909" s="8"/>
      <c r="G909" s="8"/>
      <c r="H909" s="8"/>
      <c r="I909" s="8"/>
      <c r="J909" s="8"/>
      <c r="K909" s="8"/>
      <c r="L909" s="8"/>
      <c r="M909" s="8"/>
      <c r="N909" s="8"/>
      <c r="O909" s="8"/>
      <c r="P909" s="8"/>
      <c r="Q909" s="8"/>
      <c r="R909" s="8"/>
      <c r="S909" s="8"/>
      <c r="T909" s="8"/>
      <c r="U909" s="8"/>
      <c r="V909" s="8"/>
    </row>
    <row r="910" spans="1:22" ht="13.5" customHeight="1">
      <c r="A910" s="8"/>
      <c r="B910" s="8"/>
      <c r="C910" s="30"/>
      <c r="D910" s="8"/>
      <c r="E910" s="8"/>
      <c r="F910" s="8"/>
      <c r="G910" s="8"/>
      <c r="H910" s="8"/>
      <c r="I910" s="8"/>
      <c r="J910" s="8"/>
      <c r="K910" s="8"/>
      <c r="L910" s="8"/>
      <c r="M910" s="8"/>
      <c r="N910" s="8"/>
      <c r="O910" s="8"/>
      <c r="P910" s="8"/>
      <c r="Q910" s="8"/>
      <c r="R910" s="8"/>
      <c r="S910" s="8"/>
      <c r="T910" s="8"/>
      <c r="U910" s="8"/>
      <c r="V910" s="8"/>
    </row>
    <row r="911" spans="1:22" ht="13.5" customHeight="1">
      <c r="A911" s="8"/>
      <c r="B911" s="8"/>
      <c r="C911" s="30"/>
      <c r="D911" s="8"/>
      <c r="E911" s="8"/>
      <c r="F911" s="8"/>
      <c r="G911" s="8"/>
      <c r="H911" s="8"/>
      <c r="I911" s="8"/>
      <c r="J911" s="8"/>
      <c r="K911" s="8"/>
      <c r="L911" s="8"/>
      <c r="M911" s="8"/>
      <c r="N911" s="8"/>
      <c r="O911" s="8"/>
      <c r="P911" s="8"/>
      <c r="Q911" s="8"/>
      <c r="R911" s="8"/>
      <c r="S911" s="8"/>
      <c r="T911" s="8"/>
      <c r="U911" s="8"/>
      <c r="V911" s="8"/>
    </row>
    <row r="912" spans="1:22" ht="13.5" customHeight="1">
      <c r="A912" s="8"/>
      <c r="B912" s="8"/>
      <c r="C912" s="30"/>
      <c r="D912" s="8"/>
      <c r="E912" s="8"/>
      <c r="F912" s="8"/>
      <c r="G912" s="8"/>
      <c r="H912" s="8"/>
      <c r="I912" s="8"/>
      <c r="J912" s="8"/>
      <c r="K912" s="8"/>
      <c r="L912" s="8"/>
      <c r="M912" s="8"/>
      <c r="N912" s="8"/>
      <c r="O912" s="8"/>
      <c r="P912" s="8"/>
      <c r="Q912" s="8"/>
      <c r="R912" s="8"/>
      <c r="S912" s="8"/>
      <c r="T912" s="8"/>
      <c r="U912" s="8"/>
      <c r="V912" s="8"/>
    </row>
    <row r="913" spans="1:22" ht="13.5" customHeight="1">
      <c r="A913" s="8"/>
      <c r="B913" s="8"/>
      <c r="C913" s="30"/>
      <c r="D913" s="8"/>
      <c r="E913" s="8"/>
      <c r="F913" s="8"/>
      <c r="G913" s="8"/>
      <c r="H913" s="8"/>
      <c r="I913" s="8"/>
      <c r="J913" s="8"/>
      <c r="K913" s="8"/>
      <c r="L913" s="8"/>
      <c r="M913" s="8"/>
      <c r="N913" s="8"/>
      <c r="O913" s="8"/>
      <c r="P913" s="8"/>
      <c r="Q913" s="8"/>
      <c r="R913" s="8"/>
      <c r="S913" s="8"/>
      <c r="T913" s="8"/>
      <c r="U913" s="8"/>
      <c r="V913" s="8"/>
    </row>
    <row r="914" spans="1:22" ht="13.5" customHeight="1">
      <c r="A914" s="8"/>
      <c r="B914" s="8"/>
      <c r="C914" s="30"/>
      <c r="D914" s="8"/>
      <c r="E914" s="8"/>
      <c r="F914" s="8"/>
      <c r="G914" s="8"/>
      <c r="H914" s="8"/>
      <c r="I914" s="8"/>
      <c r="J914" s="8"/>
      <c r="K914" s="8"/>
      <c r="L914" s="8"/>
      <c r="M914" s="8"/>
      <c r="N914" s="8"/>
      <c r="O914" s="8"/>
      <c r="P914" s="8"/>
      <c r="Q914" s="8"/>
      <c r="R914" s="8"/>
      <c r="S914" s="8"/>
      <c r="T914" s="8"/>
      <c r="U914" s="8"/>
      <c r="V914" s="8"/>
    </row>
    <row r="915" spans="1:22" ht="13.5" customHeight="1">
      <c r="A915" s="8"/>
      <c r="B915" s="8"/>
      <c r="C915" s="30"/>
      <c r="D915" s="8"/>
      <c r="E915" s="8"/>
      <c r="F915" s="8"/>
      <c r="G915" s="8"/>
      <c r="H915" s="8"/>
      <c r="I915" s="8"/>
      <c r="J915" s="8"/>
      <c r="K915" s="8"/>
      <c r="L915" s="8"/>
      <c r="M915" s="8"/>
      <c r="N915" s="8"/>
      <c r="O915" s="8"/>
      <c r="P915" s="8"/>
      <c r="Q915" s="8"/>
      <c r="R915" s="8"/>
      <c r="S915" s="8"/>
      <c r="T915" s="8"/>
      <c r="U915" s="8"/>
      <c r="V915" s="8"/>
    </row>
    <row r="916" spans="1:22" ht="13.5" customHeight="1">
      <c r="A916" s="8"/>
      <c r="B916" s="8"/>
      <c r="C916" s="30"/>
      <c r="D916" s="8"/>
      <c r="E916" s="8"/>
      <c r="F916" s="8"/>
      <c r="G916" s="8"/>
      <c r="H916" s="8"/>
      <c r="I916" s="8"/>
      <c r="J916" s="8"/>
      <c r="K916" s="8"/>
      <c r="L916" s="8"/>
      <c r="M916" s="8"/>
      <c r="N916" s="8"/>
      <c r="O916" s="8"/>
      <c r="P916" s="8"/>
      <c r="Q916" s="8"/>
      <c r="R916" s="8"/>
      <c r="S916" s="8"/>
      <c r="T916" s="8"/>
      <c r="U916" s="8"/>
      <c r="V916" s="8"/>
    </row>
    <row r="917" spans="1:22" ht="13.5" customHeight="1">
      <c r="A917" s="8"/>
      <c r="B917" s="8"/>
      <c r="C917" s="30"/>
      <c r="D917" s="8"/>
      <c r="E917" s="8"/>
      <c r="F917" s="8"/>
      <c r="G917" s="8"/>
      <c r="H917" s="8"/>
      <c r="I917" s="8"/>
      <c r="J917" s="8"/>
      <c r="K917" s="8"/>
      <c r="L917" s="8"/>
      <c r="M917" s="8"/>
      <c r="N917" s="8"/>
      <c r="O917" s="8"/>
      <c r="P917" s="8"/>
      <c r="Q917" s="8"/>
      <c r="R917" s="8"/>
      <c r="S917" s="8"/>
      <c r="T917" s="8"/>
      <c r="U917" s="8"/>
      <c r="V917" s="8"/>
    </row>
    <row r="918" spans="1:22" ht="13.5" customHeight="1">
      <c r="A918" s="8"/>
      <c r="B918" s="8"/>
      <c r="C918" s="30"/>
      <c r="D918" s="8"/>
      <c r="E918" s="8"/>
      <c r="F918" s="8"/>
      <c r="G918" s="8"/>
      <c r="H918" s="8"/>
      <c r="I918" s="8"/>
      <c r="J918" s="8"/>
      <c r="K918" s="8"/>
      <c r="L918" s="8"/>
      <c r="M918" s="8"/>
      <c r="N918" s="8"/>
      <c r="O918" s="8"/>
      <c r="P918" s="8"/>
      <c r="Q918" s="8"/>
      <c r="R918" s="8"/>
      <c r="S918" s="8"/>
      <c r="T918" s="8"/>
      <c r="U918" s="8"/>
      <c r="V918" s="8"/>
    </row>
    <row r="919" spans="1:22" ht="13.5" customHeight="1">
      <c r="A919" s="8"/>
      <c r="B919" s="8"/>
      <c r="C919" s="30"/>
      <c r="D919" s="8"/>
      <c r="E919" s="8"/>
      <c r="F919" s="8"/>
      <c r="G919" s="8"/>
      <c r="H919" s="8"/>
      <c r="I919" s="8"/>
      <c r="J919" s="8"/>
      <c r="K919" s="8"/>
      <c r="L919" s="8"/>
      <c r="M919" s="8"/>
      <c r="N919" s="8"/>
      <c r="O919" s="8"/>
      <c r="P919" s="8"/>
      <c r="Q919" s="8"/>
      <c r="R919" s="8"/>
      <c r="S919" s="8"/>
      <c r="T919" s="8"/>
      <c r="U919" s="8"/>
      <c r="V919" s="8"/>
    </row>
    <row r="920" spans="1:22" ht="13.5" customHeight="1">
      <c r="A920" s="8"/>
      <c r="B920" s="8"/>
      <c r="C920" s="30"/>
      <c r="D920" s="8"/>
      <c r="E920" s="8"/>
      <c r="F920" s="8"/>
      <c r="G920" s="8"/>
      <c r="H920" s="8"/>
      <c r="I920" s="8"/>
      <c r="J920" s="8"/>
      <c r="K920" s="8"/>
      <c r="L920" s="8"/>
      <c r="M920" s="8"/>
      <c r="N920" s="8"/>
      <c r="O920" s="8"/>
      <c r="P920" s="8"/>
      <c r="Q920" s="8"/>
      <c r="R920" s="8"/>
      <c r="S920" s="8"/>
      <c r="T920" s="8"/>
      <c r="U920" s="8"/>
      <c r="V920" s="8"/>
    </row>
    <row r="921" spans="1:22" ht="13.5" customHeight="1">
      <c r="A921" s="8"/>
      <c r="B921" s="8"/>
      <c r="C921" s="30"/>
      <c r="D921" s="8"/>
      <c r="E921" s="8"/>
      <c r="F921" s="8"/>
      <c r="G921" s="8"/>
      <c r="H921" s="8"/>
      <c r="I921" s="8"/>
      <c r="J921" s="8"/>
      <c r="K921" s="8"/>
      <c r="L921" s="8"/>
      <c r="M921" s="8"/>
      <c r="N921" s="8"/>
      <c r="O921" s="8"/>
      <c r="P921" s="8"/>
      <c r="Q921" s="8"/>
      <c r="R921" s="8"/>
      <c r="S921" s="8"/>
      <c r="T921" s="8"/>
      <c r="U921" s="8"/>
      <c r="V921" s="8"/>
    </row>
    <row r="922" spans="1:22" ht="13.5" customHeight="1">
      <c r="A922" s="8"/>
      <c r="B922" s="8"/>
      <c r="C922" s="30"/>
      <c r="D922" s="8"/>
      <c r="E922" s="8"/>
      <c r="F922" s="8"/>
      <c r="G922" s="8"/>
      <c r="H922" s="8"/>
      <c r="I922" s="8"/>
      <c r="J922" s="8"/>
      <c r="K922" s="8"/>
      <c r="L922" s="8"/>
      <c r="M922" s="8"/>
      <c r="N922" s="8"/>
      <c r="O922" s="8"/>
      <c r="P922" s="8"/>
      <c r="Q922" s="8"/>
      <c r="R922" s="8"/>
      <c r="S922" s="8"/>
      <c r="T922" s="8"/>
      <c r="U922" s="8"/>
      <c r="V922" s="8"/>
    </row>
    <row r="923" spans="1:22" ht="13.5" customHeight="1">
      <c r="A923" s="8"/>
      <c r="B923" s="8"/>
      <c r="C923" s="30"/>
      <c r="D923" s="8"/>
      <c r="E923" s="8"/>
      <c r="F923" s="8"/>
      <c r="G923" s="8"/>
      <c r="H923" s="8"/>
      <c r="I923" s="8"/>
      <c r="J923" s="8"/>
      <c r="K923" s="8"/>
      <c r="L923" s="8"/>
      <c r="M923" s="8"/>
      <c r="N923" s="8"/>
      <c r="O923" s="8"/>
      <c r="P923" s="8"/>
      <c r="Q923" s="8"/>
      <c r="R923" s="8"/>
      <c r="S923" s="8"/>
      <c r="T923" s="8"/>
      <c r="U923" s="8"/>
      <c r="V923" s="8"/>
    </row>
    <row r="924" spans="1:22" ht="13.5" customHeight="1">
      <c r="A924" s="8"/>
      <c r="B924" s="8"/>
      <c r="C924" s="30"/>
      <c r="D924" s="8"/>
      <c r="E924" s="8"/>
      <c r="F924" s="8"/>
      <c r="G924" s="8"/>
      <c r="H924" s="8"/>
      <c r="I924" s="8"/>
      <c r="J924" s="8"/>
      <c r="K924" s="8"/>
      <c r="L924" s="8"/>
      <c r="M924" s="8"/>
      <c r="N924" s="8"/>
      <c r="O924" s="8"/>
      <c r="P924" s="8"/>
      <c r="Q924" s="8"/>
      <c r="R924" s="8"/>
      <c r="S924" s="8"/>
      <c r="T924" s="8"/>
      <c r="U924" s="8"/>
      <c r="V924" s="8"/>
    </row>
    <row r="925" spans="1:22" ht="13.5" customHeight="1">
      <c r="A925" s="8"/>
      <c r="B925" s="8"/>
      <c r="C925" s="30"/>
      <c r="D925" s="8"/>
      <c r="E925" s="8"/>
      <c r="F925" s="8"/>
      <c r="G925" s="8"/>
      <c r="H925" s="8"/>
      <c r="I925" s="8"/>
      <c r="J925" s="8"/>
      <c r="K925" s="8"/>
      <c r="L925" s="8"/>
      <c r="M925" s="8"/>
      <c r="N925" s="8"/>
      <c r="O925" s="8"/>
      <c r="P925" s="8"/>
      <c r="Q925" s="8"/>
      <c r="R925" s="8"/>
      <c r="S925" s="8"/>
      <c r="T925" s="8"/>
      <c r="U925" s="8"/>
      <c r="V925" s="8"/>
    </row>
    <row r="926" spans="1:22" ht="13.5" customHeight="1">
      <c r="A926" s="8"/>
      <c r="B926" s="8"/>
      <c r="C926" s="30"/>
      <c r="D926" s="8"/>
      <c r="E926" s="8"/>
      <c r="F926" s="8"/>
      <c r="G926" s="8"/>
      <c r="H926" s="8"/>
      <c r="I926" s="8"/>
      <c r="J926" s="8"/>
      <c r="K926" s="8"/>
      <c r="L926" s="8"/>
      <c r="M926" s="8"/>
      <c r="N926" s="8"/>
      <c r="O926" s="8"/>
      <c r="P926" s="8"/>
      <c r="Q926" s="8"/>
      <c r="R926" s="8"/>
      <c r="S926" s="8"/>
      <c r="T926" s="8"/>
      <c r="U926" s="8"/>
      <c r="V926" s="8"/>
    </row>
    <row r="927" spans="1:22" ht="13.5" customHeight="1">
      <c r="A927" s="8"/>
      <c r="B927" s="8"/>
      <c r="C927" s="30"/>
      <c r="D927" s="8"/>
      <c r="E927" s="8"/>
      <c r="F927" s="8"/>
      <c r="G927" s="8"/>
      <c r="H927" s="8"/>
      <c r="I927" s="8"/>
      <c r="J927" s="8"/>
      <c r="K927" s="8"/>
      <c r="L927" s="8"/>
      <c r="M927" s="8"/>
      <c r="N927" s="8"/>
      <c r="O927" s="8"/>
      <c r="P927" s="8"/>
      <c r="Q927" s="8"/>
      <c r="R927" s="8"/>
      <c r="S927" s="8"/>
      <c r="T927" s="8"/>
      <c r="U927" s="8"/>
      <c r="V927" s="8"/>
    </row>
    <row r="928" spans="1:22" ht="13.5" customHeight="1">
      <c r="A928" s="8"/>
      <c r="B928" s="8"/>
      <c r="C928" s="30"/>
      <c r="D928" s="8"/>
      <c r="E928" s="8"/>
      <c r="F928" s="8"/>
      <c r="G928" s="8"/>
      <c r="H928" s="8"/>
      <c r="I928" s="8"/>
      <c r="J928" s="8"/>
      <c r="K928" s="8"/>
      <c r="L928" s="8"/>
      <c r="M928" s="8"/>
      <c r="N928" s="8"/>
      <c r="O928" s="8"/>
      <c r="P928" s="8"/>
      <c r="Q928" s="8"/>
      <c r="R928" s="8"/>
      <c r="S928" s="8"/>
      <c r="T928" s="8"/>
      <c r="U928" s="8"/>
      <c r="V928" s="8"/>
    </row>
    <row r="929" spans="1:22" ht="13.5" customHeight="1">
      <c r="A929" s="8"/>
      <c r="B929" s="8"/>
      <c r="C929" s="30"/>
      <c r="D929" s="8"/>
      <c r="E929" s="8"/>
      <c r="F929" s="8"/>
      <c r="G929" s="8"/>
      <c r="H929" s="8"/>
      <c r="I929" s="8"/>
      <c r="J929" s="8"/>
      <c r="K929" s="8"/>
      <c r="L929" s="8"/>
      <c r="M929" s="8"/>
      <c r="N929" s="8"/>
      <c r="O929" s="8"/>
      <c r="P929" s="8"/>
      <c r="Q929" s="8"/>
      <c r="R929" s="8"/>
      <c r="S929" s="8"/>
      <c r="T929" s="8"/>
      <c r="U929" s="8"/>
      <c r="V929" s="8"/>
    </row>
    <row r="930" spans="1:22" ht="13.5" customHeight="1">
      <c r="A930" s="8"/>
      <c r="B930" s="8"/>
      <c r="C930" s="30"/>
      <c r="D930" s="8"/>
      <c r="E930" s="8"/>
      <c r="F930" s="8"/>
      <c r="G930" s="8"/>
      <c r="H930" s="8"/>
      <c r="I930" s="8"/>
      <c r="J930" s="8"/>
      <c r="K930" s="8"/>
      <c r="L930" s="8"/>
      <c r="M930" s="8"/>
      <c r="N930" s="8"/>
      <c r="O930" s="8"/>
      <c r="P930" s="8"/>
      <c r="Q930" s="8"/>
      <c r="R930" s="8"/>
      <c r="S930" s="8"/>
      <c r="T930" s="8"/>
      <c r="U930" s="8"/>
      <c r="V930" s="8"/>
    </row>
    <row r="931" spans="1:22" ht="13.5" customHeight="1">
      <c r="A931" s="8"/>
      <c r="B931" s="8"/>
      <c r="C931" s="30"/>
      <c r="D931" s="8"/>
      <c r="E931" s="8"/>
      <c r="F931" s="8"/>
      <c r="G931" s="8"/>
      <c r="H931" s="8"/>
      <c r="I931" s="8"/>
      <c r="J931" s="8"/>
      <c r="K931" s="8"/>
      <c r="L931" s="8"/>
      <c r="M931" s="8"/>
      <c r="N931" s="8"/>
      <c r="O931" s="8"/>
      <c r="P931" s="8"/>
      <c r="Q931" s="8"/>
      <c r="R931" s="8"/>
      <c r="S931" s="8"/>
      <c r="T931" s="8"/>
      <c r="U931" s="8"/>
      <c r="V931" s="8"/>
    </row>
    <row r="932" spans="1:22" ht="13.5" customHeight="1">
      <c r="A932" s="8"/>
      <c r="B932" s="8"/>
      <c r="C932" s="30"/>
      <c r="D932" s="8"/>
      <c r="E932" s="8"/>
      <c r="F932" s="8"/>
      <c r="G932" s="8"/>
      <c r="H932" s="8"/>
      <c r="I932" s="8"/>
      <c r="J932" s="8"/>
      <c r="K932" s="8"/>
      <c r="L932" s="8"/>
      <c r="M932" s="8"/>
      <c r="N932" s="8"/>
      <c r="O932" s="8"/>
      <c r="P932" s="8"/>
      <c r="Q932" s="8"/>
      <c r="R932" s="8"/>
      <c r="S932" s="8"/>
      <c r="T932" s="8"/>
      <c r="U932" s="8"/>
      <c r="V932" s="8"/>
    </row>
    <row r="933" spans="1:22" ht="13.5" customHeight="1">
      <c r="A933" s="8"/>
      <c r="B933" s="8"/>
      <c r="C933" s="30"/>
      <c r="D933" s="8"/>
      <c r="E933" s="8"/>
      <c r="F933" s="8"/>
      <c r="G933" s="8"/>
      <c r="H933" s="8"/>
      <c r="I933" s="8"/>
      <c r="J933" s="8"/>
      <c r="K933" s="8"/>
      <c r="L933" s="8"/>
      <c r="M933" s="8"/>
      <c r="N933" s="8"/>
      <c r="O933" s="8"/>
      <c r="P933" s="8"/>
      <c r="Q933" s="8"/>
      <c r="R933" s="8"/>
      <c r="S933" s="8"/>
      <c r="T933" s="8"/>
      <c r="U933" s="8"/>
      <c r="V933" s="8"/>
    </row>
    <row r="934" spans="1:22" ht="13.5" customHeight="1">
      <c r="A934" s="8"/>
      <c r="B934" s="8"/>
      <c r="C934" s="30"/>
      <c r="D934" s="8"/>
      <c r="E934" s="8"/>
      <c r="F934" s="8"/>
      <c r="G934" s="8"/>
      <c r="H934" s="8"/>
      <c r="I934" s="8"/>
      <c r="J934" s="8"/>
      <c r="K934" s="8"/>
      <c r="L934" s="8"/>
      <c r="M934" s="8"/>
      <c r="N934" s="8"/>
      <c r="O934" s="8"/>
      <c r="P934" s="8"/>
      <c r="Q934" s="8"/>
      <c r="R934" s="8"/>
      <c r="S934" s="8"/>
      <c r="T934" s="8"/>
      <c r="U934" s="8"/>
      <c r="V934" s="8"/>
    </row>
    <row r="935" spans="1:22" ht="13.5" customHeight="1">
      <c r="A935" s="8"/>
      <c r="B935" s="8"/>
      <c r="C935" s="30"/>
      <c r="D935" s="8"/>
      <c r="E935" s="8"/>
      <c r="F935" s="8"/>
      <c r="G935" s="8"/>
      <c r="H935" s="8"/>
      <c r="I935" s="8"/>
      <c r="J935" s="8"/>
      <c r="K935" s="8"/>
      <c r="L935" s="8"/>
      <c r="M935" s="8"/>
      <c r="N935" s="8"/>
      <c r="O935" s="8"/>
      <c r="P935" s="8"/>
      <c r="Q935" s="8"/>
      <c r="R935" s="8"/>
      <c r="S935" s="8"/>
      <c r="T935" s="8"/>
      <c r="U935" s="8"/>
      <c r="V935" s="8"/>
    </row>
    <row r="936" spans="1:22" ht="13.5" customHeight="1">
      <c r="A936" s="8"/>
      <c r="B936" s="8"/>
      <c r="C936" s="30"/>
      <c r="D936" s="8"/>
      <c r="E936" s="8"/>
      <c r="F936" s="8"/>
      <c r="G936" s="8"/>
      <c r="H936" s="8"/>
      <c r="I936" s="8"/>
      <c r="J936" s="8"/>
      <c r="K936" s="8"/>
      <c r="L936" s="8"/>
      <c r="M936" s="8"/>
      <c r="N936" s="8"/>
      <c r="O936" s="8"/>
      <c r="P936" s="8"/>
      <c r="Q936" s="8"/>
      <c r="R936" s="8"/>
      <c r="S936" s="8"/>
      <c r="T936" s="8"/>
      <c r="U936" s="8"/>
      <c r="V936" s="8"/>
    </row>
    <row r="937" spans="1:22" ht="13.5" customHeight="1">
      <c r="A937" s="8"/>
      <c r="B937" s="8"/>
      <c r="C937" s="30"/>
      <c r="D937" s="8"/>
      <c r="E937" s="8"/>
      <c r="F937" s="8"/>
      <c r="G937" s="8"/>
      <c r="H937" s="8"/>
      <c r="I937" s="8"/>
      <c r="J937" s="8"/>
      <c r="K937" s="8"/>
      <c r="L937" s="8"/>
      <c r="M937" s="8"/>
      <c r="N937" s="8"/>
      <c r="O937" s="8"/>
      <c r="P937" s="8"/>
      <c r="Q937" s="8"/>
      <c r="R937" s="8"/>
      <c r="S937" s="8"/>
      <c r="T937" s="8"/>
      <c r="U937" s="8"/>
      <c r="V937" s="8"/>
    </row>
    <row r="938" spans="1:22" ht="13.5" customHeight="1">
      <c r="A938" s="8"/>
      <c r="B938" s="8"/>
      <c r="C938" s="30"/>
      <c r="D938" s="8"/>
      <c r="E938" s="8"/>
      <c r="F938" s="8"/>
      <c r="G938" s="8"/>
      <c r="H938" s="8"/>
      <c r="I938" s="8"/>
      <c r="J938" s="8"/>
      <c r="K938" s="8"/>
      <c r="L938" s="8"/>
      <c r="M938" s="8"/>
      <c r="N938" s="8"/>
      <c r="O938" s="8"/>
      <c r="P938" s="8"/>
      <c r="Q938" s="8"/>
      <c r="R938" s="8"/>
      <c r="S938" s="8"/>
      <c r="T938" s="8"/>
      <c r="U938" s="8"/>
      <c r="V938" s="8"/>
    </row>
    <row r="939" spans="1:22" ht="13.5" customHeight="1">
      <c r="A939" s="8"/>
      <c r="B939" s="8"/>
      <c r="C939" s="30"/>
      <c r="D939" s="8"/>
      <c r="E939" s="8"/>
      <c r="F939" s="8"/>
      <c r="G939" s="8"/>
      <c r="H939" s="8"/>
      <c r="I939" s="8"/>
      <c r="J939" s="8"/>
      <c r="K939" s="8"/>
      <c r="L939" s="8"/>
      <c r="M939" s="8"/>
      <c r="N939" s="8"/>
      <c r="O939" s="8"/>
      <c r="P939" s="8"/>
      <c r="Q939" s="8"/>
      <c r="R939" s="8"/>
      <c r="S939" s="8"/>
      <c r="T939" s="8"/>
      <c r="U939" s="8"/>
      <c r="V939" s="8"/>
    </row>
    <row r="940" spans="1:22" ht="13.5" customHeight="1">
      <c r="A940" s="8"/>
      <c r="B940" s="8"/>
      <c r="C940" s="30"/>
      <c r="D940" s="8"/>
      <c r="E940" s="8"/>
      <c r="F940" s="8"/>
      <c r="G940" s="8"/>
      <c r="H940" s="8"/>
      <c r="I940" s="8"/>
      <c r="J940" s="8"/>
      <c r="K940" s="8"/>
      <c r="L940" s="8"/>
      <c r="M940" s="8"/>
      <c r="N940" s="8"/>
      <c r="O940" s="8"/>
      <c r="P940" s="8"/>
      <c r="Q940" s="8"/>
      <c r="R940" s="8"/>
      <c r="S940" s="8"/>
      <c r="T940" s="8"/>
      <c r="U940" s="8"/>
      <c r="V940" s="8"/>
    </row>
    <row r="941" spans="1:22" ht="13.5" customHeight="1">
      <c r="A941" s="8"/>
      <c r="B941" s="8"/>
      <c r="C941" s="30"/>
      <c r="D941" s="8"/>
      <c r="E941" s="8"/>
      <c r="F941" s="8"/>
      <c r="G941" s="8"/>
      <c r="H941" s="8"/>
      <c r="I941" s="8"/>
      <c r="J941" s="8"/>
      <c r="K941" s="8"/>
      <c r="L941" s="8"/>
      <c r="M941" s="8"/>
      <c r="N941" s="8"/>
      <c r="O941" s="8"/>
      <c r="P941" s="8"/>
      <c r="Q941" s="8"/>
      <c r="R941" s="8"/>
      <c r="S941" s="8"/>
      <c r="T941" s="8"/>
      <c r="U941" s="8"/>
      <c r="V941" s="8"/>
    </row>
    <row r="942" spans="1:22" ht="13.5" customHeight="1">
      <c r="A942" s="8"/>
      <c r="B942" s="8"/>
      <c r="C942" s="30"/>
      <c r="D942" s="8"/>
      <c r="E942" s="8"/>
      <c r="F942" s="8"/>
      <c r="G942" s="8"/>
      <c r="H942" s="8"/>
      <c r="I942" s="8"/>
      <c r="J942" s="8"/>
      <c r="K942" s="8"/>
      <c r="L942" s="8"/>
      <c r="M942" s="8"/>
      <c r="N942" s="8"/>
      <c r="O942" s="8"/>
      <c r="P942" s="8"/>
      <c r="Q942" s="8"/>
      <c r="R942" s="8"/>
      <c r="S942" s="8"/>
      <c r="T942" s="8"/>
      <c r="U942" s="8"/>
      <c r="V942" s="8"/>
    </row>
    <row r="943" spans="1:22" ht="13.5" customHeight="1">
      <c r="A943" s="8"/>
      <c r="B943" s="8"/>
      <c r="C943" s="30"/>
      <c r="D943" s="8"/>
      <c r="E943" s="8"/>
      <c r="F943" s="8"/>
      <c r="G943" s="8"/>
      <c r="H943" s="8"/>
      <c r="I943" s="8"/>
      <c r="J943" s="8"/>
      <c r="K943" s="8"/>
      <c r="L943" s="8"/>
      <c r="M943" s="8"/>
      <c r="N943" s="8"/>
      <c r="O943" s="8"/>
      <c r="P943" s="8"/>
      <c r="Q943" s="8"/>
      <c r="R943" s="8"/>
      <c r="S943" s="8"/>
      <c r="T943" s="8"/>
      <c r="U943" s="8"/>
      <c r="V943" s="8"/>
    </row>
    <row r="944" spans="1:22" ht="13.5" customHeight="1">
      <c r="A944" s="8"/>
      <c r="B944" s="8"/>
      <c r="C944" s="30"/>
      <c r="D944" s="8"/>
      <c r="E944" s="8"/>
      <c r="F944" s="8"/>
      <c r="G944" s="8"/>
      <c r="H944" s="8"/>
      <c r="I944" s="8"/>
      <c r="J944" s="8"/>
      <c r="K944" s="8"/>
      <c r="L944" s="8"/>
      <c r="M944" s="8"/>
      <c r="N944" s="8"/>
      <c r="O944" s="8"/>
      <c r="P944" s="8"/>
      <c r="Q944" s="8"/>
      <c r="R944" s="8"/>
      <c r="S944" s="8"/>
      <c r="T944" s="8"/>
      <c r="U944" s="8"/>
      <c r="V944" s="8"/>
    </row>
    <row r="945" spans="1:22" ht="13.5" customHeight="1">
      <c r="A945" s="8"/>
      <c r="B945" s="8"/>
      <c r="C945" s="30"/>
      <c r="D945" s="8"/>
      <c r="E945" s="8"/>
      <c r="F945" s="8"/>
      <c r="G945" s="8"/>
      <c r="H945" s="8"/>
      <c r="I945" s="8"/>
      <c r="J945" s="8"/>
      <c r="K945" s="8"/>
      <c r="L945" s="8"/>
      <c r="M945" s="8"/>
      <c r="N945" s="8"/>
      <c r="O945" s="8"/>
      <c r="P945" s="8"/>
      <c r="Q945" s="8"/>
      <c r="R945" s="8"/>
      <c r="S945" s="8"/>
      <c r="T945" s="8"/>
      <c r="U945" s="8"/>
      <c r="V945" s="8"/>
    </row>
    <row r="946" spans="1:22" ht="13.5" customHeight="1">
      <c r="A946" s="8"/>
      <c r="B946" s="8"/>
      <c r="C946" s="30"/>
      <c r="D946" s="8"/>
      <c r="E946" s="8"/>
      <c r="F946" s="8"/>
      <c r="G946" s="8"/>
      <c r="H946" s="8"/>
      <c r="I946" s="8"/>
      <c r="J946" s="8"/>
      <c r="K946" s="8"/>
      <c r="L946" s="8"/>
      <c r="M946" s="8"/>
      <c r="N946" s="8"/>
      <c r="O946" s="8"/>
      <c r="P946" s="8"/>
      <c r="Q946" s="8"/>
      <c r="R946" s="8"/>
      <c r="S946" s="8"/>
      <c r="T946" s="8"/>
      <c r="U946" s="8"/>
      <c r="V946" s="8"/>
    </row>
    <row r="947" spans="1:22" ht="13.5" customHeight="1">
      <c r="A947" s="8"/>
      <c r="B947" s="8"/>
      <c r="C947" s="30"/>
      <c r="D947" s="8"/>
      <c r="E947" s="8"/>
      <c r="F947" s="8"/>
      <c r="G947" s="8"/>
      <c r="H947" s="8"/>
      <c r="I947" s="8"/>
      <c r="J947" s="8"/>
      <c r="K947" s="8"/>
      <c r="L947" s="8"/>
      <c r="M947" s="8"/>
      <c r="N947" s="8"/>
      <c r="O947" s="8"/>
      <c r="P947" s="8"/>
      <c r="Q947" s="8"/>
      <c r="R947" s="8"/>
      <c r="S947" s="8"/>
      <c r="T947" s="8"/>
      <c r="U947" s="8"/>
      <c r="V947" s="8"/>
    </row>
    <row r="948" spans="1:22" ht="13.5" customHeight="1">
      <c r="A948" s="8"/>
      <c r="B948" s="8"/>
      <c r="C948" s="30"/>
      <c r="D948" s="8"/>
      <c r="E948" s="8"/>
      <c r="F948" s="8"/>
      <c r="G948" s="8"/>
      <c r="H948" s="8"/>
      <c r="I948" s="8"/>
      <c r="J948" s="8"/>
      <c r="K948" s="8"/>
      <c r="L948" s="8"/>
      <c r="M948" s="8"/>
      <c r="N948" s="8"/>
      <c r="O948" s="8"/>
      <c r="P948" s="8"/>
      <c r="Q948" s="8"/>
      <c r="R948" s="8"/>
      <c r="S948" s="8"/>
      <c r="T948" s="8"/>
      <c r="U948" s="8"/>
      <c r="V948" s="8"/>
    </row>
    <row r="949" spans="1:22" ht="13.5" customHeight="1">
      <c r="A949" s="8"/>
      <c r="B949" s="8"/>
      <c r="C949" s="30"/>
      <c r="D949" s="8"/>
      <c r="E949" s="8"/>
      <c r="F949" s="8"/>
      <c r="G949" s="8"/>
      <c r="H949" s="8"/>
      <c r="I949" s="8"/>
      <c r="J949" s="8"/>
      <c r="K949" s="8"/>
      <c r="L949" s="8"/>
      <c r="M949" s="8"/>
      <c r="N949" s="8"/>
      <c r="O949" s="8"/>
      <c r="P949" s="8"/>
      <c r="Q949" s="8"/>
      <c r="R949" s="8"/>
      <c r="S949" s="8"/>
      <c r="T949" s="8"/>
      <c r="U949" s="8"/>
      <c r="V949" s="8"/>
    </row>
    <row r="950" spans="1:22" ht="13.5" customHeight="1">
      <c r="A950" s="8"/>
      <c r="B950" s="8"/>
      <c r="C950" s="30"/>
      <c r="D950" s="8"/>
      <c r="E950" s="8"/>
      <c r="F950" s="8"/>
      <c r="G950" s="8"/>
      <c r="H950" s="8"/>
      <c r="I950" s="8"/>
      <c r="J950" s="8"/>
      <c r="K950" s="8"/>
      <c r="L950" s="8"/>
      <c r="M950" s="8"/>
      <c r="N950" s="8"/>
      <c r="O950" s="8"/>
      <c r="P950" s="8"/>
      <c r="Q950" s="8"/>
      <c r="R950" s="8"/>
      <c r="S950" s="8"/>
      <c r="T950" s="8"/>
      <c r="U950" s="8"/>
      <c r="V950" s="8"/>
    </row>
    <row r="951" spans="1:22" ht="13.5" customHeight="1">
      <c r="A951" s="8"/>
      <c r="B951" s="8"/>
      <c r="C951" s="30"/>
      <c r="D951" s="8"/>
      <c r="E951" s="8"/>
      <c r="F951" s="8"/>
      <c r="G951" s="8"/>
      <c r="H951" s="8"/>
      <c r="I951" s="8"/>
      <c r="J951" s="8"/>
      <c r="K951" s="8"/>
      <c r="L951" s="8"/>
      <c r="M951" s="8"/>
      <c r="N951" s="8"/>
      <c r="O951" s="8"/>
      <c r="P951" s="8"/>
      <c r="Q951" s="8"/>
      <c r="R951" s="8"/>
      <c r="S951" s="8"/>
      <c r="T951" s="8"/>
      <c r="U951" s="8"/>
      <c r="V951" s="8"/>
    </row>
    <row r="952" spans="1:22" ht="13.5" customHeight="1">
      <c r="A952" s="8"/>
      <c r="B952" s="8"/>
      <c r="C952" s="30"/>
      <c r="D952" s="8"/>
      <c r="E952" s="8"/>
      <c r="F952" s="8"/>
      <c r="G952" s="8"/>
      <c r="H952" s="8"/>
      <c r="I952" s="8"/>
      <c r="J952" s="8"/>
      <c r="K952" s="8"/>
      <c r="L952" s="8"/>
      <c r="M952" s="8"/>
      <c r="N952" s="8"/>
      <c r="O952" s="8"/>
      <c r="P952" s="8"/>
      <c r="Q952" s="8"/>
      <c r="R952" s="8"/>
      <c r="S952" s="8"/>
      <c r="T952" s="8"/>
      <c r="U952" s="8"/>
      <c r="V952" s="8"/>
    </row>
    <row r="953" spans="1:22" ht="13.5" customHeight="1">
      <c r="A953" s="8"/>
      <c r="B953" s="8"/>
      <c r="C953" s="30"/>
      <c r="D953" s="8"/>
      <c r="E953" s="8"/>
      <c r="F953" s="8"/>
      <c r="G953" s="8"/>
      <c r="H953" s="8"/>
      <c r="I953" s="8"/>
      <c r="J953" s="8"/>
      <c r="K953" s="8"/>
      <c r="L953" s="8"/>
      <c r="M953" s="8"/>
      <c r="N953" s="8"/>
      <c r="O953" s="8"/>
      <c r="P953" s="8"/>
      <c r="Q953" s="8"/>
      <c r="R953" s="8"/>
      <c r="S953" s="8"/>
      <c r="T953" s="8"/>
      <c r="U953" s="8"/>
      <c r="V953" s="8"/>
    </row>
    <row r="954" spans="1:22" ht="13.5" customHeight="1">
      <c r="A954" s="8"/>
      <c r="B954" s="8"/>
      <c r="C954" s="30"/>
      <c r="D954" s="8"/>
      <c r="E954" s="8"/>
      <c r="F954" s="8"/>
      <c r="G954" s="8"/>
      <c r="H954" s="8"/>
      <c r="I954" s="8"/>
      <c r="J954" s="8"/>
      <c r="K954" s="8"/>
      <c r="L954" s="8"/>
      <c r="M954" s="8"/>
      <c r="N954" s="8"/>
      <c r="O954" s="8"/>
      <c r="P954" s="8"/>
      <c r="Q954" s="8"/>
      <c r="R954" s="8"/>
      <c r="S954" s="8"/>
      <c r="T954" s="8"/>
      <c r="U954" s="8"/>
      <c r="V954" s="8"/>
    </row>
    <row r="955" spans="1:22" ht="13.5" customHeight="1">
      <c r="A955" s="8"/>
      <c r="B955" s="8"/>
      <c r="C955" s="30"/>
      <c r="D955" s="8"/>
      <c r="E955" s="8"/>
      <c r="F955" s="8"/>
      <c r="G955" s="8"/>
      <c r="H955" s="8"/>
      <c r="I955" s="8"/>
      <c r="J955" s="8"/>
      <c r="K955" s="8"/>
      <c r="L955" s="8"/>
      <c r="M955" s="8"/>
      <c r="N955" s="8"/>
      <c r="O955" s="8"/>
      <c r="P955" s="8"/>
      <c r="Q955" s="8"/>
      <c r="R955" s="8"/>
      <c r="S955" s="8"/>
      <c r="T955" s="8"/>
      <c r="U955" s="8"/>
      <c r="V955" s="8"/>
    </row>
    <row r="956" spans="1:22" ht="13.5" customHeight="1">
      <c r="A956" s="8"/>
      <c r="B956" s="8"/>
      <c r="C956" s="30"/>
      <c r="D956" s="8"/>
      <c r="E956" s="8"/>
      <c r="F956" s="8"/>
      <c r="G956" s="8"/>
      <c r="H956" s="8"/>
      <c r="I956" s="8"/>
      <c r="J956" s="8"/>
      <c r="K956" s="8"/>
      <c r="L956" s="8"/>
      <c r="M956" s="8"/>
      <c r="N956" s="8"/>
      <c r="O956" s="8"/>
      <c r="P956" s="8"/>
      <c r="Q956" s="8"/>
      <c r="R956" s="8"/>
      <c r="S956" s="8"/>
      <c r="T956" s="8"/>
      <c r="U956" s="8"/>
      <c r="V956" s="8"/>
    </row>
    <row r="957" spans="1:22" ht="13.5" customHeight="1">
      <c r="A957" s="8"/>
      <c r="B957" s="8"/>
      <c r="C957" s="30"/>
      <c r="D957" s="8"/>
      <c r="E957" s="8"/>
      <c r="F957" s="8"/>
      <c r="G957" s="8"/>
      <c r="H957" s="8"/>
      <c r="I957" s="8"/>
      <c r="J957" s="8"/>
      <c r="K957" s="8"/>
      <c r="L957" s="8"/>
      <c r="M957" s="8"/>
      <c r="N957" s="8"/>
      <c r="O957" s="8"/>
      <c r="P957" s="8"/>
      <c r="Q957" s="8"/>
      <c r="R957" s="8"/>
      <c r="S957" s="8"/>
      <c r="T957" s="8"/>
      <c r="U957" s="8"/>
      <c r="V957" s="8"/>
    </row>
    <row r="958" spans="1:22" ht="13.5" customHeight="1">
      <c r="A958" s="8"/>
      <c r="B958" s="8"/>
      <c r="C958" s="30"/>
      <c r="D958" s="8"/>
      <c r="E958" s="8"/>
      <c r="F958" s="8"/>
      <c r="G958" s="8"/>
      <c r="H958" s="8"/>
      <c r="I958" s="8"/>
      <c r="J958" s="8"/>
      <c r="K958" s="8"/>
      <c r="L958" s="8"/>
      <c r="M958" s="8"/>
      <c r="N958" s="8"/>
      <c r="O958" s="8"/>
      <c r="P958" s="8"/>
      <c r="Q958" s="8"/>
      <c r="R958" s="8"/>
      <c r="S958" s="8"/>
      <c r="T958" s="8"/>
      <c r="U958" s="8"/>
      <c r="V958" s="8"/>
    </row>
    <row r="959" spans="1:22" ht="13.5" customHeight="1">
      <c r="A959" s="8"/>
      <c r="B959" s="8"/>
      <c r="C959" s="30"/>
      <c r="D959" s="8"/>
      <c r="E959" s="8"/>
      <c r="F959" s="8"/>
      <c r="G959" s="8"/>
      <c r="H959" s="8"/>
      <c r="I959" s="8"/>
      <c r="J959" s="8"/>
      <c r="K959" s="8"/>
      <c r="L959" s="8"/>
      <c r="M959" s="8"/>
      <c r="N959" s="8"/>
      <c r="O959" s="8"/>
      <c r="P959" s="8"/>
      <c r="Q959" s="8"/>
      <c r="R959" s="8"/>
      <c r="S959" s="8"/>
      <c r="T959" s="8"/>
      <c r="U959" s="8"/>
      <c r="V959" s="8"/>
    </row>
    <row r="960" spans="1:22" ht="13.5" customHeight="1">
      <c r="A960" s="8"/>
      <c r="B960" s="8"/>
      <c r="C960" s="30"/>
      <c r="D960" s="8"/>
      <c r="E960" s="8"/>
      <c r="F960" s="8"/>
      <c r="G960" s="8"/>
      <c r="H960" s="8"/>
      <c r="I960" s="8"/>
      <c r="J960" s="8"/>
      <c r="K960" s="8"/>
      <c r="L960" s="8"/>
      <c r="M960" s="8"/>
      <c r="N960" s="8"/>
      <c r="O960" s="8"/>
      <c r="P960" s="8"/>
      <c r="Q960" s="8"/>
      <c r="R960" s="8"/>
      <c r="S960" s="8"/>
      <c r="T960" s="8"/>
      <c r="U960" s="8"/>
      <c r="V960" s="8"/>
    </row>
    <row r="961" spans="1:22" ht="13.5" customHeight="1">
      <c r="A961" s="8"/>
      <c r="B961" s="8"/>
      <c r="C961" s="30"/>
      <c r="D961" s="8"/>
      <c r="E961" s="8"/>
      <c r="F961" s="8"/>
      <c r="G961" s="8"/>
      <c r="H961" s="8"/>
      <c r="I961" s="8"/>
      <c r="J961" s="8"/>
      <c r="K961" s="8"/>
      <c r="L961" s="8"/>
      <c r="M961" s="8"/>
      <c r="N961" s="8"/>
      <c r="O961" s="8"/>
      <c r="P961" s="8"/>
      <c r="Q961" s="8"/>
      <c r="R961" s="8"/>
      <c r="S961" s="8"/>
      <c r="T961" s="8"/>
      <c r="U961" s="8"/>
      <c r="V961" s="8"/>
    </row>
    <row r="962" spans="1:22" ht="13.5" customHeight="1">
      <c r="A962" s="8"/>
      <c r="B962" s="8"/>
      <c r="C962" s="30"/>
      <c r="D962" s="8"/>
      <c r="E962" s="8"/>
      <c r="F962" s="8"/>
      <c r="G962" s="8"/>
      <c r="H962" s="8"/>
      <c r="I962" s="8"/>
      <c r="J962" s="8"/>
      <c r="K962" s="8"/>
      <c r="L962" s="8"/>
      <c r="M962" s="8"/>
      <c r="N962" s="8"/>
      <c r="O962" s="8"/>
      <c r="P962" s="8"/>
      <c r="Q962" s="8"/>
      <c r="R962" s="8"/>
      <c r="S962" s="8"/>
      <c r="T962" s="8"/>
      <c r="U962" s="8"/>
      <c r="V962" s="8"/>
    </row>
    <row r="963" spans="1:22" ht="13.5" customHeight="1">
      <c r="A963" s="8"/>
      <c r="B963" s="8"/>
      <c r="C963" s="30"/>
      <c r="D963" s="8"/>
      <c r="E963" s="8"/>
      <c r="F963" s="8"/>
      <c r="G963" s="8"/>
      <c r="H963" s="8"/>
      <c r="I963" s="8"/>
      <c r="J963" s="8"/>
      <c r="K963" s="8"/>
      <c r="L963" s="8"/>
      <c r="M963" s="8"/>
      <c r="N963" s="8"/>
      <c r="O963" s="8"/>
      <c r="P963" s="8"/>
      <c r="Q963" s="8"/>
      <c r="R963" s="8"/>
      <c r="S963" s="8"/>
      <c r="T963" s="8"/>
      <c r="U963" s="8"/>
      <c r="V963" s="8"/>
    </row>
    <row r="964" spans="1:22" ht="13.5" customHeight="1">
      <c r="A964" s="8"/>
      <c r="B964" s="8"/>
      <c r="C964" s="30"/>
      <c r="D964" s="8"/>
      <c r="E964" s="8"/>
      <c r="F964" s="8"/>
      <c r="G964" s="8"/>
      <c r="H964" s="8"/>
      <c r="I964" s="8"/>
      <c r="J964" s="8"/>
      <c r="K964" s="8"/>
      <c r="L964" s="8"/>
      <c r="M964" s="8"/>
      <c r="N964" s="8"/>
      <c r="O964" s="8"/>
      <c r="P964" s="8"/>
      <c r="Q964" s="8"/>
      <c r="R964" s="8"/>
      <c r="S964" s="8"/>
      <c r="T964" s="8"/>
      <c r="U964" s="8"/>
      <c r="V964" s="8"/>
    </row>
    <row r="965" spans="1:22" ht="13.5" customHeight="1">
      <c r="A965" s="8"/>
      <c r="B965" s="8"/>
      <c r="C965" s="30"/>
      <c r="D965" s="8"/>
      <c r="E965" s="8"/>
      <c r="F965" s="8"/>
      <c r="G965" s="8"/>
      <c r="H965" s="8"/>
      <c r="I965" s="8"/>
      <c r="J965" s="8"/>
      <c r="K965" s="8"/>
      <c r="L965" s="8"/>
      <c r="M965" s="8"/>
      <c r="N965" s="8"/>
      <c r="O965" s="8"/>
      <c r="P965" s="8"/>
      <c r="Q965" s="8"/>
      <c r="R965" s="8"/>
      <c r="S965" s="8"/>
      <c r="T965" s="8"/>
      <c r="U965" s="8"/>
      <c r="V965" s="8"/>
    </row>
    <row r="966" spans="1:22" ht="13.5" customHeight="1">
      <c r="A966" s="8"/>
      <c r="B966" s="8"/>
      <c r="C966" s="30"/>
      <c r="D966" s="8"/>
      <c r="E966" s="8"/>
      <c r="F966" s="8"/>
      <c r="G966" s="8"/>
      <c r="H966" s="8"/>
      <c r="I966" s="8"/>
      <c r="J966" s="8"/>
      <c r="K966" s="8"/>
      <c r="L966" s="8"/>
      <c r="M966" s="8"/>
      <c r="N966" s="8"/>
      <c r="O966" s="8"/>
      <c r="P966" s="8"/>
      <c r="Q966" s="8"/>
      <c r="R966" s="8"/>
      <c r="S966" s="8"/>
      <c r="T966" s="8"/>
      <c r="U966" s="8"/>
      <c r="V966" s="8"/>
    </row>
    <row r="967" spans="1:22" ht="13.5" customHeight="1">
      <c r="A967" s="8"/>
      <c r="B967" s="8"/>
      <c r="C967" s="30"/>
      <c r="D967" s="8"/>
      <c r="E967" s="8"/>
      <c r="F967" s="8"/>
      <c r="G967" s="8"/>
      <c r="H967" s="8"/>
      <c r="I967" s="8"/>
      <c r="J967" s="8"/>
      <c r="K967" s="8"/>
      <c r="L967" s="8"/>
      <c r="M967" s="8"/>
      <c r="N967" s="8"/>
      <c r="O967" s="8"/>
      <c r="P967" s="8"/>
      <c r="Q967" s="8"/>
      <c r="R967" s="8"/>
      <c r="S967" s="8"/>
      <c r="T967" s="8"/>
      <c r="U967" s="8"/>
      <c r="V967" s="8"/>
    </row>
    <row r="968" spans="1:22" ht="13.5" customHeight="1">
      <c r="A968" s="8"/>
      <c r="B968" s="8"/>
      <c r="C968" s="30"/>
      <c r="D968" s="8"/>
      <c r="E968" s="8"/>
      <c r="F968" s="8"/>
      <c r="G968" s="8"/>
      <c r="H968" s="8"/>
      <c r="I968" s="8"/>
      <c r="J968" s="8"/>
      <c r="K968" s="8"/>
      <c r="L968" s="8"/>
      <c r="M968" s="8"/>
      <c r="N968" s="8"/>
      <c r="O968" s="8"/>
      <c r="P968" s="8"/>
      <c r="Q968" s="8"/>
      <c r="R968" s="8"/>
      <c r="S968" s="8"/>
      <c r="T968" s="8"/>
      <c r="U968" s="8"/>
      <c r="V968" s="8"/>
    </row>
    <row r="969" spans="1:22" ht="13.5" customHeight="1">
      <c r="A969" s="8"/>
      <c r="B969" s="8"/>
      <c r="C969" s="30"/>
      <c r="D969" s="8"/>
      <c r="E969" s="8"/>
      <c r="F969" s="8"/>
      <c r="G969" s="8"/>
      <c r="H969" s="8"/>
      <c r="I969" s="8"/>
      <c r="J969" s="8"/>
      <c r="K969" s="8"/>
      <c r="L969" s="8"/>
      <c r="M969" s="8"/>
      <c r="N969" s="8"/>
      <c r="O969" s="8"/>
      <c r="P969" s="8"/>
      <c r="Q969" s="8"/>
      <c r="R969" s="8"/>
      <c r="S969" s="8"/>
      <c r="T969" s="8"/>
      <c r="U969" s="8"/>
      <c r="V969" s="8"/>
    </row>
    <row r="970" spans="1:22" ht="13.5" customHeight="1">
      <c r="A970" s="8"/>
      <c r="B970" s="8"/>
      <c r="C970" s="30"/>
      <c r="D970" s="8"/>
      <c r="E970" s="8"/>
      <c r="F970" s="8"/>
      <c r="G970" s="8"/>
      <c r="H970" s="8"/>
      <c r="I970" s="8"/>
      <c r="J970" s="8"/>
      <c r="K970" s="8"/>
      <c r="L970" s="8"/>
      <c r="M970" s="8"/>
      <c r="N970" s="8"/>
      <c r="O970" s="8"/>
      <c r="P970" s="8"/>
      <c r="Q970" s="8"/>
      <c r="R970" s="8"/>
      <c r="S970" s="8"/>
      <c r="T970" s="8"/>
      <c r="U970" s="8"/>
      <c r="V970" s="8"/>
    </row>
    <row r="971" spans="1:22" ht="13.5" customHeight="1">
      <c r="A971" s="8"/>
      <c r="B971" s="8"/>
      <c r="C971" s="30"/>
      <c r="D971" s="8"/>
      <c r="E971" s="8"/>
      <c r="F971" s="8"/>
      <c r="G971" s="8"/>
      <c r="H971" s="8"/>
      <c r="I971" s="8"/>
      <c r="J971" s="8"/>
      <c r="K971" s="8"/>
      <c r="L971" s="8"/>
      <c r="M971" s="8"/>
      <c r="N971" s="8"/>
      <c r="O971" s="8"/>
      <c r="P971" s="8"/>
      <c r="Q971" s="8"/>
      <c r="R971" s="8"/>
      <c r="S971" s="8"/>
      <c r="T971" s="8"/>
      <c r="U971" s="8"/>
      <c r="V971" s="8"/>
    </row>
    <row r="972" spans="1:22" ht="13.5" customHeight="1">
      <c r="A972" s="8"/>
      <c r="B972" s="8"/>
      <c r="C972" s="30"/>
      <c r="D972" s="8"/>
      <c r="E972" s="8"/>
      <c r="F972" s="8"/>
      <c r="G972" s="8"/>
      <c r="H972" s="8"/>
      <c r="I972" s="8"/>
      <c r="J972" s="8"/>
      <c r="K972" s="8"/>
      <c r="L972" s="8"/>
      <c r="M972" s="8"/>
      <c r="N972" s="8"/>
      <c r="O972" s="8"/>
      <c r="P972" s="8"/>
      <c r="Q972" s="8"/>
      <c r="R972" s="8"/>
      <c r="S972" s="8"/>
      <c r="T972" s="8"/>
      <c r="U972" s="8"/>
      <c r="V972" s="8"/>
    </row>
    <row r="973" spans="1:22" ht="13.5" customHeight="1">
      <c r="A973" s="8"/>
      <c r="B973" s="8"/>
      <c r="C973" s="30"/>
      <c r="D973" s="8"/>
      <c r="E973" s="8"/>
      <c r="F973" s="8"/>
      <c r="G973" s="8"/>
      <c r="H973" s="8"/>
      <c r="I973" s="8"/>
      <c r="J973" s="8"/>
      <c r="K973" s="8"/>
      <c r="L973" s="8"/>
      <c r="M973" s="8"/>
      <c r="N973" s="8"/>
      <c r="O973" s="8"/>
      <c r="P973" s="8"/>
      <c r="Q973" s="8"/>
      <c r="R973" s="8"/>
      <c r="S973" s="8"/>
      <c r="T973" s="8"/>
      <c r="U973" s="8"/>
      <c r="V973" s="8"/>
    </row>
    <row r="974" spans="1:22" ht="13.5" customHeight="1">
      <c r="A974" s="8"/>
      <c r="B974" s="8"/>
      <c r="C974" s="30"/>
      <c r="D974" s="8"/>
      <c r="E974" s="8"/>
      <c r="F974" s="8"/>
      <c r="G974" s="8"/>
      <c r="H974" s="8"/>
      <c r="I974" s="8"/>
      <c r="J974" s="8"/>
      <c r="K974" s="8"/>
      <c r="L974" s="8"/>
      <c r="M974" s="8"/>
      <c r="N974" s="8"/>
      <c r="O974" s="8"/>
      <c r="P974" s="8"/>
      <c r="Q974" s="8"/>
      <c r="R974" s="8"/>
      <c r="S974" s="8"/>
      <c r="T974" s="8"/>
      <c r="U974" s="8"/>
      <c r="V974" s="8"/>
    </row>
    <row r="975" spans="1:22" ht="13.5" customHeight="1">
      <c r="A975" s="8"/>
      <c r="B975" s="8"/>
      <c r="C975" s="30"/>
      <c r="D975" s="8"/>
      <c r="E975" s="8"/>
      <c r="F975" s="8"/>
      <c r="G975" s="8"/>
      <c r="H975" s="8"/>
      <c r="I975" s="8"/>
      <c r="J975" s="8"/>
      <c r="K975" s="8"/>
      <c r="L975" s="8"/>
      <c r="M975" s="8"/>
      <c r="N975" s="8"/>
      <c r="O975" s="8"/>
      <c r="P975" s="8"/>
      <c r="Q975" s="8"/>
      <c r="R975" s="8"/>
      <c r="S975" s="8"/>
      <c r="T975" s="8"/>
      <c r="U975" s="8"/>
      <c r="V975" s="8"/>
    </row>
    <row r="976" spans="1:22" ht="13.5" customHeight="1">
      <c r="A976" s="8"/>
      <c r="B976" s="8"/>
      <c r="C976" s="30"/>
      <c r="D976" s="8"/>
      <c r="E976" s="8"/>
      <c r="F976" s="8"/>
      <c r="G976" s="8"/>
      <c r="H976" s="8"/>
      <c r="I976" s="8"/>
      <c r="J976" s="8"/>
      <c r="K976" s="8"/>
      <c r="L976" s="8"/>
      <c r="M976" s="8"/>
      <c r="N976" s="8"/>
      <c r="O976" s="8"/>
      <c r="P976" s="8"/>
      <c r="Q976" s="8"/>
      <c r="R976" s="8"/>
      <c r="S976" s="8"/>
      <c r="T976" s="8"/>
      <c r="U976" s="8"/>
      <c r="V976" s="8"/>
    </row>
    <row r="977" spans="1:22" ht="13.5" customHeight="1">
      <c r="A977" s="8"/>
      <c r="B977" s="8"/>
      <c r="C977" s="30"/>
      <c r="D977" s="8"/>
      <c r="E977" s="8"/>
      <c r="F977" s="8"/>
      <c r="G977" s="8"/>
      <c r="H977" s="8"/>
      <c r="I977" s="8"/>
      <c r="J977" s="8"/>
      <c r="K977" s="8"/>
      <c r="L977" s="8"/>
      <c r="M977" s="8"/>
      <c r="N977" s="8"/>
      <c r="O977" s="8"/>
      <c r="P977" s="8"/>
      <c r="Q977" s="8"/>
      <c r="R977" s="8"/>
      <c r="S977" s="8"/>
      <c r="T977" s="8"/>
      <c r="U977" s="8"/>
      <c r="V977" s="8"/>
    </row>
    <row r="978" spans="1:22" ht="13.5" customHeight="1">
      <c r="A978" s="8"/>
      <c r="B978" s="8"/>
      <c r="C978" s="30"/>
      <c r="D978" s="8"/>
      <c r="E978" s="8"/>
      <c r="F978" s="8"/>
      <c r="G978" s="8"/>
      <c r="H978" s="8"/>
      <c r="I978" s="8"/>
      <c r="J978" s="8"/>
      <c r="K978" s="8"/>
      <c r="L978" s="8"/>
      <c r="M978" s="8"/>
      <c r="N978" s="8"/>
      <c r="O978" s="8"/>
      <c r="P978" s="8"/>
      <c r="Q978" s="8"/>
      <c r="R978" s="8"/>
      <c r="S978" s="8"/>
      <c r="T978" s="8"/>
      <c r="U978" s="8"/>
      <c r="V978" s="8"/>
    </row>
    <row r="979" spans="1:22" ht="13.5" customHeight="1">
      <c r="A979" s="8"/>
      <c r="B979" s="8"/>
      <c r="C979" s="30"/>
      <c r="D979" s="8"/>
      <c r="E979" s="8"/>
      <c r="F979" s="8"/>
      <c r="G979" s="8"/>
      <c r="H979" s="8"/>
      <c r="I979" s="8"/>
      <c r="J979" s="8"/>
      <c r="K979" s="8"/>
      <c r="L979" s="8"/>
      <c r="M979" s="8"/>
      <c r="N979" s="8"/>
      <c r="O979" s="8"/>
      <c r="P979" s="8"/>
      <c r="Q979" s="8"/>
      <c r="R979" s="8"/>
      <c r="S979" s="8"/>
      <c r="T979" s="8"/>
      <c r="U979" s="8"/>
      <c r="V979" s="8"/>
    </row>
    <row r="980" spans="1:22" ht="13.5" customHeight="1">
      <c r="A980" s="8"/>
      <c r="B980" s="8"/>
      <c r="C980" s="30"/>
      <c r="D980" s="8"/>
      <c r="E980" s="8"/>
      <c r="F980" s="8"/>
      <c r="G980" s="8"/>
      <c r="H980" s="8"/>
      <c r="I980" s="8"/>
      <c r="J980" s="8"/>
      <c r="K980" s="8"/>
      <c r="L980" s="8"/>
      <c r="M980" s="8"/>
      <c r="N980" s="8"/>
      <c r="O980" s="8"/>
      <c r="P980" s="8"/>
      <c r="Q980" s="8"/>
      <c r="R980" s="8"/>
      <c r="S980" s="8"/>
      <c r="T980" s="8"/>
      <c r="U980" s="8"/>
      <c r="V980" s="8"/>
    </row>
    <row r="981" spans="1:22" ht="13.5" customHeight="1">
      <c r="A981" s="8"/>
      <c r="B981" s="8"/>
      <c r="C981" s="30"/>
      <c r="D981" s="8"/>
      <c r="E981" s="8"/>
      <c r="F981" s="8"/>
      <c r="G981" s="8"/>
      <c r="H981" s="8"/>
      <c r="I981" s="8"/>
      <c r="J981" s="8"/>
      <c r="K981" s="8"/>
      <c r="L981" s="8"/>
      <c r="M981" s="8"/>
      <c r="N981" s="8"/>
      <c r="O981" s="8"/>
      <c r="P981" s="8"/>
      <c r="Q981" s="8"/>
      <c r="R981" s="8"/>
      <c r="S981" s="8"/>
      <c r="T981" s="8"/>
      <c r="U981" s="8"/>
      <c r="V981" s="8"/>
    </row>
    <row r="982" spans="1:22" ht="13.5" customHeight="1">
      <c r="A982" s="8"/>
      <c r="B982" s="8"/>
      <c r="C982" s="30"/>
      <c r="D982" s="8"/>
      <c r="E982" s="8"/>
      <c r="F982" s="8"/>
      <c r="G982" s="8"/>
      <c r="H982" s="8"/>
      <c r="I982" s="8"/>
      <c r="J982" s="8"/>
      <c r="K982" s="8"/>
      <c r="L982" s="8"/>
      <c r="M982" s="8"/>
      <c r="N982" s="8"/>
      <c r="O982" s="8"/>
      <c r="P982" s="8"/>
      <c r="Q982" s="8"/>
      <c r="R982" s="8"/>
      <c r="S982" s="8"/>
      <c r="T982" s="8"/>
      <c r="U982" s="8"/>
      <c r="V982" s="8"/>
    </row>
    <row r="983" spans="1:22" ht="13.5" customHeight="1">
      <c r="A983" s="8"/>
      <c r="B983" s="8"/>
      <c r="C983" s="30"/>
      <c r="D983" s="8"/>
      <c r="E983" s="8"/>
      <c r="F983" s="8"/>
      <c r="G983" s="8"/>
      <c r="H983" s="8"/>
      <c r="I983" s="8"/>
      <c r="J983" s="8"/>
      <c r="K983" s="8"/>
      <c r="L983" s="8"/>
      <c r="M983" s="8"/>
      <c r="N983" s="8"/>
      <c r="O983" s="8"/>
      <c r="P983" s="8"/>
      <c r="Q983" s="8"/>
      <c r="R983" s="8"/>
      <c r="S983" s="8"/>
      <c r="T983" s="8"/>
      <c r="U983" s="8"/>
      <c r="V983" s="8"/>
    </row>
    <row r="984" spans="1:22" ht="13.5" customHeight="1">
      <c r="A984" s="8"/>
      <c r="B984" s="8"/>
      <c r="C984" s="30"/>
      <c r="D984" s="8"/>
      <c r="E984" s="8"/>
      <c r="F984" s="8"/>
      <c r="G984" s="8"/>
      <c r="H984" s="8"/>
      <c r="I984" s="8"/>
      <c r="J984" s="8"/>
      <c r="K984" s="8"/>
      <c r="L984" s="8"/>
      <c r="M984" s="8"/>
      <c r="N984" s="8"/>
      <c r="O984" s="8"/>
      <c r="P984" s="8"/>
      <c r="Q984" s="8"/>
      <c r="R984" s="8"/>
      <c r="S984" s="8"/>
      <c r="T984" s="8"/>
      <c r="U984" s="8"/>
      <c r="V984" s="8"/>
    </row>
    <row r="985" spans="1:22" ht="13.5" customHeight="1">
      <c r="A985" s="8"/>
      <c r="B985" s="8"/>
      <c r="C985" s="30"/>
      <c r="D985" s="8"/>
      <c r="E985" s="8"/>
      <c r="F985" s="8"/>
      <c r="G985" s="8"/>
      <c r="H985" s="8"/>
      <c r="I985" s="8"/>
      <c r="J985" s="8"/>
      <c r="K985" s="8"/>
      <c r="L985" s="8"/>
      <c r="M985" s="8"/>
      <c r="N985" s="8"/>
      <c r="O985" s="8"/>
      <c r="P985" s="8"/>
      <c r="Q985" s="8"/>
      <c r="R985" s="8"/>
      <c r="S985" s="8"/>
      <c r="T985" s="8"/>
      <c r="U985" s="8"/>
      <c r="V985" s="8"/>
    </row>
    <row r="986" spans="1:22" ht="13.5" customHeight="1">
      <c r="A986" s="8"/>
      <c r="B986" s="8"/>
      <c r="C986" s="30"/>
      <c r="D986" s="8"/>
      <c r="E986" s="8"/>
      <c r="F986" s="8"/>
      <c r="G986" s="8"/>
      <c r="H986" s="8"/>
      <c r="I986" s="8"/>
      <c r="J986" s="8"/>
      <c r="K986" s="8"/>
      <c r="L986" s="8"/>
      <c r="M986" s="8"/>
      <c r="N986" s="8"/>
      <c r="O986" s="8"/>
      <c r="P986" s="8"/>
      <c r="Q986" s="8"/>
      <c r="R986" s="8"/>
      <c r="S986" s="8"/>
      <c r="T986" s="8"/>
      <c r="U986" s="8"/>
      <c r="V986" s="8"/>
    </row>
    <row r="987" spans="1:22" ht="13.5" customHeight="1">
      <c r="A987" s="8"/>
      <c r="B987" s="8"/>
      <c r="C987" s="30"/>
      <c r="D987" s="8"/>
      <c r="E987" s="8"/>
      <c r="F987" s="8"/>
      <c r="G987" s="8"/>
      <c r="H987" s="8"/>
      <c r="I987" s="8"/>
      <c r="J987" s="8"/>
      <c r="K987" s="8"/>
      <c r="L987" s="8"/>
      <c r="M987" s="8"/>
      <c r="N987" s="8"/>
      <c r="O987" s="8"/>
      <c r="P987" s="8"/>
      <c r="Q987" s="8"/>
      <c r="R987" s="8"/>
      <c r="S987" s="8"/>
      <c r="T987" s="8"/>
      <c r="U987" s="8"/>
      <c r="V987" s="8"/>
    </row>
    <row r="988" spans="1:22" ht="13.5" customHeight="1">
      <c r="A988" s="8"/>
      <c r="B988" s="8"/>
      <c r="C988" s="30"/>
      <c r="D988" s="8"/>
      <c r="E988" s="8"/>
      <c r="F988" s="8"/>
      <c r="G988" s="8"/>
      <c r="H988" s="8"/>
      <c r="I988" s="8"/>
      <c r="J988" s="8"/>
      <c r="K988" s="8"/>
      <c r="L988" s="8"/>
      <c r="M988" s="8"/>
      <c r="N988" s="8"/>
      <c r="O988" s="8"/>
      <c r="P988" s="8"/>
      <c r="Q988" s="8"/>
      <c r="R988" s="8"/>
      <c r="S988" s="8"/>
      <c r="T988" s="8"/>
      <c r="U988" s="8"/>
      <c r="V988" s="8"/>
    </row>
    <row r="989" spans="1:22" ht="13.5" customHeight="1">
      <c r="A989" s="8"/>
      <c r="B989" s="8"/>
      <c r="C989" s="30"/>
      <c r="D989" s="8"/>
      <c r="E989" s="8"/>
      <c r="F989" s="8"/>
      <c r="G989" s="8"/>
      <c r="H989" s="8"/>
      <c r="I989" s="8"/>
      <c r="J989" s="8"/>
      <c r="K989" s="8"/>
      <c r="L989" s="8"/>
      <c r="M989" s="8"/>
      <c r="N989" s="8"/>
      <c r="O989" s="8"/>
      <c r="P989" s="8"/>
      <c r="Q989" s="8"/>
      <c r="R989" s="8"/>
      <c r="S989" s="8"/>
      <c r="T989" s="8"/>
      <c r="U989" s="8"/>
      <c r="V989" s="8"/>
    </row>
    <row r="990" spans="1:22" ht="13.5" customHeight="1">
      <c r="A990" s="8"/>
      <c r="B990" s="8"/>
      <c r="C990" s="30"/>
      <c r="D990" s="8"/>
      <c r="E990" s="8"/>
      <c r="F990" s="8"/>
      <c r="G990" s="8"/>
      <c r="H990" s="8"/>
      <c r="I990" s="8"/>
      <c r="J990" s="8"/>
      <c r="K990" s="8"/>
      <c r="L990" s="8"/>
      <c r="M990" s="8"/>
      <c r="N990" s="8"/>
      <c r="O990" s="8"/>
      <c r="P990" s="8"/>
      <c r="Q990" s="8"/>
      <c r="R990" s="8"/>
      <c r="S990" s="8"/>
      <c r="T990" s="8"/>
      <c r="U990" s="8"/>
      <c r="V990" s="8"/>
    </row>
    <row r="991" spans="1:22" ht="13.5" customHeight="1">
      <c r="A991" s="8"/>
      <c r="B991" s="8"/>
      <c r="C991" s="30"/>
      <c r="D991" s="8"/>
      <c r="E991" s="8"/>
      <c r="F991" s="8"/>
      <c r="G991" s="8"/>
      <c r="H991" s="8"/>
      <c r="I991" s="8"/>
      <c r="J991" s="8"/>
      <c r="K991" s="8"/>
      <c r="L991" s="8"/>
      <c r="M991" s="8"/>
      <c r="N991" s="8"/>
      <c r="O991" s="8"/>
      <c r="P991" s="8"/>
      <c r="Q991" s="8"/>
      <c r="R991" s="8"/>
      <c r="S991" s="8"/>
      <c r="T991" s="8"/>
      <c r="U991" s="8"/>
      <c r="V991" s="8"/>
    </row>
    <row r="992" spans="1:22" ht="13.5" customHeight="1">
      <c r="A992" s="8"/>
      <c r="B992" s="8"/>
      <c r="C992" s="30"/>
      <c r="D992" s="8"/>
      <c r="E992" s="8"/>
      <c r="F992" s="8"/>
      <c r="G992" s="8"/>
      <c r="H992" s="8"/>
      <c r="I992" s="8"/>
      <c r="J992" s="8"/>
      <c r="K992" s="8"/>
      <c r="L992" s="8"/>
      <c r="M992" s="8"/>
      <c r="N992" s="8"/>
      <c r="O992" s="8"/>
      <c r="P992" s="8"/>
      <c r="Q992" s="8"/>
      <c r="R992" s="8"/>
      <c r="S992" s="8"/>
      <c r="T992" s="8"/>
      <c r="U992" s="8"/>
      <c r="V992" s="8"/>
    </row>
    <row r="993" spans="1:22" ht="13.5" customHeight="1">
      <c r="A993" s="8"/>
      <c r="B993" s="8"/>
      <c r="C993" s="30"/>
      <c r="D993" s="8"/>
      <c r="E993" s="8"/>
      <c r="F993" s="8"/>
      <c r="G993" s="8"/>
      <c r="H993" s="8"/>
      <c r="I993" s="8"/>
      <c r="J993" s="8"/>
      <c r="K993" s="8"/>
      <c r="L993" s="8"/>
      <c r="M993" s="8"/>
      <c r="N993" s="8"/>
      <c r="O993" s="8"/>
      <c r="P993" s="8"/>
      <c r="Q993" s="8"/>
      <c r="R993" s="8"/>
      <c r="S993" s="8"/>
      <c r="T993" s="8"/>
      <c r="U993" s="8"/>
      <c r="V993" s="8"/>
    </row>
    <row r="994" spans="1:22" ht="13.5" customHeight="1">
      <c r="A994" s="8"/>
      <c r="B994" s="8"/>
      <c r="C994" s="30"/>
      <c r="D994" s="8"/>
      <c r="E994" s="8"/>
      <c r="F994" s="8"/>
      <c r="G994" s="8"/>
      <c r="H994" s="8"/>
      <c r="I994" s="8"/>
      <c r="J994" s="8"/>
      <c r="K994" s="8"/>
      <c r="L994" s="8"/>
      <c r="M994" s="8"/>
      <c r="N994" s="8"/>
      <c r="O994" s="8"/>
      <c r="P994" s="8"/>
      <c r="Q994" s="8"/>
      <c r="R994" s="8"/>
      <c r="S994" s="8"/>
      <c r="T994" s="8"/>
      <c r="U994" s="8"/>
      <c r="V994" s="8"/>
    </row>
    <row r="995" spans="1:22" ht="13.5" customHeight="1">
      <c r="A995" s="8"/>
      <c r="B995" s="8"/>
      <c r="C995" s="30"/>
      <c r="D995" s="8"/>
      <c r="E995" s="8"/>
      <c r="F995" s="8"/>
      <c r="G995" s="8"/>
      <c r="H995" s="8"/>
      <c r="I995" s="8"/>
      <c r="J995" s="8"/>
      <c r="K995" s="8"/>
      <c r="L995" s="8"/>
      <c r="M995" s="8"/>
      <c r="N995" s="8"/>
      <c r="O995" s="8"/>
      <c r="P995" s="8"/>
      <c r="Q995" s="8"/>
      <c r="R995" s="8"/>
      <c r="S995" s="8"/>
      <c r="T995" s="8"/>
      <c r="U995" s="8"/>
      <c r="V995" s="8"/>
    </row>
    <row r="996" spans="1:22" ht="13.5" customHeight="1">
      <c r="A996" s="8"/>
      <c r="B996" s="8"/>
      <c r="C996" s="30"/>
      <c r="D996" s="8"/>
      <c r="E996" s="8"/>
      <c r="F996" s="8"/>
      <c r="G996" s="8"/>
      <c r="H996" s="8"/>
      <c r="I996" s="8"/>
      <c r="J996" s="8"/>
      <c r="K996" s="8"/>
      <c r="L996" s="8"/>
      <c r="M996" s="8"/>
      <c r="N996" s="8"/>
      <c r="O996" s="8"/>
      <c r="P996" s="8"/>
      <c r="Q996" s="8"/>
      <c r="R996" s="8"/>
      <c r="S996" s="8"/>
      <c r="T996" s="8"/>
      <c r="U996" s="8"/>
      <c r="V996" s="8"/>
    </row>
    <row r="997" spans="1:22" ht="13.5" customHeight="1">
      <c r="A997" s="8"/>
      <c r="B997" s="8"/>
      <c r="C997" s="30"/>
      <c r="D997" s="8"/>
      <c r="E997" s="8"/>
      <c r="F997" s="8"/>
      <c r="G997" s="8"/>
      <c r="H997" s="8"/>
      <c r="I997" s="8"/>
      <c r="J997" s="8"/>
      <c r="K997" s="8"/>
      <c r="L997" s="8"/>
      <c r="M997" s="8"/>
      <c r="N997" s="8"/>
      <c r="O997" s="8"/>
      <c r="P997" s="8"/>
      <c r="Q997" s="8"/>
      <c r="R997" s="8"/>
      <c r="S997" s="8"/>
      <c r="T997" s="8"/>
      <c r="U997" s="8"/>
      <c r="V997" s="8"/>
    </row>
    <row r="998" spans="1:22" ht="13.5" customHeight="1">
      <c r="A998" s="8"/>
      <c r="B998" s="8"/>
      <c r="C998" s="30"/>
      <c r="D998" s="8"/>
      <c r="E998" s="8"/>
      <c r="F998" s="8"/>
      <c r="G998" s="8"/>
      <c r="H998" s="8"/>
      <c r="I998" s="8"/>
      <c r="J998" s="8"/>
      <c r="K998" s="8"/>
      <c r="L998" s="8"/>
      <c r="M998" s="8"/>
      <c r="N998" s="8"/>
      <c r="O998" s="8"/>
      <c r="P998" s="8"/>
      <c r="Q998" s="8"/>
      <c r="R998" s="8"/>
      <c r="S998" s="8"/>
      <c r="T998" s="8"/>
      <c r="U998" s="8"/>
      <c r="V998" s="8"/>
    </row>
    <row r="999" spans="1:22" ht="13.5" customHeight="1">
      <c r="A999" s="8"/>
      <c r="B999" s="8"/>
      <c r="C999" s="30"/>
      <c r="D999" s="8"/>
      <c r="E999" s="8"/>
      <c r="F999" s="8"/>
      <c r="G999" s="8"/>
      <c r="H999" s="8"/>
      <c r="I999" s="8"/>
      <c r="J999" s="8"/>
      <c r="K999" s="8"/>
      <c r="L999" s="8"/>
      <c r="M999" s="8"/>
      <c r="N999" s="8"/>
      <c r="O999" s="8"/>
      <c r="P999" s="8"/>
      <c r="Q999" s="8"/>
      <c r="R999" s="8"/>
      <c r="S999" s="8"/>
      <c r="T999" s="8"/>
      <c r="U999" s="8"/>
      <c r="V999" s="8"/>
    </row>
    <row r="1000" spans="1:22" ht="13.5" customHeight="1">
      <c r="A1000" s="8"/>
      <c r="B1000" s="8"/>
      <c r="C1000" s="30"/>
      <c r="D1000" s="8"/>
      <c r="E1000" s="8"/>
      <c r="F1000" s="8"/>
      <c r="G1000" s="8"/>
      <c r="H1000" s="8"/>
      <c r="I1000" s="8"/>
      <c r="J1000" s="8"/>
      <c r="K1000" s="8"/>
      <c r="L1000" s="8"/>
      <c r="M1000" s="8"/>
      <c r="N1000" s="8"/>
      <c r="O1000" s="8"/>
      <c r="P1000" s="8"/>
      <c r="Q1000" s="8"/>
      <c r="R1000" s="8"/>
      <c r="S1000" s="8"/>
      <c r="T1000" s="8"/>
      <c r="U1000" s="8"/>
      <c r="V1000" s="8"/>
    </row>
  </sheetData>
  <mergeCells count="14">
    <mergeCell ref="A194:B194"/>
    <mergeCell ref="A136:B136"/>
    <mergeCell ref="A164:B164"/>
    <mergeCell ref="A183:B183"/>
    <mergeCell ref="A189:B189"/>
    <mergeCell ref="A35:B35"/>
    <mergeCell ref="A107:C108"/>
    <mergeCell ref="A115:B115"/>
    <mergeCell ref="A11:B11"/>
    <mergeCell ref="A37:C38"/>
    <mergeCell ref="A45:B45"/>
    <mergeCell ref="A66:B66"/>
    <mergeCell ref="A94:B94"/>
    <mergeCell ref="A105:B105"/>
  </mergeCells>
  <printOptions horizontalCentered="1"/>
  <pageMargins left="0.78740157480314965" right="0.59055118110236227" top="0.78740157480314965" bottom="0.78740157480314965" header="0" footer="0"/>
  <pageSetup paperSize="9" scale="99" orientation="portrait" r:id="rId1"/>
  <headerFooter>
    <oddHeader>&amp;L&amp;"Arial Narrow,Negrita"MUNICIPALIDAD DE VILLA MARÍA&amp;R&amp;"Arial Narrow,Negrita"PRESUPUESTO 2024</oddHeader>
    <oddFooter>&amp;R&amp;"Arial Narrow,Normal"&amp;P</oddFooter>
  </headerFooter>
  <rowBreaks count="3" manualBreakCount="3">
    <brk id="57" max="2" man="1"/>
    <brk id="113" max="2" man="1"/>
    <brk id="168" max="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FF33"/>
  </sheetPr>
  <dimension ref="A1:R1000"/>
  <sheetViews>
    <sheetView zoomScaleNormal="100" workbookViewId="0">
      <selection activeCell="D22" sqref="D22"/>
    </sheetView>
  </sheetViews>
  <sheetFormatPr baseColWidth="10" defaultColWidth="14.42578125" defaultRowHeight="15" customHeight="1"/>
  <cols>
    <col min="1" max="1" width="10.7109375" customWidth="1"/>
    <col min="2" max="2" width="50.7109375" customWidth="1"/>
    <col min="3" max="3" width="15.7109375" customWidth="1"/>
    <col min="4" max="4" width="16.85546875" customWidth="1"/>
    <col min="5" max="5" width="17.5703125" customWidth="1"/>
    <col min="6" max="6" width="16.42578125" customWidth="1"/>
    <col min="7" max="7" width="14.28515625" customWidth="1"/>
    <col min="8" max="8" width="14.42578125" customWidth="1"/>
    <col min="9" max="18" width="10.7109375" customWidth="1"/>
  </cols>
  <sheetData>
    <row r="1" spans="1:18" ht="15" customHeight="1" thickBot="1">
      <c r="A1" s="1555" t="s">
        <v>982</v>
      </c>
      <c r="B1" s="1556"/>
      <c r="C1" s="1557"/>
    </row>
    <row r="2" spans="1:18" ht="12.75" customHeight="1" thickBot="1">
      <c r="A2" s="8"/>
      <c r="B2" s="8"/>
      <c r="C2" s="30"/>
      <c r="D2" s="8"/>
      <c r="E2" s="8"/>
      <c r="F2" s="8"/>
      <c r="G2" s="8"/>
      <c r="H2" s="8"/>
      <c r="I2" s="8"/>
      <c r="J2" s="8"/>
      <c r="K2" s="8"/>
      <c r="L2" s="8"/>
      <c r="M2" s="8"/>
      <c r="N2" s="8"/>
      <c r="O2" s="8"/>
      <c r="P2" s="8"/>
      <c r="Q2" s="8"/>
      <c r="R2" s="8"/>
    </row>
    <row r="3" spans="1:18" ht="12.75" customHeight="1">
      <c r="A3" s="1452" t="s">
        <v>263</v>
      </c>
      <c r="B3" s="1453"/>
      <c r="C3" s="1146" t="s">
        <v>264</v>
      </c>
      <c r="D3" s="8"/>
      <c r="E3" s="8"/>
      <c r="F3" s="8"/>
      <c r="G3" s="8"/>
      <c r="H3" s="8"/>
      <c r="I3" s="8"/>
      <c r="J3" s="8"/>
      <c r="K3" s="8"/>
      <c r="L3" s="8"/>
      <c r="M3" s="8"/>
      <c r="N3" s="8"/>
      <c r="O3" s="8"/>
      <c r="P3" s="8"/>
      <c r="Q3" s="8"/>
      <c r="R3" s="8"/>
    </row>
    <row r="4" spans="1:18" ht="12.75" customHeight="1" thickBot="1">
      <c r="A4" s="1454"/>
      <c r="B4" s="1455"/>
      <c r="C4" s="1152"/>
      <c r="D4" s="8"/>
      <c r="E4" s="8"/>
      <c r="F4" s="8"/>
      <c r="G4" s="8"/>
      <c r="H4" s="8"/>
      <c r="I4" s="8"/>
      <c r="J4" s="8"/>
      <c r="K4" s="8"/>
      <c r="L4" s="8"/>
      <c r="M4" s="8"/>
      <c r="N4" s="8"/>
      <c r="O4" s="8"/>
      <c r="P4" s="8"/>
      <c r="Q4" s="8"/>
      <c r="R4" s="8"/>
    </row>
    <row r="5" spans="1:18" ht="12.75" customHeight="1">
      <c r="A5" s="1458" t="s">
        <v>265</v>
      </c>
      <c r="B5" s="1446"/>
      <c r="C5" s="1459"/>
      <c r="D5" s="8"/>
      <c r="E5" s="8"/>
      <c r="F5" s="8"/>
      <c r="G5" s="8"/>
      <c r="H5" s="8"/>
      <c r="I5" s="8"/>
      <c r="J5" s="8"/>
      <c r="K5" s="8"/>
      <c r="L5" s="8"/>
      <c r="M5" s="8"/>
      <c r="N5" s="8"/>
      <c r="O5" s="8"/>
      <c r="P5" s="8"/>
      <c r="Q5" s="8"/>
      <c r="R5" s="8"/>
    </row>
    <row r="6" spans="1:18" ht="12.75" customHeight="1">
      <c r="A6" s="1460"/>
      <c r="B6" s="1461"/>
      <c r="C6" s="1462"/>
      <c r="D6" s="8"/>
      <c r="E6" s="8"/>
      <c r="F6" s="8"/>
      <c r="G6" s="8"/>
      <c r="H6" s="8"/>
      <c r="I6" s="8"/>
      <c r="J6" s="8"/>
      <c r="K6" s="8"/>
      <c r="L6" s="8"/>
      <c r="M6" s="8"/>
      <c r="N6" s="8"/>
      <c r="O6" s="8"/>
      <c r="P6" s="8"/>
      <c r="Q6" s="8"/>
      <c r="R6" s="8"/>
    </row>
    <row r="7" spans="1:18" ht="12.75" customHeight="1">
      <c r="A7" s="1460"/>
      <c r="B7" s="1461"/>
      <c r="C7" s="1462"/>
      <c r="D7" s="8"/>
      <c r="E7" s="8"/>
      <c r="F7" s="8"/>
      <c r="G7" s="8"/>
      <c r="H7" s="8"/>
      <c r="I7" s="8"/>
      <c r="J7" s="8"/>
      <c r="K7" s="8"/>
      <c r="L7" s="8"/>
      <c r="M7" s="8"/>
      <c r="N7" s="8"/>
      <c r="O7" s="8"/>
      <c r="P7" s="8"/>
      <c r="Q7" s="8"/>
      <c r="R7" s="8"/>
    </row>
    <row r="8" spans="1:18" ht="12.75" customHeight="1" thickBot="1">
      <c r="A8" s="1448"/>
      <c r="B8" s="1449"/>
      <c r="C8" s="1450"/>
      <c r="D8" s="8"/>
      <c r="E8" s="8"/>
      <c r="F8" s="8"/>
      <c r="G8" s="8"/>
      <c r="H8" s="8"/>
      <c r="I8" s="8"/>
      <c r="J8" s="8"/>
      <c r="K8" s="8"/>
      <c r="L8" s="8"/>
      <c r="M8" s="8"/>
      <c r="N8" s="8"/>
      <c r="O8" s="8"/>
      <c r="P8" s="8"/>
      <c r="Q8" s="8"/>
      <c r="R8" s="8"/>
    </row>
    <row r="9" spans="1:18" ht="12.75" customHeight="1">
      <c r="A9" s="1028" t="s">
        <v>671</v>
      </c>
      <c r="B9" s="808"/>
      <c r="C9" s="1029"/>
      <c r="D9" s="13"/>
      <c r="E9" s="13"/>
      <c r="F9" s="13"/>
      <c r="G9" s="13"/>
      <c r="H9" s="13"/>
      <c r="I9" s="13"/>
      <c r="J9" s="13"/>
      <c r="K9" s="13"/>
      <c r="L9" s="13"/>
      <c r="M9" s="13"/>
      <c r="N9" s="13"/>
      <c r="O9" s="13"/>
      <c r="P9" s="13"/>
      <c r="Q9" s="13"/>
      <c r="R9" s="13"/>
    </row>
    <row r="10" spans="1:18" ht="12.75" customHeight="1">
      <c r="A10" s="1028" t="s">
        <v>266</v>
      </c>
      <c r="B10" s="808"/>
      <c r="C10" s="1029"/>
      <c r="D10" s="13"/>
      <c r="E10" s="13"/>
      <c r="F10" s="13"/>
      <c r="G10" s="13"/>
      <c r="H10" s="13"/>
      <c r="I10" s="13"/>
      <c r="J10" s="13"/>
      <c r="K10" s="13"/>
      <c r="L10" s="13"/>
      <c r="M10" s="13"/>
      <c r="N10" s="13"/>
      <c r="O10" s="13"/>
      <c r="P10" s="13"/>
      <c r="Q10" s="13"/>
      <c r="R10" s="13"/>
    </row>
    <row r="11" spans="1:18" ht="12.75" customHeight="1">
      <c r="A11" s="1028" t="s">
        <v>940</v>
      </c>
      <c r="B11" s="808"/>
      <c r="C11" s="1029"/>
      <c r="D11" s="13"/>
      <c r="E11" s="13"/>
      <c r="F11" s="13"/>
      <c r="G11" s="13"/>
      <c r="H11" s="13"/>
      <c r="I11" s="13"/>
      <c r="J11" s="13"/>
      <c r="K11" s="13"/>
      <c r="L11" s="13"/>
      <c r="M11" s="13"/>
      <c r="N11" s="13"/>
      <c r="O11" s="13"/>
      <c r="P11" s="13"/>
      <c r="Q11" s="13"/>
      <c r="R11" s="13"/>
    </row>
    <row r="12" spans="1:18" ht="12.75" customHeight="1" thickBot="1">
      <c r="A12" s="1028" t="s">
        <v>0</v>
      </c>
      <c r="B12" s="808"/>
      <c r="C12" s="1029"/>
      <c r="D12" s="14"/>
      <c r="E12" s="13"/>
      <c r="F12" s="13"/>
      <c r="G12" s="13"/>
      <c r="H12" s="13"/>
      <c r="I12" s="13"/>
      <c r="J12" s="13"/>
      <c r="K12" s="13"/>
      <c r="L12" s="13"/>
      <c r="M12" s="13"/>
      <c r="N12" s="13"/>
      <c r="O12" s="13"/>
      <c r="P12" s="13"/>
      <c r="Q12" s="13"/>
      <c r="R12" s="13"/>
    </row>
    <row r="13" spans="1:18" ht="12.75" customHeight="1" thickBot="1">
      <c r="A13" s="1142" t="s">
        <v>1</v>
      </c>
      <c r="B13" s="1143"/>
      <c r="C13" s="1145">
        <f>(C15+C38+C60+C84+C92)</f>
        <v>675019400.73000002</v>
      </c>
      <c r="D13" s="987"/>
      <c r="E13" s="986"/>
      <c r="F13" s="986"/>
      <c r="G13" s="986"/>
      <c r="H13" s="986"/>
      <c r="I13" s="986"/>
      <c r="L13" s="13"/>
      <c r="M13" s="13"/>
      <c r="N13" s="13"/>
      <c r="O13" s="13"/>
      <c r="P13" s="13"/>
      <c r="Q13" s="13"/>
      <c r="R13" s="13"/>
    </row>
    <row r="14" spans="1:18" ht="12.75" customHeight="1" thickBot="1">
      <c r="A14" s="21"/>
      <c r="B14" s="21"/>
      <c r="C14" s="26"/>
      <c r="D14" s="1106"/>
      <c r="E14" s="1106"/>
      <c r="F14" s="1106"/>
      <c r="G14" s="1106"/>
      <c r="H14" s="1106"/>
      <c r="I14" s="986"/>
      <c r="L14" s="13"/>
      <c r="M14" s="13"/>
      <c r="N14" s="13"/>
      <c r="O14" s="13"/>
      <c r="P14" s="13"/>
      <c r="Q14" s="13"/>
      <c r="R14" s="13"/>
    </row>
    <row r="15" spans="1:18" ht="12.75" customHeight="1" thickBot="1">
      <c r="A15" s="1463" t="s">
        <v>2</v>
      </c>
      <c r="B15" s="1281"/>
      <c r="C15" s="602">
        <f>C16+C23+C30</f>
        <v>603798400.73000002</v>
      </c>
      <c r="D15" s="1107"/>
      <c r="E15" s="1107"/>
      <c r="F15" s="1107"/>
      <c r="G15" s="1107"/>
      <c r="H15" s="1107"/>
      <c r="I15" s="986"/>
      <c r="L15" s="13"/>
      <c r="M15" s="13"/>
      <c r="N15" s="13"/>
      <c r="O15" s="13"/>
      <c r="P15" s="13"/>
      <c r="Q15" s="13"/>
      <c r="R15" s="13"/>
    </row>
    <row r="16" spans="1:18" ht="12.75" customHeight="1">
      <c r="A16" s="48">
        <v>211101</v>
      </c>
      <c r="B16" s="22" t="s">
        <v>667</v>
      </c>
      <c r="C16" s="26">
        <f>SUM(C17:C22)</f>
        <v>59207135.140000001</v>
      </c>
      <c r="D16" s="1039"/>
      <c r="E16" s="1039"/>
      <c r="F16" s="1039"/>
      <c r="G16" s="1039"/>
      <c r="H16" s="1039"/>
      <c r="I16" s="986"/>
      <c r="L16" s="13"/>
      <c r="M16" s="13"/>
      <c r="N16" s="13"/>
      <c r="O16" s="13"/>
      <c r="P16" s="13"/>
      <c r="Q16" s="13"/>
      <c r="R16" s="13"/>
    </row>
    <row r="17" spans="1:18" ht="12.75" customHeight="1">
      <c r="A17" s="33">
        <v>21110101</v>
      </c>
      <c r="B17" s="24" t="s">
        <v>810</v>
      </c>
      <c r="C17" s="24">
        <v>45984297.850000001</v>
      </c>
      <c r="D17" s="1039"/>
      <c r="E17" s="1039"/>
      <c r="F17" s="1039"/>
      <c r="G17" s="1039"/>
      <c r="H17" s="1039"/>
      <c r="I17" s="986"/>
      <c r="L17" s="13"/>
      <c r="M17" s="13"/>
      <c r="N17" s="13"/>
      <c r="O17" s="13"/>
      <c r="P17" s="13"/>
      <c r="Q17" s="13"/>
      <c r="R17" s="13"/>
    </row>
    <row r="18" spans="1:18" ht="12.75" customHeight="1">
      <c r="A18" s="33">
        <v>21110102</v>
      </c>
      <c r="B18" s="24" t="s">
        <v>811</v>
      </c>
      <c r="C18" s="24">
        <v>9585246.8200000003</v>
      </c>
      <c r="D18" s="1039"/>
      <c r="E18" s="1039"/>
      <c r="F18" s="1109"/>
      <c r="G18" s="1039"/>
      <c r="H18" s="1039"/>
      <c r="I18" s="986"/>
      <c r="L18" s="13"/>
      <c r="M18" s="13"/>
      <c r="N18" s="13"/>
      <c r="O18" s="13"/>
      <c r="P18" s="13"/>
      <c r="Q18" s="13"/>
      <c r="R18" s="13"/>
    </row>
    <row r="19" spans="1:18" ht="12.75" customHeight="1">
      <c r="A19" s="33">
        <v>21110103</v>
      </c>
      <c r="B19" s="24" t="s">
        <v>812</v>
      </c>
      <c r="C19" s="24">
        <v>1365496.47</v>
      </c>
      <c r="D19" s="986"/>
      <c r="E19" s="986"/>
      <c r="F19" s="987"/>
      <c r="G19" s="986"/>
      <c r="H19" s="986"/>
      <c r="I19" s="986"/>
      <c r="L19" s="13"/>
      <c r="M19" s="13"/>
      <c r="N19" s="13"/>
      <c r="O19" s="13"/>
      <c r="P19" s="13"/>
      <c r="Q19" s="13"/>
      <c r="R19" s="13"/>
    </row>
    <row r="20" spans="1:18" ht="12.75" customHeight="1">
      <c r="A20" s="33">
        <v>21110104</v>
      </c>
      <c r="B20" s="24" t="s">
        <v>813</v>
      </c>
      <c r="C20" s="24">
        <v>1</v>
      </c>
      <c r="D20" s="993"/>
      <c r="E20" s="986"/>
      <c r="F20" s="986"/>
      <c r="G20" s="986"/>
      <c r="H20" s="986"/>
      <c r="I20" s="986"/>
      <c r="J20" s="13"/>
      <c r="K20" s="13"/>
      <c r="L20" s="13"/>
      <c r="M20" s="13"/>
      <c r="N20" s="13"/>
      <c r="O20" s="13"/>
      <c r="P20" s="13"/>
      <c r="Q20" s="13"/>
      <c r="R20" s="13"/>
    </row>
    <row r="21" spans="1:18" ht="12.75" customHeight="1">
      <c r="A21" s="33">
        <v>21110105</v>
      </c>
      <c r="B21" s="24" t="s">
        <v>814</v>
      </c>
      <c r="C21" s="24">
        <v>2272092</v>
      </c>
      <c r="D21" s="993"/>
      <c r="E21" s="986"/>
      <c r="F21" s="986"/>
      <c r="G21" s="986"/>
      <c r="H21" s="986"/>
      <c r="I21" s="986"/>
      <c r="J21" s="13"/>
      <c r="K21" s="13"/>
      <c r="L21" s="13"/>
      <c r="M21" s="13"/>
      <c r="N21" s="13"/>
      <c r="O21" s="13"/>
      <c r="P21" s="13"/>
      <c r="Q21" s="13"/>
      <c r="R21" s="13"/>
    </row>
    <row r="22" spans="1:18" ht="12.75" customHeight="1">
      <c r="A22" s="33">
        <v>21110106</v>
      </c>
      <c r="B22" s="24" t="s">
        <v>815</v>
      </c>
      <c r="C22" s="24">
        <v>1</v>
      </c>
      <c r="D22" s="107"/>
      <c r="E22" s="27"/>
      <c r="F22" s="27"/>
      <c r="G22" s="27"/>
      <c r="H22" s="27"/>
      <c r="I22" s="27"/>
      <c r="J22" s="27"/>
      <c r="K22" s="27"/>
      <c r="L22" s="27"/>
      <c r="M22" s="27"/>
      <c r="N22" s="27"/>
      <c r="O22" s="27"/>
      <c r="P22" s="27"/>
      <c r="Q22" s="27"/>
      <c r="R22" s="27"/>
    </row>
    <row r="23" spans="1:18" ht="12.75" customHeight="1">
      <c r="A23" s="48">
        <v>211102</v>
      </c>
      <c r="B23" s="26" t="s">
        <v>668</v>
      </c>
      <c r="C23" s="26">
        <f>SUM(C24:C29)</f>
        <v>411597697.97000003</v>
      </c>
      <c r="D23" s="107"/>
      <c r="E23" s="27"/>
      <c r="F23" s="27"/>
      <c r="G23" s="27"/>
      <c r="H23" s="27"/>
      <c r="I23" s="27"/>
      <c r="J23" s="27"/>
      <c r="K23" s="27"/>
      <c r="L23" s="27"/>
      <c r="M23" s="27"/>
      <c r="N23" s="27"/>
      <c r="O23" s="27"/>
      <c r="P23" s="27"/>
      <c r="Q23" s="27"/>
      <c r="R23" s="27"/>
    </row>
    <row r="24" spans="1:18" ht="12.75" customHeight="1">
      <c r="A24" s="33">
        <v>21110201</v>
      </c>
      <c r="B24" s="24" t="s">
        <v>816</v>
      </c>
      <c r="C24" s="24">
        <v>335558769.04000002</v>
      </c>
      <c r="D24" s="107"/>
      <c r="E24" s="27"/>
      <c r="F24" s="27"/>
      <c r="G24" s="27"/>
      <c r="H24" s="27"/>
      <c r="I24" s="27"/>
      <c r="J24" s="27"/>
      <c r="K24" s="27"/>
      <c r="L24" s="27"/>
      <c r="M24" s="27"/>
      <c r="N24" s="27"/>
      <c r="O24" s="27"/>
      <c r="P24" s="27"/>
      <c r="Q24" s="27"/>
      <c r="R24" s="27"/>
    </row>
    <row r="25" spans="1:18" ht="12.75" customHeight="1">
      <c r="A25" s="33">
        <v>21110202</v>
      </c>
      <c r="B25" s="24" t="s">
        <v>817</v>
      </c>
      <c r="C25" s="24">
        <v>63475414.32</v>
      </c>
      <c r="D25" s="107"/>
      <c r="E25" s="27"/>
      <c r="F25" s="27"/>
      <c r="G25" s="27"/>
      <c r="H25" s="27"/>
      <c r="I25" s="27"/>
      <c r="J25" s="27"/>
      <c r="K25" s="27"/>
      <c r="L25" s="27"/>
      <c r="M25" s="27"/>
      <c r="N25" s="27"/>
      <c r="O25" s="27"/>
      <c r="P25" s="27"/>
      <c r="Q25" s="27"/>
      <c r="R25" s="27"/>
    </row>
    <row r="26" spans="1:18" ht="12.75" customHeight="1">
      <c r="A26" s="33">
        <v>21110203</v>
      </c>
      <c r="B26" s="24" t="s">
        <v>818</v>
      </c>
      <c r="C26" s="24">
        <v>12563511.609999999</v>
      </c>
      <c r="D26" s="27"/>
      <c r="E26" s="27"/>
      <c r="F26" s="27"/>
      <c r="G26" s="27"/>
      <c r="H26" s="27"/>
      <c r="I26" s="27"/>
      <c r="J26" s="27"/>
      <c r="K26" s="27"/>
      <c r="L26" s="27"/>
      <c r="M26" s="27"/>
      <c r="N26" s="27"/>
      <c r="O26" s="27"/>
      <c r="P26" s="27"/>
      <c r="Q26" s="27"/>
      <c r="R26" s="27"/>
    </row>
    <row r="27" spans="1:18" ht="12.75" customHeight="1">
      <c r="A27" s="33">
        <v>21110204</v>
      </c>
      <c r="B27" s="24" t="s">
        <v>819</v>
      </c>
      <c r="C27" s="24">
        <v>1</v>
      </c>
      <c r="D27" s="13"/>
      <c r="E27" s="13"/>
      <c r="F27" s="13"/>
      <c r="G27" s="13"/>
      <c r="H27" s="13"/>
      <c r="I27" s="13"/>
      <c r="J27" s="13"/>
      <c r="K27" s="13"/>
      <c r="L27" s="13"/>
      <c r="M27" s="13"/>
      <c r="N27" s="13"/>
      <c r="O27" s="13"/>
      <c r="P27" s="13"/>
      <c r="Q27" s="13"/>
      <c r="R27" s="13"/>
    </row>
    <row r="28" spans="1:18" ht="12.75" customHeight="1">
      <c r="A28" s="33">
        <v>21110205</v>
      </c>
      <c r="B28" s="24" t="s">
        <v>820</v>
      </c>
      <c r="C28" s="24">
        <v>1</v>
      </c>
      <c r="D28" s="40"/>
      <c r="E28" s="13"/>
      <c r="F28" s="13"/>
      <c r="G28" s="13"/>
      <c r="H28" s="13"/>
      <c r="I28" s="13"/>
      <c r="J28" s="13"/>
      <c r="K28" s="13"/>
      <c r="L28" s="13"/>
      <c r="M28" s="13"/>
      <c r="N28" s="13"/>
      <c r="O28" s="13"/>
      <c r="P28" s="13"/>
      <c r="Q28" s="13"/>
      <c r="R28" s="13"/>
    </row>
    <row r="29" spans="1:18" ht="12.75" customHeight="1">
      <c r="A29" s="33">
        <v>21110206</v>
      </c>
      <c r="B29" s="24" t="s">
        <v>821</v>
      </c>
      <c r="C29" s="24">
        <v>1</v>
      </c>
      <c r="D29" s="107"/>
      <c r="E29" s="27"/>
      <c r="F29" s="27"/>
      <c r="G29" s="27"/>
      <c r="H29" s="27"/>
      <c r="I29" s="27"/>
      <c r="J29" s="27"/>
      <c r="K29" s="27"/>
      <c r="L29" s="27"/>
      <c r="M29" s="27"/>
      <c r="N29" s="27"/>
      <c r="O29" s="27"/>
      <c r="P29" s="27"/>
      <c r="Q29" s="27"/>
      <c r="R29" s="27"/>
    </row>
    <row r="30" spans="1:18" ht="12.75" customHeight="1">
      <c r="A30" s="48">
        <v>211103</v>
      </c>
      <c r="B30" s="26" t="s">
        <v>669</v>
      </c>
      <c r="C30" s="26">
        <f>SUM(C31:C36)</f>
        <v>132993567.62</v>
      </c>
      <c r="D30" s="107"/>
      <c r="E30" s="27"/>
      <c r="F30" s="27"/>
      <c r="G30" s="27"/>
      <c r="H30" s="27"/>
      <c r="I30" s="27"/>
      <c r="J30" s="27"/>
      <c r="K30" s="27"/>
      <c r="L30" s="27"/>
      <c r="M30" s="27"/>
      <c r="N30" s="27"/>
      <c r="O30" s="27"/>
      <c r="P30" s="27"/>
      <c r="Q30" s="27"/>
      <c r="R30" s="27"/>
    </row>
    <row r="31" spans="1:18" ht="12.75" customHeight="1">
      <c r="A31" s="33">
        <v>21110301</v>
      </c>
      <c r="B31" s="24" t="s">
        <v>822</v>
      </c>
      <c r="C31" s="24">
        <v>108999342.93000001</v>
      </c>
      <c r="D31" s="27"/>
      <c r="E31" s="27"/>
      <c r="F31" s="27"/>
      <c r="G31" s="27"/>
      <c r="H31" s="27"/>
      <c r="I31" s="27"/>
      <c r="J31" s="27"/>
      <c r="K31" s="27"/>
      <c r="L31" s="27"/>
      <c r="M31" s="27"/>
      <c r="N31" s="27"/>
      <c r="O31" s="27"/>
      <c r="P31" s="27"/>
      <c r="Q31" s="27"/>
      <c r="R31" s="27"/>
    </row>
    <row r="32" spans="1:18" ht="12.75" customHeight="1">
      <c r="A32" s="33">
        <v>21110302</v>
      </c>
      <c r="B32" s="24" t="s">
        <v>823</v>
      </c>
      <c r="C32" s="24">
        <v>19853174.379999999</v>
      </c>
      <c r="D32" s="40"/>
      <c r="E32" s="13"/>
      <c r="F32" s="13"/>
      <c r="G32" s="13"/>
      <c r="H32" s="13"/>
      <c r="I32" s="13"/>
      <c r="J32" s="13"/>
      <c r="K32" s="13"/>
      <c r="L32" s="13"/>
      <c r="M32" s="13"/>
      <c r="N32" s="13"/>
      <c r="O32" s="13"/>
      <c r="P32" s="13"/>
      <c r="Q32" s="13"/>
      <c r="R32" s="13"/>
    </row>
    <row r="33" spans="1:18" ht="12.75" customHeight="1">
      <c r="A33" s="33">
        <v>21110303</v>
      </c>
      <c r="B33" s="24" t="s">
        <v>824</v>
      </c>
      <c r="C33" s="24">
        <v>3145036.31</v>
      </c>
      <c r="D33" s="40"/>
      <c r="E33" s="13"/>
      <c r="F33" s="13"/>
      <c r="G33" s="13"/>
      <c r="H33" s="13"/>
      <c r="I33" s="13"/>
      <c r="J33" s="13"/>
      <c r="K33" s="13"/>
      <c r="L33" s="13"/>
      <c r="M33" s="13"/>
      <c r="N33" s="13"/>
      <c r="O33" s="13"/>
      <c r="P33" s="13"/>
      <c r="Q33" s="13"/>
      <c r="R33" s="13"/>
    </row>
    <row r="34" spans="1:18" ht="12.75" customHeight="1">
      <c r="A34" s="33">
        <v>21110304</v>
      </c>
      <c r="B34" s="24" t="s">
        <v>825</v>
      </c>
      <c r="C34" s="24">
        <v>1</v>
      </c>
      <c r="D34" s="107"/>
      <c r="E34" s="27"/>
      <c r="F34" s="27"/>
      <c r="G34" s="27"/>
      <c r="H34" s="27"/>
      <c r="I34" s="27"/>
      <c r="J34" s="27"/>
      <c r="K34" s="27"/>
      <c r="L34" s="27"/>
      <c r="M34" s="27"/>
      <c r="N34" s="27"/>
      <c r="O34" s="27"/>
      <c r="P34" s="27"/>
      <c r="Q34" s="27"/>
      <c r="R34" s="27"/>
    </row>
    <row r="35" spans="1:18" ht="12.75" customHeight="1">
      <c r="A35" s="33">
        <v>21110305</v>
      </c>
      <c r="B35" s="24" t="s">
        <v>826</v>
      </c>
      <c r="C35" s="24">
        <v>996012</v>
      </c>
      <c r="D35" s="107"/>
      <c r="E35" s="27"/>
      <c r="F35" s="27"/>
      <c r="G35" s="27"/>
      <c r="H35" s="27"/>
      <c r="I35" s="27"/>
      <c r="J35" s="27"/>
      <c r="K35" s="27"/>
      <c r="L35" s="27"/>
      <c r="M35" s="27"/>
      <c r="N35" s="27"/>
      <c r="O35" s="27"/>
      <c r="P35" s="27"/>
      <c r="Q35" s="27"/>
      <c r="R35" s="27"/>
    </row>
    <row r="36" spans="1:18" ht="12.75" customHeight="1">
      <c r="A36" s="33">
        <v>21110306</v>
      </c>
      <c r="B36" s="24" t="s">
        <v>670</v>
      </c>
      <c r="C36" s="24">
        <v>1</v>
      </c>
      <c r="D36" s="8"/>
      <c r="E36" s="8"/>
      <c r="F36" s="8"/>
      <c r="G36" s="8"/>
      <c r="H36" s="8"/>
      <c r="I36" s="8"/>
      <c r="J36" s="8"/>
      <c r="K36" s="8"/>
      <c r="L36" s="8"/>
      <c r="M36" s="8"/>
      <c r="N36" s="8"/>
      <c r="O36" s="8"/>
      <c r="P36" s="8"/>
      <c r="Q36" s="8"/>
      <c r="R36" s="8"/>
    </row>
    <row r="37" spans="1:18" ht="12.75" customHeight="1" thickBot="1">
      <c r="A37" s="23"/>
      <c r="B37" s="23"/>
      <c r="C37" s="24"/>
      <c r="D37" s="8"/>
      <c r="E37" s="8"/>
      <c r="F37" s="8"/>
      <c r="G37" s="8"/>
      <c r="H37" s="8"/>
      <c r="I37" s="8"/>
      <c r="J37" s="8"/>
      <c r="K37" s="8"/>
      <c r="L37" s="8"/>
      <c r="M37" s="8"/>
      <c r="N37" s="8"/>
      <c r="O37" s="8"/>
      <c r="P37" s="8"/>
      <c r="Q37" s="8"/>
      <c r="R37" s="8"/>
    </row>
    <row r="38" spans="1:18" ht="12.75" customHeight="1" thickBot="1">
      <c r="A38" s="1297" t="s">
        <v>9</v>
      </c>
      <c r="B38" s="1416"/>
      <c r="C38" s="62">
        <f>C39+C41+C43+C45+C47+C55+C52</f>
        <v>17180000</v>
      </c>
      <c r="D38" s="8"/>
      <c r="E38" s="8"/>
      <c r="F38" s="8"/>
      <c r="G38" s="8"/>
      <c r="H38" s="8"/>
      <c r="I38" s="8"/>
      <c r="J38" s="8"/>
      <c r="K38" s="8"/>
      <c r="L38" s="8"/>
      <c r="M38" s="8"/>
      <c r="N38" s="8"/>
      <c r="O38" s="8"/>
      <c r="P38" s="8"/>
      <c r="Q38" s="8"/>
      <c r="R38" s="8"/>
    </row>
    <row r="39" spans="1:18" ht="13.5" customHeight="1">
      <c r="A39" s="48">
        <v>211201</v>
      </c>
      <c r="B39" s="21" t="s">
        <v>459</v>
      </c>
      <c r="C39" s="49">
        <f>SUM(C40)</f>
        <v>3520000</v>
      </c>
      <c r="D39" s="603"/>
      <c r="E39" s="13"/>
      <c r="F39" s="13"/>
      <c r="G39" s="13"/>
      <c r="H39" s="13"/>
      <c r="I39" s="13"/>
      <c r="J39" s="13"/>
      <c r="K39" s="13"/>
      <c r="L39" s="13"/>
      <c r="M39" s="13"/>
      <c r="N39" s="13"/>
      <c r="O39" s="13"/>
      <c r="P39" s="13"/>
      <c r="Q39" s="13"/>
      <c r="R39" s="13"/>
    </row>
    <row r="40" spans="1:18" ht="13.5" customHeight="1">
      <c r="A40" s="33">
        <v>21120101</v>
      </c>
      <c r="B40" s="23" t="s">
        <v>460</v>
      </c>
      <c r="C40" s="24">
        <v>3520000</v>
      </c>
      <c r="D40" s="603"/>
      <c r="E40" s="13"/>
      <c r="F40" s="13"/>
      <c r="G40" s="13"/>
      <c r="H40" s="13"/>
      <c r="I40" s="13"/>
      <c r="J40" s="13"/>
      <c r="K40" s="13"/>
      <c r="L40" s="13"/>
      <c r="M40" s="13"/>
      <c r="N40" s="13"/>
      <c r="O40" s="13"/>
      <c r="P40" s="13"/>
      <c r="Q40" s="13"/>
      <c r="R40" s="13"/>
    </row>
    <row r="41" spans="1:18" ht="13.5" customHeight="1">
      <c r="A41" s="48">
        <v>211202</v>
      </c>
      <c r="B41" s="21" t="s">
        <v>529</v>
      </c>
      <c r="C41" s="26">
        <f>SUM(C42)</f>
        <v>300000</v>
      </c>
      <c r="D41" s="603"/>
      <c r="E41" s="13"/>
      <c r="F41" s="13"/>
      <c r="G41" s="13"/>
      <c r="H41" s="13"/>
      <c r="I41" s="13"/>
      <c r="J41" s="13"/>
      <c r="K41" s="13"/>
      <c r="L41" s="13"/>
      <c r="M41" s="13"/>
      <c r="N41" s="13"/>
      <c r="O41" s="13"/>
      <c r="P41" s="13"/>
      <c r="Q41" s="13"/>
      <c r="R41" s="13"/>
    </row>
    <row r="42" spans="1:18" ht="13.5" customHeight="1">
      <c r="A42" s="33">
        <v>21120201</v>
      </c>
      <c r="B42" s="23" t="s">
        <v>540</v>
      </c>
      <c r="C42" s="24">
        <v>300000</v>
      </c>
      <c r="D42" s="603"/>
      <c r="E42" s="13"/>
      <c r="F42" s="13"/>
      <c r="G42" s="13"/>
      <c r="H42" s="13"/>
      <c r="I42" s="13"/>
      <c r="J42" s="13"/>
      <c r="K42" s="13"/>
      <c r="L42" s="13"/>
      <c r="M42" s="13"/>
      <c r="N42" s="13"/>
      <c r="O42" s="13"/>
      <c r="P42" s="13"/>
      <c r="Q42" s="13"/>
      <c r="R42" s="13"/>
    </row>
    <row r="43" spans="1:18" ht="13.5" customHeight="1">
      <c r="A43" s="48">
        <v>211203</v>
      </c>
      <c r="B43" s="21" t="s">
        <v>461</v>
      </c>
      <c r="C43" s="26">
        <f>SUM(C44)</f>
        <v>1700000</v>
      </c>
      <c r="D43" s="603"/>
      <c r="E43" s="13"/>
      <c r="F43" s="13"/>
      <c r="G43" s="13"/>
      <c r="H43" s="13"/>
      <c r="I43" s="13"/>
      <c r="J43" s="13"/>
      <c r="K43" s="13"/>
      <c r="L43" s="13"/>
      <c r="M43" s="13"/>
      <c r="N43" s="13"/>
      <c r="O43" s="13"/>
      <c r="P43" s="13"/>
      <c r="Q43" s="13"/>
      <c r="R43" s="13"/>
    </row>
    <row r="44" spans="1:18" ht="13.5" customHeight="1">
      <c r="A44" s="33">
        <v>21120302</v>
      </c>
      <c r="B44" s="23" t="s">
        <v>462</v>
      </c>
      <c r="C44" s="24">
        <v>1700000</v>
      </c>
      <c r="D44" s="40"/>
      <c r="E44" s="13"/>
      <c r="F44" s="13"/>
      <c r="G44" s="13"/>
      <c r="H44" s="13"/>
      <c r="I44" s="13"/>
      <c r="J44" s="13"/>
      <c r="K44" s="13"/>
      <c r="L44" s="13"/>
      <c r="M44" s="13"/>
      <c r="N44" s="13"/>
      <c r="O44" s="13"/>
      <c r="P44" s="13"/>
      <c r="Q44" s="13"/>
      <c r="R44" s="13"/>
    </row>
    <row r="45" spans="1:18" ht="13.5" customHeight="1">
      <c r="A45" s="48">
        <v>211204</v>
      </c>
      <c r="B45" s="21" t="s">
        <v>463</v>
      </c>
      <c r="C45" s="26">
        <f>SUM(C46)</f>
        <v>3496000</v>
      </c>
      <c r="D45" s="40"/>
      <c r="E45" s="13"/>
      <c r="F45" s="13"/>
      <c r="G45" s="13"/>
      <c r="H45" s="13"/>
      <c r="I45" s="13"/>
      <c r="J45" s="13"/>
      <c r="K45" s="13"/>
      <c r="L45" s="13"/>
      <c r="M45" s="13"/>
      <c r="N45" s="13"/>
      <c r="O45" s="13"/>
      <c r="P45" s="13"/>
      <c r="Q45" s="13"/>
      <c r="R45" s="13"/>
    </row>
    <row r="46" spans="1:18" ht="13.5" customHeight="1">
      <c r="A46" s="33">
        <v>21120401</v>
      </c>
      <c r="B46" s="24" t="s">
        <v>464</v>
      </c>
      <c r="C46" s="24">
        <v>3496000</v>
      </c>
      <c r="D46" s="22"/>
      <c r="E46" s="13"/>
      <c r="F46" s="13"/>
      <c r="G46" s="13"/>
      <c r="H46" s="13"/>
      <c r="I46" s="13"/>
      <c r="J46" s="13"/>
      <c r="K46" s="13"/>
      <c r="L46" s="13"/>
      <c r="M46" s="13"/>
      <c r="N46" s="13"/>
      <c r="O46" s="13"/>
      <c r="P46" s="13"/>
      <c r="Q46" s="13"/>
      <c r="R46" s="13"/>
    </row>
    <row r="47" spans="1:18" ht="12.75" customHeight="1">
      <c r="A47" s="48">
        <v>211207</v>
      </c>
      <c r="B47" s="21" t="s">
        <v>467</v>
      </c>
      <c r="C47" s="26">
        <f>SUM(C48:C51)</f>
        <v>2907000</v>
      </c>
      <c r="D47" s="8"/>
      <c r="E47" s="8"/>
      <c r="F47" s="8"/>
      <c r="G47" s="8"/>
      <c r="H47" s="8"/>
      <c r="I47" s="8"/>
      <c r="J47" s="8"/>
      <c r="K47" s="8"/>
      <c r="L47" s="8"/>
      <c r="M47" s="8"/>
      <c r="N47" s="8"/>
      <c r="O47" s="8"/>
      <c r="P47" s="8"/>
      <c r="Q47" s="8"/>
      <c r="R47" s="8"/>
    </row>
    <row r="48" spans="1:18" ht="12.75" customHeight="1">
      <c r="A48" s="33">
        <v>21120702</v>
      </c>
      <c r="B48" s="24" t="s">
        <v>468</v>
      </c>
      <c r="C48" s="24">
        <v>1500000</v>
      </c>
      <c r="D48" s="8"/>
      <c r="E48" s="8"/>
      <c r="F48" s="8"/>
      <c r="G48" s="8"/>
      <c r="H48" s="8"/>
      <c r="I48" s="8"/>
      <c r="J48" s="8"/>
      <c r="K48" s="8"/>
      <c r="L48" s="8"/>
      <c r="M48" s="8"/>
      <c r="N48" s="8"/>
      <c r="O48" s="8"/>
      <c r="P48" s="8"/>
      <c r="Q48" s="8"/>
      <c r="R48" s="8"/>
    </row>
    <row r="49" spans="1:18" ht="12.75" customHeight="1">
      <c r="A49" s="33">
        <v>21120708</v>
      </c>
      <c r="B49" s="24" t="s">
        <v>470</v>
      </c>
      <c r="C49" s="24">
        <f>250000+305000</f>
        <v>555000</v>
      </c>
      <c r="D49" s="8"/>
      <c r="E49" s="8"/>
      <c r="F49" s="8"/>
      <c r="G49" s="8"/>
      <c r="H49" s="8"/>
      <c r="I49" s="8"/>
      <c r="J49" s="8"/>
      <c r="K49" s="8"/>
      <c r="L49" s="8"/>
      <c r="M49" s="8"/>
      <c r="N49" s="8"/>
      <c r="O49" s="8"/>
      <c r="P49" s="8"/>
      <c r="Q49" s="8"/>
      <c r="R49" s="8"/>
    </row>
    <row r="50" spans="1:18" ht="12.75" customHeight="1">
      <c r="A50" s="33">
        <v>21120709</v>
      </c>
      <c r="B50" s="24" t="s">
        <v>471</v>
      </c>
      <c r="C50" s="24">
        <f>250000+150000</f>
        <v>400000</v>
      </c>
      <c r="D50" s="8"/>
      <c r="E50" s="8"/>
      <c r="F50" s="8"/>
      <c r="G50" s="8"/>
      <c r="H50" s="8"/>
      <c r="I50" s="8"/>
      <c r="J50" s="8"/>
      <c r="K50" s="8"/>
      <c r="L50" s="8"/>
      <c r="M50" s="8"/>
      <c r="N50" s="8"/>
      <c r="O50" s="8"/>
      <c r="P50" s="8"/>
      <c r="Q50" s="8"/>
      <c r="R50" s="8"/>
    </row>
    <row r="51" spans="1:18" ht="12.75" customHeight="1">
      <c r="A51" s="33">
        <v>21120711</v>
      </c>
      <c r="B51" s="24" t="s">
        <v>473</v>
      </c>
      <c r="C51" s="24">
        <f>200000+252000</f>
        <v>452000</v>
      </c>
      <c r="D51" s="8"/>
      <c r="E51" s="8"/>
      <c r="F51" s="8"/>
      <c r="G51" s="8"/>
      <c r="H51" s="8"/>
      <c r="I51" s="8"/>
      <c r="J51" s="8"/>
      <c r="K51" s="8"/>
      <c r="L51" s="8"/>
      <c r="M51" s="8"/>
      <c r="N51" s="8"/>
      <c r="O51" s="8"/>
      <c r="P51" s="8"/>
      <c r="Q51" s="8"/>
      <c r="R51" s="8"/>
    </row>
    <row r="52" spans="1:18" ht="13.5" customHeight="1">
      <c r="A52" s="48">
        <v>211208</v>
      </c>
      <c r="B52" s="21" t="s">
        <v>474</v>
      </c>
      <c r="C52" s="26">
        <f>SUM(C53:C54)</f>
        <v>2412500</v>
      </c>
      <c r="D52" s="40"/>
      <c r="E52" s="13"/>
      <c r="F52" s="13"/>
      <c r="G52" s="13"/>
      <c r="H52" s="13"/>
      <c r="I52" s="13"/>
      <c r="J52" s="13"/>
      <c r="K52" s="13"/>
      <c r="L52" s="13"/>
      <c r="M52" s="13"/>
      <c r="N52" s="13"/>
      <c r="O52" s="13"/>
      <c r="P52" s="13"/>
      <c r="Q52" s="13"/>
      <c r="R52" s="13"/>
    </row>
    <row r="53" spans="1:18" ht="13.5" customHeight="1">
      <c r="A53" s="33">
        <v>21120801</v>
      </c>
      <c r="B53" s="24" t="s">
        <v>475</v>
      </c>
      <c r="C53" s="24">
        <v>1500000</v>
      </c>
      <c r="D53" s="40"/>
      <c r="E53" s="13"/>
      <c r="F53" s="13"/>
      <c r="G53" s="13"/>
      <c r="H53" s="13"/>
      <c r="I53" s="13"/>
      <c r="J53" s="13"/>
      <c r="K53" s="13"/>
      <c r="L53" s="13"/>
      <c r="M53" s="13"/>
      <c r="N53" s="13"/>
      <c r="O53" s="13"/>
      <c r="P53" s="13"/>
      <c r="Q53" s="13"/>
      <c r="R53" s="13"/>
    </row>
    <row r="54" spans="1:18" ht="13.5" customHeight="1">
      <c r="A54" s="33">
        <v>21120805</v>
      </c>
      <c r="B54" s="24" t="s">
        <v>476</v>
      </c>
      <c r="C54" s="24">
        <f>750000+162500</f>
        <v>912500</v>
      </c>
      <c r="D54" s="40"/>
      <c r="E54" s="13"/>
      <c r="F54" s="13"/>
      <c r="G54" s="13"/>
      <c r="H54" s="13"/>
      <c r="I54" s="13"/>
      <c r="J54" s="13"/>
      <c r="K54" s="13"/>
      <c r="L54" s="13"/>
      <c r="M54" s="13"/>
      <c r="N54" s="13"/>
      <c r="O54" s="13"/>
      <c r="P54" s="13"/>
      <c r="Q54" s="13"/>
      <c r="R54" s="13"/>
    </row>
    <row r="55" spans="1:18" ht="12.75" customHeight="1">
      <c r="A55" s="48">
        <v>211209</v>
      </c>
      <c r="B55" s="21" t="s">
        <v>477</v>
      </c>
      <c r="C55" s="26">
        <f>+SUM(C56:C58)</f>
        <v>2844500</v>
      </c>
      <c r="D55" s="8"/>
      <c r="E55" s="8"/>
      <c r="F55" s="8"/>
      <c r="G55" s="8"/>
      <c r="H55" s="8"/>
      <c r="I55" s="8"/>
      <c r="J55" s="8"/>
      <c r="K55" s="8"/>
      <c r="L55" s="8"/>
      <c r="M55" s="8"/>
      <c r="N55" s="8"/>
      <c r="O55" s="8"/>
      <c r="P55" s="8"/>
      <c r="Q55" s="8"/>
      <c r="R55" s="8"/>
    </row>
    <row r="56" spans="1:18" ht="12.75" customHeight="1">
      <c r="A56" s="33">
        <v>21120901</v>
      </c>
      <c r="B56" s="24" t="s">
        <v>478</v>
      </c>
      <c r="C56" s="24">
        <f>500000+924500</f>
        <v>1424500</v>
      </c>
      <c r="D56" s="8"/>
      <c r="E56" s="8"/>
      <c r="F56" s="8"/>
      <c r="G56" s="8"/>
      <c r="H56" s="8"/>
      <c r="I56" s="8"/>
      <c r="J56" s="8"/>
      <c r="K56" s="8"/>
      <c r="L56" s="8"/>
      <c r="M56" s="8"/>
      <c r="N56" s="8"/>
      <c r="O56" s="8"/>
      <c r="P56" s="8"/>
      <c r="Q56" s="8"/>
      <c r="R56" s="8"/>
    </row>
    <row r="57" spans="1:18" ht="12.75" customHeight="1">
      <c r="A57" s="33">
        <v>21120902</v>
      </c>
      <c r="B57" s="24" t="s">
        <v>584</v>
      </c>
      <c r="C57" s="24">
        <f>250000+589000</f>
        <v>839000</v>
      </c>
      <c r="D57" s="30"/>
      <c r="E57" s="8"/>
      <c r="F57" s="8"/>
      <c r="G57" s="8"/>
      <c r="H57" s="8"/>
      <c r="I57" s="8"/>
      <c r="J57" s="8"/>
      <c r="K57" s="8"/>
      <c r="L57" s="8"/>
      <c r="M57" s="8"/>
      <c r="N57" s="8"/>
      <c r="O57" s="8"/>
      <c r="P57" s="8"/>
      <c r="Q57" s="8"/>
      <c r="R57" s="8"/>
    </row>
    <row r="58" spans="1:18" ht="13.5" customHeight="1">
      <c r="A58" s="33">
        <v>21120906</v>
      </c>
      <c r="B58" s="24" t="s">
        <v>479</v>
      </c>
      <c r="C58" s="24">
        <f>24500+56500+500000</f>
        <v>581000</v>
      </c>
      <c r="D58" s="40"/>
      <c r="E58" s="13"/>
      <c r="F58" s="13"/>
      <c r="G58" s="13"/>
      <c r="H58" s="13"/>
      <c r="I58" s="13"/>
      <c r="J58" s="13"/>
      <c r="K58" s="13"/>
      <c r="L58" s="13"/>
      <c r="M58" s="13"/>
      <c r="N58" s="13"/>
      <c r="O58" s="13"/>
      <c r="P58" s="13"/>
      <c r="Q58" s="13"/>
      <c r="R58" s="13"/>
    </row>
    <row r="59" spans="1:18" ht="13.5" customHeight="1" thickBot="1">
      <c r="A59" s="23"/>
      <c r="B59" s="24"/>
      <c r="C59" s="24"/>
      <c r="D59" s="40"/>
      <c r="E59" s="13"/>
      <c r="F59" s="13"/>
      <c r="G59" s="13"/>
      <c r="H59" s="13"/>
      <c r="I59" s="13"/>
      <c r="J59" s="13"/>
      <c r="K59" s="13"/>
      <c r="L59" s="13"/>
      <c r="M59" s="13"/>
      <c r="N59" s="13"/>
      <c r="O59" s="13"/>
      <c r="P59" s="13"/>
      <c r="Q59" s="13"/>
      <c r="R59" s="13"/>
    </row>
    <row r="60" spans="1:18" ht="12.75" customHeight="1" thickBot="1">
      <c r="A60" s="1298" t="s">
        <v>4</v>
      </c>
      <c r="B60" s="1281"/>
      <c r="C60" s="64">
        <f>C61+C67+C69+C72+C75+C79</f>
        <v>9641000</v>
      </c>
      <c r="D60" s="30"/>
      <c r="E60" s="8"/>
      <c r="F60" s="8"/>
      <c r="G60" s="8"/>
      <c r="H60" s="8"/>
      <c r="I60" s="8"/>
      <c r="J60" s="8"/>
      <c r="K60" s="8"/>
      <c r="L60" s="8"/>
      <c r="M60" s="8"/>
      <c r="N60" s="8"/>
      <c r="O60" s="8"/>
      <c r="P60" s="8"/>
      <c r="Q60" s="8"/>
      <c r="R60" s="8"/>
    </row>
    <row r="61" spans="1:18" ht="12.75" customHeight="1">
      <c r="A61" s="48">
        <v>211301</v>
      </c>
      <c r="B61" s="21" t="s">
        <v>518</v>
      </c>
      <c r="C61" s="49">
        <f>SUM(C62:C66)</f>
        <v>1239500</v>
      </c>
      <c r="D61" s="30"/>
      <c r="E61" s="8"/>
      <c r="F61" s="8"/>
      <c r="G61" s="8"/>
      <c r="H61" s="8"/>
      <c r="I61" s="8"/>
      <c r="J61" s="8"/>
      <c r="K61" s="8"/>
      <c r="L61" s="8"/>
      <c r="M61" s="8"/>
      <c r="N61" s="8"/>
      <c r="O61" s="8"/>
      <c r="P61" s="8"/>
      <c r="Q61" s="8"/>
      <c r="R61" s="8"/>
    </row>
    <row r="62" spans="1:18" ht="12.75" customHeight="1">
      <c r="A62" s="33">
        <v>21130101</v>
      </c>
      <c r="B62" s="23" t="s">
        <v>606</v>
      </c>
      <c r="C62" s="24">
        <v>500000</v>
      </c>
      <c r="D62" s="30"/>
      <c r="E62" s="8"/>
      <c r="F62" s="8"/>
      <c r="G62" s="8"/>
      <c r="H62" s="8"/>
      <c r="I62" s="8"/>
      <c r="J62" s="8"/>
      <c r="K62" s="8"/>
      <c r="L62" s="8"/>
      <c r="M62" s="8"/>
      <c r="N62" s="8"/>
      <c r="O62" s="8"/>
      <c r="P62" s="8"/>
      <c r="Q62" s="8"/>
      <c r="R62" s="8"/>
    </row>
    <row r="63" spans="1:18" ht="12.75" customHeight="1">
      <c r="A63" s="33">
        <v>21130102</v>
      </c>
      <c r="B63" s="23" t="s">
        <v>607</v>
      </c>
      <c r="C63" s="24">
        <v>223000</v>
      </c>
      <c r="D63" s="30"/>
      <c r="E63" s="8"/>
      <c r="F63" s="8"/>
      <c r="G63" s="8"/>
      <c r="H63" s="8"/>
      <c r="I63" s="8"/>
      <c r="J63" s="8"/>
      <c r="K63" s="8"/>
      <c r="L63" s="8"/>
      <c r="M63" s="8"/>
      <c r="N63" s="8"/>
      <c r="O63" s="8"/>
      <c r="P63" s="8"/>
      <c r="Q63" s="8"/>
      <c r="R63" s="8"/>
    </row>
    <row r="64" spans="1:18" ht="12.75" customHeight="1">
      <c r="A64" s="33">
        <v>21130103</v>
      </c>
      <c r="B64" s="23" t="s">
        <v>608</v>
      </c>
      <c r="C64" s="24">
        <v>302000</v>
      </c>
      <c r="D64" s="30"/>
      <c r="E64" s="8"/>
      <c r="F64" s="8"/>
      <c r="G64" s="8"/>
      <c r="H64" s="8"/>
      <c r="I64" s="8"/>
      <c r="J64" s="8"/>
      <c r="K64" s="8"/>
      <c r="L64" s="8"/>
      <c r="M64" s="8"/>
      <c r="N64" s="8"/>
      <c r="O64" s="8"/>
      <c r="P64" s="8"/>
      <c r="Q64" s="8"/>
      <c r="R64" s="8"/>
    </row>
    <row r="65" spans="1:18" ht="12.75" customHeight="1">
      <c r="A65" s="33">
        <v>21130104</v>
      </c>
      <c r="B65" s="23" t="s">
        <v>519</v>
      </c>
      <c r="C65" s="24">
        <v>203000</v>
      </c>
      <c r="D65" s="30"/>
      <c r="E65" s="8"/>
      <c r="F65" s="8"/>
      <c r="G65" s="8"/>
      <c r="H65" s="8"/>
      <c r="I65" s="8"/>
      <c r="J65" s="8"/>
      <c r="K65" s="8"/>
      <c r="L65" s="8"/>
      <c r="M65" s="8"/>
      <c r="N65" s="8"/>
      <c r="O65" s="8"/>
      <c r="P65" s="8"/>
      <c r="Q65" s="8"/>
      <c r="R65" s="8"/>
    </row>
    <row r="66" spans="1:18" ht="12.75" customHeight="1">
      <c r="A66" s="33">
        <v>21130105</v>
      </c>
      <c r="B66" s="23" t="s">
        <v>609</v>
      </c>
      <c r="C66" s="24">
        <v>11500</v>
      </c>
      <c r="D66" s="30"/>
      <c r="E66" s="8"/>
      <c r="F66" s="8"/>
      <c r="G66" s="8"/>
      <c r="H66" s="8"/>
      <c r="I66" s="8"/>
      <c r="J66" s="8"/>
      <c r="K66" s="8"/>
      <c r="L66" s="8"/>
      <c r="M66" s="8"/>
      <c r="N66" s="8"/>
      <c r="O66" s="8"/>
      <c r="P66" s="8"/>
      <c r="Q66" s="8"/>
      <c r="R66" s="8"/>
    </row>
    <row r="67" spans="1:18" ht="12.75" customHeight="1">
      <c r="A67" s="48">
        <v>211302</v>
      </c>
      <c r="B67" s="21" t="s">
        <v>481</v>
      </c>
      <c r="C67" s="26">
        <f>SUM(C68)</f>
        <v>401000</v>
      </c>
      <c r="D67" s="30"/>
      <c r="E67" s="8"/>
      <c r="F67" s="8"/>
      <c r="G67" s="8"/>
      <c r="H67" s="8"/>
      <c r="I67" s="8"/>
      <c r="J67" s="8"/>
      <c r="K67" s="8"/>
      <c r="L67" s="8"/>
      <c r="M67" s="8"/>
      <c r="N67" s="8"/>
      <c r="O67" s="8"/>
      <c r="P67" s="8"/>
      <c r="Q67" s="8"/>
      <c r="R67" s="8"/>
    </row>
    <row r="68" spans="1:18" ht="12.75" customHeight="1">
      <c r="A68" s="33">
        <v>21130204</v>
      </c>
      <c r="B68" s="23" t="s">
        <v>483</v>
      </c>
      <c r="C68" s="24">
        <v>401000</v>
      </c>
      <c r="D68" s="30"/>
      <c r="E68" s="8"/>
      <c r="F68" s="8"/>
      <c r="G68" s="8"/>
      <c r="H68" s="8"/>
      <c r="I68" s="8"/>
      <c r="J68" s="8"/>
      <c r="K68" s="8"/>
      <c r="L68" s="8"/>
      <c r="M68" s="8"/>
      <c r="N68" s="8"/>
      <c r="O68" s="8"/>
      <c r="P68" s="8"/>
      <c r="Q68" s="8"/>
      <c r="R68" s="8"/>
    </row>
    <row r="69" spans="1:18" ht="12.75" customHeight="1">
      <c r="A69" s="48">
        <v>211303</v>
      </c>
      <c r="B69" s="21" t="s">
        <v>484</v>
      </c>
      <c r="C69" s="26">
        <f>SUM(C70:C71)</f>
        <v>854500</v>
      </c>
      <c r="D69" s="30"/>
      <c r="E69" s="8"/>
      <c r="F69" s="8"/>
      <c r="G69" s="8"/>
      <c r="H69" s="8"/>
      <c r="I69" s="8"/>
      <c r="J69" s="8"/>
      <c r="K69" s="8"/>
      <c r="L69" s="8"/>
      <c r="M69" s="8"/>
      <c r="N69" s="8"/>
      <c r="O69" s="8"/>
      <c r="P69" s="8"/>
      <c r="Q69" s="8"/>
      <c r="R69" s="8"/>
    </row>
    <row r="70" spans="1:18" ht="12.75" customHeight="1">
      <c r="A70" s="33">
        <v>21130306</v>
      </c>
      <c r="B70" s="23" t="s">
        <v>487</v>
      </c>
      <c r="C70" s="24">
        <v>522500</v>
      </c>
      <c r="D70" s="30"/>
      <c r="E70" s="8"/>
      <c r="F70" s="8"/>
      <c r="G70" s="8"/>
      <c r="H70" s="8"/>
      <c r="I70" s="8"/>
      <c r="J70" s="8"/>
      <c r="K70" s="8"/>
      <c r="L70" s="8"/>
      <c r="M70" s="8"/>
      <c r="N70" s="8"/>
      <c r="O70" s="8"/>
      <c r="P70" s="8"/>
      <c r="Q70" s="8"/>
      <c r="R70" s="8"/>
    </row>
    <row r="71" spans="1:18" ht="12.75" customHeight="1">
      <c r="A71" s="33">
        <v>21130307</v>
      </c>
      <c r="B71" s="23" t="s">
        <v>488</v>
      </c>
      <c r="C71" s="24">
        <v>332000</v>
      </c>
      <c r="D71" s="30"/>
      <c r="E71" s="8"/>
      <c r="F71" s="8"/>
      <c r="G71" s="8"/>
      <c r="H71" s="8"/>
      <c r="I71" s="8"/>
      <c r="J71" s="8"/>
      <c r="K71" s="8"/>
      <c r="L71" s="8"/>
      <c r="M71" s="8"/>
      <c r="N71" s="8"/>
      <c r="O71" s="8"/>
      <c r="P71" s="8"/>
      <c r="Q71" s="8"/>
      <c r="R71" s="8"/>
    </row>
    <row r="72" spans="1:18" ht="12.75" customHeight="1">
      <c r="A72" s="48">
        <v>211305</v>
      </c>
      <c r="B72" s="21" t="s">
        <v>489</v>
      </c>
      <c r="C72" s="26">
        <f>SUM(C73:C74)</f>
        <v>2843500</v>
      </c>
      <c r="D72" s="8"/>
      <c r="E72" s="8"/>
      <c r="F72" s="8"/>
      <c r="G72" s="8"/>
      <c r="H72" s="8"/>
      <c r="I72" s="8"/>
      <c r="J72" s="8"/>
      <c r="K72" s="8"/>
      <c r="L72" s="8"/>
      <c r="M72" s="8"/>
      <c r="N72" s="8"/>
      <c r="O72" s="8"/>
      <c r="P72" s="8"/>
      <c r="Q72" s="8"/>
      <c r="R72" s="8"/>
    </row>
    <row r="73" spans="1:18" ht="12.75" customHeight="1">
      <c r="A73" s="33">
        <v>21130501</v>
      </c>
      <c r="B73" s="13" t="s">
        <v>490</v>
      </c>
      <c r="C73" s="24">
        <v>2400000</v>
      </c>
      <c r="D73" s="40"/>
      <c r="E73" s="13"/>
      <c r="F73" s="13"/>
      <c r="G73" s="13"/>
      <c r="H73" s="13"/>
      <c r="I73" s="13"/>
      <c r="J73" s="13"/>
      <c r="K73" s="13"/>
      <c r="L73" s="13"/>
      <c r="M73" s="13"/>
      <c r="N73" s="13"/>
      <c r="O73" s="13"/>
      <c r="P73" s="13"/>
      <c r="Q73" s="13"/>
      <c r="R73" s="13"/>
    </row>
    <row r="74" spans="1:18" ht="12.75" customHeight="1">
      <c r="A74" s="33">
        <v>21130502</v>
      </c>
      <c r="B74" s="23" t="s">
        <v>491</v>
      </c>
      <c r="C74" s="24">
        <v>443500</v>
      </c>
      <c r="D74" s="24"/>
      <c r="E74" s="13"/>
      <c r="F74" s="13"/>
      <c r="G74" s="13"/>
      <c r="H74" s="13"/>
      <c r="I74" s="13"/>
      <c r="J74" s="13"/>
      <c r="K74" s="13"/>
      <c r="L74" s="13"/>
      <c r="M74" s="13"/>
      <c r="N74" s="13"/>
      <c r="O74" s="13"/>
      <c r="P74" s="13"/>
      <c r="Q74" s="13"/>
      <c r="R74" s="13"/>
    </row>
    <row r="75" spans="1:18" ht="12.75" customHeight="1">
      <c r="A75" s="48">
        <v>211306</v>
      </c>
      <c r="B75" s="21" t="s">
        <v>492</v>
      </c>
      <c r="C75" s="26">
        <f>SUM(C76:C78)</f>
        <v>571000</v>
      </c>
      <c r="D75" s="40"/>
      <c r="E75" s="13"/>
      <c r="F75" s="13"/>
      <c r="G75" s="13"/>
      <c r="H75" s="13"/>
      <c r="I75" s="13"/>
      <c r="J75" s="13"/>
      <c r="K75" s="13"/>
      <c r="L75" s="13"/>
      <c r="M75" s="13"/>
      <c r="N75" s="13"/>
      <c r="O75" s="13"/>
      <c r="P75" s="13"/>
      <c r="Q75" s="13"/>
      <c r="R75" s="13"/>
    </row>
    <row r="76" spans="1:18" ht="13.5" customHeight="1">
      <c r="A76" s="33">
        <v>21130604</v>
      </c>
      <c r="B76" s="23" t="s">
        <v>539</v>
      </c>
      <c r="C76" s="24">
        <v>150000</v>
      </c>
      <c r="D76" s="13"/>
      <c r="E76" s="13"/>
      <c r="F76" s="13"/>
      <c r="G76" s="13"/>
      <c r="H76" s="13"/>
      <c r="I76" s="13"/>
      <c r="J76" s="13"/>
      <c r="K76" s="13"/>
      <c r="L76" s="13"/>
      <c r="M76" s="13"/>
      <c r="N76" s="13"/>
      <c r="O76" s="13"/>
      <c r="P76" s="13"/>
      <c r="Q76" s="13"/>
      <c r="R76" s="13"/>
    </row>
    <row r="77" spans="1:18" ht="13.5" customHeight="1">
      <c r="A77" s="33">
        <v>21130605</v>
      </c>
      <c r="B77" s="23" t="s">
        <v>611</v>
      </c>
      <c r="C77" s="24">
        <v>96000</v>
      </c>
      <c r="D77" s="13"/>
      <c r="E77" s="13"/>
      <c r="F77" s="13"/>
      <c r="G77" s="13"/>
      <c r="H77" s="13"/>
      <c r="I77" s="13"/>
      <c r="J77" s="13"/>
      <c r="K77" s="13"/>
      <c r="L77" s="13"/>
      <c r="M77" s="13"/>
      <c r="N77" s="13"/>
      <c r="O77" s="13"/>
      <c r="P77" s="13"/>
      <c r="Q77" s="13"/>
      <c r="R77" s="13"/>
    </row>
    <row r="78" spans="1:18" ht="13.5" customHeight="1">
      <c r="A78" s="33">
        <v>21130607</v>
      </c>
      <c r="B78" s="24" t="s">
        <v>493</v>
      </c>
      <c r="C78" s="24">
        <v>325000</v>
      </c>
      <c r="D78" s="13"/>
      <c r="E78" s="13"/>
      <c r="F78" s="13"/>
      <c r="G78" s="13"/>
      <c r="H78" s="13"/>
      <c r="I78" s="13"/>
      <c r="J78" s="13"/>
      <c r="K78" s="13"/>
      <c r="L78" s="13"/>
      <c r="M78" s="13"/>
      <c r="N78" s="13"/>
      <c r="O78" s="13"/>
      <c r="P78" s="13"/>
      <c r="Q78" s="13"/>
      <c r="R78" s="13"/>
    </row>
    <row r="79" spans="1:18" ht="13.5" customHeight="1">
      <c r="A79" s="48">
        <v>211309</v>
      </c>
      <c r="B79" s="26" t="s">
        <v>496</v>
      </c>
      <c r="C79" s="26">
        <f>SUM(C80:C82)</f>
        <v>3731500</v>
      </c>
      <c r="D79" s="40"/>
      <c r="E79" s="13"/>
      <c r="F79" s="13"/>
      <c r="G79" s="13"/>
      <c r="H79" s="13"/>
      <c r="I79" s="13"/>
      <c r="J79" s="13"/>
      <c r="K79" s="13"/>
      <c r="L79" s="13"/>
      <c r="M79" s="13"/>
      <c r="N79" s="13"/>
      <c r="O79" s="13"/>
      <c r="P79" s="13"/>
      <c r="Q79" s="13"/>
      <c r="R79" s="13"/>
    </row>
    <row r="80" spans="1:18" ht="13.5" customHeight="1">
      <c r="A80" s="33">
        <v>21130901</v>
      </c>
      <c r="B80" s="24" t="s">
        <v>497</v>
      </c>
      <c r="C80" s="24">
        <v>1500000</v>
      </c>
      <c r="D80" s="3"/>
      <c r="E80" s="13"/>
      <c r="F80" s="13"/>
      <c r="G80" s="13"/>
      <c r="H80" s="13"/>
      <c r="I80" s="13"/>
      <c r="J80" s="13"/>
      <c r="K80" s="13"/>
      <c r="L80" s="13"/>
      <c r="M80" s="13"/>
      <c r="N80" s="13"/>
      <c r="O80" s="13"/>
      <c r="P80" s="13"/>
      <c r="Q80" s="13"/>
      <c r="R80" s="13"/>
    </row>
    <row r="81" spans="1:18" ht="12.75" customHeight="1">
      <c r="A81" s="33">
        <v>21130903</v>
      </c>
      <c r="B81" s="24" t="s">
        <v>498</v>
      </c>
      <c r="C81" s="24">
        <v>1500000</v>
      </c>
      <c r="D81" s="8"/>
      <c r="E81" s="8"/>
      <c r="F81" s="8"/>
      <c r="G81" s="8"/>
      <c r="H81" s="8"/>
      <c r="I81" s="8"/>
      <c r="J81" s="8"/>
      <c r="K81" s="8"/>
      <c r="L81" s="8"/>
      <c r="M81" s="8"/>
      <c r="N81" s="8"/>
      <c r="O81" s="8"/>
      <c r="P81" s="8"/>
      <c r="Q81" s="8"/>
      <c r="R81" s="8"/>
    </row>
    <row r="82" spans="1:18" ht="12.75" customHeight="1">
      <c r="A82" s="33">
        <v>21130908</v>
      </c>
      <c r="B82" s="24" t="s">
        <v>500</v>
      </c>
      <c r="C82" s="24">
        <v>731500</v>
      </c>
      <c r="D82" s="8"/>
      <c r="E82" s="8"/>
      <c r="F82" s="8"/>
      <c r="G82" s="8"/>
      <c r="H82" s="8"/>
      <c r="I82" s="8"/>
      <c r="J82" s="8"/>
      <c r="K82" s="8"/>
      <c r="L82" s="8"/>
      <c r="M82" s="8"/>
      <c r="N82" s="8"/>
      <c r="O82" s="8"/>
      <c r="P82" s="8"/>
      <c r="Q82" s="8"/>
      <c r="R82" s="8"/>
    </row>
    <row r="83" spans="1:18" ht="12.75" customHeight="1" thickBot="1">
      <c r="A83" s="23"/>
      <c r="B83" s="24"/>
      <c r="C83" s="24"/>
      <c r="D83" s="8"/>
      <c r="E83" s="8"/>
      <c r="F83" s="8"/>
      <c r="G83" s="8"/>
      <c r="H83" s="8"/>
      <c r="I83" s="8"/>
      <c r="J83" s="8"/>
      <c r="K83" s="8"/>
      <c r="L83" s="8"/>
      <c r="M83" s="8"/>
      <c r="N83" s="8"/>
      <c r="O83" s="8"/>
      <c r="P83" s="8"/>
      <c r="Q83" s="8"/>
      <c r="R83" s="8"/>
    </row>
    <row r="84" spans="1:18" ht="12.75" customHeight="1" thickBot="1">
      <c r="A84" s="1287" t="s">
        <v>45</v>
      </c>
      <c r="B84" s="1281"/>
      <c r="C84" s="47">
        <f>C85+C87</f>
        <v>38000000</v>
      </c>
      <c r="D84" s="8"/>
      <c r="E84" s="8"/>
      <c r="F84" s="8"/>
      <c r="G84" s="8"/>
      <c r="H84" s="8"/>
      <c r="I84" s="8"/>
      <c r="J84" s="8"/>
      <c r="K84" s="8"/>
      <c r="L84" s="8"/>
      <c r="M84" s="8"/>
      <c r="N84" s="8"/>
      <c r="O84" s="8"/>
      <c r="P84" s="8"/>
      <c r="Q84" s="8"/>
      <c r="R84" s="8"/>
    </row>
    <row r="85" spans="1:18" ht="12.75" customHeight="1">
      <c r="A85" s="48">
        <v>211401</v>
      </c>
      <c r="B85" s="21" t="s">
        <v>501</v>
      </c>
      <c r="C85" s="49">
        <f>SUM(C86)</f>
        <v>15000000</v>
      </c>
      <c r="D85" s="8"/>
      <c r="E85" s="8"/>
      <c r="F85" s="8"/>
      <c r="G85" s="8"/>
      <c r="H85" s="8"/>
      <c r="I85" s="8"/>
      <c r="J85" s="8"/>
      <c r="K85" s="8"/>
      <c r="L85" s="8"/>
      <c r="M85" s="8"/>
      <c r="N85" s="8"/>
      <c r="O85" s="8"/>
      <c r="P85" s="8"/>
      <c r="Q85" s="8"/>
      <c r="R85" s="8"/>
    </row>
    <row r="86" spans="1:18" ht="12.75" customHeight="1">
      <c r="A86" s="33">
        <v>21140109</v>
      </c>
      <c r="B86" s="13" t="s">
        <v>549</v>
      </c>
      <c r="C86" s="24">
        <f>13500000+1500000</f>
        <v>15000000</v>
      </c>
      <c r="D86" s="8"/>
      <c r="E86" s="8"/>
      <c r="F86" s="8"/>
      <c r="G86" s="8"/>
      <c r="H86" s="8"/>
      <c r="I86" s="8"/>
      <c r="J86" s="8"/>
      <c r="K86" s="8"/>
      <c r="L86" s="8"/>
      <c r="M86" s="8"/>
      <c r="N86" s="8"/>
      <c r="O86" s="8"/>
      <c r="P86" s="8"/>
      <c r="Q86" s="8"/>
      <c r="R86" s="8"/>
    </row>
    <row r="87" spans="1:18" ht="12.75" customHeight="1">
      <c r="A87" s="48">
        <v>211402</v>
      </c>
      <c r="B87" s="21" t="s">
        <v>503</v>
      </c>
      <c r="C87" s="49">
        <f>SUM(C88:C90)</f>
        <v>23000000</v>
      </c>
      <c r="D87" s="8"/>
      <c r="E87" s="8"/>
      <c r="F87" s="8"/>
      <c r="G87" s="8"/>
      <c r="H87" s="8"/>
      <c r="I87" s="8"/>
      <c r="J87" s="8"/>
      <c r="K87" s="8"/>
      <c r="L87" s="8"/>
      <c r="M87" s="8"/>
      <c r="N87" s="8"/>
      <c r="O87" s="8"/>
      <c r="P87" s="8"/>
      <c r="Q87" s="8"/>
      <c r="R87" s="8"/>
    </row>
    <row r="88" spans="1:18" ht="12.75" customHeight="1">
      <c r="A88" s="33">
        <v>21140203</v>
      </c>
      <c r="B88" s="23" t="s">
        <v>550</v>
      </c>
      <c r="C88" s="24">
        <f>11000000+4000000</f>
        <v>15000000</v>
      </c>
      <c r="D88" s="8"/>
      <c r="E88" s="8"/>
      <c r="F88" s="8"/>
      <c r="G88" s="8"/>
      <c r="H88" s="8"/>
      <c r="I88" s="8"/>
      <c r="J88" s="8"/>
      <c r="K88" s="8"/>
      <c r="L88" s="8"/>
      <c r="M88" s="8"/>
      <c r="N88" s="8"/>
      <c r="O88" s="8"/>
      <c r="P88" s="8"/>
      <c r="Q88" s="8"/>
      <c r="R88" s="8"/>
    </row>
    <row r="89" spans="1:18" ht="12.75" customHeight="1">
      <c r="A89" s="33">
        <v>21140208</v>
      </c>
      <c r="B89" s="24" t="s">
        <v>553</v>
      </c>
      <c r="C89" s="24">
        <v>5000000</v>
      </c>
      <c r="D89" s="8"/>
      <c r="E89" s="8"/>
      <c r="F89" s="8"/>
      <c r="G89" s="8"/>
      <c r="H89" s="8"/>
      <c r="I89" s="8"/>
      <c r="J89" s="8"/>
      <c r="K89" s="8"/>
      <c r="L89" s="8"/>
      <c r="M89" s="8"/>
      <c r="N89" s="8"/>
      <c r="O89" s="8"/>
      <c r="P89" s="8"/>
      <c r="Q89" s="8"/>
      <c r="R89" s="8"/>
    </row>
    <row r="90" spans="1:18" ht="12.75" customHeight="1">
      <c r="A90" s="33">
        <v>21140213</v>
      </c>
      <c r="B90" s="24" t="s">
        <v>504</v>
      </c>
      <c r="C90" s="24">
        <v>3000000</v>
      </c>
      <c r="D90" s="8"/>
      <c r="E90" s="8"/>
      <c r="F90" s="8"/>
      <c r="G90" s="8"/>
      <c r="H90" s="8"/>
      <c r="I90" s="8"/>
      <c r="J90" s="8"/>
      <c r="K90" s="8"/>
      <c r="L90" s="8"/>
      <c r="M90" s="8"/>
      <c r="N90" s="8"/>
      <c r="O90" s="8"/>
      <c r="P90" s="8"/>
      <c r="Q90" s="8"/>
      <c r="R90" s="8"/>
    </row>
    <row r="91" spans="1:18" ht="12.75" customHeight="1" thickBot="1">
      <c r="A91" s="33"/>
      <c r="B91" s="24"/>
      <c r="C91" s="24"/>
      <c r="D91" s="8"/>
      <c r="E91" s="8"/>
      <c r="F91" s="8"/>
      <c r="G91" s="8"/>
      <c r="H91" s="8"/>
      <c r="I91" s="8"/>
      <c r="J91" s="8"/>
      <c r="K91" s="8"/>
      <c r="L91" s="8"/>
      <c r="M91" s="8"/>
      <c r="N91" s="8"/>
      <c r="O91" s="8"/>
      <c r="P91" s="8"/>
      <c r="Q91" s="8"/>
      <c r="R91" s="8"/>
    </row>
    <row r="92" spans="1:18" ht="12.75" customHeight="1" thickBot="1">
      <c r="A92" s="1299" t="s">
        <v>48</v>
      </c>
      <c r="B92" s="1281"/>
      <c r="C92" s="65">
        <f>+C93+C95+C99+C101</f>
        <v>6400000</v>
      </c>
      <c r="D92" s="8"/>
      <c r="E92" s="8"/>
      <c r="F92" s="8"/>
      <c r="G92" s="8"/>
      <c r="H92" s="8"/>
      <c r="I92" s="8"/>
      <c r="J92" s="8"/>
      <c r="K92" s="8"/>
      <c r="L92" s="8"/>
      <c r="M92" s="8"/>
      <c r="N92" s="8"/>
      <c r="O92" s="8"/>
      <c r="P92" s="8"/>
      <c r="Q92" s="8"/>
      <c r="R92" s="8"/>
    </row>
    <row r="93" spans="1:18" ht="12.75" customHeight="1">
      <c r="A93" s="48">
        <v>221102</v>
      </c>
      <c r="B93" s="21" t="s">
        <v>543</v>
      </c>
      <c r="C93" s="49">
        <f>SUM(C94)</f>
        <v>100000</v>
      </c>
      <c r="D93" s="30"/>
      <c r="E93" s="8"/>
      <c r="F93" s="8"/>
      <c r="G93" s="8"/>
      <c r="H93" s="8"/>
      <c r="I93" s="8"/>
      <c r="J93" s="8"/>
      <c r="K93" s="8"/>
      <c r="L93" s="8"/>
      <c r="M93" s="8"/>
      <c r="N93" s="8"/>
      <c r="O93" s="8"/>
      <c r="P93" s="8"/>
      <c r="Q93" s="8"/>
      <c r="R93" s="8"/>
    </row>
    <row r="94" spans="1:18" ht="12.75" customHeight="1">
      <c r="A94" s="33">
        <v>22110202</v>
      </c>
      <c r="B94" s="24" t="s">
        <v>544</v>
      </c>
      <c r="C94" s="24">
        <v>100000</v>
      </c>
      <c r="D94" s="8"/>
      <c r="E94" s="8"/>
      <c r="F94" s="8"/>
      <c r="G94" s="8"/>
      <c r="H94" s="8"/>
      <c r="I94" s="8"/>
      <c r="J94" s="8"/>
      <c r="K94" s="8"/>
      <c r="L94" s="8"/>
      <c r="M94" s="8"/>
      <c r="N94" s="8"/>
      <c r="O94" s="8"/>
      <c r="P94" s="8"/>
      <c r="Q94" s="8"/>
      <c r="R94" s="8"/>
    </row>
    <row r="95" spans="1:18" ht="12.75" customHeight="1">
      <c r="A95" s="48">
        <v>221104</v>
      </c>
      <c r="B95" s="21" t="s">
        <v>510</v>
      </c>
      <c r="C95" s="26">
        <f>SUM(C96:C98)</f>
        <v>650000</v>
      </c>
      <c r="D95" s="8"/>
      <c r="E95" s="8"/>
      <c r="F95" s="8"/>
      <c r="G95" s="8"/>
      <c r="H95" s="8"/>
      <c r="I95" s="8"/>
      <c r="J95" s="8"/>
      <c r="K95" s="8"/>
      <c r="L95" s="8"/>
      <c r="M95" s="8"/>
      <c r="N95" s="8"/>
      <c r="O95" s="8"/>
      <c r="P95" s="8"/>
      <c r="Q95" s="8"/>
      <c r="R95" s="8"/>
    </row>
    <row r="96" spans="1:18" ht="13.5" customHeight="1">
      <c r="A96" s="33">
        <v>22110401</v>
      </c>
      <c r="B96" s="24" t="s">
        <v>511</v>
      </c>
      <c r="C96" s="24">
        <v>320000</v>
      </c>
      <c r="D96" s="13"/>
      <c r="E96" s="13"/>
      <c r="F96" s="13"/>
      <c r="G96" s="13"/>
      <c r="H96" s="13"/>
      <c r="I96" s="13"/>
      <c r="J96" s="13"/>
      <c r="K96" s="13"/>
      <c r="L96" s="13"/>
      <c r="M96" s="13"/>
      <c r="N96" s="13"/>
      <c r="O96" s="13"/>
      <c r="P96" s="13"/>
      <c r="Q96" s="13"/>
      <c r="R96" s="13"/>
    </row>
    <row r="97" spans="1:18" ht="13.5" customHeight="1">
      <c r="A97" s="33">
        <v>22110404</v>
      </c>
      <c r="B97" s="24" t="s">
        <v>512</v>
      </c>
      <c r="C97" s="24">
        <v>250000</v>
      </c>
      <c r="D97" s="40"/>
      <c r="E97" s="13"/>
      <c r="F97" s="13"/>
      <c r="G97" s="13"/>
      <c r="H97" s="13"/>
      <c r="I97" s="13"/>
      <c r="J97" s="13"/>
      <c r="K97" s="13"/>
      <c r="L97" s="13"/>
      <c r="M97" s="13"/>
      <c r="N97" s="13"/>
      <c r="O97" s="13"/>
      <c r="P97" s="13"/>
      <c r="Q97" s="13"/>
      <c r="R97" s="13"/>
    </row>
    <row r="98" spans="1:18" ht="13.5" customHeight="1">
      <c r="A98" s="33">
        <v>22110409</v>
      </c>
      <c r="B98" s="24" t="s">
        <v>513</v>
      </c>
      <c r="C98" s="24">
        <v>80000</v>
      </c>
      <c r="D98" s="40"/>
      <c r="E98" s="13"/>
      <c r="F98" s="13"/>
      <c r="G98" s="13"/>
      <c r="H98" s="13"/>
      <c r="I98" s="13"/>
      <c r="J98" s="13"/>
      <c r="K98" s="13"/>
      <c r="L98" s="13"/>
      <c r="M98" s="13"/>
      <c r="N98" s="13"/>
      <c r="O98" s="13"/>
      <c r="P98" s="13"/>
      <c r="Q98" s="13"/>
      <c r="R98" s="13"/>
    </row>
    <row r="99" spans="1:18" ht="13.5" customHeight="1">
      <c r="A99" s="48">
        <v>221105</v>
      </c>
      <c r="B99" s="26" t="s">
        <v>523</v>
      </c>
      <c r="C99" s="26">
        <f>SUM(C100)</f>
        <v>5500000</v>
      </c>
      <c r="D99" s="13"/>
      <c r="E99" s="13"/>
      <c r="F99" s="13"/>
      <c r="G99" s="13"/>
      <c r="H99" s="13"/>
      <c r="I99" s="13"/>
      <c r="J99" s="13"/>
      <c r="K99" s="13"/>
      <c r="L99" s="13"/>
      <c r="M99" s="13"/>
      <c r="N99" s="13"/>
      <c r="O99" s="13"/>
      <c r="P99" s="13"/>
      <c r="Q99" s="13"/>
      <c r="R99" s="13"/>
    </row>
    <row r="100" spans="1:18" ht="13.5" customHeight="1">
      <c r="A100" s="33">
        <v>22110501</v>
      </c>
      <c r="B100" s="24" t="s">
        <v>524</v>
      </c>
      <c r="C100" s="24">
        <v>5500000</v>
      </c>
      <c r="D100" s="40"/>
      <c r="E100" s="13"/>
      <c r="F100" s="13"/>
      <c r="G100" s="13"/>
      <c r="H100" s="13"/>
      <c r="I100" s="13"/>
      <c r="J100" s="13"/>
      <c r="K100" s="13"/>
      <c r="L100" s="13"/>
      <c r="M100" s="13"/>
      <c r="N100" s="13"/>
      <c r="O100" s="13"/>
      <c r="P100" s="13"/>
      <c r="Q100" s="13"/>
      <c r="R100" s="13"/>
    </row>
    <row r="101" spans="1:18" ht="13.5" customHeight="1">
      <c r="A101" s="48">
        <v>221107</v>
      </c>
      <c r="B101" s="21" t="s">
        <v>514</v>
      </c>
      <c r="C101" s="26">
        <f>SUM(C102)</f>
        <v>150000</v>
      </c>
      <c r="D101" s="22"/>
      <c r="E101" s="13"/>
      <c r="F101" s="13"/>
      <c r="G101" s="13"/>
      <c r="H101" s="13"/>
      <c r="I101" s="13"/>
      <c r="J101" s="13"/>
      <c r="K101" s="13"/>
      <c r="L101" s="13"/>
      <c r="M101" s="13"/>
      <c r="N101" s="13"/>
      <c r="O101" s="13"/>
      <c r="P101" s="13"/>
      <c r="Q101" s="13"/>
      <c r="R101" s="13"/>
    </row>
    <row r="102" spans="1:18" ht="12.75" customHeight="1">
      <c r="A102" s="33">
        <v>22110702</v>
      </c>
      <c r="B102" s="24" t="s">
        <v>515</v>
      </c>
      <c r="C102" s="24">
        <v>150000</v>
      </c>
      <c r="D102" s="8"/>
      <c r="E102" s="8"/>
      <c r="F102" s="8"/>
      <c r="G102" s="8"/>
      <c r="H102" s="8"/>
      <c r="I102" s="8"/>
      <c r="J102" s="8"/>
      <c r="K102" s="8"/>
      <c r="L102" s="8"/>
      <c r="M102" s="8"/>
      <c r="N102" s="8"/>
      <c r="O102" s="8"/>
      <c r="P102" s="8"/>
      <c r="Q102" s="8"/>
      <c r="R102" s="8"/>
    </row>
    <row r="103" spans="1:18" ht="12.75" customHeight="1">
      <c r="A103" s="23"/>
      <c r="B103" s="23"/>
      <c r="C103" s="24"/>
      <c r="D103" s="30"/>
      <c r="E103" s="8"/>
      <c r="F103" s="8"/>
      <c r="G103" s="8"/>
      <c r="H103" s="8"/>
      <c r="I103" s="8"/>
      <c r="J103" s="8"/>
      <c r="K103" s="8"/>
      <c r="L103" s="8"/>
      <c r="M103" s="8"/>
      <c r="N103" s="8"/>
      <c r="O103" s="8"/>
      <c r="P103" s="8"/>
      <c r="Q103" s="8"/>
      <c r="R103" s="8"/>
    </row>
    <row r="104" spans="1:18" ht="12.75" customHeight="1" thickBot="1">
      <c r="A104" s="23"/>
      <c r="B104" s="23"/>
      <c r="C104" s="24"/>
      <c r="D104" s="30"/>
      <c r="E104" s="8"/>
      <c r="F104" s="8"/>
      <c r="G104" s="8"/>
      <c r="H104" s="8"/>
      <c r="I104" s="8"/>
      <c r="J104" s="8"/>
      <c r="K104" s="8"/>
      <c r="L104" s="8"/>
      <c r="M104" s="8"/>
      <c r="N104" s="8"/>
      <c r="O104" s="8"/>
      <c r="P104" s="8"/>
      <c r="Q104" s="8"/>
      <c r="R104" s="8"/>
    </row>
    <row r="105" spans="1:18" ht="12.75" customHeight="1">
      <c r="A105" s="1452" t="s">
        <v>267</v>
      </c>
      <c r="B105" s="1453"/>
      <c r="C105" s="1146" t="s">
        <v>268</v>
      </c>
      <c r="D105" s="30"/>
      <c r="E105" s="8"/>
      <c r="F105" s="8"/>
      <c r="G105" s="8"/>
      <c r="H105" s="8"/>
      <c r="I105" s="8"/>
      <c r="J105" s="8"/>
      <c r="K105" s="8"/>
      <c r="L105" s="8"/>
      <c r="M105" s="8"/>
      <c r="N105" s="8"/>
      <c r="O105" s="8"/>
      <c r="P105" s="8"/>
      <c r="Q105" s="8"/>
      <c r="R105" s="8"/>
    </row>
    <row r="106" spans="1:18" ht="12.75" customHeight="1" thickBot="1">
      <c r="A106" s="1456"/>
      <c r="B106" s="1457"/>
      <c r="C106" s="1152"/>
      <c r="D106" s="30"/>
      <c r="E106" s="8"/>
      <c r="F106" s="8"/>
      <c r="G106" s="8"/>
      <c r="H106" s="8"/>
      <c r="I106" s="8"/>
      <c r="J106" s="8"/>
      <c r="K106" s="8"/>
      <c r="L106" s="8"/>
      <c r="M106" s="8"/>
      <c r="N106" s="8"/>
      <c r="O106" s="8"/>
      <c r="P106" s="8"/>
      <c r="Q106" s="8"/>
      <c r="R106" s="8"/>
    </row>
    <row r="107" spans="1:18" ht="12.75" customHeight="1">
      <c r="A107" s="1294" t="s">
        <v>456</v>
      </c>
      <c r="B107" s="1464"/>
      <c r="C107" s="1459"/>
      <c r="D107" s="30"/>
      <c r="E107" s="8"/>
      <c r="F107" s="8"/>
      <c r="G107" s="8"/>
      <c r="H107" s="8"/>
      <c r="I107" s="8"/>
      <c r="J107" s="8"/>
      <c r="K107" s="8"/>
      <c r="L107" s="8"/>
      <c r="M107" s="8"/>
      <c r="N107" s="8"/>
      <c r="O107" s="8"/>
      <c r="P107" s="8"/>
      <c r="Q107" s="8"/>
      <c r="R107" s="8"/>
    </row>
    <row r="108" spans="1:18" ht="12.75" customHeight="1">
      <c r="A108" s="1294"/>
      <c r="B108" s="1464"/>
      <c r="C108" s="1459"/>
      <c r="D108" s="30"/>
      <c r="E108" s="8"/>
      <c r="F108" s="8"/>
      <c r="G108" s="8"/>
      <c r="H108" s="8"/>
      <c r="I108" s="8"/>
      <c r="J108" s="8"/>
      <c r="K108" s="8"/>
      <c r="L108" s="8"/>
      <c r="M108" s="8"/>
      <c r="N108" s="8"/>
      <c r="O108" s="8"/>
      <c r="P108" s="8"/>
      <c r="Q108" s="8"/>
      <c r="R108" s="8"/>
    </row>
    <row r="109" spans="1:18" ht="12.75" customHeight="1" thickBot="1">
      <c r="A109" s="1448"/>
      <c r="B109" s="1449"/>
      <c r="C109" s="1450"/>
      <c r="D109" s="30"/>
      <c r="E109" s="8"/>
      <c r="F109" s="8"/>
      <c r="G109" s="8"/>
      <c r="H109" s="8"/>
      <c r="I109" s="8"/>
      <c r="J109" s="8"/>
      <c r="K109" s="8"/>
      <c r="L109" s="8"/>
      <c r="M109" s="8"/>
      <c r="N109" s="8"/>
      <c r="O109" s="8"/>
      <c r="P109" s="8"/>
      <c r="Q109" s="8"/>
      <c r="R109" s="8"/>
    </row>
    <row r="110" spans="1:18" ht="12.75" customHeight="1">
      <c r="A110" s="1028" t="s">
        <v>671</v>
      </c>
      <c r="B110" s="808"/>
      <c r="C110" s="1029"/>
      <c r="D110" s="8"/>
      <c r="E110" s="8"/>
      <c r="F110" s="8"/>
      <c r="G110" s="8"/>
      <c r="H110" s="8"/>
      <c r="I110" s="8"/>
      <c r="J110" s="8"/>
      <c r="K110" s="8"/>
      <c r="L110" s="8"/>
      <c r="M110" s="8"/>
      <c r="N110" s="8"/>
      <c r="O110" s="8"/>
      <c r="P110" s="8"/>
      <c r="Q110" s="8"/>
      <c r="R110" s="8"/>
    </row>
    <row r="111" spans="1:18" ht="12.75" customHeight="1">
      <c r="A111" s="1028" t="s">
        <v>266</v>
      </c>
      <c r="B111" s="808"/>
      <c r="C111" s="1029"/>
      <c r="D111" s="8"/>
      <c r="E111" s="8"/>
      <c r="F111" s="8"/>
      <c r="G111" s="8"/>
      <c r="H111" s="8"/>
      <c r="I111" s="8"/>
      <c r="J111" s="8"/>
      <c r="K111" s="8"/>
      <c r="L111" s="8"/>
      <c r="M111" s="8"/>
      <c r="N111" s="8"/>
      <c r="O111" s="8"/>
      <c r="P111" s="8"/>
      <c r="Q111" s="8"/>
      <c r="R111" s="8"/>
    </row>
    <row r="112" spans="1:18" ht="12.75" customHeight="1">
      <c r="A112" s="1028" t="s">
        <v>940</v>
      </c>
      <c r="B112" s="808"/>
      <c r="C112" s="1029"/>
      <c r="D112" s="13"/>
      <c r="E112" s="13"/>
      <c r="F112" s="13"/>
      <c r="G112" s="13"/>
      <c r="H112" s="13"/>
      <c r="I112" s="13"/>
      <c r="J112" s="13"/>
      <c r="K112" s="13"/>
      <c r="L112" s="13"/>
      <c r="M112" s="13"/>
      <c r="N112" s="13"/>
      <c r="O112" s="13"/>
      <c r="P112" s="13"/>
      <c r="Q112" s="13"/>
      <c r="R112" s="13"/>
    </row>
    <row r="113" spans="1:18" ht="12.75" customHeight="1" thickBot="1">
      <c r="A113" s="1028" t="s">
        <v>0</v>
      </c>
      <c r="B113" s="808"/>
      <c r="C113" s="1029"/>
      <c r="D113" s="8"/>
      <c r="E113" s="8"/>
      <c r="F113" s="8"/>
      <c r="G113" s="8"/>
      <c r="H113" s="8"/>
      <c r="I113" s="8"/>
      <c r="J113" s="8"/>
      <c r="K113" s="8"/>
      <c r="L113" s="8"/>
      <c r="M113" s="8"/>
      <c r="N113" s="8"/>
      <c r="O113" s="8"/>
      <c r="P113" s="8"/>
      <c r="Q113" s="8"/>
      <c r="R113" s="8"/>
    </row>
    <row r="114" spans="1:18" ht="12.75" customHeight="1" thickBot="1">
      <c r="A114" s="1142" t="s">
        <v>1</v>
      </c>
      <c r="B114" s="1143"/>
      <c r="C114" s="1145">
        <f>C116+C133+C147</f>
        <v>18414000</v>
      </c>
      <c r="D114" s="30"/>
      <c r="E114" s="8"/>
      <c r="F114" s="8"/>
      <c r="G114" s="8"/>
      <c r="H114" s="8"/>
      <c r="I114" s="8"/>
      <c r="J114" s="8"/>
      <c r="K114" s="8"/>
      <c r="L114" s="8"/>
      <c r="M114" s="8"/>
      <c r="N114" s="8"/>
      <c r="O114" s="8"/>
      <c r="P114" s="8"/>
      <c r="Q114" s="8"/>
      <c r="R114" s="8"/>
    </row>
    <row r="115" spans="1:18" ht="12.75" customHeight="1" thickBot="1">
      <c r="A115" s="21"/>
      <c r="B115" s="21"/>
      <c r="C115" s="26"/>
      <c r="D115" s="8"/>
      <c r="E115" s="8"/>
      <c r="F115" s="8"/>
      <c r="G115" s="8"/>
      <c r="H115" s="8"/>
      <c r="I115" s="8"/>
      <c r="J115" s="8"/>
      <c r="K115" s="8"/>
      <c r="L115" s="8"/>
      <c r="M115" s="8"/>
      <c r="N115" s="8"/>
      <c r="O115" s="8"/>
      <c r="P115" s="8"/>
      <c r="Q115" s="8"/>
      <c r="R115" s="8"/>
    </row>
    <row r="116" spans="1:18" ht="12.75" customHeight="1" thickBot="1">
      <c r="A116" s="1297" t="s">
        <v>9</v>
      </c>
      <c r="B116" s="1281"/>
      <c r="C116" s="62">
        <f>+C117+C119+C122+C128+C124</f>
        <v>8771000</v>
      </c>
      <c r="D116" s="8"/>
      <c r="E116" s="8"/>
      <c r="F116" s="8"/>
      <c r="G116" s="8"/>
      <c r="H116" s="8"/>
      <c r="I116" s="8"/>
      <c r="J116" s="8"/>
      <c r="K116" s="8"/>
      <c r="L116" s="8"/>
      <c r="M116" s="8"/>
      <c r="N116" s="8"/>
      <c r="O116" s="8"/>
      <c r="P116" s="8"/>
      <c r="Q116" s="8"/>
      <c r="R116" s="8"/>
    </row>
    <row r="117" spans="1:18" ht="13.5" customHeight="1">
      <c r="A117" s="48">
        <v>211202</v>
      </c>
      <c r="B117" s="21" t="s">
        <v>529</v>
      </c>
      <c r="C117" s="26">
        <f>SUM(C118)</f>
        <v>568000</v>
      </c>
      <c r="D117" s="603"/>
      <c r="E117" s="13"/>
      <c r="F117" s="13"/>
      <c r="G117" s="13"/>
      <c r="H117" s="13"/>
      <c r="I117" s="13"/>
      <c r="J117" s="13"/>
      <c r="K117" s="13"/>
      <c r="L117" s="13"/>
      <c r="M117" s="13"/>
      <c r="N117" s="13"/>
      <c r="O117" s="13"/>
      <c r="P117" s="13"/>
      <c r="Q117" s="13"/>
      <c r="R117" s="13"/>
    </row>
    <row r="118" spans="1:18" ht="13.5" customHeight="1">
      <c r="A118" s="33">
        <v>21120202</v>
      </c>
      <c r="B118" s="13" t="s">
        <v>530</v>
      </c>
      <c r="C118" s="24">
        <v>568000</v>
      </c>
      <c r="D118" s="25"/>
      <c r="E118" s="13"/>
      <c r="F118" s="13"/>
      <c r="G118" s="13"/>
      <c r="H118" s="13"/>
      <c r="I118" s="13"/>
      <c r="J118" s="13"/>
      <c r="K118" s="13"/>
      <c r="L118" s="13"/>
      <c r="M118" s="13"/>
      <c r="N118" s="13"/>
      <c r="O118" s="13"/>
      <c r="P118" s="13"/>
      <c r="Q118" s="13"/>
      <c r="R118" s="13"/>
    </row>
    <row r="119" spans="1:18" ht="12.75" customHeight="1">
      <c r="A119" s="48">
        <v>211203</v>
      </c>
      <c r="B119" s="21" t="s">
        <v>461</v>
      </c>
      <c r="C119" s="49">
        <f>+SUM(C120:C121)</f>
        <v>2792500</v>
      </c>
      <c r="D119" s="8"/>
      <c r="E119" s="8"/>
      <c r="F119" s="8"/>
      <c r="G119" s="8"/>
      <c r="H119" s="8"/>
      <c r="I119" s="8"/>
      <c r="J119" s="8"/>
      <c r="K119" s="8"/>
      <c r="L119" s="8"/>
      <c r="M119" s="8"/>
      <c r="N119" s="8"/>
      <c r="O119" s="8"/>
      <c r="P119" s="8"/>
      <c r="Q119" s="8"/>
      <c r="R119" s="8"/>
    </row>
    <row r="120" spans="1:18" ht="12.75" customHeight="1">
      <c r="A120" s="33">
        <v>21120301</v>
      </c>
      <c r="B120" s="23" t="s">
        <v>527</v>
      </c>
      <c r="C120" s="24">
        <f>250000+901000</f>
        <v>1151000</v>
      </c>
      <c r="D120" s="8"/>
      <c r="E120" s="8"/>
      <c r="F120" s="8"/>
      <c r="G120" s="8"/>
      <c r="H120" s="8"/>
      <c r="I120" s="8"/>
      <c r="J120" s="8"/>
      <c r="K120" s="8"/>
      <c r="L120" s="8"/>
      <c r="M120" s="8"/>
      <c r="N120" s="8"/>
      <c r="O120" s="8"/>
      <c r="P120" s="8"/>
      <c r="Q120" s="8"/>
      <c r="R120" s="8"/>
    </row>
    <row r="121" spans="1:18" ht="12.75" customHeight="1">
      <c r="A121" s="33">
        <v>21120302</v>
      </c>
      <c r="B121" s="23" t="s">
        <v>462</v>
      </c>
      <c r="C121" s="24">
        <f>1641500</f>
        <v>1641500</v>
      </c>
      <c r="D121" s="8"/>
      <c r="E121" s="8"/>
      <c r="F121" s="8"/>
      <c r="G121" s="8"/>
      <c r="H121" s="8"/>
      <c r="I121" s="8"/>
      <c r="J121" s="8"/>
      <c r="K121" s="8"/>
      <c r="L121" s="8"/>
      <c r="M121" s="8"/>
      <c r="N121" s="8"/>
      <c r="O121" s="8"/>
      <c r="P121" s="8"/>
      <c r="Q121" s="8"/>
      <c r="R121" s="8"/>
    </row>
    <row r="122" spans="1:18" ht="12.75" customHeight="1">
      <c r="A122" s="48">
        <v>211204</v>
      </c>
      <c r="B122" s="21" t="s">
        <v>463</v>
      </c>
      <c r="C122" s="26">
        <f>C123</f>
        <v>459500</v>
      </c>
      <c r="D122" s="8"/>
      <c r="E122" s="8"/>
      <c r="F122" s="8"/>
      <c r="G122" s="8"/>
      <c r="H122" s="8"/>
      <c r="I122" s="8"/>
      <c r="J122" s="8"/>
      <c r="K122" s="8"/>
      <c r="L122" s="8"/>
      <c r="M122" s="8"/>
      <c r="N122" s="8"/>
      <c r="O122" s="8"/>
      <c r="P122" s="8"/>
      <c r="Q122" s="8"/>
      <c r="R122" s="8"/>
    </row>
    <row r="123" spans="1:18" ht="12.75" customHeight="1">
      <c r="A123" s="33">
        <v>21120401</v>
      </c>
      <c r="B123" s="24" t="s">
        <v>464</v>
      </c>
      <c r="C123" s="24">
        <f>450000+9500</f>
        <v>459500</v>
      </c>
      <c r="D123" s="30"/>
      <c r="E123" s="8"/>
      <c r="F123" s="8"/>
      <c r="G123" s="8"/>
      <c r="H123" s="8"/>
      <c r="I123" s="8"/>
      <c r="J123" s="8"/>
      <c r="K123" s="8"/>
      <c r="L123" s="8"/>
      <c r="M123" s="8"/>
      <c r="N123" s="8"/>
      <c r="O123" s="8"/>
      <c r="P123" s="8"/>
      <c r="Q123" s="8"/>
      <c r="R123" s="8"/>
    </row>
    <row r="124" spans="1:18" ht="12.75" customHeight="1">
      <c r="A124" s="48">
        <v>211207</v>
      </c>
      <c r="B124" s="21" t="s">
        <v>467</v>
      </c>
      <c r="C124" s="26">
        <f>+SUM(C125:C127)</f>
        <v>2360000</v>
      </c>
      <c r="D124" s="8"/>
      <c r="E124" s="8"/>
      <c r="F124" s="8"/>
      <c r="G124" s="8"/>
      <c r="H124" s="8"/>
      <c r="I124" s="8"/>
      <c r="J124" s="8"/>
      <c r="K124" s="8"/>
      <c r="L124" s="8"/>
      <c r="M124" s="8"/>
      <c r="N124" s="8"/>
      <c r="O124" s="8"/>
      <c r="P124" s="8"/>
      <c r="Q124" s="8"/>
      <c r="R124" s="8"/>
    </row>
    <row r="125" spans="1:18" ht="12.75" customHeight="1">
      <c r="A125" s="33">
        <v>21120708</v>
      </c>
      <c r="B125" s="24" t="s">
        <v>470</v>
      </c>
      <c r="C125" s="24">
        <v>850000</v>
      </c>
      <c r="D125" s="8"/>
      <c r="E125" s="8"/>
      <c r="F125" s="8"/>
      <c r="G125" s="8"/>
      <c r="H125" s="8"/>
      <c r="I125" s="8"/>
      <c r="J125" s="8"/>
      <c r="K125" s="8"/>
      <c r="L125" s="8"/>
      <c r="M125" s="8"/>
      <c r="N125" s="8"/>
      <c r="O125" s="8"/>
      <c r="P125" s="8"/>
      <c r="Q125" s="8"/>
      <c r="R125" s="8"/>
    </row>
    <row r="126" spans="1:18" ht="12.75" customHeight="1">
      <c r="A126" s="33">
        <v>21120709</v>
      </c>
      <c r="B126" s="24" t="s">
        <v>471</v>
      </c>
      <c r="C126" s="24">
        <v>560000</v>
      </c>
      <c r="D126" s="8"/>
      <c r="E126" s="8"/>
      <c r="F126" s="8"/>
      <c r="G126" s="8"/>
      <c r="H126" s="8"/>
      <c r="I126" s="8"/>
      <c r="J126" s="8"/>
      <c r="K126" s="8"/>
      <c r="L126" s="8"/>
      <c r="M126" s="8"/>
      <c r="N126" s="8"/>
      <c r="O126" s="8"/>
      <c r="P126" s="8"/>
      <c r="Q126" s="8"/>
      <c r="R126" s="8"/>
    </row>
    <row r="127" spans="1:18" ht="12.75" customHeight="1">
      <c r="A127" s="33">
        <v>21120711</v>
      </c>
      <c r="B127" s="24" t="s">
        <v>473</v>
      </c>
      <c r="C127" s="24">
        <v>950000</v>
      </c>
      <c r="D127" s="8"/>
      <c r="E127" s="8"/>
      <c r="F127" s="8"/>
      <c r="G127" s="8"/>
      <c r="H127" s="8"/>
      <c r="I127" s="8"/>
      <c r="J127" s="8"/>
      <c r="K127" s="8"/>
      <c r="L127" s="8"/>
      <c r="M127" s="8"/>
      <c r="N127" s="8"/>
      <c r="O127" s="8"/>
      <c r="P127" s="8"/>
      <c r="Q127" s="8"/>
      <c r="R127" s="8"/>
    </row>
    <row r="128" spans="1:18" ht="12.75" customHeight="1">
      <c r="A128" s="48">
        <v>211209</v>
      </c>
      <c r="B128" s="26" t="s">
        <v>477</v>
      </c>
      <c r="C128" s="26">
        <f>+SUM(C129:C131)</f>
        <v>2591000</v>
      </c>
      <c r="D128" s="8"/>
      <c r="E128" s="8"/>
      <c r="F128" s="8"/>
      <c r="G128" s="8"/>
      <c r="H128" s="8"/>
      <c r="I128" s="8"/>
      <c r="J128" s="8"/>
      <c r="K128" s="8"/>
      <c r="L128" s="8"/>
      <c r="M128" s="8"/>
      <c r="N128" s="8"/>
      <c r="O128" s="8"/>
      <c r="P128" s="8"/>
      <c r="Q128" s="8"/>
      <c r="R128" s="8"/>
    </row>
    <row r="129" spans="1:18" ht="12.75" customHeight="1">
      <c r="A129" s="33">
        <v>21120905</v>
      </c>
      <c r="B129" s="24" t="s">
        <v>525</v>
      </c>
      <c r="C129" s="24">
        <f>300000+1491000</f>
        <v>1791000</v>
      </c>
      <c r="D129" s="8"/>
      <c r="E129" s="8"/>
      <c r="F129" s="8"/>
      <c r="G129" s="8"/>
      <c r="H129" s="8"/>
      <c r="I129" s="8"/>
      <c r="J129" s="8"/>
      <c r="K129" s="8"/>
      <c r="L129" s="8"/>
      <c r="M129" s="8"/>
      <c r="N129" s="8"/>
      <c r="O129" s="8"/>
      <c r="P129" s="8"/>
      <c r="Q129" s="8"/>
      <c r="R129" s="8"/>
    </row>
    <row r="130" spans="1:18" ht="13.5" customHeight="1">
      <c r="A130" s="33">
        <v>21120906</v>
      </c>
      <c r="B130" s="24" t="s">
        <v>479</v>
      </c>
      <c r="C130" s="24">
        <v>320000</v>
      </c>
      <c r="D130" s="40"/>
      <c r="E130" s="13"/>
      <c r="F130" s="13"/>
      <c r="G130" s="13"/>
      <c r="H130" s="13"/>
      <c r="I130" s="13"/>
      <c r="J130" s="13"/>
      <c r="K130" s="13"/>
      <c r="L130" s="13"/>
      <c r="M130" s="13"/>
      <c r="N130" s="13"/>
      <c r="O130" s="13"/>
      <c r="P130" s="13"/>
      <c r="Q130" s="13"/>
      <c r="R130" s="13"/>
    </row>
    <row r="131" spans="1:18" ht="12.75" customHeight="1">
      <c r="A131" s="33">
        <v>21120907</v>
      </c>
      <c r="B131" s="24" t="s">
        <v>480</v>
      </c>
      <c r="C131" s="14">
        <v>480000</v>
      </c>
      <c r="D131" s="83"/>
      <c r="E131" s="84"/>
      <c r="F131" s="84"/>
      <c r="G131" s="84"/>
      <c r="H131" s="84"/>
      <c r="I131" s="84"/>
      <c r="J131" s="84"/>
      <c r="K131" s="84"/>
      <c r="L131" s="84"/>
      <c r="M131" s="84"/>
      <c r="N131" s="84"/>
      <c r="O131" s="84"/>
      <c r="P131" s="84"/>
      <c r="Q131" s="84"/>
      <c r="R131" s="84"/>
    </row>
    <row r="132" spans="1:18" ht="12.75" customHeight="1" thickBot="1">
      <c r="A132" s="23"/>
      <c r="B132" s="24"/>
      <c r="C132" s="24"/>
      <c r="D132" s="8"/>
      <c r="E132" s="8"/>
      <c r="F132" s="8"/>
      <c r="G132" s="8"/>
      <c r="H132" s="8"/>
      <c r="I132" s="8"/>
      <c r="J132" s="8"/>
      <c r="K132" s="8"/>
      <c r="L132" s="8"/>
      <c r="M132" s="8"/>
      <c r="N132" s="8"/>
      <c r="O132" s="8"/>
      <c r="P132" s="8"/>
      <c r="Q132" s="8"/>
      <c r="R132" s="8"/>
    </row>
    <row r="133" spans="1:18" ht="13.5" customHeight="1" thickBot="1">
      <c r="A133" s="1298" t="s">
        <v>4</v>
      </c>
      <c r="B133" s="1281"/>
      <c r="C133" s="64">
        <f>C134+C136+C138+C141</f>
        <v>8388000</v>
      </c>
      <c r="D133" s="22"/>
      <c r="E133" s="13"/>
      <c r="F133" s="13"/>
      <c r="G133" s="13"/>
      <c r="H133" s="13"/>
      <c r="I133" s="13"/>
      <c r="J133" s="13"/>
      <c r="K133" s="13"/>
      <c r="L133" s="13"/>
      <c r="M133" s="13"/>
      <c r="N133" s="13"/>
      <c r="O133" s="13"/>
      <c r="P133" s="13"/>
      <c r="Q133" s="13"/>
      <c r="R133" s="13"/>
    </row>
    <row r="134" spans="1:18" ht="12.75" customHeight="1">
      <c r="A134" s="48">
        <v>211305</v>
      </c>
      <c r="B134" s="21" t="s">
        <v>489</v>
      </c>
      <c r="C134" s="49">
        <f>SUM(C135)</f>
        <v>560000</v>
      </c>
      <c r="D134" s="8"/>
      <c r="E134" s="8"/>
      <c r="F134" s="8"/>
      <c r="G134" s="8"/>
      <c r="H134" s="8"/>
      <c r="I134" s="8"/>
      <c r="J134" s="8"/>
      <c r="K134" s="8"/>
      <c r="L134" s="8"/>
      <c r="M134" s="8"/>
      <c r="N134" s="8"/>
      <c r="O134" s="8"/>
      <c r="P134" s="8"/>
      <c r="Q134" s="8"/>
      <c r="R134" s="8"/>
    </row>
    <row r="135" spans="1:18" ht="12.75" customHeight="1">
      <c r="A135" s="33">
        <v>21130502</v>
      </c>
      <c r="B135" s="23" t="s">
        <v>491</v>
      </c>
      <c r="C135" s="24">
        <v>560000</v>
      </c>
      <c r="D135" s="30"/>
      <c r="E135" s="8"/>
      <c r="F135" s="8"/>
      <c r="G135" s="8"/>
      <c r="H135" s="8"/>
      <c r="I135" s="8"/>
      <c r="J135" s="8"/>
      <c r="K135" s="8"/>
      <c r="L135" s="8"/>
      <c r="M135" s="8"/>
      <c r="N135" s="8"/>
      <c r="O135" s="8"/>
      <c r="P135" s="8"/>
      <c r="Q135" s="8"/>
      <c r="R135" s="8"/>
    </row>
    <row r="136" spans="1:18" ht="12.75" customHeight="1">
      <c r="A136" s="48">
        <v>211306</v>
      </c>
      <c r="B136" s="21" t="s">
        <v>492</v>
      </c>
      <c r="C136" s="26">
        <f>C137</f>
        <v>119500</v>
      </c>
      <c r="D136" s="30"/>
      <c r="E136" s="8"/>
      <c r="F136" s="8"/>
      <c r="G136" s="8"/>
      <c r="H136" s="8"/>
      <c r="I136" s="8"/>
      <c r="J136" s="8"/>
      <c r="K136" s="8"/>
      <c r="L136" s="8"/>
      <c r="M136" s="8"/>
      <c r="N136" s="8"/>
      <c r="O136" s="8"/>
      <c r="P136" s="8"/>
      <c r="Q136" s="8"/>
      <c r="R136" s="8"/>
    </row>
    <row r="137" spans="1:18" ht="13.5" customHeight="1">
      <c r="A137" s="33">
        <v>21130607</v>
      </c>
      <c r="B137" s="24" t="s">
        <v>493</v>
      </c>
      <c r="C137" s="24">
        <v>119500</v>
      </c>
      <c r="D137" s="13"/>
      <c r="E137" s="13"/>
      <c r="F137" s="13"/>
      <c r="G137" s="13"/>
      <c r="H137" s="13"/>
      <c r="I137" s="13"/>
      <c r="J137" s="13"/>
      <c r="K137" s="13"/>
      <c r="L137" s="13"/>
      <c r="M137" s="13"/>
      <c r="N137" s="13"/>
      <c r="O137" s="13"/>
      <c r="P137" s="13"/>
      <c r="Q137" s="13"/>
      <c r="R137" s="13"/>
    </row>
    <row r="138" spans="1:18" ht="13.5" customHeight="1">
      <c r="A138" s="48">
        <v>211307</v>
      </c>
      <c r="B138" s="21" t="s">
        <v>494</v>
      </c>
      <c r="C138" s="26">
        <f>+SUM(C139:C140)</f>
        <v>4346000</v>
      </c>
      <c r="D138" s="13"/>
      <c r="E138" s="13"/>
      <c r="F138" s="13"/>
      <c r="G138" s="13"/>
      <c r="H138" s="13"/>
      <c r="I138" s="13"/>
      <c r="J138" s="13"/>
      <c r="K138" s="13"/>
      <c r="L138" s="13"/>
      <c r="M138" s="13"/>
      <c r="N138" s="13"/>
      <c r="O138" s="13"/>
      <c r="P138" s="13"/>
      <c r="Q138" s="13"/>
      <c r="R138" s="13"/>
    </row>
    <row r="139" spans="1:18" ht="13.5" customHeight="1">
      <c r="A139" s="33">
        <v>21130701</v>
      </c>
      <c r="B139" s="23" t="s">
        <v>495</v>
      </c>
      <c r="C139" s="24">
        <v>3886000</v>
      </c>
      <c r="D139" s="40"/>
      <c r="E139" s="13"/>
      <c r="F139" s="13"/>
      <c r="G139" s="13"/>
      <c r="H139" s="13"/>
      <c r="I139" s="13"/>
      <c r="J139" s="13"/>
      <c r="K139" s="13"/>
      <c r="L139" s="13"/>
      <c r="M139" s="13"/>
      <c r="N139" s="13"/>
      <c r="O139" s="13"/>
      <c r="P139" s="13"/>
      <c r="Q139" s="13"/>
      <c r="R139" s="13"/>
    </row>
    <row r="140" spans="1:18" ht="13.5" customHeight="1">
      <c r="A140" s="33">
        <v>21130702</v>
      </c>
      <c r="B140" s="23" t="s">
        <v>558</v>
      </c>
      <c r="C140" s="24">
        <v>460000</v>
      </c>
      <c r="D140" s="40"/>
      <c r="E140" s="13"/>
      <c r="F140" s="13"/>
      <c r="G140" s="13"/>
      <c r="H140" s="13"/>
      <c r="I140" s="13"/>
      <c r="J140" s="13"/>
      <c r="K140" s="13"/>
      <c r="L140" s="13"/>
      <c r="M140" s="13"/>
      <c r="N140" s="13"/>
      <c r="O140" s="13"/>
      <c r="P140" s="13"/>
      <c r="Q140" s="13"/>
      <c r="R140" s="13"/>
    </row>
    <row r="141" spans="1:18" ht="12.75" customHeight="1">
      <c r="A141" s="48">
        <v>211309</v>
      </c>
      <c r="B141" s="26" t="s">
        <v>496</v>
      </c>
      <c r="C141" s="26">
        <f>+SUM(C142:C145)</f>
        <v>3362500</v>
      </c>
      <c r="D141" s="8"/>
      <c r="E141" s="8"/>
      <c r="F141" s="8"/>
      <c r="G141" s="8"/>
      <c r="H141" s="8"/>
      <c r="I141" s="8"/>
      <c r="J141" s="8"/>
      <c r="K141" s="8"/>
      <c r="L141" s="8"/>
      <c r="M141" s="8"/>
      <c r="N141" s="8"/>
      <c r="O141" s="8"/>
      <c r="P141" s="8"/>
      <c r="Q141" s="8"/>
      <c r="R141" s="8"/>
    </row>
    <row r="142" spans="1:18" ht="12.75" customHeight="1">
      <c r="A142" s="33">
        <v>21130901</v>
      </c>
      <c r="B142" s="24" t="s">
        <v>497</v>
      </c>
      <c r="C142" s="24">
        <v>318500</v>
      </c>
      <c r="D142" s="8"/>
      <c r="E142" s="8"/>
      <c r="F142" s="8"/>
      <c r="G142" s="8"/>
      <c r="H142" s="8"/>
      <c r="I142" s="8"/>
      <c r="J142" s="8"/>
      <c r="K142" s="8"/>
      <c r="L142" s="8"/>
      <c r="M142" s="8"/>
      <c r="N142" s="8"/>
      <c r="O142" s="8"/>
      <c r="P142" s="8"/>
      <c r="Q142" s="8"/>
      <c r="R142" s="8"/>
    </row>
    <row r="143" spans="1:18" ht="12.75" customHeight="1">
      <c r="A143" s="33">
        <v>21130905</v>
      </c>
      <c r="B143" s="13" t="s">
        <v>532</v>
      </c>
      <c r="C143" s="24">
        <v>891500</v>
      </c>
      <c r="D143" s="8"/>
      <c r="E143" s="8"/>
      <c r="F143" s="8"/>
      <c r="G143" s="8"/>
      <c r="H143" s="8"/>
      <c r="I143" s="8"/>
      <c r="J143" s="8"/>
      <c r="K143" s="8"/>
      <c r="L143" s="8"/>
      <c r="M143" s="8"/>
      <c r="N143" s="8"/>
      <c r="O143" s="8"/>
      <c r="P143" s="8"/>
      <c r="Q143" s="8"/>
      <c r="R143" s="8"/>
    </row>
    <row r="144" spans="1:18" ht="12.75" customHeight="1">
      <c r="A144" s="33">
        <v>21130906</v>
      </c>
      <c r="B144" s="13" t="s">
        <v>499</v>
      </c>
      <c r="C144" s="24">
        <v>1430500</v>
      </c>
      <c r="D144" s="8"/>
      <c r="E144" s="8"/>
      <c r="F144" s="8"/>
      <c r="G144" s="8"/>
      <c r="H144" s="8"/>
      <c r="I144" s="8"/>
      <c r="J144" s="8"/>
      <c r="K144" s="8"/>
      <c r="L144" s="8"/>
      <c r="M144" s="8"/>
      <c r="N144" s="8"/>
      <c r="O144" s="8"/>
      <c r="P144" s="8"/>
      <c r="Q144" s="8"/>
      <c r="R144" s="8"/>
    </row>
    <row r="145" spans="1:18" ht="12.75" customHeight="1">
      <c r="A145" s="33">
        <v>21130908</v>
      </c>
      <c r="B145" s="24" t="s">
        <v>500</v>
      </c>
      <c r="C145" s="24">
        <v>722000</v>
      </c>
      <c r="D145" s="8"/>
      <c r="E145" s="8"/>
      <c r="F145" s="8"/>
      <c r="G145" s="8"/>
      <c r="H145" s="8"/>
      <c r="I145" s="8"/>
      <c r="J145" s="8"/>
      <c r="K145" s="8"/>
      <c r="L145" s="8"/>
      <c r="M145" s="8"/>
      <c r="N145" s="8"/>
      <c r="O145" s="8"/>
      <c r="P145" s="8"/>
      <c r="Q145" s="8"/>
      <c r="R145" s="8"/>
    </row>
    <row r="146" spans="1:18" ht="12.75" customHeight="1" thickBot="1">
      <c r="A146" s="23"/>
      <c r="B146" s="24"/>
      <c r="C146" s="24"/>
      <c r="D146" s="8"/>
      <c r="E146" s="8"/>
      <c r="F146" s="8"/>
      <c r="G146" s="8"/>
      <c r="H146" s="8"/>
      <c r="I146" s="8"/>
      <c r="J146" s="8"/>
      <c r="K146" s="8"/>
      <c r="L146" s="8"/>
      <c r="M146" s="8"/>
      <c r="N146" s="8"/>
      <c r="O146" s="8"/>
      <c r="P146" s="8"/>
      <c r="Q146" s="8"/>
      <c r="R146" s="8"/>
    </row>
    <row r="147" spans="1:18" ht="12.75" customHeight="1" thickBot="1">
      <c r="A147" s="1299" t="s">
        <v>48</v>
      </c>
      <c r="B147" s="1281"/>
      <c r="C147" s="65">
        <f>C148+C151</f>
        <v>1255000</v>
      </c>
      <c r="D147" s="8"/>
      <c r="E147" s="8"/>
      <c r="F147" s="8"/>
      <c r="G147" s="8"/>
      <c r="H147" s="8"/>
      <c r="I147" s="8"/>
      <c r="J147" s="8"/>
      <c r="K147" s="8"/>
      <c r="L147" s="8"/>
      <c r="M147" s="8"/>
      <c r="N147" s="8"/>
      <c r="O147" s="8"/>
      <c r="P147" s="8"/>
      <c r="Q147" s="8"/>
      <c r="R147" s="8"/>
    </row>
    <row r="148" spans="1:18" ht="12.75" customHeight="1">
      <c r="A148" s="48">
        <v>221104</v>
      </c>
      <c r="B148" s="21" t="s">
        <v>510</v>
      </c>
      <c r="C148" s="49">
        <f>SUM(C149:C150)</f>
        <v>1030000</v>
      </c>
      <c r="D148" s="8"/>
      <c r="E148" s="8"/>
      <c r="F148" s="8"/>
      <c r="G148" s="8"/>
      <c r="H148" s="8"/>
      <c r="I148" s="8"/>
      <c r="J148" s="8"/>
      <c r="K148" s="8"/>
      <c r="L148" s="8"/>
      <c r="M148" s="8"/>
      <c r="N148" s="8"/>
      <c r="O148" s="8"/>
      <c r="P148" s="8"/>
      <c r="Q148" s="8"/>
      <c r="R148" s="8"/>
    </row>
    <row r="149" spans="1:18" ht="12.75" customHeight="1">
      <c r="A149" s="33">
        <v>22110401</v>
      </c>
      <c r="B149" s="24" t="s">
        <v>511</v>
      </c>
      <c r="C149" s="24">
        <v>890000</v>
      </c>
      <c r="D149" s="8"/>
      <c r="E149" s="8"/>
      <c r="F149" s="8"/>
      <c r="G149" s="8"/>
      <c r="H149" s="8"/>
      <c r="I149" s="8"/>
      <c r="J149" s="8"/>
      <c r="K149" s="8"/>
      <c r="L149" s="8"/>
      <c r="M149" s="8"/>
      <c r="N149" s="8"/>
      <c r="O149" s="8"/>
      <c r="P149" s="8"/>
      <c r="Q149" s="8"/>
      <c r="R149" s="8"/>
    </row>
    <row r="150" spans="1:18" ht="12.75" customHeight="1">
      <c r="A150" s="33">
        <v>22110404</v>
      </c>
      <c r="B150" s="24" t="s">
        <v>512</v>
      </c>
      <c r="C150" s="24">
        <v>140000</v>
      </c>
      <c r="D150" s="8"/>
      <c r="E150" s="8"/>
      <c r="F150" s="8"/>
      <c r="G150" s="8"/>
      <c r="H150" s="8"/>
      <c r="I150" s="8"/>
      <c r="J150" s="8"/>
      <c r="K150" s="8"/>
      <c r="L150" s="8"/>
      <c r="M150" s="8"/>
      <c r="N150" s="8"/>
      <c r="O150" s="8"/>
      <c r="P150" s="8"/>
      <c r="Q150" s="8"/>
      <c r="R150" s="8"/>
    </row>
    <row r="151" spans="1:18" ht="12.75" customHeight="1">
      <c r="A151" s="48">
        <v>221107</v>
      </c>
      <c r="B151" s="21" t="s">
        <v>514</v>
      </c>
      <c r="C151" s="26">
        <f>SUM(C152)</f>
        <v>225000</v>
      </c>
      <c r="D151" s="8"/>
      <c r="E151" s="8"/>
      <c r="F151" s="8"/>
      <c r="G151" s="8"/>
      <c r="H151" s="8"/>
      <c r="I151" s="8"/>
      <c r="J151" s="8"/>
      <c r="K151" s="8"/>
      <c r="L151" s="8"/>
      <c r="M151" s="8"/>
      <c r="N151" s="8"/>
      <c r="O151" s="8"/>
      <c r="P151" s="8"/>
      <c r="Q151" s="8"/>
      <c r="R151" s="8"/>
    </row>
    <row r="152" spans="1:18" ht="12.75" customHeight="1">
      <c r="A152" s="33">
        <v>22110702</v>
      </c>
      <c r="B152" s="24" t="s">
        <v>515</v>
      </c>
      <c r="C152" s="24">
        <v>225000</v>
      </c>
      <c r="D152" s="8"/>
      <c r="E152" s="8"/>
      <c r="F152" s="8"/>
      <c r="G152" s="8"/>
      <c r="H152" s="8"/>
      <c r="I152" s="8"/>
      <c r="J152" s="8"/>
      <c r="K152" s="8"/>
      <c r="L152" s="8"/>
      <c r="M152" s="8"/>
      <c r="N152" s="8"/>
      <c r="O152" s="8"/>
      <c r="P152" s="8"/>
      <c r="Q152" s="8"/>
      <c r="R152" s="8"/>
    </row>
    <row r="153" spans="1:18" ht="12.75" customHeight="1">
      <c r="A153" s="23"/>
      <c r="B153" s="24"/>
      <c r="C153" s="24"/>
      <c r="D153" s="8"/>
      <c r="E153" s="8"/>
      <c r="F153" s="8"/>
      <c r="G153" s="8"/>
      <c r="H153" s="8"/>
      <c r="I153" s="8"/>
      <c r="J153" s="8"/>
      <c r="K153" s="8"/>
      <c r="L153" s="8"/>
      <c r="M153" s="8"/>
      <c r="N153" s="8"/>
      <c r="O153" s="8"/>
      <c r="P153" s="8"/>
      <c r="Q153" s="8"/>
      <c r="R153" s="8"/>
    </row>
    <row r="154" spans="1:18" ht="12.75" customHeight="1">
      <c r="A154" s="8"/>
      <c r="B154" s="8"/>
      <c r="C154" s="30"/>
      <c r="D154" s="8"/>
      <c r="E154" s="8"/>
      <c r="F154" s="8"/>
      <c r="G154" s="8"/>
      <c r="H154" s="8"/>
      <c r="I154" s="8"/>
      <c r="J154" s="8"/>
      <c r="K154" s="8"/>
      <c r="L154" s="8"/>
      <c r="M154" s="8"/>
      <c r="N154" s="8"/>
      <c r="O154" s="8"/>
      <c r="P154" s="8"/>
      <c r="Q154" s="8"/>
      <c r="R154" s="8"/>
    </row>
    <row r="155" spans="1:18" ht="12.75" customHeight="1">
      <c r="A155" s="8"/>
      <c r="B155" s="8"/>
      <c r="C155" s="30"/>
      <c r="D155" s="8"/>
      <c r="E155" s="8"/>
      <c r="F155" s="8"/>
      <c r="G155" s="8"/>
      <c r="H155" s="8"/>
      <c r="I155" s="8"/>
      <c r="J155" s="8"/>
      <c r="K155" s="8"/>
      <c r="L155" s="8"/>
      <c r="M155" s="8"/>
      <c r="N155" s="8"/>
      <c r="O155" s="8"/>
      <c r="P155" s="8"/>
      <c r="Q155" s="8"/>
      <c r="R155" s="8"/>
    </row>
    <row r="156" spans="1:18" ht="12.75" customHeight="1">
      <c r="A156" s="8"/>
      <c r="B156" s="8"/>
      <c r="C156" s="30"/>
      <c r="D156" s="8"/>
      <c r="E156" s="8"/>
      <c r="F156" s="8"/>
      <c r="G156" s="8"/>
      <c r="H156" s="8"/>
      <c r="I156" s="8"/>
      <c r="J156" s="8"/>
      <c r="K156" s="8"/>
      <c r="L156" s="8"/>
      <c r="M156" s="8"/>
      <c r="N156" s="8"/>
      <c r="O156" s="8"/>
      <c r="P156" s="8"/>
      <c r="Q156" s="8"/>
      <c r="R156" s="8"/>
    </row>
    <row r="157" spans="1:18" ht="12.75" customHeight="1">
      <c r="A157" s="8"/>
      <c r="B157" s="8"/>
      <c r="C157" s="30"/>
      <c r="D157" s="8"/>
      <c r="E157" s="8"/>
      <c r="F157" s="8"/>
      <c r="G157" s="8"/>
      <c r="H157" s="8"/>
      <c r="I157" s="8"/>
      <c r="J157" s="8"/>
      <c r="K157" s="8"/>
      <c r="L157" s="8"/>
      <c r="M157" s="8"/>
      <c r="N157" s="8"/>
      <c r="O157" s="8"/>
      <c r="P157" s="8"/>
      <c r="Q157" s="8"/>
      <c r="R157" s="8"/>
    </row>
    <row r="158" spans="1:18" ht="12.75" customHeight="1">
      <c r="A158" s="8"/>
      <c r="B158" s="8"/>
      <c r="C158" s="30"/>
      <c r="D158" s="8"/>
      <c r="E158" s="8"/>
      <c r="F158" s="8"/>
      <c r="G158" s="8"/>
      <c r="H158" s="8"/>
      <c r="I158" s="8"/>
      <c r="J158" s="8"/>
      <c r="K158" s="8"/>
      <c r="L158" s="8"/>
      <c r="M158" s="8"/>
      <c r="N158" s="8"/>
      <c r="O158" s="8"/>
      <c r="P158" s="8"/>
      <c r="Q158" s="8"/>
      <c r="R158" s="8"/>
    </row>
    <row r="159" spans="1:18" ht="12.75" customHeight="1">
      <c r="A159" s="8"/>
      <c r="B159" s="8"/>
      <c r="C159" s="30"/>
      <c r="D159" s="8"/>
      <c r="E159" s="8"/>
      <c r="F159" s="8"/>
      <c r="G159" s="8"/>
      <c r="H159" s="8"/>
      <c r="I159" s="8"/>
      <c r="J159" s="8"/>
      <c r="K159" s="8"/>
      <c r="L159" s="8"/>
      <c r="M159" s="8"/>
      <c r="N159" s="8"/>
      <c r="O159" s="8"/>
      <c r="P159" s="8"/>
      <c r="Q159" s="8"/>
      <c r="R159" s="8"/>
    </row>
    <row r="160" spans="1:18" ht="12.75" customHeight="1">
      <c r="A160" s="8"/>
      <c r="B160" s="8"/>
      <c r="C160" s="30"/>
      <c r="D160" s="8"/>
      <c r="E160" s="8"/>
      <c r="F160" s="8"/>
      <c r="G160" s="8"/>
      <c r="H160" s="8"/>
      <c r="I160" s="8"/>
      <c r="J160" s="8"/>
      <c r="K160" s="8"/>
      <c r="L160" s="8"/>
      <c r="M160" s="8"/>
      <c r="N160" s="8"/>
      <c r="O160" s="8"/>
      <c r="P160" s="8"/>
      <c r="Q160" s="8"/>
      <c r="R160" s="8"/>
    </row>
    <row r="161" spans="1:18" ht="12.75" customHeight="1">
      <c r="A161" s="8"/>
      <c r="B161" s="8"/>
      <c r="C161" s="30"/>
      <c r="D161" s="8"/>
      <c r="E161" s="8"/>
      <c r="F161" s="8"/>
      <c r="G161" s="8"/>
      <c r="H161" s="8"/>
      <c r="I161" s="8"/>
      <c r="J161" s="8"/>
      <c r="K161" s="8"/>
      <c r="L161" s="8"/>
      <c r="M161" s="8"/>
      <c r="N161" s="8"/>
      <c r="O161" s="8"/>
      <c r="P161" s="8"/>
      <c r="Q161" s="8"/>
      <c r="R161" s="8"/>
    </row>
    <row r="162" spans="1:18" ht="12.75" customHeight="1">
      <c r="A162" s="8"/>
      <c r="B162" s="8"/>
      <c r="C162" s="30"/>
      <c r="D162" s="8"/>
      <c r="E162" s="8"/>
      <c r="F162" s="8"/>
      <c r="G162" s="8"/>
      <c r="H162" s="8"/>
      <c r="I162" s="8"/>
      <c r="J162" s="8"/>
      <c r="K162" s="8"/>
      <c r="L162" s="8"/>
      <c r="M162" s="8"/>
      <c r="N162" s="8"/>
      <c r="O162" s="8"/>
      <c r="P162" s="8"/>
      <c r="Q162" s="8"/>
      <c r="R162" s="8"/>
    </row>
    <row r="163" spans="1:18" ht="12.75" customHeight="1">
      <c r="A163" s="8"/>
      <c r="B163" s="8"/>
      <c r="C163" s="30"/>
      <c r="D163" s="8"/>
      <c r="E163" s="8"/>
      <c r="F163" s="8"/>
      <c r="G163" s="8"/>
      <c r="H163" s="8"/>
      <c r="I163" s="8"/>
      <c r="J163" s="8"/>
      <c r="K163" s="8"/>
      <c r="L163" s="8"/>
      <c r="M163" s="8"/>
      <c r="N163" s="8"/>
      <c r="O163" s="8"/>
      <c r="P163" s="8"/>
      <c r="Q163" s="8"/>
      <c r="R163" s="8"/>
    </row>
    <row r="164" spans="1:18" ht="12.75" customHeight="1">
      <c r="A164" s="8"/>
      <c r="B164" s="8"/>
      <c r="C164" s="30"/>
      <c r="D164" s="8"/>
      <c r="E164" s="8"/>
      <c r="F164" s="8"/>
      <c r="G164" s="8"/>
      <c r="H164" s="8"/>
      <c r="I164" s="8"/>
      <c r="J164" s="8"/>
      <c r="K164" s="8"/>
      <c r="L164" s="8"/>
      <c r="M164" s="8"/>
      <c r="N164" s="8"/>
      <c r="O164" s="8"/>
      <c r="P164" s="8"/>
      <c r="Q164" s="8"/>
      <c r="R164" s="8"/>
    </row>
    <row r="165" spans="1:18" ht="12.75" customHeight="1">
      <c r="A165" s="8"/>
      <c r="B165" s="8"/>
      <c r="C165" s="30"/>
      <c r="D165" s="8"/>
      <c r="E165" s="8"/>
      <c r="F165" s="8"/>
      <c r="G165" s="8"/>
      <c r="H165" s="8"/>
      <c r="I165" s="8"/>
      <c r="J165" s="8"/>
      <c r="K165" s="8"/>
      <c r="L165" s="8"/>
      <c r="M165" s="8"/>
      <c r="N165" s="8"/>
      <c r="O165" s="8"/>
      <c r="P165" s="8"/>
      <c r="Q165" s="8"/>
      <c r="R165" s="8"/>
    </row>
    <row r="166" spans="1:18" ht="12.75" customHeight="1">
      <c r="A166" s="8"/>
      <c r="B166" s="8"/>
      <c r="C166" s="30"/>
      <c r="D166" s="8"/>
      <c r="E166" s="8"/>
      <c r="F166" s="8"/>
      <c r="G166" s="8"/>
      <c r="H166" s="8"/>
      <c r="I166" s="8"/>
      <c r="J166" s="8"/>
      <c r="K166" s="8"/>
      <c r="L166" s="8"/>
      <c r="M166" s="8"/>
      <c r="N166" s="8"/>
      <c r="O166" s="8"/>
      <c r="P166" s="8"/>
      <c r="Q166" s="8"/>
      <c r="R166" s="8"/>
    </row>
    <row r="167" spans="1:18" ht="12.75" customHeight="1">
      <c r="A167" s="8"/>
      <c r="B167" s="8"/>
      <c r="C167" s="30"/>
      <c r="D167" s="8"/>
      <c r="E167" s="8"/>
      <c r="F167" s="8"/>
      <c r="G167" s="8"/>
      <c r="H167" s="8"/>
      <c r="I167" s="8"/>
      <c r="J167" s="8"/>
      <c r="K167" s="8"/>
      <c r="L167" s="8"/>
      <c r="M167" s="8"/>
      <c r="N167" s="8"/>
      <c r="O167" s="8"/>
      <c r="P167" s="8"/>
      <c r="Q167" s="8"/>
      <c r="R167" s="8"/>
    </row>
    <row r="168" spans="1:18" ht="12.75" customHeight="1">
      <c r="A168" s="8"/>
      <c r="B168" s="8"/>
      <c r="C168" s="30"/>
      <c r="D168" s="8"/>
      <c r="E168" s="8"/>
      <c r="F168" s="8"/>
      <c r="G168" s="8"/>
      <c r="H168" s="8"/>
      <c r="I168" s="8"/>
      <c r="J168" s="8"/>
      <c r="K168" s="8"/>
      <c r="L168" s="8"/>
      <c r="M168" s="8"/>
      <c r="N168" s="8"/>
      <c r="O168" s="8"/>
      <c r="P168" s="8"/>
      <c r="Q168" s="8"/>
      <c r="R168" s="8"/>
    </row>
    <row r="169" spans="1:18" ht="12.75" customHeight="1">
      <c r="A169" s="8"/>
      <c r="B169" s="8"/>
      <c r="C169" s="30"/>
      <c r="D169" s="8"/>
      <c r="E169" s="8"/>
      <c r="F169" s="8"/>
      <c r="G169" s="8"/>
      <c r="H169" s="8"/>
      <c r="I169" s="8"/>
      <c r="J169" s="8"/>
      <c r="K169" s="8"/>
      <c r="L169" s="8"/>
      <c r="M169" s="8"/>
      <c r="N169" s="8"/>
      <c r="O169" s="8"/>
      <c r="P169" s="8"/>
      <c r="Q169" s="8"/>
      <c r="R169" s="8"/>
    </row>
    <row r="170" spans="1:18" ht="12.75" customHeight="1">
      <c r="A170" s="8"/>
      <c r="B170" s="8"/>
      <c r="C170" s="30"/>
      <c r="D170" s="8"/>
      <c r="E170" s="8"/>
      <c r="F170" s="8"/>
      <c r="G170" s="8"/>
      <c r="H170" s="8"/>
      <c r="I170" s="8"/>
      <c r="J170" s="8"/>
      <c r="K170" s="8"/>
      <c r="L170" s="8"/>
      <c r="M170" s="8"/>
      <c r="N170" s="8"/>
      <c r="O170" s="8"/>
      <c r="P170" s="8"/>
      <c r="Q170" s="8"/>
      <c r="R170" s="8"/>
    </row>
    <row r="171" spans="1:18" ht="12.75" customHeight="1">
      <c r="A171" s="8"/>
      <c r="B171" s="8"/>
      <c r="C171" s="30"/>
      <c r="D171" s="8"/>
      <c r="E171" s="8"/>
      <c r="F171" s="8"/>
      <c r="G171" s="8"/>
      <c r="H171" s="8"/>
      <c r="I171" s="8"/>
      <c r="J171" s="8"/>
      <c r="K171" s="8"/>
      <c r="L171" s="8"/>
      <c r="M171" s="8"/>
      <c r="N171" s="8"/>
      <c r="O171" s="8"/>
      <c r="P171" s="8"/>
      <c r="Q171" s="8"/>
      <c r="R171" s="8"/>
    </row>
    <row r="172" spans="1:18" ht="12.75" customHeight="1">
      <c r="A172" s="8"/>
      <c r="B172" s="8"/>
      <c r="C172" s="30"/>
      <c r="D172" s="8"/>
      <c r="E172" s="8"/>
      <c r="F172" s="8"/>
      <c r="G172" s="8"/>
      <c r="H172" s="8"/>
      <c r="I172" s="8"/>
      <c r="J172" s="8"/>
      <c r="K172" s="8"/>
      <c r="L172" s="8"/>
      <c r="M172" s="8"/>
      <c r="N172" s="8"/>
      <c r="O172" s="8"/>
      <c r="P172" s="8"/>
      <c r="Q172" s="8"/>
      <c r="R172" s="8"/>
    </row>
    <row r="173" spans="1:18" ht="12.75" customHeight="1">
      <c r="A173" s="8"/>
      <c r="B173" s="8"/>
      <c r="C173" s="30"/>
      <c r="D173" s="8"/>
      <c r="E173" s="8"/>
      <c r="F173" s="8"/>
      <c r="G173" s="8"/>
      <c r="H173" s="8"/>
      <c r="I173" s="8"/>
      <c r="J173" s="8"/>
      <c r="K173" s="8"/>
      <c r="L173" s="8"/>
      <c r="M173" s="8"/>
      <c r="N173" s="8"/>
      <c r="O173" s="8"/>
      <c r="P173" s="8"/>
      <c r="Q173" s="8"/>
      <c r="R173" s="8"/>
    </row>
    <row r="174" spans="1:18" ht="12.75" customHeight="1">
      <c r="A174" s="8"/>
      <c r="B174" s="8"/>
      <c r="C174" s="30"/>
      <c r="D174" s="8"/>
      <c r="E174" s="8"/>
      <c r="F174" s="8"/>
      <c r="G174" s="8"/>
      <c r="H174" s="8"/>
      <c r="I174" s="8"/>
      <c r="J174" s="8"/>
      <c r="K174" s="8"/>
      <c r="L174" s="8"/>
      <c r="M174" s="8"/>
      <c r="N174" s="8"/>
      <c r="O174" s="8"/>
      <c r="P174" s="8"/>
      <c r="Q174" s="8"/>
      <c r="R174" s="8"/>
    </row>
    <row r="175" spans="1:18" ht="12.75" customHeight="1">
      <c r="A175" s="8"/>
      <c r="B175" s="8"/>
      <c r="C175" s="30"/>
      <c r="D175" s="8"/>
      <c r="E175" s="8"/>
      <c r="F175" s="8"/>
      <c r="G175" s="8"/>
      <c r="H175" s="8"/>
      <c r="I175" s="8"/>
      <c r="J175" s="8"/>
      <c r="K175" s="8"/>
      <c r="L175" s="8"/>
      <c r="M175" s="8"/>
      <c r="N175" s="8"/>
      <c r="O175" s="8"/>
      <c r="P175" s="8"/>
      <c r="Q175" s="8"/>
      <c r="R175" s="8"/>
    </row>
    <row r="176" spans="1:18" ht="12.75" customHeight="1">
      <c r="A176" s="8"/>
      <c r="B176" s="8"/>
      <c r="C176" s="30"/>
      <c r="D176" s="8"/>
      <c r="E176" s="8"/>
      <c r="F176" s="8"/>
      <c r="G176" s="8"/>
      <c r="H176" s="8"/>
      <c r="I176" s="8"/>
      <c r="J176" s="8"/>
      <c r="K176" s="8"/>
      <c r="L176" s="8"/>
      <c r="M176" s="8"/>
      <c r="N176" s="8"/>
      <c r="O176" s="8"/>
      <c r="P176" s="8"/>
      <c r="Q176" s="8"/>
      <c r="R176" s="8"/>
    </row>
    <row r="177" spans="1:18" ht="12.75" customHeight="1">
      <c r="A177" s="8"/>
      <c r="B177" s="8"/>
      <c r="C177" s="30"/>
      <c r="D177" s="8"/>
      <c r="E177" s="8"/>
      <c r="F177" s="8"/>
      <c r="G177" s="8"/>
      <c r="H177" s="8"/>
      <c r="I177" s="8"/>
      <c r="J177" s="8"/>
      <c r="K177" s="8"/>
      <c r="L177" s="8"/>
      <c r="M177" s="8"/>
      <c r="N177" s="8"/>
      <c r="O177" s="8"/>
      <c r="P177" s="8"/>
      <c r="Q177" s="8"/>
      <c r="R177" s="8"/>
    </row>
    <row r="178" spans="1:18" ht="12.75" customHeight="1">
      <c r="A178" s="8"/>
      <c r="B178" s="8"/>
      <c r="C178" s="30"/>
      <c r="D178" s="8"/>
      <c r="E178" s="8"/>
      <c r="F178" s="8"/>
      <c r="G178" s="8"/>
      <c r="H178" s="8"/>
      <c r="I178" s="8"/>
      <c r="J178" s="8"/>
      <c r="K178" s="8"/>
      <c r="L178" s="8"/>
      <c r="M178" s="8"/>
      <c r="N178" s="8"/>
      <c r="O178" s="8"/>
      <c r="P178" s="8"/>
      <c r="Q178" s="8"/>
      <c r="R178" s="8"/>
    </row>
    <row r="179" spans="1:18" ht="12.75" customHeight="1">
      <c r="A179" s="8"/>
      <c r="B179" s="8"/>
      <c r="C179" s="30"/>
      <c r="D179" s="8"/>
      <c r="E179" s="8"/>
      <c r="F179" s="8"/>
      <c r="G179" s="8"/>
      <c r="H179" s="8"/>
      <c r="I179" s="8"/>
      <c r="J179" s="8"/>
      <c r="K179" s="8"/>
      <c r="L179" s="8"/>
      <c r="M179" s="8"/>
      <c r="N179" s="8"/>
      <c r="O179" s="8"/>
      <c r="P179" s="8"/>
      <c r="Q179" s="8"/>
      <c r="R179" s="8"/>
    </row>
    <row r="180" spans="1:18" ht="12.75" customHeight="1">
      <c r="A180" s="8"/>
      <c r="B180" s="8"/>
      <c r="C180" s="30"/>
      <c r="D180" s="8"/>
      <c r="E180" s="8"/>
      <c r="F180" s="8"/>
      <c r="G180" s="8"/>
      <c r="H180" s="8"/>
      <c r="I180" s="8"/>
      <c r="J180" s="8"/>
      <c r="K180" s="8"/>
      <c r="L180" s="8"/>
      <c r="M180" s="8"/>
      <c r="N180" s="8"/>
      <c r="O180" s="8"/>
      <c r="P180" s="8"/>
      <c r="Q180" s="8"/>
      <c r="R180" s="8"/>
    </row>
    <row r="181" spans="1:18" ht="12.75" customHeight="1">
      <c r="A181" s="8"/>
      <c r="B181" s="8"/>
      <c r="C181" s="30"/>
      <c r="D181" s="8"/>
      <c r="E181" s="8"/>
      <c r="F181" s="8"/>
      <c r="G181" s="8"/>
      <c r="H181" s="8"/>
      <c r="I181" s="8"/>
      <c r="J181" s="8"/>
      <c r="K181" s="8"/>
      <c r="L181" s="8"/>
      <c r="M181" s="8"/>
      <c r="N181" s="8"/>
      <c r="O181" s="8"/>
      <c r="P181" s="8"/>
      <c r="Q181" s="8"/>
      <c r="R181" s="8"/>
    </row>
    <row r="182" spans="1:18" ht="12.75" customHeight="1">
      <c r="A182" s="8"/>
      <c r="B182" s="8"/>
      <c r="C182" s="30"/>
      <c r="D182" s="8"/>
      <c r="E182" s="8"/>
      <c r="F182" s="8"/>
      <c r="G182" s="8"/>
      <c r="H182" s="8"/>
      <c r="I182" s="8"/>
      <c r="J182" s="8"/>
      <c r="K182" s="8"/>
      <c r="L182" s="8"/>
      <c r="M182" s="8"/>
      <c r="N182" s="8"/>
      <c r="O182" s="8"/>
      <c r="P182" s="8"/>
      <c r="Q182" s="8"/>
      <c r="R182" s="8"/>
    </row>
    <row r="183" spans="1:18" ht="12.75" customHeight="1">
      <c r="A183" s="8"/>
      <c r="B183" s="8"/>
      <c r="C183" s="30"/>
      <c r="D183" s="8"/>
      <c r="E183" s="8"/>
      <c r="F183" s="8"/>
      <c r="G183" s="8"/>
      <c r="H183" s="8"/>
      <c r="I183" s="8"/>
      <c r="J183" s="8"/>
      <c r="K183" s="8"/>
      <c r="L183" s="8"/>
      <c r="M183" s="8"/>
      <c r="N183" s="8"/>
      <c r="O183" s="8"/>
      <c r="P183" s="8"/>
      <c r="Q183" s="8"/>
      <c r="R183" s="8"/>
    </row>
    <row r="184" spans="1:18" ht="12.75" customHeight="1">
      <c r="A184" s="8"/>
      <c r="B184" s="8"/>
      <c r="C184" s="30"/>
      <c r="D184" s="8"/>
      <c r="E184" s="8"/>
      <c r="F184" s="8"/>
      <c r="G184" s="8"/>
      <c r="H184" s="8"/>
      <c r="I184" s="8"/>
      <c r="J184" s="8"/>
      <c r="K184" s="8"/>
      <c r="L184" s="8"/>
      <c r="M184" s="8"/>
      <c r="N184" s="8"/>
      <c r="O184" s="8"/>
      <c r="P184" s="8"/>
      <c r="Q184" s="8"/>
      <c r="R184" s="8"/>
    </row>
    <row r="185" spans="1:18" ht="12.75" customHeight="1">
      <c r="A185" s="8"/>
      <c r="B185" s="8"/>
      <c r="C185" s="30"/>
      <c r="D185" s="8"/>
      <c r="E185" s="8"/>
      <c r="F185" s="8"/>
      <c r="G185" s="8"/>
      <c r="H185" s="8"/>
      <c r="I185" s="8"/>
      <c r="J185" s="8"/>
      <c r="K185" s="8"/>
      <c r="L185" s="8"/>
      <c r="M185" s="8"/>
      <c r="N185" s="8"/>
      <c r="O185" s="8"/>
      <c r="P185" s="8"/>
      <c r="Q185" s="8"/>
      <c r="R185" s="8"/>
    </row>
    <row r="186" spans="1:18" ht="12.75" customHeight="1">
      <c r="A186" s="8"/>
      <c r="B186" s="8"/>
      <c r="C186" s="30"/>
      <c r="D186" s="8"/>
      <c r="E186" s="8"/>
      <c r="F186" s="8"/>
      <c r="G186" s="8"/>
      <c r="H186" s="8"/>
      <c r="I186" s="8"/>
      <c r="J186" s="8"/>
      <c r="K186" s="8"/>
      <c r="L186" s="8"/>
      <c r="M186" s="8"/>
      <c r="N186" s="8"/>
      <c r="O186" s="8"/>
      <c r="P186" s="8"/>
      <c r="Q186" s="8"/>
      <c r="R186" s="8"/>
    </row>
    <row r="187" spans="1:18" ht="12.75" customHeight="1">
      <c r="A187" s="8"/>
      <c r="B187" s="8"/>
      <c r="C187" s="30"/>
      <c r="D187" s="8"/>
      <c r="E187" s="8"/>
      <c r="F187" s="8"/>
      <c r="G187" s="8"/>
      <c r="H187" s="8"/>
      <c r="I187" s="8"/>
      <c r="J187" s="8"/>
      <c r="K187" s="8"/>
      <c r="L187" s="8"/>
      <c r="M187" s="8"/>
      <c r="N187" s="8"/>
      <c r="O187" s="8"/>
      <c r="P187" s="8"/>
      <c r="Q187" s="8"/>
      <c r="R187" s="8"/>
    </row>
    <row r="188" spans="1:18" ht="12.75" customHeight="1">
      <c r="A188" s="8"/>
      <c r="B188" s="8"/>
      <c r="C188" s="30"/>
      <c r="D188" s="8"/>
      <c r="E188" s="8"/>
      <c r="F188" s="8"/>
      <c r="G188" s="8"/>
      <c r="H188" s="8"/>
      <c r="I188" s="8"/>
      <c r="J188" s="8"/>
      <c r="K188" s="8"/>
      <c r="L188" s="8"/>
      <c r="M188" s="8"/>
      <c r="N188" s="8"/>
      <c r="O188" s="8"/>
      <c r="P188" s="8"/>
      <c r="Q188" s="8"/>
      <c r="R188" s="8"/>
    </row>
    <row r="189" spans="1:18" ht="12.75" customHeight="1">
      <c r="A189" s="8"/>
      <c r="B189" s="8"/>
      <c r="C189" s="30"/>
      <c r="D189" s="8"/>
      <c r="E189" s="8"/>
      <c r="F189" s="8"/>
      <c r="G189" s="8"/>
      <c r="H189" s="8"/>
      <c r="I189" s="8"/>
      <c r="J189" s="8"/>
      <c r="K189" s="8"/>
      <c r="L189" s="8"/>
      <c r="M189" s="8"/>
      <c r="N189" s="8"/>
      <c r="O189" s="8"/>
      <c r="P189" s="8"/>
      <c r="Q189" s="8"/>
      <c r="R189" s="8"/>
    </row>
    <row r="190" spans="1:18" ht="12.75" customHeight="1">
      <c r="A190" s="8"/>
      <c r="B190" s="8"/>
      <c r="C190" s="30"/>
      <c r="D190" s="8"/>
      <c r="E190" s="8"/>
      <c r="F190" s="8"/>
      <c r="G190" s="8"/>
      <c r="H190" s="8"/>
      <c r="I190" s="8"/>
      <c r="J190" s="8"/>
      <c r="K190" s="8"/>
      <c r="L190" s="8"/>
      <c r="M190" s="8"/>
      <c r="N190" s="8"/>
      <c r="O190" s="8"/>
      <c r="P190" s="8"/>
      <c r="Q190" s="8"/>
      <c r="R190" s="8"/>
    </row>
    <row r="191" spans="1:18" ht="12.75" customHeight="1">
      <c r="A191" s="8"/>
      <c r="B191" s="8"/>
      <c r="C191" s="30"/>
      <c r="D191" s="8"/>
      <c r="E191" s="8"/>
      <c r="F191" s="8"/>
      <c r="G191" s="8"/>
      <c r="H191" s="8"/>
      <c r="I191" s="8"/>
      <c r="J191" s="8"/>
      <c r="K191" s="8"/>
      <c r="L191" s="8"/>
      <c r="M191" s="8"/>
      <c r="N191" s="8"/>
      <c r="O191" s="8"/>
      <c r="P191" s="8"/>
      <c r="Q191" s="8"/>
      <c r="R191" s="8"/>
    </row>
    <row r="192" spans="1:18" ht="12.75" customHeight="1">
      <c r="A192" s="8"/>
      <c r="B192" s="8"/>
      <c r="C192" s="30"/>
      <c r="D192" s="8"/>
      <c r="E192" s="8"/>
      <c r="F192" s="8"/>
      <c r="G192" s="8"/>
      <c r="H192" s="8"/>
      <c r="I192" s="8"/>
      <c r="J192" s="8"/>
      <c r="K192" s="8"/>
      <c r="L192" s="8"/>
      <c r="M192" s="8"/>
      <c r="N192" s="8"/>
      <c r="O192" s="8"/>
      <c r="P192" s="8"/>
      <c r="Q192" s="8"/>
      <c r="R192" s="8"/>
    </row>
    <row r="193" spans="1:18" ht="12.75" customHeight="1">
      <c r="A193" s="8"/>
      <c r="B193" s="8"/>
      <c r="C193" s="30"/>
      <c r="D193" s="8"/>
      <c r="E193" s="8"/>
      <c r="F193" s="8"/>
      <c r="G193" s="8"/>
      <c r="H193" s="8"/>
      <c r="I193" s="8"/>
      <c r="J193" s="8"/>
      <c r="K193" s="8"/>
      <c r="L193" s="8"/>
      <c r="M193" s="8"/>
      <c r="N193" s="8"/>
      <c r="O193" s="8"/>
      <c r="P193" s="8"/>
      <c r="Q193" s="8"/>
      <c r="R193" s="8"/>
    </row>
    <row r="194" spans="1:18" ht="12.75" customHeight="1">
      <c r="A194" s="8"/>
      <c r="B194" s="8"/>
      <c r="C194" s="30"/>
      <c r="D194" s="8"/>
      <c r="E194" s="8"/>
      <c r="F194" s="8"/>
      <c r="G194" s="8"/>
      <c r="H194" s="8"/>
      <c r="I194" s="8"/>
      <c r="J194" s="8"/>
      <c r="K194" s="8"/>
      <c r="L194" s="8"/>
      <c r="M194" s="8"/>
      <c r="N194" s="8"/>
      <c r="O194" s="8"/>
      <c r="P194" s="8"/>
      <c r="Q194" s="8"/>
      <c r="R194" s="8"/>
    </row>
    <row r="195" spans="1:18" ht="12.75" customHeight="1">
      <c r="A195" s="8"/>
      <c r="B195" s="8"/>
      <c r="C195" s="30"/>
      <c r="D195" s="8"/>
      <c r="E195" s="8"/>
      <c r="F195" s="8"/>
      <c r="G195" s="8"/>
      <c r="H195" s="8"/>
      <c r="I195" s="8"/>
      <c r="J195" s="8"/>
      <c r="K195" s="8"/>
      <c r="L195" s="8"/>
      <c r="M195" s="8"/>
      <c r="N195" s="8"/>
      <c r="O195" s="8"/>
      <c r="P195" s="8"/>
      <c r="Q195" s="8"/>
      <c r="R195" s="8"/>
    </row>
    <row r="196" spans="1:18" ht="12.75" customHeight="1">
      <c r="A196" s="8"/>
      <c r="B196" s="8"/>
      <c r="C196" s="30"/>
      <c r="D196" s="8"/>
      <c r="E196" s="8"/>
      <c r="F196" s="8"/>
      <c r="G196" s="8"/>
      <c r="H196" s="8"/>
      <c r="I196" s="8"/>
      <c r="J196" s="8"/>
      <c r="K196" s="8"/>
      <c r="L196" s="8"/>
      <c r="M196" s="8"/>
      <c r="N196" s="8"/>
      <c r="O196" s="8"/>
      <c r="P196" s="8"/>
      <c r="Q196" s="8"/>
      <c r="R196" s="8"/>
    </row>
    <row r="197" spans="1:18" ht="12.75" customHeight="1">
      <c r="A197" s="8"/>
      <c r="B197" s="8"/>
      <c r="C197" s="30"/>
      <c r="D197" s="8"/>
      <c r="E197" s="8"/>
      <c r="F197" s="8"/>
      <c r="G197" s="8"/>
      <c r="H197" s="8"/>
      <c r="I197" s="8"/>
      <c r="J197" s="8"/>
      <c r="K197" s="8"/>
      <c r="L197" s="8"/>
      <c r="M197" s="8"/>
      <c r="N197" s="8"/>
      <c r="O197" s="8"/>
      <c r="P197" s="8"/>
      <c r="Q197" s="8"/>
      <c r="R197" s="8"/>
    </row>
    <row r="198" spans="1:18" ht="12.75" customHeight="1">
      <c r="A198" s="8"/>
      <c r="B198" s="8"/>
      <c r="C198" s="30"/>
      <c r="D198" s="8"/>
      <c r="E198" s="8"/>
      <c r="F198" s="8"/>
      <c r="G198" s="8"/>
      <c r="H198" s="8"/>
      <c r="I198" s="8"/>
      <c r="J198" s="8"/>
      <c r="K198" s="8"/>
      <c r="L198" s="8"/>
      <c r="M198" s="8"/>
      <c r="N198" s="8"/>
      <c r="O198" s="8"/>
      <c r="P198" s="8"/>
      <c r="Q198" s="8"/>
      <c r="R198" s="8"/>
    </row>
    <row r="199" spans="1:18" ht="12.75" customHeight="1">
      <c r="A199" s="8"/>
      <c r="B199" s="8"/>
      <c r="C199" s="30"/>
      <c r="D199" s="8"/>
      <c r="E199" s="8"/>
      <c r="F199" s="8"/>
      <c r="G199" s="8"/>
      <c r="H199" s="8"/>
      <c r="I199" s="8"/>
      <c r="J199" s="8"/>
      <c r="K199" s="8"/>
      <c r="L199" s="8"/>
      <c r="M199" s="8"/>
      <c r="N199" s="8"/>
      <c r="O199" s="8"/>
      <c r="P199" s="8"/>
      <c r="Q199" s="8"/>
      <c r="R199" s="8"/>
    </row>
    <row r="200" spans="1:18" ht="12.75" customHeight="1">
      <c r="A200" s="8"/>
      <c r="B200" s="8"/>
      <c r="C200" s="30"/>
      <c r="D200" s="8"/>
      <c r="E200" s="8"/>
      <c r="F200" s="8"/>
      <c r="G200" s="8"/>
      <c r="H200" s="8"/>
      <c r="I200" s="8"/>
      <c r="J200" s="8"/>
      <c r="K200" s="8"/>
      <c r="L200" s="8"/>
      <c r="M200" s="8"/>
      <c r="N200" s="8"/>
      <c r="O200" s="8"/>
      <c r="P200" s="8"/>
      <c r="Q200" s="8"/>
      <c r="R200" s="8"/>
    </row>
    <row r="201" spans="1:18" ht="12.75" customHeight="1">
      <c r="A201" s="8"/>
      <c r="B201" s="8"/>
      <c r="C201" s="30"/>
      <c r="D201" s="8"/>
      <c r="E201" s="8"/>
      <c r="F201" s="8"/>
      <c r="G201" s="8"/>
      <c r="H201" s="8"/>
      <c r="I201" s="8"/>
      <c r="J201" s="8"/>
      <c r="K201" s="8"/>
      <c r="L201" s="8"/>
      <c r="M201" s="8"/>
      <c r="N201" s="8"/>
      <c r="O201" s="8"/>
      <c r="P201" s="8"/>
      <c r="Q201" s="8"/>
      <c r="R201" s="8"/>
    </row>
    <row r="202" spans="1:18" ht="12.75" customHeight="1">
      <c r="A202" s="8"/>
      <c r="B202" s="8"/>
      <c r="C202" s="30"/>
      <c r="D202" s="8"/>
      <c r="E202" s="8"/>
      <c r="F202" s="8"/>
      <c r="G202" s="8"/>
      <c r="H202" s="8"/>
      <c r="I202" s="8"/>
      <c r="J202" s="8"/>
      <c r="K202" s="8"/>
      <c r="L202" s="8"/>
      <c r="M202" s="8"/>
      <c r="N202" s="8"/>
      <c r="O202" s="8"/>
      <c r="P202" s="8"/>
      <c r="Q202" s="8"/>
      <c r="R202" s="8"/>
    </row>
    <row r="203" spans="1:18" ht="12.75" customHeight="1">
      <c r="A203" s="8"/>
      <c r="B203" s="8"/>
      <c r="C203" s="30"/>
      <c r="D203" s="8"/>
      <c r="E203" s="8"/>
      <c r="F203" s="8"/>
      <c r="G203" s="8"/>
      <c r="H203" s="8"/>
      <c r="I203" s="8"/>
      <c r="J203" s="8"/>
      <c r="K203" s="8"/>
      <c r="L203" s="8"/>
      <c r="M203" s="8"/>
      <c r="N203" s="8"/>
      <c r="O203" s="8"/>
      <c r="P203" s="8"/>
      <c r="Q203" s="8"/>
      <c r="R203" s="8"/>
    </row>
    <row r="204" spans="1:18" ht="12.75" customHeight="1">
      <c r="A204" s="8"/>
      <c r="B204" s="8"/>
      <c r="C204" s="30"/>
      <c r="D204" s="8"/>
      <c r="E204" s="8"/>
      <c r="F204" s="8"/>
      <c r="G204" s="8"/>
      <c r="H204" s="8"/>
      <c r="I204" s="8"/>
      <c r="J204" s="8"/>
      <c r="K204" s="8"/>
      <c r="L204" s="8"/>
      <c r="M204" s="8"/>
      <c r="N204" s="8"/>
      <c r="O204" s="8"/>
      <c r="P204" s="8"/>
      <c r="Q204" s="8"/>
      <c r="R204" s="8"/>
    </row>
    <row r="205" spans="1:18" ht="12.75" customHeight="1">
      <c r="A205" s="8"/>
      <c r="B205" s="8"/>
      <c r="C205" s="30"/>
      <c r="D205" s="8"/>
      <c r="E205" s="8"/>
      <c r="F205" s="8"/>
      <c r="G205" s="8"/>
      <c r="H205" s="8"/>
      <c r="I205" s="8"/>
      <c r="J205" s="8"/>
      <c r="K205" s="8"/>
      <c r="L205" s="8"/>
      <c r="M205" s="8"/>
      <c r="N205" s="8"/>
      <c r="O205" s="8"/>
      <c r="P205" s="8"/>
      <c r="Q205" s="8"/>
      <c r="R205" s="8"/>
    </row>
    <row r="206" spans="1:18" ht="12.75" customHeight="1">
      <c r="A206" s="8"/>
      <c r="B206" s="8"/>
      <c r="C206" s="30"/>
      <c r="D206" s="8"/>
      <c r="E206" s="8"/>
      <c r="F206" s="8"/>
      <c r="G206" s="8"/>
      <c r="H206" s="8"/>
      <c r="I206" s="8"/>
      <c r="J206" s="8"/>
      <c r="K206" s="8"/>
      <c r="L206" s="8"/>
      <c r="M206" s="8"/>
      <c r="N206" s="8"/>
      <c r="O206" s="8"/>
      <c r="P206" s="8"/>
      <c r="Q206" s="8"/>
      <c r="R206" s="8"/>
    </row>
    <row r="207" spans="1:18" ht="12.75" customHeight="1">
      <c r="A207" s="8"/>
      <c r="B207" s="8"/>
      <c r="C207" s="30"/>
      <c r="D207" s="8"/>
      <c r="E207" s="8"/>
      <c r="F207" s="8"/>
      <c r="G207" s="8"/>
      <c r="H207" s="8"/>
      <c r="I207" s="8"/>
      <c r="J207" s="8"/>
      <c r="K207" s="8"/>
      <c r="L207" s="8"/>
      <c r="M207" s="8"/>
      <c r="N207" s="8"/>
      <c r="O207" s="8"/>
      <c r="P207" s="8"/>
      <c r="Q207" s="8"/>
      <c r="R207" s="8"/>
    </row>
    <row r="208" spans="1:18" ht="12.75" customHeight="1">
      <c r="A208" s="8"/>
      <c r="B208" s="8"/>
      <c r="C208" s="30"/>
      <c r="D208" s="8"/>
      <c r="E208" s="8"/>
      <c r="F208" s="8"/>
      <c r="G208" s="8"/>
      <c r="H208" s="8"/>
      <c r="I208" s="8"/>
      <c r="J208" s="8"/>
      <c r="K208" s="8"/>
      <c r="L208" s="8"/>
      <c r="M208" s="8"/>
      <c r="N208" s="8"/>
      <c r="O208" s="8"/>
      <c r="P208" s="8"/>
      <c r="Q208" s="8"/>
      <c r="R208" s="8"/>
    </row>
    <row r="209" spans="1:18" ht="12.75" customHeight="1">
      <c r="A209" s="8"/>
      <c r="B209" s="8"/>
      <c r="C209" s="30"/>
      <c r="D209" s="8"/>
      <c r="E209" s="8"/>
      <c r="F209" s="8"/>
      <c r="G209" s="8"/>
      <c r="H209" s="8"/>
      <c r="I209" s="8"/>
      <c r="J209" s="8"/>
      <c r="K209" s="8"/>
      <c r="L209" s="8"/>
      <c r="M209" s="8"/>
      <c r="N209" s="8"/>
      <c r="O209" s="8"/>
      <c r="P209" s="8"/>
      <c r="Q209" s="8"/>
      <c r="R209" s="8"/>
    </row>
    <row r="210" spans="1:18" ht="12.75" customHeight="1">
      <c r="A210" s="8"/>
      <c r="B210" s="8"/>
      <c r="C210" s="30"/>
      <c r="D210" s="8"/>
      <c r="E210" s="8"/>
      <c r="F210" s="8"/>
      <c r="G210" s="8"/>
      <c r="H210" s="8"/>
      <c r="I210" s="8"/>
      <c r="J210" s="8"/>
      <c r="K210" s="8"/>
      <c r="L210" s="8"/>
      <c r="M210" s="8"/>
      <c r="N210" s="8"/>
      <c r="O210" s="8"/>
      <c r="P210" s="8"/>
      <c r="Q210" s="8"/>
      <c r="R210" s="8"/>
    </row>
    <row r="211" spans="1:18" ht="12.75" customHeight="1">
      <c r="A211" s="8"/>
      <c r="B211" s="8"/>
      <c r="C211" s="30"/>
      <c r="D211" s="8"/>
      <c r="E211" s="8"/>
      <c r="F211" s="8"/>
      <c r="G211" s="8"/>
      <c r="H211" s="8"/>
      <c r="I211" s="8"/>
      <c r="J211" s="8"/>
      <c r="K211" s="8"/>
      <c r="L211" s="8"/>
      <c r="M211" s="8"/>
      <c r="N211" s="8"/>
      <c r="O211" s="8"/>
      <c r="P211" s="8"/>
      <c r="Q211" s="8"/>
      <c r="R211" s="8"/>
    </row>
    <row r="212" spans="1:18" ht="12.75" customHeight="1">
      <c r="A212" s="8"/>
      <c r="B212" s="8"/>
      <c r="C212" s="30"/>
      <c r="D212" s="8"/>
      <c r="E212" s="8"/>
      <c r="F212" s="8"/>
      <c r="G212" s="8"/>
      <c r="H212" s="8"/>
      <c r="I212" s="8"/>
      <c r="J212" s="8"/>
      <c r="K212" s="8"/>
      <c r="L212" s="8"/>
      <c r="M212" s="8"/>
      <c r="N212" s="8"/>
      <c r="O212" s="8"/>
      <c r="P212" s="8"/>
      <c r="Q212" s="8"/>
      <c r="R212" s="8"/>
    </row>
    <row r="213" spans="1:18" ht="12.75" customHeight="1">
      <c r="A213" s="8"/>
      <c r="B213" s="8"/>
      <c r="C213" s="30"/>
      <c r="D213" s="8"/>
      <c r="E213" s="8"/>
      <c r="F213" s="8"/>
      <c r="G213" s="8"/>
      <c r="H213" s="8"/>
      <c r="I213" s="8"/>
      <c r="J213" s="8"/>
      <c r="K213" s="8"/>
      <c r="L213" s="8"/>
      <c r="M213" s="8"/>
      <c r="N213" s="8"/>
      <c r="O213" s="8"/>
      <c r="P213" s="8"/>
      <c r="Q213" s="8"/>
      <c r="R213" s="8"/>
    </row>
    <row r="214" spans="1:18" ht="12.75" customHeight="1">
      <c r="A214" s="8"/>
      <c r="B214" s="8"/>
      <c r="C214" s="30"/>
      <c r="D214" s="8"/>
      <c r="E214" s="8"/>
      <c r="F214" s="8"/>
      <c r="G214" s="8"/>
      <c r="H214" s="8"/>
      <c r="I214" s="8"/>
      <c r="J214" s="8"/>
      <c r="K214" s="8"/>
      <c r="L214" s="8"/>
      <c r="M214" s="8"/>
      <c r="N214" s="8"/>
      <c r="O214" s="8"/>
      <c r="P214" s="8"/>
      <c r="Q214" s="8"/>
      <c r="R214" s="8"/>
    </row>
    <row r="215" spans="1:18" ht="12.75" customHeight="1">
      <c r="A215" s="8"/>
      <c r="B215" s="8"/>
      <c r="C215" s="30"/>
      <c r="D215" s="8"/>
      <c r="E215" s="8"/>
      <c r="F215" s="8"/>
      <c r="G215" s="8"/>
      <c r="H215" s="8"/>
      <c r="I215" s="8"/>
      <c r="J215" s="8"/>
      <c r="K215" s="8"/>
      <c r="L215" s="8"/>
      <c r="M215" s="8"/>
      <c r="N215" s="8"/>
      <c r="O215" s="8"/>
      <c r="P215" s="8"/>
      <c r="Q215" s="8"/>
      <c r="R215" s="8"/>
    </row>
    <row r="216" spans="1:18" ht="12.75" customHeight="1">
      <c r="A216" s="8"/>
      <c r="B216" s="8"/>
      <c r="C216" s="30"/>
      <c r="D216" s="8"/>
      <c r="E216" s="8"/>
      <c r="F216" s="8"/>
      <c r="G216" s="8"/>
      <c r="H216" s="8"/>
      <c r="I216" s="8"/>
      <c r="J216" s="8"/>
      <c r="K216" s="8"/>
      <c r="L216" s="8"/>
      <c r="M216" s="8"/>
      <c r="N216" s="8"/>
      <c r="O216" s="8"/>
      <c r="P216" s="8"/>
      <c r="Q216" s="8"/>
      <c r="R216" s="8"/>
    </row>
    <row r="217" spans="1:18" ht="12.75" customHeight="1">
      <c r="A217" s="8"/>
      <c r="B217" s="8"/>
      <c r="C217" s="30"/>
      <c r="D217" s="8"/>
      <c r="E217" s="8"/>
      <c r="F217" s="8"/>
      <c r="G217" s="8"/>
      <c r="H217" s="8"/>
      <c r="I217" s="8"/>
      <c r="J217" s="8"/>
      <c r="K217" s="8"/>
      <c r="L217" s="8"/>
      <c r="M217" s="8"/>
      <c r="N217" s="8"/>
      <c r="O217" s="8"/>
      <c r="P217" s="8"/>
      <c r="Q217" s="8"/>
      <c r="R217" s="8"/>
    </row>
    <row r="218" spans="1:18" ht="12.75" customHeight="1">
      <c r="A218" s="8"/>
      <c r="B218" s="8"/>
      <c r="C218" s="30"/>
      <c r="D218" s="8"/>
      <c r="E218" s="8"/>
      <c r="F218" s="8"/>
      <c r="G218" s="8"/>
      <c r="H218" s="8"/>
      <c r="I218" s="8"/>
      <c r="J218" s="8"/>
      <c r="K218" s="8"/>
      <c r="L218" s="8"/>
      <c r="M218" s="8"/>
      <c r="N218" s="8"/>
      <c r="O218" s="8"/>
      <c r="P218" s="8"/>
      <c r="Q218" s="8"/>
      <c r="R218" s="8"/>
    </row>
    <row r="219" spans="1:18" ht="12.75" customHeight="1">
      <c r="A219" s="8"/>
      <c r="B219" s="8"/>
      <c r="C219" s="30"/>
      <c r="D219" s="8"/>
      <c r="E219" s="8"/>
      <c r="F219" s="8"/>
      <c r="G219" s="8"/>
      <c r="H219" s="8"/>
      <c r="I219" s="8"/>
      <c r="J219" s="8"/>
      <c r="K219" s="8"/>
      <c r="L219" s="8"/>
      <c r="M219" s="8"/>
      <c r="N219" s="8"/>
      <c r="O219" s="8"/>
      <c r="P219" s="8"/>
      <c r="Q219" s="8"/>
      <c r="R219" s="8"/>
    </row>
    <row r="220" spans="1:18" ht="12.75" customHeight="1">
      <c r="A220" s="8"/>
      <c r="B220" s="8"/>
      <c r="C220" s="30"/>
      <c r="D220" s="8"/>
      <c r="E220" s="8"/>
      <c r="F220" s="8"/>
      <c r="G220" s="8"/>
      <c r="H220" s="8"/>
      <c r="I220" s="8"/>
      <c r="J220" s="8"/>
      <c r="K220" s="8"/>
      <c r="L220" s="8"/>
      <c r="M220" s="8"/>
      <c r="N220" s="8"/>
      <c r="O220" s="8"/>
      <c r="P220" s="8"/>
      <c r="Q220" s="8"/>
      <c r="R220" s="8"/>
    </row>
    <row r="221" spans="1:18" ht="12.75" customHeight="1">
      <c r="A221" s="8"/>
      <c r="B221" s="8"/>
      <c r="C221" s="30"/>
      <c r="D221" s="8"/>
      <c r="E221" s="8"/>
      <c r="F221" s="8"/>
      <c r="G221" s="8"/>
      <c r="H221" s="8"/>
      <c r="I221" s="8"/>
      <c r="J221" s="8"/>
      <c r="K221" s="8"/>
      <c r="L221" s="8"/>
      <c r="M221" s="8"/>
      <c r="N221" s="8"/>
      <c r="O221" s="8"/>
      <c r="P221" s="8"/>
      <c r="Q221" s="8"/>
      <c r="R221" s="8"/>
    </row>
    <row r="222" spans="1:18" ht="12.75" customHeight="1">
      <c r="A222" s="8"/>
      <c r="B222" s="8"/>
      <c r="C222" s="30"/>
      <c r="D222" s="8"/>
      <c r="E222" s="8"/>
      <c r="F222" s="8"/>
      <c r="G222" s="8"/>
      <c r="H222" s="8"/>
      <c r="I222" s="8"/>
      <c r="J222" s="8"/>
      <c r="K222" s="8"/>
      <c r="L222" s="8"/>
      <c r="M222" s="8"/>
      <c r="N222" s="8"/>
      <c r="O222" s="8"/>
      <c r="P222" s="8"/>
      <c r="Q222" s="8"/>
      <c r="R222" s="8"/>
    </row>
    <row r="223" spans="1:18" ht="12.75" customHeight="1">
      <c r="A223" s="8"/>
      <c r="B223" s="8"/>
      <c r="C223" s="30"/>
      <c r="D223" s="8"/>
      <c r="E223" s="8"/>
      <c r="F223" s="8"/>
      <c r="G223" s="8"/>
      <c r="H223" s="8"/>
      <c r="I223" s="8"/>
      <c r="J223" s="8"/>
      <c r="K223" s="8"/>
      <c r="L223" s="8"/>
      <c r="M223" s="8"/>
      <c r="N223" s="8"/>
      <c r="O223" s="8"/>
      <c r="P223" s="8"/>
      <c r="Q223" s="8"/>
      <c r="R223" s="8"/>
    </row>
    <row r="224" spans="1:18" ht="12.75" customHeight="1">
      <c r="A224" s="8"/>
      <c r="B224" s="8"/>
      <c r="C224" s="30"/>
      <c r="D224" s="8"/>
      <c r="E224" s="8"/>
      <c r="F224" s="8"/>
      <c r="G224" s="8"/>
      <c r="H224" s="8"/>
      <c r="I224" s="8"/>
      <c r="J224" s="8"/>
      <c r="K224" s="8"/>
      <c r="L224" s="8"/>
      <c r="M224" s="8"/>
      <c r="N224" s="8"/>
      <c r="O224" s="8"/>
      <c r="P224" s="8"/>
      <c r="Q224" s="8"/>
      <c r="R224" s="8"/>
    </row>
    <row r="225" spans="1:18" ht="12.75" customHeight="1">
      <c r="A225" s="8"/>
      <c r="B225" s="8"/>
      <c r="C225" s="30"/>
      <c r="D225" s="8"/>
      <c r="E225" s="8"/>
      <c r="F225" s="8"/>
      <c r="G225" s="8"/>
      <c r="H225" s="8"/>
      <c r="I225" s="8"/>
      <c r="J225" s="8"/>
      <c r="K225" s="8"/>
      <c r="L225" s="8"/>
      <c r="M225" s="8"/>
      <c r="N225" s="8"/>
      <c r="O225" s="8"/>
      <c r="P225" s="8"/>
      <c r="Q225" s="8"/>
      <c r="R225" s="8"/>
    </row>
    <row r="226" spans="1:18" ht="12.75" customHeight="1">
      <c r="A226" s="8"/>
      <c r="B226" s="8"/>
      <c r="C226" s="30"/>
      <c r="D226" s="8"/>
      <c r="E226" s="8"/>
      <c r="F226" s="8"/>
      <c r="G226" s="8"/>
      <c r="H226" s="8"/>
      <c r="I226" s="8"/>
      <c r="J226" s="8"/>
      <c r="K226" s="8"/>
      <c r="L226" s="8"/>
      <c r="M226" s="8"/>
      <c r="N226" s="8"/>
      <c r="O226" s="8"/>
      <c r="P226" s="8"/>
      <c r="Q226" s="8"/>
      <c r="R226" s="8"/>
    </row>
    <row r="227" spans="1:18" ht="12.75" customHeight="1">
      <c r="A227" s="8"/>
      <c r="B227" s="8"/>
      <c r="C227" s="30"/>
      <c r="D227" s="8"/>
      <c r="E227" s="8"/>
      <c r="F227" s="8"/>
      <c r="G227" s="8"/>
      <c r="H227" s="8"/>
      <c r="I227" s="8"/>
      <c r="J227" s="8"/>
      <c r="K227" s="8"/>
      <c r="L227" s="8"/>
      <c r="M227" s="8"/>
      <c r="N227" s="8"/>
      <c r="O227" s="8"/>
      <c r="P227" s="8"/>
      <c r="Q227" s="8"/>
      <c r="R227" s="8"/>
    </row>
    <row r="228" spans="1:18" ht="12.75" customHeight="1">
      <c r="A228" s="8"/>
      <c r="B228" s="8"/>
      <c r="C228" s="30"/>
      <c r="D228" s="8"/>
      <c r="E228" s="8"/>
      <c r="F228" s="8"/>
      <c r="G228" s="8"/>
      <c r="H228" s="8"/>
      <c r="I228" s="8"/>
      <c r="J228" s="8"/>
      <c r="K228" s="8"/>
      <c r="L228" s="8"/>
      <c r="M228" s="8"/>
      <c r="N228" s="8"/>
      <c r="O228" s="8"/>
      <c r="P228" s="8"/>
      <c r="Q228" s="8"/>
      <c r="R228" s="8"/>
    </row>
    <row r="229" spans="1:18" ht="12.75" customHeight="1">
      <c r="A229" s="8"/>
      <c r="B229" s="8"/>
      <c r="C229" s="30"/>
      <c r="D229" s="8"/>
      <c r="E229" s="8"/>
      <c r="F229" s="8"/>
      <c r="G229" s="8"/>
      <c r="H229" s="8"/>
      <c r="I229" s="8"/>
      <c r="J229" s="8"/>
      <c r="K229" s="8"/>
      <c r="L229" s="8"/>
      <c r="M229" s="8"/>
      <c r="N229" s="8"/>
      <c r="O229" s="8"/>
      <c r="P229" s="8"/>
      <c r="Q229" s="8"/>
      <c r="R229" s="8"/>
    </row>
    <row r="230" spans="1:18" ht="12.75" customHeight="1">
      <c r="A230" s="8"/>
      <c r="B230" s="8"/>
      <c r="C230" s="30"/>
      <c r="D230" s="8"/>
      <c r="E230" s="8"/>
      <c r="F230" s="8"/>
      <c r="G230" s="8"/>
      <c r="H230" s="8"/>
      <c r="I230" s="8"/>
      <c r="J230" s="8"/>
      <c r="K230" s="8"/>
      <c r="L230" s="8"/>
      <c r="M230" s="8"/>
      <c r="N230" s="8"/>
      <c r="O230" s="8"/>
      <c r="P230" s="8"/>
      <c r="Q230" s="8"/>
      <c r="R230" s="8"/>
    </row>
    <row r="231" spans="1:18" ht="12.75" customHeight="1">
      <c r="A231" s="8"/>
      <c r="B231" s="8"/>
      <c r="C231" s="30"/>
      <c r="D231" s="8"/>
      <c r="E231" s="8"/>
      <c r="F231" s="8"/>
      <c r="G231" s="8"/>
      <c r="H231" s="8"/>
      <c r="I231" s="8"/>
      <c r="J231" s="8"/>
      <c r="K231" s="8"/>
      <c r="L231" s="8"/>
      <c r="M231" s="8"/>
      <c r="N231" s="8"/>
      <c r="O231" s="8"/>
      <c r="P231" s="8"/>
      <c r="Q231" s="8"/>
      <c r="R231" s="8"/>
    </row>
    <row r="232" spans="1:18" ht="12.75" customHeight="1">
      <c r="A232" s="8"/>
      <c r="B232" s="8"/>
      <c r="C232" s="30"/>
      <c r="D232" s="8"/>
      <c r="E232" s="8"/>
      <c r="F232" s="8"/>
      <c r="G232" s="8"/>
      <c r="H232" s="8"/>
      <c r="I232" s="8"/>
      <c r="J232" s="8"/>
      <c r="K232" s="8"/>
      <c r="L232" s="8"/>
      <c r="M232" s="8"/>
      <c r="N232" s="8"/>
      <c r="O232" s="8"/>
      <c r="P232" s="8"/>
      <c r="Q232" s="8"/>
      <c r="R232" s="8"/>
    </row>
    <row r="233" spans="1:18" ht="12.75" customHeight="1">
      <c r="A233" s="8"/>
      <c r="B233" s="8"/>
      <c r="C233" s="30"/>
      <c r="D233" s="8"/>
      <c r="E233" s="8"/>
      <c r="F233" s="8"/>
      <c r="G233" s="8"/>
      <c r="H233" s="8"/>
      <c r="I233" s="8"/>
      <c r="J233" s="8"/>
      <c r="K233" s="8"/>
      <c r="L233" s="8"/>
      <c r="M233" s="8"/>
      <c r="N233" s="8"/>
      <c r="O233" s="8"/>
      <c r="P233" s="8"/>
      <c r="Q233" s="8"/>
      <c r="R233" s="8"/>
    </row>
    <row r="234" spans="1:18" ht="12.75" customHeight="1">
      <c r="A234" s="8"/>
      <c r="B234" s="8"/>
      <c r="C234" s="30"/>
      <c r="D234" s="8"/>
      <c r="E234" s="8"/>
      <c r="F234" s="8"/>
      <c r="G234" s="8"/>
      <c r="H234" s="8"/>
      <c r="I234" s="8"/>
      <c r="J234" s="8"/>
      <c r="K234" s="8"/>
      <c r="L234" s="8"/>
      <c r="M234" s="8"/>
      <c r="N234" s="8"/>
      <c r="O234" s="8"/>
      <c r="P234" s="8"/>
      <c r="Q234" s="8"/>
      <c r="R234" s="8"/>
    </row>
    <row r="235" spans="1:18" ht="12.75" customHeight="1">
      <c r="A235" s="8"/>
      <c r="B235" s="8"/>
      <c r="C235" s="30"/>
      <c r="D235" s="8"/>
      <c r="E235" s="8"/>
      <c r="F235" s="8"/>
      <c r="G235" s="8"/>
      <c r="H235" s="8"/>
      <c r="I235" s="8"/>
      <c r="J235" s="8"/>
      <c r="K235" s="8"/>
      <c r="L235" s="8"/>
      <c r="M235" s="8"/>
      <c r="N235" s="8"/>
      <c r="O235" s="8"/>
      <c r="P235" s="8"/>
      <c r="Q235" s="8"/>
      <c r="R235" s="8"/>
    </row>
    <row r="236" spans="1:18" ht="12.75" customHeight="1">
      <c r="A236" s="8"/>
      <c r="B236" s="8"/>
      <c r="C236" s="30"/>
      <c r="D236" s="8"/>
      <c r="E236" s="8"/>
      <c r="F236" s="8"/>
      <c r="G236" s="8"/>
      <c r="H236" s="8"/>
      <c r="I236" s="8"/>
      <c r="J236" s="8"/>
      <c r="K236" s="8"/>
      <c r="L236" s="8"/>
      <c r="M236" s="8"/>
      <c r="N236" s="8"/>
      <c r="O236" s="8"/>
      <c r="P236" s="8"/>
      <c r="Q236" s="8"/>
      <c r="R236" s="8"/>
    </row>
    <row r="237" spans="1:18" ht="12.75" customHeight="1">
      <c r="A237" s="8"/>
      <c r="B237" s="8"/>
      <c r="C237" s="30"/>
      <c r="D237" s="8"/>
      <c r="E237" s="8"/>
      <c r="F237" s="8"/>
      <c r="G237" s="8"/>
      <c r="H237" s="8"/>
      <c r="I237" s="8"/>
      <c r="J237" s="8"/>
      <c r="K237" s="8"/>
      <c r="L237" s="8"/>
      <c r="M237" s="8"/>
      <c r="N237" s="8"/>
      <c r="O237" s="8"/>
      <c r="P237" s="8"/>
      <c r="Q237" s="8"/>
      <c r="R237" s="8"/>
    </row>
    <row r="238" spans="1:18" ht="12.75" customHeight="1">
      <c r="A238" s="8"/>
      <c r="B238" s="8"/>
      <c r="C238" s="30"/>
      <c r="D238" s="8"/>
      <c r="E238" s="8"/>
      <c r="F238" s="8"/>
      <c r="G238" s="8"/>
      <c r="H238" s="8"/>
      <c r="I238" s="8"/>
      <c r="J238" s="8"/>
      <c r="K238" s="8"/>
      <c r="L238" s="8"/>
      <c r="M238" s="8"/>
      <c r="N238" s="8"/>
      <c r="O238" s="8"/>
      <c r="P238" s="8"/>
      <c r="Q238" s="8"/>
      <c r="R238" s="8"/>
    </row>
    <row r="239" spans="1:18" ht="12.75" customHeight="1">
      <c r="A239" s="8"/>
      <c r="B239" s="8"/>
      <c r="C239" s="30"/>
      <c r="D239" s="8"/>
      <c r="E239" s="8"/>
      <c r="F239" s="8"/>
      <c r="G239" s="8"/>
      <c r="H239" s="8"/>
      <c r="I239" s="8"/>
      <c r="J239" s="8"/>
      <c r="K239" s="8"/>
      <c r="L239" s="8"/>
      <c r="M239" s="8"/>
      <c r="N239" s="8"/>
      <c r="O239" s="8"/>
      <c r="P239" s="8"/>
      <c r="Q239" s="8"/>
      <c r="R239" s="8"/>
    </row>
    <row r="240" spans="1:18" ht="12.75" customHeight="1">
      <c r="A240" s="8"/>
      <c r="B240" s="8"/>
      <c r="C240" s="30"/>
      <c r="D240" s="8"/>
      <c r="E240" s="8"/>
      <c r="F240" s="8"/>
      <c r="G240" s="8"/>
      <c r="H240" s="8"/>
      <c r="I240" s="8"/>
      <c r="J240" s="8"/>
      <c r="K240" s="8"/>
      <c r="L240" s="8"/>
      <c r="M240" s="8"/>
      <c r="N240" s="8"/>
      <c r="O240" s="8"/>
      <c r="P240" s="8"/>
      <c r="Q240" s="8"/>
      <c r="R240" s="8"/>
    </row>
    <row r="241" spans="1:18" ht="12.75" customHeight="1">
      <c r="A241" s="8"/>
      <c r="B241" s="8"/>
      <c r="C241" s="30"/>
      <c r="D241" s="8"/>
      <c r="E241" s="8"/>
      <c r="F241" s="8"/>
      <c r="G241" s="8"/>
      <c r="H241" s="8"/>
      <c r="I241" s="8"/>
      <c r="J241" s="8"/>
      <c r="K241" s="8"/>
      <c r="L241" s="8"/>
      <c r="M241" s="8"/>
      <c r="N241" s="8"/>
      <c r="O241" s="8"/>
      <c r="P241" s="8"/>
      <c r="Q241" s="8"/>
      <c r="R241" s="8"/>
    </row>
    <row r="242" spans="1:18" ht="12.75" customHeight="1">
      <c r="A242" s="8"/>
      <c r="B242" s="8"/>
      <c r="C242" s="30"/>
      <c r="D242" s="8"/>
      <c r="E242" s="8"/>
      <c r="F242" s="8"/>
      <c r="G242" s="8"/>
      <c r="H242" s="8"/>
      <c r="I242" s="8"/>
      <c r="J242" s="8"/>
      <c r="K242" s="8"/>
      <c r="L242" s="8"/>
      <c r="M242" s="8"/>
      <c r="N242" s="8"/>
      <c r="O242" s="8"/>
      <c r="P242" s="8"/>
      <c r="Q242" s="8"/>
      <c r="R242" s="8"/>
    </row>
    <row r="243" spans="1:18" ht="12.75" customHeight="1">
      <c r="A243" s="8"/>
      <c r="B243" s="8"/>
      <c r="C243" s="30"/>
      <c r="D243" s="8"/>
      <c r="E243" s="8"/>
      <c r="F243" s="8"/>
      <c r="G243" s="8"/>
      <c r="H243" s="8"/>
      <c r="I243" s="8"/>
      <c r="J243" s="8"/>
      <c r="K243" s="8"/>
      <c r="L243" s="8"/>
      <c r="M243" s="8"/>
      <c r="N243" s="8"/>
      <c r="O243" s="8"/>
      <c r="P243" s="8"/>
      <c r="Q243" s="8"/>
      <c r="R243" s="8"/>
    </row>
    <row r="244" spans="1:18" ht="12.75" customHeight="1">
      <c r="A244" s="8"/>
      <c r="B244" s="8"/>
      <c r="C244" s="30"/>
      <c r="D244" s="8"/>
      <c r="E244" s="8"/>
      <c r="F244" s="8"/>
      <c r="G244" s="8"/>
      <c r="H244" s="8"/>
      <c r="I244" s="8"/>
      <c r="J244" s="8"/>
      <c r="K244" s="8"/>
      <c r="L244" s="8"/>
      <c r="M244" s="8"/>
      <c r="N244" s="8"/>
      <c r="O244" s="8"/>
      <c r="P244" s="8"/>
      <c r="Q244" s="8"/>
      <c r="R244" s="8"/>
    </row>
    <row r="245" spans="1:18" ht="12.75" customHeight="1">
      <c r="A245" s="8"/>
      <c r="B245" s="8"/>
      <c r="C245" s="30"/>
      <c r="D245" s="8"/>
      <c r="E245" s="8"/>
      <c r="F245" s="8"/>
      <c r="G245" s="8"/>
      <c r="H245" s="8"/>
      <c r="I245" s="8"/>
      <c r="J245" s="8"/>
      <c r="K245" s="8"/>
      <c r="L245" s="8"/>
      <c r="M245" s="8"/>
      <c r="N245" s="8"/>
      <c r="O245" s="8"/>
      <c r="P245" s="8"/>
      <c r="Q245" s="8"/>
      <c r="R245" s="8"/>
    </row>
    <row r="246" spans="1:18" ht="12.75" customHeight="1">
      <c r="A246" s="8"/>
      <c r="B246" s="8"/>
      <c r="C246" s="30"/>
      <c r="D246" s="8"/>
      <c r="E246" s="8"/>
      <c r="F246" s="8"/>
      <c r="G246" s="8"/>
      <c r="H246" s="8"/>
      <c r="I246" s="8"/>
      <c r="J246" s="8"/>
      <c r="K246" s="8"/>
      <c r="L246" s="8"/>
      <c r="M246" s="8"/>
      <c r="N246" s="8"/>
      <c r="O246" s="8"/>
      <c r="P246" s="8"/>
      <c r="Q246" s="8"/>
      <c r="R246" s="8"/>
    </row>
    <row r="247" spans="1:18" ht="12.75" customHeight="1">
      <c r="A247" s="8"/>
      <c r="B247" s="8"/>
      <c r="C247" s="30"/>
      <c r="D247" s="8"/>
      <c r="E247" s="8"/>
      <c r="F247" s="8"/>
      <c r="G247" s="8"/>
      <c r="H247" s="8"/>
      <c r="I247" s="8"/>
      <c r="J247" s="8"/>
      <c r="K247" s="8"/>
      <c r="L247" s="8"/>
      <c r="M247" s="8"/>
      <c r="N247" s="8"/>
      <c r="O247" s="8"/>
      <c r="P247" s="8"/>
      <c r="Q247" s="8"/>
      <c r="R247" s="8"/>
    </row>
    <row r="248" spans="1:18" ht="12.75" customHeight="1">
      <c r="A248" s="8"/>
      <c r="B248" s="8"/>
      <c r="C248" s="30"/>
      <c r="D248" s="8"/>
      <c r="E248" s="8"/>
      <c r="F248" s="8"/>
      <c r="G248" s="8"/>
      <c r="H248" s="8"/>
      <c r="I248" s="8"/>
      <c r="J248" s="8"/>
      <c r="K248" s="8"/>
      <c r="L248" s="8"/>
      <c r="M248" s="8"/>
      <c r="N248" s="8"/>
      <c r="O248" s="8"/>
      <c r="P248" s="8"/>
      <c r="Q248" s="8"/>
      <c r="R248" s="8"/>
    </row>
    <row r="249" spans="1:18" ht="12.75" customHeight="1">
      <c r="A249" s="8"/>
      <c r="B249" s="8"/>
      <c r="C249" s="30"/>
      <c r="D249" s="8"/>
      <c r="E249" s="8"/>
      <c r="F249" s="8"/>
      <c r="G249" s="8"/>
      <c r="H249" s="8"/>
      <c r="I249" s="8"/>
      <c r="J249" s="8"/>
      <c r="K249" s="8"/>
      <c r="L249" s="8"/>
      <c r="M249" s="8"/>
      <c r="N249" s="8"/>
      <c r="O249" s="8"/>
      <c r="P249" s="8"/>
      <c r="Q249" s="8"/>
      <c r="R249" s="8"/>
    </row>
    <row r="250" spans="1:18" ht="12.75" customHeight="1">
      <c r="A250" s="8"/>
      <c r="B250" s="8"/>
      <c r="C250" s="30"/>
      <c r="D250" s="8"/>
      <c r="E250" s="8"/>
      <c r="F250" s="8"/>
      <c r="G250" s="8"/>
      <c r="H250" s="8"/>
      <c r="I250" s="8"/>
      <c r="J250" s="8"/>
      <c r="K250" s="8"/>
      <c r="L250" s="8"/>
      <c r="M250" s="8"/>
      <c r="N250" s="8"/>
      <c r="O250" s="8"/>
      <c r="P250" s="8"/>
      <c r="Q250" s="8"/>
      <c r="R250" s="8"/>
    </row>
    <row r="251" spans="1:18" ht="12.75" customHeight="1">
      <c r="A251" s="8"/>
      <c r="B251" s="8"/>
      <c r="C251" s="30"/>
      <c r="D251" s="8"/>
      <c r="E251" s="8"/>
      <c r="F251" s="8"/>
      <c r="G251" s="8"/>
      <c r="H251" s="8"/>
      <c r="I251" s="8"/>
      <c r="J251" s="8"/>
      <c r="K251" s="8"/>
      <c r="L251" s="8"/>
      <c r="M251" s="8"/>
      <c r="N251" s="8"/>
      <c r="O251" s="8"/>
      <c r="P251" s="8"/>
      <c r="Q251" s="8"/>
      <c r="R251" s="8"/>
    </row>
    <row r="252" spans="1:18" ht="12.75" customHeight="1">
      <c r="A252" s="8"/>
      <c r="B252" s="8"/>
      <c r="C252" s="30"/>
      <c r="D252" s="8"/>
      <c r="E252" s="8"/>
      <c r="F252" s="8"/>
      <c r="G252" s="8"/>
      <c r="H252" s="8"/>
      <c r="I252" s="8"/>
      <c r="J252" s="8"/>
      <c r="K252" s="8"/>
      <c r="L252" s="8"/>
      <c r="M252" s="8"/>
      <c r="N252" s="8"/>
      <c r="O252" s="8"/>
      <c r="P252" s="8"/>
      <c r="Q252" s="8"/>
      <c r="R252" s="8"/>
    </row>
    <row r="253" spans="1:18" ht="12.75" customHeight="1">
      <c r="A253" s="8"/>
      <c r="B253" s="8"/>
      <c r="C253" s="30"/>
      <c r="D253" s="8"/>
      <c r="E253" s="8"/>
      <c r="F253" s="8"/>
      <c r="G253" s="8"/>
      <c r="H253" s="8"/>
      <c r="I253" s="8"/>
      <c r="J253" s="8"/>
      <c r="K253" s="8"/>
      <c r="L253" s="8"/>
      <c r="M253" s="8"/>
      <c r="N253" s="8"/>
      <c r="O253" s="8"/>
      <c r="P253" s="8"/>
      <c r="Q253" s="8"/>
      <c r="R253" s="8"/>
    </row>
    <row r="254" spans="1:18" ht="12.75" customHeight="1">
      <c r="A254" s="8"/>
      <c r="B254" s="8"/>
      <c r="C254" s="30"/>
      <c r="D254" s="8"/>
      <c r="E254" s="8"/>
      <c r="F254" s="8"/>
      <c r="G254" s="8"/>
      <c r="H254" s="8"/>
      <c r="I254" s="8"/>
      <c r="J254" s="8"/>
      <c r="K254" s="8"/>
      <c r="L254" s="8"/>
      <c r="M254" s="8"/>
      <c r="N254" s="8"/>
      <c r="O254" s="8"/>
      <c r="P254" s="8"/>
      <c r="Q254" s="8"/>
      <c r="R254" s="8"/>
    </row>
    <row r="255" spans="1:18" ht="12.75" customHeight="1">
      <c r="A255" s="8"/>
      <c r="B255" s="8"/>
      <c r="C255" s="30"/>
      <c r="D255" s="8"/>
      <c r="E255" s="8"/>
      <c r="F255" s="8"/>
      <c r="G255" s="8"/>
      <c r="H255" s="8"/>
      <c r="I255" s="8"/>
      <c r="J255" s="8"/>
      <c r="K255" s="8"/>
      <c r="L255" s="8"/>
      <c r="M255" s="8"/>
      <c r="N255" s="8"/>
      <c r="O255" s="8"/>
      <c r="P255" s="8"/>
      <c r="Q255" s="8"/>
      <c r="R255" s="8"/>
    </row>
    <row r="256" spans="1:18" ht="12.75" customHeight="1">
      <c r="A256" s="8"/>
      <c r="B256" s="8"/>
      <c r="C256" s="30"/>
      <c r="D256" s="8"/>
      <c r="E256" s="8"/>
      <c r="F256" s="8"/>
      <c r="G256" s="8"/>
      <c r="H256" s="8"/>
      <c r="I256" s="8"/>
      <c r="J256" s="8"/>
      <c r="K256" s="8"/>
      <c r="L256" s="8"/>
      <c r="M256" s="8"/>
      <c r="N256" s="8"/>
      <c r="O256" s="8"/>
      <c r="P256" s="8"/>
      <c r="Q256" s="8"/>
      <c r="R256" s="8"/>
    </row>
    <row r="257" spans="1:18" ht="12.75" customHeight="1">
      <c r="A257" s="8"/>
      <c r="B257" s="8"/>
      <c r="C257" s="30"/>
      <c r="D257" s="8"/>
      <c r="E257" s="8"/>
      <c r="F257" s="8"/>
      <c r="G257" s="8"/>
      <c r="H257" s="8"/>
      <c r="I257" s="8"/>
      <c r="J257" s="8"/>
      <c r="K257" s="8"/>
      <c r="L257" s="8"/>
      <c r="M257" s="8"/>
      <c r="N257" s="8"/>
      <c r="O257" s="8"/>
      <c r="P257" s="8"/>
      <c r="Q257" s="8"/>
      <c r="R257" s="8"/>
    </row>
    <row r="258" spans="1:18" ht="12.75" customHeight="1">
      <c r="A258" s="8"/>
      <c r="B258" s="8"/>
      <c r="C258" s="30"/>
      <c r="D258" s="8"/>
      <c r="E258" s="8"/>
      <c r="F258" s="8"/>
      <c r="G258" s="8"/>
      <c r="H258" s="8"/>
      <c r="I258" s="8"/>
      <c r="J258" s="8"/>
      <c r="K258" s="8"/>
      <c r="L258" s="8"/>
      <c r="M258" s="8"/>
      <c r="N258" s="8"/>
      <c r="O258" s="8"/>
      <c r="P258" s="8"/>
      <c r="Q258" s="8"/>
      <c r="R258" s="8"/>
    </row>
    <row r="259" spans="1:18" ht="12.75" customHeight="1">
      <c r="A259" s="8"/>
      <c r="B259" s="8"/>
      <c r="C259" s="30"/>
      <c r="D259" s="8"/>
      <c r="E259" s="8"/>
      <c r="F259" s="8"/>
      <c r="G259" s="8"/>
      <c r="H259" s="8"/>
      <c r="I259" s="8"/>
      <c r="J259" s="8"/>
      <c r="K259" s="8"/>
      <c r="L259" s="8"/>
      <c r="M259" s="8"/>
      <c r="N259" s="8"/>
      <c r="O259" s="8"/>
      <c r="P259" s="8"/>
      <c r="Q259" s="8"/>
      <c r="R259" s="8"/>
    </row>
    <row r="260" spans="1:18" ht="12.75" customHeight="1">
      <c r="A260" s="8"/>
      <c r="B260" s="8"/>
      <c r="C260" s="30"/>
      <c r="D260" s="8"/>
      <c r="E260" s="8"/>
      <c r="F260" s="8"/>
      <c r="G260" s="8"/>
      <c r="H260" s="8"/>
      <c r="I260" s="8"/>
      <c r="J260" s="8"/>
      <c r="K260" s="8"/>
      <c r="L260" s="8"/>
      <c r="M260" s="8"/>
      <c r="N260" s="8"/>
      <c r="O260" s="8"/>
      <c r="P260" s="8"/>
      <c r="Q260" s="8"/>
      <c r="R260" s="8"/>
    </row>
    <row r="261" spans="1:18" ht="12.75" customHeight="1">
      <c r="A261" s="8"/>
      <c r="B261" s="8"/>
      <c r="C261" s="30"/>
      <c r="D261" s="8"/>
      <c r="E261" s="8"/>
      <c r="F261" s="8"/>
      <c r="G261" s="8"/>
      <c r="H261" s="8"/>
      <c r="I261" s="8"/>
      <c r="J261" s="8"/>
      <c r="K261" s="8"/>
      <c r="L261" s="8"/>
      <c r="M261" s="8"/>
      <c r="N261" s="8"/>
      <c r="O261" s="8"/>
      <c r="P261" s="8"/>
      <c r="Q261" s="8"/>
      <c r="R261" s="8"/>
    </row>
    <row r="262" spans="1:18" ht="12.75" customHeight="1">
      <c r="A262" s="8"/>
      <c r="B262" s="8"/>
      <c r="C262" s="30"/>
      <c r="D262" s="8"/>
      <c r="E262" s="8"/>
      <c r="F262" s="8"/>
      <c r="G262" s="8"/>
      <c r="H262" s="8"/>
      <c r="I262" s="8"/>
      <c r="J262" s="8"/>
      <c r="K262" s="8"/>
      <c r="L262" s="8"/>
      <c r="M262" s="8"/>
      <c r="N262" s="8"/>
      <c r="O262" s="8"/>
      <c r="P262" s="8"/>
      <c r="Q262" s="8"/>
      <c r="R262" s="8"/>
    </row>
    <row r="263" spans="1:18" ht="12.75" customHeight="1">
      <c r="A263" s="8"/>
      <c r="B263" s="8"/>
      <c r="C263" s="30"/>
      <c r="D263" s="8"/>
      <c r="E263" s="8"/>
      <c r="F263" s="8"/>
      <c r="G263" s="8"/>
      <c r="H263" s="8"/>
      <c r="I263" s="8"/>
      <c r="J263" s="8"/>
      <c r="K263" s="8"/>
      <c r="L263" s="8"/>
      <c r="M263" s="8"/>
      <c r="N263" s="8"/>
      <c r="O263" s="8"/>
      <c r="P263" s="8"/>
      <c r="Q263" s="8"/>
      <c r="R263" s="8"/>
    </row>
    <row r="264" spans="1:18" ht="12.75" customHeight="1">
      <c r="A264" s="8"/>
      <c r="B264" s="8"/>
      <c r="C264" s="30"/>
      <c r="D264" s="8"/>
      <c r="E264" s="8"/>
      <c r="F264" s="8"/>
      <c r="G264" s="8"/>
      <c r="H264" s="8"/>
      <c r="I264" s="8"/>
      <c r="J264" s="8"/>
      <c r="K264" s="8"/>
      <c r="L264" s="8"/>
      <c r="M264" s="8"/>
      <c r="N264" s="8"/>
      <c r="O264" s="8"/>
      <c r="P264" s="8"/>
      <c r="Q264" s="8"/>
      <c r="R264" s="8"/>
    </row>
    <row r="265" spans="1:18" ht="12.75" customHeight="1">
      <c r="A265" s="8"/>
      <c r="B265" s="8"/>
      <c r="C265" s="30"/>
      <c r="D265" s="8"/>
      <c r="E265" s="8"/>
      <c r="F265" s="8"/>
      <c r="G265" s="8"/>
      <c r="H265" s="8"/>
      <c r="I265" s="8"/>
      <c r="J265" s="8"/>
      <c r="K265" s="8"/>
      <c r="L265" s="8"/>
      <c r="M265" s="8"/>
      <c r="N265" s="8"/>
      <c r="O265" s="8"/>
      <c r="P265" s="8"/>
      <c r="Q265" s="8"/>
      <c r="R265" s="8"/>
    </row>
    <row r="266" spans="1:18" ht="12.75" customHeight="1">
      <c r="A266" s="8"/>
      <c r="B266" s="8"/>
      <c r="C266" s="30"/>
      <c r="D266" s="8"/>
      <c r="E266" s="8"/>
      <c r="F266" s="8"/>
      <c r="G266" s="8"/>
      <c r="H266" s="8"/>
      <c r="I266" s="8"/>
      <c r="J266" s="8"/>
      <c r="K266" s="8"/>
      <c r="L266" s="8"/>
      <c r="M266" s="8"/>
      <c r="N266" s="8"/>
      <c r="O266" s="8"/>
      <c r="P266" s="8"/>
      <c r="Q266" s="8"/>
      <c r="R266" s="8"/>
    </row>
    <row r="267" spans="1:18" ht="12.75" customHeight="1">
      <c r="A267" s="8"/>
      <c r="B267" s="8"/>
      <c r="C267" s="30"/>
      <c r="D267" s="8"/>
      <c r="E267" s="8"/>
      <c r="F267" s="8"/>
      <c r="G267" s="8"/>
      <c r="H267" s="8"/>
      <c r="I267" s="8"/>
      <c r="J267" s="8"/>
      <c r="K267" s="8"/>
      <c r="L267" s="8"/>
      <c r="M267" s="8"/>
      <c r="N267" s="8"/>
      <c r="O267" s="8"/>
      <c r="P267" s="8"/>
      <c r="Q267" s="8"/>
      <c r="R267" s="8"/>
    </row>
    <row r="268" spans="1:18" ht="12.75" customHeight="1">
      <c r="A268" s="8"/>
      <c r="B268" s="8"/>
      <c r="C268" s="30"/>
      <c r="D268" s="8"/>
      <c r="E268" s="8"/>
      <c r="F268" s="8"/>
      <c r="G268" s="8"/>
      <c r="H268" s="8"/>
      <c r="I268" s="8"/>
      <c r="J268" s="8"/>
      <c r="K268" s="8"/>
      <c r="L268" s="8"/>
      <c r="M268" s="8"/>
      <c r="N268" s="8"/>
      <c r="O268" s="8"/>
      <c r="P268" s="8"/>
      <c r="Q268" s="8"/>
      <c r="R268" s="8"/>
    </row>
    <row r="269" spans="1:18" ht="12.75" customHeight="1">
      <c r="A269" s="8"/>
      <c r="B269" s="8"/>
      <c r="C269" s="30"/>
      <c r="D269" s="8"/>
      <c r="E269" s="8"/>
      <c r="F269" s="8"/>
      <c r="G269" s="8"/>
      <c r="H269" s="8"/>
      <c r="I269" s="8"/>
      <c r="J269" s="8"/>
      <c r="K269" s="8"/>
      <c r="L269" s="8"/>
      <c r="M269" s="8"/>
      <c r="N269" s="8"/>
      <c r="O269" s="8"/>
      <c r="P269" s="8"/>
      <c r="Q269" s="8"/>
      <c r="R269" s="8"/>
    </row>
    <row r="270" spans="1:18" ht="12.75" customHeight="1">
      <c r="A270" s="8"/>
      <c r="B270" s="8"/>
      <c r="C270" s="30"/>
      <c r="D270" s="8"/>
      <c r="E270" s="8"/>
      <c r="F270" s="8"/>
      <c r="G270" s="8"/>
      <c r="H270" s="8"/>
      <c r="I270" s="8"/>
      <c r="J270" s="8"/>
      <c r="K270" s="8"/>
      <c r="L270" s="8"/>
      <c r="M270" s="8"/>
      <c r="N270" s="8"/>
      <c r="O270" s="8"/>
      <c r="P270" s="8"/>
      <c r="Q270" s="8"/>
      <c r="R270" s="8"/>
    </row>
    <row r="271" spans="1:18" ht="12.75" customHeight="1">
      <c r="A271" s="8"/>
      <c r="B271" s="8"/>
      <c r="C271" s="30"/>
      <c r="D271" s="8"/>
      <c r="E271" s="8"/>
      <c r="F271" s="8"/>
      <c r="G271" s="8"/>
      <c r="H271" s="8"/>
      <c r="I271" s="8"/>
      <c r="J271" s="8"/>
      <c r="K271" s="8"/>
      <c r="L271" s="8"/>
      <c r="M271" s="8"/>
      <c r="N271" s="8"/>
      <c r="O271" s="8"/>
      <c r="P271" s="8"/>
      <c r="Q271" s="8"/>
      <c r="R271" s="8"/>
    </row>
    <row r="272" spans="1:18" ht="12.75" customHeight="1">
      <c r="A272" s="8"/>
      <c r="B272" s="8"/>
      <c r="C272" s="30"/>
      <c r="D272" s="8"/>
      <c r="E272" s="8"/>
      <c r="F272" s="8"/>
      <c r="G272" s="8"/>
      <c r="H272" s="8"/>
      <c r="I272" s="8"/>
      <c r="J272" s="8"/>
      <c r="K272" s="8"/>
      <c r="L272" s="8"/>
      <c r="M272" s="8"/>
      <c r="N272" s="8"/>
      <c r="O272" s="8"/>
      <c r="P272" s="8"/>
      <c r="Q272" s="8"/>
      <c r="R272" s="8"/>
    </row>
    <row r="273" spans="1:18" ht="12.75" customHeight="1">
      <c r="A273" s="8"/>
      <c r="B273" s="8"/>
      <c r="C273" s="30"/>
      <c r="D273" s="8"/>
      <c r="E273" s="8"/>
      <c r="F273" s="8"/>
      <c r="G273" s="8"/>
      <c r="H273" s="8"/>
      <c r="I273" s="8"/>
      <c r="J273" s="8"/>
      <c r="K273" s="8"/>
      <c r="L273" s="8"/>
      <c r="M273" s="8"/>
      <c r="N273" s="8"/>
      <c r="O273" s="8"/>
      <c r="P273" s="8"/>
      <c r="Q273" s="8"/>
      <c r="R273" s="8"/>
    </row>
    <row r="274" spans="1:18" ht="12.75" customHeight="1">
      <c r="A274" s="8"/>
      <c r="B274" s="8"/>
      <c r="C274" s="30"/>
      <c r="D274" s="8"/>
      <c r="E274" s="8"/>
      <c r="F274" s="8"/>
      <c r="G274" s="8"/>
      <c r="H274" s="8"/>
      <c r="I274" s="8"/>
      <c r="J274" s="8"/>
      <c r="K274" s="8"/>
      <c r="L274" s="8"/>
      <c r="M274" s="8"/>
      <c r="N274" s="8"/>
      <c r="O274" s="8"/>
      <c r="P274" s="8"/>
      <c r="Q274" s="8"/>
      <c r="R274" s="8"/>
    </row>
    <row r="275" spans="1:18" ht="12.75" customHeight="1">
      <c r="A275" s="8"/>
      <c r="B275" s="8"/>
      <c r="C275" s="30"/>
      <c r="D275" s="8"/>
      <c r="E275" s="8"/>
      <c r="F275" s="8"/>
      <c r="G275" s="8"/>
      <c r="H275" s="8"/>
      <c r="I275" s="8"/>
      <c r="J275" s="8"/>
      <c r="K275" s="8"/>
      <c r="L275" s="8"/>
      <c r="M275" s="8"/>
      <c r="N275" s="8"/>
      <c r="O275" s="8"/>
      <c r="P275" s="8"/>
      <c r="Q275" s="8"/>
      <c r="R275" s="8"/>
    </row>
    <row r="276" spans="1:18" ht="12.75" customHeight="1">
      <c r="A276" s="8"/>
      <c r="B276" s="8"/>
      <c r="C276" s="30"/>
      <c r="D276" s="8"/>
      <c r="E276" s="8"/>
      <c r="F276" s="8"/>
      <c r="G276" s="8"/>
      <c r="H276" s="8"/>
      <c r="I276" s="8"/>
      <c r="J276" s="8"/>
      <c r="K276" s="8"/>
      <c r="L276" s="8"/>
      <c r="M276" s="8"/>
      <c r="N276" s="8"/>
      <c r="O276" s="8"/>
      <c r="P276" s="8"/>
      <c r="Q276" s="8"/>
      <c r="R276" s="8"/>
    </row>
    <row r="277" spans="1:18" ht="12.75" customHeight="1">
      <c r="A277" s="8"/>
      <c r="B277" s="8"/>
      <c r="C277" s="30"/>
      <c r="D277" s="8"/>
      <c r="E277" s="8"/>
      <c r="F277" s="8"/>
      <c r="G277" s="8"/>
      <c r="H277" s="8"/>
      <c r="I277" s="8"/>
      <c r="J277" s="8"/>
      <c r="K277" s="8"/>
      <c r="L277" s="8"/>
      <c r="M277" s="8"/>
      <c r="N277" s="8"/>
      <c r="O277" s="8"/>
      <c r="P277" s="8"/>
      <c r="Q277" s="8"/>
      <c r="R277" s="8"/>
    </row>
    <row r="278" spans="1:18" ht="12.75" customHeight="1">
      <c r="A278" s="8"/>
      <c r="B278" s="8"/>
      <c r="C278" s="30"/>
      <c r="D278" s="8"/>
      <c r="E278" s="8"/>
      <c r="F278" s="8"/>
      <c r="G278" s="8"/>
      <c r="H278" s="8"/>
      <c r="I278" s="8"/>
      <c r="J278" s="8"/>
      <c r="K278" s="8"/>
      <c r="L278" s="8"/>
      <c r="M278" s="8"/>
      <c r="N278" s="8"/>
      <c r="O278" s="8"/>
      <c r="P278" s="8"/>
      <c r="Q278" s="8"/>
      <c r="R278" s="8"/>
    </row>
    <row r="279" spans="1:18" ht="12.75" customHeight="1">
      <c r="A279" s="8"/>
      <c r="B279" s="8"/>
      <c r="C279" s="30"/>
      <c r="D279" s="8"/>
      <c r="E279" s="8"/>
      <c r="F279" s="8"/>
      <c r="G279" s="8"/>
      <c r="H279" s="8"/>
      <c r="I279" s="8"/>
      <c r="J279" s="8"/>
      <c r="K279" s="8"/>
      <c r="L279" s="8"/>
      <c r="M279" s="8"/>
      <c r="N279" s="8"/>
      <c r="O279" s="8"/>
      <c r="P279" s="8"/>
      <c r="Q279" s="8"/>
      <c r="R279" s="8"/>
    </row>
    <row r="280" spans="1:18" ht="12.75" customHeight="1">
      <c r="A280" s="8"/>
      <c r="B280" s="8"/>
      <c r="C280" s="30"/>
      <c r="D280" s="8"/>
      <c r="E280" s="8"/>
      <c r="F280" s="8"/>
      <c r="G280" s="8"/>
      <c r="H280" s="8"/>
      <c r="I280" s="8"/>
      <c r="J280" s="8"/>
      <c r="K280" s="8"/>
      <c r="L280" s="8"/>
      <c r="M280" s="8"/>
      <c r="N280" s="8"/>
      <c r="O280" s="8"/>
      <c r="P280" s="8"/>
      <c r="Q280" s="8"/>
      <c r="R280" s="8"/>
    </row>
    <row r="281" spans="1:18" ht="12.75" customHeight="1">
      <c r="A281" s="8"/>
      <c r="B281" s="8"/>
      <c r="C281" s="30"/>
      <c r="D281" s="8"/>
      <c r="E281" s="8"/>
      <c r="F281" s="8"/>
      <c r="G281" s="8"/>
      <c r="H281" s="8"/>
      <c r="I281" s="8"/>
      <c r="J281" s="8"/>
      <c r="K281" s="8"/>
      <c r="L281" s="8"/>
      <c r="M281" s="8"/>
      <c r="N281" s="8"/>
      <c r="O281" s="8"/>
      <c r="P281" s="8"/>
      <c r="Q281" s="8"/>
      <c r="R281" s="8"/>
    </row>
    <row r="282" spans="1:18" ht="12.75" customHeight="1">
      <c r="A282" s="8"/>
      <c r="B282" s="8"/>
      <c r="C282" s="30"/>
      <c r="D282" s="8"/>
      <c r="E282" s="8"/>
      <c r="F282" s="8"/>
      <c r="G282" s="8"/>
      <c r="H282" s="8"/>
      <c r="I282" s="8"/>
      <c r="J282" s="8"/>
      <c r="K282" s="8"/>
      <c r="L282" s="8"/>
      <c r="M282" s="8"/>
      <c r="N282" s="8"/>
      <c r="O282" s="8"/>
      <c r="P282" s="8"/>
      <c r="Q282" s="8"/>
      <c r="R282" s="8"/>
    </row>
    <row r="283" spans="1:18" ht="12.75" customHeight="1">
      <c r="A283" s="8"/>
      <c r="B283" s="8"/>
      <c r="C283" s="30"/>
      <c r="D283" s="8"/>
      <c r="E283" s="8"/>
      <c r="F283" s="8"/>
      <c r="G283" s="8"/>
      <c r="H283" s="8"/>
      <c r="I283" s="8"/>
      <c r="J283" s="8"/>
      <c r="K283" s="8"/>
      <c r="L283" s="8"/>
      <c r="M283" s="8"/>
      <c r="N283" s="8"/>
      <c r="O283" s="8"/>
      <c r="P283" s="8"/>
      <c r="Q283" s="8"/>
      <c r="R283" s="8"/>
    </row>
    <row r="284" spans="1:18" ht="12.75" customHeight="1">
      <c r="A284" s="8"/>
      <c r="B284" s="8"/>
      <c r="C284" s="30"/>
      <c r="D284" s="8"/>
      <c r="E284" s="8"/>
      <c r="F284" s="8"/>
      <c r="G284" s="8"/>
      <c r="H284" s="8"/>
      <c r="I284" s="8"/>
      <c r="J284" s="8"/>
      <c r="K284" s="8"/>
      <c r="L284" s="8"/>
      <c r="M284" s="8"/>
      <c r="N284" s="8"/>
      <c r="O284" s="8"/>
      <c r="P284" s="8"/>
      <c r="Q284" s="8"/>
      <c r="R284" s="8"/>
    </row>
    <row r="285" spans="1:18" ht="12.75" customHeight="1">
      <c r="A285" s="8"/>
      <c r="B285" s="8"/>
      <c r="C285" s="30"/>
      <c r="D285" s="8"/>
      <c r="E285" s="8"/>
      <c r="F285" s="8"/>
      <c r="G285" s="8"/>
      <c r="H285" s="8"/>
      <c r="I285" s="8"/>
      <c r="J285" s="8"/>
      <c r="K285" s="8"/>
      <c r="L285" s="8"/>
      <c r="M285" s="8"/>
      <c r="N285" s="8"/>
      <c r="O285" s="8"/>
      <c r="P285" s="8"/>
      <c r="Q285" s="8"/>
      <c r="R285" s="8"/>
    </row>
    <row r="286" spans="1:18" ht="12.75" customHeight="1">
      <c r="A286" s="8"/>
      <c r="B286" s="8"/>
      <c r="C286" s="30"/>
      <c r="D286" s="8"/>
      <c r="E286" s="8"/>
      <c r="F286" s="8"/>
      <c r="G286" s="8"/>
      <c r="H286" s="8"/>
      <c r="I286" s="8"/>
      <c r="J286" s="8"/>
      <c r="K286" s="8"/>
      <c r="L286" s="8"/>
      <c r="M286" s="8"/>
      <c r="N286" s="8"/>
      <c r="O286" s="8"/>
      <c r="P286" s="8"/>
      <c r="Q286" s="8"/>
      <c r="R286" s="8"/>
    </row>
    <row r="287" spans="1:18" ht="12.75" customHeight="1">
      <c r="A287" s="8"/>
      <c r="B287" s="8"/>
      <c r="C287" s="30"/>
      <c r="D287" s="8"/>
      <c r="E287" s="8"/>
      <c r="F287" s="8"/>
      <c r="G287" s="8"/>
      <c r="H287" s="8"/>
      <c r="I287" s="8"/>
      <c r="J287" s="8"/>
      <c r="K287" s="8"/>
      <c r="L287" s="8"/>
      <c r="M287" s="8"/>
      <c r="N287" s="8"/>
      <c r="O287" s="8"/>
      <c r="P287" s="8"/>
      <c r="Q287" s="8"/>
      <c r="R287" s="8"/>
    </row>
    <row r="288" spans="1:18" ht="12.75" customHeight="1">
      <c r="A288" s="8"/>
      <c r="B288" s="8"/>
      <c r="C288" s="30"/>
      <c r="D288" s="8"/>
      <c r="E288" s="8"/>
      <c r="F288" s="8"/>
      <c r="G288" s="8"/>
      <c r="H288" s="8"/>
      <c r="I288" s="8"/>
      <c r="J288" s="8"/>
      <c r="K288" s="8"/>
      <c r="L288" s="8"/>
      <c r="M288" s="8"/>
      <c r="N288" s="8"/>
      <c r="O288" s="8"/>
      <c r="P288" s="8"/>
      <c r="Q288" s="8"/>
      <c r="R288" s="8"/>
    </row>
    <row r="289" spans="1:18" ht="12.75" customHeight="1">
      <c r="A289" s="8"/>
      <c r="B289" s="8"/>
      <c r="C289" s="30"/>
      <c r="D289" s="8"/>
      <c r="E289" s="8"/>
      <c r="F289" s="8"/>
      <c r="G289" s="8"/>
      <c r="H289" s="8"/>
      <c r="I289" s="8"/>
      <c r="J289" s="8"/>
      <c r="K289" s="8"/>
      <c r="L289" s="8"/>
      <c r="M289" s="8"/>
      <c r="N289" s="8"/>
      <c r="O289" s="8"/>
      <c r="P289" s="8"/>
      <c r="Q289" s="8"/>
      <c r="R289" s="8"/>
    </row>
    <row r="290" spans="1:18" ht="12.75" customHeight="1">
      <c r="A290" s="8"/>
      <c r="B290" s="8"/>
      <c r="C290" s="30"/>
      <c r="D290" s="8"/>
      <c r="E290" s="8"/>
      <c r="F290" s="8"/>
      <c r="G290" s="8"/>
      <c r="H290" s="8"/>
      <c r="I290" s="8"/>
      <c r="J290" s="8"/>
      <c r="K290" s="8"/>
      <c r="L290" s="8"/>
      <c r="M290" s="8"/>
      <c r="N290" s="8"/>
      <c r="O290" s="8"/>
      <c r="P290" s="8"/>
      <c r="Q290" s="8"/>
      <c r="R290" s="8"/>
    </row>
    <row r="291" spans="1:18" ht="12.75" customHeight="1">
      <c r="A291" s="8"/>
      <c r="B291" s="8"/>
      <c r="C291" s="30"/>
      <c r="D291" s="8"/>
      <c r="E291" s="8"/>
      <c r="F291" s="8"/>
      <c r="G291" s="8"/>
      <c r="H291" s="8"/>
      <c r="I291" s="8"/>
      <c r="J291" s="8"/>
      <c r="K291" s="8"/>
      <c r="L291" s="8"/>
      <c r="M291" s="8"/>
      <c r="N291" s="8"/>
      <c r="O291" s="8"/>
      <c r="P291" s="8"/>
      <c r="Q291" s="8"/>
      <c r="R291" s="8"/>
    </row>
    <row r="292" spans="1:18" ht="12.75" customHeight="1">
      <c r="A292" s="8"/>
      <c r="B292" s="8"/>
      <c r="C292" s="30"/>
      <c r="D292" s="8"/>
      <c r="E292" s="8"/>
      <c r="F292" s="8"/>
      <c r="G292" s="8"/>
      <c r="H292" s="8"/>
      <c r="I292" s="8"/>
      <c r="J292" s="8"/>
      <c r="K292" s="8"/>
      <c r="L292" s="8"/>
      <c r="M292" s="8"/>
      <c r="N292" s="8"/>
      <c r="O292" s="8"/>
      <c r="P292" s="8"/>
      <c r="Q292" s="8"/>
      <c r="R292" s="8"/>
    </row>
    <row r="293" spans="1:18" ht="12.75" customHeight="1">
      <c r="A293" s="8"/>
      <c r="B293" s="8"/>
      <c r="C293" s="30"/>
      <c r="D293" s="8"/>
      <c r="E293" s="8"/>
      <c r="F293" s="8"/>
      <c r="G293" s="8"/>
      <c r="H293" s="8"/>
      <c r="I293" s="8"/>
      <c r="J293" s="8"/>
      <c r="K293" s="8"/>
      <c r="L293" s="8"/>
      <c r="M293" s="8"/>
      <c r="N293" s="8"/>
      <c r="O293" s="8"/>
      <c r="P293" s="8"/>
      <c r="Q293" s="8"/>
      <c r="R293" s="8"/>
    </row>
    <row r="294" spans="1:18" ht="12.75" customHeight="1">
      <c r="A294" s="8"/>
      <c r="B294" s="8"/>
      <c r="C294" s="30"/>
      <c r="D294" s="8"/>
      <c r="E294" s="8"/>
      <c r="F294" s="8"/>
      <c r="G294" s="8"/>
      <c r="H294" s="8"/>
      <c r="I294" s="8"/>
      <c r="J294" s="8"/>
      <c r="K294" s="8"/>
      <c r="L294" s="8"/>
      <c r="M294" s="8"/>
      <c r="N294" s="8"/>
      <c r="O294" s="8"/>
      <c r="P294" s="8"/>
      <c r="Q294" s="8"/>
      <c r="R294" s="8"/>
    </row>
    <row r="295" spans="1:18" ht="12.75" customHeight="1">
      <c r="A295" s="8"/>
      <c r="B295" s="8"/>
      <c r="C295" s="30"/>
      <c r="D295" s="8"/>
      <c r="E295" s="8"/>
      <c r="F295" s="8"/>
      <c r="G295" s="8"/>
      <c r="H295" s="8"/>
      <c r="I295" s="8"/>
      <c r="J295" s="8"/>
      <c r="K295" s="8"/>
      <c r="L295" s="8"/>
      <c r="M295" s="8"/>
      <c r="N295" s="8"/>
      <c r="O295" s="8"/>
      <c r="P295" s="8"/>
      <c r="Q295" s="8"/>
      <c r="R295" s="8"/>
    </row>
    <row r="296" spans="1:18" ht="12.75" customHeight="1">
      <c r="A296" s="8"/>
      <c r="B296" s="8"/>
      <c r="C296" s="30"/>
      <c r="D296" s="8"/>
      <c r="E296" s="8"/>
      <c r="F296" s="8"/>
      <c r="G296" s="8"/>
      <c r="H296" s="8"/>
      <c r="I296" s="8"/>
      <c r="J296" s="8"/>
      <c r="K296" s="8"/>
      <c r="L296" s="8"/>
      <c r="M296" s="8"/>
      <c r="N296" s="8"/>
      <c r="O296" s="8"/>
      <c r="P296" s="8"/>
      <c r="Q296" s="8"/>
      <c r="R296" s="8"/>
    </row>
    <row r="297" spans="1:18" ht="12.75" customHeight="1">
      <c r="A297" s="8"/>
      <c r="B297" s="8"/>
      <c r="C297" s="30"/>
      <c r="D297" s="8"/>
      <c r="E297" s="8"/>
      <c r="F297" s="8"/>
      <c r="G297" s="8"/>
      <c r="H297" s="8"/>
      <c r="I297" s="8"/>
      <c r="J297" s="8"/>
      <c r="K297" s="8"/>
      <c r="L297" s="8"/>
      <c r="M297" s="8"/>
      <c r="N297" s="8"/>
      <c r="O297" s="8"/>
      <c r="P297" s="8"/>
      <c r="Q297" s="8"/>
      <c r="R297" s="8"/>
    </row>
    <row r="298" spans="1:18" ht="12.75" customHeight="1">
      <c r="A298" s="8"/>
      <c r="B298" s="8"/>
      <c r="C298" s="30"/>
      <c r="D298" s="8"/>
      <c r="E298" s="8"/>
      <c r="F298" s="8"/>
      <c r="G298" s="8"/>
      <c r="H298" s="8"/>
      <c r="I298" s="8"/>
      <c r="J298" s="8"/>
      <c r="K298" s="8"/>
      <c r="L298" s="8"/>
      <c r="M298" s="8"/>
      <c r="N298" s="8"/>
      <c r="O298" s="8"/>
      <c r="P298" s="8"/>
      <c r="Q298" s="8"/>
      <c r="R298" s="8"/>
    </row>
    <row r="299" spans="1:18" ht="12.75" customHeight="1">
      <c r="A299" s="8"/>
      <c r="B299" s="8"/>
      <c r="C299" s="30"/>
      <c r="D299" s="8"/>
      <c r="E299" s="8"/>
      <c r="F299" s="8"/>
      <c r="G299" s="8"/>
      <c r="H299" s="8"/>
      <c r="I299" s="8"/>
      <c r="J299" s="8"/>
      <c r="K299" s="8"/>
      <c r="L299" s="8"/>
      <c r="M299" s="8"/>
      <c r="N299" s="8"/>
      <c r="O299" s="8"/>
      <c r="P299" s="8"/>
      <c r="Q299" s="8"/>
      <c r="R299" s="8"/>
    </row>
    <row r="300" spans="1:18" ht="12.75" customHeight="1">
      <c r="A300" s="8"/>
      <c r="B300" s="8"/>
      <c r="C300" s="30"/>
      <c r="D300" s="8"/>
      <c r="E300" s="8"/>
      <c r="F300" s="8"/>
      <c r="G300" s="8"/>
      <c r="H300" s="8"/>
      <c r="I300" s="8"/>
      <c r="J300" s="8"/>
      <c r="K300" s="8"/>
      <c r="L300" s="8"/>
      <c r="M300" s="8"/>
      <c r="N300" s="8"/>
      <c r="O300" s="8"/>
      <c r="P300" s="8"/>
      <c r="Q300" s="8"/>
      <c r="R300" s="8"/>
    </row>
    <row r="301" spans="1:18" ht="12.75" customHeight="1">
      <c r="A301" s="8"/>
      <c r="B301" s="8"/>
      <c r="C301" s="30"/>
      <c r="D301" s="8"/>
      <c r="E301" s="8"/>
      <c r="F301" s="8"/>
      <c r="G301" s="8"/>
      <c r="H301" s="8"/>
      <c r="I301" s="8"/>
      <c r="J301" s="8"/>
      <c r="K301" s="8"/>
      <c r="L301" s="8"/>
      <c r="M301" s="8"/>
      <c r="N301" s="8"/>
      <c r="O301" s="8"/>
      <c r="P301" s="8"/>
      <c r="Q301" s="8"/>
      <c r="R301" s="8"/>
    </row>
    <row r="302" spans="1:18" ht="12.75" customHeight="1">
      <c r="A302" s="8"/>
      <c r="B302" s="8"/>
      <c r="C302" s="30"/>
      <c r="D302" s="8"/>
      <c r="E302" s="8"/>
      <c r="F302" s="8"/>
      <c r="G302" s="8"/>
      <c r="H302" s="8"/>
      <c r="I302" s="8"/>
      <c r="J302" s="8"/>
      <c r="K302" s="8"/>
      <c r="L302" s="8"/>
      <c r="M302" s="8"/>
      <c r="N302" s="8"/>
      <c r="O302" s="8"/>
      <c r="P302" s="8"/>
      <c r="Q302" s="8"/>
      <c r="R302" s="8"/>
    </row>
    <row r="303" spans="1:18" ht="12.75" customHeight="1">
      <c r="A303" s="8"/>
      <c r="B303" s="8"/>
      <c r="C303" s="30"/>
      <c r="D303" s="8"/>
      <c r="E303" s="8"/>
      <c r="F303" s="8"/>
      <c r="G303" s="8"/>
      <c r="H303" s="8"/>
      <c r="I303" s="8"/>
      <c r="J303" s="8"/>
      <c r="K303" s="8"/>
      <c r="L303" s="8"/>
      <c r="M303" s="8"/>
      <c r="N303" s="8"/>
      <c r="O303" s="8"/>
      <c r="P303" s="8"/>
      <c r="Q303" s="8"/>
      <c r="R303" s="8"/>
    </row>
    <row r="304" spans="1:18" ht="12.75" customHeight="1">
      <c r="A304" s="8"/>
      <c r="B304" s="8"/>
      <c r="C304" s="30"/>
      <c r="D304" s="8"/>
      <c r="E304" s="8"/>
      <c r="F304" s="8"/>
      <c r="G304" s="8"/>
      <c r="H304" s="8"/>
      <c r="I304" s="8"/>
      <c r="J304" s="8"/>
      <c r="K304" s="8"/>
      <c r="L304" s="8"/>
      <c r="M304" s="8"/>
      <c r="N304" s="8"/>
      <c r="O304" s="8"/>
      <c r="P304" s="8"/>
      <c r="Q304" s="8"/>
      <c r="R304" s="8"/>
    </row>
    <row r="305" spans="1:18" ht="12.75" customHeight="1">
      <c r="A305" s="8"/>
      <c r="B305" s="8"/>
      <c r="C305" s="30"/>
      <c r="D305" s="8"/>
      <c r="E305" s="8"/>
      <c r="F305" s="8"/>
      <c r="G305" s="8"/>
      <c r="H305" s="8"/>
      <c r="I305" s="8"/>
      <c r="J305" s="8"/>
      <c r="K305" s="8"/>
      <c r="L305" s="8"/>
      <c r="M305" s="8"/>
      <c r="N305" s="8"/>
      <c r="O305" s="8"/>
      <c r="P305" s="8"/>
      <c r="Q305" s="8"/>
      <c r="R305" s="8"/>
    </row>
    <row r="306" spans="1:18" ht="12.75" customHeight="1">
      <c r="A306" s="8"/>
      <c r="B306" s="8"/>
      <c r="C306" s="30"/>
      <c r="D306" s="8"/>
      <c r="E306" s="8"/>
      <c r="F306" s="8"/>
      <c r="G306" s="8"/>
      <c r="H306" s="8"/>
      <c r="I306" s="8"/>
      <c r="J306" s="8"/>
      <c r="K306" s="8"/>
      <c r="L306" s="8"/>
      <c r="M306" s="8"/>
      <c r="N306" s="8"/>
      <c r="O306" s="8"/>
      <c r="P306" s="8"/>
      <c r="Q306" s="8"/>
      <c r="R306" s="8"/>
    </row>
    <row r="307" spans="1:18" ht="12.75" customHeight="1">
      <c r="A307" s="8"/>
      <c r="B307" s="8"/>
      <c r="C307" s="30"/>
      <c r="D307" s="8"/>
      <c r="E307" s="8"/>
      <c r="F307" s="8"/>
      <c r="G307" s="8"/>
      <c r="H307" s="8"/>
      <c r="I307" s="8"/>
      <c r="J307" s="8"/>
      <c r="K307" s="8"/>
      <c r="L307" s="8"/>
      <c r="M307" s="8"/>
      <c r="N307" s="8"/>
      <c r="O307" s="8"/>
      <c r="P307" s="8"/>
      <c r="Q307" s="8"/>
      <c r="R307" s="8"/>
    </row>
    <row r="308" spans="1:18" ht="12.75" customHeight="1">
      <c r="A308" s="8"/>
      <c r="B308" s="8"/>
      <c r="C308" s="30"/>
      <c r="D308" s="8"/>
      <c r="E308" s="8"/>
      <c r="F308" s="8"/>
      <c r="G308" s="8"/>
      <c r="H308" s="8"/>
      <c r="I308" s="8"/>
      <c r="J308" s="8"/>
      <c r="K308" s="8"/>
      <c r="L308" s="8"/>
      <c r="M308" s="8"/>
      <c r="N308" s="8"/>
      <c r="O308" s="8"/>
      <c r="P308" s="8"/>
      <c r="Q308" s="8"/>
      <c r="R308" s="8"/>
    </row>
    <row r="309" spans="1:18" ht="12.75" customHeight="1">
      <c r="A309" s="8"/>
      <c r="B309" s="8"/>
      <c r="C309" s="30"/>
      <c r="D309" s="8"/>
      <c r="E309" s="8"/>
      <c r="F309" s="8"/>
      <c r="G309" s="8"/>
      <c r="H309" s="8"/>
      <c r="I309" s="8"/>
      <c r="J309" s="8"/>
      <c r="K309" s="8"/>
      <c r="L309" s="8"/>
      <c r="M309" s="8"/>
      <c r="N309" s="8"/>
      <c r="O309" s="8"/>
      <c r="P309" s="8"/>
      <c r="Q309" s="8"/>
      <c r="R309" s="8"/>
    </row>
    <row r="310" spans="1:18" ht="12.75" customHeight="1">
      <c r="A310" s="8"/>
      <c r="B310" s="8"/>
      <c r="C310" s="30"/>
      <c r="D310" s="8"/>
      <c r="E310" s="8"/>
      <c r="F310" s="8"/>
      <c r="G310" s="8"/>
      <c r="H310" s="8"/>
      <c r="I310" s="8"/>
      <c r="J310" s="8"/>
      <c r="K310" s="8"/>
      <c r="L310" s="8"/>
      <c r="M310" s="8"/>
      <c r="N310" s="8"/>
      <c r="O310" s="8"/>
      <c r="P310" s="8"/>
      <c r="Q310" s="8"/>
      <c r="R310" s="8"/>
    </row>
    <row r="311" spans="1:18" ht="12.75" customHeight="1">
      <c r="A311" s="8"/>
      <c r="B311" s="8"/>
      <c r="C311" s="30"/>
      <c r="D311" s="8"/>
      <c r="E311" s="8"/>
      <c r="F311" s="8"/>
      <c r="G311" s="8"/>
      <c r="H311" s="8"/>
      <c r="I311" s="8"/>
      <c r="J311" s="8"/>
      <c r="K311" s="8"/>
      <c r="L311" s="8"/>
      <c r="M311" s="8"/>
      <c r="N311" s="8"/>
      <c r="O311" s="8"/>
      <c r="P311" s="8"/>
      <c r="Q311" s="8"/>
      <c r="R311" s="8"/>
    </row>
    <row r="312" spans="1:18" ht="12.75" customHeight="1">
      <c r="A312" s="8"/>
      <c r="B312" s="8"/>
      <c r="C312" s="30"/>
      <c r="D312" s="8"/>
      <c r="E312" s="8"/>
      <c r="F312" s="8"/>
      <c r="G312" s="8"/>
      <c r="H312" s="8"/>
      <c r="I312" s="8"/>
      <c r="J312" s="8"/>
      <c r="K312" s="8"/>
      <c r="L312" s="8"/>
      <c r="M312" s="8"/>
      <c r="N312" s="8"/>
      <c r="O312" s="8"/>
      <c r="P312" s="8"/>
      <c r="Q312" s="8"/>
      <c r="R312" s="8"/>
    </row>
    <row r="313" spans="1:18" ht="12.75" customHeight="1">
      <c r="A313" s="8"/>
      <c r="B313" s="8"/>
      <c r="C313" s="30"/>
      <c r="D313" s="8"/>
      <c r="E313" s="8"/>
      <c r="F313" s="8"/>
      <c r="G313" s="8"/>
      <c r="H313" s="8"/>
      <c r="I313" s="8"/>
      <c r="J313" s="8"/>
      <c r="K313" s="8"/>
      <c r="L313" s="8"/>
      <c r="M313" s="8"/>
      <c r="N313" s="8"/>
      <c r="O313" s="8"/>
      <c r="P313" s="8"/>
      <c r="Q313" s="8"/>
      <c r="R313" s="8"/>
    </row>
    <row r="314" spans="1:18" ht="12.75" customHeight="1">
      <c r="A314" s="8"/>
      <c r="B314" s="8"/>
      <c r="C314" s="30"/>
      <c r="D314" s="8"/>
      <c r="E314" s="8"/>
      <c r="F314" s="8"/>
      <c r="G314" s="8"/>
      <c r="H314" s="8"/>
      <c r="I314" s="8"/>
      <c r="J314" s="8"/>
      <c r="K314" s="8"/>
      <c r="L314" s="8"/>
      <c r="M314" s="8"/>
      <c r="N314" s="8"/>
      <c r="O314" s="8"/>
      <c r="P314" s="8"/>
      <c r="Q314" s="8"/>
      <c r="R314" s="8"/>
    </row>
    <row r="315" spans="1:18" ht="12.75" customHeight="1">
      <c r="A315" s="8"/>
      <c r="B315" s="8"/>
      <c r="C315" s="30"/>
      <c r="D315" s="8"/>
      <c r="E315" s="8"/>
      <c r="F315" s="8"/>
      <c r="G315" s="8"/>
      <c r="H315" s="8"/>
      <c r="I315" s="8"/>
      <c r="J315" s="8"/>
      <c r="K315" s="8"/>
      <c r="L315" s="8"/>
      <c r="M315" s="8"/>
      <c r="N315" s="8"/>
      <c r="O315" s="8"/>
      <c r="P315" s="8"/>
      <c r="Q315" s="8"/>
      <c r="R315" s="8"/>
    </row>
    <row r="316" spans="1:18" ht="12.75" customHeight="1">
      <c r="A316" s="8"/>
      <c r="B316" s="8"/>
      <c r="C316" s="30"/>
      <c r="D316" s="8"/>
      <c r="E316" s="8"/>
      <c r="F316" s="8"/>
      <c r="G316" s="8"/>
      <c r="H316" s="8"/>
      <c r="I316" s="8"/>
      <c r="J316" s="8"/>
      <c r="K316" s="8"/>
      <c r="L316" s="8"/>
      <c r="M316" s="8"/>
      <c r="N316" s="8"/>
      <c r="O316" s="8"/>
      <c r="P316" s="8"/>
      <c r="Q316" s="8"/>
      <c r="R316" s="8"/>
    </row>
    <row r="317" spans="1:18" ht="12.75" customHeight="1">
      <c r="A317" s="8"/>
      <c r="B317" s="8"/>
      <c r="C317" s="30"/>
      <c r="D317" s="8"/>
      <c r="E317" s="8"/>
      <c r="F317" s="8"/>
      <c r="G317" s="8"/>
      <c r="H317" s="8"/>
      <c r="I317" s="8"/>
      <c r="J317" s="8"/>
      <c r="K317" s="8"/>
      <c r="L317" s="8"/>
      <c r="M317" s="8"/>
      <c r="N317" s="8"/>
      <c r="O317" s="8"/>
      <c r="P317" s="8"/>
      <c r="Q317" s="8"/>
      <c r="R317" s="8"/>
    </row>
    <row r="318" spans="1:18" ht="12.75" customHeight="1">
      <c r="A318" s="8"/>
      <c r="B318" s="8"/>
      <c r="C318" s="30"/>
      <c r="D318" s="8"/>
      <c r="E318" s="8"/>
      <c r="F318" s="8"/>
      <c r="G318" s="8"/>
      <c r="H318" s="8"/>
      <c r="I318" s="8"/>
      <c r="J318" s="8"/>
      <c r="K318" s="8"/>
      <c r="L318" s="8"/>
      <c r="M318" s="8"/>
      <c r="N318" s="8"/>
      <c r="O318" s="8"/>
      <c r="P318" s="8"/>
      <c r="Q318" s="8"/>
      <c r="R318" s="8"/>
    </row>
    <row r="319" spans="1:18" ht="12.75" customHeight="1">
      <c r="A319" s="8"/>
      <c r="B319" s="8"/>
      <c r="C319" s="30"/>
      <c r="D319" s="8"/>
      <c r="E319" s="8"/>
      <c r="F319" s="8"/>
      <c r="G319" s="8"/>
      <c r="H319" s="8"/>
      <c r="I319" s="8"/>
      <c r="J319" s="8"/>
      <c r="K319" s="8"/>
      <c r="L319" s="8"/>
      <c r="M319" s="8"/>
      <c r="N319" s="8"/>
      <c r="O319" s="8"/>
      <c r="P319" s="8"/>
      <c r="Q319" s="8"/>
      <c r="R319" s="8"/>
    </row>
    <row r="320" spans="1:18" ht="12.75" customHeight="1">
      <c r="A320" s="8"/>
      <c r="B320" s="8"/>
      <c r="C320" s="30"/>
      <c r="D320" s="8"/>
      <c r="E320" s="8"/>
      <c r="F320" s="8"/>
      <c r="G320" s="8"/>
      <c r="H320" s="8"/>
      <c r="I320" s="8"/>
      <c r="J320" s="8"/>
      <c r="K320" s="8"/>
      <c r="L320" s="8"/>
      <c r="M320" s="8"/>
      <c r="N320" s="8"/>
      <c r="O320" s="8"/>
      <c r="P320" s="8"/>
      <c r="Q320" s="8"/>
      <c r="R320" s="8"/>
    </row>
    <row r="321" spans="1:18" ht="12.75" customHeight="1">
      <c r="A321" s="8"/>
      <c r="B321" s="8"/>
      <c r="C321" s="30"/>
      <c r="D321" s="8"/>
      <c r="E321" s="8"/>
      <c r="F321" s="8"/>
      <c r="G321" s="8"/>
      <c r="H321" s="8"/>
      <c r="I321" s="8"/>
      <c r="J321" s="8"/>
      <c r="K321" s="8"/>
      <c r="L321" s="8"/>
      <c r="M321" s="8"/>
      <c r="N321" s="8"/>
      <c r="O321" s="8"/>
      <c r="P321" s="8"/>
      <c r="Q321" s="8"/>
      <c r="R321" s="8"/>
    </row>
    <row r="322" spans="1:18" ht="12.75" customHeight="1">
      <c r="A322" s="8"/>
      <c r="B322" s="8"/>
      <c r="C322" s="30"/>
      <c r="D322" s="8"/>
      <c r="E322" s="8"/>
      <c r="F322" s="8"/>
      <c r="G322" s="8"/>
      <c r="H322" s="8"/>
      <c r="I322" s="8"/>
      <c r="J322" s="8"/>
      <c r="K322" s="8"/>
      <c r="L322" s="8"/>
      <c r="M322" s="8"/>
      <c r="N322" s="8"/>
      <c r="O322" s="8"/>
      <c r="P322" s="8"/>
      <c r="Q322" s="8"/>
      <c r="R322" s="8"/>
    </row>
    <row r="323" spans="1:18" ht="12.75" customHeight="1">
      <c r="A323" s="8"/>
      <c r="B323" s="8"/>
      <c r="C323" s="30"/>
      <c r="D323" s="8"/>
      <c r="E323" s="8"/>
      <c r="F323" s="8"/>
      <c r="G323" s="8"/>
      <c r="H323" s="8"/>
      <c r="I323" s="8"/>
      <c r="J323" s="8"/>
      <c r="K323" s="8"/>
      <c r="L323" s="8"/>
      <c r="M323" s="8"/>
      <c r="N323" s="8"/>
      <c r="O323" s="8"/>
      <c r="P323" s="8"/>
      <c r="Q323" s="8"/>
      <c r="R323" s="8"/>
    </row>
    <row r="324" spans="1:18" ht="12.75" customHeight="1">
      <c r="A324" s="8"/>
      <c r="B324" s="8"/>
      <c r="C324" s="30"/>
      <c r="D324" s="8"/>
      <c r="E324" s="8"/>
      <c r="F324" s="8"/>
      <c r="G324" s="8"/>
      <c r="H324" s="8"/>
      <c r="I324" s="8"/>
      <c r="J324" s="8"/>
      <c r="K324" s="8"/>
      <c r="L324" s="8"/>
      <c r="M324" s="8"/>
      <c r="N324" s="8"/>
      <c r="O324" s="8"/>
      <c r="P324" s="8"/>
      <c r="Q324" s="8"/>
      <c r="R324" s="8"/>
    </row>
    <row r="325" spans="1:18" ht="12.75" customHeight="1">
      <c r="A325" s="8"/>
      <c r="B325" s="8"/>
      <c r="C325" s="30"/>
      <c r="D325" s="8"/>
      <c r="E325" s="8"/>
      <c r="F325" s="8"/>
      <c r="G325" s="8"/>
      <c r="H325" s="8"/>
      <c r="I325" s="8"/>
      <c r="J325" s="8"/>
      <c r="K325" s="8"/>
      <c r="L325" s="8"/>
      <c r="M325" s="8"/>
      <c r="N325" s="8"/>
      <c r="O325" s="8"/>
      <c r="P325" s="8"/>
      <c r="Q325" s="8"/>
      <c r="R325" s="8"/>
    </row>
    <row r="326" spans="1:18" ht="12.75" customHeight="1">
      <c r="A326" s="8"/>
      <c r="B326" s="8"/>
      <c r="C326" s="30"/>
      <c r="D326" s="8"/>
      <c r="E326" s="8"/>
      <c r="F326" s="8"/>
      <c r="G326" s="8"/>
      <c r="H326" s="8"/>
      <c r="I326" s="8"/>
      <c r="J326" s="8"/>
      <c r="K326" s="8"/>
      <c r="L326" s="8"/>
      <c r="M326" s="8"/>
      <c r="N326" s="8"/>
      <c r="O326" s="8"/>
      <c r="P326" s="8"/>
      <c r="Q326" s="8"/>
      <c r="R326" s="8"/>
    </row>
    <row r="327" spans="1:18" ht="12.75" customHeight="1">
      <c r="A327" s="8"/>
      <c r="B327" s="8"/>
      <c r="C327" s="30"/>
      <c r="D327" s="8"/>
      <c r="E327" s="8"/>
      <c r="F327" s="8"/>
      <c r="G327" s="8"/>
      <c r="H327" s="8"/>
      <c r="I327" s="8"/>
      <c r="J327" s="8"/>
      <c r="K327" s="8"/>
      <c r="L327" s="8"/>
      <c r="M327" s="8"/>
      <c r="N327" s="8"/>
      <c r="O327" s="8"/>
      <c r="P327" s="8"/>
      <c r="Q327" s="8"/>
      <c r="R327" s="8"/>
    </row>
    <row r="328" spans="1:18" ht="12.75" customHeight="1">
      <c r="A328" s="8"/>
      <c r="B328" s="8"/>
      <c r="C328" s="30"/>
      <c r="D328" s="8"/>
      <c r="E328" s="8"/>
      <c r="F328" s="8"/>
      <c r="G328" s="8"/>
      <c r="H328" s="8"/>
      <c r="I328" s="8"/>
      <c r="J328" s="8"/>
      <c r="K328" s="8"/>
      <c r="L328" s="8"/>
      <c r="M328" s="8"/>
      <c r="N328" s="8"/>
      <c r="O328" s="8"/>
      <c r="P328" s="8"/>
      <c r="Q328" s="8"/>
      <c r="R328" s="8"/>
    </row>
    <row r="329" spans="1:18" ht="12.75" customHeight="1">
      <c r="A329" s="8"/>
      <c r="B329" s="8"/>
      <c r="C329" s="30"/>
      <c r="D329" s="8"/>
      <c r="E329" s="8"/>
      <c r="F329" s="8"/>
      <c r="G329" s="8"/>
      <c r="H329" s="8"/>
      <c r="I329" s="8"/>
      <c r="J329" s="8"/>
      <c r="K329" s="8"/>
      <c r="L329" s="8"/>
      <c r="M329" s="8"/>
      <c r="N329" s="8"/>
      <c r="O329" s="8"/>
      <c r="P329" s="8"/>
      <c r="Q329" s="8"/>
      <c r="R329" s="8"/>
    </row>
    <row r="330" spans="1:18" ht="12.75" customHeight="1">
      <c r="A330" s="8"/>
      <c r="B330" s="8"/>
      <c r="C330" s="30"/>
      <c r="D330" s="8"/>
      <c r="E330" s="8"/>
      <c r="F330" s="8"/>
      <c r="G330" s="8"/>
      <c r="H330" s="8"/>
      <c r="I330" s="8"/>
      <c r="J330" s="8"/>
      <c r="K330" s="8"/>
      <c r="L330" s="8"/>
      <c r="M330" s="8"/>
      <c r="N330" s="8"/>
      <c r="O330" s="8"/>
      <c r="P330" s="8"/>
      <c r="Q330" s="8"/>
      <c r="R330" s="8"/>
    </row>
    <row r="331" spans="1:18" ht="12.75" customHeight="1">
      <c r="A331" s="8"/>
      <c r="B331" s="8"/>
      <c r="C331" s="30"/>
      <c r="D331" s="8"/>
      <c r="E331" s="8"/>
      <c r="F331" s="8"/>
      <c r="G331" s="8"/>
      <c r="H331" s="8"/>
      <c r="I331" s="8"/>
      <c r="J331" s="8"/>
      <c r="K331" s="8"/>
      <c r="L331" s="8"/>
      <c r="M331" s="8"/>
      <c r="N331" s="8"/>
      <c r="O331" s="8"/>
      <c r="P331" s="8"/>
      <c r="Q331" s="8"/>
      <c r="R331" s="8"/>
    </row>
    <row r="332" spans="1:18" ht="12.75" customHeight="1">
      <c r="A332" s="8"/>
      <c r="B332" s="8"/>
      <c r="C332" s="30"/>
      <c r="D332" s="8"/>
      <c r="E332" s="8"/>
      <c r="F332" s="8"/>
      <c r="G332" s="8"/>
      <c r="H332" s="8"/>
      <c r="I332" s="8"/>
      <c r="J332" s="8"/>
      <c r="K332" s="8"/>
      <c r="L332" s="8"/>
      <c r="M332" s="8"/>
      <c r="N332" s="8"/>
      <c r="O332" s="8"/>
      <c r="P332" s="8"/>
      <c r="Q332" s="8"/>
      <c r="R332" s="8"/>
    </row>
    <row r="333" spans="1:18" ht="12.75" customHeight="1">
      <c r="A333" s="8"/>
      <c r="B333" s="8"/>
      <c r="C333" s="30"/>
      <c r="D333" s="8"/>
      <c r="E333" s="8"/>
      <c r="F333" s="8"/>
      <c r="G333" s="8"/>
      <c r="H333" s="8"/>
      <c r="I333" s="8"/>
      <c r="J333" s="8"/>
      <c r="K333" s="8"/>
      <c r="L333" s="8"/>
      <c r="M333" s="8"/>
      <c r="N333" s="8"/>
      <c r="O333" s="8"/>
      <c r="P333" s="8"/>
      <c r="Q333" s="8"/>
      <c r="R333" s="8"/>
    </row>
    <row r="334" spans="1:18" ht="12.75" customHeight="1">
      <c r="A334" s="8"/>
      <c r="B334" s="8"/>
      <c r="C334" s="30"/>
      <c r="D334" s="8"/>
      <c r="E334" s="8"/>
      <c r="F334" s="8"/>
      <c r="G334" s="8"/>
      <c r="H334" s="8"/>
      <c r="I334" s="8"/>
      <c r="J334" s="8"/>
      <c r="K334" s="8"/>
      <c r="L334" s="8"/>
      <c r="M334" s="8"/>
      <c r="N334" s="8"/>
      <c r="O334" s="8"/>
      <c r="P334" s="8"/>
      <c r="Q334" s="8"/>
      <c r="R334" s="8"/>
    </row>
    <row r="335" spans="1:18" ht="12.75" customHeight="1">
      <c r="A335" s="8"/>
      <c r="B335" s="8"/>
      <c r="C335" s="30"/>
      <c r="D335" s="8"/>
      <c r="E335" s="8"/>
      <c r="F335" s="8"/>
      <c r="G335" s="8"/>
      <c r="H335" s="8"/>
      <c r="I335" s="8"/>
      <c r="J335" s="8"/>
      <c r="K335" s="8"/>
      <c r="L335" s="8"/>
      <c r="M335" s="8"/>
      <c r="N335" s="8"/>
      <c r="O335" s="8"/>
      <c r="P335" s="8"/>
      <c r="Q335" s="8"/>
      <c r="R335" s="8"/>
    </row>
    <row r="336" spans="1:18" ht="12.75" customHeight="1">
      <c r="A336" s="8"/>
      <c r="B336" s="8"/>
      <c r="C336" s="30"/>
      <c r="D336" s="8"/>
      <c r="E336" s="8"/>
      <c r="F336" s="8"/>
      <c r="G336" s="8"/>
      <c r="H336" s="8"/>
      <c r="I336" s="8"/>
      <c r="J336" s="8"/>
      <c r="K336" s="8"/>
      <c r="L336" s="8"/>
      <c r="M336" s="8"/>
      <c r="N336" s="8"/>
      <c r="O336" s="8"/>
      <c r="P336" s="8"/>
      <c r="Q336" s="8"/>
      <c r="R336" s="8"/>
    </row>
    <row r="337" spans="1:18" ht="12.75" customHeight="1">
      <c r="A337" s="8"/>
      <c r="B337" s="8"/>
      <c r="C337" s="30"/>
      <c r="D337" s="8"/>
      <c r="E337" s="8"/>
      <c r="F337" s="8"/>
      <c r="G337" s="8"/>
      <c r="H337" s="8"/>
      <c r="I337" s="8"/>
      <c r="J337" s="8"/>
      <c r="K337" s="8"/>
      <c r="L337" s="8"/>
      <c r="M337" s="8"/>
      <c r="N337" s="8"/>
      <c r="O337" s="8"/>
      <c r="P337" s="8"/>
      <c r="Q337" s="8"/>
      <c r="R337" s="8"/>
    </row>
    <row r="338" spans="1:18" ht="12.75" customHeight="1">
      <c r="A338" s="8"/>
      <c r="B338" s="8"/>
      <c r="C338" s="30"/>
      <c r="D338" s="8"/>
      <c r="E338" s="8"/>
      <c r="F338" s="8"/>
      <c r="G338" s="8"/>
      <c r="H338" s="8"/>
      <c r="I338" s="8"/>
      <c r="J338" s="8"/>
      <c r="K338" s="8"/>
      <c r="L338" s="8"/>
      <c r="M338" s="8"/>
      <c r="N338" s="8"/>
      <c r="O338" s="8"/>
      <c r="P338" s="8"/>
      <c r="Q338" s="8"/>
      <c r="R338" s="8"/>
    </row>
    <row r="339" spans="1:18" ht="12.75" customHeight="1">
      <c r="A339" s="8"/>
      <c r="B339" s="8"/>
      <c r="C339" s="30"/>
      <c r="D339" s="8"/>
      <c r="E339" s="8"/>
      <c r="F339" s="8"/>
      <c r="G339" s="8"/>
      <c r="H339" s="8"/>
      <c r="I339" s="8"/>
      <c r="J339" s="8"/>
      <c r="K339" s="8"/>
      <c r="L339" s="8"/>
      <c r="M339" s="8"/>
      <c r="N339" s="8"/>
      <c r="O339" s="8"/>
      <c r="P339" s="8"/>
      <c r="Q339" s="8"/>
      <c r="R339" s="8"/>
    </row>
    <row r="340" spans="1:18" ht="12.75" customHeight="1">
      <c r="A340" s="8"/>
      <c r="B340" s="8"/>
      <c r="C340" s="30"/>
      <c r="D340" s="8"/>
      <c r="E340" s="8"/>
      <c r="F340" s="8"/>
      <c r="G340" s="8"/>
      <c r="H340" s="8"/>
      <c r="I340" s="8"/>
      <c r="J340" s="8"/>
      <c r="K340" s="8"/>
      <c r="L340" s="8"/>
      <c r="M340" s="8"/>
      <c r="N340" s="8"/>
      <c r="O340" s="8"/>
      <c r="P340" s="8"/>
      <c r="Q340" s="8"/>
      <c r="R340" s="8"/>
    </row>
    <row r="341" spans="1:18" ht="12.75" customHeight="1">
      <c r="A341" s="8"/>
      <c r="B341" s="8"/>
      <c r="C341" s="30"/>
      <c r="D341" s="8"/>
      <c r="E341" s="8"/>
      <c r="F341" s="8"/>
      <c r="G341" s="8"/>
      <c r="H341" s="8"/>
      <c r="I341" s="8"/>
      <c r="J341" s="8"/>
      <c r="K341" s="8"/>
      <c r="L341" s="8"/>
      <c r="M341" s="8"/>
      <c r="N341" s="8"/>
      <c r="O341" s="8"/>
      <c r="P341" s="8"/>
      <c r="Q341" s="8"/>
      <c r="R341" s="8"/>
    </row>
    <row r="342" spans="1:18" ht="12.75" customHeight="1">
      <c r="A342" s="8"/>
      <c r="B342" s="8"/>
      <c r="C342" s="30"/>
      <c r="D342" s="8"/>
      <c r="E342" s="8"/>
      <c r="F342" s="8"/>
      <c r="G342" s="8"/>
      <c r="H342" s="8"/>
      <c r="I342" s="8"/>
      <c r="J342" s="8"/>
      <c r="K342" s="8"/>
      <c r="L342" s="8"/>
      <c r="M342" s="8"/>
      <c r="N342" s="8"/>
      <c r="O342" s="8"/>
      <c r="P342" s="8"/>
      <c r="Q342" s="8"/>
      <c r="R342" s="8"/>
    </row>
    <row r="343" spans="1:18" ht="12.75" customHeight="1">
      <c r="A343" s="8"/>
      <c r="B343" s="8"/>
      <c r="C343" s="30"/>
      <c r="D343" s="8"/>
      <c r="E343" s="8"/>
      <c r="F343" s="8"/>
      <c r="G343" s="8"/>
      <c r="H343" s="8"/>
      <c r="I343" s="8"/>
      <c r="J343" s="8"/>
      <c r="K343" s="8"/>
      <c r="L343" s="8"/>
      <c r="M343" s="8"/>
      <c r="N343" s="8"/>
      <c r="O343" s="8"/>
      <c r="P343" s="8"/>
      <c r="Q343" s="8"/>
      <c r="R343" s="8"/>
    </row>
    <row r="344" spans="1:18" ht="12.75" customHeight="1">
      <c r="A344" s="8"/>
      <c r="B344" s="8"/>
      <c r="C344" s="30"/>
      <c r="D344" s="8"/>
      <c r="E344" s="8"/>
      <c r="F344" s="8"/>
      <c r="G344" s="8"/>
      <c r="H344" s="8"/>
      <c r="I344" s="8"/>
      <c r="J344" s="8"/>
      <c r="K344" s="8"/>
      <c r="L344" s="8"/>
      <c r="M344" s="8"/>
      <c r="N344" s="8"/>
      <c r="O344" s="8"/>
      <c r="P344" s="8"/>
      <c r="Q344" s="8"/>
      <c r="R344" s="8"/>
    </row>
    <row r="345" spans="1:18" ht="12.75" customHeight="1">
      <c r="A345" s="8"/>
      <c r="B345" s="8"/>
      <c r="C345" s="30"/>
      <c r="D345" s="8"/>
      <c r="E345" s="8"/>
      <c r="F345" s="8"/>
      <c r="G345" s="8"/>
      <c r="H345" s="8"/>
      <c r="I345" s="8"/>
      <c r="J345" s="8"/>
      <c r="K345" s="8"/>
      <c r="L345" s="8"/>
      <c r="M345" s="8"/>
      <c r="N345" s="8"/>
      <c r="O345" s="8"/>
      <c r="P345" s="8"/>
      <c r="Q345" s="8"/>
      <c r="R345" s="8"/>
    </row>
    <row r="346" spans="1:18" ht="12.75" customHeight="1">
      <c r="A346" s="8"/>
      <c r="B346" s="8"/>
      <c r="C346" s="30"/>
      <c r="D346" s="8"/>
      <c r="E346" s="8"/>
      <c r="F346" s="8"/>
      <c r="G346" s="8"/>
      <c r="H346" s="8"/>
      <c r="I346" s="8"/>
      <c r="J346" s="8"/>
      <c r="K346" s="8"/>
      <c r="L346" s="8"/>
      <c r="M346" s="8"/>
      <c r="N346" s="8"/>
      <c r="O346" s="8"/>
      <c r="P346" s="8"/>
      <c r="Q346" s="8"/>
      <c r="R346" s="8"/>
    </row>
    <row r="347" spans="1:18" ht="12.75" customHeight="1">
      <c r="A347" s="8"/>
      <c r="B347" s="8"/>
      <c r="C347" s="30"/>
      <c r="D347" s="8"/>
      <c r="E347" s="8"/>
      <c r="F347" s="8"/>
      <c r="G347" s="8"/>
      <c r="H347" s="8"/>
      <c r="I347" s="8"/>
      <c r="J347" s="8"/>
      <c r="K347" s="8"/>
      <c r="L347" s="8"/>
      <c r="M347" s="8"/>
      <c r="N347" s="8"/>
      <c r="O347" s="8"/>
      <c r="P347" s="8"/>
      <c r="Q347" s="8"/>
      <c r="R347" s="8"/>
    </row>
    <row r="348" spans="1:18" ht="12.75" customHeight="1">
      <c r="A348" s="8"/>
      <c r="B348" s="8"/>
      <c r="C348" s="30"/>
      <c r="D348" s="8"/>
      <c r="E348" s="8"/>
      <c r="F348" s="8"/>
      <c r="G348" s="8"/>
      <c r="H348" s="8"/>
      <c r="I348" s="8"/>
      <c r="J348" s="8"/>
      <c r="K348" s="8"/>
      <c r="L348" s="8"/>
      <c r="M348" s="8"/>
      <c r="N348" s="8"/>
      <c r="O348" s="8"/>
      <c r="P348" s="8"/>
      <c r="Q348" s="8"/>
      <c r="R348" s="8"/>
    </row>
    <row r="349" spans="1:18" ht="12.75" customHeight="1">
      <c r="A349" s="8"/>
      <c r="B349" s="8"/>
      <c r="C349" s="30"/>
      <c r="D349" s="8"/>
      <c r="E349" s="8"/>
      <c r="F349" s="8"/>
      <c r="G349" s="8"/>
      <c r="H349" s="8"/>
      <c r="I349" s="8"/>
      <c r="J349" s="8"/>
      <c r="K349" s="8"/>
      <c r="L349" s="8"/>
      <c r="M349" s="8"/>
      <c r="N349" s="8"/>
      <c r="O349" s="8"/>
      <c r="P349" s="8"/>
      <c r="Q349" s="8"/>
      <c r="R349" s="8"/>
    </row>
    <row r="350" spans="1:18" ht="12.75" customHeight="1">
      <c r="A350" s="8"/>
      <c r="B350" s="8"/>
      <c r="C350" s="30"/>
      <c r="D350" s="8"/>
      <c r="E350" s="8"/>
      <c r="F350" s="8"/>
      <c r="G350" s="8"/>
      <c r="H350" s="8"/>
      <c r="I350" s="8"/>
      <c r="J350" s="8"/>
      <c r="K350" s="8"/>
      <c r="L350" s="8"/>
      <c r="M350" s="8"/>
      <c r="N350" s="8"/>
      <c r="O350" s="8"/>
      <c r="P350" s="8"/>
      <c r="Q350" s="8"/>
      <c r="R350" s="8"/>
    </row>
    <row r="351" spans="1:18" ht="12.75" customHeight="1">
      <c r="A351" s="8"/>
      <c r="B351" s="8"/>
      <c r="C351" s="30"/>
      <c r="D351" s="8"/>
      <c r="E351" s="8"/>
      <c r="F351" s="8"/>
      <c r="G351" s="8"/>
      <c r="H351" s="8"/>
      <c r="I351" s="8"/>
      <c r="J351" s="8"/>
      <c r="K351" s="8"/>
      <c r="L351" s="8"/>
      <c r="M351" s="8"/>
      <c r="N351" s="8"/>
      <c r="O351" s="8"/>
      <c r="P351" s="8"/>
      <c r="Q351" s="8"/>
      <c r="R351" s="8"/>
    </row>
    <row r="352" spans="1:18" ht="12.75" customHeight="1">
      <c r="A352" s="8"/>
      <c r="B352" s="8"/>
      <c r="C352" s="30"/>
      <c r="D352" s="8"/>
      <c r="E352" s="8"/>
      <c r="F352" s="8"/>
      <c r="G352" s="8"/>
      <c r="H352" s="8"/>
      <c r="I352" s="8"/>
      <c r="J352" s="8"/>
      <c r="K352" s="8"/>
      <c r="L352" s="8"/>
      <c r="M352" s="8"/>
      <c r="N352" s="8"/>
      <c r="O352" s="8"/>
      <c r="P352" s="8"/>
      <c r="Q352" s="8"/>
      <c r="R352" s="8"/>
    </row>
    <row r="353" spans="1:18" ht="12.75" customHeight="1">
      <c r="A353" s="8"/>
      <c r="B353" s="8"/>
      <c r="C353" s="30"/>
      <c r="D353" s="8"/>
      <c r="E353" s="8"/>
      <c r="F353" s="8"/>
      <c r="G353" s="8"/>
      <c r="H353" s="8"/>
      <c r="I353" s="8"/>
      <c r="J353" s="8"/>
      <c r="K353" s="8"/>
      <c r="L353" s="8"/>
      <c r="M353" s="8"/>
      <c r="N353" s="8"/>
      <c r="O353" s="8"/>
      <c r="P353" s="8"/>
      <c r="Q353" s="8"/>
      <c r="R353" s="8"/>
    </row>
    <row r="354" spans="1:18" ht="12.75" customHeight="1">
      <c r="A354" s="8"/>
      <c r="B354" s="8"/>
      <c r="C354" s="30"/>
      <c r="D354" s="8"/>
      <c r="E354" s="8"/>
      <c r="F354" s="8"/>
      <c r="G354" s="8"/>
      <c r="H354" s="8"/>
      <c r="I354" s="8"/>
      <c r="J354" s="8"/>
      <c r="K354" s="8"/>
      <c r="L354" s="8"/>
      <c r="M354" s="8"/>
      <c r="N354" s="8"/>
      <c r="O354" s="8"/>
      <c r="P354" s="8"/>
      <c r="Q354" s="8"/>
      <c r="R354" s="8"/>
    </row>
    <row r="355" spans="1:18" ht="12.75" customHeight="1">
      <c r="A355" s="8"/>
      <c r="B355" s="8"/>
      <c r="C355" s="30"/>
      <c r="D355" s="8"/>
      <c r="E355" s="8"/>
      <c r="F355" s="8"/>
      <c r="G355" s="8"/>
      <c r="H355" s="8"/>
      <c r="I355" s="8"/>
      <c r="J355" s="8"/>
      <c r="K355" s="8"/>
      <c r="L355" s="8"/>
      <c r="M355" s="8"/>
      <c r="N355" s="8"/>
      <c r="O355" s="8"/>
      <c r="P355" s="8"/>
      <c r="Q355" s="8"/>
      <c r="R355" s="8"/>
    </row>
    <row r="356" spans="1:18" ht="12.75" customHeight="1">
      <c r="A356" s="8"/>
      <c r="B356" s="8"/>
      <c r="C356" s="30"/>
      <c r="D356" s="8"/>
      <c r="E356" s="8"/>
      <c r="F356" s="8"/>
      <c r="G356" s="8"/>
      <c r="H356" s="8"/>
      <c r="I356" s="8"/>
      <c r="J356" s="8"/>
      <c r="K356" s="8"/>
      <c r="L356" s="8"/>
      <c r="M356" s="8"/>
      <c r="N356" s="8"/>
      <c r="O356" s="8"/>
      <c r="P356" s="8"/>
      <c r="Q356" s="8"/>
      <c r="R356" s="8"/>
    </row>
    <row r="357" spans="1:18" ht="12.75" customHeight="1">
      <c r="A357" s="8"/>
      <c r="B357" s="8"/>
      <c r="C357" s="30"/>
      <c r="D357" s="8"/>
      <c r="E357" s="8"/>
      <c r="F357" s="8"/>
      <c r="G357" s="8"/>
      <c r="H357" s="8"/>
      <c r="I357" s="8"/>
      <c r="J357" s="8"/>
      <c r="K357" s="8"/>
      <c r="L357" s="8"/>
      <c r="M357" s="8"/>
      <c r="N357" s="8"/>
      <c r="O357" s="8"/>
      <c r="P357" s="8"/>
      <c r="Q357" s="8"/>
      <c r="R357" s="8"/>
    </row>
    <row r="358" spans="1:18" ht="12.75" customHeight="1">
      <c r="A358" s="8"/>
      <c r="B358" s="8"/>
      <c r="C358" s="30"/>
      <c r="D358" s="8"/>
      <c r="E358" s="8"/>
      <c r="F358" s="8"/>
      <c r="G358" s="8"/>
      <c r="H358" s="8"/>
      <c r="I358" s="8"/>
      <c r="J358" s="8"/>
      <c r="K358" s="8"/>
      <c r="L358" s="8"/>
      <c r="M358" s="8"/>
      <c r="N358" s="8"/>
      <c r="O358" s="8"/>
      <c r="P358" s="8"/>
      <c r="Q358" s="8"/>
      <c r="R358" s="8"/>
    </row>
    <row r="359" spans="1:18" ht="12.75" customHeight="1">
      <c r="A359" s="8"/>
      <c r="B359" s="8"/>
      <c r="C359" s="30"/>
      <c r="D359" s="8"/>
      <c r="E359" s="8"/>
      <c r="F359" s="8"/>
      <c r="G359" s="8"/>
      <c r="H359" s="8"/>
      <c r="I359" s="8"/>
      <c r="J359" s="8"/>
      <c r="K359" s="8"/>
      <c r="L359" s="8"/>
      <c r="M359" s="8"/>
      <c r="N359" s="8"/>
      <c r="O359" s="8"/>
      <c r="P359" s="8"/>
      <c r="Q359" s="8"/>
      <c r="R359" s="8"/>
    </row>
    <row r="360" spans="1:18" ht="12.75" customHeight="1">
      <c r="A360" s="8"/>
      <c r="B360" s="8"/>
      <c r="C360" s="30"/>
      <c r="D360" s="8"/>
      <c r="E360" s="8"/>
      <c r="F360" s="8"/>
      <c r="G360" s="8"/>
      <c r="H360" s="8"/>
      <c r="I360" s="8"/>
      <c r="J360" s="8"/>
      <c r="K360" s="8"/>
      <c r="L360" s="8"/>
      <c r="M360" s="8"/>
      <c r="N360" s="8"/>
      <c r="O360" s="8"/>
      <c r="P360" s="8"/>
      <c r="Q360" s="8"/>
      <c r="R360" s="8"/>
    </row>
    <row r="361" spans="1:18" ht="12.75" customHeight="1">
      <c r="A361" s="8"/>
      <c r="B361" s="8"/>
      <c r="C361" s="30"/>
      <c r="D361" s="8"/>
      <c r="E361" s="8"/>
      <c r="F361" s="8"/>
      <c r="G361" s="8"/>
      <c r="H361" s="8"/>
      <c r="I361" s="8"/>
      <c r="J361" s="8"/>
      <c r="K361" s="8"/>
      <c r="L361" s="8"/>
      <c r="M361" s="8"/>
      <c r="N361" s="8"/>
      <c r="O361" s="8"/>
      <c r="P361" s="8"/>
      <c r="Q361" s="8"/>
      <c r="R361" s="8"/>
    </row>
    <row r="362" spans="1:18" ht="12.75" customHeight="1">
      <c r="A362" s="8"/>
      <c r="B362" s="8"/>
      <c r="C362" s="30"/>
      <c r="D362" s="8"/>
      <c r="E362" s="8"/>
      <c r="F362" s="8"/>
      <c r="G362" s="8"/>
      <c r="H362" s="8"/>
      <c r="I362" s="8"/>
      <c r="J362" s="8"/>
      <c r="K362" s="8"/>
      <c r="L362" s="8"/>
      <c r="M362" s="8"/>
      <c r="N362" s="8"/>
      <c r="O362" s="8"/>
      <c r="P362" s="8"/>
      <c r="Q362" s="8"/>
      <c r="R362" s="8"/>
    </row>
    <row r="363" spans="1:18" ht="12.75" customHeight="1">
      <c r="A363" s="8"/>
      <c r="B363" s="8"/>
      <c r="C363" s="30"/>
      <c r="D363" s="8"/>
      <c r="E363" s="8"/>
      <c r="F363" s="8"/>
      <c r="G363" s="8"/>
      <c r="H363" s="8"/>
      <c r="I363" s="8"/>
      <c r="J363" s="8"/>
      <c r="K363" s="8"/>
      <c r="L363" s="8"/>
      <c r="M363" s="8"/>
      <c r="N363" s="8"/>
      <c r="O363" s="8"/>
      <c r="P363" s="8"/>
      <c r="Q363" s="8"/>
      <c r="R363" s="8"/>
    </row>
    <row r="364" spans="1:18" ht="12.75" customHeight="1">
      <c r="A364" s="8"/>
      <c r="B364" s="8"/>
      <c r="C364" s="30"/>
      <c r="D364" s="8"/>
      <c r="E364" s="8"/>
      <c r="F364" s="8"/>
      <c r="G364" s="8"/>
      <c r="H364" s="8"/>
      <c r="I364" s="8"/>
      <c r="J364" s="8"/>
      <c r="K364" s="8"/>
      <c r="L364" s="8"/>
      <c r="M364" s="8"/>
      <c r="N364" s="8"/>
      <c r="O364" s="8"/>
      <c r="P364" s="8"/>
      <c r="Q364" s="8"/>
      <c r="R364" s="8"/>
    </row>
    <row r="365" spans="1:18" ht="12.75" customHeight="1">
      <c r="A365" s="8"/>
      <c r="B365" s="8"/>
      <c r="C365" s="30"/>
      <c r="D365" s="8"/>
      <c r="E365" s="8"/>
      <c r="F365" s="8"/>
      <c r="G365" s="8"/>
      <c r="H365" s="8"/>
      <c r="I365" s="8"/>
      <c r="J365" s="8"/>
      <c r="K365" s="8"/>
      <c r="L365" s="8"/>
      <c r="M365" s="8"/>
      <c r="N365" s="8"/>
      <c r="O365" s="8"/>
      <c r="P365" s="8"/>
      <c r="Q365" s="8"/>
      <c r="R365" s="8"/>
    </row>
    <row r="366" spans="1:18" ht="12.75" customHeight="1">
      <c r="A366" s="8"/>
      <c r="B366" s="8"/>
      <c r="C366" s="30"/>
      <c r="D366" s="8"/>
      <c r="E366" s="8"/>
      <c r="F366" s="8"/>
      <c r="G366" s="8"/>
      <c r="H366" s="8"/>
      <c r="I366" s="8"/>
      <c r="J366" s="8"/>
      <c r="K366" s="8"/>
      <c r="L366" s="8"/>
      <c r="M366" s="8"/>
      <c r="N366" s="8"/>
      <c r="O366" s="8"/>
      <c r="P366" s="8"/>
      <c r="Q366" s="8"/>
      <c r="R366" s="8"/>
    </row>
    <row r="367" spans="1:18" ht="12.75" customHeight="1">
      <c r="A367" s="8"/>
      <c r="B367" s="8"/>
      <c r="C367" s="30"/>
      <c r="D367" s="8"/>
      <c r="E367" s="8"/>
      <c r="F367" s="8"/>
      <c r="G367" s="8"/>
      <c r="H367" s="8"/>
      <c r="I367" s="8"/>
      <c r="J367" s="8"/>
      <c r="K367" s="8"/>
      <c r="L367" s="8"/>
      <c r="M367" s="8"/>
      <c r="N367" s="8"/>
      <c r="O367" s="8"/>
      <c r="P367" s="8"/>
      <c r="Q367" s="8"/>
      <c r="R367" s="8"/>
    </row>
    <row r="368" spans="1:18" ht="12.75" customHeight="1">
      <c r="A368" s="8"/>
      <c r="B368" s="8"/>
      <c r="C368" s="30"/>
      <c r="D368" s="8"/>
      <c r="E368" s="8"/>
      <c r="F368" s="8"/>
      <c r="G368" s="8"/>
      <c r="H368" s="8"/>
      <c r="I368" s="8"/>
      <c r="J368" s="8"/>
      <c r="K368" s="8"/>
      <c r="L368" s="8"/>
      <c r="M368" s="8"/>
      <c r="N368" s="8"/>
      <c r="O368" s="8"/>
      <c r="P368" s="8"/>
      <c r="Q368" s="8"/>
      <c r="R368" s="8"/>
    </row>
    <row r="369" spans="1:18" ht="12.75" customHeight="1">
      <c r="A369" s="8"/>
      <c r="B369" s="8"/>
      <c r="C369" s="30"/>
      <c r="D369" s="8"/>
      <c r="E369" s="8"/>
      <c r="F369" s="8"/>
      <c r="G369" s="8"/>
      <c r="H369" s="8"/>
      <c r="I369" s="8"/>
      <c r="J369" s="8"/>
      <c r="K369" s="8"/>
      <c r="L369" s="8"/>
      <c r="M369" s="8"/>
      <c r="N369" s="8"/>
      <c r="O369" s="8"/>
      <c r="P369" s="8"/>
      <c r="Q369" s="8"/>
      <c r="R369" s="8"/>
    </row>
    <row r="370" spans="1:18" ht="12.75" customHeight="1">
      <c r="A370" s="8"/>
      <c r="B370" s="8"/>
      <c r="C370" s="30"/>
      <c r="D370" s="8"/>
      <c r="E370" s="8"/>
      <c r="F370" s="8"/>
      <c r="G370" s="8"/>
      <c r="H370" s="8"/>
      <c r="I370" s="8"/>
      <c r="J370" s="8"/>
      <c r="K370" s="8"/>
      <c r="L370" s="8"/>
      <c r="M370" s="8"/>
      <c r="N370" s="8"/>
      <c r="O370" s="8"/>
      <c r="P370" s="8"/>
      <c r="Q370" s="8"/>
      <c r="R370" s="8"/>
    </row>
    <row r="371" spans="1:18" ht="12.75" customHeight="1">
      <c r="A371" s="8"/>
      <c r="B371" s="8"/>
      <c r="C371" s="30"/>
      <c r="D371" s="8"/>
      <c r="E371" s="8"/>
      <c r="F371" s="8"/>
      <c r="G371" s="8"/>
      <c r="H371" s="8"/>
      <c r="I371" s="8"/>
      <c r="J371" s="8"/>
      <c r="K371" s="8"/>
      <c r="L371" s="8"/>
      <c r="M371" s="8"/>
      <c r="N371" s="8"/>
      <c r="O371" s="8"/>
      <c r="P371" s="8"/>
      <c r="Q371" s="8"/>
      <c r="R371" s="8"/>
    </row>
    <row r="372" spans="1:18" ht="12.75" customHeight="1">
      <c r="A372" s="8"/>
      <c r="B372" s="8"/>
      <c r="C372" s="30"/>
      <c r="D372" s="8"/>
      <c r="E372" s="8"/>
      <c r="F372" s="8"/>
      <c r="G372" s="8"/>
      <c r="H372" s="8"/>
      <c r="I372" s="8"/>
      <c r="J372" s="8"/>
      <c r="K372" s="8"/>
      <c r="L372" s="8"/>
      <c r="M372" s="8"/>
      <c r="N372" s="8"/>
      <c r="O372" s="8"/>
      <c r="P372" s="8"/>
      <c r="Q372" s="8"/>
      <c r="R372" s="8"/>
    </row>
    <row r="373" spans="1:18" ht="12.75" customHeight="1">
      <c r="A373" s="8"/>
      <c r="B373" s="8"/>
      <c r="C373" s="30"/>
      <c r="D373" s="8"/>
      <c r="E373" s="8"/>
      <c r="F373" s="8"/>
      <c r="G373" s="8"/>
      <c r="H373" s="8"/>
      <c r="I373" s="8"/>
      <c r="J373" s="8"/>
      <c r="K373" s="8"/>
      <c r="L373" s="8"/>
      <c r="M373" s="8"/>
      <c r="N373" s="8"/>
      <c r="O373" s="8"/>
      <c r="P373" s="8"/>
      <c r="Q373" s="8"/>
      <c r="R373" s="8"/>
    </row>
    <row r="374" spans="1:18" ht="12.75" customHeight="1">
      <c r="A374" s="8"/>
      <c r="B374" s="8"/>
      <c r="C374" s="30"/>
      <c r="D374" s="8"/>
      <c r="E374" s="8"/>
      <c r="F374" s="8"/>
      <c r="G374" s="8"/>
      <c r="H374" s="8"/>
      <c r="I374" s="8"/>
      <c r="J374" s="8"/>
      <c r="K374" s="8"/>
      <c r="L374" s="8"/>
      <c r="M374" s="8"/>
      <c r="N374" s="8"/>
      <c r="O374" s="8"/>
      <c r="P374" s="8"/>
      <c r="Q374" s="8"/>
      <c r="R374" s="8"/>
    </row>
    <row r="375" spans="1:18" ht="12.75" customHeight="1">
      <c r="A375" s="8"/>
      <c r="B375" s="8"/>
      <c r="C375" s="30"/>
      <c r="D375" s="8"/>
      <c r="E375" s="8"/>
      <c r="F375" s="8"/>
      <c r="G375" s="8"/>
      <c r="H375" s="8"/>
      <c r="I375" s="8"/>
      <c r="J375" s="8"/>
      <c r="K375" s="8"/>
      <c r="L375" s="8"/>
      <c r="M375" s="8"/>
      <c r="N375" s="8"/>
      <c r="O375" s="8"/>
      <c r="P375" s="8"/>
      <c r="Q375" s="8"/>
      <c r="R375" s="8"/>
    </row>
    <row r="376" spans="1:18" ht="12.75" customHeight="1">
      <c r="A376" s="8"/>
      <c r="B376" s="8"/>
      <c r="C376" s="30"/>
      <c r="D376" s="8"/>
      <c r="E376" s="8"/>
      <c r="F376" s="8"/>
      <c r="G376" s="8"/>
      <c r="H376" s="8"/>
      <c r="I376" s="8"/>
      <c r="J376" s="8"/>
      <c r="K376" s="8"/>
      <c r="L376" s="8"/>
      <c r="M376" s="8"/>
      <c r="N376" s="8"/>
      <c r="O376" s="8"/>
      <c r="P376" s="8"/>
      <c r="Q376" s="8"/>
      <c r="R376" s="8"/>
    </row>
    <row r="377" spans="1:18" ht="12.75" customHeight="1">
      <c r="A377" s="8"/>
      <c r="B377" s="8"/>
      <c r="C377" s="30"/>
      <c r="D377" s="8"/>
      <c r="E377" s="8"/>
      <c r="F377" s="8"/>
      <c r="G377" s="8"/>
      <c r="H377" s="8"/>
      <c r="I377" s="8"/>
      <c r="J377" s="8"/>
      <c r="K377" s="8"/>
      <c r="L377" s="8"/>
      <c r="M377" s="8"/>
      <c r="N377" s="8"/>
      <c r="O377" s="8"/>
      <c r="P377" s="8"/>
      <c r="Q377" s="8"/>
      <c r="R377" s="8"/>
    </row>
    <row r="378" spans="1:18" ht="12.75" customHeight="1">
      <c r="A378" s="8"/>
      <c r="B378" s="8"/>
      <c r="C378" s="30"/>
      <c r="D378" s="8"/>
      <c r="E378" s="8"/>
      <c r="F378" s="8"/>
      <c r="G378" s="8"/>
      <c r="H378" s="8"/>
      <c r="I378" s="8"/>
      <c r="J378" s="8"/>
      <c r="K378" s="8"/>
      <c r="L378" s="8"/>
      <c r="M378" s="8"/>
      <c r="N378" s="8"/>
      <c r="O378" s="8"/>
      <c r="P378" s="8"/>
      <c r="Q378" s="8"/>
      <c r="R378" s="8"/>
    </row>
    <row r="379" spans="1:18" ht="12.75" customHeight="1">
      <c r="A379" s="8"/>
      <c r="B379" s="8"/>
      <c r="C379" s="30"/>
      <c r="D379" s="8"/>
      <c r="E379" s="8"/>
      <c r="F379" s="8"/>
      <c r="G379" s="8"/>
      <c r="H379" s="8"/>
      <c r="I379" s="8"/>
      <c r="J379" s="8"/>
      <c r="K379" s="8"/>
      <c r="L379" s="8"/>
      <c r="M379" s="8"/>
      <c r="N379" s="8"/>
      <c r="O379" s="8"/>
      <c r="P379" s="8"/>
      <c r="Q379" s="8"/>
      <c r="R379" s="8"/>
    </row>
    <row r="380" spans="1:18" ht="12.75" customHeight="1">
      <c r="A380" s="8"/>
      <c r="B380" s="8"/>
      <c r="C380" s="30"/>
      <c r="D380" s="8"/>
      <c r="E380" s="8"/>
      <c r="F380" s="8"/>
      <c r="G380" s="8"/>
      <c r="H380" s="8"/>
      <c r="I380" s="8"/>
      <c r="J380" s="8"/>
      <c r="K380" s="8"/>
      <c r="L380" s="8"/>
      <c r="M380" s="8"/>
      <c r="N380" s="8"/>
      <c r="O380" s="8"/>
      <c r="P380" s="8"/>
      <c r="Q380" s="8"/>
      <c r="R380" s="8"/>
    </row>
    <row r="381" spans="1:18" ht="12.75" customHeight="1">
      <c r="A381" s="8"/>
      <c r="B381" s="8"/>
      <c r="C381" s="30"/>
      <c r="D381" s="8"/>
      <c r="E381" s="8"/>
      <c r="F381" s="8"/>
      <c r="G381" s="8"/>
      <c r="H381" s="8"/>
      <c r="I381" s="8"/>
      <c r="J381" s="8"/>
      <c r="K381" s="8"/>
      <c r="L381" s="8"/>
      <c r="M381" s="8"/>
      <c r="N381" s="8"/>
      <c r="O381" s="8"/>
      <c r="P381" s="8"/>
      <c r="Q381" s="8"/>
      <c r="R381" s="8"/>
    </row>
    <row r="382" spans="1:18" ht="12.75" customHeight="1">
      <c r="A382" s="8"/>
      <c r="B382" s="8"/>
      <c r="C382" s="30"/>
      <c r="D382" s="8"/>
      <c r="E382" s="8"/>
      <c r="F382" s="8"/>
      <c r="G382" s="8"/>
      <c r="H382" s="8"/>
      <c r="I382" s="8"/>
      <c r="J382" s="8"/>
      <c r="K382" s="8"/>
      <c r="L382" s="8"/>
      <c r="M382" s="8"/>
      <c r="N382" s="8"/>
      <c r="O382" s="8"/>
      <c r="P382" s="8"/>
      <c r="Q382" s="8"/>
      <c r="R382" s="8"/>
    </row>
    <row r="383" spans="1:18" ht="12.75" customHeight="1">
      <c r="A383" s="8"/>
      <c r="B383" s="8"/>
      <c r="C383" s="30"/>
      <c r="D383" s="8"/>
      <c r="E383" s="8"/>
      <c r="F383" s="8"/>
      <c r="G383" s="8"/>
      <c r="H383" s="8"/>
      <c r="I383" s="8"/>
      <c r="J383" s="8"/>
      <c r="K383" s="8"/>
      <c r="L383" s="8"/>
      <c r="M383" s="8"/>
      <c r="N383" s="8"/>
      <c r="O383" s="8"/>
      <c r="P383" s="8"/>
      <c r="Q383" s="8"/>
      <c r="R383" s="8"/>
    </row>
    <row r="384" spans="1:18" ht="12.75" customHeight="1">
      <c r="A384" s="8"/>
      <c r="B384" s="8"/>
      <c r="C384" s="30"/>
      <c r="D384" s="8"/>
      <c r="E384" s="8"/>
      <c r="F384" s="8"/>
      <c r="G384" s="8"/>
      <c r="H384" s="8"/>
      <c r="I384" s="8"/>
      <c r="J384" s="8"/>
      <c r="K384" s="8"/>
      <c r="L384" s="8"/>
      <c r="M384" s="8"/>
      <c r="N384" s="8"/>
      <c r="O384" s="8"/>
      <c r="P384" s="8"/>
      <c r="Q384" s="8"/>
      <c r="R384" s="8"/>
    </row>
    <row r="385" spans="1:18" ht="12.75" customHeight="1">
      <c r="A385" s="8"/>
      <c r="B385" s="8"/>
      <c r="C385" s="30"/>
      <c r="D385" s="8"/>
      <c r="E385" s="8"/>
      <c r="F385" s="8"/>
      <c r="G385" s="8"/>
      <c r="H385" s="8"/>
      <c r="I385" s="8"/>
      <c r="J385" s="8"/>
      <c r="K385" s="8"/>
      <c r="L385" s="8"/>
      <c r="M385" s="8"/>
      <c r="N385" s="8"/>
      <c r="O385" s="8"/>
      <c r="P385" s="8"/>
      <c r="Q385" s="8"/>
      <c r="R385" s="8"/>
    </row>
    <row r="386" spans="1:18" ht="12.75" customHeight="1">
      <c r="A386" s="8"/>
      <c r="B386" s="8"/>
      <c r="C386" s="30"/>
      <c r="D386" s="8"/>
      <c r="E386" s="8"/>
      <c r="F386" s="8"/>
      <c r="G386" s="8"/>
      <c r="H386" s="8"/>
      <c r="I386" s="8"/>
      <c r="J386" s="8"/>
      <c r="K386" s="8"/>
      <c r="L386" s="8"/>
      <c r="M386" s="8"/>
      <c r="N386" s="8"/>
      <c r="O386" s="8"/>
      <c r="P386" s="8"/>
      <c r="Q386" s="8"/>
      <c r="R386" s="8"/>
    </row>
    <row r="387" spans="1:18" ht="12.75" customHeight="1">
      <c r="A387" s="8"/>
      <c r="B387" s="8"/>
      <c r="C387" s="30"/>
      <c r="D387" s="8"/>
      <c r="E387" s="8"/>
      <c r="F387" s="8"/>
      <c r="G387" s="8"/>
      <c r="H387" s="8"/>
      <c r="I387" s="8"/>
      <c r="J387" s="8"/>
      <c r="K387" s="8"/>
      <c r="L387" s="8"/>
      <c r="M387" s="8"/>
      <c r="N387" s="8"/>
      <c r="O387" s="8"/>
      <c r="P387" s="8"/>
      <c r="Q387" s="8"/>
      <c r="R387" s="8"/>
    </row>
    <row r="388" spans="1:18" ht="12.75" customHeight="1">
      <c r="A388" s="8"/>
      <c r="B388" s="8"/>
      <c r="C388" s="30"/>
      <c r="D388" s="8"/>
      <c r="E388" s="8"/>
      <c r="F388" s="8"/>
      <c r="G388" s="8"/>
      <c r="H388" s="8"/>
      <c r="I388" s="8"/>
      <c r="J388" s="8"/>
      <c r="K388" s="8"/>
      <c r="L388" s="8"/>
      <c r="M388" s="8"/>
      <c r="N388" s="8"/>
      <c r="O388" s="8"/>
      <c r="P388" s="8"/>
      <c r="Q388" s="8"/>
      <c r="R388" s="8"/>
    </row>
    <row r="389" spans="1:18" ht="12.75" customHeight="1">
      <c r="A389" s="8"/>
      <c r="B389" s="8"/>
      <c r="C389" s="30"/>
      <c r="D389" s="8"/>
      <c r="E389" s="8"/>
      <c r="F389" s="8"/>
      <c r="G389" s="8"/>
      <c r="H389" s="8"/>
      <c r="I389" s="8"/>
      <c r="J389" s="8"/>
      <c r="K389" s="8"/>
      <c r="L389" s="8"/>
      <c r="M389" s="8"/>
      <c r="N389" s="8"/>
      <c r="O389" s="8"/>
      <c r="P389" s="8"/>
      <c r="Q389" s="8"/>
      <c r="R389" s="8"/>
    </row>
    <row r="390" spans="1:18" ht="12.75" customHeight="1">
      <c r="A390" s="8"/>
      <c r="B390" s="8"/>
      <c r="C390" s="30"/>
      <c r="D390" s="8"/>
      <c r="E390" s="8"/>
      <c r="F390" s="8"/>
      <c r="G390" s="8"/>
      <c r="H390" s="8"/>
      <c r="I390" s="8"/>
      <c r="J390" s="8"/>
      <c r="K390" s="8"/>
      <c r="L390" s="8"/>
      <c r="M390" s="8"/>
      <c r="N390" s="8"/>
      <c r="O390" s="8"/>
      <c r="P390" s="8"/>
      <c r="Q390" s="8"/>
      <c r="R390" s="8"/>
    </row>
    <row r="391" spans="1:18" ht="12.75" customHeight="1">
      <c r="A391" s="8"/>
      <c r="B391" s="8"/>
      <c r="C391" s="30"/>
      <c r="D391" s="8"/>
      <c r="E391" s="8"/>
      <c r="F391" s="8"/>
      <c r="G391" s="8"/>
      <c r="H391" s="8"/>
      <c r="I391" s="8"/>
      <c r="J391" s="8"/>
      <c r="K391" s="8"/>
      <c r="L391" s="8"/>
      <c r="M391" s="8"/>
      <c r="N391" s="8"/>
      <c r="O391" s="8"/>
      <c r="P391" s="8"/>
      <c r="Q391" s="8"/>
      <c r="R391" s="8"/>
    </row>
    <row r="392" spans="1:18" ht="12.75" customHeight="1">
      <c r="A392" s="8"/>
      <c r="B392" s="8"/>
      <c r="C392" s="30"/>
      <c r="D392" s="8"/>
      <c r="E392" s="8"/>
      <c r="F392" s="8"/>
      <c r="G392" s="8"/>
      <c r="H392" s="8"/>
      <c r="I392" s="8"/>
      <c r="J392" s="8"/>
      <c r="K392" s="8"/>
      <c r="L392" s="8"/>
      <c r="M392" s="8"/>
      <c r="N392" s="8"/>
      <c r="O392" s="8"/>
      <c r="P392" s="8"/>
      <c r="Q392" s="8"/>
      <c r="R392" s="8"/>
    </row>
    <row r="393" spans="1:18" ht="12.75" customHeight="1">
      <c r="A393" s="8"/>
      <c r="B393" s="8"/>
      <c r="C393" s="30"/>
      <c r="D393" s="8"/>
      <c r="E393" s="8"/>
      <c r="F393" s="8"/>
      <c r="G393" s="8"/>
      <c r="H393" s="8"/>
      <c r="I393" s="8"/>
      <c r="J393" s="8"/>
      <c r="K393" s="8"/>
      <c r="L393" s="8"/>
      <c r="M393" s="8"/>
      <c r="N393" s="8"/>
      <c r="O393" s="8"/>
      <c r="P393" s="8"/>
      <c r="Q393" s="8"/>
      <c r="R393" s="8"/>
    </row>
    <row r="394" spans="1:18" ht="12.75" customHeight="1">
      <c r="A394" s="8"/>
      <c r="B394" s="8"/>
      <c r="C394" s="30"/>
      <c r="D394" s="8"/>
      <c r="E394" s="8"/>
      <c r="F394" s="8"/>
      <c r="G394" s="8"/>
      <c r="H394" s="8"/>
      <c r="I394" s="8"/>
      <c r="J394" s="8"/>
      <c r="K394" s="8"/>
      <c r="L394" s="8"/>
      <c r="M394" s="8"/>
      <c r="N394" s="8"/>
      <c r="O394" s="8"/>
      <c r="P394" s="8"/>
      <c r="Q394" s="8"/>
      <c r="R394" s="8"/>
    </row>
    <row r="395" spans="1:18" ht="12.75" customHeight="1">
      <c r="A395" s="8"/>
      <c r="B395" s="8"/>
      <c r="C395" s="30"/>
      <c r="D395" s="8"/>
      <c r="E395" s="8"/>
      <c r="F395" s="8"/>
      <c r="G395" s="8"/>
      <c r="H395" s="8"/>
      <c r="I395" s="8"/>
      <c r="J395" s="8"/>
      <c r="K395" s="8"/>
      <c r="L395" s="8"/>
      <c r="M395" s="8"/>
      <c r="N395" s="8"/>
      <c r="O395" s="8"/>
      <c r="P395" s="8"/>
      <c r="Q395" s="8"/>
      <c r="R395" s="8"/>
    </row>
    <row r="396" spans="1:18" ht="12.75" customHeight="1">
      <c r="A396" s="8"/>
      <c r="B396" s="8"/>
      <c r="C396" s="30"/>
      <c r="D396" s="8"/>
      <c r="E396" s="8"/>
      <c r="F396" s="8"/>
      <c r="G396" s="8"/>
      <c r="H396" s="8"/>
      <c r="I396" s="8"/>
      <c r="J396" s="8"/>
      <c r="K396" s="8"/>
      <c r="L396" s="8"/>
      <c r="M396" s="8"/>
      <c r="N396" s="8"/>
      <c r="O396" s="8"/>
      <c r="P396" s="8"/>
      <c r="Q396" s="8"/>
      <c r="R396" s="8"/>
    </row>
    <row r="397" spans="1:18" ht="12.75" customHeight="1">
      <c r="A397" s="8"/>
      <c r="B397" s="8"/>
      <c r="C397" s="30"/>
      <c r="D397" s="8"/>
      <c r="E397" s="8"/>
      <c r="F397" s="8"/>
      <c r="G397" s="8"/>
      <c r="H397" s="8"/>
      <c r="I397" s="8"/>
      <c r="J397" s="8"/>
      <c r="K397" s="8"/>
      <c r="L397" s="8"/>
      <c r="M397" s="8"/>
      <c r="N397" s="8"/>
      <c r="O397" s="8"/>
      <c r="P397" s="8"/>
      <c r="Q397" s="8"/>
      <c r="R397" s="8"/>
    </row>
    <row r="398" spans="1:18" ht="12.75" customHeight="1">
      <c r="A398" s="8"/>
      <c r="B398" s="8"/>
      <c r="C398" s="30"/>
      <c r="D398" s="8"/>
      <c r="E398" s="8"/>
      <c r="F398" s="8"/>
      <c r="G398" s="8"/>
      <c r="H398" s="8"/>
      <c r="I398" s="8"/>
      <c r="J398" s="8"/>
      <c r="K398" s="8"/>
      <c r="L398" s="8"/>
      <c r="M398" s="8"/>
      <c r="N398" s="8"/>
      <c r="O398" s="8"/>
      <c r="P398" s="8"/>
      <c r="Q398" s="8"/>
      <c r="R398" s="8"/>
    </row>
    <row r="399" spans="1:18" ht="12.75" customHeight="1">
      <c r="A399" s="8"/>
      <c r="B399" s="8"/>
      <c r="C399" s="30"/>
      <c r="D399" s="8"/>
      <c r="E399" s="8"/>
      <c r="F399" s="8"/>
      <c r="G399" s="8"/>
      <c r="H399" s="8"/>
      <c r="I399" s="8"/>
      <c r="J399" s="8"/>
      <c r="K399" s="8"/>
      <c r="L399" s="8"/>
      <c r="M399" s="8"/>
      <c r="N399" s="8"/>
      <c r="O399" s="8"/>
      <c r="P399" s="8"/>
      <c r="Q399" s="8"/>
      <c r="R399" s="8"/>
    </row>
    <row r="400" spans="1:18" ht="12.75" customHeight="1">
      <c r="A400" s="8"/>
      <c r="B400" s="8"/>
      <c r="C400" s="30"/>
      <c r="D400" s="8"/>
      <c r="E400" s="8"/>
      <c r="F400" s="8"/>
      <c r="G400" s="8"/>
      <c r="H400" s="8"/>
      <c r="I400" s="8"/>
      <c r="J400" s="8"/>
      <c r="K400" s="8"/>
      <c r="L400" s="8"/>
      <c r="M400" s="8"/>
      <c r="N400" s="8"/>
      <c r="O400" s="8"/>
      <c r="P400" s="8"/>
      <c r="Q400" s="8"/>
      <c r="R400" s="8"/>
    </row>
    <row r="401" spans="1:18" ht="12.75" customHeight="1">
      <c r="A401" s="8"/>
      <c r="B401" s="8"/>
      <c r="C401" s="30"/>
      <c r="D401" s="8"/>
      <c r="E401" s="8"/>
      <c r="F401" s="8"/>
      <c r="G401" s="8"/>
      <c r="H401" s="8"/>
      <c r="I401" s="8"/>
      <c r="J401" s="8"/>
      <c r="K401" s="8"/>
      <c r="L401" s="8"/>
      <c r="M401" s="8"/>
      <c r="N401" s="8"/>
      <c r="O401" s="8"/>
      <c r="P401" s="8"/>
      <c r="Q401" s="8"/>
      <c r="R401" s="8"/>
    </row>
    <row r="402" spans="1:18" ht="12.75" customHeight="1">
      <c r="A402" s="8"/>
      <c r="B402" s="8"/>
      <c r="C402" s="30"/>
      <c r="D402" s="8"/>
      <c r="E402" s="8"/>
      <c r="F402" s="8"/>
      <c r="G402" s="8"/>
      <c r="H402" s="8"/>
      <c r="I402" s="8"/>
      <c r="J402" s="8"/>
      <c r="K402" s="8"/>
      <c r="L402" s="8"/>
      <c r="M402" s="8"/>
      <c r="N402" s="8"/>
      <c r="O402" s="8"/>
      <c r="P402" s="8"/>
      <c r="Q402" s="8"/>
      <c r="R402" s="8"/>
    </row>
    <row r="403" spans="1:18" ht="12.75" customHeight="1">
      <c r="A403" s="8"/>
      <c r="B403" s="8"/>
      <c r="C403" s="30"/>
      <c r="D403" s="8"/>
      <c r="E403" s="8"/>
      <c r="F403" s="8"/>
      <c r="G403" s="8"/>
      <c r="H403" s="8"/>
      <c r="I403" s="8"/>
      <c r="J403" s="8"/>
      <c r="K403" s="8"/>
      <c r="L403" s="8"/>
      <c r="M403" s="8"/>
      <c r="N403" s="8"/>
      <c r="O403" s="8"/>
      <c r="P403" s="8"/>
      <c r="Q403" s="8"/>
      <c r="R403" s="8"/>
    </row>
    <row r="404" spans="1:18" ht="12.75" customHeight="1">
      <c r="A404" s="8"/>
      <c r="B404" s="8"/>
      <c r="C404" s="30"/>
      <c r="D404" s="8"/>
      <c r="E404" s="8"/>
      <c r="F404" s="8"/>
      <c r="G404" s="8"/>
      <c r="H404" s="8"/>
      <c r="I404" s="8"/>
      <c r="J404" s="8"/>
      <c r="K404" s="8"/>
      <c r="L404" s="8"/>
      <c r="M404" s="8"/>
      <c r="N404" s="8"/>
      <c r="O404" s="8"/>
      <c r="P404" s="8"/>
      <c r="Q404" s="8"/>
      <c r="R404" s="8"/>
    </row>
    <row r="405" spans="1:18" ht="12.75" customHeight="1">
      <c r="A405" s="8"/>
      <c r="B405" s="8"/>
      <c r="C405" s="30"/>
      <c r="D405" s="8"/>
      <c r="E405" s="8"/>
      <c r="F405" s="8"/>
      <c r="G405" s="8"/>
      <c r="H405" s="8"/>
      <c r="I405" s="8"/>
      <c r="J405" s="8"/>
      <c r="K405" s="8"/>
      <c r="L405" s="8"/>
      <c r="M405" s="8"/>
      <c r="N405" s="8"/>
      <c r="O405" s="8"/>
      <c r="P405" s="8"/>
      <c r="Q405" s="8"/>
      <c r="R405" s="8"/>
    </row>
    <row r="406" spans="1:18" ht="12.75" customHeight="1">
      <c r="A406" s="8"/>
      <c r="B406" s="8"/>
      <c r="C406" s="30"/>
      <c r="D406" s="8"/>
      <c r="E406" s="8"/>
      <c r="F406" s="8"/>
      <c r="G406" s="8"/>
      <c r="H406" s="8"/>
      <c r="I406" s="8"/>
      <c r="J406" s="8"/>
      <c r="K406" s="8"/>
      <c r="L406" s="8"/>
      <c r="M406" s="8"/>
      <c r="N406" s="8"/>
      <c r="O406" s="8"/>
      <c r="P406" s="8"/>
      <c r="Q406" s="8"/>
      <c r="R406" s="8"/>
    </row>
    <row r="407" spans="1:18" ht="12.75" customHeight="1">
      <c r="A407" s="8"/>
      <c r="B407" s="8"/>
      <c r="C407" s="30"/>
      <c r="D407" s="8"/>
      <c r="E407" s="8"/>
      <c r="F407" s="8"/>
      <c r="G407" s="8"/>
      <c r="H407" s="8"/>
      <c r="I407" s="8"/>
      <c r="J407" s="8"/>
      <c r="K407" s="8"/>
      <c r="L407" s="8"/>
      <c r="M407" s="8"/>
      <c r="N407" s="8"/>
      <c r="O407" s="8"/>
      <c r="P407" s="8"/>
      <c r="Q407" s="8"/>
      <c r="R407" s="8"/>
    </row>
    <row r="408" spans="1:18" ht="12.75" customHeight="1">
      <c r="A408" s="8"/>
      <c r="B408" s="8"/>
      <c r="C408" s="30"/>
      <c r="D408" s="8"/>
      <c r="E408" s="8"/>
      <c r="F408" s="8"/>
      <c r="G408" s="8"/>
      <c r="H408" s="8"/>
      <c r="I408" s="8"/>
      <c r="J408" s="8"/>
      <c r="K408" s="8"/>
      <c r="L408" s="8"/>
      <c r="M408" s="8"/>
      <c r="N408" s="8"/>
      <c r="O408" s="8"/>
      <c r="P408" s="8"/>
      <c r="Q408" s="8"/>
      <c r="R408" s="8"/>
    </row>
    <row r="409" spans="1:18" ht="12.75" customHeight="1">
      <c r="A409" s="8"/>
      <c r="B409" s="8"/>
      <c r="C409" s="30"/>
      <c r="D409" s="8"/>
      <c r="E409" s="8"/>
      <c r="F409" s="8"/>
      <c r="G409" s="8"/>
      <c r="H409" s="8"/>
      <c r="I409" s="8"/>
      <c r="J409" s="8"/>
      <c r="K409" s="8"/>
      <c r="L409" s="8"/>
      <c r="M409" s="8"/>
      <c r="N409" s="8"/>
      <c r="O409" s="8"/>
      <c r="P409" s="8"/>
      <c r="Q409" s="8"/>
      <c r="R409" s="8"/>
    </row>
    <row r="410" spans="1:18" ht="12.75" customHeight="1">
      <c r="A410" s="8"/>
      <c r="B410" s="8"/>
      <c r="C410" s="30"/>
      <c r="D410" s="8"/>
      <c r="E410" s="8"/>
      <c r="F410" s="8"/>
      <c r="G410" s="8"/>
      <c r="H410" s="8"/>
      <c r="I410" s="8"/>
      <c r="J410" s="8"/>
      <c r="K410" s="8"/>
      <c r="L410" s="8"/>
      <c r="M410" s="8"/>
      <c r="N410" s="8"/>
      <c r="O410" s="8"/>
      <c r="P410" s="8"/>
      <c r="Q410" s="8"/>
      <c r="R410" s="8"/>
    </row>
    <row r="411" spans="1:18" ht="12.75" customHeight="1">
      <c r="A411" s="8"/>
      <c r="B411" s="8"/>
      <c r="C411" s="30"/>
      <c r="D411" s="8"/>
      <c r="E411" s="8"/>
      <c r="F411" s="8"/>
      <c r="G411" s="8"/>
      <c r="H411" s="8"/>
      <c r="I411" s="8"/>
      <c r="J411" s="8"/>
      <c r="K411" s="8"/>
      <c r="L411" s="8"/>
      <c r="M411" s="8"/>
      <c r="N411" s="8"/>
      <c r="O411" s="8"/>
      <c r="P411" s="8"/>
      <c r="Q411" s="8"/>
      <c r="R411" s="8"/>
    </row>
    <row r="412" spans="1:18" ht="12.75" customHeight="1">
      <c r="A412" s="8"/>
      <c r="B412" s="8"/>
      <c r="C412" s="30"/>
      <c r="D412" s="8"/>
      <c r="E412" s="8"/>
      <c r="F412" s="8"/>
      <c r="G412" s="8"/>
      <c r="H412" s="8"/>
      <c r="I412" s="8"/>
      <c r="J412" s="8"/>
      <c r="K412" s="8"/>
      <c r="L412" s="8"/>
      <c r="M412" s="8"/>
      <c r="N412" s="8"/>
      <c r="O412" s="8"/>
      <c r="P412" s="8"/>
      <c r="Q412" s="8"/>
      <c r="R412" s="8"/>
    </row>
    <row r="413" spans="1:18" ht="12.75" customHeight="1">
      <c r="A413" s="8"/>
      <c r="B413" s="8"/>
      <c r="C413" s="30"/>
      <c r="D413" s="8"/>
      <c r="E413" s="8"/>
      <c r="F413" s="8"/>
      <c r="G413" s="8"/>
      <c r="H413" s="8"/>
      <c r="I413" s="8"/>
      <c r="J413" s="8"/>
      <c r="K413" s="8"/>
      <c r="L413" s="8"/>
      <c r="M413" s="8"/>
      <c r="N413" s="8"/>
      <c r="O413" s="8"/>
      <c r="P413" s="8"/>
      <c r="Q413" s="8"/>
      <c r="R413" s="8"/>
    </row>
    <row r="414" spans="1:18" ht="12.75" customHeight="1">
      <c r="A414" s="8"/>
      <c r="B414" s="8"/>
      <c r="C414" s="30"/>
      <c r="D414" s="8"/>
      <c r="E414" s="8"/>
      <c r="F414" s="8"/>
      <c r="G414" s="8"/>
      <c r="H414" s="8"/>
      <c r="I414" s="8"/>
      <c r="J414" s="8"/>
      <c r="K414" s="8"/>
      <c r="L414" s="8"/>
      <c r="M414" s="8"/>
      <c r="N414" s="8"/>
      <c r="O414" s="8"/>
      <c r="P414" s="8"/>
      <c r="Q414" s="8"/>
      <c r="R414" s="8"/>
    </row>
    <row r="415" spans="1:18" ht="12.75" customHeight="1">
      <c r="A415" s="8"/>
      <c r="B415" s="8"/>
      <c r="C415" s="30"/>
      <c r="D415" s="8"/>
      <c r="E415" s="8"/>
      <c r="F415" s="8"/>
      <c r="G415" s="8"/>
      <c r="H415" s="8"/>
      <c r="I415" s="8"/>
      <c r="J415" s="8"/>
      <c r="K415" s="8"/>
      <c r="L415" s="8"/>
      <c r="M415" s="8"/>
      <c r="N415" s="8"/>
      <c r="O415" s="8"/>
      <c r="P415" s="8"/>
      <c r="Q415" s="8"/>
      <c r="R415" s="8"/>
    </row>
    <row r="416" spans="1:18" ht="12.75" customHeight="1">
      <c r="A416" s="8"/>
      <c r="B416" s="8"/>
      <c r="C416" s="30"/>
      <c r="D416" s="8"/>
      <c r="E416" s="8"/>
      <c r="F416" s="8"/>
      <c r="G416" s="8"/>
      <c r="H416" s="8"/>
      <c r="I416" s="8"/>
      <c r="J416" s="8"/>
      <c r="K416" s="8"/>
      <c r="L416" s="8"/>
      <c r="M416" s="8"/>
      <c r="N416" s="8"/>
      <c r="O416" s="8"/>
      <c r="P416" s="8"/>
      <c r="Q416" s="8"/>
      <c r="R416" s="8"/>
    </row>
    <row r="417" spans="1:18" ht="12.75" customHeight="1">
      <c r="A417" s="8"/>
      <c r="B417" s="8"/>
      <c r="C417" s="30"/>
      <c r="D417" s="8"/>
      <c r="E417" s="8"/>
      <c r="F417" s="8"/>
      <c r="G417" s="8"/>
      <c r="H417" s="8"/>
      <c r="I417" s="8"/>
      <c r="J417" s="8"/>
      <c r="K417" s="8"/>
      <c r="L417" s="8"/>
      <c r="M417" s="8"/>
      <c r="N417" s="8"/>
      <c r="O417" s="8"/>
      <c r="P417" s="8"/>
      <c r="Q417" s="8"/>
      <c r="R417" s="8"/>
    </row>
    <row r="418" spans="1:18" ht="12.75" customHeight="1">
      <c r="A418" s="8"/>
      <c r="B418" s="8"/>
      <c r="C418" s="30"/>
      <c r="D418" s="8"/>
      <c r="E418" s="8"/>
      <c r="F418" s="8"/>
      <c r="G418" s="8"/>
      <c r="H418" s="8"/>
      <c r="I418" s="8"/>
      <c r="J418" s="8"/>
      <c r="K418" s="8"/>
      <c r="L418" s="8"/>
      <c r="M418" s="8"/>
      <c r="N418" s="8"/>
      <c r="O418" s="8"/>
      <c r="P418" s="8"/>
      <c r="Q418" s="8"/>
      <c r="R418" s="8"/>
    </row>
    <row r="419" spans="1:18" ht="12.75" customHeight="1">
      <c r="A419" s="8"/>
      <c r="B419" s="8"/>
      <c r="C419" s="30"/>
      <c r="D419" s="8"/>
      <c r="E419" s="8"/>
      <c r="F419" s="8"/>
      <c r="G419" s="8"/>
      <c r="H419" s="8"/>
      <c r="I419" s="8"/>
      <c r="J419" s="8"/>
      <c r="K419" s="8"/>
      <c r="L419" s="8"/>
      <c r="M419" s="8"/>
      <c r="N419" s="8"/>
      <c r="O419" s="8"/>
      <c r="P419" s="8"/>
      <c r="Q419" s="8"/>
      <c r="R419" s="8"/>
    </row>
    <row r="420" spans="1:18" ht="12.75" customHeight="1">
      <c r="A420" s="8"/>
      <c r="B420" s="8"/>
      <c r="C420" s="30"/>
      <c r="D420" s="8"/>
      <c r="E420" s="8"/>
      <c r="F420" s="8"/>
      <c r="G420" s="8"/>
      <c r="H420" s="8"/>
      <c r="I420" s="8"/>
      <c r="J420" s="8"/>
      <c r="K420" s="8"/>
      <c r="L420" s="8"/>
      <c r="M420" s="8"/>
      <c r="N420" s="8"/>
      <c r="O420" s="8"/>
      <c r="P420" s="8"/>
      <c r="Q420" s="8"/>
      <c r="R420" s="8"/>
    </row>
    <row r="421" spans="1:18" ht="12.75" customHeight="1">
      <c r="A421" s="8"/>
      <c r="B421" s="8"/>
      <c r="C421" s="30"/>
      <c r="D421" s="8"/>
      <c r="E421" s="8"/>
      <c r="F421" s="8"/>
      <c r="G421" s="8"/>
      <c r="H421" s="8"/>
      <c r="I421" s="8"/>
      <c r="J421" s="8"/>
      <c r="K421" s="8"/>
      <c r="L421" s="8"/>
      <c r="M421" s="8"/>
      <c r="N421" s="8"/>
      <c r="O421" s="8"/>
      <c r="P421" s="8"/>
      <c r="Q421" s="8"/>
      <c r="R421" s="8"/>
    </row>
    <row r="422" spans="1:18" ht="12.75" customHeight="1">
      <c r="A422" s="8"/>
      <c r="B422" s="8"/>
      <c r="C422" s="30"/>
      <c r="D422" s="8"/>
      <c r="E422" s="8"/>
      <c r="F422" s="8"/>
      <c r="G422" s="8"/>
      <c r="H422" s="8"/>
      <c r="I422" s="8"/>
      <c r="J422" s="8"/>
      <c r="K422" s="8"/>
      <c r="L422" s="8"/>
      <c r="M422" s="8"/>
      <c r="N422" s="8"/>
      <c r="O422" s="8"/>
      <c r="P422" s="8"/>
      <c r="Q422" s="8"/>
      <c r="R422" s="8"/>
    </row>
    <row r="423" spans="1:18" ht="12.75" customHeight="1">
      <c r="A423" s="8"/>
      <c r="B423" s="8"/>
      <c r="C423" s="30"/>
      <c r="D423" s="8"/>
      <c r="E423" s="8"/>
      <c r="F423" s="8"/>
      <c r="G423" s="8"/>
      <c r="H423" s="8"/>
      <c r="I423" s="8"/>
      <c r="J423" s="8"/>
      <c r="K423" s="8"/>
      <c r="L423" s="8"/>
      <c r="M423" s="8"/>
      <c r="N423" s="8"/>
      <c r="O423" s="8"/>
      <c r="P423" s="8"/>
      <c r="Q423" s="8"/>
      <c r="R423" s="8"/>
    </row>
    <row r="424" spans="1:18" ht="12.75" customHeight="1">
      <c r="A424" s="8"/>
      <c r="B424" s="8"/>
      <c r="C424" s="30"/>
      <c r="D424" s="8"/>
      <c r="E424" s="8"/>
      <c r="F424" s="8"/>
      <c r="G424" s="8"/>
      <c r="H424" s="8"/>
      <c r="I424" s="8"/>
      <c r="J424" s="8"/>
      <c r="K424" s="8"/>
      <c r="L424" s="8"/>
      <c r="M424" s="8"/>
      <c r="N424" s="8"/>
      <c r="O424" s="8"/>
      <c r="P424" s="8"/>
      <c r="Q424" s="8"/>
      <c r="R424" s="8"/>
    </row>
    <row r="425" spans="1:18" ht="12.75" customHeight="1">
      <c r="A425" s="8"/>
      <c r="B425" s="8"/>
      <c r="C425" s="30"/>
      <c r="D425" s="8"/>
      <c r="E425" s="8"/>
      <c r="F425" s="8"/>
      <c r="G425" s="8"/>
      <c r="H425" s="8"/>
      <c r="I425" s="8"/>
      <c r="J425" s="8"/>
      <c r="K425" s="8"/>
      <c r="L425" s="8"/>
      <c r="M425" s="8"/>
      <c r="N425" s="8"/>
      <c r="O425" s="8"/>
      <c r="P425" s="8"/>
      <c r="Q425" s="8"/>
      <c r="R425" s="8"/>
    </row>
    <row r="426" spans="1:18" ht="12.75" customHeight="1">
      <c r="A426" s="8"/>
      <c r="B426" s="8"/>
      <c r="C426" s="30"/>
      <c r="D426" s="8"/>
      <c r="E426" s="8"/>
      <c r="F426" s="8"/>
      <c r="G426" s="8"/>
      <c r="H426" s="8"/>
      <c r="I426" s="8"/>
      <c r="J426" s="8"/>
      <c r="K426" s="8"/>
      <c r="L426" s="8"/>
      <c r="M426" s="8"/>
      <c r="N426" s="8"/>
      <c r="O426" s="8"/>
      <c r="P426" s="8"/>
      <c r="Q426" s="8"/>
      <c r="R426" s="8"/>
    </row>
    <row r="427" spans="1:18" ht="12.75" customHeight="1">
      <c r="A427" s="8"/>
      <c r="B427" s="8"/>
      <c r="C427" s="30"/>
      <c r="D427" s="8"/>
      <c r="E427" s="8"/>
      <c r="F427" s="8"/>
      <c r="G427" s="8"/>
      <c r="H427" s="8"/>
      <c r="I427" s="8"/>
      <c r="J427" s="8"/>
      <c r="K427" s="8"/>
      <c r="L427" s="8"/>
      <c r="M427" s="8"/>
      <c r="N427" s="8"/>
      <c r="O427" s="8"/>
      <c r="P427" s="8"/>
      <c r="Q427" s="8"/>
      <c r="R427" s="8"/>
    </row>
    <row r="428" spans="1:18" ht="12.75" customHeight="1">
      <c r="A428" s="8"/>
      <c r="B428" s="8"/>
      <c r="C428" s="30"/>
      <c r="D428" s="8"/>
      <c r="E428" s="8"/>
      <c r="F428" s="8"/>
      <c r="G428" s="8"/>
      <c r="H428" s="8"/>
      <c r="I428" s="8"/>
      <c r="J428" s="8"/>
      <c r="K428" s="8"/>
      <c r="L428" s="8"/>
      <c r="M428" s="8"/>
      <c r="N428" s="8"/>
      <c r="O428" s="8"/>
      <c r="P428" s="8"/>
      <c r="Q428" s="8"/>
      <c r="R428" s="8"/>
    </row>
    <row r="429" spans="1:18" ht="12.75" customHeight="1">
      <c r="A429" s="8"/>
      <c r="B429" s="8"/>
      <c r="C429" s="30"/>
      <c r="D429" s="8"/>
      <c r="E429" s="8"/>
      <c r="F429" s="8"/>
      <c r="G429" s="8"/>
      <c r="H429" s="8"/>
      <c r="I429" s="8"/>
      <c r="J429" s="8"/>
      <c r="K429" s="8"/>
      <c r="L429" s="8"/>
      <c r="M429" s="8"/>
      <c r="N429" s="8"/>
      <c r="O429" s="8"/>
      <c r="P429" s="8"/>
      <c r="Q429" s="8"/>
      <c r="R429" s="8"/>
    </row>
    <row r="430" spans="1:18" ht="12.75" customHeight="1">
      <c r="A430" s="8"/>
      <c r="B430" s="8"/>
      <c r="C430" s="30"/>
      <c r="D430" s="8"/>
      <c r="E430" s="8"/>
      <c r="F430" s="8"/>
      <c r="G430" s="8"/>
      <c r="H430" s="8"/>
      <c r="I430" s="8"/>
      <c r="J430" s="8"/>
      <c r="K430" s="8"/>
      <c r="L430" s="8"/>
      <c r="M430" s="8"/>
      <c r="N430" s="8"/>
      <c r="O430" s="8"/>
      <c r="P430" s="8"/>
      <c r="Q430" s="8"/>
      <c r="R430" s="8"/>
    </row>
    <row r="431" spans="1:18" ht="12.75" customHeight="1">
      <c r="A431" s="8"/>
      <c r="B431" s="8"/>
      <c r="C431" s="30"/>
      <c r="D431" s="8"/>
      <c r="E431" s="8"/>
      <c r="F431" s="8"/>
      <c r="G431" s="8"/>
      <c r="H431" s="8"/>
      <c r="I431" s="8"/>
      <c r="J431" s="8"/>
      <c r="K431" s="8"/>
      <c r="L431" s="8"/>
      <c r="M431" s="8"/>
      <c r="N431" s="8"/>
      <c r="O431" s="8"/>
      <c r="P431" s="8"/>
      <c r="Q431" s="8"/>
      <c r="R431" s="8"/>
    </row>
    <row r="432" spans="1:18" ht="12.75" customHeight="1">
      <c r="A432" s="8"/>
      <c r="B432" s="8"/>
      <c r="C432" s="30"/>
      <c r="D432" s="8"/>
      <c r="E432" s="8"/>
      <c r="F432" s="8"/>
      <c r="G432" s="8"/>
      <c r="H432" s="8"/>
      <c r="I432" s="8"/>
      <c r="J432" s="8"/>
      <c r="K432" s="8"/>
      <c r="L432" s="8"/>
      <c r="M432" s="8"/>
      <c r="N432" s="8"/>
      <c r="O432" s="8"/>
      <c r="P432" s="8"/>
      <c r="Q432" s="8"/>
      <c r="R432" s="8"/>
    </row>
    <row r="433" spans="1:18" ht="12.75" customHeight="1">
      <c r="A433" s="8"/>
      <c r="B433" s="8"/>
      <c r="C433" s="30"/>
      <c r="D433" s="8"/>
      <c r="E433" s="8"/>
      <c r="F433" s="8"/>
      <c r="G433" s="8"/>
      <c r="H433" s="8"/>
      <c r="I433" s="8"/>
      <c r="J433" s="8"/>
      <c r="K433" s="8"/>
      <c r="L433" s="8"/>
      <c r="M433" s="8"/>
      <c r="N433" s="8"/>
      <c r="O433" s="8"/>
      <c r="P433" s="8"/>
      <c r="Q433" s="8"/>
      <c r="R433" s="8"/>
    </row>
    <row r="434" spans="1:18" ht="12.75" customHeight="1">
      <c r="A434" s="8"/>
      <c r="B434" s="8"/>
      <c r="C434" s="30"/>
      <c r="D434" s="8"/>
      <c r="E434" s="8"/>
      <c r="F434" s="8"/>
      <c r="G434" s="8"/>
      <c r="H434" s="8"/>
      <c r="I434" s="8"/>
      <c r="J434" s="8"/>
      <c r="K434" s="8"/>
      <c r="L434" s="8"/>
      <c r="M434" s="8"/>
      <c r="N434" s="8"/>
      <c r="O434" s="8"/>
      <c r="P434" s="8"/>
      <c r="Q434" s="8"/>
      <c r="R434" s="8"/>
    </row>
    <row r="435" spans="1:18" ht="12.75" customHeight="1">
      <c r="A435" s="8"/>
      <c r="B435" s="8"/>
      <c r="C435" s="30"/>
      <c r="D435" s="8"/>
      <c r="E435" s="8"/>
      <c r="F435" s="8"/>
      <c r="G435" s="8"/>
      <c r="H435" s="8"/>
      <c r="I435" s="8"/>
      <c r="J435" s="8"/>
      <c r="K435" s="8"/>
      <c r="L435" s="8"/>
      <c r="M435" s="8"/>
      <c r="N435" s="8"/>
      <c r="O435" s="8"/>
      <c r="P435" s="8"/>
      <c r="Q435" s="8"/>
      <c r="R435" s="8"/>
    </row>
    <row r="436" spans="1:18" ht="12.75" customHeight="1">
      <c r="A436" s="8"/>
      <c r="B436" s="8"/>
      <c r="C436" s="30"/>
      <c r="D436" s="8"/>
      <c r="E436" s="8"/>
      <c r="F436" s="8"/>
      <c r="G436" s="8"/>
      <c r="H436" s="8"/>
      <c r="I436" s="8"/>
      <c r="J436" s="8"/>
      <c r="K436" s="8"/>
      <c r="L436" s="8"/>
      <c r="M436" s="8"/>
      <c r="N436" s="8"/>
      <c r="O436" s="8"/>
      <c r="P436" s="8"/>
      <c r="Q436" s="8"/>
      <c r="R436" s="8"/>
    </row>
    <row r="437" spans="1:18" ht="12.75" customHeight="1">
      <c r="A437" s="8"/>
      <c r="B437" s="8"/>
      <c r="C437" s="30"/>
      <c r="D437" s="8"/>
      <c r="E437" s="8"/>
      <c r="F437" s="8"/>
      <c r="G437" s="8"/>
      <c r="H437" s="8"/>
      <c r="I437" s="8"/>
      <c r="J437" s="8"/>
      <c r="K437" s="8"/>
      <c r="L437" s="8"/>
      <c r="M437" s="8"/>
      <c r="N437" s="8"/>
      <c r="O437" s="8"/>
      <c r="P437" s="8"/>
      <c r="Q437" s="8"/>
      <c r="R437" s="8"/>
    </row>
    <row r="438" spans="1:18" ht="12.75" customHeight="1">
      <c r="A438" s="8"/>
      <c r="B438" s="8"/>
      <c r="C438" s="30"/>
      <c r="D438" s="8"/>
      <c r="E438" s="8"/>
      <c r="F438" s="8"/>
      <c r="G438" s="8"/>
      <c r="H438" s="8"/>
      <c r="I438" s="8"/>
      <c r="J438" s="8"/>
      <c r="K438" s="8"/>
      <c r="L438" s="8"/>
      <c r="M438" s="8"/>
      <c r="N438" s="8"/>
      <c r="O438" s="8"/>
      <c r="P438" s="8"/>
      <c r="Q438" s="8"/>
      <c r="R438" s="8"/>
    </row>
    <row r="439" spans="1:18" ht="12.75" customHeight="1">
      <c r="A439" s="8"/>
      <c r="B439" s="8"/>
      <c r="C439" s="30"/>
      <c r="D439" s="8"/>
      <c r="E439" s="8"/>
      <c r="F439" s="8"/>
      <c r="G439" s="8"/>
      <c r="H439" s="8"/>
      <c r="I439" s="8"/>
      <c r="J439" s="8"/>
      <c r="K439" s="8"/>
      <c r="L439" s="8"/>
      <c r="M439" s="8"/>
      <c r="N439" s="8"/>
      <c r="O439" s="8"/>
      <c r="P439" s="8"/>
      <c r="Q439" s="8"/>
      <c r="R439" s="8"/>
    </row>
    <row r="440" spans="1:18" ht="12.75" customHeight="1">
      <c r="A440" s="8"/>
      <c r="B440" s="8"/>
      <c r="C440" s="30"/>
      <c r="D440" s="8"/>
      <c r="E440" s="8"/>
      <c r="F440" s="8"/>
      <c r="G440" s="8"/>
      <c r="H440" s="8"/>
      <c r="I440" s="8"/>
      <c r="J440" s="8"/>
      <c r="K440" s="8"/>
      <c r="L440" s="8"/>
      <c r="M440" s="8"/>
      <c r="N440" s="8"/>
      <c r="O440" s="8"/>
      <c r="P440" s="8"/>
      <c r="Q440" s="8"/>
      <c r="R440" s="8"/>
    </row>
    <row r="441" spans="1:18" ht="12.75" customHeight="1">
      <c r="A441" s="8"/>
      <c r="B441" s="8"/>
      <c r="C441" s="30"/>
      <c r="D441" s="8"/>
      <c r="E441" s="8"/>
      <c r="F441" s="8"/>
      <c r="G441" s="8"/>
      <c r="H441" s="8"/>
      <c r="I441" s="8"/>
      <c r="J441" s="8"/>
      <c r="K441" s="8"/>
      <c r="L441" s="8"/>
      <c r="M441" s="8"/>
      <c r="N441" s="8"/>
      <c r="O441" s="8"/>
      <c r="P441" s="8"/>
      <c r="Q441" s="8"/>
      <c r="R441" s="8"/>
    </row>
    <row r="442" spans="1:18" ht="12.75" customHeight="1">
      <c r="A442" s="8"/>
      <c r="B442" s="8"/>
      <c r="C442" s="30"/>
      <c r="D442" s="8"/>
      <c r="E442" s="8"/>
      <c r="F442" s="8"/>
      <c r="G442" s="8"/>
      <c r="H442" s="8"/>
      <c r="I442" s="8"/>
      <c r="J442" s="8"/>
      <c r="K442" s="8"/>
      <c r="L442" s="8"/>
      <c r="M442" s="8"/>
      <c r="N442" s="8"/>
      <c r="O442" s="8"/>
      <c r="P442" s="8"/>
      <c r="Q442" s="8"/>
      <c r="R442" s="8"/>
    </row>
    <row r="443" spans="1:18" ht="12.75" customHeight="1">
      <c r="A443" s="8"/>
      <c r="B443" s="8"/>
      <c r="C443" s="30"/>
      <c r="D443" s="8"/>
      <c r="E443" s="8"/>
      <c r="F443" s="8"/>
      <c r="G443" s="8"/>
      <c r="H443" s="8"/>
      <c r="I443" s="8"/>
      <c r="J443" s="8"/>
      <c r="K443" s="8"/>
      <c r="L443" s="8"/>
      <c r="M443" s="8"/>
      <c r="N443" s="8"/>
      <c r="O443" s="8"/>
      <c r="P443" s="8"/>
      <c r="Q443" s="8"/>
      <c r="R443" s="8"/>
    </row>
    <row r="444" spans="1:18" ht="12.75" customHeight="1">
      <c r="A444" s="8"/>
      <c r="B444" s="8"/>
      <c r="C444" s="30"/>
      <c r="D444" s="8"/>
      <c r="E444" s="8"/>
      <c r="F444" s="8"/>
      <c r="G444" s="8"/>
      <c r="H444" s="8"/>
      <c r="I444" s="8"/>
      <c r="J444" s="8"/>
      <c r="K444" s="8"/>
      <c r="L444" s="8"/>
      <c r="M444" s="8"/>
      <c r="N444" s="8"/>
      <c r="O444" s="8"/>
      <c r="P444" s="8"/>
      <c r="Q444" s="8"/>
      <c r="R444" s="8"/>
    </row>
    <row r="445" spans="1:18" ht="12.75" customHeight="1">
      <c r="A445" s="8"/>
      <c r="B445" s="8"/>
      <c r="C445" s="30"/>
      <c r="D445" s="8"/>
      <c r="E445" s="8"/>
      <c r="F445" s="8"/>
      <c r="G445" s="8"/>
      <c r="H445" s="8"/>
      <c r="I445" s="8"/>
      <c r="J445" s="8"/>
      <c r="K445" s="8"/>
      <c r="L445" s="8"/>
      <c r="M445" s="8"/>
      <c r="N445" s="8"/>
      <c r="O445" s="8"/>
      <c r="P445" s="8"/>
      <c r="Q445" s="8"/>
      <c r="R445" s="8"/>
    </row>
    <row r="446" spans="1:18" ht="12.75" customHeight="1">
      <c r="A446" s="8"/>
      <c r="B446" s="8"/>
      <c r="C446" s="30"/>
      <c r="D446" s="8"/>
      <c r="E446" s="8"/>
      <c r="F446" s="8"/>
      <c r="G446" s="8"/>
      <c r="H446" s="8"/>
      <c r="I446" s="8"/>
      <c r="J446" s="8"/>
      <c r="K446" s="8"/>
      <c r="L446" s="8"/>
      <c r="M446" s="8"/>
      <c r="N446" s="8"/>
      <c r="O446" s="8"/>
      <c r="P446" s="8"/>
      <c r="Q446" s="8"/>
      <c r="R446" s="8"/>
    </row>
    <row r="447" spans="1:18" ht="12.75" customHeight="1">
      <c r="A447" s="8"/>
      <c r="B447" s="8"/>
      <c r="C447" s="30"/>
      <c r="D447" s="8"/>
      <c r="E447" s="8"/>
      <c r="F447" s="8"/>
      <c r="G447" s="8"/>
      <c r="H447" s="8"/>
      <c r="I447" s="8"/>
      <c r="J447" s="8"/>
      <c r="K447" s="8"/>
      <c r="L447" s="8"/>
      <c r="M447" s="8"/>
      <c r="N447" s="8"/>
      <c r="O447" s="8"/>
      <c r="P447" s="8"/>
      <c r="Q447" s="8"/>
      <c r="R447" s="8"/>
    </row>
    <row r="448" spans="1:18" ht="12.75" customHeight="1">
      <c r="A448" s="8"/>
      <c r="B448" s="8"/>
      <c r="C448" s="30"/>
      <c r="D448" s="8"/>
      <c r="E448" s="8"/>
      <c r="F448" s="8"/>
      <c r="G448" s="8"/>
      <c r="H448" s="8"/>
      <c r="I448" s="8"/>
      <c r="J448" s="8"/>
      <c r="K448" s="8"/>
      <c r="L448" s="8"/>
      <c r="M448" s="8"/>
      <c r="N448" s="8"/>
      <c r="O448" s="8"/>
      <c r="P448" s="8"/>
      <c r="Q448" s="8"/>
      <c r="R448" s="8"/>
    </row>
    <row r="449" spans="1:18" ht="12.75" customHeight="1">
      <c r="A449" s="8"/>
      <c r="B449" s="8"/>
      <c r="C449" s="30"/>
      <c r="D449" s="8"/>
      <c r="E449" s="8"/>
      <c r="F449" s="8"/>
      <c r="G449" s="8"/>
      <c r="H449" s="8"/>
      <c r="I449" s="8"/>
      <c r="J449" s="8"/>
      <c r="K449" s="8"/>
      <c r="L449" s="8"/>
      <c r="M449" s="8"/>
      <c r="N449" s="8"/>
      <c r="O449" s="8"/>
      <c r="P449" s="8"/>
      <c r="Q449" s="8"/>
      <c r="R449" s="8"/>
    </row>
    <row r="450" spans="1:18" ht="12.75" customHeight="1">
      <c r="A450" s="8"/>
      <c r="B450" s="8"/>
      <c r="C450" s="30"/>
      <c r="D450" s="8"/>
      <c r="E450" s="8"/>
      <c r="F450" s="8"/>
      <c r="G450" s="8"/>
      <c r="H450" s="8"/>
      <c r="I450" s="8"/>
      <c r="J450" s="8"/>
      <c r="K450" s="8"/>
      <c r="L450" s="8"/>
      <c r="M450" s="8"/>
      <c r="N450" s="8"/>
      <c r="O450" s="8"/>
      <c r="P450" s="8"/>
      <c r="Q450" s="8"/>
      <c r="R450" s="8"/>
    </row>
    <row r="451" spans="1:18" ht="12.75" customHeight="1">
      <c r="A451" s="8"/>
      <c r="B451" s="8"/>
      <c r="C451" s="30"/>
      <c r="D451" s="8"/>
      <c r="E451" s="8"/>
      <c r="F451" s="8"/>
      <c r="G451" s="8"/>
      <c r="H451" s="8"/>
      <c r="I451" s="8"/>
      <c r="J451" s="8"/>
      <c r="K451" s="8"/>
      <c r="L451" s="8"/>
      <c r="M451" s="8"/>
      <c r="N451" s="8"/>
      <c r="O451" s="8"/>
      <c r="P451" s="8"/>
      <c r="Q451" s="8"/>
      <c r="R451" s="8"/>
    </row>
    <row r="452" spans="1:18" ht="12.75" customHeight="1">
      <c r="A452" s="8"/>
      <c r="B452" s="8"/>
      <c r="C452" s="30"/>
      <c r="D452" s="8"/>
      <c r="E452" s="8"/>
      <c r="F452" s="8"/>
      <c r="G452" s="8"/>
      <c r="H452" s="8"/>
      <c r="I452" s="8"/>
      <c r="J452" s="8"/>
      <c r="K452" s="8"/>
      <c r="L452" s="8"/>
      <c r="M452" s="8"/>
      <c r="N452" s="8"/>
      <c r="O452" s="8"/>
      <c r="P452" s="8"/>
      <c r="Q452" s="8"/>
      <c r="R452" s="8"/>
    </row>
    <row r="453" spans="1:18" ht="12.75" customHeight="1">
      <c r="A453" s="8"/>
      <c r="B453" s="8"/>
      <c r="C453" s="30"/>
      <c r="D453" s="8"/>
      <c r="E453" s="8"/>
      <c r="F453" s="8"/>
      <c r="G453" s="8"/>
      <c r="H453" s="8"/>
      <c r="I453" s="8"/>
      <c r="J453" s="8"/>
      <c r="K453" s="8"/>
      <c r="L453" s="8"/>
      <c r="M453" s="8"/>
      <c r="N453" s="8"/>
      <c r="O453" s="8"/>
      <c r="P453" s="8"/>
      <c r="Q453" s="8"/>
      <c r="R453" s="8"/>
    </row>
    <row r="454" spans="1:18" ht="12.75" customHeight="1">
      <c r="A454" s="8"/>
      <c r="B454" s="8"/>
      <c r="C454" s="30"/>
      <c r="D454" s="8"/>
      <c r="E454" s="8"/>
      <c r="F454" s="8"/>
      <c r="G454" s="8"/>
      <c r="H454" s="8"/>
      <c r="I454" s="8"/>
      <c r="J454" s="8"/>
      <c r="K454" s="8"/>
      <c r="L454" s="8"/>
      <c r="M454" s="8"/>
      <c r="N454" s="8"/>
      <c r="O454" s="8"/>
      <c r="P454" s="8"/>
      <c r="Q454" s="8"/>
      <c r="R454" s="8"/>
    </row>
    <row r="455" spans="1:18" ht="12.75" customHeight="1">
      <c r="A455" s="8"/>
      <c r="B455" s="8"/>
      <c r="C455" s="30"/>
      <c r="D455" s="8"/>
      <c r="E455" s="8"/>
      <c r="F455" s="8"/>
      <c r="G455" s="8"/>
      <c r="H455" s="8"/>
      <c r="I455" s="8"/>
      <c r="J455" s="8"/>
      <c r="K455" s="8"/>
      <c r="L455" s="8"/>
      <c r="M455" s="8"/>
      <c r="N455" s="8"/>
      <c r="O455" s="8"/>
      <c r="P455" s="8"/>
      <c r="Q455" s="8"/>
      <c r="R455" s="8"/>
    </row>
    <row r="456" spans="1:18" ht="12.75" customHeight="1">
      <c r="A456" s="8"/>
      <c r="B456" s="8"/>
      <c r="C456" s="30"/>
      <c r="D456" s="8"/>
      <c r="E456" s="8"/>
      <c r="F456" s="8"/>
      <c r="G456" s="8"/>
      <c r="H456" s="8"/>
      <c r="I456" s="8"/>
      <c r="J456" s="8"/>
      <c r="K456" s="8"/>
      <c r="L456" s="8"/>
      <c r="M456" s="8"/>
      <c r="N456" s="8"/>
      <c r="O456" s="8"/>
      <c r="P456" s="8"/>
      <c r="Q456" s="8"/>
      <c r="R456" s="8"/>
    </row>
    <row r="457" spans="1:18" ht="12.75" customHeight="1">
      <c r="A457" s="8"/>
      <c r="B457" s="8"/>
      <c r="C457" s="30"/>
      <c r="D457" s="8"/>
      <c r="E457" s="8"/>
      <c r="F457" s="8"/>
      <c r="G457" s="8"/>
      <c r="H457" s="8"/>
      <c r="I457" s="8"/>
      <c r="J457" s="8"/>
      <c r="K457" s="8"/>
      <c r="L457" s="8"/>
      <c r="M457" s="8"/>
      <c r="N457" s="8"/>
      <c r="O457" s="8"/>
      <c r="P457" s="8"/>
      <c r="Q457" s="8"/>
      <c r="R457" s="8"/>
    </row>
    <row r="458" spans="1:18" ht="12.75" customHeight="1">
      <c r="A458" s="8"/>
      <c r="B458" s="8"/>
      <c r="C458" s="30"/>
      <c r="D458" s="8"/>
      <c r="E458" s="8"/>
      <c r="F458" s="8"/>
      <c r="G458" s="8"/>
      <c r="H458" s="8"/>
      <c r="I458" s="8"/>
      <c r="J458" s="8"/>
      <c r="K458" s="8"/>
      <c r="L458" s="8"/>
      <c r="M458" s="8"/>
      <c r="N458" s="8"/>
      <c r="O458" s="8"/>
      <c r="P458" s="8"/>
      <c r="Q458" s="8"/>
      <c r="R458" s="8"/>
    </row>
    <row r="459" spans="1:18" ht="12.75" customHeight="1">
      <c r="A459" s="8"/>
      <c r="B459" s="8"/>
      <c r="C459" s="30"/>
      <c r="D459" s="8"/>
      <c r="E459" s="8"/>
      <c r="F459" s="8"/>
      <c r="G459" s="8"/>
      <c r="H459" s="8"/>
      <c r="I459" s="8"/>
      <c r="J459" s="8"/>
      <c r="K459" s="8"/>
      <c r="L459" s="8"/>
      <c r="M459" s="8"/>
      <c r="N459" s="8"/>
      <c r="O459" s="8"/>
      <c r="P459" s="8"/>
      <c r="Q459" s="8"/>
      <c r="R459" s="8"/>
    </row>
    <row r="460" spans="1:18" ht="12.75" customHeight="1">
      <c r="A460" s="8"/>
      <c r="B460" s="8"/>
      <c r="C460" s="30"/>
      <c r="D460" s="8"/>
      <c r="E460" s="8"/>
      <c r="F460" s="8"/>
      <c r="G460" s="8"/>
      <c r="H460" s="8"/>
      <c r="I460" s="8"/>
      <c r="J460" s="8"/>
      <c r="K460" s="8"/>
      <c r="L460" s="8"/>
      <c r="M460" s="8"/>
      <c r="N460" s="8"/>
      <c r="O460" s="8"/>
      <c r="P460" s="8"/>
      <c r="Q460" s="8"/>
      <c r="R460" s="8"/>
    </row>
    <row r="461" spans="1:18" ht="12.75" customHeight="1">
      <c r="A461" s="8"/>
      <c r="B461" s="8"/>
      <c r="C461" s="30"/>
      <c r="D461" s="8"/>
      <c r="E461" s="8"/>
      <c r="F461" s="8"/>
      <c r="G461" s="8"/>
      <c r="H461" s="8"/>
      <c r="I461" s="8"/>
      <c r="J461" s="8"/>
      <c r="K461" s="8"/>
      <c r="L461" s="8"/>
      <c r="M461" s="8"/>
      <c r="N461" s="8"/>
      <c r="O461" s="8"/>
      <c r="P461" s="8"/>
      <c r="Q461" s="8"/>
      <c r="R461" s="8"/>
    </row>
    <row r="462" spans="1:18" ht="12.75" customHeight="1">
      <c r="A462" s="8"/>
      <c r="B462" s="8"/>
      <c r="C462" s="30"/>
      <c r="D462" s="8"/>
      <c r="E462" s="8"/>
      <c r="F462" s="8"/>
      <c r="G462" s="8"/>
      <c r="H462" s="8"/>
      <c r="I462" s="8"/>
      <c r="J462" s="8"/>
      <c r="K462" s="8"/>
      <c r="L462" s="8"/>
      <c r="M462" s="8"/>
      <c r="N462" s="8"/>
      <c r="O462" s="8"/>
      <c r="P462" s="8"/>
      <c r="Q462" s="8"/>
      <c r="R462" s="8"/>
    </row>
    <row r="463" spans="1:18" ht="12.75" customHeight="1">
      <c r="A463" s="8"/>
      <c r="B463" s="8"/>
      <c r="C463" s="30"/>
      <c r="D463" s="8"/>
      <c r="E463" s="8"/>
      <c r="F463" s="8"/>
      <c r="G463" s="8"/>
      <c r="H463" s="8"/>
      <c r="I463" s="8"/>
      <c r="J463" s="8"/>
      <c r="K463" s="8"/>
      <c r="L463" s="8"/>
      <c r="M463" s="8"/>
      <c r="N463" s="8"/>
      <c r="O463" s="8"/>
      <c r="P463" s="8"/>
      <c r="Q463" s="8"/>
      <c r="R463" s="8"/>
    </row>
    <row r="464" spans="1:18" ht="12.75" customHeight="1">
      <c r="A464" s="8"/>
      <c r="B464" s="8"/>
      <c r="C464" s="30"/>
      <c r="D464" s="8"/>
      <c r="E464" s="8"/>
      <c r="F464" s="8"/>
      <c r="G464" s="8"/>
      <c r="H464" s="8"/>
      <c r="I464" s="8"/>
      <c r="J464" s="8"/>
      <c r="K464" s="8"/>
      <c r="L464" s="8"/>
      <c r="M464" s="8"/>
      <c r="N464" s="8"/>
      <c r="O464" s="8"/>
      <c r="P464" s="8"/>
      <c r="Q464" s="8"/>
      <c r="R464" s="8"/>
    </row>
    <row r="465" spans="1:18" ht="12.75" customHeight="1">
      <c r="A465" s="8"/>
      <c r="B465" s="8"/>
      <c r="C465" s="30"/>
      <c r="D465" s="8"/>
      <c r="E465" s="8"/>
      <c r="F465" s="8"/>
      <c r="G465" s="8"/>
      <c r="H465" s="8"/>
      <c r="I465" s="8"/>
      <c r="J465" s="8"/>
      <c r="K465" s="8"/>
      <c r="L465" s="8"/>
      <c r="M465" s="8"/>
      <c r="N465" s="8"/>
      <c r="O465" s="8"/>
      <c r="P465" s="8"/>
      <c r="Q465" s="8"/>
      <c r="R465" s="8"/>
    </row>
    <row r="466" spans="1:18" ht="12.75" customHeight="1">
      <c r="A466" s="8"/>
      <c r="B466" s="8"/>
      <c r="C466" s="30"/>
      <c r="D466" s="8"/>
      <c r="E466" s="8"/>
      <c r="F466" s="8"/>
      <c r="G466" s="8"/>
      <c r="H466" s="8"/>
      <c r="I466" s="8"/>
      <c r="J466" s="8"/>
      <c r="K466" s="8"/>
      <c r="L466" s="8"/>
      <c r="M466" s="8"/>
      <c r="N466" s="8"/>
      <c r="O466" s="8"/>
      <c r="P466" s="8"/>
      <c r="Q466" s="8"/>
      <c r="R466" s="8"/>
    </row>
    <row r="467" spans="1:18" ht="12.75" customHeight="1">
      <c r="A467" s="8"/>
      <c r="B467" s="8"/>
      <c r="C467" s="30"/>
      <c r="D467" s="8"/>
      <c r="E467" s="8"/>
      <c r="F467" s="8"/>
      <c r="G467" s="8"/>
      <c r="H467" s="8"/>
      <c r="I467" s="8"/>
      <c r="J467" s="8"/>
      <c r="K467" s="8"/>
      <c r="L467" s="8"/>
      <c r="M467" s="8"/>
      <c r="N467" s="8"/>
      <c r="O467" s="8"/>
      <c r="P467" s="8"/>
      <c r="Q467" s="8"/>
      <c r="R467" s="8"/>
    </row>
    <row r="468" spans="1:18" ht="12.75" customHeight="1">
      <c r="A468" s="8"/>
      <c r="B468" s="8"/>
      <c r="C468" s="30"/>
      <c r="D468" s="8"/>
      <c r="E468" s="8"/>
      <c r="F468" s="8"/>
      <c r="G468" s="8"/>
      <c r="H468" s="8"/>
      <c r="I468" s="8"/>
      <c r="J468" s="8"/>
      <c r="K468" s="8"/>
      <c r="L468" s="8"/>
      <c r="M468" s="8"/>
      <c r="N468" s="8"/>
      <c r="O468" s="8"/>
      <c r="P468" s="8"/>
      <c r="Q468" s="8"/>
      <c r="R468" s="8"/>
    </row>
    <row r="469" spans="1:18" ht="12.75" customHeight="1">
      <c r="A469" s="8"/>
      <c r="B469" s="8"/>
      <c r="C469" s="30"/>
      <c r="D469" s="8"/>
      <c r="E469" s="8"/>
      <c r="F469" s="8"/>
      <c r="G469" s="8"/>
      <c r="H469" s="8"/>
      <c r="I469" s="8"/>
      <c r="J469" s="8"/>
      <c r="K469" s="8"/>
      <c r="L469" s="8"/>
      <c r="M469" s="8"/>
      <c r="N469" s="8"/>
      <c r="O469" s="8"/>
      <c r="P469" s="8"/>
      <c r="Q469" s="8"/>
      <c r="R469" s="8"/>
    </row>
    <row r="470" spans="1:18" ht="12.75" customHeight="1">
      <c r="A470" s="8"/>
      <c r="B470" s="8"/>
      <c r="C470" s="30"/>
      <c r="D470" s="8"/>
      <c r="E470" s="8"/>
      <c r="F470" s="8"/>
      <c r="G470" s="8"/>
      <c r="H470" s="8"/>
      <c r="I470" s="8"/>
      <c r="J470" s="8"/>
      <c r="K470" s="8"/>
      <c r="L470" s="8"/>
      <c r="M470" s="8"/>
      <c r="N470" s="8"/>
      <c r="O470" s="8"/>
      <c r="P470" s="8"/>
      <c r="Q470" s="8"/>
      <c r="R470" s="8"/>
    </row>
    <row r="471" spans="1:18" ht="12.75" customHeight="1">
      <c r="A471" s="8"/>
      <c r="B471" s="8"/>
      <c r="C471" s="30"/>
      <c r="D471" s="8"/>
      <c r="E471" s="8"/>
      <c r="F471" s="8"/>
      <c r="G471" s="8"/>
      <c r="H471" s="8"/>
      <c r="I471" s="8"/>
      <c r="J471" s="8"/>
      <c r="K471" s="8"/>
      <c r="L471" s="8"/>
      <c r="M471" s="8"/>
      <c r="N471" s="8"/>
      <c r="O471" s="8"/>
      <c r="P471" s="8"/>
      <c r="Q471" s="8"/>
      <c r="R471" s="8"/>
    </row>
    <row r="472" spans="1:18" ht="12.75" customHeight="1">
      <c r="A472" s="8"/>
      <c r="B472" s="8"/>
      <c r="C472" s="30"/>
      <c r="D472" s="8"/>
      <c r="E472" s="8"/>
      <c r="F472" s="8"/>
      <c r="G472" s="8"/>
      <c r="H472" s="8"/>
      <c r="I472" s="8"/>
      <c r="J472" s="8"/>
      <c r="K472" s="8"/>
      <c r="L472" s="8"/>
      <c r="M472" s="8"/>
      <c r="N472" s="8"/>
      <c r="O472" s="8"/>
      <c r="P472" s="8"/>
      <c r="Q472" s="8"/>
      <c r="R472" s="8"/>
    </row>
    <row r="473" spans="1:18" ht="12.75" customHeight="1">
      <c r="A473" s="8"/>
      <c r="B473" s="8"/>
      <c r="C473" s="30"/>
      <c r="D473" s="8"/>
      <c r="E473" s="8"/>
      <c r="F473" s="8"/>
      <c r="G473" s="8"/>
      <c r="H473" s="8"/>
      <c r="I473" s="8"/>
      <c r="J473" s="8"/>
      <c r="K473" s="8"/>
      <c r="L473" s="8"/>
      <c r="M473" s="8"/>
      <c r="N473" s="8"/>
      <c r="O473" s="8"/>
      <c r="P473" s="8"/>
      <c r="Q473" s="8"/>
      <c r="R473" s="8"/>
    </row>
    <row r="474" spans="1:18" ht="12.75" customHeight="1">
      <c r="A474" s="8"/>
      <c r="B474" s="8"/>
      <c r="C474" s="30"/>
      <c r="D474" s="8"/>
      <c r="E474" s="8"/>
      <c r="F474" s="8"/>
      <c r="G474" s="8"/>
      <c r="H474" s="8"/>
      <c r="I474" s="8"/>
      <c r="J474" s="8"/>
      <c r="K474" s="8"/>
      <c r="L474" s="8"/>
      <c r="M474" s="8"/>
      <c r="N474" s="8"/>
      <c r="O474" s="8"/>
      <c r="P474" s="8"/>
      <c r="Q474" s="8"/>
      <c r="R474" s="8"/>
    </row>
    <row r="475" spans="1:18" ht="12.75" customHeight="1">
      <c r="A475" s="8"/>
      <c r="B475" s="8"/>
      <c r="C475" s="30"/>
      <c r="D475" s="8"/>
      <c r="E475" s="8"/>
      <c r="F475" s="8"/>
      <c r="G475" s="8"/>
      <c r="H475" s="8"/>
      <c r="I475" s="8"/>
      <c r="J475" s="8"/>
      <c r="K475" s="8"/>
      <c r="L475" s="8"/>
      <c r="M475" s="8"/>
      <c r="N475" s="8"/>
      <c r="O475" s="8"/>
      <c r="P475" s="8"/>
      <c r="Q475" s="8"/>
      <c r="R475" s="8"/>
    </row>
    <row r="476" spans="1:18" ht="12.75" customHeight="1">
      <c r="A476" s="8"/>
      <c r="B476" s="8"/>
      <c r="C476" s="30"/>
      <c r="D476" s="8"/>
      <c r="E476" s="8"/>
      <c r="F476" s="8"/>
      <c r="G476" s="8"/>
      <c r="H476" s="8"/>
      <c r="I476" s="8"/>
      <c r="J476" s="8"/>
      <c r="K476" s="8"/>
      <c r="L476" s="8"/>
      <c r="M476" s="8"/>
      <c r="N476" s="8"/>
      <c r="O476" s="8"/>
      <c r="P476" s="8"/>
      <c r="Q476" s="8"/>
      <c r="R476" s="8"/>
    </row>
    <row r="477" spans="1:18" ht="12.75" customHeight="1">
      <c r="A477" s="8"/>
      <c r="B477" s="8"/>
      <c r="C477" s="30"/>
      <c r="D477" s="8"/>
      <c r="E477" s="8"/>
      <c r="F477" s="8"/>
      <c r="G477" s="8"/>
      <c r="H477" s="8"/>
      <c r="I477" s="8"/>
      <c r="J477" s="8"/>
      <c r="K477" s="8"/>
      <c r="L477" s="8"/>
      <c r="M477" s="8"/>
      <c r="N477" s="8"/>
      <c r="O477" s="8"/>
      <c r="P477" s="8"/>
      <c r="Q477" s="8"/>
      <c r="R477" s="8"/>
    </row>
    <row r="478" spans="1:18" ht="12.75" customHeight="1">
      <c r="A478" s="8"/>
      <c r="B478" s="8"/>
      <c r="C478" s="30"/>
      <c r="D478" s="8"/>
      <c r="E478" s="8"/>
      <c r="F478" s="8"/>
      <c r="G478" s="8"/>
      <c r="H478" s="8"/>
      <c r="I478" s="8"/>
      <c r="J478" s="8"/>
      <c r="K478" s="8"/>
      <c r="L478" s="8"/>
      <c r="M478" s="8"/>
      <c r="N478" s="8"/>
      <c r="O478" s="8"/>
      <c r="P478" s="8"/>
      <c r="Q478" s="8"/>
      <c r="R478" s="8"/>
    </row>
    <row r="479" spans="1:18" ht="12.75" customHeight="1">
      <c r="A479" s="8"/>
      <c r="B479" s="8"/>
      <c r="C479" s="30"/>
      <c r="D479" s="8"/>
      <c r="E479" s="8"/>
      <c r="F479" s="8"/>
      <c r="G479" s="8"/>
      <c r="H479" s="8"/>
      <c r="I479" s="8"/>
      <c r="J479" s="8"/>
      <c r="K479" s="8"/>
      <c r="L479" s="8"/>
      <c r="M479" s="8"/>
      <c r="N479" s="8"/>
      <c r="O479" s="8"/>
      <c r="P479" s="8"/>
      <c r="Q479" s="8"/>
      <c r="R479" s="8"/>
    </row>
    <row r="480" spans="1:18" ht="12.75" customHeight="1">
      <c r="A480" s="8"/>
      <c r="B480" s="8"/>
      <c r="C480" s="30"/>
      <c r="D480" s="8"/>
      <c r="E480" s="8"/>
      <c r="F480" s="8"/>
      <c r="G480" s="8"/>
      <c r="H480" s="8"/>
      <c r="I480" s="8"/>
      <c r="J480" s="8"/>
      <c r="K480" s="8"/>
      <c r="L480" s="8"/>
      <c r="M480" s="8"/>
      <c r="N480" s="8"/>
      <c r="O480" s="8"/>
      <c r="P480" s="8"/>
      <c r="Q480" s="8"/>
      <c r="R480" s="8"/>
    </row>
    <row r="481" spans="1:18" ht="12.75" customHeight="1">
      <c r="A481" s="8"/>
      <c r="B481" s="8"/>
      <c r="C481" s="30"/>
      <c r="D481" s="8"/>
      <c r="E481" s="8"/>
      <c r="F481" s="8"/>
      <c r="G481" s="8"/>
      <c r="H481" s="8"/>
      <c r="I481" s="8"/>
      <c r="J481" s="8"/>
      <c r="K481" s="8"/>
      <c r="L481" s="8"/>
      <c r="M481" s="8"/>
      <c r="N481" s="8"/>
      <c r="O481" s="8"/>
      <c r="P481" s="8"/>
      <c r="Q481" s="8"/>
      <c r="R481" s="8"/>
    </row>
    <row r="482" spans="1:18" ht="12.75" customHeight="1">
      <c r="A482" s="8"/>
      <c r="B482" s="8"/>
      <c r="C482" s="30"/>
      <c r="D482" s="8"/>
      <c r="E482" s="8"/>
      <c r="F482" s="8"/>
      <c r="G482" s="8"/>
      <c r="H482" s="8"/>
      <c r="I482" s="8"/>
      <c r="J482" s="8"/>
      <c r="K482" s="8"/>
      <c r="L482" s="8"/>
      <c r="M482" s="8"/>
      <c r="N482" s="8"/>
      <c r="O482" s="8"/>
      <c r="P482" s="8"/>
      <c r="Q482" s="8"/>
      <c r="R482" s="8"/>
    </row>
    <row r="483" spans="1:18" ht="12.75" customHeight="1">
      <c r="A483" s="8"/>
      <c r="B483" s="8"/>
      <c r="C483" s="30"/>
      <c r="D483" s="8"/>
      <c r="E483" s="8"/>
      <c r="F483" s="8"/>
      <c r="G483" s="8"/>
      <c r="H483" s="8"/>
      <c r="I483" s="8"/>
      <c r="J483" s="8"/>
      <c r="K483" s="8"/>
      <c r="L483" s="8"/>
      <c r="M483" s="8"/>
      <c r="N483" s="8"/>
      <c r="O483" s="8"/>
      <c r="P483" s="8"/>
      <c r="Q483" s="8"/>
      <c r="R483" s="8"/>
    </row>
    <row r="484" spans="1:18" ht="12.75" customHeight="1">
      <c r="A484" s="8"/>
      <c r="B484" s="8"/>
      <c r="C484" s="30"/>
      <c r="D484" s="8"/>
      <c r="E484" s="8"/>
      <c r="F484" s="8"/>
      <c r="G484" s="8"/>
      <c r="H484" s="8"/>
      <c r="I484" s="8"/>
      <c r="J484" s="8"/>
      <c r="K484" s="8"/>
      <c r="L484" s="8"/>
      <c r="M484" s="8"/>
      <c r="N484" s="8"/>
      <c r="O484" s="8"/>
      <c r="P484" s="8"/>
      <c r="Q484" s="8"/>
      <c r="R484" s="8"/>
    </row>
    <row r="485" spans="1:18" ht="12.75" customHeight="1">
      <c r="A485" s="8"/>
      <c r="B485" s="8"/>
      <c r="C485" s="30"/>
      <c r="D485" s="8"/>
      <c r="E485" s="8"/>
      <c r="F485" s="8"/>
      <c r="G485" s="8"/>
      <c r="H485" s="8"/>
      <c r="I485" s="8"/>
      <c r="J485" s="8"/>
      <c r="K485" s="8"/>
      <c r="L485" s="8"/>
      <c r="M485" s="8"/>
      <c r="N485" s="8"/>
      <c r="O485" s="8"/>
      <c r="P485" s="8"/>
      <c r="Q485" s="8"/>
      <c r="R485" s="8"/>
    </row>
    <row r="486" spans="1:18" ht="12.75" customHeight="1">
      <c r="A486" s="8"/>
      <c r="B486" s="8"/>
      <c r="C486" s="30"/>
      <c r="D486" s="8"/>
      <c r="E486" s="8"/>
      <c r="F486" s="8"/>
      <c r="G486" s="8"/>
      <c r="H486" s="8"/>
      <c r="I486" s="8"/>
      <c r="J486" s="8"/>
      <c r="K486" s="8"/>
      <c r="L486" s="8"/>
      <c r="M486" s="8"/>
      <c r="N486" s="8"/>
      <c r="O486" s="8"/>
      <c r="P486" s="8"/>
      <c r="Q486" s="8"/>
      <c r="R486" s="8"/>
    </row>
    <row r="487" spans="1:18" ht="12.75" customHeight="1">
      <c r="A487" s="8"/>
      <c r="B487" s="8"/>
      <c r="C487" s="30"/>
      <c r="D487" s="8"/>
      <c r="E487" s="8"/>
      <c r="F487" s="8"/>
      <c r="G487" s="8"/>
      <c r="H487" s="8"/>
      <c r="I487" s="8"/>
      <c r="J487" s="8"/>
      <c r="K487" s="8"/>
      <c r="L487" s="8"/>
      <c r="M487" s="8"/>
      <c r="N487" s="8"/>
      <c r="O487" s="8"/>
      <c r="P487" s="8"/>
      <c r="Q487" s="8"/>
      <c r="R487" s="8"/>
    </row>
    <row r="488" spans="1:18" ht="12.75" customHeight="1">
      <c r="A488" s="8"/>
      <c r="B488" s="8"/>
      <c r="C488" s="30"/>
      <c r="D488" s="8"/>
      <c r="E488" s="8"/>
      <c r="F488" s="8"/>
      <c r="G488" s="8"/>
      <c r="H488" s="8"/>
      <c r="I488" s="8"/>
      <c r="J488" s="8"/>
      <c r="K488" s="8"/>
      <c r="L488" s="8"/>
      <c r="M488" s="8"/>
      <c r="N488" s="8"/>
      <c r="O488" s="8"/>
      <c r="P488" s="8"/>
      <c r="Q488" s="8"/>
      <c r="R488" s="8"/>
    </row>
    <row r="489" spans="1:18" ht="12.75" customHeight="1">
      <c r="A489" s="8"/>
      <c r="B489" s="8"/>
      <c r="C489" s="30"/>
      <c r="D489" s="8"/>
      <c r="E489" s="8"/>
      <c r="F489" s="8"/>
      <c r="G489" s="8"/>
      <c r="H489" s="8"/>
      <c r="I489" s="8"/>
      <c r="J489" s="8"/>
      <c r="K489" s="8"/>
      <c r="L489" s="8"/>
      <c r="M489" s="8"/>
      <c r="N489" s="8"/>
      <c r="O489" s="8"/>
      <c r="P489" s="8"/>
      <c r="Q489" s="8"/>
      <c r="R489" s="8"/>
    </row>
    <row r="490" spans="1:18" ht="12.75" customHeight="1">
      <c r="A490" s="8"/>
      <c r="B490" s="8"/>
      <c r="C490" s="30"/>
      <c r="D490" s="8"/>
      <c r="E490" s="8"/>
      <c r="F490" s="8"/>
      <c r="G490" s="8"/>
      <c r="H490" s="8"/>
      <c r="I490" s="8"/>
      <c r="J490" s="8"/>
      <c r="K490" s="8"/>
      <c r="L490" s="8"/>
      <c r="M490" s="8"/>
      <c r="N490" s="8"/>
      <c r="O490" s="8"/>
      <c r="P490" s="8"/>
      <c r="Q490" s="8"/>
      <c r="R490" s="8"/>
    </row>
    <row r="491" spans="1:18" ht="12.75" customHeight="1">
      <c r="A491" s="8"/>
      <c r="B491" s="8"/>
      <c r="C491" s="30"/>
      <c r="D491" s="8"/>
      <c r="E491" s="8"/>
      <c r="F491" s="8"/>
      <c r="G491" s="8"/>
      <c r="H491" s="8"/>
      <c r="I491" s="8"/>
      <c r="J491" s="8"/>
      <c r="K491" s="8"/>
      <c r="L491" s="8"/>
      <c r="M491" s="8"/>
      <c r="N491" s="8"/>
      <c r="O491" s="8"/>
      <c r="P491" s="8"/>
      <c r="Q491" s="8"/>
      <c r="R491" s="8"/>
    </row>
    <row r="492" spans="1:18" ht="12.75" customHeight="1">
      <c r="A492" s="8"/>
      <c r="B492" s="8"/>
      <c r="C492" s="30"/>
      <c r="D492" s="8"/>
      <c r="E492" s="8"/>
      <c r="F492" s="8"/>
      <c r="G492" s="8"/>
      <c r="H492" s="8"/>
      <c r="I492" s="8"/>
      <c r="J492" s="8"/>
      <c r="K492" s="8"/>
      <c r="L492" s="8"/>
      <c r="M492" s="8"/>
      <c r="N492" s="8"/>
      <c r="O492" s="8"/>
      <c r="P492" s="8"/>
      <c r="Q492" s="8"/>
      <c r="R492" s="8"/>
    </row>
    <row r="493" spans="1:18" ht="12.75" customHeight="1">
      <c r="A493" s="8"/>
      <c r="B493" s="8"/>
      <c r="C493" s="30"/>
      <c r="D493" s="8"/>
      <c r="E493" s="8"/>
      <c r="F493" s="8"/>
      <c r="G493" s="8"/>
      <c r="H493" s="8"/>
      <c r="I493" s="8"/>
      <c r="J493" s="8"/>
      <c r="K493" s="8"/>
      <c r="L493" s="8"/>
      <c r="M493" s="8"/>
      <c r="N493" s="8"/>
      <c r="O493" s="8"/>
      <c r="P493" s="8"/>
      <c r="Q493" s="8"/>
      <c r="R493" s="8"/>
    </row>
    <row r="494" spans="1:18" ht="12.75" customHeight="1">
      <c r="A494" s="8"/>
      <c r="B494" s="8"/>
      <c r="C494" s="30"/>
      <c r="D494" s="8"/>
      <c r="E494" s="8"/>
      <c r="F494" s="8"/>
      <c r="G494" s="8"/>
      <c r="H494" s="8"/>
      <c r="I494" s="8"/>
      <c r="J494" s="8"/>
      <c r="K494" s="8"/>
      <c r="L494" s="8"/>
      <c r="M494" s="8"/>
      <c r="N494" s="8"/>
      <c r="O494" s="8"/>
      <c r="P494" s="8"/>
      <c r="Q494" s="8"/>
      <c r="R494" s="8"/>
    </row>
    <row r="495" spans="1:18" ht="12.75" customHeight="1">
      <c r="A495" s="8"/>
      <c r="B495" s="8"/>
      <c r="C495" s="30"/>
      <c r="D495" s="8"/>
      <c r="E495" s="8"/>
      <c r="F495" s="8"/>
      <c r="G495" s="8"/>
      <c r="H495" s="8"/>
      <c r="I495" s="8"/>
      <c r="J495" s="8"/>
      <c r="K495" s="8"/>
      <c r="L495" s="8"/>
      <c r="M495" s="8"/>
      <c r="N495" s="8"/>
      <c r="O495" s="8"/>
      <c r="P495" s="8"/>
      <c r="Q495" s="8"/>
      <c r="R495" s="8"/>
    </row>
    <row r="496" spans="1:18" ht="12.75" customHeight="1">
      <c r="A496" s="8"/>
      <c r="B496" s="8"/>
      <c r="C496" s="30"/>
      <c r="D496" s="8"/>
      <c r="E496" s="8"/>
      <c r="F496" s="8"/>
      <c r="G496" s="8"/>
      <c r="H496" s="8"/>
      <c r="I496" s="8"/>
      <c r="J496" s="8"/>
      <c r="K496" s="8"/>
      <c r="L496" s="8"/>
      <c r="M496" s="8"/>
      <c r="N496" s="8"/>
      <c r="O496" s="8"/>
      <c r="P496" s="8"/>
      <c r="Q496" s="8"/>
      <c r="R496" s="8"/>
    </row>
    <row r="497" spans="1:18" ht="12.75" customHeight="1">
      <c r="A497" s="8"/>
      <c r="B497" s="8"/>
      <c r="C497" s="30"/>
      <c r="D497" s="8"/>
      <c r="E497" s="8"/>
      <c r="F497" s="8"/>
      <c r="G497" s="8"/>
      <c r="H497" s="8"/>
      <c r="I497" s="8"/>
      <c r="J497" s="8"/>
      <c r="K497" s="8"/>
      <c r="L497" s="8"/>
      <c r="M497" s="8"/>
      <c r="N497" s="8"/>
      <c r="O497" s="8"/>
      <c r="P497" s="8"/>
      <c r="Q497" s="8"/>
      <c r="R497" s="8"/>
    </row>
    <row r="498" spans="1:18" ht="12.75" customHeight="1">
      <c r="A498" s="8"/>
      <c r="B498" s="8"/>
      <c r="C498" s="30"/>
      <c r="D498" s="8"/>
      <c r="E498" s="8"/>
      <c r="F498" s="8"/>
      <c r="G498" s="8"/>
      <c r="H498" s="8"/>
      <c r="I498" s="8"/>
      <c r="J498" s="8"/>
      <c r="K498" s="8"/>
      <c r="L498" s="8"/>
      <c r="M498" s="8"/>
      <c r="N498" s="8"/>
      <c r="O498" s="8"/>
      <c r="P498" s="8"/>
      <c r="Q498" s="8"/>
      <c r="R498" s="8"/>
    </row>
    <row r="499" spans="1:18" ht="12.75" customHeight="1">
      <c r="A499" s="8"/>
      <c r="B499" s="8"/>
      <c r="C499" s="30"/>
      <c r="D499" s="8"/>
      <c r="E499" s="8"/>
      <c r="F499" s="8"/>
      <c r="G499" s="8"/>
      <c r="H499" s="8"/>
      <c r="I499" s="8"/>
      <c r="J499" s="8"/>
      <c r="K499" s="8"/>
      <c r="L499" s="8"/>
      <c r="M499" s="8"/>
      <c r="N499" s="8"/>
      <c r="O499" s="8"/>
      <c r="P499" s="8"/>
      <c r="Q499" s="8"/>
      <c r="R499" s="8"/>
    </row>
    <row r="500" spans="1:18" ht="12.75" customHeight="1">
      <c r="A500" s="8"/>
      <c r="B500" s="8"/>
      <c r="C500" s="30"/>
      <c r="D500" s="8"/>
      <c r="E500" s="8"/>
      <c r="F500" s="8"/>
      <c r="G500" s="8"/>
      <c r="H500" s="8"/>
      <c r="I500" s="8"/>
      <c r="J500" s="8"/>
      <c r="K500" s="8"/>
      <c r="L500" s="8"/>
      <c r="M500" s="8"/>
      <c r="N500" s="8"/>
      <c r="O500" s="8"/>
      <c r="P500" s="8"/>
      <c r="Q500" s="8"/>
      <c r="R500" s="8"/>
    </row>
    <row r="501" spans="1:18" ht="12.75" customHeight="1">
      <c r="A501" s="8"/>
      <c r="B501" s="8"/>
      <c r="C501" s="30"/>
      <c r="D501" s="8"/>
      <c r="E501" s="8"/>
      <c r="F501" s="8"/>
      <c r="G501" s="8"/>
      <c r="H501" s="8"/>
      <c r="I501" s="8"/>
      <c r="J501" s="8"/>
      <c r="K501" s="8"/>
      <c r="L501" s="8"/>
      <c r="M501" s="8"/>
      <c r="N501" s="8"/>
      <c r="O501" s="8"/>
      <c r="P501" s="8"/>
      <c r="Q501" s="8"/>
      <c r="R501" s="8"/>
    </row>
    <row r="502" spans="1:18" ht="12.75" customHeight="1">
      <c r="A502" s="8"/>
      <c r="B502" s="8"/>
      <c r="C502" s="30"/>
      <c r="D502" s="8"/>
      <c r="E502" s="8"/>
      <c r="F502" s="8"/>
      <c r="G502" s="8"/>
      <c r="H502" s="8"/>
      <c r="I502" s="8"/>
      <c r="J502" s="8"/>
      <c r="K502" s="8"/>
      <c r="L502" s="8"/>
      <c r="M502" s="8"/>
      <c r="N502" s="8"/>
      <c r="O502" s="8"/>
      <c r="P502" s="8"/>
      <c r="Q502" s="8"/>
      <c r="R502" s="8"/>
    </row>
    <row r="503" spans="1:18" ht="12.75" customHeight="1">
      <c r="A503" s="8"/>
      <c r="B503" s="8"/>
      <c r="C503" s="30"/>
      <c r="D503" s="8"/>
      <c r="E503" s="8"/>
      <c r="F503" s="8"/>
      <c r="G503" s="8"/>
      <c r="H503" s="8"/>
      <c r="I503" s="8"/>
      <c r="J503" s="8"/>
      <c r="K503" s="8"/>
      <c r="L503" s="8"/>
      <c r="M503" s="8"/>
      <c r="N503" s="8"/>
      <c r="O503" s="8"/>
      <c r="P503" s="8"/>
      <c r="Q503" s="8"/>
      <c r="R503" s="8"/>
    </row>
    <row r="504" spans="1:18" ht="12.75" customHeight="1">
      <c r="A504" s="8"/>
      <c r="B504" s="8"/>
      <c r="C504" s="30"/>
      <c r="D504" s="8"/>
      <c r="E504" s="8"/>
      <c r="F504" s="8"/>
      <c r="G504" s="8"/>
      <c r="H504" s="8"/>
      <c r="I504" s="8"/>
      <c r="J504" s="8"/>
      <c r="K504" s="8"/>
      <c r="L504" s="8"/>
      <c r="M504" s="8"/>
      <c r="N504" s="8"/>
      <c r="O504" s="8"/>
      <c r="P504" s="8"/>
      <c r="Q504" s="8"/>
      <c r="R504" s="8"/>
    </row>
    <row r="505" spans="1:18" ht="12.75" customHeight="1">
      <c r="A505" s="8"/>
      <c r="B505" s="8"/>
      <c r="C505" s="30"/>
      <c r="D505" s="8"/>
      <c r="E505" s="8"/>
      <c r="F505" s="8"/>
      <c r="G505" s="8"/>
      <c r="H505" s="8"/>
      <c r="I505" s="8"/>
      <c r="J505" s="8"/>
      <c r="K505" s="8"/>
      <c r="L505" s="8"/>
      <c r="M505" s="8"/>
      <c r="N505" s="8"/>
      <c r="O505" s="8"/>
      <c r="P505" s="8"/>
      <c r="Q505" s="8"/>
      <c r="R505" s="8"/>
    </row>
    <row r="506" spans="1:18" ht="12.75" customHeight="1">
      <c r="A506" s="8"/>
      <c r="B506" s="8"/>
      <c r="C506" s="30"/>
      <c r="D506" s="8"/>
      <c r="E506" s="8"/>
      <c r="F506" s="8"/>
      <c r="G506" s="8"/>
      <c r="H506" s="8"/>
      <c r="I506" s="8"/>
      <c r="J506" s="8"/>
      <c r="K506" s="8"/>
      <c r="L506" s="8"/>
      <c r="M506" s="8"/>
      <c r="N506" s="8"/>
      <c r="O506" s="8"/>
      <c r="P506" s="8"/>
      <c r="Q506" s="8"/>
      <c r="R506" s="8"/>
    </row>
    <row r="507" spans="1:18" ht="12.75" customHeight="1">
      <c r="A507" s="8"/>
      <c r="B507" s="8"/>
      <c r="C507" s="30"/>
      <c r="D507" s="8"/>
      <c r="E507" s="8"/>
      <c r="F507" s="8"/>
      <c r="G507" s="8"/>
      <c r="H507" s="8"/>
      <c r="I507" s="8"/>
      <c r="J507" s="8"/>
      <c r="K507" s="8"/>
      <c r="L507" s="8"/>
      <c r="M507" s="8"/>
      <c r="N507" s="8"/>
      <c r="O507" s="8"/>
      <c r="P507" s="8"/>
      <c r="Q507" s="8"/>
      <c r="R507" s="8"/>
    </row>
    <row r="508" spans="1:18" ht="12.75" customHeight="1">
      <c r="A508" s="8"/>
      <c r="B508" s="8"/>
      <c r="C508" s="30"/>
      <c r="D508" s="8"/>
      <c r="E508" s="8"/>
      <c r="F508" s="8"/>
      <c r="G508" s="8"/>
      <c r="H508" s="8"/>
      <c r="I508" s="8"/>
      <c r="J508" s="8"/>
      <c r="K508" s="8"/>
      <c r="L508" s="8"/>
      <c r="M508" s="8"/>
      <c r="N508" s="8"/>
      <c r="O508" s="8"/>
      <c r="P508" s="8"/>
      <c r="Q508" s="8"/>
      <c r="R508" s="8"/>
    </row>
    <row r="509" spans="1:18" ht="12.75" customHeight="1">
      <c r="A509" s="8"/>
      <c r="B509" s="8"/>
      <c r="C509" s="30"/>
      <c r="D509" s="8"/>
      <c r="E509" s="8"/>
      <c r="F509" s="8"/>
      <c r="G509" s="8"/>
      <c r="H509" s="8"/>
      <c r="I509" s="8"/>
      <c r="J509" s="8"/>
      <c r="K509" s="8"/>
      <c r="L509" s="8"/>
      <c r="M509" s="8"/>
      <c r="N509" s="8"/>
      <c r="O509" s="8"/>
      <c r="P509" s="8"/>
      <c r="Q509" s="8"/>
      <c r="R509" s="8"/>
    </row>
    <row r="510" spans="1:18" ht="12.75" customHeight="1">
      <c r="A510" s="8"/>
      <c r="B510" s="8"/>
      <c r="C510" s="30"/>
      <c r="D510" s="8"/>
      <c r="E510" s="8"/>
      <c r="F510" s="8"/>
      <c r="G510" s="8"/>
      <c r="H510" s="8"/>
      <c r="I510" s="8"/>
      <c r="J510" s="8"/>
      <c r="K510" s="8"/>
      <c r="L510" s="8"/>
      <c r="M510" s="8"/>
      <c r="N510" s="8"/>
      <c r="O510" s="8"/>
      <c r="P510" s="8"/>
      <c r="Q510" s="8"/>
      <c r="R510" s="8"/>
    </row>
    <row r="511" spans="1:18" ht="12.75" customHeight="1">
      <c r="A511" s="8"/>
      <c r="B511" s="8"/>
      <c r="C511" s="30"/>
      <c r="D511" s="8"/>
      <c r="E511" s="8"/>
      <c r="F511" s="8"/>
      <c r="G511" s="8"/>
      <c r="H511" s="8"/>
      <c r="I511" s="8"/>
      <c r="J511" s="8"/>
      <c r="K511" s="8"/>
      <c r="L511" s="8"/>
      <c r="M511" s="8"/>
      <c r="N511" s="8"/>
      <c r="O511" s="8"/>
      <c r="P511" s="8"/>
      <c r="Q511" s="8"/>
      <c r="R511" s="8"/>
    </row>
    <row r="512" spans="1:18" ht="12.75" customHeight="1">
      <c r="A512" s="8"/>
      <c r="B512" s="8"/>
      <c r="C512" s="30"/>
      <c r="D512" s="8"/>
      <c r="E512" s="8"/>
      <c r="F512" s="8"/>
      <c r="G512" s="8"/>
      <c r="H512" s="8"/>
      <c r="I512" s="8"/>
      <c r="J512" s="8"/>
      <c r="K512" s="8"/>
      <c r="L512" s="8"/>
      <c r="M512" s="8"/>
      <c r="N512" s="8"/>
      <c r="O512" s="8"/>
      <c r="P512" s="8"/>
      <c r="Q512" s="8"/>
      <c r="R512" s="8"/>
    </row>
    <row r="513" spans="1:18" ht="12.75" customHeight="1">
      <c r="A513" s="8"/>
      <c r="B513" s="8"/>
      <c r="C513" s="30"/>
      <c r="D513" s="8"/>
      <c r="E513" s="8"/>
      <c r="F513" s="8"/>
      <c r="G513" s="8"/>
      <c r="H513" s="8"/>
      <c r="I513" s="8"/>
      <c r="J513" s="8"/>
      <c r="K513" s="8"/>
      <c r="L513" s="8"/>
      <c r="M513" s="8"/>
      <c r="N513" s="8"/>
      <c r="O513" s="8"/>
      <c r="P513" s="8"/>
      <c r="Q513" s="8"/>
      <c r="R513" s="8"/>
    </row>
    <row r="514" spans="1:18" ht="12.75" customHeight="1">
      <c r="A514" s="8"/>
      <c r="B514" s="8"/>
      <c r="C514" s="30"/>
      <c r="D514" s="8"/>
      <c r="E514" s="8"/>
      <c r="F514" s="8"/>
      <c r="G514" s="8"/>
      <c r="H514" s="8"/>
      <c r="I514" s="8"/>
      <c r="J514" s="8"/>
      <c r="K514" s="8"/>
      <c r="L514" s="8"/>
      <c r="M514" s="8"/>
      <c r="N514" s="8"/>
      <c r="O514" s="8"/>
      <c r="P514" s="8"/>
      <c r="Q514" s="8"/>
      <c r="R514" s="8"/>
    </row>
    <row r="515" spans="1:18" ht="12.75" customHeight="1">
      <c r="A515" s="8"/>
      <c r="B515" s="8"/>
      <c r="C515" s="30"/>
      <c r="D515" s="8"/>
      <c r="E515" s="8"/>
      <c r="F515" s="8"/>
      <c r="G515" s="8"/>
      <c r="H515" s="8"/>
      <c r="I515" s="8"/>
      <c r="J515" s="8"/>
      <c r="K515" s="8"/>
      <c r="L515" s="8"/>
      <c r="M515" s="8"/>
      <c r="N515" s="8"/>
      <c r="O515" s="8"/>
      <c r="P515" s="8"/>
      <c r="Q515" s="8"/>
      <c r="R515" s="8"/>
    </row>
    <row r="516" spans="1:18" ht="12.75" customHeight="1">
      <c r="A516" s="8"/>
      <c r="B516" s="8"/>
      <c r="C516" s="30"/>
      <c r="D516" s="8"/>
      <c r="E516" s="8"/>
      <c r="F516" s="8"/>
      <c r="G516" s="8"/>
      <c r="H516" s="8"/>
      <c r="I516" s="8"/>
      <c r="J516" s="8"/>
      <c r="K516" s="8"/>
      <c r="L516" s="8"/>
      <c r="M516" s="8"/>
      <c r="N516" s="8"/>
      <c r="O516" s="8"/>
      <c r="P516" s="8"/>
      <c r="Q516" s="8"/>
      <c r="R516" s="8"/>
    </row>
    <row r="517" spans="1:18" ht="12.75" customHeight="1">
      <c r="A517" s="8"/>
      <c r="B517" s="8"/>
      <c r="C517" s="30"/>
      <c r="D517" s="8"/>
      <c r="E517" s="8"/>
      <c r="F517" s="8"/>
      <c r="G517" s="8"/>
      <c r="H517" s="8"/>
      <c r="I517" s="8"/>
      <c r="J517" s="8"/>
      <c r="K517" s="8"/>
      <c r="L517" s="8"/>
      <c r="M517" s="8"/>
      <c r="N517" s="8"/>
      <c r="O517" s="8"/>
      <c r="P517" s="8"/>
      <c r="Q517" s="8"/>
      <c r="R517" s="8"/>
    </row>
    <row r="518" spans="1:18" ht="12.75" customHeight="1">
      <c r="A518" s="8"/>
      <c r="B518" s="8"/>
      <c r="C518" s="30"/>
      <c r="D518" s="8"/>
      <c r="E518" s="8"/>
      <c r="F518" s="8"/>
      <c r="G518" s="8"/>
      <c r="H518" s="8"/>
      <c r="I518" s="8"/>
      <c r="J518" s="8"/>
      <c r="K518" s="8"/>
      <c r="L518" s="8"/>
      <c r="M518" s="8"/>
      <c r="N518" s="8"/>
      <c r="O518" s="8"/>
      <c r="P518" s="8"/>
      <c r="Q518" s="8"/>
      <c r="R518" s="8"/>
    </row>
    <row r="519" spans="1:18" ht="12.75" customHeight="1">
      <c r="A519" s="8"/>
      <c r="B519" s="8"/>
      <c r="C519" s="30"/>
      <c r="D519" s="8"/>
      <c r="E519" s="8"/>
      <c r="F519" s="8"/>
      <c r="G519" s="8"/>
      <c r="H519" s="8"/>
      <c r="I519" s="8"/>
      <c r="J519" s="8"/>
      <c r="K519" s="8"/>
      <c r="L519" s="8"/>
      <c r="M519" s="8"/>
      <c r="N519" s="8"/>
      <c r="O519" s="8"/>
      <c r="P519" s="8"/>
      <c r="Q519" s="8"/>
      <c r="R519" s="8"/>
    </row>
    <row r="520" spans="1:18" ht="12.75" customHeight="1">
      <c r="A520" s="8"/>
      <c r="B520" s="8"/>
      <c r="C520" s="30"/>
      <c r="D520" s="8"/>
      <c r="E520" s="8"/>
      <c r="F520" s="8"/>
      <c r="G520" s="8"/>
      <c r="H520" s="8"/>
      <c r="I520" s="8"/>
      <c r="J520" s="8"/>
      <c r="K520" s="8"/>
      <c r="L520" s="8"/>
      <c r="M520" s="8"/>
      <c r="N520" s="8"/>
      <c r="O520" s="8"/>
      <c r="P520" s="8"/>
      <c r="Q520" s="8"/>
      <c r="R520" s="8"/>
    </row>
    <row r="521" spans="1:18" ht="12.75" customHeight="1">
      <c r="A521" s="8"/>
      <c r="B521" s="8"/>
      <c r="C521" s="30"/>
      <c r="D521" s="8"/>
      <c r="E521" s="8"/>
      <c r="F521" s="8"/>
      <c r="G521" s="8"/>
      <c r="H521" s="8"/>
      <c r="I521" s="8"/>
      <c r="J521" s="8"/>
      <c r="K521" s="8"/>
      <c r="L521" s="8"/>
      <c r="M521" s="8"/>
      <c r="N521" s="8"/>
      <c r="O521" s="8"/>
      <c r="P521" s="8"/>
      <c r="Q521" s="8"/>
      <c r="R521" s="8"/>
    </row>
    <row r="522" spans="1:18" ht="12.75" customHeight="1">
      <c r="A522" s="8"/>
      <c r="B522" s="8"/>
      <c r="C522" s="30"/>
      <c r="D522" s="8"/>
      <c r="E522" s="8"/>
      <c r="F522" s="8"/>
      <c r="G522" s="8"/>
      <c r="H522" s="8"/>
      <c r="I522" s="8"/>
      <c r="J522" s="8"/>
      <c r="K522" s="8"/>
      <c r="L522" s="8"/>
      <c r="M522" s="8"/>
      <c r="N522" s="8"/>
      <c r="O522" s="8"/>
      <c r="P522" s="8"/>
      <c r="Q522" s="8"/>
      <c r="R522" s="8"/>
    </row>
    <row r="523" spans="1:18" ht="12.75" customHeight="1">
      <c r="A523" s="8"/>
      <c r="B523" s="8"/>
      <c r="C523" s="30"/>
      <c r="D523" s="8"/>
      <c r="E523" s="8"/>
      <c r="F523" s="8"/>
      <c r="G523" s="8"/>
      <c r="H523" s="8"/>
      <c r="I523" s="8"/>
      <c r="J523" s="8"/>
      <c r="K523" s="8"/>
      <c r="L523" s="8"/>
      <c r="M523" s="8"/>
      <c r="N523" s="8"/>
      <c r="O523" s="8"/>
      <c r="P523" s="8"/>
      <c r="Q523" s="8"/>
      <c r="R523" s="8"/>
    </row>
    <row r="524" spans="1:18" ht="12.75" customHeight="1">
      <c r="A524" s="8"/>
      <c r="B524" s="8"/>
      <c r="C524" s="30"/>
      <c r="D524" s="8"/>
      <c r="E524" s="8"/>
      <c r="F524" s="8"/>
      <c r="G524" s="8"/>
      <c r="H524" s="8"/>
      <c r="I524" s="8"/>
      <c r="J524" s="8"/>
      <c r="K524" s="8"/>
      <c r="L524" s="8"/>
      <c r="M524" s="8"/>
      <c r="N524" s="8"/>
      <c r="O524" s="8"/>
      <c r="P524" s="8"/>
      <c r="Q524" s="8"/>
      <c r="R524" s="8"/>
    </row>
    <row r="525" spans="1:18" ht="12.75" customHeight="1">
      <c r="A525" s="8"/>
      <c r="B525" s="8"/>
      <c r="C525" s="30"/>
      <c r="D525" s="8"/>
      <c r="E525" s="8"/>
      <c r="F525" s="8"/>
      <c r="G525" s="8"/>
      <c r="H525" s="8"/>
      <c r="I525" s="8"/>
      <c r="J525" s="8"/>
      <c r="K525" s="8"/>
      <c r="L525" s="8"/>
      <c r="M525" s="8"/>
      <c r="N525" s="8"/>
      <c r="O525" s="8"/>
      <c r="P525" s="8"/>
      <c r="Q525" s="8"/>
      <c r="R525" s="8"/>
    </row>
    <row r="526" spans="1:18" ht="12.75" customHeight="1">
      <c r="A526" s="8"/>
      <c r="B526" s="8"/>
      <c r="C526" s="30"/>
      <c r="D526" s="8"/>
      <c r="E526" s="8"/>
      <c r="F526" s="8"/>
      <c r="G526" s="8"/>
      <c r="H526" s="8"/>
      <c r="I526" s="8"/>
      <c r="J526" s="8"/>
      <c r="K526" s="8"/>
      <c r="L526" s="8"/>
      <c r="M526" s="8"/>
      <c r="N526" s="8"/>
      <c r="O526" s="8"/>
      <c r="P526" s="8"/>
      <c r="Q526" s="8"/>
      <c r="R526" s="8"/>
    </row>
    <row r="527" spans="1:18" ht="12.75" customHeight="1">
      <c r="A527" s="8"/>
      <c r="B527" s="8"/>
      <c r="C527" s="30"/>
      <c r="D527" s="8"/>
      <c r="E527" s="8"/>
      <c r="F527" s="8"/>
      <c r="G527" s="8"/>
      <c r="H527" s="8"/>
      <c r="I527" s="8"/>
      <c r="J527" s="8"/>
      <c r="K527" s="8"/>
      <c r="L527" s="8"/>
      <c r="M527" s="8"/>
      <c r="N527" s="8"/>
      <c r="O527" s="8"/>
      <c r="P527" s="8"/>
      <c r="Q527" s="8"/>
      <c r="R527" s="8"/>
    </row>
    <row r="528" spans="1:18" ht="12.75" customHeight="1">
      <c r="A528" s="8"/>
      <c r="B528" s="8"/>
      <c r="C528" s="30"/>
      <c r="D528" s="8"/>
      <c r="E528" s="8"/>
      <c r="F528" s="8"/>
      <c r="G528" s="8"/>
      <c r="H528" s="8"/>
      <c r="I528" s="8"/>
      <c r="J528" s="8"/>
      <c r="K528" s="8"/>
      <c r="L528" s="8"/>
      <c r="M528" s="8"/>
      <c r="N528" s="8"/>
      <c r="O528" s="8"/>
      <c r="P528" s="8"/>
      <c r="Q528" s="8"/>
      <c r="R528" s="8"/>
    </row>
    <row r="529" spans="1:18" ht="12.75" customHeight="1">
      <c r="A529" s="8"/>
      <c r="B529" s="8"/>
      <c r="C529" s="30"/>
      <c r="D529" s="8"/>
      <c r="E529" s="8"/>
      <c r="F529" s="8"/>
      <c r="G529" s="8"/>
      <c r="H529" s="8"/>
      <c r="I529" s="8"/>
      <c r="J529" s="8"/>
      <c r="K529" s="8"/>
      <c r="L529" s="8"/>
      <c r="M529" s="8"/>
      <c r="N529" s="8"/>
      <c r="O529" s="8"/>
      <c r="P529" s="8"/>
      <c r="Q529" s="8"/>
      <c r="R529" s="8"/>
    </row>
    <row r="530" spans="1:18" ht="12.75" customHeight="1">
      <c r="A530" s="8"/>
      <c r="B530" s="8"/>
      <c r="C530" s="30"/>
      <c r="D530" s="8"/>
      <c r="E530" s="8"/>
      <c r="F530" s="8"/>
      <c r="G530" s="8"/>
      <c r="H530" s="8"/>
      <c r="I530" s="8"/>
      <c r="J530" s="8"/>
      <c r="K530" s="8"/>
      <c r="L530" s="8"/>
      <c r="M530" s="8"/>
      <c r="N530" s="8"/>
      <c r="O530" s="8"/>
      <c r="P530" s="8"/>
      <c r="Q530" s="8"/>
      <c r="R530" s="8"/>
    </row>
    <row r="531" spans="1:18" ht="12.75" customHeight="1">
      <c r="A531" s="8"/>
      <c r="B531" s="8"/>
      <c r="C531" s="30"/>
      <c r="D531" s="8"/>
      <c r="E531" s="8"/>
      <c r="F531" s="8"/>
      <c r="G531" s="8"/>
      <c r="H531" s="8"/>
      <c r="I531" s="8"/>
      <c r="J531" s="8"/>
      <c r="K531" s="8"/>
      <c r="L531" s="8"/>
      <c r="M531" s="8"/>
      <c r="N531" s="8"/>
      <c r="O531" s="8"/>
      <c r="P531" s="8"/>
      <c r="Q531" s="8"/>
      <c r="R531" s="8"/>
    </row>
    <row r="532" spans="1:18" ht="12.75" customHeight="1">
      <c r="A532" s="8"/>
      <c r="B532" s="8"/>
      <c r="C532" s="30"/>
      <c r="D532" s="8"/>
      <c r="E532" s="8"/>
      <c r="F532" s="8"/>
      <c r="G532" s="8"/>
      <c r="H532" s="8"/>
      <c r="I532" s="8"/>
      <c r="J532" s="8"/>
      <c r="K532" s="8"/>
      <c r="L532" s="8"/>
      <c r="M532" s="8"/>
      <c r="N532" s="8"/>
      <c r="O532" s="8"/>
      <c r="P532" s="8"/>
      <c r="Q532" s="8"/>
      <c r="R532" s="8"/>
    </row>
    <row r="533" spans="1:18" ht="12.75" customHeight="1">
      <c r="A533" s="8"/>
      <c r="B533" s="8"/>
      <c r="C533" s="30"/>
      <c r="D533" s="8"/>
      <c r="E533" s="8"/>
      <c r="F533" s="8"/>
      <c r="G533" s="8"/>
      <c r="H533" s="8"/>
      <c r="I533" s="8"/>
      <c r="J533" s="8"/>
      <c r="K533" s="8"/>
      <c r="L533" s="8"/>
      <c r="M533" s="8"/>
      <c r="N533" s="8"/>
      <c r="O533" s="8"/>
      <c r="P533" s="8"/>
      <c r="Q533" s="8"/>
      <c r="R533" s="8"/>
    </row>
    <row r="534" spans="1:18" ht="12.75" customHeight="1">
      <c r="A534" s="8"/>
      <c r="B534" s="8"/>
      <c r="C534" s="30"/>
      <c r="D534" s="8"/>
      <c r="E534" s="8"/>
      <c r="F534" s="8"/>
      <c r="G534" s="8"/>
      <c r="H534" s="8"/>
      <c r="I534" s="8"/>
      <c r="J534" s="8"/>
      <c r="K534" s="8"/>
      <c r="L534" s="8"/>
      <c r="M534" s="8"/>
      <c r="N534" s="8"/>
      <c r="O534" s="8"/>
      <c r="P534" s="8"/>
      <c r="Q534" s="8"/>
      <c r="R534" s="8"/>
    </row>
    <row r="535" spans="1:18" ht="12.75" customHeight="1">
      <c r="A535" s="8"/>
      <c r="B535" s="8"/>
      <c r="C535" s="30"/>
      <c r="D535" s="8"/>
      <c r="E535" s="8"/>
      <c r="F535" s="8"/>
      <c r="G535" s="8"/>
      <c r="H535" s="8"/>
      <c r="I535" s="8"/>
      <c r="J535" s="8"/>
      <c r="K535" s="8"/>
      <c r="L535" s="8"/>
      <c r="M535" s="8"/>
      <c r="N535" s="8"/>
      <c r="O535" s="8"/>
      <c r="P535" s="8"/>
      <c r="Q535" s="8"/>
      <c r="R535" s="8"/>
    </row>
    <row r="536" spans="1:18" ht="12.75" customHeight="1">
      <c r="A536" s="8"/>
      <c r="B536" s="8"/>
      <c r="C536" s="30"/>
      <c r="D536" s="8"/>
      <c r="E536" s="8"/>
      <c r="F536" s="8"/>
      <c r="G536" s="8"/>
      <c r="H536" s="8"/>
      <c r="I536" s="8"/>
      <c r="J536" s="8"/>
      <c r="K536" s="8"/>
      <c r="L536" s="8"/>
      <c r="M536" s="8"/>
      <c r="N536" s="8"/>
      <c r="O536" s="8"/>
      <c r="P536" s="8"/>
      <c r="Q536" s="8"/>
      <c r="R536" s="8"/>
    </row>
    <row r="537" spans="1:18" ht="12.75" customHeight="1">
      <c r="A537" s="8"/>
      <c r="B537" s="8"/>
      <c r="C537" s="30"/>
      <c r="D537" s="8"/>
      <c r="E537" s="8"/>
      <c r="F537" s="8"/>
      <c r="G537" s="8"/>
      <c r="H537" s="8"/>
      <c r="I537" s="8"/>
      <c r="J537" s="8"/>
      <c r="K537" s="8"/>
      <c r="L537" s="8"/>
      <c r="M537" s="8"/>
      <c r="N537" s="8"/>
      <c r="O537" s="8"/>
      <c r="P537" s="8"/>
      <c r="Q537" s="8"/>
      <c r="R537" s="8"/>
    </row>
    <row r="538" spans="1:18" ht="12.75" customHeight="1">
      <c r="A538" s="8"/>
      <c r="B538" s="8"/>
      <c r="C538" s="30"/>
      <c r="D538" s="8"/>
      <c r="E538" s="8"/>
      <c r="F538" s="8"/>
      <c r="G538" s="8"/>
      <c r="H538" s="8"/>
      <c r="I538" s="8"/>
      <c r="J538" s="8"/>
      <c r="K538" s="8"/>
      <c r="L538" s="8"/>
      <c r="M538" s="8"/>
      <c r="N538" s="8"/>
      <c r="O538" s="8"/>
      <c r="P538" s="8"/>
      <c r="Q538" s="8"/>
      <c r="R538" s="8"/>
    </row>
    <row r="539" spans="1:18" ht="12.75" customHeight="1">
      <c r="A539" s="8"/>
      <c r="B539" s="8"/>
      <c r="C539" s="30"/>
      <c r="D539" s="8"/>
      <c r="E539" s="8"/>
      <c r="F539" s="8"/>
      <c r="G539" s="8"/>
      <c r="H539" s="8"/>
      <c r="I539" s="8"/>
      <c r="J539" s="8"/>
      <c r="K539" s="8"/>
      <c r="L539" s="8"/>
      <c r="M539" s="8"/>
      <c r="N539" s="8"/>
      <c r="O539" s="8"/>
      <c r="P539" s="8"/>
      <c r="Q539" s="8"/>
      <c r="R539" s="8"/>
    </row>
    <row r="540" spans="1:18" ht="12.75" customHeight="1">
      <c r="A540" s="8"/>
      <c r="B540" s="8"/>
      <c r="C540" s="30"/>
      <c r="D540" s="8"/>
      <c r="E540" s="8"/>
      <c r="F540" s="8"/>
      <c r="G540" s="8"/>
      <c r="H540" s="8"/>
      <c r="I540" s="8"/>
      <c r="J540" s="8"/>
      <c r="K540" s="8"/>
      <c r="L540" s="8"/>
      <c r="M540" s="8"/>
      <c r="N540" s="8"/>
      <c r="O540" s="8"/>
      <c r="P540" s="8"/>
      <c r="Q540" s="8"/>
      <c r="R540" s="8"/>
    </row>
    <row r="541" spans="1:18" ht="12.75" customHeight="1">
      <c r="A541" s="8"/>
      <c r="B541" s="8"/>
      <c r="C541" s="30"/>
      <c r="D541" s="8"/>
      <c r="E541" s="8"/>
      <c r="F541" s="8"/>
      <c r="G541" s="8"/>
      <c r="H541" s="8"/>
      <c r="I541" s="8"/>
      <c r="J541" s="8"/>
      <c r="K541" s="8"/>
      <c r="L541" s="8"/>
      <c r="M541" s="8"/>
      <c r="N541" s="8"/>
      <c r="O541" s="8"/>
      <c r="P541" s="8"/>
      <c r="Q541" s="8"/>
      <c r="R541" s="8"/>
    </row>
    <row r="542" spans="1:18" ht="12.75" customHeight="1">
      <c r="A542" s="8"/>
      <c r="B542" s="8"/>
      <c r="C542" s="30"/>
      <c r="D542" s="8"/>
      <c r="E542" s="8"/>
      <c r="F542" s="8"/>
      <c r="G542" s="8"/>
      <c r="H542" s="8"/>
      <c r="I542" s="8"/>
      <c r="J542" s="8"/>
      <c r="K542" s="8"/>
      <c r="L542" s="8"/>
      <c r="M542" s="8"/>
      <c r="N542" s="8"/>
      <c r="O542" s="8"/>
      <c r="P542" s="8"/>
      <c r="Q542" s="8"/>
      <c r="R542" s="8"/>
    </row>
    <row r="543" spans="1:18" ht="12.75" customHeight="1">
      <c r="A543" s="8"/>
      <c r="B543" s="8"/>
      <c r="C543" s="30"/>
      <c r="D543" s="8"/>
      <c r="E543" s="8"/>
      <c r="F543" s="8"/>
      <c r="G543" s="8"/>
      <c r="H543" s="8"/>
      <c r="I543" s="8"/>
      <c r="J543" s="8"/>
      <c r="K543" s="8"/>
      <c r="L543" s="8"/>
      <c r="M543" s="8"/>
      <c r="N543" s="8"/>
      <c r="O543" s="8"/>
      <c r="P543" s="8"/>
      <c r="Q543" s="8"/>
      <c r="R543" s="8"/>
    </row>
    <row r="544" spans="1:18" ht="12.75" customHeight="1">
      <c r="A544" s="8"/>
      <c r="B544" s="8"/>
      <c r="C544" s="30"/>
      <c r="D544" s="8"/>
      <c r="E544" s="8"/>
      <c r="F544" s="8"/>
      <c r="G544" s="8"/>
      <c r="H544" s="8"/>
      <c r="I544" s="8"/>
      <c r="J544" s="8"/>
      <c r="K544" s="8"/>
      <c r="L544" s="8"/>
      <c r="M544" s="8"/>
      <c r="N544" s="8"/>
      <c r="O544" s="8"/>
      <c r="P544" s="8"/>
      <c r="Q544" s="8"/>
      <c r="R544" s="8"/>
    </row>
    <row r="545" spans="1:18" ht="12.75" customHeight="1">
      <c r="A545" s="8"/>
      <c r="B545" s="8"/>
      <c r="C545" s="30"/>
      <c r="D545" s="8"/>
      <c r="E545" s="8"/>
      <c r="F545" s="8"/>
      <c r="G545" s="8"/>
      <c r="H545" s="8"/>
      <c r="I545" s="8"/>
      <c r="J545" s="8"/>
      <c r="K545" s="8"/>
      <c r="L545" s="8"/>
      <c r="M545" s="8"/>
      <c r="N545" s="8"/>
      <c r="O545" s="8"/>
      <c r="P545" s="8"/>
      <c r="Q545" s="8"/>
      <c r="R545" s="8"/>
    </row>
    <row r="546" spans="1:18" ht="12.75" customHeight="1">
      <c r="A546" s="8"/>
      <c r="B546" s="8"/>
      <c r="C546" s="30"/>
      <c r="D546" s="8"/>
      <c r="E546" s="8"/>
      <c r="F546" s="8"/>
      <c r="G546" s="8"/>
      <c r="H546" s="8"/>
      <c r="I546" s="8"/>
      <c r="J546" s="8"/>
      <c r="K546" s="8"/>
      <c r="L546" s="8"/>
      <c r="M546" s="8"/>
      <c r="N546" s="8"/>
      <c r="O546" s="8"/>
      <c r="P546" s="8"/>
      <c r="Q546" s="8"/>
      <c r="R546" s="8"/>
    </row>
    <row r="547" spans="1:18" ht="12.75" customHeight="1">
      <c r="A547" s="8"/>
      <c r="B547" s="8"/>
      <c r="C547" s="30"/>
      <c r="D547" s="8"/>
      <c r="E547" s="8"/>
      <c r="F547" s="8"/>
      <c r="G547" s="8"/>
      <c r="H547" s="8"/>
      <c r="I547" s="8"/>
      <c r="J547" s="8"/>
      <c r="K547" s="8"/>
      <c r="L547" s="8"/>
      <c r="M547" s="8"/>
      <c r="N547" s="8"/>
      <c r="O547" s="8"/>
      <c r="P547" s="8"/>
      <c r="Q547" s="8"/>
      <c r="R547" s="8"/>
    </row>
    <row r="548" spans="1:18" ht="12.75" customHeight="1">
      <c r="A548" s="8"/>
      <c r="B548" s="8"/>
      <c r="C548" s="30"/>
      <c r="D548" s="8"/>
      <c r="E548" s="8"/>
      <c r="F548" s="8"/>
      <c r="G548" s="8"/>
      <c r="H548" s="8"/>
      <c r="I548" s="8"/>
      <c r="J548" s="8"/>
      <c r="K548" s="8"/>
      <c r="L548" s="8"/>
      <c r="M548" s="8"/>
      <c r="N548" s="8"/>
      <c r="O548" s="8"/>
      <c r="P548" s="8"/>
      <c r="Q548" s="8"/>
      <c r="R548" s="8"/>
    </row>
    <row r="549" spans="1:18" ht="12.75" customHeight="1">
      <c r="A549" s="8"/>
      <c r="B549" s="8"/>
      <c r="C549" s="30"/>
      <c r="D549" s="8"/>
      <c r="E549" s="8"/>
      <c r="F549" s="8"/>
      <c r="G549" s="8"/>
      <c r="H549" s="8"/>
      <c r="I549" s="8"/>
      <c r="J549" s="8"/>
      <c r="K549" s="8"/>
      <c r="L549" s="8"/>
      <c r="M549" s="8"/>
      <c r="N549" s="8"/>
      <c r="O549" s="8"/>
      <c r="P549" s="8"/>
      <c r="Q549" s="8"/>
      <c r="R549" s="8"/>
    </row>
    <row r="550" spans="1:18" ht="12.75" customHeight="1">
      <c r="A550" s="8"/>
      <c r="B550" s="8"/>
      <c r="C550" s="30"/>
      <c r="D550" s="8"/>
      <c r="E550" s="8"/>
      <c r="F550" s="8"/>
      <c r="G550" s="8"/>
      <c r="H550" s="8"/>
      <c r="I550" s="8"/>
      <c r="J550" s="8"/>
      <c r="K550" s="8"/>
      <c r="L550" s="8"/>
      <c r="M550" s="8"/>
      <c r="N550" s="8"/>
      <c r="O550" s="8"/>
      <c r="P550" s="8"/>
      <c r="Q550" s="8"/>
      <c r="R550" s="8"/>
    </row>
    <row r="551" spans="1:18" ht="12.75" customHeight="1">
      <c r="A551" s="8"/>
      <c r="B551" s="8"/>
      <c r="C551" s="30"/>
      <c r="D551" s="8"/>
      <c r="E551" s="8"/>
      <c r="F551" s="8"/>
      <c r="G551" s="8"/>
      <c r="H551" s="8"/>
      <c r="I551" s="8"/>
      <c r="J551" s="8"/>
      <c r="K551" s="8"/>
      <c r="L551" s="8"/>
      <c r="M551" s="8"/>
      <c r="N551" s="8"/>
      <c r="O551" s="8"/>
      <c r="P551" s="8"/>
      <c r="Q551" s="8"/>
      <c r="R551" s="8"/>
    </row>
    <row r="552" spans="1:18" ht="12.75" customHeight="1">
      <c r="A552" s="8"/>
      <c r="B552" s="8"/>
      <c r="C552" s="30"/>
      <c r="D552" s="8"/>
      <c r="E552" s="8"/>
      <c r="F552" s="8"/>
      <c r="G552" s="8"/>
      <c r="H552" s="8"/>
      <c r="I552" s="8"/>
      <c r="J552" s="8"/>
      <c r="K552" s="8"/>
      <c r="L552" s="8"/>
      <c r="M552" s="8"/>
      <c r="N552" s="8"/>
      <c r="O552" s="8"/>
      <c r="P552" s="8"/>
      <c r="Q552" s="8"/>
      <c r="R552" s="8"/>
    </row>
    <row r="553" spans="1:18" ht="12.75" customHeight="1">
      <c r="A553" s="8"/>
      <c r="B553" s="8"/>
      <c r="C553" s="30"/>
      <c r="D553" s="8"/>
      <c r="E553" s="8"/>
      <c r="F553" s="8"/>
      <c r="G553" s="8"/>
      <c r="H553" s="8"/>
      <c r="I553" s="8"/>
      <c r="J553" s="8"/>
      <c r="K553" s="8"/>
      <c r="L553" s="8"/>
      <c r="M553" s="8"/>
      <c r="N553" s="8"/>
      <c r="O553" s="8"/>
      <c r="P553" s="8"/>
      <c r="Q553" s="8"/>
      <c r="R553" s="8"/>
    </row>
    <row r="554" spans="1:18" ht="12.75" customHeight="1">
      <c r="A554" s="8"/>
      <c r="B554" s="8"/>
      <c r="C554" s="30"/>
      <c r="D554" s="8"/>
      <c r="E554" s="8"/>
      <c r="F554" s="8"/>
      <c r="G554" s="8"/>
      <c r="H554" s="8"/>
      <c r="I554" s="8"/>
      <c r="J554" s="8"/>
      <c r="K554" s="8"/>
      <c r="L554" s="8"/>
      <c r="M554" s="8"/>
      <c r="N554" s="8"/>
      <c r="O554" s="8"/>
      <c r="P554" s="8"/>
      <c r="Q554" s="8"/>
      <c r="R554" s="8"/>
    </row>
    <row r="555" spans="1:18" ht="12.75" customHeight="1">
      <c r="A555" s="8"/>
      <c r="B555" s="8"/>
      <c r="C555" s="30"/>
      <c r="D555" s="8"/>
      <c r="E555" s="8"/>
      <c r="F555" s="8"/>
      <c r="G555" s="8"/>
      <c r="H555" s="8"/>
      <c r="I555" s="8"/>
      <c r="J555" s="8"/>
      <c r="K555" s="8"/>
      <c r="L555" s="8"/>
      <c r="M555" s="8"/>
      <c r="N555" s="8"/>
      <c r="O555" s="8"/>
      <c r="P555" s="8"/>
      <c r="Q555" s="8"/>
      <c r="R555" s="8"/>
    </row>
    <row r="556" spans="1:18" ht="12.75" customHeight="1">
      <c r="A556" s="8"/>
      <c r="B556" s="8"/>
      <c r="C556" s="30"/>
      <c r="D556" s="8"/>
      <c r="E556" s="8"/>
      <c r="F556" s="8"/>
      <c r="G556" s="8"/>
      <c r="H556" s="8"/>
      <c r="I556" s="8"/>
      <c r="J556" s="8"/>
      <c r="K556" s="8"/>
      <c r="L556" s="8"/>
      <c r="M556" s="8"/>
      <c r="N556" s="8"/>
      <c r="O556" s="8"/>
      <c r="P556" s="8"/>
      <c r="Q556" s="8"/>
      <c r="R556" s="8"/>
    </row>
    <row r="557" spans="1:18" ht="12.75" customHeight="1">
      <c r="A557" s="8"/>
      <c r="B557" s="8"/>
      <c r="C557" s="30"/>
      <c r="D557" s="8"/>
      <c r="E557" s="8"/>
      <c r="F557" s="8"/>
      <c r="G557" s="8"/>
      <c r="H557" s="8"/>
      <c r="I557" s="8"/>
      <c r="J557" s="8"/>
      <c r="K557" s="8"/>
      <c r="L557" s="8"/>
      <c r="M557" s="8"/>
      <c r="N557" s="8"/>
      <c r="O557" s="8"/>
      <c r="P557" s="8"/>
      <c r="Q557" s="8"/>
      <c r="R557" s="8"/>
    </row>
    <row r="558" spans="1:18" ht="12.75" customHeight="1">
      <c r="A558" s="8"/>
      <c r="B558" s="8"/>
      <c r="C558" s="30"/>
      <c r="D558" s="8"/>
      <c r="E558" s="8"/>
      <c r="F558" s="8"/>
      <c r="G558" s="8"/>
      <c r="H558" s="8"/>
      <c r="I558" s="8"/>
      <c r="J558" s="8"/>
      <c r="K558" s="8"/>
      <c r="L558" s="8"/>
      <c r="M558" s="8"/>
      <c r="N558" s="8"/>
      <c r="O558" s="8"/>
      <c r="P558" s="8"/>
      <c r="Q558" s="8"/>
      <c r="R558" s="8"/>
    </row>
    <row r="559" spans="1:18" ht="12.75" customHeight="1">
      <c r="A559" s="8"/>
      <c r="B559" s="8"/>
      <c r="C559" s="30"/>
      <c r="D559" s="8"/>
      <c r="E559" s="8"/>
      <c r="F559" s="8"/>
      <c r="G559" s="8"/>
      <c r="H559" s="8"/>
      <c r="I559" s="8"/>
      <c r="J559" s="8"/>
      <c r="K559" s="8"/>
      <c r="L559" s="8"/>
      <c r="M559" s="8"/>
      <c r="N559" s="8"/>
      <c r="O559" s="8"/>
      <c r="P559" s="8"/>
      <c r="Q559" s="8"/>
      <c r="R559" s="8"/>
    </row>
    <row r="560" spans="1:18" ht="12.75" customHeight="1">
      <c r="A560" s="8"/>
      <c r="B560" s="8"/>
      <c r="C560" s="30"/>
      <c r="D560" s="8"/>
      <c r="E560" s="8"/>
      <c r="F560" s="8"/>
      <c r="G560" s="8"/>
      <c r="H560" s="8"/>
      <c r="I560" s="8"/>
      <c r="J560" s="8"/>
      <c r="K560" s="8"/>
      <c r="L560" s="8"/>
      <c r="M560" s="8"/>
      <c r="N560" s="8"/>
      <c r="O560" s="8"/>
      <c r="P560" s="8"/>
      <c r="Q560" s="8"/>
      <c r="R560" s="8"/>
    </row>
    <row r="561" spans="1:18" ht="12.75" customHeight="1">
      <c r="A561" s="8"/>
      <c r="B561" s="8"/>
      <c r="C561" s="30"/>
      <c r="D561" s="8"/>
      <c r="E561" s="8"/>
      <c r="F561" s="8"/>
      <c r="G561" s="8"/>
      <c r="H561" s="8"/>
      <c r="I561" s="8"/>
      <c r="J561" s="8"/>
      <c r="K561" s="8"/>
      <c r="L561" s="8"/>
      <c r="M561" s="8"/>
      <c r="N561" s="8"/>
      <c r="O561" s="8"/>
      <c r="P561" s="8"/>
      <c r="Q561" s="8"/>
      <c r="R561" s="8"/>
    </row>
    <row r="562" spans="1:18" ht="12.75" customHeight="1">
      <c r="A562" s="8"/>
      <c r="B562" s="8"/>
      <c r="C562" s="30"/>
      <c r="D562" s="8"/>
      <c r="E562" s="8"/>
      <c r="F562" s="8"/>
      <c r="G562" s="8"/>
      <c r="H562" s="8"/>
      <c r="I562" s="8"/>
      <c r="J562" s="8"/>
      <c r="K562" s="8"/>
      <c r="L562" s="8"/>
      <c r="M562" s="8"/>
      <c r="N562" s="8"/>
      <c r="O562" s="8"/>
      <c r="P562" s="8"/>
      <c r="Q562" s="8"/>
      <c r="R562" s="8"/>
    </row>
    <row r="563" spans="1:18" ht="12.75" customHeight="1">
      <c r="A563" s="8"/>
      <c r="B563" s="8"/>
      <c r="C563" s="30"/>
      <c r="D563" s="8"/>
      <c r="E563" s="8"/>
      <c r="F563" s="8"/>
      <c r="G563" s="8"/>
      <c r="H563" s="8"/>
      <c r="I563" s="8"/>
      <c r="J563" s="8"/>
      <c r="K563" s="8"/>
      <c r="L563" s="8"/>
      <c r="M563" s="8"/>
      <c r="N563" s="8"/>
      <c r="O563" s="8"/>
      <c r="P563" s="8"/>
      <c r="Q563" s="8"/>
      <c r="R563" s="8"/>
    </row>
    <row r="564" spans="1:18" ht="12.75" customHeight="1">
      <c r="A564" s="8"/>
      <c r="B564" s="8"/>
      <c r="C564" s="30"/>
      <c r="D564" s="8"/>
      <c r="E564" s="8"/>
      <c r="F564" s="8"/>
      <c r="G564" s="8"/>
      <c r="H564" s="8"/>
      <c r="I564" s="8"/>
      <c r="J564" s="8"/>
      <c r="K564" s="8"/>
      <c r="L564" s="8"/>
      <c r="M564" s="8"/>
      <c r="N564" s="8"/>
      <c r="O564" s="8"/>
      <c r="P564" s="8"/>
      <c r="Q564" s="8"/>
      <c r="R564" s="8"/>
    </row>
    <row r="565" spans="1:18" ht="12.75" customHeight="1">
      <c r="A565" s="8"/>
      <c r="B565" s="8"/>
      <c r="C565" s="30"/>
      <c r="D565" s="8"/>
      <c r="E565" s="8"/>
      <c r="F565" s="8"/>
      <c r="G565" s="8"/>
      <c r="H565" s="8"/>
      <c r="I565" s="8"/>
      <c r="J565" s="8"/>
      <c r="K565" s="8"/>
      <c r="L565" s="8"/>
      <c r="M565" s="8"/>
      <c r="N565" s="8"/>
      <c r="O565" s="8"/>
      <c r="P565" s="8"/>
      <c r="Q565" s="8"/>
      <c r="R565" s="8"/>
    </row>
    <row r="566" spans="1:18" ht="12.75" customHeight="1">
      <c r="A566" s="8"/>
      <c r="B566" s="8"/>
      <c r="C566" s="30"/>
      <c r="D566" s="8"/>
      <c r="E566" s="8"/>
      <c r="F566" s="8"/>
      <c r="G566" s="8"/>
      <c r="H566" s="8"/>
      <c r="I566" s="8"/>
      <c r="J566" s="8"/>
      <c r="K566" s="8"/>
      <c r="L566" s="8"/>
      <c r="M566" s="8"/>
      <c r="N566" s="8"/>
      <c r="O566" s="8"/>
      <c r="P566" s="8"/>
      <c r="Q566" s="8"/>
      <c r="R566" s="8"/>
    </row>
    <row r="567" spans="1:18" ht="12.75" customHeight="1">
      <c r="A567" s="8"/>
      <c r="B567" s="8"/>
      <c r="C567" s="30"/>
      <c r="D567" s="8"/>
      <c r="E567" s="8"/>
      <c r="F567" s="8"/>
      <c r="G567" s="8"/>
      <c r="H567" s="8"/>
      <c r="I567" s="8"/>
      <c r="J567" s="8"/>
      <c r="K567" s="8"/>
      <c r="L567" s="8"/>
      <c r="M567" s="8"/>
      <c r="N567" s="8"/>
      <c r="O567" s="8"/>
      <c r="P567" s="8"/>
      <c r="Q567" s="8"/>
      <c r="R567" s="8"/>
    </row>
    <row r="568" spans="1:18" ht="12.75" customHeight="1">
      <c r="A568" s="8"/>
      <c r="B568" s="8"/>
      <c r="C568" s="30"/>
      <c r="D568" s="8"/>
      <c r="E568" s="8"/>
      <c r="F568" s="8"/>
      <c r="G568" s="8"/>
      <c r="H568" s="8"/>
      <c r="I568" s="8"/>
      <c r="J568" s="8"/>
      <c r="K568" s="8"/>
      <c r="L568" s="8"/>
      <c r="M568" s="8"/>
      <c r="N568" s="8"/>
      <c r="O568" s="8"/>
      <c r="P568" s="8"/>
      <c r="Q568" s="8"/>
      <c r="R568" s="8"/>
    </row>
    <row r="569" spans="1:18" ht="12.75" customHeight="1">
      <c r="A569" s="8"/>
      <c r="B569" s="8"/>
      <c r="C569" s="30"/>
      <c r="D569" s="8"/>
      <c r="E569" s="8"/>
      <c r="F569" s="8"/>
      <c r="G569" s="8"/>
      <c r="H569" s="8"/>
      <c r="I569" s="8"/>
      <c r="J569" s="8"/>
      <c r="K569" s="8"/>
      <c r="L569" s="8"/>
      <c r="M569" s="8"/>
      <c r="N569" s="8"/>
      <c r="O569" s="8"/>
      <c r="P569" s="8"/>
      <c r="Q569" s="8"/>
      <c r="R569" s="8"/>
    </row>
    <row r="570" spans="1:18" ht="12.75" customHeight="1">
      <c r="A570" s="8"/>
      <c r="B570" s="8"/>
      <c r="C570" s="30"/>
      <c r="D570" s="8"/>
      <c r="E570" s="8"/>
      <c r="F570" s="8"/>
      <c r="G570" s="8"/>
      <c r="H570" s="8"/>
      <c r="I570" s="8"/>
      <c r="J570" s="8"/>
      <c r="K570" s="8"/>
      <c r="L570" s="8"/>
      <c r="M570" s="8"/>
      <c r="N570" s="8"/>
      <c r="O570" s="8"/>
      <c r="P570" s="8"/>
      <c r="Q570" s="8"/>
      <c r="R570" s="8"/>
    </row>
    <row r="571" spans="1:18" ht="12.75" customHeight="1">
      <c r="A571" s="8"/>
      <c r="B571" s="8"/>
      <c r="C571" s="30"/>
      <c r="D571" s="8"/>
      <c r="E571" s="8"/>
      <c r="F571" s="8"/>
      <c r="G571" s="8"/>
      <c r="H571" s="8"/>
      <c r="I571" s="8"/>
      <c r="J571" s="8"/>
      <c r="K571" s="8"/>
      <c r="L571" s="8"/>
      <c r="M571" s="8"/>
      <c r="N571" s="8"/>
      <c r="O571" s="8"/>
      <c r="P571" s="8"/>
      <c r="Q571" s="8"/>
      <c r="R571" s="8"/>
    </row>
    <row r="572" spans="1:18" ht="12.75" customHeight="1">
      <c r="A572" s="8"/>
      <c r="B572" s="8"/>
      <c r="C572" s="30"/>
      <c r="D572" s="8"/>
      <c r="E572" s="8"/>
      <c r="F572" s="8"/>
      <c r="G572" s="8"/>
      <c r="H572" s="8"/>
      <c r="I572" s="8"/>
      <c r="J572" s="8"/>
      <c r="K572" s="8"/>
      <c r="L572" s="8"/>
      <c r="M572" s="8"/>
      <c r="N572" s="8"/>
      <c r="O572" s="8"/>
      <c r="P572" s="8"/>
      <c r="Q572" s="8"/>
      <c r="R572" s="8"/>
    </row>
    <row r="573" spans="1:18" ht="12.75" customHeight="1">
      <c r="A573" s="8"/>
      <c r="B573" s="8"/>
      <c r="C573" s="30"/>
      <c r="D573" s="8"/>
      <c r="E573" s="8"/>
      <c r="F573" s="8"/>
      <c r="G573" s="8"/>
      <c r="H573" s="8"/>
      <c r="I573" s="8"/>
      <c r="J573" s="8"/>
      <c r="K573" s="8"/>
      <c r="L573" s="8"/>
      <c r="M573" s="8"/>
      <c r="N573" s="8"/>
      <c r="O573" s="8"/>
      <c r="P573" s="8"/>
      <c r="Q573" s="8"/>
      <c r="R573" s="8"/>
    </row>
    <row r="574" spans="1:18" ht="12.75" customHeight="1">
      <c r="A574" s="8"/>
      <c r="B574" s="8"/>
      <c r="C574" s="30"/>
      <c r="D574" s="8"/>
      <c r="E574" s="8"/>
      <c r="F574" s="8"/>
      <c r="G574" s="8"/>
      <c r="H574" s="8"/>
      <c r="I574" s="8"/>
      <c r="J574" s="8"/>
      <c r="K574" s="8"/>
      <c r="L574" s="8"/>
      <c r="M574" s="8"/>
      <c r="N574" s="8"/>
      <c r="O574" s="8"/>
      <c r="P574" s="8"/>
      <c r="Q574" s="8"/>
      <c r="R574" s="8"/>
    </row>
    <row r="575" spans="1:18" ht="12.75" customHeight="1">
      <c r="A575" s="8"/>
      <c r="B575" s="8"/>
      <c r="C575" s="30"/>
      <c r="D575" s="8"/>
      <c r="E575" s="8"/>
      <c r="F575" s="8"/>
      <c r="G575" s="8"/>
      <c r="H575" s="8"/>
      <c r="I575" s="8"/>
      <c r="J575" s="8"/>
      <c r="K575" s="8"/>
      <c r="L575" s="8"/>
      <c r="M575" s="8"/>
      <c r="N575" s="8"/>
      <c r="O575" s="8"/>
      <c r="P575" s="8"/>
      <c r="Q575" s="8"/>
      <c r="R575" s="8"/>
    </row>
    <row r="576" spans="1:18" ht="12.75" customHeight="1">
      <c r="A576" s="8"/>
      <c r="B576" s="8"/>
      <c r="C576" s="30"/>
      <c r="D576" s="8"/>
      <c r="E576" s="8"/>
      <c r="F576" s="8"/>
      <c r="G576" s="8"/>
      <c r="H576" s="8"/>
      <c r="I576" s="8"/>
      <c r="J576" s="8"/>
      <c r="K576" s="8"/>
      <c r="L576" s="8"/>
      <c r="M576" s="8"/>
      <c r="N576" s="8"/>
      <c r="O576" s="8"/>
      <c r="P576" s="8"/>
      <c r="Q576" s="8"/>
      <c r="R576" s="8"/>
    </row>
    <row r="577" spans="1:18" ht="12.75" customHeight="1">
      <c r="A577" s="8"/>
      <c r="B577" s="8"/>
      <c r="C577" s="30"/>
      <c r="D577" s="8"/>
      <c r="E577" s="8"/>
      <c r="F577" s="8"/>
      <c r="G577" s="8"/>
      <c r="H577" s="8"/>
      <c r="I577" s="8"/>
      <c r="J577" s="8"/>
      <c r="K577" s="8"/>
      <c r="L577" s="8"/>
      <c r="M577" s="8"/>
      <c r="N577" s="8"/>
      <c r="O577" s="8"/>
      <c r="P577" s="8"/>
      <c r="Q577" s="8"/>
      <c r="R577" s="8"/>
    </row>
    <row r="578" spans="1:18" ht="12.75" customHeight="1">
      <c r="A578" s="8"/>
      <c r="B578" s="8"/>
      <c r="C578" s="30"/>
      <c r="D578" s="8"/>
      <c r="E578" s="8"/>
      <c r="F578" s="8"/>
      <c r="G578" s="8"/>
      <c r="H578" s="8"/>
      <c r="I578" s="8"/>
      <c r="J578" s="8"/>
      <c r="K578" s="8"/>
      <c r="L578" s="8"/>
      <c r="M578" s="8"/>
      <c r="N578" s="8"/>
      <c r="O578" s="8"/>
      <c r="P578" s="8"/>
      <c r="Q578" s="8"/>
      <c r="R578" s="8"/>
    </row>
    <row r="579" spans="1:18" ht="12.75" customHeight="1">
      <c r="A579" s="8"/>
      <c r="B579" s="8"/>
      <c r="C579" s="30"/>
      <c r="D579" s="8"/>
      <c r="E579" s="8"/>
      <c r="F579" s="8"/>
      <c r="G579" s="8"/>
      <c r="H579" s="8"/>
      <c r="I579" s="8"/>
      <c r="J579" s="8"/>
      <c r="K579" s="8"/>
      <c r="L579" s="8"/>
      <c r="M579" s="8"/>
      <c r="N579" s="8"/>
      <c r="O579" s="8"/>
      <c r="P579" s="8"/>
      <c r="Q579" s="8"/>
      <c r="R579" s="8"/>
    </row>
    <row r="580" spans="1:18" ht="12.75" customHeight="1">
      <c r="A580" s="8"/>
      <c r="B580" s="8"/>
      <c r="C580" s="30"/>
      <c r="D580" s="8"/>
      <c r="E580" s="8"/>
      <c r="F580" s="8"/>
      <c r="G580" s="8"/>
      <c r="H580" s="8"/>
      <c r="I580" s="8"/>
      <c r="J580" s="8"/>
      <c r="K580" s="8"/>
      <c r="L580" s="8"/>
      <c r="M580" s="8"/>
      <c r="N580" s="8"/>
      <c r="O580" s="8"/>
      <c r="P580" s="8"/>
      <c r="Q580" s="8"/>
      <c r="R580" s="8"/>
    </row>
    <row r="581" spans="1:18" ht="12.75" customHeight="1">
      <c r="A581" s="8"/>
      <c r="B581" s="8"/>
      <c r="C581" s="30"/>
      <c r="D581" s="8"/>
      <c r="E581" s="8"/>
      <c r="F581" s="8"/>
      <c r="G581" s="8"/>
      <c r="H581" s="8"/>
      <c r="I581" s="8"/>
      <c r="J581" s="8"/>
      <c r="K581" s="8"/>
      <c r="L581" s="8"/>
      <c r="M581" s="8"/>
      <c r="N581" s="8"/>
      <c r="O581" s="8"/>
      <c r="P581" s="8"/>
      <c r="Q581" s="8"/>
      <c r="R581" s="8"/>
    </row>
    <row r="582" spans="1:18" ht="12.75" customHeight="1">
      <c r="A582" s="8"/>
      <c r="B582" s="8"/>
      <c r="C582" s="30"/>
      <c r="D582" s="8"/>
      <c r="E582" s="8"/>
      <c r="F582" s="8"/>
      <c r="G582" s="8"/>
      <c r="H582" s="8"/>
      <c r="I582" s="8"/>
      <c r="J582" s="8"/>
      <c r="K582" s="8"/>
      <c r="L582" s="8"/>
      <c r="M582" s="8"/>
      <c r="N582" s="8"/>
      <c r="O582" s="8"/>
      <c r="P582" s="8"/>
      <c r="Q582" s="8"/>
      <c r="R582" s="8"/>
    </row>
    <row r="583" spans="1:18" ht="12.75" customHeight="1">
      <c r="A583" s="8"/>
      <c r="B583" s="8"/>
      <c r="C583" s="30"/>
      <c r="D583" s="8"/>
      <c r="E583" s="8"/>
      <c r="F583" s="8"/>
      <c r="G583" s="8"/>
      <c r="H583" s="8"/>
      <c r="I583" s="8"/>
      <c r="J583" s="8"/>
      <c r="K583" s="8"/>
      <c r="L583" s="8"/>
      <c r="M583" s="8"/>
      <c r="N583" s="8"/>
      <c r="O583" s="8"/>
      <c r="P583" s="8"/>
      <c r="Q583" s="8"/>
      <c r="R583" s="8"/>
    </row>
    <row r="584" spans="1:18" ht="12.75" customHeight="1">
      <c r="A584" s="8"/>
      <c r="B584" s="8"/>
      <c r="C584" s="30"/>
      <c r="D584" s="8"/>
      <c r="E584" s="8"/>
      <c r="F584" s="8"/>
      <c r="G584" s="8"/>
      <c r="H584" s="8"/>
      <c r="I584" s="8"/>
      <c r="J584" s="8"/>
      <c r="K584" s="8"/>
      <c r="L584" s="8"/>
      <c r="M584" s="8"/>
      <c r="N584" s="8"/>
      <c r="O584" s="8"/>
      <c r="P584" s="8"/>
      <c r="Q584" s="8"/>
      <c r="R584" s="8"/>
    </row>
    <row r="585" spans="1:18" ht="12.75" customHeight="1">
      <c r="A585" s="8"/>
      <c r="B585" s="8"/>
      <c r="C585" s="30"/>
      <c r="D585" s="8"/>
      <c r="E585" s="8"/>
      <c r="F585" s="8"/>
      <c r="G585" s="8"/>
      <c r="H585" s="8"/>
      <c r="I585" s="8"/>
      <c r="J585" s="8"/>
      <c r="K585" s="8"/>
      <c r="L585" s="8"/>
      <c r="M585" s="8"/>
      <c r="N585" s="8"/>
      <c r="O585" s="8"/>
      <c r="P585" s="8"/>
      <c r="Q585" s="8"/>
      <c r="R585" s="8"/>
    </row>
    <row r="586" spans="1:18" ht="12.75" customHeight="1">
      <c r="A586" s="8"/>
      <c r="B586" s="8"/>
      <c r="C586" s="30"/>
      <c r="D586" s="8"/>
      <c r="E586" s="8"/>
      <c r="F586" s="8"/>
      <c r="G586" s="8"/>
      <c r="H586" s="8"/>
      <c r="I586" s="8"/>
      <c r="J586" s="8"/>
      <c r="K586" s="8"/>
      <c r="L586" s="8"/>
      <c r="M586" s="8"/>
      <c r="N586" s="8"/>
      <c r="O586" s="8"/>
      <c r="P586" s="8"/>
      <c r="Q586" s="8"/>
      <c r="R586" s="8"/>
    </row>
    <row r="587" spans="1:18" ht="12.75" customHeight="1">
      <c r="A587" s="8"/>
      <c r="B587" s="8"/>
      <c r="C587" s="30"/>
      <c r="D587" s="8"/>
      <c r="E587" s="8"/>
      <c r="F587" s="8"/>
      <c r="G587" s="8"/>
      <c r="H587" s="8"/>
      <c r="I587" s="8"/>
      <c r="J587" s="8"/>
      <c r="K587" s="8"/>
      <c r="L587" s="8"/>
      <c r="M587" s="8"/>
      <c r="N587" s="8"/>
      <c r="O587" s="8"/>
      <c r="P587" s="8"/>
      <c r="Q587" s="8"/>
      <c r="R587" s="8"/>
    </row>
    <row r="588" spans="1:18" ht="12.75" customHeight="1">
      <c r="A588" s="8"/>
      <c r="B588" s="8"/>
      <c r="C588" s="30"/>
      <c r="D588" s="8"/>
      <c r="E588" s="8"/>
      <c r="F588" s="8"/>
      <c r="G588" s="8"/>
      <c r="H588" s="8"/>
      <c r="I588" s="8"/>
      <c r="J588" s="8"/>
      <c r="K588" s="8"/>
      <c r="L588" s="8"/>
      <c r="M588" s="8"/>
      <c r="N588" s="8"/>
      <c r="O588" s="8"/>
      <c r="P588" s="8"/>
      <c r="Q588" s="8"/>
      <c r="R588" s="8"/>
    </row>
    <row r="589" spans="1:18" ht="12.75" customHeight="1">
      <c r="A589" s="8"/>
      <c r="B589" s="8"/>
      <c r="C589" s="30"/>
      <c r="D589" s="8"/>
      <c r="E589" s="8"/>
      <c r="F589" s="8"/>
      <c r="G589" s="8"/>
      <c r="H589" s="8"/>
      <c r="I589" s="8"/>
      <c r="J589" s="8"/>
      <c r="K589" s="8"/>
      <c r="L589" s="8"/>
      <c r="M589" s="8"/>
      <c r="N589" s="8"/>
      <c r="O589" s="8"/>
      <c r="P589" s="8"/>
      <c r="Q589" s="8"/>
      <c r="R589" s="8"/>
    </row>
    <row r="590" spans="1:18" ht="12.75" customHeight="1">
      <c r="A590" s="8"/>
      <c r="B590" s="8"/>
      <c r="C590" s="30"/>
      <c r="D590" s="8"/>
      <c r="E590" s="8"/>
      <c r="F590" s="8"/>
      <c r="G590" s="8"/>
      <c r="H590" s="8"/>
      <c r="I590" s="8"/>
      <c r="J590" s="8"/>
      <c r="K590" s="8"/>
      <c r="L590" s="8"/>
      <c r="M590" s="8"/>
      <c r="N590" s="8"/>
      <c r="O590" s="8"/>
      <c r="P590" s="8"/>
      <c r="Q590" s="8"/>
      <c r="R590" s="8"/>
    </row>
    <row r="591" spans="1:18" ht="12.75" customHeight="1">
      <c r="A591" s="8"/>
      <c r="B591" s="8"/>
      <c r="C591" s="30"/>
      <c r="D591" s="8"/>
      <c r="E591" s="8"/>
      <c r="F591" s="8"/>
      <c r="G591" s="8"/>
      <c r="H591" s="8"/>
      <c r="I591" s="8"/>
      <c r="J591" s="8"/>
      <c r="K591" s="8"/>
      <c r="L591" s="8"/>
      <c r="M591" s="8"/>
      <c r="N591" s="8"/>
      <c r="O591" s="8"/>
      <c r="P591" s="8"/>
      <c r="Q591" s="8"/>
      <c r="R591" s="8"/>
    </row>
    <row r="592" spans="1:18" ht="12.75" customHeight="1">
      <c r="A592" s="8"/>
      <c r="B592" s="8"/>
      <c r="C592" s="30"/>
      <c r="D592" s="8"/>
      <c r="E592" s="8"/>
      <c r="F592" s="8"/>
      <c r="G592" s="8"/>
      <c r="H592" s="8"/>
      <c r="I592" s="8"/>
      <c r="J592" s="8"/>
      <c r="K592" s="8"/>
      <c r="L592" s="8"/>
      <c r="M592" s="8"/>
      <c r="N592" s="8"/>
      <c r="O592" s="8"/>
      <c r="P592" s="8"/>
      <c r="Q592" s="8"/>
      <c r="R592" s="8"/>
    </row>
    <row r="593" spans="1:18" ht="12.75" customHeight="1">
      <c r="A593" s="8"/>
      <c r="B593" s="8"/>
      <c r="C593" s="30"/>
      <c r="D593" s="8"/>
      <c r="E593" s="8"/>
      <c r="F593" s="8"/>
      <c r="G593" s="8"/>
      <c r="H593" s="8"/>
      <c r="I593" s="8"/>
      <c r="J593" s="8"/>
      <c r="K593" s="8"/>
      <c r="L593" s="8"/>
      <c r="M593" s="8"/>
      <c r="N593" s="8"/>
      <c r="O593" s="8"/>
      <c r="P593" s="8"/>
      <c r="Q593" s="8"/>
      <c r="R593" s="8"/>
    </row>
    <row r="594" spans="1:18" ht="12.75" customHeight="1">
      <c r="A594" s="8"/>
      <c r="B594" s="8"/>
      <c r="C594" s="30"/>
      <c r="D594" s="8"/>
      <c r="E594" s="8"/>
      <c r="F594" s="8"/>
      <c r="G594" s="8"/>
      <c r="H594" s="8"/>
      <c r="I594" s="8"/>
      <c r="J594" s="8"/>
      <c r="K594" s="8"/>
      <c r="L594" s="8"/>
      <c r="M594" s="8"/>
      <c r="N594" s="8"/>
      <c r="O594" s="8"/>
      <c r="P594" s="8"/>
      <c r="Q594" s="8"/>
      <c r="R594" s="8"/>
    </row>
    <row r="595" spans="1:18" ht="12.75" customHeight="1">
      <c r="A595" s="8"/>
      <c r="B595" s="8"/>
      <c r="C595" s="30"/>
      <c r="D595" s="8"/>
      <c r="E595" s="8"/>
      <c r="F595" s="8"/>
      <c r="G595" s="8"/>
      <c r="H595" s="8"/>
      <c r="I595" s="8"/>
      <c r="J595" s="8"/>
      <c r="K595" s="8"/>
      <c r="L595" s="8"/>
      <c r="M595" s="8"/>
      <c r="N595" s="8"/>
      <c r="O595" s="8"/>
      <c r="P595" s="8"/>
      <c r="Q595" s="8"/>
      <c r="R595" s="8"/>
    </row>
    <row r="596" spans="1:18" ht="12.75" customHeight="1">
      <c r="A596" s="8"/>
      <c r="B596" s="8"/>
      <c r="C596" s="30"/>
      <c r="D596" s="8"/>
      <c r="E596" s="8"/>
      <c r="F596" s="8"/>
      <c r="G596" s="8"/>
      <c r="H596" s="8"/>
      <c r="I596" s="8"/>
      <c r="J596" s="8"/>
      <c r="K596" s="8"/>
      <c r="L596" s="8"/>
      <c r="M596" s="8"/>
      <c r="N596" s="8"/>
      <c r="O596" s="8"/>
      <c r="P596" s="8"/>
      <c r="Q596" s="8"/>
      <c r="R596" s="8"/>
    </row>
    <row r="597" spans="1:18" ht="12.75" customHeight="1">
      <c r="A597" s="8"/>
      <c r="B597" s="8"/>
      <c r="C597" s="30"/>
      <c r="D597" s="8"/>
      <c r="E597" s="8"/>
      <c r="F597" s="8"/>
      <c r="G597" s="8"/>
      <c r="H597" s="8"/>
      <c r="I597" s="8"/>
      <c r="J597" s="8"/>
      <c r="K597" s="8"/>
      <c r="L597" s="8"/>
      <c r="M597" s="8"/>
      <c r="N597" s="8"/>
      <c r="O597" s="8"/>
      <c r="P597" s="8"/>
      <c r="Q597" s="8"/>
      <c r="R597" s="8"/>
    </row>
    <row r="598" spans="1:18" ht="12.75" customHeight="1">
      <c r="A598" s="8"/>
      <c r="B598" s="8"/>
      <c r="C598" s="30"/>
      <c r="D598" s="8"/>
      <c r="E598" s="8"/>
      <c r="F598" s="8"/>
      <c r="G598" s="8"/>
      <c r="H598" s="8"/>
      <c r="I598" s="8"/>
      <c r="J598" s="8"/>
      <c r="K598" s="8"/>
      <c r="L598" s="8"/>
      <c r="M598" s="8"/>
      <c r="N598" s="8"/>
      <c r="O598" s="8"/>
      <c r="P598" s="8"/>
      <c r="Q598" s="8"/>
      <c r="R598" s="8"/>
    </row>
    <row r="599" spans="1:18" ht="12.75" customHeight="1">
      <c r="A599" s="8"/>
      <c r="B599" s="8"/>
      <c r="C599" s="30"/>
      <c r="D599" s="8"/>
      <c r="E599" s="8"/>
      <c r="F599" s="8"/>
      <c r="G599" s="8"/>
      <c r="H599" s="8"/>
      <c r="I599" s="8"/>
      <c r="J599" s="8"/>
      <c r="K599" s="8"/>
      <c r="L599" s="8"/>
      <c r="M599" s="8"/>
      <c r="N599" s="8"/>
      <c r="O599" s="8"/>
      <c r="P599" s="8"/>
      <c r="Q599" s="8"/>
      <c r="R599" s="8"/>
    </row>
    <row r="600" spans="1:18" ht="12.75" customHeight="1">
      <c r="A600" s="8"/>
      <c r="B600" s="8"/>
      <c r="C600" s="30"/>
      <c r="D600" s="8"/>
      <c r="E600" s="8"/>
      <c r="F600" s="8"/>
      <c r="G600" s="8"/>
      <c r="H600" s="8"/>
      <c r="I600" s="8"/>
      <c r="J600" s="8"/>
      <c r="K600" s="8"/>
      <c r="L600" s="8"/>
      <c r="M600" s="8"/>
      <c r="N600" s="8"/>
      <c r="O600" s="8"/>
      <c r="P600" s="8"/>
      <c r="Q600" s="8"/>
      <c r="R600" s="8"/>
    </row>
    <row r="601" spans="1:18" ht="12.75" customHeight="1">
      <c r="A601" s="8"/>
      <c r="B601" s="8"/>
      <c r="C601" s="30"/>
      <c r="D601" s="8"/>
      <c r="E601" s="8"/>
      <c r="F601" s="8"/>
      <c r="G601" s="8"/>
      <c r="H601" s="8"/>
      <c r="I601" s="8"/>
      <c r="J601" s="8"/>
      <c r="K601" s="8"/>
      <c r="L601" s="8"/>
      <c r="M601" s="8"/>
      <c r="N601" s="8"/>
      <c r="O601" s="8"/>
      <c r="P601" s="8"/>
      <c r="Q601" s="8"/>
      <c r="R601" s="8"/>
    </row>
    <row r="602" spans="1:18" ht="12.75" customHeight="1">
      <c r="A602" s="8"/>
      <c r="B602" s="8"/>
      <c r="C602" s="30"/>
      <c r="D602" s="8"/>
      <c r="E602" s="8"/>
      <c r="F602" s="8"/>
      <c r="G602" s="8"/>
      <c r="H602" s="8"/>
      <c r="I602" s="8"/>
      <c r="J602" s="8"/>
      <c r="K602" s="8"/>
      <c r="L602" s="8"/>
      <c r="M602" s="8"/>
      <c r="N602" s="8"/>
      <c r="O602" s="8"/>
      <c r="P602" s="8"/>
      <c r="Q602" s="8"/>
      <c r="R602" s="8"/>
    </row>
    <row r="603" spans="1:18" ht="12.75" customHeight="1">
      <c r="A603" s="8"/>
      <c r="B603" s="8"/>
      <c r="C603" s="30"/>
      <c r="D603" s="8"/>
      <c r="E603" s="8"/>
      <c r="F603" s="8"/>
      <c r="G603" s="8"/>
      <c r="H603" s="8"/>
      <c r="I603" s="8"/>
      <c r="J603" s="8"/>
      <c r="K603" s="8"/>
      <c r="L603" s="8"/>
      <c r="M603" s="8"/>
      <c r="N603" s="8"/>
      <c r="O603" s="8"/>
      <c r="P603" s="8"/>
      <c r="Q603" s="8"/>
      <c r="R603" s="8"/>
    </row>
    <row r="604" spans="1:18" ht="12.75" customHeight="1">
      <c r="A604" s="8"/>
      <c r="B604" s="8"/>
      <c r="C604" s="30"/>
      <c r="D604" s="8"/>
      <c r="E604" s="8"/>
      <c r="F604" s="8"/>
      <c r="G604" s="8"/>
      <c r="H604" s="8"/>
      <c r="I604" s="8"/>
      <c r="J604" s="8"/>
      <c r="K604" s="8"/>
      <c r="L604" s="8"/>
      <c r="M604" s="8"/>
      <c r="N604" s="8"/>
      <c r="O604" s="8"/>
      <c r="P604" s="8"/>
      <c r="Q604" s="8"/>
      <c r="R604" s="8"/>
    </row>
    <row r="605" spans="1:18" ht="12.75" customHeight="1">
      <c r="A605" s="8"/>
      <c r="B605" s="8"/>
      <c r="C605" s="30"/>
      <c r="D605" s="8"/>
      <c r="E605" s="8"/>
      <c r="F605" s="8"/>
      <c r="G605" s="8"/>
      <c r="H605" s="8"/>
      <c r="I605" s="8"/>
      <c r="J605" s="8"/>
      <c r="K605" s="8"/>
      <c r="L605" s="8"/>
      <c r="M605" s="8"/>
      <c r="N605" s="8"/>
      <c r="O605" s="8"/>
      <c r="P605" s="8"/>
      <c r="Q605" s="8"/>
      <c r="R605" s="8"/>
    </row>
    <row r="606" spans="1:18" ht="12.75" customHeight="1">
      <c r="A606" s="8"/>
      <c r="B606" s="8"/>
      <c r="C606" s="30"/>
      <c r="D606" s="8"/>
      <c r="E606" s="8"/>
      <c r="F606" s="8"/>
      <c r="G606" s="8"/>
      <c r="H606" s="8"/>
      <c r="I606" s="8"/>
      <c r="J606" s="8"/>
      <c r="K606" s="8"/>
      <c r="L606" s="8"/>
      <c r="M606" s="8"/>
      <c r="N606" s="8"/>
      <c r="O606" s="8"/>
      <c r="P606" s="8"/>
      <c r="Q606" s="8"/>
      <c r="R606" s="8"/>
    </row>
    <row r="607" spans="1:18" ht="12.75" customHeight="1">
      <c r="A607" s="8"/>
      <c r="B607" s="8"/>
      <c r="C607" s="30"/>
      <c r="D607" s="8"/>
      <c r="E607" s="8"/>
      <c r="F607" s="8"/>
      <c r="G607" s="8"/>
      <c r="H607" s="8"/>
      <c r="I607" s="8"/>
      <c r="J607" s="8"/>
      <c r="K607" s="8"/>
      <c r="L607" s="8"/>
      <c r="M607" s="8"/>
      <c r="N607" s="8"/>
      <c r="O607" s="8"/>
      <c r="P607" s="8"/>
      <c r="Q607" s="8"/>
      <c r="R607" s="8"/>
    </row>
    <row r="608" spans="1:18" ht="12.75" customHeight="1">
      <c r="A608" s="8"/>
      <c r="B608" s="8"/>
      <c r="C608" s="30"/>
      <c r="D608" s="8"/>
      <c r="E608" s="8"/>
      <c r="F608" s="8"/>
      <c r="G608" s="8"/>
      <c r="H608" s="8"/>
      <c r="I608" s="8"/>
      <c r="J608" s="8"/>
      <c r="K608" s="8"/>
      <c r="L608" s="8"/>
      <c r="M608" s="8"/>
      <c r="N608" s="8"/>
      <c r="O608" s="8"/>
      <c r="P608" s="8"/>
      <c r="Q608" s="8"/>
      <c r="R608" s="8"/>
    </row>
    <row r="609" spans="1:18" ht="12.75" customHeight="1">
      <c r="A609" s="8"/>
      <c r="B609" s="8"/>
      <c r="C609" s="30"/>
      <c r="D609" s="8"/>
      <c r="E609" s="8"/>
      <c r="F609" s="8"/>
      <c r="G609" s="8"/>
      <c r="H609" s="8"/>
      <c r="I609" s="8"/>
      <c r="J609" s="8"/>
      <c r="K609" s="8"/>
      <c r="L609" s="8"/>
      <c r="M609" s="8"/>
      <c r="N609" s="8"/>
      <c r="O609" s="8"/>
      <c r="P609" s="8"/>
      <c r="Q609" s="8"/>
      <c r="R609" s="8"/>
    </row>
    <row r="610" spans="1:18" ht="12.75" customHeight="1">
      <c r="A610" s="8"/>
      <c r="B610" s="8"/>
      <c r="C610" s="30"/>
      <c r="D610" s="8"/>
      <c r="E610" s="8"/>
      <c r="F610" s="8"/>
      <c r="G610" s="8"/>
      <c r="H610" s="8"/>
      <c r="I610" s="8"/>
      <c r="J610" s="8"/>
      <c r="K610" s="8"/>
      <c r="L610" s="8"/>
      <c r="M610" s="8"/>
      <c r="N610" s="8"/>
      <c r="O610" s="8"/>
      <c r="P610" s="8"/>
      <c r="Q610" s="8"/>
      <c r="R610" s="8"/>
    </row>
    <row r="611" spans="1:18" ht="12.75" customHeight="1">
      <c r="A611" s="8"/>
      <c r="B611" s="8"/>
      <c r="C611" s="30"/>
      <c r="D611" s="8"/>
      <c r="E611" s="8"/>
      <c r="F611" s="8"/>
      <c r="G611" s="8"/>
      <c r="H611" s="8"/>
      <c r="I611" s="8"/>
      <c r="J611" s="8"/>
      <c r="K611" s="8"/>
      <c r="L611" s="8"/>
      <c r="M611" s="8"/>
      <c r="N611" s="8"/>
      <c r="O611" s="8"/>
      <c r="P611" s="8"/>
      <c r="Q611" s="8"/>
      <c r="R611" s="8"/>
    </row>
    <row r="612" spans="1:18" ht="12.75" customHeight="1">
      <c r="A612" s="8"/>
      <c r="B612" s="8"/>
      <c r="C612" s="30"/>
      <c r="D612" s="8"/>
      <c r="E612" s="8"/>
      <c r="F612" s="8"/>
      <c r="G612" s="8"/>
      <c r="H612" s="8"/>
      <c r="I612" s="8"/>
      <c r="J612" s="8"/>
      <c r="K612" s="8"/>
      <c r="L612" s="8"/>
      <c r="M612" s="8"/>
      <c r="N612" s="8"/>
      <c r="O612" s="8"/>
      <c r="P612" s="8"/>
      <c r="Q612" s="8"/>
      <c r="R612" s="8"/>
    </row>
    <row r="613" spans="1:18" ht="12.75" customHeight="1">
      <c r="A613" s="8"/>
      <c r="B613" s="8"/>
      <c r="C613" s="30"/>
      <c r="D613" s="8"/>
      <c r="E613" s="8"/>
      <c r="F613" s="8"/>
      <c r="G613" s="8"/>
      <c r="H613" s="8"/>
      <c r="I613" s="8"/>
      <c r="J613" s="8"/>
      <c r="K613" s="8"/>
      <c r="L613" s="8"/>
      <c r="M613" s="8"/>
      <c r="N613" s="8"/>
      <c r="O613" s="8"/>
      <c r="P613" s="8"/>
      <c r="Q613" s="8"/>
      <c r="R613" s="8"/>
    </row>
    <row r="614" spans="1:18" ht="12.75" customHeight="1">
      <c r="A614" s="8"/>
      <c r="B614" s="8"/>
      <c r="C614" s="30"/>
      <c r="D614" s="8"/>
      <c r="E614" s="8"/>
      <c r="F614" s="8"/>
      <c r="G614" s="8"/>
      <c r="H614" s="8"/>
      <c r="I614" s="8"/>
      <c r="J614" s="8"/>
      <c r="K614" s="8"/>
      <c r="L614" s="8"/>
      <c r="M614" s="8"/>
      <c r="N614" s="8"/>
      <c r="O614" s="8"/>
      <c r="P614" s="8"/>
      <c r="Q614" s="8"/>
      <c r="R614" s="8"/>
    </row>
    <row r="615" spans="1:18" ht="12.75" customHeight="1">
      <c r="A615" s="8"/>
      <c r="B615" s="8"/>
      <c r="C615" s="30"/>
      <c r="D615" s="8"/>
      <c r="E615" s="8"/>
      <c r="F615" s="8"/>
      <c r="G615" s="8"/>
      <c r="H615" s="8"/>
      <c r="I615" s="8"/>
      <c r="J615" s="8"/>
      <c r="K615" s="8"/>
      <c r="L615" s="8"/>
      <c r="M615" s="8"/>
      <c r="N615" s="8"/>
      <c r="O615" s="8"/>
      <c r="P615" s="8"/>
      <c r="Q615" s="8"/>
      <c r="R615" s="8"/>
    </row>
    <row r="616" spans="1:18" ht="12.75" customHeight="1">
      <c r="A616" s="8"/>
      <c r="B616" s="8"/>
      <c r="C616" s="30"/>
      <c r="D616" s="8"/>
      <c r="E616" s="8"/>
      <c r="F616" s="8"/>
      <c r="G616" s="8"/>
      <c r="H616" s="8"/>
      <c r="I616" s="8"/>
      <c r="J616" s="8"/>
      <c r="K616" s="8"/>
      <c r="L616" s="8"/>
      <c r="M616" s="8"/>
      <c r="N616" s="8"/>
      <c r="O616" s="8"/>
      <c r="P616" s="8"/>
      <c r="Q616" s="8"/>
      <c r="R616" s="8"/>
    </row>
    <row r="617" spans="1:18" ht="12.75" customHeight="1">
      <c r="A617" s="8"/>
      <c r="B617" s="8"/>
      <c r="C617" s="30"/>
      <c r="D617" s="8"/>
      <c r="E617" s="8"/>
      <c r="F617" s="8"/>
      <c r="G617" s="8"/>
      <c r="H617" s="8"/>
      <c r="I617" s="8"/>
      <c r="J617" s="8"/>
      <c r="K617" s="8"/>
      <c r="L617" s="8"/>
      <c r="M617" s="8"/>
      <c r="N617" s="8"/>
      <c r="O617" s="8"/>
      <c r="P617" s="8"/>
      <c r="Q617" s="8"/>
      <c r="R617" s="8"/>
    </row>
    <row r="618" spans="1:18" ht="12.75" customHeight="1">
      <c r="A618" s="8"/>
      <c r="B618" s="8"/>
      <c r="C618" s="30"/>
      <c r="D618" s="8"/>
      <c r="E618" s="8"/>
      <c r="F618" s="8"/>
      <c r="G618" s="8"/>
      <c r="H618" s="8"/>
      <c r="I618" s="8"/>
      <c r="J618" s="8"/>
      <c r="K618" s="8"/>
      <c r="L618" s="8"/>
      <c r="M618" s="8"/>
      <c r="N618" s="8"/>
      <c r="O618" s="8"/>
      <c r="P618" s="8"/>
      <c r="Q618" s="8"/>
      <c r="R618" s="8"/>
    </row>
    <row r="619" spans="1:18" ht="12.75" customHeight="1">
      <c r="A619" s="8"/>
      <c r="B619" s="8"/>
      <c r="C619" s="30"/>
      <c r="D619" s="8"/>
      <c r="E619" s="8"/>
      <c r="F619" s="8"/>
      <c r="G619" s="8"/>
      <c r="H619" s="8"/>
      <c r="I619" s="8"/>
      <c r="J619" s="8"/>
      <c r="K619" s="8"/>
      <c r="L619" s="8"/>
      <c r="M619" s="8"/>
      <c r="N619" s="8"/>
      <c r="O619" s="8"/>
      <c r="P619" s="8"/>
      <c r="Q619" s="8"/>
      <c r="R619" s="8"/>
    </row>
    <row r="620" spans="1:18" ht="12.75" customHeight="1">
      <c r="A620" s="8"/>
      <c r="B620" s="8"/>
      <c r="C620" s="30"/>
      <c r="D620" s="8"/>
      <c r="E620" s="8"/>
      <c r="F620" s="8"/>
      <c r="G620" s="8"/>
      <c r="H620" s="8"/>
      <c r="I620" s="8"/>
      <c r="J620" s="8"/>
      <c r="K620" s="8"/>
      <c r="L620" s="8"/>
      <c r="M620" s="8"/>
      <c r="N620" s="8"/>
      <c r="O620" s="8"/>
      <c r="P620" s="8"/>
      <c r="Q620" s="8"/>
      <c r="R620" s="8"/>
    </row>
    <row r="621" spans="1:18" ht="12.75" customHeight="1">
      <c r="A621" s="8"/>
      <c r="B621" s="8"/>
      <c r="C621" s="30"/>
      <c r="D621" s="8"/>
      <c r="E621" s="8"/>
      <c r="F621" s="8"/>
      <c r="G621" s="8"/>
      <c r="H621" s="8"/>
      <c r="I621" s="8"/>
      <c r="J621" s="8"/>
      <c r="K621" s="8"/>
      <c r="L621" s="8"/>
      <c r="M621" s="8"/>
      <c r="N621" s="8"/>
      <c r="O621" s="8"/>
      <c r="P621" s="8"/>
      <c r="Q621" s="8"/>
      <c r="R621" s="8"/>
    </row>
    <row r="622" spans="1:18" ht="12.75" customHeight="1">
      <c r="A622" s="8"/>
      <c r="B622" s="8"/>
      <c r="C622" s="30"/>
      <c r="D622" s="8"/>
      <c r="E622" s="8"/>
      <c r="F622" s="8"/>
      <c r="G622" s="8"/>
      <c r="H622" s="8"/>
      <c r="I622" s="8"/>
      <c r="J622" s="8"/>
      <c r="K622" s="8"/>
      <c r="L622" s="8"/>
      <c r="M622" s="8"/>
      <c r="N622" s="8"/>
      <c r="O622" s="8"/>
      <c r="P622" s="8"/>
      <c r="Q622" s="8"/>
      <c r="R622" s="8"/>
    </row>
    <row r="623" spans="1:18" ht="12.75" customHeight="1">
      <c r="A623" s="8"/>
      <c r="B623" s="8"/>
      <c r="C623" s="30"/>
      <c r="D623" s="8"/>
      <c r="E623" s="8"/>
      <c r="F623" s="8"/>
      <c r="G623" s="8"/>
      <c r="H623" s="8"/>
      <c r="I623" s="8"/>
      <c r="J623" s="8"/>
      <c r="K623" s="8"/>
      <c r="L623" s="8"/>
      <c r="M623" s="8"/>
      <c r="N623" s="8"/>
      <c r="O623" s="8"/>
      <c r="P623" s="8"/>
      <c r="Q623" s="8"/>
      <c r="R623" s="8"/>
    </row>
    <row r="624" spans="1:18" ht="12.75" customHeight="1">
      <c r="A624" s="8"/>
      <c r="B624" s="8"/>
      <c r="C624" s="30"/>
      <c r="D624" s="8"/>
      <c r="E624" s="8"/>
      <c r="F624" s="8"/>
      <c r="G624" s="8"/>
      <c r="H624" s="8"/>
      <c r="I624" s="8"/>
      <c r="J624" s="8"/>
      <c r="K624" s="8"/>
      <c r="L624" s="8"/>
      <c r="M624" s="8"/>
      <c r="N624" s="8"/>
      <c r="O624" s="8"/>
      <c r="P624" s="8"/>
      <c r="Q624" s="8"/>
      <c r="R624" s="8"/>
    </row>
    <row r="625" spans="1:18" ht="12.75" customHeight="1">
      <c r="A625" s="8"/>
      <c r="B625" s="8"/>
      <c r="C625" s="30"/>
      <c r="D625" s="8"/>
      <c r="E625" s="8"/>
      <c r="F625" s="8"/>
      <c r="G625" s="8"/>
      <c r="H625" s="8"/>
      <c r="I625" s="8"/>
      <c r="J625" s="8"/>
      <c r="K625" s="8"/>
      <c r="L625" s="8"/>
      <c r="M625" s="8"/>
      <c r="N625" s="8"/>
      <c r="O625" s="8"/>
      <c r="P625" s="8"/>
      <c r="Q625" s="8"/>
      <c r="R625" s="8"/>
    </row>
    <row r="626" spans="1:18" ht="12.75" customHeight="1">
      <c r="A626" s="8"/>
      <c r="B626" s="8"/>
      <c r="C626" s="30"/>
      <c r="D626" s="8"/>
      <c r="E626" s="8"/>
      <c r="F626" s="8"/>
      <c r="G626" s="8"/>
      <c r="H626" s="8"/>
      <c r="I626" s="8"/>
      <c r="J626" s="8"/>
      <c r="K626" s="8"/>
      <c r="L626" s="8"/>
      <c r="M626" s="8"/>
      <c r="N626" s="8"/>
      <c r="O626" s="8"/>
      <c r="P626" s="8"/>
      <c r="Q626" s="8"/>
      <c r="R626" s="8"/>
    </row>
    <row r="627" spans="1:18" ht="12.75" customHeight="1">
      <c r="A627" s="8"/>
      <c r="B627" s="8"/>
      <c r="C627" s="30"/>
      <c r="D627" s="8"/>
      <c r="E627" s="8"/>
      <c r="F627" s="8"/>
      <c r="G627" s="8"/>
      <c r="H627" s="8"/>
      <c r="I627" s="8"/>
      <c r="J627" s="8"/>
      <c r="K627" s="8"/>
      <c r="L627" s="8"/>
      <c r="M627" s="8"/>
      <c r="N627" s="8"/>
      <c r="O627" s="8"/>
      <c r="P627" s="8"/>
      <c r="Q627" s="8"/>
      <c r="R627" s="8"/>
    </row>
    <row r="628" spans="1:18" ht="12.75" customHeight="1">
      <c r="A628" s="8"/>
      <c r="B628" s="8"/>
      <c r="C628" s="30"/>
      <c r="D628" s="8"/>
      <c r="E628" s="8"/>
      <c r="F628" s="8"/>
      <c r="G628" s="8"/>
      <c r="H628" s="8"/>
      <c r="I628" s="8"/>
      <c r="J628" s="8"/>
      <c r="K628" s="8"/>
      <c r="L628" s="8"/>
      <c r="M628" s="8"/>
      <c r="N628" s="8"/>
      <c r="O628" s="8"/>
      <c r="P628" s="8"/>
      <c r="Q628" s="8"/>
      <c r="R628" s="8"/>
    </row>
    <row r="629" spans="1:18" ht="12.75" customHeight="1">
      <c r="A629" s="8"/>
      <c r="B629" s="8"/>
      <c r="C629" s="30"/>
      <c r="D629" s="8"/>
      <c r="E629" s="8"/>
      <c r="F629" s="8"/>
      <c r="G629" s="8"/>
      <c r="H629" s="8"/>
      <c r="I629" s="8"/>
      <c r="J629" s="8"/>
      <c r="K629" s="8"/>
      <c r="L629" s="8"/>
      <c r="M629" s="8"/>
      <c r="N629" s="8"/>
      <c r="O629" s="8"/>
      <c r="P629" s="8"/>
      <c r="Q629" s="8"/>
      <c r="R629" s="8"/>
    </row>
    <row r="630" spans="1:18" ht="12.75" customHeight="1">
      <c r="A630" s="8"/>
      <c r="B630" s="8"/>
      <c r="C630" s="30"/>
      <c r="D630" s="8"/>
      <c r="E630" s="8"/>
      <c r="F630" s="8"/>
      <c r="G630" s="8"/>
      <c r="H630" s="8"/>
      <c r="I630" s="8"/>
      <c r="J630" s="8"/>
      <c r="K630" s="8"/>
      <c r="L630" s="8"/>
      <c r="M630" s="8"/>
      <c r="N630" s="8"/>
      <c r="O630" s="8"/>
      <c r="P630" s="8"/>
      <c r="Q630" s="8"/>
      <c r="R630" s="8"/>
    </row>
    <row r="631" spans="1:18" ht="12.75" customHeight="1">
      <c r="A631" s="8"/>
      <c r="B631" s="8"/>
      <c r="C631" s="30"/>
      <c r="D631" s="8"/>
      <c r="E631" s="8"/>
      <c r="F631" s="8"/>
      <c r="G631" s="8"/>
      <c r="H631" s="8"/>
      <c r="I631" s="8"/>
      <c r="J631" s="8"/>
      <c r="K631" s="8"/>
      <c r="L631" s="8"/>
      <c r="M631" s="8"/>
      <c r="N631" s="8"/>
      <c r="O631" s="8"/>
      <c r="P631" s="8"/>
      <c r="Q631" s="8"/>
      <c r="R631" s="8"/>
    </row>
    <row r="632" spans="1:18" ht="12.75" customHeight="1">
      <c r="A632" s="8"/>
      <c r="B632" s="8"/>
      <c r="C632" s="30"/>
      <c r="D632" s="8"/>
      <c r="E632" s="8"/>
      <c r="F632" s="8"/>
      <c r="G632" s="8"/>
      <c r="H632" s="8"/>
      <c r="I632" s="8"/>
      <c r="J632" s="8"/>
      <c r="K632" s="8"/>
      <c r="L632" s="8"/>
      <c r="M632" s="8"/>
      <c r="N632" s="8"/>
      <c r="O632" s="8"/>
      <c r="P632" s="8"/>
      <c r="Q632" s="8"/>
      <c r="R632" s="8"/>
    </row>
    <row r="633" spans="1:18" ht="12.75" customHeight="1">
      <c r="A633" s="8"/>
      <c r="B633" s="8"/>
      <c r="C633" s="30"/>
      <c r="D633" s="8"/>
      <c r="E633" s="8"/>
      <c r="F633" s="8"/>
      <c r="G633" s="8"/>
      <c r="H633" s="8"/>
      <c r="I633" s="8"/>
      <c r="J633" s="8"/>
      <c r="K633" s="8"/>
      <c r="L633" s="8"/>
      <c r="M633" s="8"/>
      <c r="N633" s="8"/>
      <c r="O633" s="8"/>
      <c r="P633" s="8"/>
      <c r="Q633" s="8"/>
      <c r="R633" s="8"/>
    </row>
    <row r="634" spans="1:18" ht="12.75" customHeight="1">
      <c r="A634" s="8"/>
      <c r="B634" s="8"/>
      <c r="C634" s="30"/>
      <c r="D634" s="8"/>
      <c r="E634" s="8"/>
      <c r="F634" s="8"/>
      <c r="G634" s="8"/>
      <c r="H634" s="8"/>
      <c r="I634" s="8"/>
      <c r="J634" s="8"/>
      <c r="K634" s="8"/>
      <c r="L634" s="8"/>
      <c r="M634" s="8"/>
      <c r="N634" s="8"/>
      <c r="O634" s="8"/>
      <c r="P634" s="8"/>
      <c r="Q634" s="8"/>
      <c r="R634" s="8"/>
    </row>
    <row r="635" spans="1:18" ht="12.75" customHeight="1">
      <c r="A635" s="8"/>
      <c r="B635" s="8"/>
      <c r="C635" s="30"/>
      <c r="D635" s="8"/>
      <c r="E635" s="8"/>
      <c r="F635" s="8"/>
      <c r="G635" s="8"/>
      <c r="H635" s="8"/>
      <c r="I635" s="8"/>
      <c r="J635" s="8"/>
      <c r="K635" s="8"/>
      <c r="L635" s="8"/>
      <c r="M635" s="8"/>
      <c r="N635" s="8"/>
      <c r="O635" s="8"/>
      <c r="P635" s="8"/>
      <c r="Q635" s="8"/>
      <c r="R635" s="8"/>
    </row>
    <row r="636" spans="1:18" ht="12.75" customHeight="1">
      <c r="A636" s="8"/>
      <c r="B636" s="8"/>
      <c r="C636" s="30"/>
      <c r="D636" s="8"/>
      <c r="E636" s="8"/>
      <c r="F636" s="8"/>
      <c r="G636" s="8"/>
      <c r="H636" s="8"/>
      <c r="I636" s="8"/>
      <c r="J636" s="8"/>
      <c r="K636" s="8"/>
      <c r="L636" s="8"/>
      <c r="M636" s="8"/>
      <c r="N636" s="8"/>
      <c r="O636" s="8"/>
      <c r="P636" s="8"/>
      <c r="Q636" s="8"/>
      <c r="R636" s="8"/>
    </row>
    <row r="637" spans="1:18" ht="12.75" customHeight="1">
      <c r="A637" s="8"/>
      <c r="B637" s="8"/>
      <c r="C637" s="30"/>
      <c r="D637" s="8"/>
      <c r="E637" s="8"/>
      <c r="F637" s="8"/>
      <c r="G637" s="8"/>
      <c r="H637" s="8"/>
      <c r="I637" s="8"/>
      <c r="J637" s="8"/>
      <c r="K637" s="8"/>
      <c r="L637" s="8"/>
      <c r="M637" s="8"/>
      <c r="N637" s="8"/>
      <c r="O637" s="8"/>
      <c r="P637" s="8"/>
      <c r="Q637" s="8"/>
      <c r="R637" s="8"/>
    </row>
    <row r="638" spans="1:18" ht="12.75" customHeight="1">
      <c r="A638" s="8"/>
      <c r="B638" s="8"/>
      <c r="C638" s="30"/>
      <c r="D638" s="8"/>
      <c r="E638" s="8"/>
      <c r="F638" s="8"/>
      <c r="G638" s="8"/>
      <c r="H638" s="8"/>
      <c r="I638" s="8"/>
      <c r="J638" s="8"/>
      <c r="K638" s="8"/>
      <c r="L638" s="8"/>
      <c r="M638" s="8"/>
      <c r="N638" s="8"/>
      <c r="O638" s="8"/>
      <c r="P638" s="8"/>
      <c r="Q638" s="8"/>
      <c r="R638" s="8"/>
    </row>
    <row r="639" spans="1:18" ht="12.75" customHeight="1">
      <c r="A639" s="8"/>
      <c r="B639" s="8"/>
      <c r="C639" s="30"/>
      <c r="D639" s="8"/>
      <c r="E639" s="8"/>
      <c r="F639" s="8"/>
      <c r="G639" s="8"/>
      <c r="H639" s="8"/>
      <c r="I639" s="8"/>
      <c r="J639" s="8"/>
      <c r="K639" s="8"/>
      <c r="L639" s="8"/>
      <c r="M639" s="8"/>
      <c r="N639" s="8"/>
      <c r="O639" s="8"/>
      <c r="P639" s="8"/>
      <c r="Q639" s="8"/>
      <c r="R639" s="8"/>
    </row>
    <row r="640" spans="1:18" ht="12.75" customHeight="1">
      <c r="A640" s="8"/>
      <c r="B640" s="8"/>
      <c r="C640" s="30"/>
      <c r="D640" s="8"/>
      <c r="E640" s="8"/>
      <c r="F640" s="8"/>
      <c r="G640" s="8"/>
      <c r="H640" s="8"/>
      <c r="I640" s="8"/>
      <c r="J640" s="8"/>
      <c r="K640" s="8"/>
      <c r="L640" s="8"/>
      <c r="M640" s="8"/>
      <c r="N640" s="8"/>
      <c r="O640" s="8"/>
      <c r="P640" s="8"/>
      <c r="Q640" s="8"/>
      <c r="R640" s="8"/>
    </row>
    <row r="641" spans="1:18" ht="12.75" customHeight="1">
      <c r="A641" s="8"/>
      <c r="B641" s="8"/>
      <c r="C641" s="30"/>
      <c r="D641" s="8"/>
      <c r="E641" s="8"/>
      <c r="F641" s="8"/>
      <c r="G641" s="8"/>
      <c r="H641" s="8"/>
      <c r="I641" s="8"/>
      <c r="J641" s="8"/>
      <c r="K641" s="8"/>
      <c r="L641" s="8"/>
      <c r="M641" s="8"/>
      <c r="N641" s="8"/>
      <c r="O641" s="8"/>
      <c r="P641" s="8"/>
      <c r="Q641" s="8"/>
      <c r="R641" s="8"/>
    </row>
    <row r="642" spans="1:18" ht="12.75" customHeight="1">
      <c r="A642" s="8"/>
      <c r="B642" s="8"/>
      <c r="C642" s="30"/>
      <c r="D642" s="8"/>
      <c r="E642" s="8"/>
      <c r="F642" s="8"/>
      <c r="G642" s="8"/>
      <c r="H642" s="8"/>
      <c r="I642" s="8"/>
      <c r="J642" s="8"/>
      <c r="K642" s="8"/>
      <c r="L642" s="8"/>
      <c r="M642" s="8"/>
      <c r="N642" s="8"/>
      <c r="O642" s="8"/>
      <c r="P642" s="8"/>
      <c r="Q642" s="8"/>
      <c r="R642" s="8"/>
    </row>
    <row r="643" spans="1:18" ht="12.75" customHeight="1">
      <c r="A643" s="8"/>
      <c r="B643" s="8"/>
      <c r="C643" s="30"/>
      <c r="D643" s="8"/>
      <c r="E643" s="8"/>
      <c r="F643" s="8"/>
      <c r="G643" s="8"/>
      <c r="H643" s="8"/>
      <c r="I643" s="8"/>
      <c r="J643" s="8"/>
      <c r="K643" s="8"/>
      <c r="L643" s="8"/>
      <c r="M643" s="8"/>
      <c r="N643" s="8"/>
      <c r="O643" s="8"/>
      <c r="P643" s="8"/>
      <c r="Q643" s="8"/>
      <c r="R643" s="8"/>
    </row>
    <row r="644" spans="1:18" ht="12.75" customHeight="1">
      <c r="A644" s="8"/>
      <c r="B644" s="8"/>
      <c r="C644" s="30"/>
      <c r="D644" s="8"/>
      <c r="E644" s="8"/>
      <c r="F644" s="8"/>
      <c r="G644" s="8"/>
      <c r="H644" s="8"/>
      <c r="I644" s="8"/>
      <c r="J644" s="8"/>
      <c r="K644" s="8"/>
      <c r="L644" s="8"/>
      <c r="M644" s="8"/>
      <c r="N644" s="8"/>
      <c r="O644" s="8"/>
      <c r="P644" s="8"/>
      <c r="Q644" s="8"/>
      <c r="R644" s="8"/>
    </row>
    <row r="645" spans="1:18" ht="12.75" customHeight="1">
      <c r="A645" s="8"/>
      <c r="B645" s="8"/>
      <c r="C645" s="30"/>
      <c r="D645" s="8"/>
      <c r="E645" s="8"/>
      <c r="F645" s="8"/>
      <c r="G645" s="8"/>
      <c r="H645" s="8"/>
      <c r="I645" s="8"/>
      <c r="J645" s="8"/>
      <c r="K645" s="8"/>
      <c r="L645" s="8"/>
      <c r="M645" s="8"/>
      <c r="N645" s="8"/>
      <c r="O645" s="8"/>
      <c r="P645" s="8"/>
      <c r="Q645" s="8"/>
      <c r="R645" s="8"/>
    </row>
    <row r="646" spans="1:18" ht="12.75" customHeight="1">
      <c r="A646" s="8"/>
      <c r="B646" s="8"/>
      <c r="C646" s="30"/>
      <c r="D646" s="8"/>
      <c r="E646" s="8"/>
      <c r="F646" s="8"/>
      <c r="G646" s="8"/>
      <c r="H646" s="8"/>
      <c r="I646" s="8"/>
      <c r="J646" s="8"/>
      <c r="K646" s="8"/>
      <c r="L646" s="8"/>
      <c r="M646" s="8"/>
      <c r="N646" s="8"/>
      <c r="O646" s="8"/>
      <c r="P646" s="8"/>
      <c r="Q646" s="8"/>
      <c r="R646" s="8"/>
    </row>
    <row r="647" spans="1:18" ht="12.75" customHeight="1">
      <c r="A647" s="8"/>
      <c r="B647" s="8"/>
      <c r="C647" s="30"/>
      <c r="D647" s="8"/>
      <c r="E647" s="8"/>
      <c r="F647" s="8"/>
      <c r="G647" s="8"/>
      <c r="H647" s="8"/>
      <c r="I647" s="8"/>
      <c r="J647" s="8"/>
      <c r="K647" s="8"/>
      <c r="L647" s="8"/>
      <c r="M647" s="8"/>
      <c r="N647" s="8"/>
      <c r="O647" s="8"/>
      <c r="P647" s="8"/>
      <c r="Q647" s="8"/>
      <c r="R647" s="8"/>
    </row>
    <row r="648" spans="1:18" ht="12.75" customHeight="1">
      <c r="A648" s="8"/>
      <c r="B648" s="8"/>
      <c r="C648" s="30"/>
      <c r="D648" s="8"/>
      <c r="E648" s="8"/>
      <c r="F648" s="8"/>
      <c r="G648" s="8"/>
      <c r="H648" s="8"/>
      <c r="I648" s="8"/>
      <c r="J648" s="8"/>
      <c r="K648" s="8"/>
      <c r="L648" s="8"/>
      <c r="M648" s="8"/>
      <c r="N648" s="8"/>
      <c r="O648" s="8"/>
      <c r="P648" s="8"/>
      <c r="Q648" s="8"/>
      <c r="R648" s="8"/>
    </row>
    <row r="649" spans="1:18" ht="12.75" customHeight="1">
      <c r="A649" s="8"/>
      <c r="B649" s="8"/>
      <c r="C649" s="30"/>
      <c r="D649" s="8"/>
      <c r="E649" s="8"/>
      <c r="F649" s="8"/>
      <c r="G649" s="8"/>
      <c r="H649" s="8"/>
      <c r="I649" s="8"/>
      <c r="J649" s="8"/>
      <c r="K649" s="8"/>
      <c r="L649" s="8"/>
      <c r="M649" s="8"/>
      <c r="N649" s="8"/>
      <c r="O649" s="8"/>
      <c r="P649" s="8"/>
      <c r="Q649" s="8"/>
      <c r="R649" s="8"/>
    </row>
    <row r="650" spans="1:18" ht="12.75" customHeight="1">
      <c r="A650" s="8"/>
      <c r="B650" s="8"/>
      <c r="C650" s="30"/>
      <c r="D650" s="8"/>
      <c r="E650" s="8"/>
      <c r="F650" s="8"/>
      <c r="G650" s="8"/>
      <c r="H650" s="8"/>
      <c r="I650" s="8"/>
      <c r="J650" s="8"/>
      <c r="K650" s="8"/>
      <c r="L650" s="8"/>
      <c r="M650" s="8"/>
      <c r="N650" s="8"/>
      <c r="O650" s="8"/>
      <c r="P650" s="8"/>
      <c r="Q650" s="8"/>
      <c r="R650" s="8"/>
    </row>
    <row r="651" spans="1:18" ht="12.75" customHeight="1">
      <c r="A651" s="8"/>
      <c r="B651" s="8"/>
      <c r="C651" s="30"/>
      <c r="D651" s="8"/>
      <c r="E651" s="8"/>
      <c r="F651" s="8"/>
      <c r="G651" s="8"/>
      <c r="H651" s="8"/>
      <c r="I651" s="8"/>
      <c r="J651" s="8"/>
      <c r="K651" s="8"/>
      <c r="L651" s="8"/>
      <c r="M651" s="8"/>
      <c r="N651" s="8"/>
      <c r="O651" s="8"/>
      <c r="P651" s="8"/>
      <c r="Q651" s="8"/>
      <c r="R651" s="8"/>
    </row>
    <row r="652" spans="1:18" ht="12.75" customHeight="1">
      <c r="A652" s="8"/>
      <c r="B652" s="8"/>
      <c r="C652" s="30"/>
      <c r="D652" s="8"/>
      <c r="E652" s="8"/>
      <c r="F652" s="8"/>
      <c r="G652" s="8"/>
      <c r="H652" s="8"/>
      <c r="I652" s="8"/>
      <c r="J652" s="8"/>
      <c r="K652" s="8"/>
      <c r="L652" s="8"/>
      <c r="M652" s="8"/>
      <c r="N652" s="8"/>
      <c r="O652" s="8"/>
      <c r="P652" s="8"/>
      <c r="Q652" s="8"/>
      <c r="R652" s="8"/>
    </row>
    <row r="653" spans="1:18" ht="12.75" customHeight="1">
      <c r="A653" s="8"/>
      <c r="B653" s="8"/>
      <c r="C653" s="30"/>
      <c r="D653" s="8"/>
      <c r="E653" s="8"/>
      <c r="F653" s="8"/>
      <c r="G653" s="8"/>
      <c r="H653" s="8"/>
      <c r="I653" s="8"/>
      <c r="J653" s="8"/>
      <c r="K653" s="8"/>
      <c r="L653" s="8"/>
      <c r="M653" s="8"/>
      <c r="N653" s="8"/>
      <c r="O653" s="8"/>
      <c r="P653" s="8"/>
      <c r="Q653" s="8"/>
      <c r="R653" s="8"/>
    </row>
    <row r="654" spans="1:18" ht="12.75" customHeight="1">
      <c r="A654" s="8"/>
      <c r="B654" s="8"/>
      <c r="C654" s="30"/>
      <c r="D654" s="8"/>
      <c r="E654" s="8"/>
      <c r="F654" s="8"/>
      <c r="G654" s="8"/>
      <c r="H654" s="8"/>
      <c r="I654" s="8"/>
      <c r="J654" s="8"/>
      <c r="K654" s="8"/>
      <c r="L654" s="8"/>
      <c r="M654" s="8"/>
      <c r="N654" s="8"/>
      <c r="O654" s="8"/>
      <c r="P654" s="8"/>
      <c r="Q654" s="8"/>
      <c r="R654" s="8"/>
    </row>
    <row r="655" spans="1:18" ht="12.75" customHeight="1">
      <c r="A655" s="8"/>
      <c r="B655" s="8"/>
      <c r="C655" s="30"/>
      <c r="D655" s="8"/>
      <c r="E655" s="8"/>
      <c r="F655" s="8"/>
      <c r="G655" s="8"/>
      <c r="H655" s="8"/>
      <c r="I655" s="8"/>
      <c r="J655" s="8"/>
      <c r="K655" s="8"/>
      <c r="L655" s="8"/>
      <c r="M655" s="8"/>
      <c r="N655" s="8"/>
      <c r="O655" s="8"/>
      <c r="P655" s="8"/>
      <c r="Q655" s="8"/>
      <c r="R655" s="8"/>
    </row>
    <row r="656" spans="1:18" ht="12.75" customHeight="1">
      <c r="A656" s="8"/>
      <c r="B656" s="8"/>
      <c r="C656" s="30"/>
      <c r="D656" s="8"/>
      <c r="E656" s="8"/>
      <c r="F656" s="8"/>
      <c r="G656" s="8"/>
      <c r="H656" s="8"/>
      <c r="I656" s="8"/>
      <c r="J656" s="8"/>
      <c r="K656" s="8"/>
      <c r="L656" s="8"/>
      <c r="M656" s="8"/>
      <c r="N656" s="8"/>
      <c r="O656" s="8"/>
      <c r="P656" s="8"/>
      <c r="Q656" s="8"/>
      <c r="R656" s="8"/>
    </row>
    <row r="657" spans="1:18" ht="12.75" customHeight="1">
      <c r="A657" s="8"/>
      <c r="B657" s="8"/>
      <c r="C657" s="30"/>
      <c r="D657" s="8"/>
      <c r="E657" s="8"/>
      <c r="F657" s="8"/>
      <c r="G657" s="8"/>
      <c r="H657" s="8"/>
      <c r="I657" s="8"/>
      <c r="J657" s="8"/>
      <c r="K657" s="8"/>
      <c r="L657" s="8"/>
      <c r="M657" s="8"/>
      <c r="N657" s="8"/>
      <c r="O657" s="8"/>
      <c r="P657" s="8"/>
      <c r="Q657" s="8"/>
      <c r="R657" s="8"/>
    </row>
    <row r="658" spans="1:18" ht="12.75" customHeight="1">
      <c r="A658" s="8"/>
      <c r="B658" s="8"/>
      <c r="C658" s="30"/>
      <c r="D658" s="8"/>
      <c r="E658" s="8"/>
      <c r="F658" s="8"/>
      <c r="G658" s="8"/>
      <c r="H658" s="8"/>
      <c r="I658" s="8"/>
      <c r="J658" s="8"/>
      <c r="K658" s="8"/>
      <c r="L658" s="8"/>
      <c r="M658" s="8"/>
      <c r="N658" s="8"/>
      <c r="O658" s="8"/>
      <c r="P658" s="8"/>
      <c r="Q658" s="8"/>
      <c r="R658" s="8"/>
    </row>
    <row r="659" spans="1:18" ht="12.75" customHeight="1">
      <c r="A659" s="8"/>
      <c r="B659" s="8"/>
      <c r="C659" s="30"/>
      <c r="D659" s="8"/>
      <c r="E659" s="8"/>
      <c r="F659" s="8"/>
      <c r="G659" s="8"/>
      <c r="H659" s="8"/>
      <c r="I659" s="8"/>
      <c r="J659" s="8"/>
      <c r="K659" s="8"/>
      <c r="L659" s="8"/>
      <c r="M659" s="8"/>
      <c r="N659" s="8"/>
      <c r="O659" s="8"/>
      <c r="P659" s="8"/>
      <c r="Q659" s="8"/>
      <c r="R659" s="8"/>
    </row>
    <row r="660" spans="1:18" ht="12.75" customHeight="1">
      <c r="A660" s="8"/>
      <c r="B660" s="8"/>
      <c r="C660" s="30"/>
      <c r="D660" s="8"/>
      <c r="E660" s="8"/>
      <c r="F660" s="8"/>
      <c r="G660" s="8"/>
      <c r="H660" s="8"/>
      <c r="I660" s="8"/>
      <c r="J660" s="8"/>
      <c r="K660" s="8"/>
      <c r="L660" s="8"/>
      <c r="M660" s="8"/>
      <c r="N660" s="8"/>
      <c r="O660" s="8"/>
      <c r="P660" s="8"/>
      <c r="Q660" s="8"/>
      <c r="R660" s="8"/>
    </row>
    <row r="661" spans="1:18" ht="12.75" customHeight="1">
      <c r="A661" s="8"/>
      <c r="B661" s="8"/>
      <c r="C661" s="30"/>
      <c r="D661" s="8"/>
      <c r="E661" s="8"/>
      <c r="F661" s="8"/>
      <c r="G661" s="8"/>
      <c r="H661" s="8"/>
      <c r="I661" s="8"/>
      <c r="J661" s="8"/>
      <c r="K661" s="8"/>
      <c r="L661" s="8"/>
      <c r="M661" s="8"/>
      <c r="N661" s="8"/>
      <c r="O661" s="8"/>
      <c r="P661" s="8"/>
      <c r="Q661" s="8"/>
      <c r="R661" s="8"/>
    </row>
    <row r="662" spans="1:18" ht="12.75" customHeight="1">
      <c r="A662" s="8"/>
      <c r="B662" s="8"/>
      <c r="C662" s="30"/>
      <c r="D662" s="8"/>
      <c r="E662" s="8"/>
      <c r="F662" s="8"/>
      <c r="G662" s="8"/>
      <c r="H662" s="8"/>
      <c r="I662" s="8"/>
      <c r="J662" s="8"/>
      <c r="K662" s="8"/>
      <c r="L662" s="8"/>
      <c r="M662" s="8"/>
      <c r="N662" s="8"/>
      <c r="O662" s="8"/>
      <c r="P662" s="8"/>
      <c r="Q662" s="8"/>
      <c r="R662" s="8"/>
    </row>
    <row r="663" spans="1:18" ht="12.75" customHeight="1">
      <c r="A663" s="8"/>
      <c r="B663" s="8"/>
      <c r="C663" s="30"/>
      <c r="D663" s="8"/>
      <c r="E663" s="8"/>
      <c r="F663" s="8"/>
      <c r="G663" s="8"/>
      <c r="H663" s="8"/>
      <c r="I663" s="8"/>
      <c r="J663" s="8"/>
      <c r="K663" s="8"/>
      <c r="L663" s="8"/>
      <c r="M663" s="8"/>
      <c r="N663" s="8"/>
      <c r="O663" s="8"/>
      <c r="P663" s="8"/>
      <c r="Q663" s="8"/>
      <c r="R663" s="8"/>
    </row>
    <row r="664" spans="1:18" ht="12.75" customHeight="1">
      <c r="A664" s="8"/>
      <c r="B664" s="8"/>
      <c r="C664" s="30"/>
      <c r="D664" s="8"/>
      <c r="E664" s="8"/>
      <c r="F664" s="8"/>
      <c r="G664" s="8"/>
      <c r="H664" s="8"/>
      <c r="I664" s="8"/>
      <c r="J664" s="8"/>
      <c r="K664" s="8"/>
      <c r="L664" s="8"/>
      <c r="M664" s="8"/>
      <c r="N664" s="8"/>
      <c r="O664" s="8"/>
      <c r="P664" s="8"/>
      <c r="Q664" s="8"/>
      <c r="R664" s="8"/>
    </row>
    <row r="665" spans="1:18" ht="12.75" customHeight="1">
      <c r="A665" s="8"/>
      <c r="B665" s="8"/>
      <c r="C665" s="30"/>
      <c r="D665" s="8"/>
      <c r="E665" s="8"/>
      <c r="F665" s="8"/>
      <c r="G665" s="8"/>
      <c r="H665" s="8"/>
      <c r="I665" s="8"/>
      <c r="J665" s="8"/>
      <c r="K665" s="8"/>
      <c r="L665" s="8"/>
      <c r="M665" s="8"/>
      <c r="N665" s="8"/>
      <c r="O665" s="8"/>
      <c r="P665" s="8"/>
      <c r="Q665" s="8"/>
      <c r="R665" s="8"/>
    </row>
    <row r="666" spans="1:18" ht="12.75" customHeight="1">
      <c r="A666" s="8"/>
      <c r="B666" s="8"/>
      <c r="C666" s="30"/>
      <c r="D666" s="8"/>
      <c r="E666" s="8"/>
      <c r="F666" s="8"/>
      <c r="G666" s="8"/>
      <c r="H666" s="8"/>
      <c r="I666" s="8"/>
      <c r="J666" s="8"/>
      <c r="K666" s="8"/>
      <c r="L666" s="8"/>
      <c r="M666" s="8"/>
      <c r="N666" s="8"/>
      <c r="O666" s="8"/>
      <c r="P666" s="8"/>
      <c r="Q666" s="8"/>
      <c r="R666" s="8"/>
    </row>
    <row r="667" spans="1:18" ht="12.75" customHeight="1">
      <c r="A667" s="8"/>
      <c r="B667" s="8"/>
      <c r="C667" s="30"/>
      <c r="D667" s="8"/>
      <c r="E667" s="8"/>
      <c r="F667" s="8"/>
      <c r="G667" s="8"/>
      <c r="H667" s="8"/>
      <c r="I667" s="8"/>
      <c r="J667" s="8"/>
      <c r="K667" s="8"/>
      <c r="L667" s="8"/>
      <c r="M667" s="8"/>
      <c r="N667" s="8"/>
      <c r="O667" s="8"/>
      <c r="P667" s="8"/>
      <c r="Q667" s="8"/>
      <c r="R667" s="8"/>
    </row>
    <row r="668" spans="1:18" ht="12.75" customHeight="1">
      <c r="A668" s="8"/>
      <c r="B668" s="8"/>
      <c r="C668" s="30"/>
      <c r="D668" s="8"/>
      <c r="E668" s="8"/>
      <c r="F668" s="8"/>
      <c r="G668" s="8"/>
      <c r="H668" s="8"/>
      <c r="I668" s="8"/>
      <c r="J668" s="8"/>
      <c r="K668" s="8"/>
      <c r="L668" s="8"/>
      <c r="M668" s="8"/>
      <c r="N668" s="8"/>
      <c r="O668" s="8"/>
      <c r="P668" s="8"/>
      <c r="Q668" s="8"/>
      <c r="R668" s="8"/>
    </row>
    <row r="669" spans="1:18" ht="12.75" customHeight="1">
      <c r="A669" s="8"/>
      <c r="B669" s="8"/>
      <c r="C669" s="30"/>
      <c r="D669" s="8"/>
      <c r="E669" s="8"/>
      <c r="F669" s="8"/>
      <c r="G669" s="8"/>
      <c r="H669" s="8"/>
      <c r="I669" s="8"/>
      <c r="J669" s="8"/>
      <c r="K669" s="8"/>
      <c r="L669" s="8"/>
      <c r="M669" s="8"/>
      <c r="N669" s="8"/>
      <c r="O669" s="8"/>
      <c r="P669" s="8"/>
      <c r="Q669" s="8"/>
      <c r="R669" s="8"/>
    </row>
    <row r="670" spans="1:18" ht="12.75" customHeight="1">
      <c r="A670" s="8"/>
      <c r="B670" s="8"/>
      <c r="C670" s="30"/>
      <c r="D670" s="8"/>
      <c r="E670" s="8"/>
      <c r="F670" s="8"/>
      <c r="G670" s="8"/>
      <c r="H670" s="8"/>
      <c r="I670" s="8"/>
      <c r="J670" s="8"/>
      <c r="K670" s="8"/>
      <c r="L670" s="8"/>
      <c r="M670" s="8"/>
      <c r="N670" s="8"/>
      <c r="O670" s="8"/>
      <c r="P670" s="8"/>
      <c r="Q670" s="8"/>
      <c r="R670" s="8"/>
    </row>
    <row r="671" spans="1:18" ht="12.75" customHeight="1">
      <c r="A671" s="8"/>
      <c r="B671" s="8"/>
      <c r="C671" s="30"/>
      <c r="D671" s="8"/>
      <c r="E671" s="8"/>
      <c r="F671" s="8"/>
      <c r="G671" s="8"/>
      <c r="H671" s="8"/>
      <c r="I671" s="8"/>
      <c r="J671" s="8"/>
      <c r="K671" s="8"/>
      <c r="L671" s="8"/>
      <c r="M671" s="8"/>
      <c r="N671" s="8"/>
      <c r="O671" s="8"/>
      <c r="P671" s="8"/>
      <c r="Q671" s="8"/>
      <c r="R671" s="8"/>
    </row>
    <row r="672" spans="1:18" ht="12.75" customHeight="1">
      <c r="A672" s="8"/>
      <c r="B672" s="8"/>
      <c r="C672" s="30"/>
      <c r="D672" s="8"/>
      <c r="E672" s="8"/>
      <c r="F672" s="8"/>
      <c r="G672" s="8"/>
      <c r="H672" s="8"/>
      <c r="I672" s="8"/>
      <c r="J672" s="8"/>
      <c r="K672" s="8"/>
      <c r="L672" s="8"/>
      <c r="M672" s="8"/>
      <c r="N672" s="8"/>
      <c r="O672" s="8"/>
      <c r="P672" s="8"/>
      <c r="Q672" s="8"/>
      <c r="R672" s="8"/>
    </row>
    <row r="673" spans="1:18" ht="12.75" customHeight="1">
      <c r="A673" s="8"/>
      <c r="B673" s="8"/>
      <c r="C673" s="30"/>
      <c r="D673" s="8"/>
      <c r="E673" s="8"/>
      <c r="F673" s="8"/>
      <c r="G673" s="8"/>
      <c r="H673" s="8"/>
      <c r="I673" s="8"/>
      <c r="J673" s="8"/>
      <c r="K673" s="8"/>
      <c r="L673" s="8"/>
      <c r="M673" s="8"/>
      <c r="N673" s="8"/>
      <c r="O673" s="8"/>
      <c r="P673" s="8"/>
      <c r="Q673" s="8"/>
      <c r="R673" s="8"/>
    </row>
    <row r="674" spans="1:18" ht="12.75" customHeight="1">
      <c r="A674" s="8"/>
      <c r="B674" s="8"/>
      <c r="C674" s="30"/>
      <c r="D674" s="8"/>
      <c r="E674" s="8"/>
      <c r="F674" s="8"/>
      <c r="G674" s="8"/>
      <c r="H674" s="8"/>
      <c r="I674" s="8"/>
      <c r="J674" s="8"/>
      <c r="K674" s="8"/>
      <c r="L674" s="8"/>
      <c r="M674" s="8"/>
      <c r="N674" s="8"/>
      <c r="O674" s="8"/>
      <c r="P674" s="8"/>
      <c r="Q674" s="8"/>
      <c r="R674" s="8"/>
    </row>
    <row r="675" spans="1:18" ht="12.75" customHeight="1">
      <c r="A675" s="8"/>
      <c r="B675" s="8"/>
      <c r="C675" s="30"/>
      <c r="D675" s="8"/>
      <c r="E675" s="8"/>
      <c r="F675" s="8"/>
      <c r="G675" s="8"/>
      <c r="H675" s="8"/>
      <c r="I675" s="8"/>
      <c r="J675" s="8"/>
      <c r="K675" s="8"/>
      <c r="L675" s="8"/>
      <c r="M675" s="8"/>
      <c r="N675" s="8"/>
      <c r="O675" s="8"/>
      <c r="P675" s="8"/>
      <c r="Q675" s="8"/>
      <c r="R675" s="8"/>
    </row>
    <row r="676" spans="1:18" ht="12.75" customHeight="1">
      <c r="A676" s="8"/>
      <c r="B676" s="8"/>
      <c r="C676" s="30"/>
      <c r="D676" s="8"/>
      <c r="E676" s="8"/>
      <c r="F676" s="8"/>
      <c r="G676" s="8"/>
      <c r="H676" s="8"/>
      <c r="I676" s="8"/>
      <c r="J676" s="8"/>
      <c r="K676" s="8"/>
      <c r="L676" s="8"/>
      <c r="M676" s="8"/>
      <c r="N676" s="8"/>
      <c r="O676" s="8"/>
      <c r="P676" s="8"/>
      <c r="Q676" s="8"/>
      <c r="R676" s="8"/>
    </row>
    <row r="677" spans="1:18" ht="12.75" customHeight="1">
      <c r="A677" s="8"/>
      <c r="B677" s="8"/>
      <c r="C677" s="30"/>
      <c r="D677" s="8"/>
      <c r="E677" s="8"/>
      <c r="F677" s="8"/>
      <c r="G677" s="8"/>
      <c r="H677" s="8"/>
      <c r="I677" s="8"/>
      <c r="J677" s="8"/>
      <c r="K677" s="8"/>
      <c r="L677" s="8"/>
      <c r="M677" s="8"/>
      <c r="N677" s="8"/>
      <c r="O677" s="8"/>
      <c r="P677" s="8"/>
      <c r="Q677" s="8"/>
      <c r="R677" s="8"/>
    </row>
    <row r="678" spans="1:18" ht="12.75" customHeight="1">
      <c r="A678" s="8"/>
      <c r="B678" s="8"/>
      <c r="C678" s="30"/>
      <c r="D678" s="8"/>
      <c r="E678" s="8"/>
      <c r="F678" s="8"/>
      <c r="G678" s="8"/>
      <c r="H678" s="8"/>
      <c r="I678" s="8"/>
      <c r="J678" s="8"/>
      <c r="K678" s="8"/>
      <c r="L678" s="8"/>
      <c r="M678" s="8"/>
      <c r="N678" s="8"/>
      <c r="O678" s="8"/>
      <c r="P678" s="8"/>
      <c r="Q678" s="8"/>
      <c r="R678" s="8"/>
    </row>
    <row r="679" spans="1:18" ht="12.75" customHeight="1">
      <c r="A679" s="8"/>
      <c r="B679" s="8"/>
      <c r="C679" s="30"/>
      <c r="D679" s="8"/>
      <c r="E679" s="8"/>
      <c r="F679" s="8"/>
      <c r="G679" s="8"/>
      <c r="H679" s="8"/>
      <c r="I679" s="8"/>
      <c r="J679" s="8"/>
      <c r="K679" s="8"/>
      <c r="L679" s="8"/>
      <c r="M679" s="8"/>
      <c r="N679" s="8"/>
      <c r="O679" s="8"/>
      <c r="P679" s="8"/>
      <c r="Q679" s="8"/>
      <c r="R679" s="8"/>
    </row>
    <row r="680" spans="1:18" ht="12.75" customHeight="1">
      <c r="A680" s="8"/>
      <c r="B680" s="8"/>
      <c r="C680" s="30"/>
      <c r="D680" s="8"/>
      <c r="E680" s="8"/>
      <c r="F680" s="8"/>
      <c r="G680" s="8"/>
      <c r="H680" s="8"/>
      <c r="I680" s="8"/>
      <c r="J680" s="8"/>
      <c r="K680" s="8"/>
      <c r="L680" s="8"/>
      <c r="M680" s="8"/>
      <c r="N680" s="8"/>
      <c r="O680" s="8"/>
      <c r="P680" s="8"/>
      <c r="Q680" s="8"/>
      <c r="R680" s="8"/>
    </row>
    <row r="681" spans="1:18" ht="12.75" customHeight="1">
      <c r="A681" s="8"/>
      <c r="B681" s="8"/>
      <c r="C681" s="30"/>
      <c r="D681" s="8"/>
      <c r="E681" s="8"/>
      <c r="F681" s="8"/>
      <c r="G681" s="8"/>
      <c r="H681" s="8"/>
      <c r="I681" s="8"/>
      <c r="J681" s="8"/>
      <c r="K681" s="8"/>
      <c r="L681" s="8"/>
      <c r="M681" s="8"/>
      <c r="N681" s="8"/>
      <c r="O681" s="8"/>
      <c r="P681" s="8"/>
      <c r="Q681" s="8"/>
      <c r="R681" s="8"/>
    </row>
    <row r="682" spans="1:18" ht="12.75" customHeight="1">
      <c r="A682" s="8"/>
      <c r="B682" s="8"/>
      <c r="C682" s="30"/>
      <c r="D682" s="8"/>
      <c r="E682" s="8"/>
      <c r="F682" s="8"/>
      <c r="G682" s="8"/>
      <c r="H682" s="8"/>
      <c r="I682" s="8"/>
      <c r="J682" s="8"/>
      <c r="K682" s="8"/>
      <c r="L682" s="8"/>
      <c r="M682" s="8"/>
      <c r="N682" s="8"/>
      <c r="O682" s="8"/>
      <c r="P682" s="8"/>
      <c r="Q682" s="8"/>
      <c r="R682" s="8"/>
    </row>
    <row r="683" spans="1:18" ht="12.75" customHeight="1">
      <c r="A683" s="8"/>
      <c r="B683" s="8"/>
      <c r="C683" s="30"/>
      <c r="D683" s="8"/>
      <c r="E683" s="8"/>
      <c r="F683" s="8"/>
      <c r="G683" s="8"/>
      <c r="H683" s="8"/>
      <c r="I683" s="8"/>
      <c r="J683" s="8"/>
      <c r="K683" s="8"/>
      <c r="L683" s="8"/>
      <c r="M683" s="8"/>
      <c r="N683" s="8"/>
      <c r="O683" s="8"/>
      <c r="P683" s="8"/>
      <c r="Q683" s="8"/>
      <c r="R683" s="8"/>
    </row>
    <row r="684" spans="1:18" ht="12.75" customHeight="1">
      <c r="A684" s="8"/>
      <c r="B684" s="8"/>
      <c r="C684" s="30"/>
      <c r="D684" s="8"/>
      <c r="E684" s="8"/>
      <c r="F684" s="8"/>
      <c r="G684" s="8"/>
      <c r="H684" s="8"/>
      <c r="I684" s="8"/>
      <c r="J684" s="8"/>
      <c r="K684" s="8"/>
      <c r="L684" s="8"/>
      <c r="M684" s="8"/>
      <c r="N684" s="8"/>
      <c r="O684" s="8"/>
      <c r="P684" s="8"/>
      <c r="Q684" s="8"/>
      <c r="R684" s="8"/>
    </row>
    <row r="685" spans="1:18" ht="12.75" customHeight="1">
      <c r="A685" s="8"/>
      <c r="B685" s="8"/>
      <c r="C685" s="30"/>
      <c r="D685" s="8"/>
      <c r="E685" s="8"/>
      <c r="F685" s="8"/>
      <c r="G685" s="8"/>
      <c r="H685" s="8"/>
      <c r="I685" s="8"/>
      <c r="J685" s="8"/>
      <c r="K685" s="8"/>
      <c r="L685" s="8"/>
      <c r="M685" s="8"/>
      <c r="N685" s="8"/>
      <c r="O685" s="8"/>
      <c r="P685" s="8"/>
      <c r="Q685" s="8"/>
      <c r="R685" s="8"/>
    </row>
    <row r="686" spans="1:18" ht="12.75" customHeight="1">
      <c r="A686" s="8"/>
      <c r="B686" s="8"/>
      <c r="C686" s="30"/>
      <c r="D686" s="8"/>
      <c r="E686" s="8"/>
      <c r="F686" s="8"/>
      <c r="G686" s="8"/>
      <c r="H686" s="8"/>
      <c r="I686" s="8"/>
      <c r="J686" s="8"/>
      <c r="K686" s="8"/>
      <c r="L686" s="8"/>
      <c r="M686" s="8"/>
      <c r="N686" s="8"/>
      <c r="O686" s="8"/>
      <c r="P686" s="8"/>
      <c r="Q686" s="8"/>
      <c r="R686" s="8"/>
    </row>
    <row r="687" spans="1:18" ht="12.75" customHeight="1">
      <c r="A687" s="8"/>
      <c r="B687" s="8"/>
      <c r="C687" s="30"/>
      <c r="D687" s="8"/>
      <c r="E687" s="8"/>
      <c r="F687" s="8"/>
      <c r="G687" s="8"/>
      <c r="H687" s="8"/>
      <c r="I687" s="8"/>
      <c r="J687" s="8"/>
      <c r="K687" s="8"/>
      <c r="L687" s="8"/>
      <c r="M687" s="8"/>
      <c r="N687" s="8"/>
      <c r="O687" s="8"/>
      <c r="P687" s="8"/>
      <c r="Q687" s="8"/>
      <c r="R687" s="8"/>
    </row>
    <row r="688" spans="1:18" ht="12.75" customHeight="1">
      <c r="A688" s="8"/>
      <c r="B688" s="8"/>
      <c r="C688" s="30"/>
      <c r="D688" s="8"/>
      <c r="E688" s="8"/>
      <c r="F688" s="8"/>
      <c r="G688" s="8"/>
      <c r="H688" s="8"/>
      <c r="I688" s="8"/>
      <c r="J688" s="8"/>
      <c r="K688" s="8"/>
      <c r="L688" s="8"/>
      <c r="M688" s="8"/>
      <c r="N688" s="8"/>
      <c r="O688" s="8"/>
      <c r="P688" s="8"/>
      <c r="Q688" s="8"/>
      <c r="R688" s="8"/>
    </row>
    <row r="689" spans="1:18" ht="12.75" customHeight="1">
      <c r="A689" s="8"/>
      <c r="B689" s="8"/>
      <c r="C689" s="30"/>
      <c r="D689" s="8"/>
      <c r="E689" s="8"/>
      <c r="F689" s="8"/>
      <c r="G689" s="8"/>
      <c r="H689" s="8"/>
      <c r="I689" s="8"/>
      <c r="J689" s="8"/>
      <c r="K689" s="8"/>
      <c r="L689" s="8"/>
      <c r="M689" s="8"/>
      <c r="N689" s="8"/>
      <c r="O689" s="8"/>
      <c r="P689" s="8"/>
      <c r="Q689" s="8"/>
      <c r="R689" s="8"/>
    </row>
    <row r="690" spans="1:18" ht="12.75" customHeight="1">
      <c r="A690" s="8"/>
      <c r="B690" s="8"/>
      <c r="C690" s="30"/>
      <c r="D690" s="8"/>
      <c r="E690" s="8"/>
      <c r="F690" s="8"/>
      <c r="G690" s="8"/>
      <c r="H690" s="8"/>
      <c r="I690" s="8"/>
      <c r="J690" s="8"/>
      <c r="K690" s="8"/>
      <c r="L690" s="8"/>
      <c r="M690" s="8"/>
      <c r="N690" s="8"/>
      <c r="O690" s="8"/>
      <c r="P690" s="8"/>
      <c r="Q690" s="8"/>
      <c r="R690" s="8"/>
    </row>
    <row r="691" spans="1:18" ht="12.75" customHeight="1">
      <c r="A691" s="8"/>
      <c r="B691" s="8"/>
      <c r="C691" s="30"/>
      <c r="D691" s="8"/>
      <c r="E691" s="8"/>
      <c r="F691" s="8"/>
      <c r="G691" s="8"/>
      <c r="H691" s="8"/>
      <c r="I691" s="8"/>
      <c r="J691" s="8"/>
      <c r="K691" s="8"/>
      <c r="L691" s="8"/>
      <c r="M691" s="8"/>
      <c r="N691" s="8"/>
      <c r="O691" s="8"/>
      <c r="P691" s="8"/>
      <c r="Q691" s="8"/>
      <c r="R691" s="8"/>
    </row>
    <row r="692" spans="1:18" ht="12.75" customHeight="1">
      <c r="A692" s="8"/>
      <c r="B692" s="8"/>
      <c r="C692" s="30"/>
      <c r="D692" s="8"/>
      <c r="E692" s="8"/>
      <c r="F692" s="8"/>
      <c r="G692" s="8"/>
      <c r="H692" s="8"/>
      <c r="I692" s="8"/>
      <c r="J692" s="8"/>
      <c r="K692" s="8"/>
      <c r="L692" s="8"/>
      <c r="M692" s="8"/>
      <c r="N692" s="8"/>
      <c r="O692" s="8"/>
      <c r="P692" s="8"/>
      <c r="Q692" s="8"/>
      <c r="R692" s="8"/>
    </row>
    <row r="693" spans="1:18" ht="12.75" customHeight="1">
      <c r="A693" s="8"/>
      <c r="B693" s="8"/>
      <c r="C693" s="30"/>
      <c r="D693" s="8"/>
      <c r="E693" s="8"/>
      <c r="F693" s="8"/>
      <c r="G693" s="8"/>
      <c r="H693" s="8"/>
      <c r="I693" s="8"/>
      <c r="J693" s="8"/>
      <c r="K693" s="8"/>
      <c r="L693" s="8"/>
      <c r="M693" s="8"/>
      <c r="N693" s="8"/>
      <c r="O693" s="8"/>
      <c r="P693" s="8"/>
      <c r="Q693" s="8"/>
      <c r="R693" s="8"/>
    </row>
    <row r="694" spans="1:18" ht="12.75" customHeight="1">
      <c r="A694" s="8"/>
      <c r="B694" s="8"/>
      <c r="C694" s="30"/>
      <c r="D694" s="8"/>
      <c r="E694" s="8"/>
      <c r="F694" s="8"/>
      <c r="G694" s="8"/>
      <c r="H694" s="8"/>
      <c r="I694" s="8"/>
      <c r="J694" s="8"/>
      <c r="K694" s="8"/>
      <c r="L694" s="8"/>
      <c r="M694" s="8"/>
      <c r="N694" s="8"/>
      <c r="O694" s="8"/>
      <c r="P694" s="8"/>
      <c r="Q694" s="8"/>
      <c r="R694" s="8"/>
    </row>
    <row r="695" spans="1:18" ht="12.75" customHeight="1">
      <c r="A695" s="8"/>
      <c r="B695" s="8"/>
      <c r="C695" s="30"/>
      <c r="D695" s="8"/>
      <c r="E695" s="8"/>
      <c r="F695" s="8"/>
      <c r="G695" s="8"/>
      <c r="H695" s="8"/>
      <c r="I695" s="8"/>
      <c r="J695" s="8"/>
      <c r="K695" s="8"/>
      <c r="L695" s="8"/>
      <c r="M695" s="8"/>
      <c r="N695" s="8"/>
      <c r="O695" s="8"/>
      <c r="P695" s="8"/>
      <c r="Q695" s="8"/>
      <c r="R695" s="8"/>
    </row>
    <row r="696" spans="1:18" ht="12.75" customHeight="1">
      <c r="A696" s="8"/>
      <c r="B696" s="8"/>
      <c r="C696" s="30"/>
      <c r="D696" s="8"/>
      <c r="E696" s="8"/>
      <c r="F696" s="8"/>
      <c r="G696" s="8"/>
      <c r="H696" s="8"/>
      <c r="I696" s="8"/>
      <c r="J696" s="8"/>
      <c r="K696" s="8"/>
      <c r="L696" s="8"/>
      <c r="M696" s="8"/>
      <c r="N696" s="8"/>
      <c r="O696" s="8"/>
      <c r="P696" s="8"/>
      <c r="Q696" s="8"/>
      <c r="R696" s="8"/>
    </row>
    <row r="697" spans="1:18" ht="12.75" customHeight="1">
      <c r="A697" s="8"/>
      <c r="B697" s="8"/>
      <c r="C697" s="30"/>
      <c r="D697" s="8"/>
      <c r="E697" s="8"/>
      <c r="F697" s="8"/>
      <c r="G697" s="8"/>
      <c r="H697" s="8"/>
      <c r="I697" s="8"/>
      <c r="J697" s="8"/>
      <c r="K697" s="8"/>
      <c r="L697" s="8"/>
      <c r="M697" s="8"/>
      <c r="N697" s="8"/>
      <c r="O697" s="8"/>
      <c r="P697" s="8"/>
      <c r="Q697" s="8"/>
      <c r="R697" s="8"/>
    </row>
    <row r="698" spans="1:18" ht="12.75" customHeight="1">
      <c r="A698" s="8"/>
      <c r="B698" s="8"/>
      <c r="C698" s="30"/>
      <c r="D698" s="8"/>
      <c r="E698" s="8"/>
      <c r="F698" s="8"/>
      <c r="G698" s="8"/>
      <c r="H698" s="8"/>
      <c r="I698" s="8"/>
      <c r="J698" s="8"/>
      <c r="K698" s="8"/>
      <c r="L698" s="8"/>
      <c r="M698" s="8"/>
      <c r="N698" s="8"/>
      <c r="O698" s="8"/>
      <c r="P698" s="8"/>
      <c r="Q698" s="8"/>
      <c r="R698" s="8"/>
    </row>
    <row r="699" spans="1:18" ht="12.75" customHeight="1">
      <c r="A699" s="8"/>
      <c r="B699" s="8"/>
      <c r="C699" s="30"/>
      <c r="D699" s="8"/>
      <c r="E699" s="8"/>
      <c r="F699" s="8"/>
      <c r="G699" s="8"/>
      <c r="H699" s="8"/>
      <c r="I699" s="8"/>
      <c r="J699" s="8"/>
      <c r="K699" s="8"/>
      <c r="L699" s="8"/>
      <c r="M699" s="8"/>
      <c r="N699" s="8"/>
      <c r="O699" s="8"/>
      <c r="P699" s="8"/>
      <c r="Q699" s="8"/>
      <c r="R699" s="8"/>
    </row>
    <row r="700" spans="1:18" ht="12.75" customHeight="1">
      <c r="A700" s="8"/>
      <c r="B700" s="8"/>
      <c r="C700" s="30"/>
      <c r="D700" s="8"/>
      <c r="E700" s="8"/>
      <c r="F700" s="8"/>
      <c r="G700" s="8"/>
      <c r="H700" s="8"/>
      <c r="I700" s="8"/>
      <c r="J700" s="8"/>
      <c r="K700" s="8"/>
      <c r="L700" s="8"/>
      <c r="M700" s="8"/>
      <c r="N700" s="8"/>
      <c r="O700" s="8"/>
      <c r="P700" s="8"/>
      <c r="Q700" s="8"/>
      <c r="R700" s="8"/>
    </row>
    <row r="701" spans="1:18" ht="12.75" customHeight="1">
      <c r="A701" s="8"/>
      <c r="B701" s="8"/>
      <c r="C701" s="30"/>
      <c r="D701" s="8"/>
      <c r="E701" s="8"/>
      <c r="F701" s="8"/>
      <c r="G701" s="8"/>
      <c r="H701" s="8"/>
      <c r="I701" s="8"/>
      <c r="J701" s="8"/>
      <c r="K701" s="8"/>
      <c r="L701" s="8"/>
      <c r="M701" s="8"/>
      <c r="N701" s="8"/>
      <c r="O701" s="8"/>
      <c r="P701" s="8"/>
      <c r="Q701" s="8"/>
      <c r="R701" s="8"/>
    </row>
    <row r="702" spans="1:18" ht="12.75" customHeight="1">
      <c r="A702" s="8"/>
      <c r="B702" s="8"/>
      <c r="C702" s="30"/>
      <c r="D702" s="8"/>
      <c r="E702" s="8"/>
      <c r="F702" s="8"/>
      <c r="G702" s="8"/>
      <c r="H702" s="8"/>
      <c r="I702" s="8"/>
      <c r="J702" s="8"/>
      <c r="K702" s="8"/>
      <c r="L702" s="8"/>
      <c r="M702" s="8"/>
      <c r="N702" s="8"/>
      <c r="O702" s="8"/>
      <c r="P702" s="8"/>
      <c r="Q702" s="8"/>
      <c r="R702" s="8"/>
    </row>
    <row r="703" spans="1:18" ht="12.75" customHeight="1">
      <c r="A703" s="8"/>
      <c r="B703" s="8"/>
      <c r="C703" s="30"/>
      <c r="D703" s="8"/>
      <c r="E703" s="8"/>
      <c r="F703" s="8"/>
      <c r="G703" s="8"/>
      <c r="H703" s="8"/>
      <c r="I703" s="8"/>
      <c r="J703" s="8"/>
      <c r="K703" s="8"/>
      <c r="L703" s="8"/>
      <c r="M703" s="8"/>
      <c r="N703" s="8"/>
      <c r="O703" s="8"/>
      <c r="P703" s="8"/>
      <c r="Q703" s="8"/>
      <c r="R703" s="8"/>
    </row>
    <row r="704" spans="1:18" ht="12.75" customHeight="1">
      <c r="A704" s="8"/>
      <c r="B704" s="8"/>
      <c r="C704" s="30"/>
      <c r="D704" s="8"/>
      <c r="E704" s="8"/>
      <c r="F704" s="8"/>
      <c r="G704" s="8"/>
      <c r="H704" s="8"/>
      <c r="I704" s="8"/>
      <c r="J704" s="8"/>
      <c r="K704" s="8"/>
      <c r="L704" s="8"/>
      <c r="M704" s="8"/>
      <c r="N704" s="8"/>
      <c r="O704" s="8"/>
      <c r="P704" s="8"/>
      <c r="Q704" s="8"/>
      <c r="R704" s="8"/>
    </row>
    <row r="705" spans="1:18" ht="12.75" customHeight="1">
      <c r="A705" s="8"/>
      <c r="B705" s="8"/>
      <c r="C705" s="30"/>
      <c r="D705" s="8"/>
      <c r="E705" s="8"/>
      <c r="F705" s="8"/>
      <c r="G705" s="8"/>
      <c r="H705" s="8"/>
      <c r="I705" s="8"/>
      <c r="J705" s="8"/>
      <c r="K705" s="8"/>
      <c r="L705" s="8"/>
      <c r="M705" s="8"/>
      <c r="N705" s="8"/>
      <c r="O705" s="8"/>
      <c r="P705" s="8"/>
      <c r="Q705" s="8"/>
      <c r="R705" s="8"/>
    </row>
    <row r="706" spans="1:18" ht="12.75" customHeight="1">
      <c r="A706" s="8"/>
      <c r="B706" s="8"/>
      <c r="C706" s="30"/>
      <c r="D706" s="8"/>
      <c r="E706" s="8"/>
      <c r="F706" s="8"/>
      <c r="G706" s="8"/>
      <c r="H706" s="8"/>
      <c r="I706" s="8"/>
      <c r="J706" s="8"/>
      <c r="K706" s="8"/>
      <c r="L706" s="8"/>
      <c r="M706" s="8"/>
      <c r="N706" s="8"/>
      <c r="O706" s="8"/>
      <c r="P706" s="8"/>
      <c r="Q706" s="8"/>
      <c r="R706" s="8"/>
    </row>
    <row r="707" spans="1:18" ht="12.75" customHeight="1">
      <c r="A707" s="8"/>
      <c r="B707" s="8"/>
      <c r="C707" s="30"/>
      <c r="D707" s="8"/>
      <c r="E707" s="8"/>
      <c r="F707" s="8"/>
      <c r="G707" s="8"/>
      <c r="H707" s="8"/>
      <c r="I707" s="8"/>
      <c r="J707" s="8"/>
      <c r="K707" s="8"/>
      <c r="L707" s="8"/>
      <c r="M707" s="8"/>
      <c r="N707" s="8"/>
      <c r="O707" s="8"/>
      <c r="P707" s="8"/>
      <c r="Q707" s="8"/>
      <c r="R707" s="8"/>
    </row>
    <row r="708" spans="1:18" ht="12.75" customHeight="1">
      <c r="A708" s="8"/>
      <c r="B708" s="8"/>
      <c r="C708" s="30"/>
      <c r="D708" s="8"/>
      <c r="E708" s="8"/>
      <c r="F708" s="8"/>
      <c r="G708" s="8"/>
      <c r="H708" s="8"/>
      <c r="I708" s="8"/>
      <c r="J708" s="8"/>
      <c r="K708" s="8"/>
      <c r="L708" s="8"/>
      <c r="M708" s="8"/>
      <c r="N708" s="8"/>
      <c r="O708" s="8"/>
      <c r="P708" s="8"/>
      <c r="Q708" s="8"/>
      <c r="R708" s="8"/>
    </row>
    <row r="709" spans="1:18" ht="12.75" customHeight="1">
      <c r="A709" s="8"/>
      <c r="B709" s="8"/>
      <c r="C709" s="30"/>
      <c r="D709" s="8"/>
      <c r="E709" s="8"/>
      <c r="F709" s="8"/>
      <c r="G709" s="8"/>
      <c r="H709" s="8"/>
      <c r="I709" s="8"/>
      <c r="J709" s="8"/>
      <c r="K709" s="8"/>
      <c r="L709" s="8"/>
      <c r="M709" s="8"/>
      <c r="N709" s="8"/>
      <c r="O709" s="8"/>
      <c r="P709" s="8"/>
      <c r="Q709" s="8"/>
      <c r="R709" s="8"/>
    </row>
    <row r="710" spans="1:18" ht="12.75" customHeight="1">
      <c r="A710" s="8"/>
      <c r="B710" s="8"/>
      <c r="C710" s="30"/>
      <c r="D710" s="8"/>
      <c r="E710" s="8"/>
      <c r="F710" s="8"/>
      <c r="G710" s="8"/>
      <c r="H710" s="8"/>
      <c r="I710" s="8"/>
      <c r="J710" s="8"/>
      <c r="K710" s="8"/>
      <c r="L710" s="8"/>
      <c r="M710" s="8"/>
      <c r="N710" s="8"/>
      <c r="O710" s="8"/>
      <c r="P710" s="8"/>
      <c r="Q710" s="8"/>
      <c r="R710" s="8"/>
    </row>
    <row r="711" spans="1:18" ht="12.75" customHeight="1">
      <c r="A711" s="8"/>
      <c r="B711" s="8"/>
      <c r="C711" s="30"/>
      <c r="D711" s="8"/>
      <c r="E711" s="8"/>
      <c r="F711" s="8"/>
      <c r="G711" s="8"/>
      <c r="H711" s="8"/>
      <c r="I711" s="8"/>
      <c r="J711" s="8"/>
      <c r="K711" s="8"/>
      <c r="L711" s="8"/>
      <c r="M711" s="8"/>
      <c r="N711" s="8"/>
      <c r="O711" s="8"/>
      <c r="P711" s="8"/>
      <c r="Q711" s="8"/>
      <c r="R711" s="8"/>
    </row>
    <row r="712" spans="1:18" ht="12.75" customHeight="1">
      <c r="A712" s="8"/>
      <c r="B712" s="8"/>
      <c r="C712" s="30"/>
      <c r="D712" s="8"/>
      <c r="E712" s="8"/>
      <c r="F712" s="8"/>
      <c r="G712" s="8"/>
      <c r="H712" s="8"/>
      <c r="I712" s="8"/>
      <c r="J712" s="8"/>
      <c r="K712" s="8"/>
      <c r="L712" s="8"/>
      <c r="M712" s="8"/>
      <c r="N712" s="8"/>
      <c r="O712" s="8"/>
      <c r="P712" s="8"/>
      <c r="Q712" s="8"/>
      <c r="R712" s="8"/>
    </row>
    <row r="713" spans="1:18" ht="12.75" customHeight="1">
      <c r="A713" s="8"/>
      <c r="B713" s="8"/>
      <c r="C713" s="30"/>
      <c r="D713" s="8"/>
      <c r="E713" s="8"/>
      <c r="F713" s="8"/>
      <c r="G713" s="8"/>
      <c r="H713" s="8"/>
      <c r="I713" s="8"/>
      <c r="J713" s="8"/>
      <c r="K713" s="8"/>
      <c r="L713" s="8"/>
      <c r="M713" s="8"/>
      <c r="N713" s="8"/>
      <c r="O713" s="8"/>
      <c r="P713" s="8"/>
      <c r="Q713" s="8"/>
      <c r="R713" s="8"/>
    </row>
    <row r="714" spans="1:18" ht="12.75" customHeight="1">
      <c r="A714" s="8"/>
      <c r="B714" s="8"/>
      <c r="C714" s="30"/>
      <c r="D714" s="8"/>
      <c r="E714" s="8"/>
      <c r="F714" s="8"/>
      <c r="G714" s="8"/>
      <c r="H714" s="8"/>
      <c r="I714" s="8"/>
      <c r="J714" s="8"/>
      <c r="K714" s="8"/>
      <c r="L714" s="8"/>
      <c r="M714" s="8"/>
      <c r="N714" s="8"/>
      <c r="O714" s="8"/>
      <c r="P714" s="8"/>
      <c r="Q714" s="8"/>
      <c r="R714" s="8"/>
    </row>
    <row r="715" spans="1:18" ht="12.75" customHeight="1">
      <c r="A715" s="8"/>
      <c r="B715" s="8"/>
      <c r="C715" s="30"/>
      <c r="D715" s="8"/>
      <c r="E715" s="8"/>
      <c r="F715" s="8"/>
      <c r="G715" s="8"/>
      <c r="H715" s="8"/>
      <c r="I715" s="8"/>
      <c r="J715" s="8"/>
      <c r="K715" s="8"/>
      <c r="L715" s="8"/>
      <c r="M715" s="8"/>
      <c r="N715" s="8"/>
      <c r="O715" s="8"/>
      <c r="P715" s="8"/>
      <c r="Q715" s="8"/>
      <c r="R715" s="8"/>
    </row>
    <row r="716" spans="1:18" ht="12.75" customHeight="1">
      <c r="A716" s="8"/>
      <c r="B716" s="8"/>
      <c r="C716" s="30"/>
      <c r="D716" s="8"/>
      <c r="E716" s="8"/>
      <c r="F716" s="8"/>
      <c r="G716" s="8"/>
      <c r="H716" s="8"/>
      <c r="I716" s="8"/>
      <c r="J716" s="8"/>
      <c r="K716" s="8"/>
      <c r="L716" s="8"/>
      <c r="M716" s="8"/>
      <c r="N716" s="8"/>
      <c r="O716" s="8"/>
      <c r="P716" s="8"/>
      <c r="Q716" s="8"/>
      <c r="R716" s="8"/>
    </row>
    <row r="717" spans="1:18" ht="12.75" customHeight="1">
      <c r="A717" s="8"/>
      <c r="B717" s="8"/>
      <c r="C717" s="30"/>
      <c r="D717" s="8"/>
      <c r="E717" s="8"/>
      <c r="F717" s="8"/>
      <c r="G717" s="8"/>
      <c r="H717" s="8"/>
      <c r="I717" s="8"/>
      <c r="J717" s="8"/>
      <c r="K717" s="8"/>
      <c r="L717" s="8"/>
      <c r="M717" s="8"/>
      <c r="N717" s="8"/>
      <c r="O717" s="8"/>
      <c r="P717" s="8"/>
      <c r="Q717" s="8"/>
      <c r="R717" s="8"/>
    </row>
    <row r="718" spans="1:18" ht="12.75" customHeight="1">
      <c r="A718" s="8"/>
      <c r="B718" s="8"/>
      <c r="C718" s="30"/>
      <c r="D718" s="8"/>
      <c r="E718" s="8"/>
      <c r="F718" s="8"/>
      <c r="G718" s="8"/>
      <c r="H718" s="8"/>
      <c r="I718" s="8"/>
      <c r="J718" s="8"/>
      <c r="K718" s="8"/>
      <c r="L718" s="8"/>
      <c r="M718" s="8"/>
      <c r="N718" s="8"/>
      <c r="O718" s="8"/>
      <c r="P718" s="8"/>
      <c r="Q718" s="8"/>
      <c r="R718" s="8"/>
    </row>
    <row r="719" spans="1:18" ht="12.75" customHeight="1">
      <c r="A719" s="8"/>
      <c r="B719" s="8"/>
      <c r="C719" s="30"/>
      <c r="D719" s="8"/>
      <c r="E719" s="8"/>
      <c r="F719" s="8"/>
      <c r="G719" s="8"/>
      <c r="H719" s="8"/>
      <c r="I719" s="8"/>
      <c r="J719" s="8"/>
      <c r="K719" s="8"/>
      <c r="L719" s="8"/>
      <c r="M719" s="8"/>
      <c r="N719" s="8"/>
      <c r="O719" s="8"/>
      <c r="P719" s="8"/>
      <c r="Q719" s="8"/>
      <c r="R719" s="8"/>
    </row>
    <row r="720" spans="1:18" ht="12.75" customHeight="1">
      <c r="A720" s="8"/>
      <c r="B720" s="8"/>
      <c r="C720" s="30"/>
      <c r="D720" s="8"/>
      <c r="E720" s="8"/>
      <c r="F720" s="8"/>
      <c r="G720" s="8"/>
      <c r="H720" s="8"/>
      <c r="I720" s="8"/>
      <c r="J720" s="8"/>
      <c r="K720" s="8"/>
      <c r="L720" s="8"/>
      <c r="M720" s="8"/>
      <c r="N720" s="8"/>
      <c r="O720" s="8"/>
      <c r="P720" s="8"/>
      <c r="Q720" s="8"/>
      <c r="R720" s="8"/>
    </row>
    <row r="721" spans="1:18" ht="12.75" customHeight="1">
      <c r="A721" s="8"/>
      <c r="B721" s="8"/>
      <c r="C721" s="30"/>
      <c r="D721" s="8"/>
      <c r="E721" s="8"/>
      <c r="F721" s="8"/>
      <c r="G721" s="8"/>
      <c r="H721" s="8"/>
      <c r="I721" s="8"/>
      <c r="J721" s="8"/>
      <c r="K721" s="8"/>
      <c r="L721" s="8"/>
      <c r="M721" s="8"/>
      <c r="N721" s="8"/>
      <c r="O721" s="8"/>
      <c r="P721" s="8"/>
      <c r="Q721" s="8"/>
      <c r="R721" s="8"/>
    </row>
    <row r="722" spans="1:18" ht="12.75" customHeight="1">
      <c r="A722" s="8"/>
      <c r="B722" s="8"/>
      <c r="C722" s="30"/>
      <c r="D722" s="8"/>
      <c r="E722" s="8"/>
      <c r="F722" s="8"/>
      <c r="G722" s="8"/>
      <c r="H722" s="8"/>
      <c r="I722" s="8"/>
      <c r="J722" s="8"/>
      <c r="K722" s="8"/>
      <c r="L722" s="8"/>
      <c r="M722" s="8"/>
      <c r="N722" s="8"/>
      <c r="O722" s="8"/>
      <c r="P722" s="8"/>
      <c r="Q722" s="8"/>
      <c r="R722" s="8"/>
    </row>
    <row r="723" spans="1:18" ht="12.75" customHeight="1">
      <c r="A723" s="8"/>
      <c r="B723" s="8"/>
      <c r="C723" s="30"/>
      <c r="D723" s="8"/>
      <c r="E723" s="8"/>
      <c r="F723" s="8"/>
      <c r="G723" s="8"/>
      <c r="H723" s="8"/>
      <c r="I723" s="8"/>
      <c r="J723" s="8"/>
      <c r="K723" s="8"/>
      <c r="L723" s="8"/>
      <c r="M723" s="8"/>
      <c r="N723" s="8"/>
      <c r="O723" s="8"/>
      <c r="P723" s="8"/>
      <c r="Q723" s="8"/>
      <c r="R723" s="8"/>
    </row>
    <row r="724" spans="1:18" ht="12.75" customHeight="1">
      <c r="A724" s="8"/>
      <c r="B724" s="8"/>
      <c r="C724" s="30"/>
      <c r="D724" s="8"/>
      <c r="E724" s="8"/>
      <c r="F724" s="8"/>
      <c r="G724" s="8"/>
      <c r="H724" s="8"/>
      <c r="I724" s="8"/>
      <c r="J724" s="8"/>
      <c r="K724" s="8"/>
      <c r="L724" s="8"/>
      <c r="M724" s="8"/>
      <c r="N724" s="8"/>
      <c r="O724" s="8"/>
      <c r="P724" s="8"/>
      <c r="Q724" s="8"/>
      <c r="R724" s="8"/>
    </row>
    <row r="725" spans="1:18" ht="12.75" customHeight="1">
      <c r="A725" s="8"/>
      <c r="B725" s="8"/>
      <c r="C725" s="30"/>
      <c r="D725" s="8"/>
      <c r="E725" s="8"/>
      <c r="F725" s="8"/>
      <c r="G725" s="8"/>
      <c r="H725" s="8"/>
      <c r="I725" s="8"/>
      <c r="J725" s="8"/>
      <c r="K725" s="8"/>
      <c r="L725" s="8"/>
      <c r="M725" s="8"/>
      <c r="N725" s="8"/>
      <c r="O725" s="8"/>
      <c r="P725" s="8"/>
      <c r="Q725" s="8"/>
      <c r="R725" s="8"/>
    </row>
    <row r="726" spans="1:18" ht="12.75" customHeight="1">
      <c r="A726" s="8"/>
      <c r="B726" s="8"/>
      <c r="C726" s="30"/>
      <c r="D726" s="8"/>
      <c r="E726" s="8"/>
      <c r="F726" s="8"/>
      <c r="G726" s="8"/>
      <c r="H726" s="8"/>
      <c r="I726" s="8"/>
      <c r="J726" s="8"/>
      <c r="K726" s="8"/>
      <c r="L726" s="8"/>
      <c r="M726" s="8"/>
      <c r="N726" s="8"/>
      <c r="O726" s="8"/>
      <c r="P726" s="8"/>
      <c r="Q726" s="8"/>
      <c r="R726" s="8"/>
    </row>
    <row r="727" spans="1:18" ht="12.75" customHeight="1">
      <c r="A727" s="8"/>
      <c r="B727" s="8"/>
      <c r="C727" s="30"/>
      <c r="D727" s="8"/>
      <c r="E727" s="8"/>
      <c r="F727" s="8"/>
      <c r="G727" s="8"/>
      <c r="H727" s="8"/>
      <c r="I727" s="8"/>
      <c r="J727" s="8"/>
      <c r="K727" s="8"/>
      <c r="L727" s="8"/>
      <c r="M727" s="8"/>
      <c r="N727" s="8"/>
      <c r="O727" s="8"/>
      <c r="P727" s="8"/>
      <c r="Q727" s="8"/>
      <c r="R727" s="8"/>
    </row>
    <row r="728" spans="1:18" ht="12.75" customHeight="1">
      <c r="A728" s="8"/>
      <c r="B728" s="8"/>
      <c r="C728" s="30"/>
      <c r="D728" s="8"/>
      <c r="E728" s="8"/>
      <c r="F728" s="8"/>
      <c r="G728" s="8"/>
      <c r="H728" s="8"/>
      <c r="I728" s="8"/>
      <c r="J728" s="8"/>
      <c r="K728" s="8"/>
      <c r="L728" s="8"/>
      <c r="M728" s="8"/>
      <c r="N728" s="8"/>
      <c r="O728" s="8"/>
      <c r="P728" s="8"/>
      <c r="Q728" s="8"/>
      <c r="R728" s="8"/>
    </row>
    <row r="729" spans="1:18" ht="12.75" customHeight="1">
      <c r="A729" s="8"/>
      <c r="B729" s="8"/>
      <c r="C729" s="30"/>
      <c r="D729" s="8"/>
      <c r="E729" s="8"/>
      <c r="F729" s="8"/>
      <c r="G729" s="8"/>
      <c r="H729" s="8"/>
      <c r="I729" s="8"/>
      <c r="J729" s="8"/>
      <c r="K729" s="8"/>
      <c r="L729" s="8"/>
      <c r="M729" s="8"/>
      <c r="N729" s="8"/>
      <c r="O729" s="8"/>
      <c r="P729" s="8"/>
      <c r="Q729" s="8"/>
      <c r="R729" s="8"/>
    </row>
    <row r="730" spans="1:18" ht="12.75" customHeight="1">
      <c r="A730" s="8"/>
      <c r="B730" s="8"/>
      <c r="C730" s="30"/>
      <c r="D730" s="8"/>
      <c r="E730" s="8"/>
      <c r="F730" s="8"/>
      <c r="G730" s="8"/>
      <c r="H730" s="8"/>
      <c r="I730" s="8"/>
      <c r="J730" s="8"/>
      <c r="K730" s="8"/>
      <c r="L730" s="8"/>
      <c r="M730" s="8"/>
      <c r="N730" s="8"/>
      <c r="O730" s="8"/>
      <c r="P730" s="8"/>
      <c r="Q730" s="8"/>
      <c r="R730" s="8"/>
    </row>
    <row r="731" spans="1:18" ht="12.75" customHeight="1">
      <c r="A731" s="8"/>
      <c r="B731" s="8"/>
      <c r="C731" s="30"/>
      <c r="D731" s="8"/>
      <c r="E731" s="8"/>
      <c r="F731" s="8"/>
      <c r="G731" s="8"/>
      <c r="H731" s="8"/>
      <c r="I731" s="8"/>
      <c r="J731" s="8"/>
      <c r="K731" s="8"/>
      <c r="L731" s="8"/>
      <c r="M731" s="8"/>
      <c r="N731" s="8"/>
      <c r="O731" s="8"/>
      <c r="P731" s="8"/>
      <c r="Q731" s="8"/>
      <c r="R731" s="8"/>
    </row>
    <row r="732" spans="1:18" ht="12.75" customHeight="1">
      <c r="A732" s="8"/>
      <c r="B732" s="8"/>
      <c r="C732" s="30"/>
      <c r="D732" s="8"/>
      <c r="E732" s="8"/>
      <c r="F732" s="8"/>
      <c r="G732" s="8"/>
      <c r="H732" s="8"/>
      <c r="I732" s="8"/>
      <c r="J732" s="8"/>
      <c r="K732" s="8"/>
      <c r="L732" s="8"/>
      <c r="M732" s="8"/>
      <c r="N732" s="8"/>
      <c r="O732" s="8"/>
      <c r="P732" s="8"/>
      <c r="Q732" s="8"/>
      <c r="R732" s="8"/>
    </row>
    <row r="733" spans="1:18" ht="12.75" customHeight="1">
      <c r="A733" s="8"/>
      <c r="B733" s="8"/>
      <c r="C733" s="30"/>
      <c r="D733" s="8"/>
      <c r="E733" s="8"/>
      <c r="F733" s="8"/>
      <c r="G733" s="8"/>
      <c r="H733" s="8"/>
      <c r="I733" s="8"/>
      <c r="J733" s="8"/>
      <c r="K733" s="8"/>
      <c r="L733" s="8"/>
      <c r="M733" s="8"/>
      <c r="N733" s="8"/>
      <c r="O733" s="8"/>
      <c r="P733" s="8"/>
      <c r="Q733" s="8"/>
      <c r="R733" s="8"/>
    </row>
    <row r="734" spans="1:18" ht="12.75" customHeight="1">
      <c r="A734" s="8"/>
      <c r="B734" s="8"/>
      <c r="C734" s="30"/>
      <c r="D734" s="8"/>
      <c r="E734" s="8"/>
      <c r="F734" s="8"/>
      <c r="G734" s="8"/>
      <c r="H734" s="8"/>
      <c r="I734" s="8"/>
      <c r="J734" s="8"/>
      <c r="K734" s="8"/>
      <c r="L734" s="8"/>
      <c r="M734" s="8"/>
      <c r="N734" s="8"/>
      <c r="O734" s="8"/>
      <c r="P734" s="8"/>
      <c r="Q734" s="8"/>
      <c r="R734" s="8"/>
    </row>
    <row r="735" spans="1:18" ht="12.75" customHeight="1">
      <c r="A735" s="8"/>
      <c r="B735" s="8"/>
      <c r="C735" s="30"/>
      <c r="D735" s="8"/>
      <c r="E735" s="8"/>
      <c r="F735" s="8"/>
      <c r="G735" s="8"/>
      <c r="H735" s="8"/>
      <c r="I735" s="8"/>
      <c r="J735" s="8"/>
      <c r="K735" s="8"/>
      <c r="L735" s="8"/>
      <c r="M735" s="8"/>
      <c r="N735" s="8"/>
      <c r="O735" s="8"/>
      <c r="P735" s="8"/>
      <c r="Q735" s="8"/>
      <c r="R735" s="8"/>
    </row>
    <row r="736" spans="1:18" ht="12.75" customHeight="1">
      <c r="A736" s="8"/>
      <c r="B736" s="8"/>
      <c r="C736" s="30"/>
      <c r="D736" s="8"/>
      <c r="E736" s="8"/>
      <c r="F736" s="8"/>
      <c r="G736" s="8"/>
      <c r="H736" s="8"/>
      <c r="I736" s="8"/>
      <c r="J736" s="8"/>
      <c r="K736" s="8"/>
      <c r="L736" s="8"/>
      <c r="M736" s="8"/>
      <c r="N736" s="8"/>
      <c r="O736" s="8"/>
      <c r="P736" s="8"/>
      <c r="Q736" s="8"/>
      <c r="R736" s="8"/>
    </row>
    <row r="737" spans="1:18" ht="12.75" customHeight="1">
      <c r="A737" s="8"/>
      <c r="B737" s="8"/>
      <c r="C737" s="30"/>
      <c r="D737" s="8"/>
      <c r="E737" s="8"/>
      <c r="F737" s="8"/>
      <c r="G737" s="8"/>
      <c r="H737" s="8"/>
      <c r="I737" s="8"/>
      <c r="J737" s="8"/>
      <c r="K737" s="8"/>
      <c r="L737" s="8"/>
      <c r="M737" s="8"/>
      <c r="N737" s="8"/>
      <c r="O737" s="8"/>
      <c r="P737" s="8"/>
      <c r="Q737" s="8"/>
      <c r="R737" s="8"/>
    </row>
    <row r="738" spans="1:18" ht="12.75" customHeight="1">
      <c r="A738" s="8"/>
      <c r="B738" s="8"/>
      <c r="C738" s="30"/>
      <c r="D738" s="8"/>
      <c r="E738" s="8"/>
      <c r="F738" s="8"/>
      <c r="G738" s="8"/>
      <c r="H738" s="8"/>
      <c r="I738" s="8"/>
      <c r="J738" s="8"/>
      <c r="K738" s="8"/>
      <c r="L738" s="8"/>
      <c r="M738" s="8"/>
      <c r="N738" s="8"/>
      <c r="O738" s="8"/>
      <c r="P738" s="8"/>
      <c r="Q738" s="8"/>
      <c r="R738" s="8"/>
    </row>
    <row r="739" spans="1:18" ht="12.75" customHeight="1">
      <c r="A739" s="8"/>
      <c r="B739" s="8"/>
      <c r="C739" s="30"/>
      <c r="D739" s="8"/>
      <c r="E739" s="8"/>
      <c r="F739" s="8"/>
      <c r="G739" s="8"/>
      <c r="H739" s="8"/>
      <c r="I739" s="8"/>
      <c r="J739" s="8"/>
      <c r="K739" s="8"/>
      <c r="L739" s="8"/>
      <c r="M739" s="8"/>
      <c r="N739" s="8"/>
      <c r="O739" s="8"/>
      <c r="P739" s="8"/>
      <c r="Q739" s="8"/>
      <c r="R739" s="8"/>
    </row>
    <row r="740" spans="1:18" ht="12.75" customHeight="1">
      <c r="A740" s="8"/>
      <c r="B740" s="8"/>
      <c r="C740" s="30"/>
      <c r="D740" s="8"/>
      <c r="E740" s="8"/>
      <c r="F740" s="8"/>
      <c r="G740" s="8"/>
      <c r="H740" s="8"/>
      <c r="I740" s="8"/>
      <c r="J740" s="8"/>
      <c r="K740" s="8"/>
      <c r="L740" s="8"/>
      <c r="M740" s="8"/>
      <c r="N740" s="8"/>
      <c r="O740" s="8"/>
      <c r="P740" s="8"/>
      <c r="Q740" s="8"/>
      <c r="R740" s="8"/>
    </row>
    <row r="741" spans="1:18" ht="12.75" customHeight="1">
      <c r="A741" s="8"/>
      <c r="B741" s="8"/>
      <c r="C741" s="30"/>
      <c r="D741" s="8"/>
      <c r="E741" s="8"/>
      <c r="F741" s="8"/>
      <c r="G741" s="8"/>
      <c r="H741" s="8"/>
      <c r="I741" s="8"/>
      <c r="J741" s="8"/>
      <c r="K741" s="8"/>
      <c r="L741" s="8"/>
      <c r="M741" s="8"/>
      <c r="N741" s="8"/>
      <c r="O741" s="8"/>
      <c r="P741" s="8"/>
      <c r="Q741" s="8"/>
      <c r="R741" s="8"/>
    </row>
    <row r="742" spans="1:18" ht="12.75" customHeight="1">
      <c r="A742" s="8"/>
      <c r="B742" s="8"/>
      <c r="C742" s="30"/>
      <c r="D742" s="8"/>
      <c r="E742" s="8"/>
      <c r="F742" s="8"/>
      <c r="G742" s="8"/>
      <c r="H742" s="8"/>
      <c r="I742" s="8"/>
      <c r="J742" s="8"/>
      <c r="K742" s="8"/>
      <c r="L742" s="8"/>
      <c r="M742" s="8"/>
      <c r="N742" s="8"/>
      <c r="O742" s="8"/>
      <c r="P742" s="8"/>
      <c r="Q742" s="8"/>
      <c r="R742" s="8"/>
    </row>
    <row r="743" spans="1:18" ht="12.75" customHeight="1">
      <c r="A743" s="8"/>
      <c r="B743" s="8"/>
      <c r="C743" s="30"/>
      <c r="D743" s="8"/>
      <c r="E743" s="8"/>
      <c r="F743" s="8"/>
      <c r="G743" s="8"/>
      <c r="H743" s="8"/>
      <c r="I743" s="8"/>
      <c r="J743" s="8"/>
      <c r="K743" s="8"/>
      <c r="L743" s="8"/>
      <c r="M743" s="8"/>
      <c r="N743" s="8"/>
      <c r="O743" s="8"/>
      <c r="P743" s="8"/>
      <c r="Q743" s="8"/>
      <c r="R743" s="8"/>
    </row>
    <row r="744" spans="1:18" ht="12.75" customHeight="1">
      <c r="A744" s="8"/>
      <c r="B744" s="8"/>
      <c r="C744" s="30"/>
      <c r="D744" s="8"/>
      <c r="E744" s="8"/>
      <c r="F744" s="8"/>
      <c r="G744" s="8"/>
      <c r="H744" s="8"/>
      <c r="I744" s="8"/>
      <c r="J744" s="8"/>
      <c r="K744" s="8"/>
      <c r="L744" s="8"/>
      <c r="M744" s="8"/>
      <c r="N744" s="8"/>
      <c r="O744" s="8"/>
      <c r="P744" s="8"/>
      <c r="Q744" s="8"/>
      <c r="R744" s="8"/>
    </row>
    <row r="745" spans="1:18" ht="12.75" customHeight="1">
      <c r="A745" s="8"/>
      <c r="B745" s="8"/>
      <c r="C745" s="30"/>
      <c r="D745" s="8"/>
      <c r="E745" s="8"/>
      <c r="F745" s="8"/>
      <c r="G745" s="8"/>
      <c r="H745" s="8"/>
      <c r="I745" s="8"/>
      <c r="J745" s="8"/>
      <c r="K745" s="8"/>
      <c r="L745" s="8"/>
      <c r="M745" s="8"/>
      <c r="N745" s="8"/>
      <c r="O745" s="8"/>
      <c r="P745" s="8"/>
      <c r="Q745" s="8"/>
      <c r="R745" s="8"/>
    </row>
    <row r="746" spans="1:18" ht="12.75" customHeight="1">
      <c r="A746" s="8"/>
      <c r="B746" s="8"/>
      <c r="C746" s="30"/>
      <c r="D746" s="8"/>
      <c r="E746" s="8"/>
      <c r="F746" s="8"/>
      <c r="G746" s="8"/>
      <c r="H746" s="8"/>
      <c r="I746" s="8"/>
      <c r="J746" s="8"/>
      <c r="K746" s="8"/>
      <c r="L746" s="8"/>
      <c r="M746" s="8"/>
      <c r="N746" s="8"/>
      <c r="O746" s="8"/>
      <c r="P746" s="8"/>
      <c r="Q746" s="8"/>
      <c r="R746" s="8"/>
    </row>
    <row r="747" spans="1:18" ht="12.75" customHeight="1">
      <c r="A747" s="8"/>
      <c r="B747" s="8"/>
      <c r="C747" s="30"/>
      <c r="D747" s="8"/>
      <c r="E747" s="8"/>
      <c r="F747" s="8"/>
      <c r="G747" s="8"/>
      <c r="H747" s="8"/>
      <c r="I747" s="8"/>
      <c r="J747" s="8"/>
      <c r="K747" s="8"/>
      <c r="L747" s="8"/>
      <c r="M747" s="8"/>
      <c r="N747" s="8"/>
      <c r="O747" s="8"/>
      <c r="P747" s="8"/>
      <c r="Q747" s="8"/>
      <c r="R747" s="8"/>
    </row>
    <row r="748" spans="1:18" ht="12.75" customHeight="1">
      <c r="A748" s="8"/>
      <c r="B748" s="8"/>
      <c r="C748" s="30"/>
      <c r="D748" s="8"/>
      <c r="E748" s="8"/>
      <c r="F748" s="8"/>
      <c r="G748" s="8"/>
      <c r="H748" s="8"/>
      <c r="I748" s="8"/>
      <c r="J748" s="8"/>
      <c r="K748" s="8"/>
      <c r="L748" s="8"/>
      <c r="M748" s="8"/>
      <c r="N748" s="8"/>
      <c r="O748" s="8"/>
      <c r="P748" s="8"/>
      <c r="Q748" s="8"/>
      <c r="R748" s="8"/>
    </row>
    <row r="749" spans="1:18" ht="12.75" customHeight="1">
      <c r="A749" s="8"/>
      <c r="B749" s="8"/>
      <c r="C749" s="30"/>
      <c r="D749" s="8"/>
      <c r="E749" s="8"/>
      <c r="F749" s="8"/>
      <c r="G749" s="8"/>
      <c r="H749" s="8"/>
      <c r="I749" s="8"/>
      <c r="J749" s="8"/>
      <c r="K749" s="8"/>
      <c r="L749" s="8"/>
      <c r="M749" s="8"/>
      <c r="N749" s="8"/>
      <c r="O749" s="8"/>
      <c r="P749" s="8"/>
      <c r="Q749" s="8"/>
      <c r="R749" s="8"/>
    </row>
    <row r="750" spans="1:18" ht="12.75" customHeight="1">
      <c r="A750" s="8"/>
      <c r="B750" s="8"/>
      <c r="C750" s="30"/>
      <c r="D750" s="8"/>
      <c r="E750" s="8"/>
      <c r="F750" s="8"/>
      <c r="G750" s="8"/>
      <c r="H750" s="8"/>
      <c r="I750" s="8"/>
      <c r="J750" s="8"/>
      <c r="K750" s="8"/>
      <c r="L750" s="8"/>
      <c r="M750" s="8"/>
      <c r="N750" s="8"/>
      <c r="O750" s="8"/>
      <c r="P750" s="8"/>
      <c r="Q750" s="8"/>
      <c r="R750" s="8"/>
    </row>
    <row r="751" spans="1:18" ht="12.75" customHeight="1">
      <c r="A751" s="8"/>
      <c r="B751" s="8"/>
      <c r="C751" s="30"/>
      <c r="D751" s="8"/>
      <c r="E751" s="8"/>
      <c r="F751" s="8"/>
      <c r="G751" s="8"/>
      <c r="H751" s="8"/>
      <c r="I751" s="8"/>
      <c r="J751" s="8"/>
      <c r="K751" s="8"/>
      <c r="L751" s="8"/>
      <c r="M751" s="8"/>
      <c r="N751" s="8"/>
      <c r="O751" s="8"/>
      <c r="P751" s="8"/>
      <c r="Q751" s="8"/>
      <c r="R751" s="8"/>
    </row>
    <row r="752" spans="1:18" ht="12.75" customHeight="1">
      <c r="A752" s="8"/>
      <c r="B752" s="8"/>
      <c r="C752" s="30"/>
      <c r="D752" s="8"/>
      <c r="E752" s="8"/>
      <c r="F752" s="8"/>
      <c r="G752" s="8"/>
      <c r="H752" s="8"/>
      <c r="I752" s="8"/>
      <c r="J752" s="8"/>
      <c r="K752" s="8"/>
      <c r="L752" s="8"/>
      <c r="M752" s="8"/>
      <c r="N752" s="8"/>
      <c r="O752" s="8"/>
      <c r="P752" s="8"/>
      <c r="Q752" s="8"/>
      <c r="R752" s="8"/>
    </row>
    <row r="753" spans="1:18" ht="12.75" customHeight="1">
      <c r="A753" s="8"/>
      <c r="B753" s="8"/>
      <c r="C753" s="30"/>
      <c r="D753" s="8"/>
      <c r="E753" s="8"/>
      <c r="F753" s="8"/>
      <c r="G753" s="8"/>
      <c r="H753" s="8"/>
      <c r="I753" s="8"/>
      <c r="J753" s="8"/>
      <c r="K753" s="8"/>
      <c r="L753" s="8"/>
      <c r="M753" s="8"/>
      <c r="N753" s="8"/>
      <c r="O753" s="8"/>
      <c r="P753" s="8"/>
      <c r="Q753" s="8"/>
      <c r="R753" s="8"/>
    </row>
    <row r="754" spans="1:18" ht="12.75" customHeight="1">
      <c r="A754" s="8"/>
      <c r="B754" s="8"/>
      <c r="C754" s="30"/>
      <c r="D754" s="8"/>
      <c r="E754" s="8"/>
      <c r="F754" s="8"/>
      <c r="G754" s="8"/>
      <c r="H754" s="8"/>
      <c r="I754" s="8"/>
      <c r="J754" s="8"/>
      <c r="K754" s="8"/>
      <c r="L754" s="8"/>
      <c r="M754" s="8"/>
      <c r="N754" s="8"/>
      <c r="O754" s="8"/>
      <c r="P754" s="8"/>
      <c r="Q754" s="8"/>
      <c r="R754" s="8"/>
    </row>
    <row r="755" spans="1:18" ht="12.75" customHeight="1">
      <c r="A755" s="8"/>
      <c r="B755" s="8"/>
      <c r="C755" s="30"/>
      <c r="D755" s="8"/>
      <c r="E755" s="8"/>
      <c r="F755" s="8"/>
      <c r="G755" s="8"/>
      <c r="H755" s="8"/>
      <c r="I755" s="8"/>
      <c r="J755" s="8"/>
      <c r="K755" s="8"/>
      <c r="L755" s="8"/>
      <c r="M755" s="8"/>
      <c r="N755" s="8"/>
      <c r="O755" s="8"/>
      <c r="P755" s="8"/>
      <c r="Q755" s="8"/>
      <c r="R755" s="8"/>
    </row>
    <row r="756" spans="1:18" ht="12.75" customHeight="1">
      <c r="A756" s="8"/>
      <c r="B756" s="8"/>
      <c r="C756" s="30"/>
      <c r="D756" s="8"/>
      <c r="E756" s="8"/>
      <c r="F756" s="8"/>
      <c r="G756" s="8"/>
      <c r="H756" s="8"/>
      <c r="I756" s="8"/>
      <c r="J756" s="8"/>
      <c r="K756" s="8"/>
      <c r="L756" s="8"/>
      <c r="M756" s="8"/>
      <c r="N756" s="8"/>
      <c r="O756" s="8"/>
      <c r="P756" s="8"/>
      <c r="Q756" s="8"/>
      <c r="R756" s="8"/>
    </row>
    <row r="757" spans="1:18" ht="12.75" customHeight="1">
      <c r="A757" s="8"/>
      <c r="B757" s="8"/>
      <c r="C757" s="30"/>
      <c r="D757" s="8"/>
      <c r="E757" s="8"/>
      <c r="F757" s="8"/>
      <c r="G757" s="8"/>
      <c r="H757" s="8"/>
      <c r="I757" s="8"/>
      <c r="J757" s="8"/>
      <c r="K757" s="8"/>
      <c r="L757" s="8"/>
      <c r="M757" s="8"/>
      <c r="N757" s="8"/>
      <c r="O757" s="8"/>
      <c r="P757" s="8"/>
      <c r="Q757" s="8"/>
      <c r="R757" s="8"/>
    </row>
    <row r="758" spans="1:18" ht="12.75" customHeight="1">
      <c r="A758" s="8"/>
      <c r="B758" s="8"/>
      <c r="C758" s="30"/>
      <c r="D758" s="8"/>
      <c r="E758" s="8"/>
      <c r="F758" s="8"/>
      <c r="G758" s="8"/>
      <c r="H758" s="8"/>
      <c r="I758" s="8"/>
      <c r="J758" s="8"/>
      <c r="K758" s="8"/>
      <c r="L758" s="8"/>
      <c r="M758" s="8"/>
      <c r="N758" s="8"/>
      <c r="O758" s="8"/>
      <c r="P758" s="8"/>
      <c r="Q758" s="8"/>
      <c r="R758" s="8"/>
    </row>
    <row r="759" spans="1:18" ht="12.75" customHeight="1">
      <c r="A759" s="8"/>
      <c r="B759" s="8"/>
      <c r="C759" s="30"/>
      <c r="D759" s="8"/>
      <c r="E759" s="8"/>
      <c r="F759" s="8"/>
      <c r="G759" s="8"/>
      <c r="H759" s="8"/>
      <c r="I759" s="8"/>
      <c r="J759" s="8"/>
      <c r="K759" s="8"/>
      <c r="L759" s="8"/>
      <c r="M759" s="8"/>
      <c r="N759" s="8"/>
      <c r="O759" s="8"/>
      <c r="P759" s="8"/>
      <c r="Q759" s="8"/>
      <c r="R759" s="8"/>
    </row>
    <row r="760" spans="1:18" ht="12.75" customHeight="1">
      <c r="A760" s="8"/>
      <c r="B760" s="8"/>
      <c r="C760" s="30"/>
      <c r="D760" s="8"/>
      <c r="E760" s="8"/>
      <c r="F760" s="8"/>
      <c r="G760" s="8"/>
      <c r="H760" s="8"/>
      <c r="I760" s="8"/>
      <c r="J760" s="8"/>
      <c r="K760" s="8"/>
      <c r="L760" s="8"/>
      <c r="M760" s="8"/>
      <c r="N760" s="8"/>
      <c r="O760" s="8"/>
      <c r="P760" s="8"/>
      <c r="Q760" s="8"/>
      <c r="R760" s="8"/>
    </row>
    <row r="761" spans="1:18" ht="12.75" customHeight="1">
      <c r="A761" s="8"/>
      <c r="B761" s="8"/>
      <c r="C761" s="30"/>
      <c r="D761" s="8"/>
      <c r="E761" s="8"/>
      <c r="F761" s="8"/>
      <c r="G761" s="8"/>
      <c r="H761" s="8"/>
      <c r="I761" s="8"/>
      <c r="J761" s="8"/>
      <c r="K761" s="8"/>
      <c r="L761" s="8"/>
      <c r="M761" s="8"/>
      <c r="N761" s="8"/>
      <c r="O761" s="8"/>
      <c r="P761" s="8"/>
      <c r="Q761" s="8"/>
      <c r="R761" s="8"/>
    </row>
    <row r="762" spans="1:18" ht="12.75" customHeight="1">
      <c r="A762" s="8"/>
      <c r="B762" s="8"/>
      <c r="C762" s="30"/>
      <c r="D762" s="8"/>
      <c r="E762" s="8"/>
      <c r="F762" s="8"/>
      <c r="G762" s="8"/>
      <c r="H762" s="8"/>
      <c r="I762" s="8"/>
      <c r="J762" s="8"/>
      <c r="K762" s="8"/>
      <c r="L762" s="8"/>
      <c r="M762" s="8"/>
      <c r="N762" s="8"/>
      <c r="O762" s="8"/>
      <c r="P762" s="8"/>
      <c r="Q762" s="8"/>
      <c r="R762" s="8"/>
    </row>
    <row r="763" spans="1:18" ht="12.75" customHeight="1">
      <c r="A763" s="8"/>
      <c r="B763" s="8"/>
      <c r="C763" s="30"/>
      <c r="D763" s="8"/>
      <c r="E763" s="8"/>
      <c r="F763" s="8"/>
      <c r="G763" s="8"/>
      <c r="H763" s="8"/>
      <c r="I763" s="8"/>
      <c r="J763" s="8"/>
      <c r="K763" s="8"/>
      <c r="L763" s="8"/>
      <c r="M763" s="8"/>
      <c r="N763" s="8"/>
      <c r="O763" s="8"/>
      <c r="P763" s="8"/>
      <c r="Q763" s="8"/>
      <c r="R763" s="8"/>
    </row>
    <row r="764" spans="1:18" ht="12.75" customHeight="1">
      <c r="A764" s="8"/>
      <c r="B764" s="8"/>
      <c r="C764" s="30"/>
      <c r="D764" s="8"/>
      <c r="E764" s="8"/>
      <c r="F764" s="8"/>
      <c r="G764" s="8"/>
      <c r="H764" s="8"/>
      <c r="I764" s="8"/>
      <c r="J764" s="8"/>
      <c r="K764" s="8"/>
      <c r="L764" s="8"/>
      <c r="M764" s="8"/>
      <c r="N764" s="8"/>
      <c r="O764" s="8"/>
      <c r="P764" s="8"/>
      <c r="Q764" s="8"/>
      <c r="R764" s="8"/>
    </row>
    <row r="765" spans="1:18" ht="12.75" customHeight="1">
      <c r="A765" s="8"/>
      <c r="B765" s="8"/>
      <c r="C765" s="30"/>
      <c r="D765" s="8"/>
      <c r="E765" s="8"/>
      <c r="F765" s="8"/>
      <c r="G765" s="8"/>
      <c r="H765" s="8"/>
      <c r="I765" s="8"/>
      <c r="J765" s="8"/>
      <c r="K765" s="8"/>
      <c r="L765" s="8"/>
      <c r="M765" s="8"/>
      <c r="N765" s="8"/>
      <c r="O765" s="8"/>
      <c r="P765" s="8"/>
      <c r="Q765" s="8"/>
      <c r="R765" s="8"/>
    </row>
    <row r="766" spans="1:18" ht="12.75" customHeight="1">
      <c r="A766" s="8"/>
      <c r="B766" s="8"/>
      <c r="C766" s="30"/>
      <c r="D766" s="8"/>
      <c r="E766" s="8"/>
      <c r="F766" s="8"/>
      <c r="G766" s="8"/>
      <c r="H766" s="8"/>
      <c r="I766" s="8"/>
      <c r="J766" s="8"/>
      <c r="K766" s="8"/>
      <c r="L766" s="8"/>
      <c r="M766" s="8"/>
      <c r="N766" s="8"/>
      <c r="O766" s="8"/>
      <c r="P766" s="8"/>
      <c r="Q766" s="8"/>
      <c r="R766" s="8"/>
    </row>
    <row r="767" spans="1:18" ht="12.75" customHeight="1">
      <c r="A767" s="8"/>
      <c r="B767" s="8"/>
      <c r="C767" s="30"/>
      <c r="D767" s="8"/>
      <c r="E767" s="8"/>
      <c r="F767" s="8"/>
      <c r="G767" s="8"/>
      <c r="H767" s="8"/>
      <c r="I767" s="8"/>
      <c r="J767" s="8"/>
      <c r="K767" s="8"/>
      <c r="L767" s="8"/>
      <c r="M767" s="8"/>
      <c r="N767" s="8"/>
      <c r="O767" s="8"/>
      <c r="P767" s="8"/>
      <c r="Q767" s="8"/>
      <c r="R767" s="8"/>
    </row>
    <row r="768" spans="1:18" ht="12.75" customHeight="1">
      <c r="A768" s="8"/>
      <c r="B768" s="8"/>
      <c r="C768" s="30"/>
      <c r="D768" s="8"/>
      <c r="E768" s="8"/>
      <c r="F768" s="8"/>
      <c r="G768" s="8"/>
      <c r="H768" s="8"/>
      <c r="I768" s="8"/>
      <c r="J768" s="8"/>
      <c r="K768" s="8"/>
      <c r="L768" s="8"/>
      <c r="M768" s="8"/>
      <c r="N768" s="8"/>
      <c r="O768" s="8"/>
      <c r="P768" s="8"/>
      <c r="Q768" s="8"/>
      <c r="R768" s="8"/>
    </row>
    <row r="769" spans="1:18" ht="12.75" customHeight="1">
      <c r="A769" s="8"/>
      <c r="B769" s="8"/>
      <c r="C769" s="30"/>
      <c r="D769" s="8"/>
      <c r="E769" s="8"/>
      <c r="F769" s="8"/>
      <c r="G769" s="8"/>
      <c r="H769" s="8"/>
      <c r="I769" s="8"/>
      <c r="J769" s="8"/>
      <c r="K769" s="8"/>
      <c r="L769" s="8"/>
      <c r="M769" s="8"/>
      <c r="N769" s="8"/>
      <c r="O769" s="8"/>
      <c r="P769" s="8"/>
      <c r="Q769" s="8"/>
      <c r="R769" s="8"/>
    </row>
    <row r="770" spans="1:18" ht="12.75" customHeight="1">
      <c r="A770" s="8"/>
      <c r="B770" s="8"/>
      <c r="C770" s="30"/>
      <c r="D770" s="8"/>
      <c r="E770" s="8"/>
      <c r="F770" s="8"/>
      <c r="G770" s="8"/>
      <c r="H770" s="8"/>
      <c r="I770" s="8"/>
      <c r="J770" s="8"/>
      <c r="K770" s="8"/>
      <c r="L770" s="8"/>
      <c r="M770" s="8"/>
      <c r="N770" s="8"/>
      <c r="O770" s="8"/>
      <c r="P770" s="8"/>
      <c r="Q770" s="8"/>
      <c r="R770" s="8"/>
    </row>
    <row r="771" spans="1:18" ht="12.75" customHeight="1">
      <c r="A771" s="8"/>
      <c r="B771" s="8"/>
      <c r="C771" s="30"/>
      <c r="D771" s="8"/>
      <c r="E771" s="8"/>
      <c r="F771" s="8"/>
      <c r="G771" s="8"/>
      <c r="H771" s="8"/>
      <c r="I771" s="8"/>
      <c r="J771" s="8"/>
      <c r="K771" s="8"/>
      <c r="L771" s="8"/>
      <c r="M771" s="8"/>
      <c r="N771" s="8"/>
      <c r="O771" s="8"/>
      <c r="P771" s="8"/>
      <c r="Q771" s="8"/>
      <c r="R771" s="8"/>
    </row>
    <row r="772" spans="1:18" ht="12.75" customHeight="1">
      <c r="A772" s="8"/>
      <c r="B772" s="8"/>
      <c r="C772" s="30"/>
      <c r="D772" s="8"/>
      <c r="E772" s="8"/>
      <c r="F772" s="8"/>
      <c r="G772" s="8"/>
      <c r="H772" s="8"/>
      <c r="I772" s="8"/>
      <c r="J772" s="8"/>
      <c r="K772" s="8"/>
      <c r="L772" s="8"/>
      <c r="M772" s="8"/>
      <c r="N772" s="8"/>
      <c r="O772" s="8"/>
      <c r="P772" s="8"/>
      <c r="Q772" s="8"/>
      <c r="R772" s="8"/>
    </row>
    <row r="773" spans="1:18" ht="12.75" customHeight="1">
      <c r="A773" s="8"/>
      <c r="B773" s="8"/>
      <c r="C773" s="30"/>
      <c r="D773" s="8"/>
      <c r="E773" s="8"/>
      <c r="F773" s="8"/>
      <c r="G773" s="8"/>
      <c r="H773" s="8"/>
      <c r="I773" s="8"/>
      <c r="J773" s="8"/>
      <c r="K773" s="8"/>
      <c r="L773" s="8"/>
      <c r="M773" s="8"/>
      <c r="N773" s="8"/>
      <c r="O773" s="8"/>
      <c r="P773" s="8"/>
      <c r="Q773" s="8"/>
      <c r="R773" s="8"/>
    </row>
    <row r="774" spans="1:18" ht="12.75" customHeight="1">
      <c r="A774" s="8"/>
      <c r="B774" s="8"/>
      <c r="C774" s="30"/>
      <c r="D774" s="8"/>
      <c r="E774" s="8"/>
      <c r="F774" s="8"/>
      <c r="G774" s="8"/>
      <c r="H774" s="8"/>
      <c r="I774" s="8"/>
      <c r="J774" s="8"/>
      <c r="K774" s="8"/>
      <c r="L774" s="8"/>
      <c r="M774" s="8"/>
      <c r="N774" s="8"/>
      <c r="O774" s="8"/>
      <c r="P774" s="8"/>
      <c r="Q774" s="8"/>
      <c r="R774" s="8"/>
    </row>
    <row r="775" spans="1:18" ht="12.75" customHeight="1">
      <c r="A775" s="8"/>
      <c r="B775" s="8"/>
      <c r="C775" s="30"/>
      <c r="D775" s="8"/>
      <c r="E775" s="8"/>
      <c r="F775" s="8"/>
      <c r="G775" s="8"/>
      <c r="H775" s="8"/>
      <c r="I775" s="8"/>
      <c r="J775" s="8"/>
      <c r="K775" s="8"/>
      <c r="L775" s="8"/>
      <c r="M775" s="8"/>
      <c r="N775" s="8"/>
      <c r="O775" s="8"/>
      <c r="P775" s="8"/>
      <c r="Q775" s="8"/>
      <c r="R775" s="8"/>
    </row>
    <row r="776" spans="1:18" ht="12.75" customHeight="1">
      <c r="A776" s="8"/>
      <c r="B776" s="8"/>
      <c r="C776" s="30"/>
      <c r="D776" s="8"/>
      <c r="E776" s="8"/>
      <c r="F776" s="8"/>
      <c r="G776" s="8"/>
      <c r="H776" s="8"/>
      <c r="I776" s="8"/>
      <c r="J776" s="8"/>
      <c r="K776" s="8"/>
      <c r="L776" s="8"/>
      <c r="M776" s="8"/>
      <c r="N776" s="8"/>
      <c r="O776" s="8"/>
      <c r="P776" s="8"/>
      <c r="Q776" s="8"/>
      <c r="R776" s="8"/>
    </row>
    <row r="777" spans="1:18" ht="12.75" customHeight="1">
      <c r="A777" s="8"/>
      <c r="B777" s="8"/>
      <c r="C777" s="30"/>
      <c r="D777" s="8"/>
      <c r="E777" s="8"/>
      <c r="F777" s="8"/>
      <c r="G777" s="8"/>
      <c r="H777" s="8"/>
      <c r="I777" s="8"/>
      <c r="J777" s="8"/>
      <c r="K777" s="8"/>
      <c r="L777" s="8"/>
      <c r="M777" s="8"/>
      <c r="N777" s="8"/>
      <c r="O777" s="8"/>
      <c r="P777" s="8"/>
      <c r="Q777" s="8"/>
      <c r="R777" s="8"/>
    </row>
    <row r="778" spans="1:18" ht="12.75" customHeight="1">
      <c r="A778" s="8"/>
      <c r="B778" s="8"/>
      <c r="C778" s="30"/>
      <c r="D778" s="8"/>
      <c r="E778" s="8"/>
      <c r="F778" s="8"/>
      <c r="G778" s="8"/>
      <c r="H778" s="8"/>
      <c r="I778" s="8"/>
      <c r="J778" s="8"/>
      <c r="K778" s="8"/>
      <c r="L778" s="8"/>
      <c r="M778" s="8"/>
      <c r="N778" s="8"/>
      <c r="O778" s="8"/>
      <c r="P778" s="8"/>
      <c r="Q778" s="8"/>
      <c r="R778" s="8"/>
    </row>
    <row r="779" spans="1:18" ht="12.75" customHeight="1">
      <c r="A779" s="8"/>
      <c r="B779" s="8"/>
      <c r="C779" s="30"/>
      <c r="D779" s="8"/>
      <c r="E779" s="8"/>
      <c r="F779" s="8"/>
      <c r="G779" s="8"/>
      <c r="H779" s="8"/>
      <c r="I779" s="8"/>
      <c r="J779" s="8"/>
      <c r="K779" s="8"/>
      <c r="L779" s="8"/>
      <c r="M779" s="8"/>
      <c r="N779" s="8"/>
      <c r="O779" s="8"/>
      <c r="P779" s="8"/>
      <c r="Q779" s="8"/>
      <c r="R779" s="8"/>
    </row>
    <row r="780" spans="1:18" ht="12.75" customHeight="1">
      <c r="A780" s="8"/>
      <c r="B780" s="8"/>
      <c r="C780" s="30"/>
      <c r="D780" s="8"/>
      <c r="E780" s="8"/>
      <c r="F780" s="8"/>
      <c r="G780" s="8"/>
      <c r="H780" s="8"/>
      <c r="I780" s="8"/>
      <c r="J780" s="8"/>
      <c r="K780" s="8"/>
      <c r="L780" s="8"/>
      <c r="M780" s="8"/>
      <c r="N780" s="8"/>
      <c r="O780" s="8"/>
      <c r="P780" s="8"/>
      <c r="Q780" s="8"/>
      <c r="R780" s="8"/>
    </row>
    <row r="781" spans="1:18" ht="12.75" customHeight="1">
      <c r="A781" s="8"/>
      <c r="B781" s="8"/>
      <c r="C781" s="30"/>
      <c r="D781" s="8"/>
      <c r="E781" s="8"/>
      <c r="F781" s="8"/>
      <c r="G781" s="8"/>
      <c r="H781" s="8"/>
      <c r="I781" s="8"/>
      <c r="J781" s="8"/>
      <c r="K781" s="8"/>
      <c r="L781" s="8"/>
      <c r="M781" s="8"/>
      <c r="N781" s="8"/>
      <c r="O781" s="8"/>
      <c r="P781" s="8"/>
      <c r="Q781" s="8"/>
      <c r="R781" s="8"/>
    </row>
    <row r="782" spans="1:18" ht="12.75" customHeight="1">
      <c r="A782" s="8"/>
      <c r="B782" s="8"/>
      <c r="C782" s="30"/>
      <c r="D782" s="8"/>
      <c r="E782" s="8"/>
      <c r="F782" s="8"/>
      <c r="G782" s="8"/>
      <c r="H782" s="8"/>
      <c r="I782" s="8"/>
      <c r="J782" s="8"/>
      <c r="K782" s="8"/>
      <c r="L782" s="8"/>
      <c r="M782" s="8"/>
      <c r="N782" s="8"/>
      <c r="O782" s="8"/>
      <c r="P782" s="8"/>
      <c r="Q782" s="8"/>
      <c r="R782" s="8"/>
    </row>
    <row r="783" spans="1:18" ht="12.75" customHeight="1">
      <c r="A783" s="8"/>
      <c r="B783" s="8"/>
      <c r="C783" s="30"/>
      <c r="D783" s="8"/>
      <c r="E783" s="8"/>
      <c r="F783" s="8"/>
      <c r="G783" s="8"/>
      <c r="H783" s="8"/>
      <c r="I783" s="8"/>
      <c r="J783" s="8"/>
      <c r="K783" s="8"/>
      <c r="L783" s="8"/>
      <c r="M783" s="8"/>
      <c r="N783" s="8"/>
      <c r="O783" s="8"/>
      <c r="P783" s="8"/>
      <c r="Q783" s="8"/>
      <c r="R783" s="8"/>
    </row>
    <row r="784" spans="1:18" ht="12.75" customHeight="1">
      <c r="A784" s="8"/>
      <c r="B784" s="8"/>
      <c r="C784" s="30"/>
      <c r="D784" s="8"/>
      <c r="E784" s="8"/>
      <c r="F784" s="8"/>
      <c r="G784" s="8"/>
      <c r="H784" s="8"/>
      <c r="I784" s="8"/>
      <c r="J784" s="8"/>
      <c r="K784" s="8"/>
      <c r="L784" s="8"/>
      <c r="M784" s="8"/>
      <c r="N784" s="8"/>
      <c r="O784" s="8"/>
      <c r="P784" s="8"/>
      <c r="Q784" s="8"/>
      <c r="R784" s="8"/>
    </row>
    <row r="785" spans="1:18" ht="12.75" customHeight="1">
      <c r="A785" s="8"/>
      <c r="B785" s="8"/>
      <c r="C785" s="30"/>
      <c r="D785" s="8"/>
      <c r="E785" s="8"/>
      <c r="F785" s="8"/>
      <c r="G785" s="8"/>
      <c r="H785" s="8"/>
      <c r="I785" s="8"/>
      <c r="J785" s="8"/>
      <c r="K785" s="8"/>
      <c r="L785" s="8"/>
      <c r="M785" s="8"/>
      <c r="N785" s="8"/>
      <c r="O785" s="8"/>
      <c r="P785" s="8"/>
      <c r="Q785" s="8"/>
      <c r="R785" s="8"/>
    </row>
    <row r="786" spans="1:18" ht="12.75" customHeight="1">
      <c r="A786" s="8"/>
      <c r="B786" s="8"/>
      <c r="C786" s="30"/>
      <c r="D786" s="8"/>
      <c r="E786" s="8"/>
      <c r="F786" s="8"/>
      <c r="G786" s="8"/>
      <c r="H786" s="8"/>
      <c r="I786" s="8"/>
      <c r="J786" s="8"/>
      <c r="K786" s="8"/>
      <c r="L786" s="8"/>
      <c r="M786" s="8"/>
      <c r="N786" s="8"/>
      <c r="O786" s="8"/>
      <c r="P786" s="8"/>
      <c r="Q786" s="8"/>
      <c r="R786" s="8"/>
    </row>
    <row r="787" spans="1:18" ht="12.75" customHeight="1">
      <c r="A787" s="8"/>
      <c r="B787" s="8"/>
      <c r="C787" s="30"/>
      <c r="D787" s="8"/>
      <c r="E787" s="8"/>
      <c r="F787" s="8"/>
      <c r="G787" s="8"/>
      <c r="H787" s="8"/>
      <c r="I787" s="8"/>
      <c r="J787" s="8"/>
      <c r="K787" s="8"/>
      <c r="L787" s="8"/>
      <c r="M787" s="8"/>
      <c r="N787" s="8"/>
      <c r="O787" s="8"/>
      <c r="P787" s="8"/>
      <c r="Q787" s="8"/>
      <c r="R787" s="8"/>
    </row>
    <row r="788" spans="1:18" ht="12.75" customHeight="1">
      <c r="A788" s="8"/>
      <c r="B788" s="8"/>
      <c r="C788" s="30"/>
      <c r="D788" s="8"/>
      <c r="E788" s="8"/>
      <c r="F788" s="8"/>
      <c r="G788" s="8"/>
      <c r="H788" s="8"/>
      <c r="I788" s="8"/>
      <c r="J788" s="8"/>
      <c r="K788" s="8"/>
      <c r="L788" s="8"/>
      <c r="M788" s="8"/>
      <c r="N788" s="8"/>
      <c r="O788" s="8"/>
      <c r="P788" s="8"/>
      <c r="Q788" s="8"/>
      <c r="R788" s="8"/>
    </row>
    <row r="789" spans="1:18" ht="12.75" customHeight="1">
      <c r="A789" s="8"/>
      <c r="B789" s="8"/>
      <c r="C789" s="30"/>
      <c r="D789" s="8"/>
      <c r="E789" s="8"/>
      <c r="F789" s="8"/>
      <c r="G789" s="8"/>
      <c r="H789" s="8"/>
      <c r="I789" s="8"/>
      <c r="J789" s="8"/>
      <c r="K789" s="8"/>
      <c r="L789" s="8"/>
      <c r="M789" s="8"/>
      <c r="N789" s="8"/>
      <c r="O789" s="8"/>
      <c r="P789" s="8"/>
      <c r="Q789" s="8"/>
      <c r="R789" s="8"/>
    </row>
    <row r="790" spans="1:18" ht="12.75" customHeight="1">
      <c r="A790" s="8"/>
      <c r="B790" s="8"/>
      <c r="C790" s="30"/>
      <c r="D790" s="8"/>
      <c r="E790" s="8"/>
      <c r="F790" s="8"/>
      <c r="G790" s="8"/>
      <c r="H790" s="8"/>
      <c r="I790" s="8"/>
      <c r="J790" s="8"/>
      <c r="K790" s="8"/>
      <c r="L790" s="8"/>
      <c r="M790" s="8"/>
      <c r="N790" s="8"/>
      <c r="O790" s="8"/>
      <c r="P790" s="8"/>
      <c r="Q790" s="8"/>
      <c r="R790" s="8"/>
    </row>
    <row r="791" spans="1:18" ht="12.75" customHeight="1">
      <c r="A791" s="8"/>
      <c r="B791" s="8"/>
      <c r="C791" s="30"/>
      <c r="D791" s="8"/>
      <c r="E791" s="8"/>
      <c r="F791" s="8"/>
      <c r="G791" s="8"/>
      <c r="H791" s="8"/>
      <c r="I791" s="8"/>
      <c r="J791" s="8"/>
      <c r="K791" s="8"/>
      <c r="L791" s="8"/>
      <c r="M791" s="8"/>
      <c r="N791" s="8"/>
      <c r="O791" s="8"/>
      <c r="P791" s="8"/>
      <c r="Q791" s="8"/>
      <c r="R791" s="8"/>
    </row>
    <row r="792" spans="1:18" ht="12.75" customHeight="1">
      <c r="A792" s="8"/>
      <c r="B792" s="8"/>
      <c r="C792" s="30"/>
      <c r="D792" s="8"/>
      <c r="E792" s="8"/>
      <c r="F792" s="8"/>
      <c r="G792" s="8"/>
      <c r="H792" s="8"/>
      <c r="I792" s="8"/>
      <c r="J792" s="8"/>
      <c r="K792" s="8"/>
      <c r="L792" s="8"/>
      <c r="M792" s="8"/>
      <c r="N792" s="8"/>
      <c r="O792" s="8"/>
      <c r="P792" s="8"/>
      <c r="Q792" s="8"/>
      <c r="R792" s="8"/>
    </row>
    <row r="793" spans="1:18" ht="12.75" customHeight="1">
      <c r="A793" s="8"/>
      <c r="B793" s="8"/>
      <c r="C793" s="30"/>
      <c r="D793" s="8"/>
      <c r="E793" s="8"/>
      <c r="F793" s="8"/>
      <c r="G793" s="8"/>
      <c r="H793" s="8"/>
      <c r="I793" s="8"/>
      <c r="J793" s="8"/>
      <c r="K793" s="8"/>
      <c r="L793" s="8"/>
      <c r="M793" s="8"/>
      <c r="N793" s="8"/>
      <c r="O793" s="8"/>
      <c r="P793" s="8"/>
      <c r="Q793" s="8"/>
      <c r="R793" s="8"/>
    </row>
    <row r="794" spans="1:18" ht="12.75" customHeight="1">
      <c r="A794" s="8"/>
      <c r="B794" s="8"/>
      <c r="C794" s="30"/>
      <c r="D794" s="8"/>
      <c r="E794" s="8"/>
      <c r="F794" s="8"/>
      <c r="G794" s="8"/>
      <c r="H794" s="8"/>
      <c r="I794" s="8"/>
      <c r="J794" s="8"/>
      <c r="K794" s="8"/>
      <c r="L794" s="8"/>
      <c r="M794" s="8"/>
      <c r="N794" s="8"/>
      <c r="O794" s="8"/>
      <c r="P794" s="8"/>
      <c r="Q794" s="8"/>
      <c r="R794" s="8"/>
    </row>
    <row r="795" spans="1:18" ht="12.75" customHeight="1">
      <c r="A795" s="8"/>
      <c r="B795" s="8"/>
      <c r="C795" s="30"/>
      <c r="D795" s="8"/>
      <c r="E795" s="8"/>
      <c r="F795" s="8"/>
      <c r="G795" s="8"/>
      <c r="H795" s="8"/>
      <c r="I795" s="8"/>
      <c r="J795" s="8"/>
      <c r="K795" s="8"/>
      <c r="L795" s="8"/>
      <c r="M795" s="8"/>
      <c r="N795" s="8"/>
      <c r="O795" s="8"/>
      <c r="P795" s="8"/>
      <c r="Q795" s="8"/>
      <c r="R795" s="8"/>
    </row>
    <row r="796" spans="1:18" ht="12.75" customHeight="1">
      <c r="A796" s="8"/>
      <c r="B796" s="8"/>
      <c r="C796" s="30"/>
      <c r="D796" s="8"/>
      <c r="E796" s="8"/>
      <c r="F796" s="8"/>
      <c r="G796" s="8"/>
      <c r="H796" s="8"/>
      <c r="I796" s="8"/>
      <c r="J796" s="8"/>
      <c r="K796" s="8"/>
      <c r="L796" s="8"/>
      <c r="M796" s="8"/>
      <c r="N796" s="8"/>
      <c r="O796" s="8"/>
      <c r="P796" s="8"/>
      <c r="Q796" s="8"/>
      <c r="R796" s="8"/>
    </row>
    <row r="797" spans="1:18" ht="12.75" customHeight="1">
      <c r="A797" s="8"/>
      <c r="B797" s="8"/>
      <c r="C797" s="30"/>
      <c r="D797" s="8"/>
      <c r="E797" s="8"/>
      <c r="F797" s="8"/>
      <c r="G797" s="8"/>
      <c r="H797" s="8"/>
      <c r="I797" s="8"/>
      <c r="J797" s="8"/>
      <c r="K797" s="8"/>
      <c r="L797" s="8"/>
      <c r="M797" s="8"/>
      <c r="N797" s="8"/>
      <c r="O797" s="8"/>
      <c r="P797" s="8"/>
      <c r="Q797" s="8"/>
      <c r="R797" s="8"/>
    </row>
    <row r="798" spans="1:18" ht="12.75" customHeight="1">
      <c r="A798" s="8"/>
      <c r="B798" s="8"/>
      <c r="C798" s="30"/>
      <c r="D798" s="8"/>
      <c r="E798" s="8"/>
      <c r="F798" s="8"/>
      <c r="G798" s="8"/>
      <c r="H798" s="8"/>
      <c r="I798" s="8"/>
      <c r="J798" s="8"/>
      <c r="K798" s="8"/>
      <c r="L798" s="8"/>
      <c r="M798" s="8"/>
      <c r="N798" s="8"/>
      <c r="O798" s="8"/>
      <c r="P798" s="8"/>
      <c r="Q798" s="8"/>
      <c r="R798" s="8"/>
    </row>
    <row r="799" spans="1:18" ht="12.75" customHeight="1">
      <c r="A799" s="8"/>
      <c r="B799" s="8"/>
      <c r="C799" s="30"/>
      <c r="D799" s="8"/>
      <c r="E799" s="8"/>
      <c r="F799" s="8"/>
      <c r="G799" s="8"/>
      <c r="H799" s="8"/>
      <c r="I799" s="8"/>
      <c r="J799" s="8"/>
      <c r="K799" s="8"/>
      <c r="L799" s="8"/>
      <c r="M799" s="8"/>
      <c r="N799" s="8"/>
      <c r="O799" s="8"/>
      <c r="P799" s="8"/>
      <c r="Q799" s="8"/>
      <c r="R799" s="8"/>
    </row>
    <row r="800" spans="1:18" ht="12.75" customHeight="1">
      <c r="A800" s="8"/>
      <c r="B800" s="8"/>
      <c r="C800" s="30"/>
      <c r="D800" s="8"/>
      <c r="E800" s="8"/>
      <c r="F800" s="8"/>
      <c r="G800" s="8"/>
      <c r="H800" s="8"/>
      <c r="I800" s="8"/>
      <c r="J800" s="8"/>
      <c r="K800" s="8"/>
      <c r="L800" s="8"/>
      <c r="M800" s="8"/>
      <c r="N800" s="8"/>
      <c r="O800" s="8"/>
      <c r="P800" s="8"/>
      <c r="Q800" s="8"/>
      <c r="R800" s="8"/>
    </row>
    <row r="801" spans="1:18" ht="12.75" customHeight="1">
      <c r="A801" s="8"/>
      <c r="B801" s="8"/>
      <c r="C801" s="30"/>
      <c r="D801" s="8"/>
      <c r="E801" s="8"/>
      <c r="F801" s="8"/>
      <c r="G801" s="8"/>
      <c r="H801" s="8"/>
      <c r="I801" s="8"/>
      <c r="J801" s="8"/>
      <c r="K801" s="8"/>
      <c r="L801" s="8"/>
      <c r="M801" s="8"/>
      <c r="N801" s="8"/>
      <c r="O801" s="8"/>
      <c r="P801" s="8"/>
      <c r="Q801" s="8"/>
      <c r="R801" s="8"/>
    </row>
    <row r="802" spans="1:18" ht="12.75" customHeight="1">
      <c r="A802" s="8"/>
      <c r="B802" s="8"/>
      <c r="C802" s="30"/>
      <c r="D802" s="8"/>
      <c r="E802" s="8"/>
      <c r="F802" s="8"/>
      <c r="G802" s="8"/>
      <c r="H802" s="8"/>
      <c r="I802" s="8"/>
      <c r="J802" s="8"/>
      <c r="K802" s="8"/>
      <c r="L802" s="8"/>
      <c r="M802" s="8"/>
      <c r="N802" s="8"/>
      <c r="O802" s="8"/>
      <c r="P802" s="8"/>
      <c r="Q802" s="8"/>
      <c r="R802" s="8"/>
    </row>
    <row r="803" spans="1:18" ht="12.75" customHeight="1">
      <c r="A803" s="8"/>
      <c r="B803" s="8"/>
      <c r="C803" s="30"/>
      <c r="D803" s="8"/>
      <c r="E803" s="8"/>
      <c r="F803" s="8"/>
      <c r="G803" s="8"/>
      <c r="H803" s="8"/>
      <c r="I803" s="8"/>
      <c r="J803" s="8"/>
      <c r="K803" s="8"/>
      <c r="L803" s="8"/>
      <c r="M803" s="8"/>
      <c r="N803" s="8"/>
      <c r="O803" s="8"/>
      <c r="P803" s="8"/>
      <c r="Q803" s="8"/>
      <c r="R803" s="8"/>
    </row>
    <row r="804" spans="1:18" ht="12.75" customHeight="1">
      <c r="A804" s="8"/>
      <c r="B804" s="8"/>
      <c r="C804" s="30"/>
      <c r="D804" s="8"/>
      <c r="E804" s="8"/>
      <c r="F804" s="8"/>
      <c r="G804" s="8"/>
      <c r="H804" s="8"/>
      <c r="I804" s="8"/>
      <c r="J804" s="8"/>
      <c r="K804" s="8"/>
      <c r="L804" s="8"/>
      <c r="M804" s="8"/>
      <c r="N804" s="8"/>
      <c r="O804" s="8"/>
      <c r="P804" s="8"/>
      <c r="Q804" s="8"/>
      <c r="R804" s="8"/>
    </row>
    <row r="805" spans="1:18" ht="12.75" customHeight="1">
      <c r="A805" s="8"/>
      <c r="B805" s="8"/>
      <c r="C805" s="30"/>
      <c r="D805" s="8"/>
      <c r="E805" s="8"/>
      <c r="F805" s="8"/>
      <c r="G805" s="8"/>
      <c r="H805" s="8"/>
      <c r="I805" s="8"/>
      <c r="J805" s="8"/>
      <c r="K805" s="8"/>
      <c r="L805" s="8"/>
      <c r="M805" s="8"/>
      <c r="N805" s="8"/>
      <c r="O805" s="8"/>
      <c r="P805" s="8"/>
      <c r="Q805" s="8"/>
      <c r="R805" s="8"/>
    </row>
    <row r="806" spans="1:18" ht="12.75" customHeight="1">
      <c r="A806" s="8"/>
      <c r="B806" s="8"/>
      <c r="C806" s="30"/>
      <c r="D806" s="8"/>
      <c r="E806" s="8"/>
      <c r="F806" s="8"/>
      <c r="G806" s="8"/>
      <c r="H806" s="8"/>
      <c r="I806" s="8"/>
      <c r="J806" s="8"/>
      <c r="K806" s="8"/>
      <c r="L806" s="8"/>
      <c r="M806" s="8"/>
      <c r="N806" s="8"/>
      <c r="O806" s="8"/>
      <c r="P806" s="8"/>
      <c r="Q806" s="8"/>
      <c r="R806" s="8"/>
    </row>
    <row r="807" spans="1:18" ht="12.75" customHeight="1">
      <c r="A807" s="8"/>
      <c r="B807" s="8"/>
      <c r="C807" s="30"/>
      <c r="D807" s="8"/>
      <c r="E807" s="8"/>
      <c r="F807" s="8"/>
      <c r="G807" s="8"/>
      <c r="H807" s="8"/>
      <c r="I807" s="8"/>
      <c r="J807" s="8"/>
      <c r="K807" s="8"/>
      <c r="L807" s="8"/>
      <c r="M807" s="8"/>
      <c r="N807" s="8"/>
      <c r="O807" s="8"/>
      <c r="P807" s="8"/>
      <c r="Q807" s="8"/>
      <c r="R807" s="8"/>
    </row>
    <row r="808" spans="1:18" ht="12.75" customHeight="1">
      <c r="A808" s="8"/>
      <c r="B808" s="8"/>
      <c r="C808" s="30"/>
      <c r="D808" s="8"/>
      <c r="E808" s="8"/>
      <c r="F808" s="8"/>
      <c r="G808" s="8"/>
      <c r="H808" s="8"/>
      <c r="I808" s="8"/>
      <c r="J808" s="8"/>
      <c r="K808" s="8"/>
      <c r="L808" s="8"/>
      <c r="M808" s="8"/>
      <c r="N808" s="8"/>
      <c r="O808" s="8"/>
      <c r="P808" s="8"/>
      <c r="Q808" s="8"/>
      <c r="R808" s="8"/>
    </row>
    <row r="809" spans="1:18" ht="12.75" customHeight="1">
      <c r="A809" s="8"/>
      <c r="B809" s="8"/>
      <c r="C809" s="30"/>
      <c r="D809" s="8"/>
      <c r="E809" s="8"/>
      <c r="F809" s="8"/>
      <c r="G809" s="8"/>
      <c r="H809" s="8"/>
      <c r="I809" s="8"/>
      <c r="J809" s="8"/>
      <c r="K809" s="8"/>
      <c r="L809" s="8"/>
      <c r="M809" s="8"/>
      <c r="N809" s="8"/>
      <c r="O809" s="8"/>
      <c r="P809" s="8"/>
      <c r="Q809" s="8"/>
      <c r="R809" s="8"/>
    </row>
    <row r="810" spans="1:18" ht="12.75" customHeight="1">
      <c r="A810" s="8"/>
      <c r="B810" s="8"/>
      <c r="C810" s="30"/>
      <c r="D810" s="8"/>
      <c r="E810" s="8"/>
      <c r="F810" s="8"/>
      <c r="G810" s="8"/>
      <c r="H810" s="8"/>
      <c r="I810" s="8"/>
      <c r="J810" s="8"/>
      <c r="K810" s="8"/>
      <c r="L810" s="8"/>
      <c r="M810" s="8"/>
      <c r="N810" s="8"/>
      <c r="O810" s="8"/>
      <c r="P810" s="8"/>
      <c r="Q810" s="8"/>
      <c r="R810" s="8"/>
    </row>
    <row r="811" spans="1:18" ht="12.75" customHeight="1">
      <c r="A811" s="8"/>
      <c r="B811" s="8"/>
      <c r="C811" s="30"/>
      <c r="D811" s="8"/>
      <c r="E811" s="8"/>
      <c r="F811" s="8"/>
      <c r="G811" s="8"/>
      <c r="H811" s="8"/>
      <c r="I811" s="8"/>
      <c r="J811" s="8"/>
      <c r="K811" s="8"/>
      <c r="L811" s="8"/>
      <c r="M811" s="8"/>
      <c r="N811" s="8"/>
      <c r="O811" s="8"/>
      <c r="P811" s="8"/>
      <c r="Q811" s="8"/>
      <c r="R811" s="8"/>
    </row>
    <row r="812" spans="1:18" ht="12.75" customHeight="1">
      <c r="A812" s="8"/>
      <c r="B812" s="8"/>
      <c r="C812" s="30"/>
      <c r="D812" s="8"/>
      <c r="E812" s="8"/>
      <c r="F812" s="8"/>
      <c r="G812" s="8"/>
      <c r="H812" s="8"/>
      <c r="I812" s="8"/>
      <c r="J812" s="8"/>
      <c r="K812" s="8"/>
      <c r="L812" s="8"/>
      <c r="M812" s="8"/>
      <c r="N812" s="8"/>
      <c r="O812" s="8"/>
      <c r="P812" s="8"/>
      <c r="Q812" s="8"/>
      <c r="R812" s="8"/>
    </row>
    <row r="813" spans="1:18" ht="12.75" customHeight="1">
      <c r="A813" s="8"/>
      <c r="B813" s="8"/>
      <c r="C813" s="30"/>
      <c r="D813" s="8"/>
      <c r="E813" s="8"/>
      <c r="F813" s="8"/>
      <c r="G813" s="8"/>
      <c r="H813" s="8"/>
      <c r="I813" s="8"/>
      <c r="J813" s="8"/>
      <c r="K813" s="8"/>
      <c r="L813" s="8"/>
      <c r="M813" s="8"/>
      <c r="N813" s="8"/>
      <c r="O813" s="8"/>
      <c r="P813" s="8"/>
      <c r="Q813" s="8"/>
      <c r="R813" s="8"/>
    </row>
    <row r="814" spans="1:18" ht="12.75" customHeight="1">
      <c r="A814" s="8"/>
      <c r="B814" s="8"/>
      <c r="C814" s="30"/>
      <c r="D814" s="8"/>
      <c r="E814" s="8"/>
      <c r="F814" s="8"/>
      <c r="G814" s="8"/>
      <c r="H814" s="8"/>
      <c r="I814" s="8"/>
      <c r="J814" s="8"/>
      <c r="K814" s="8"/>
      <c r="L814" s="8"/>
      <c r="M814" s="8"/>
      <c r="N814" s="8"/>
      <c r="O814" s="8"/>
      <c r="P814" s="8"/>
      <c r="Q814" s="8"/>
      <c r="R814" s="8"/>
    </row>
    <row r="815" spans="1:18" ht="12.75" customHeight="1">
      <c r="A815" s="8"/>
      <c r="B815" s="8"/>
      <c r="C815" s="30"/>
      <c r="D815" s="8"/>
      <c r="E815" s="8"/>
      <c r="F815" s="8"/>
      <c r="G815" s="8"/>
      <c r="H815" s="8"/>
      <c r="I815" s="8"/>
      <c r="J815" s="8"/>
      <c r="K815" s="8"/>
      <c r="L815" s="8"/>
      <c r="M815" s="8"/>
      <c r="N815" s="8"/>
      <c r="O815" s="8"/>
      <c r="P815" s="8"/>
      <c r="Q815" s="8"/>
      <c r="R815" s="8"/>
    </row>
    <row r="816" spans="1:18" ht="12.75" customHeight="1">
      <c r="A816" s="8"/>
      <c r="B816" s="8"/>
      <c r="C816" s="30"/>
      <c r="D816" s="8"/>
      <c r="E816" s="8"/>
      <c r="F816" s="8"/>
      <c r="G816" s="8"/>
      <c r="H816" s="8"/>
      <c r="I816" s="8"/>
      <c r="J816" s="8"/>
      <c r="K816" s="8"/>
      <c r="L816" s="8"/>
      <c r="M816" s="8"/>
      <c r="N816" s="8"/>
      <c r="O816" s="8"/>
      <c r="P816" s="8"/>
      <c r="Q816" s="8"/>
      <c r="R816" s="8"/>
    </row>
    <row r="817" spans="1:18" ht="12.75" customHeight="1">
      <c r="A817" s="8"/>
      <c r="B817" s="8"/>
      <c r="C817" s="30"/>
      <c r="D817" s="8"/>
      <c r="E817" s="8"/>
      <c r="F817" s="8"/>
      <c r="G817" s="8"/>
      <c r="H817" s="8"/>
      <c r="I817" s="8"/>
      <c r="J817" s="8"/>
      <c r="K817" s="8"/>
      <c r="L817" s="8"/>
      <c r="M817" s="8"/>
      <c r="N817" s="8"/>
      <c r="O817" s="8"/>
      <c r="P817" s="8"/>
      <c r="Q817" s="8"/>
      <c r="R817" s="8"/>
    </row>
    <row r="818" spans="1:18" ht="12.75" customHeight="1">
      <c r="A818" s="8"/>
      <c r="B818" s="8"/>
      <c r="C818" s="30"/>
      <c r="D818" s="8"/>
      <c r="E818" s="8"/>
      <c r="F818" s="8"/>
      <c r="G818" s="8"/>
      <c r="H818" s="8"/>
      <c r="I818" s="8"/>
      <c r="J818" s="8"/>
      <c r="K818" s="8"/>
      <c r="L818" s="8"/>
      <c r="M818" s="8"/>
      <c r="N818" s="8"/>
      <c r="O818" s="8"/>
      <c r="P818" s="8"/>
      <c r="Q818" s="8"/>
      <c r="R818" s="8"/>
    </row>
    <row r="819" spans="1:18" ht="12.75" customHeight="1">
      <c r="A819" s="8"/>
      <c r="B819" s="8"/>
      <c r="C819" s="30"/>
      <c r="D819" s="8"/>
      <c r="E819" s="8"/>
      <c r="F819" s="8"/>
      <c r="G819" s="8"/>
      <c r="H819" s="8"/>
      <c r="I819" s="8"/>
      <c r="J819" s="8"/>
      <c r="K819" s="8"/>
      <c r="L819" s="8"/>
      <c r="M819" s="8"/>
      <c r="N819" s="8"/>
      <c r="O819" s="8"/>
      <c r="P819" s="8"/>
      <c r="Q819" s="8"/>
      <c r="R819" s="8"/>
    </row>
    <row r="820" spans="1:18" ht="12.75" customHeight="1">
      <c r="A820" s="8"/>
      <c r="B820" s="8"/>
      <c r="C820" s="30"/>
      <c r="D820" s="8"/>
      <c r="E820" s="8"/>
      <c r="F820" s="8"/>
      <c r="G820" s="8"/>
      <c r="H820" s="8"/>
      <c r="I820" s="8"/>
      <c r="J820" s="8"/>
      <c r="K820" s="8"/>
      <c r="L820" s="8"/>
      <c r="M820" s="8"/>
      <c r="N820" s="8"/>
      <c r="O820" s="8"/>
      <c r="P820" s="8"/>
      <c r="Q820" s="8"/>
      <c r="R820" s="8"/>
    </row>
    <row r="821" spans="1:18" ht="12.75" customHeight="1">
      <c r="A821" s="8"/>
      <c r="B821" s="8"/>
      <c r="C821" s="30"/>
      <c r="D821" s="8"/>
      <c r="E821" s="8"/>
      <c r="F821" s="8"/>
      <c r="G821" s="8"/>
      <c r="H821" s="8"/>
      <c r="I821" s="8"/>
      <c r="J821" s="8"/>
      <c r="K821" s="8"/>
      <c r="L821" s="8"/>
      <c r="M821" s="8"/>
      <c r="N821" s="8"/>
      <c r="O821" s="8"/>
      <c r="P821" s="8"/>
      <c r="Q821" s="8"/>
      <c r="R821" s="8"/>
    </row>
    <row r="822" spans="1:18" ht="12.75" customHeight="1">
      <c r="A822" s="8"/>
      <c r="B822" s="8"/>
      <c r="C822" s="30"/>
      <c r="D822" s="8"/>
      <c r="E822" s="8"/>
      <c r="F822" s="8"/>
      <c r="G822" s="8"/>
      <c r="H822" s="8"/>
      <c r="I822" s="8"/>
      <c r="J822" s="8"/>
      <c r="K822" s="8"/>
      <c r="L822" s="8"/>
      <c r="M822" s="8"/>
      <c r="N822" s="8"/>
      <c r="O822" s="8"/>
      <c r="P822" s="8"/>
      <c r="Q822" s="8"/>
      <c r="R822" s="8"/>
    </row>
    <row r="823" spans="1:18" ht="12.75" customHeight="1">
      <c r="A823" s="8"/>
      <c r="B823" s="8"/>
      <c r="C823" s="30"/>
      <c r="D823" s="8"/>
      <c r="E823" s="8"/>
      <c r="F823" s="8"/>
      <c r="G823" s="8"/>
      <c r="H823" s="8"/>
      <c r="I823" s="8"/>
      <c r="J823" s="8"/>
      <c r="K823" s="8"/>
      <c r="L823" s="8"/>
      <c r="M823" s="8"/>
      <c r="N823" s="8"/>
      <c r="O823" s="8"/>
      <c r="P823" s="8"/>
      <c r="Q823" s="8"/>
      <c r="R823" s="8"/>
    </row>
    <row r="824" spans="1:18" ht="12.75" customHeight="1">
      <c r="A824" s="8"/>
      <c r="B824" s="8"/>
      <c r="C824" s="30"/>
      <c r="D824" s="8"/>
      <c r="E824" s="8"/>
      <c r="F824" s="8"/>
      <c r="G824" s="8"/>
      <c r="H824" s="8"/>
      <c r="I824" s="8"/>
      <c r="J824" s="8"/>
      <c r="K824" s="8"/>
      <c r="L824" s="8"/>
      <c r="M824" s="8"/>
      <c r="N824" s="8"/>
      <c r="O824" s="8"/>
      <c r="P824" s="8"/>
      <c r="Q824" s="8"/>
      <c r="R824" s="8"/>
    </row>
    <row r="825" spans="1:18" ht="12.75" customHeight="1">
      <c r="A825" s="8"/>
      <c r="B825" s="8"/>
      <c r="C825" s="30"/>
      <c r="D825" s="8"/>
      <c r="E825" s="8"/>
      <c r="F825" s="8"/>
      <c r="G825" s="8"/>
      <c r="H825" s="8"/>
      <c r="I825" s="8"/>
      <c r="J825" s="8"/>
      <c r="K825" s="8"/>
      <c r="L825" s="8"/>
      <c r="M825" s="8"/>
      <c r="N825" s="8"/>
      <c r="O825" s="8"/>
      <c r="P825" s="8"/>
      <c r="Q825" s="8"/>
      <c r="R825" s="8"/>
    </row>
    <row r="826" spans="1:18" ht="12.75" customHeight="1">
      <c r="A826" s="8"/>
      <c r="B826" s="8"/>
      <c r="C826" s="30"/>
      <c r="D826" s="8"/>
      <c r="E826" s="8"/>
      <c r="F826" s="8"/>
      <c r="G826" s="8"/>
      <c r="H826" s="8"/>
      <c r="I826" s="8"/>
      <c r="J826" s="8"/>
      <c r="K826" s="8"/>
      <c r="L826" s="8"/>
      <c r="M826" s="8"/>
      <c r="N826" s="8"/>
      <c r="O826" s="8"/>
      <c r="P826" s="8"/>
      <c r="Q826" s="8"/>
      <c r="R826" s="8"/>
    </row>
    <row r="827" spans="1:18" ht="12.75" customHeight="1">
      <c r="A827" s="8"/>
      <c r="B827" s="8"/>
      <c r="C827" s="30"/>
      <c r="D827" s="8"/>
      <c r="E827" s="8"/>
      <c r="F827" s="8"/>
      <c r="G827" s="8"/>
      <c r="H827" s="8"/>
      <c r="I827" s="8"/>
      <c r="J827" s="8"/>
      <c r="K827" s="8"/>
      <c r="L827" s="8"/>
      <c r="M827" s="8"/>
      <c r="N827" s="8"/>
      <c r="O827" s="8"/>
      <c r="P827" s="8"/>
      <c r="Q827" s="8"/>
      <c r="R827" s="8"/>
    </row>
    <row r="828" spans="1:18" ht="12.75" customHeight="1">
      <c r="A828" s="8"/>
      <c r="B828" s="8"/>
      <c r="C828" s="30"/>
      <c r="D828" s="8"/>
      <c r="E828" s="8"/>
      <c r="F828" s="8"/>
      <c r="G828" s="8"/>
      <c r="H828" s="8"/>
      <c r="I828" s="8"/>
      <c r="J828" s="8"/>
      <c r="K828" s="8"/>
      <c r="L828" s="8"/>
      <c r="M828" s="8"/>
      <c r="N828" s="8"/>
      <c r="O828" s="8"/>
      <c r="P828" s="8"/>
      <c r="Q828" s="8"/>
      <c r="R828" s="8"/>
    </row>
    <row r="829" spans="1:18" ht="12.75" customHeight="1">
      <c r="A829" s="8"/>
      <c r="B829" s="8"/>
      <c r="C829" s="30"/>
      <c r="D829" s="8"/>
      <c r="E829" s="8"/>
      <c r="F829" s="8"/>
      <c r="G829" s="8"/>
      <c r="H829" s="8"/>
      <c r="I829" s="8"/>
      <c r="J829" s="8"/>
      <c r="K829" s="8"/>
      <c r="L829" s="8"/>
      <c r="M829" s="8"/>
      <c r="N829" s="8"/>
      <c r="O829" s="8"/>
      <c r="P829" s="8"/>
      <c r="Q829" s="8"/>
      <c r="R829" s="8"/>
    </row>
    <row r="830" spans="1:18" ht="12.75" customHeight="1">
      <c r="A830" s="8"/>
      <c r="B830" s="8"/>
      <c r="C830" s="30"/>
      <c r="D830" s="8"/>
      <c r="E830" s="8"/>
      <c r="F830" s="8"/>
      <c r="G830" s="8"/>
      <c r="H830" s="8"/>
      <c r="I830" s="8"/>
      <c r="J830" s="8"/>
      <c r="K830" s="8"/>
      <c r="L830" s="8"/>
      <c r="M830" s="8"/>
      <c r="N830" s="8"/>
      <c r="O830" s="8"/>
      <c r="P830" s="8"/>
      <c r="Q830" s="8"/>
      <c r="R830" s="8"/>
    </row>
    <row r="831" spans="1:18" ht="12.75" customHeight="1">
      <c r="A831" s="8"/>
      <c r="B831" s="8"/>
      <c r="C831" s="30"/>
      <c r="D831" s="8"/>
      <c r="E831" s="8"/>
      <c r="F831" s="8"/>
      <c r="G831" s="8"/>
      <c r="H831" s="8"/>
      <c r="I831" s="8"/>
      <c r="J831" s="8"/>
      <c r="K831" s="8"/>
      <c r="L831" s="8"/>
      <c r="M831" s="8"/>
      <c r="N831" s="8"/>
      <c r="O831" s="8"/>
      <c r="P831" s="8"/>
      <c r="Q831" s="8"/>
      <c r="R831" s="8"/>
    </row>
    <row r="832" spans="1:18" ht="12.75" customHeight="1">
      <c r="A832" s="8"/>
      <c r="B832" s="8"/>
      <c r="C832" s="30"/>
      <c r="D832" s="8"/>
      <c r="E832" s="8"/>
      <c r="F832" s="8"/>
      <c r="G832" s="8"/>
      <c r="H832" s="8"/>
      <c r="I832" s="8"/>
      <c r="J832" s="8"/>
      <c r="K832" s="8"/>
      <c r="L832" s="8"/>
      <c r="M832" s="8"/>
      <c r="N832" s="8"/>
      <c r="O832" s="8"/>
      <c r="P832" s="8"/>
      <c r="Q832" s="8"/>
      <c r="R832" s="8"/>
    </row>
    <row r="833" spans="1:18" ht="12.75" customHeight="1">
      <c r="A833" s="8"/>
      <c r="B833" s="8"/>
      <c r="C833" s="30"/>
      <c r="D833" s="8"/>
      <c r="E833" s="8"/>
      <c r="F833" s="8"/>
      <c r="G833" s="8"/>
      <c r="H833" s="8"/>
      <c r="I833" s="8"/>
      <c r="J833" s="8"/>
      <c r="K833" s="8"/>
      <c r="L833" s="8"/>
      <c r="M833" s="8"/>
      <c r="N833" s="8"/>
      <c r="O833" s="8"/>
      <c r="P833" s="8"/>
      <c r="Q833" s="8"/>
      <c r="R833" s="8"/>
    </row>
    <row r="834" spans="1:18" ht="12.75" customHeight="1">
      <c r="A834" s="8"/>
      <c r="B834" s="8"/>
      <c r="C834" s="30"/>
      <c r="D834" s="8"/>
      <c r="E834" s="8"/>
      <c r="F834" s="8"/>
      <c r="G834" s="8"/>
      <c r="H834" s="8"/>
      <c r="I834" s="8"/>
      <c r="J834" s="8"/>
      <c r="K834" s="8"/>
      <c r="L834" s="8"/>
      <c r="M834" s="8"/>
      <c r="N834" s="8"/>
      <c r="O834" s="8"/>
      <c r="P834" s="8"/>
      <c r="Q834" s="8"/>
      <c r="R834" s="8"/>
    </row>
    <row r="835" spans="1:18" ht="12.75" customHeight="1">
      <c r="A835" s="8"/>
      <c r="B835" s="8"/>
      <c r="C835" s="30"/>
      <c r="D835" s="8"/>
      <c r="E835" s="8"/>
      <c r="F835" s="8"/>
      <c r="G835" s="8"/>
      <c r="H835" s="8"/>
      <c r="I835" s="8"/>
      <c r="J835" s="8"/>
      <c r="K835" s="8"/>
      <c r="L835" s="8"/>
      <c r="M835" s="8"/>
      <c r="N835" s="8"/>
      <c r="O835" s="8"/>
      <c r="P835" s="8"/>
      <c r="Q835" s="8"/>
      <c r="R835" s="8"/>
    </row>
    <row r="836" spans="1:18" ht="12.75" customHeight="1">
      <c r="A836" s="8"/>
      <c r="B836" s="8"/>
      <c r="C836" s="30"/>
      <c r="D836" s="8"/>
      <c r="E836" s="8"/>
      <c r="F836" s="8"/>
      <c r="G836" s="8"/>
      <c r="H836" s="8"/>
      <c r="I836" s="8"/>
      <c r="J836" s="8"/>
      <c r="K836" s="8"/>
      <c r="L836" s="8"/>
      <c r="M836" s="8"/>
      <c r="N836" s="8"/>
      <c r="O836" s="8"/>
      <c r="P836" s="8"/>
      <c r="Q836" s="8"/>
      <c r="R836" s="8"/>
    </row>
    <row r="837" spans="1:18" ht="12.75" customHeight="1">
      <c r="A837" s="8"/>
      <c r="B837" s="8"/>
      <c r="C837" s="30"/>
      <c r="D837" s="8"/>
      <c r="E837" s="8"/>
      <c r="F837" s="8"/>
      <c r="G837" s="8"/>
      <c r="H837" s="8"/>
      <c r="I837" s="8"/>
      <c r="J837" s="8"/>
      <c r="K837" s="8"/>
      <c r="L837" s="8"/>
      <c r="M837" s="8"/>
      <c r="N837" s="8"/>
      <c r="O837" s="8"/>
      <c r="P837" s="8"/>
      <c r="Q837" s="8"/>
      <c r="R837" s="8"/>
    </row>
    <row r="838" spans="1:18" ht="12.75" customHeight="1">
      <c r="A838" s="8"/>
      <c r="B838" s="8"/>
      <c r="C838" s="30"/>
      <c r="D838" s="8"/>
      <c r="E838" s="8"/>
      <c r="F838" s="8"/>
      <c r="G838" s="8"/>
      <c r="H838" s="8"/>
      <c r="I838" s="8"/>
      <c r="J838" s="8"/>
      <c r="K838" s="8"/>
      <c r="L838" s="8"/>
      <c r="M838" s="8"/>
      <c r="N838" s="8"/>
      <c r="O838" s="8"/>
      <c r="P838" s="8"/>
      <c r="Q838" s="8"/>
      <c r="R838" s="8"/>
    </row>
    <row r="839" spans="1:18" ht="12.75" customHeight="1">
      <c r="A839" s="8"/>
      <c r="B839" s="8"/>
      <c r="C839" s="30"/>
      <c r="D839" s="8"/>
      <c r="E839" s="8"/>
      <c r="F839" s="8"/>
      <c r="G839" s="8"/>
      <c r="H839" s="8"/>
      <c r="I839" s="8"/>
      <c r="J839" s="8"/>
      <c r="K839" s="8"/>
      <c r="L839" s="8"/>
      <c r="M839" s="8"/>
      <c r="N839" s="8"/>
      <c r="O839" s="8"/>
      <c r="P839" s="8"/>
      <c r="Q839" s="8"/>
      <c r="R839" s="8"/>
    </row>
    <row r="840" spans="1:18" ht="12.75" customHeight="1">
      <c r="A840" s="8"/>
      <c r="B840" s="8"/>
      <c r="C840" s="30"/>
      <c r="D840" s="8"/>
      <c r="E840" s="8"/>
      <c r="F840" s="8"/>
      <c r="G840" s="8"/>
      <c r="H840" s="8"/>
      <c r="I840" s="8"/>
      <c r="J840" s="8"/>
      <c r="K840" s="8"/>
      <c r="L840" s="8"/>
      <c r="M840" s="8"/>
      <c r="N840" s="8"/>
      <c r="O840" s="8"/>
      <c r="P840" s="8"/>
      <c r="Q840" s="8"/>
      <c r="R840" s="8"/>
    </row>
    <row r="841" spans="1:18" ht="12.75" customHeight="1">
      <c r="A841" s="8"/>
      <c r="B841" s="8"/>
      <c r="C841" s="30"/>
      <c r="D841" s="8"/>
      <c r="E841" s="8"/>
      <c r="F841" s="8"/>
      <c r="G841" s="8"/>
      <c r="H841" s="8"/>
      <c r="I841" s="8"/>
      <c r="J841" s="8"/>
      <c r="K841" s="8"/>
      <c r="L841" s="8"/>
      <c r="M841" s="8"/>
      <c r="N841" s="8"/>
      <c r="O841" s="8"/>
      <c r="P841" s="8"/>
      <c r="Q841" s="8"/>
      <c r="R841" s="8"/>
    </row>
    <row r="842" spans="1:18" ht="12.75" customHeight="1">
      <c r="A842" s="8"/>
      <c r="B842" s="8"/>
      <c r="C842" s="30"/>
      <c r="D842" s="8"/>
      <c r="E842" s="8"/>
      <c r="F842" s="8"/>
      <c r="G842" s="8"/>
      <c r="H842" s="8"/>
      <c r="I842" s="8"/>
      <c r="J842" s="8"/>
      <c r="K842" s="8"/>
      <c r="L842" s="8"/>
      <c r="M842" s="8"/>
      <c r="N842" s="8"/>
      <c r="O842" s="8"/>
      <c r="P842" s="8"/>
      <c r="Q842" s="8"/>
      <c r="R842" s="8"/>
    </row>
    <row r="843" spans="1:18" ht="12.75" customHeight="1">
      <c r="A843" s="8"/>
      <c r="B843" s="8"/>
      <c r="C843" s="30"/>
      <c r="D843" s="8"/>
      <c r="E843" s="8"/>
      <c r="F843" s="8"/>
      <c r="G843" s="8"/>
      <c r="H843" s="8"/>
      <c r="I843" s="8"/>
      <c r="J843" s="8"/>
      <c r="K843" s="8"/>
      <c r="L843" s="8"/>
      <c r="M843" s="8"/>
      <c r="N843" s="8"/>
      <c r="O843" s="8"/>
      <c r="P843" s="8"/>
      <c r="Q843" s="8"/>
      <c r="R843" s="8"/>
    </row>
    <row r="844" spans="1:18" ht="12.75" customHeight="1">
      <c r="A844" s="8"/>
      <c r="B844" s="8"/>
      <c r="C844" s="30"/>
      <c r="D844" s="8"/>
      <c r="E844" s="8"/>
      <c r="F844" s="8"/>
      <c r="G844" s="8"/>
      <c r="H844" s="8"/>
      <c r="I844" s="8"/>
      <c r="J844" s="8"/>
      <c r="K844" s="8"/>
      <c r="L844" s="8"/>
      <c r="M844" s="8"/>
      <c r="N844" s="8"/>
      <c r="O844" s="8"/>
      <c r="P844" s="8"/>
      <c r="Q844" s="8"/>
      <c r="R844" s="8"/>
    </row>
    <row r="845" spans="1:18" ht="12.75" customHeight="1">
      <c r="A845" s="8"/>
      <c r="B845" s="8"/>
      <c r="C845" s="30"/>
      <c r="D845" s="8"/>
      <c r="E845" s="8"/>
      <c r="F845" s="8"/>
      <c r="G845" s="8"/>
      <c r="H845" s="8"/>
      <c r="I845" s="8"/>
      <c r="J845" s="8"/>
      <c r="K845" s="8"/>
      <c r="L845" s="8"/>
      <c r="M845" s="8"/>
      <c r="N845" s="8"/>
      <c r="O845" s="8"/>
      <c r="P845" s="8"/>
      <c r="Q845" s="8"/>
      <c r="R845" s="8"/>
    </row>
    <row r="846" spans="1:18" ht="12.75" customHeight="1">
      <c r="A846" s="8"/>
      <c r="B846" s="8"/>
      <c r="C846" s="30"/>
      <c r="D846" s="8"/>
      <c r="E846" s="8"/>
      <c r="F846" s="8"/>
      <c r="G846" s="8"/>
      <c r="H846" s="8"/>
      <c r="I846" s="8"/>
      <c r="J846" s="8"/>
      <c r="K846" s="8"/>
      <c r="L846" s="8"/>
      <c r="M846" s="8"/>
      <c r="N846" s="8"/>
      <c r="O846" s="8"/>
      <c r="P846" s="8"/>
      <c r="Q846" s="8"/>
      <c r="R846" s="8"/>
    </row>
    <row r="847" spans="1:18" ht="12.75" customHeight="1">
      <c r="A847" s="8"/>
      <c r="B847" s="8"/>
      <c r="C847" s="30"/>
      <c r="D847" s="8"/>
      <c r="E847" s="8"/>
      <c r="F847" s="8"/>
      <c r="G847" s="8"/>
      <c r="H847" s="8"/>
      <c r="I847" s="8"/>
      <c r="J847" s="8"/>
      <c r="K847" s="8"/>
      <c r="L847" s="8"/>
      <c r="M847" s="8"/>
      <c r="N847" s="8"/>
      <c r="O847" s="8"/>
      <c r="P847" s="8"/>
      <c r="Q847" s="8"/>
      <c r="R847" s="8"/>
    </row>
    <row r="848" spans="1:18" ht="12.75" customHeight="1">
      <c r="A848" s="8"/>
      <c r="B848" s="8"/>
      <c r="C848" s="30"/>
      <c r="D848" s="8"/>
      <c r="E848" s="8"/>
      <c r="F848" s="8"/>
      <c r="G848" s="8"/>
      <c r="H848" s="8"/>
      <c r="I848" s="8"/>
      <c r="J848" s="8"/>
      <c r="K848" s="8"/>
      <c r="L848" s="8"/>
      <c r="M848" s="8"/>
      <c r="N848" s="8"/>
      <c r="O848" s="8"/>
      <c r="P848" s="8"/>
      <c r="Q848" s="8"/>
      <c r="R848" s="8"/>
    </row>
    <row r="849" spans="1:18" ht="12.75" customHeight="1">
      <c r="A849" s="8"/>
      <c r="B849" s="8"/>
      <c r="C849" s="30"/>
      <c r="D849" s="8"/>
      <c r="E849" s="8"/>
      <c r="F849" s="8"/>
      <c r="G849" s="8"/>
      <c r="H849" s="8"/>
      <c r="I849" s="8"/>
      <c r="J849" s="8"/>
      <c r="K849" s="8"/>
      <c r="L849" s="8"/>
      <c r="M849" s="8"/>
      <c r="N849" s="8"/>
      <c r="O849" s="8"/>
      <c r="P849" s="8"/>
      <c r="Q849" s="8"/>
      <c r="R849" s="8"/>
    </row>
    <row r="850" spans="1:18" ht="12.75" customHeight="1">
      <c r="A850" s="8"/>
      <c r="B850" s="8"/>
      <c r="C850" s="30"/>
      <c r="D850" s="8"/>
      <c r="E850" s="8"/>
      <c r="F850" s="8"/>
      <c r="G850" s="8"/>
      <c r="H850" s="8"/>
      <c r="I850" s="8"/>
      <c r="J850" s="8"/>
      <c r="K850" s="8"/>
      <c r="L850" s="8"/>
      <c r="M850" s="8"/>
      <c r="N850" s="8"/>
      <c r="O850" s="8"/>
      <c r="P850" s="8"/>
      <c r="Q850" s="8"/>
      <c r="R850" s="8"/>
    </row>
    <row r="851" spans="1:18" ht="12.75" customHeight="1">
      <c r="A851" s="8"/>
      <c r="B851" s="8"/>
      <c r="C851" s="30"/>
      <c r="D851" s="8"/>
      <c r="E851" s="8"/>
      <c r="F851" s="8"/>
      <c r="G851" s="8"/>
      <c r="H851" s="8"/>
      <c r="I851" s="8"/>
      <c r="J851" s="8"/>
      <c r="K851" s="8"/>
      <c r="L851" s="8"/>
      <c r="M851" s="8"/>
      <c r="N851" s="8"/>
      <c r="O851" s="8"/>
      <c r="P851" s="8"/>
      <c r="Q851" s="8"/>
      <c r="R851" s="8"/>
    </row>
    <row r="852" spans="1:18" ht="12.75" customHeight="1">
      <c r="A852" s="8"/>
      <c r="B852" s="8"/>
      <c r="C852" s="30"/>
      <c r="D852" s="8"/>
      <c r="E852" s="8"/>
      <c r="F852" s="8"/>
      <c r="G852" s="8"/>
      <c r="H852" s="8"/>
      <c r="I852" s="8"/>
      <c r="J852" s="8"/>
      <c r="K852" s="8"/>
      <c r="L852" s="8"/>
      <c r="M852" s="8"/>
      <c r="N852" s="8"/>
      <c r="O852" s="8"/>
      <c r="P852" s="8"/>
      <c r="Q852" s="8"/>
      <c r="R852" s="8"/>
    </row>
    <row r="853" spans="1:18" ht="12.75" customHeight="1">
      <c r="A853" s="8"/>
      <c r="B853" s="8"/>
      <c r="C853" s="30"/>
      <c r="D853" s="8"/>
      <c r="E853" s="8"/>
      <c r="F853" s="8"/>
      <c r="G853" s="8"/>
      <c r="H853" s="8"/>
      <c r="I853" s="8"/>
      <c r="J853" s="8"/>
      <c r="K853" s="8"/>
      <c r="L853" s="8"/>
      <c r="M853" s="8"/>
      <c r="N853" s="8"/>
      <c r="O853" s="8"/>
      <c r="P853" s="8"/>
      <c r="Q853" s="8"/>
      <c r="R853" s="8"/>
    </row>
    <row r="854" spans="1:18" ht="12.75" customHeight="1">
      <c r="A854" s="8"/>
      <c r="B854" s="8"/>
      <c r="C854" s="30"/>
      <c r="D854" s="8"/>
      <c r="E854" s="8"/>
      <c r="F854" s="8"/>
      <c r="G854" s="8"/>
      <c r="H854" s="8"/>
      <c r="I854" s="8"/>
      <c r="J854" s="8"/>
      <c r="K854" s="8"/>
      <c r="L854" s="8"/>
      <c r="M854" s="8"/>
      <c r="N854" s="8"/>
      <c r="O854" s="8"/>
      <c r="P854" s="8"/>
      <c r="Q854" s="8"/>
      <c r="R854" s="8"/>
    </row>
    <row r="855" spans="1:18" ht="12.75" customHeight="1">
      <c r="A855" s="8"/>
      <c r="B855" s="8"/>
      <c r="C855" s="30"/>
      <c r="D855" s="8"/>
      <c r="E855" s="8"/>
      <c r="F855" s="8"/>
      <c r="G855" s="8"/>
      <c r="H855" s="8"/>
      <c r="I855" s="8"/>
      <c r="J855" s="8"/>
      <c r="K855" s="8"/>
      <c r="L855" s="8"/>
      <c r="M855" s="8"/>
      <c r="N855" s="8"/>
      <c r="O855" s="8"/>
      <c r="P855" s="8"/>
      <c r="Q855" s="8"/>
      <c r="R855" s="8"/>
    </row>
    <row r="856" spans="1:18" ht="12.75" customHeight="1">
      <c r="A856" s="8"/>
      <c r="B856" s="8"/>
      <c r="C856" s="30"/>
      <c r="D856" s="8"/>
      <c r="E856" s="8"/>
      <c r="F856" s="8"/>
      <c r="G856" s="8"/>
      <c r="H856" s="8"/>
      <c r="I856" s="8"/>
      <c r="J856" s="8"/>
      <c r="K856" s="8"/>
      <c r="L856" s="8"/>
      <c r="M856" s="8"/>
      <c r="N856" s="8"/>
      <c r="O856" s="8"/>
      <c r="P856" s="8"/>
      <c r="Q856" s="8"/>
      <c r="R856" s="8"/>
    </row>
    <row r="857" spans="1:18" ht="12.75" customHeight="1">
      <c r="A857" s="8"/>
      <c r="B857" s="8"/>
      <c r="C857" s="30"/>
      <c r="D857" s="8"/>
      <c r="E857" s="8"/>
      <c r="F857" s="8"/>
      <c r="G857" s="8"/>
      <c r="H857" s="8"/>
      <c r="I857" s="8"/>
      <c r="J857" s="8"/>
      <c r="K857" s="8"/>
      <c r="L857" s="8"/>
      <c r="M857" s="8"/>
      <c r="N857" s="8"/>
      <c r="O857" s="8"/>
      <c r="P857" s="8"/>
      <c r="Q857" s="8"/>
      <c r="R857" s="8"/>
    </row>
    <row r="858" spans="1:18" ht="12.75" customHeight="1">
      <c r="A858" s="8"/>
      <c r="B858" s="8"/>
      <c r="C858" s="30"/>
      <c r="D858" s="8"/>
      <c r="E858" s="8"/>
      <c r="F858" s="8"/>
      <c r="G858" s="8"/>
      <c r="H858" s="8"/>
      <c r="I858" s="8"/>
      <c r="J858" s="8"/>
      <c r="K858" s="8"/>
      <c r="L858" s="8"/>
      <c r="M858" s="8"/>
      <c r="N858" s="8"/>
      <c r="O858" s="8"/>
      <c r="P858" s="8"/>
      <c r="Q858" s="8"/>
      <c r="R858" s="8"/>
    </row>
    <row r="859" spans="1:18" ht="12.75" customHeight="1">
      <c r="A859" s="8"/>
      <c r="B859" s="8"/>
      <c r="C859" s="30"/>
      <c r="D859" s="8"/>
      <c r="E859" s="8"/>
      <c r="F859" s="8"/>
      <c r="G859" s="8"/>
      <c r="H859" s="8"/>
      <c r="I859" s="8"/>
      <c r="J859" s="8"/>
      <c r="K859" s="8"/>
      <c r="L859" s="8"/>
      <c r="M859" s="8"/>
      <c r="N859" s="8"/>
      <c r="O859" s="8"/>
      <c r="P859" s="8"/>
      <c r="Q859" s="8"/>
      <c r="R859" s="8"/>
    </row>
    <row r="860" spans="1:18" ht="12.75" customHeight="1">
      <c r="A860" s="8"/>
      <c r="B860" s="8"/>
      <c r="C860" s="30"/>
      <c r="D860" s="8"/>
      <c r="E860" s="8"/>
      <c r="F860" s="8"/>
      <c r="G860" s="8"/>
      <c r="H860" s="8"/>
      <c r="I860" s="8"/>
      <c r="J860" s="8"/>
      <c r="K860" s="8"/>
      <c r="L860" s="8"/>
      <c r="M860" s="8"/>
      <c r="N860" s="8"/>
      <c r="O860" s="8"/>
      <c r="P860" s="8"/>
      <c r="Q860" s="8"/>
      <c r="R860" s="8"/>
    </row>
    <row r="861" spans="1:18" ht="12.75" customHeight="1">
      <c r="A861" s="8"/>
      <c r="B861" s="8"/>
      <c r="C861" s="30"/>
      <c r="D861" s="8"/>
      <c r="E861" s="8"/>
      <c r="F861" s="8"/>
      <c r="G861" s="8"/>
      <c r="H861" s="8"/>
      <c r="I861" s="8"/>
      <c r="J861" s="8"/>
      <c r="K861" s="8"/>
      <c r="L861" s="8"/>
      <c r="M861" s="8"/>
      <c r="N861" s="8"/>
      <c r="O861" s="8"/>
      <c r="P861" s="8"/>
      <c r="Q861" s="8"/>
      <c r="R861" s="8"/>
    </row>
    <row r="862" spans="1:18" ht="12.75" customHeight="1">
      <c r="A862" s="8"/>
      <c r="B862" s="8"/>
      <c r="C862" s="30"/>
      <c r="D862" s="8"/>
      <c r="E862" s="8"/>
      <c r="F862" s="8"/>
      <c r="G862" s="8"/>
      <c r="H862" s="8"/>
      <c r="I862" s="8"/>
      <c r="J862" s="8"/>
      <c r="K862" s="8"/>
      <c r="L862" s="8"/>
      <c r="M862" s="8"/>
      <c r="N862" s="8"/>
      <c r="O862" s="8"/>
      <c r="P862" s="8"/>
      <c r="Q862" s="8"/>
      <c r="R862" s="8"/>
    </row>
    <row r="863" spans="1:18" ht="12.75" customHeight="1">
      <c r="A863" s="8"/>
      <c r="B863" s="8"/>
      <c r="C863" s="30"/>
      <c r="D863" s="8"/>
      <c r="E863" s="8"/>
      <c r="F863" s="8"/>
      <c r="G863" s="8"/>
      <c r="H863" s="8"/>
      <c r="I863" s="8"/>
      <c r="J863" s="8"/>
      <c r="K863" s="8"/>
      <c r="L863" s="8"/>
      <c r="M863" s="8"/>
      <c r="N863" s="8"/>
      <c r="O863" s="8"/>
      <c r="P863" s="8"/>
      <c r="Q863" s="8"/>
      <c r="R863" s="8"/>
    </row>
    <row r="864" spans="1:18" ht="12.75" customHeight="1">
      <c r="A864" s="8"/>
      <c r="B864" s="8"/>
      <c r="C864" s="30"/>
      <c r="D864" s="8"/>
      <c r="E864" s="8"/>
      <c r="F864" s="8"/>
      <c r="G864" s="8"/>
      <c r="H864" s="8"/>
      <c r="I864" s="8"/>
      <c r="J864" s="8"/>
      <c r="K864" s="8"/>
      <c r="L864" s="8"/>
      <c r="M864" s="8"/>
      <c r="N864" s="8"/>
      <c r="O864" s="8"/>
      <c r="P864" s="8"/>
      <c r="Q864" s="8"/>
      <c r="R864" s="8"/>
    </row>
    <row r="865" spans="1:18" ht="12.75" customHeight="1">
      <c r="A865" s="8"/>
      <c r="B865" s="8"/>
      <c r="C865" s="30"/>
      <c r="D865" s="8"/>
      <c r="E865" s="8"/>
      <c r="F865" s="8"/>
      <c r="G865" s="8"/>
      <c r="H865" s="8"/>
      <c r="I865" s="8"/>
      <c r="J865" s="8"/>
      <c r="K865" s="8"/>
      <c r="L865" s="8"/>
      <c r="M865" s="8"/>
      <c r="N865" s="8"/>
      <c r="O865" s="8"/>
      <c r="P865" s="8"/>
      <c r="Q865" s="8"/>
      <c r="R865" s="8"/>
    </row>
    <row r="866" spans="1:18" ht="12.75" customHeight="1">
      <c r="A866" s="8"/>
      <c r="B866" s="8"/>
      <c r="C866" s="30"/>
      <c r="D866" s="8"/>
      <c r="E866" s="8"/>
      <c r="F866" s="8"/>
      <c r="G866" s="8"/>
      <c r="H866" s="8"/>
      <c r="I866" s="8"/>
      <c r="J866" s="8"/>
      <c r="K866" s="8"/>
      <c r="L866" s="8"/>
      <c r="M866" s="8"/>
      <c r="N866" s="8"/>
      <c r="O866" s="8"/>
      <c r="P866" s="8"/>
      <c r="Q866" s="8"/>
      <c r="R866" s="8"/>
    </row>
    <row r="867" spans="1:18" ht="12.75" customHeight="1">
      <c r="A867" s="8"/>
      <c r="B867" s="8"/>
      <c r="C867" s="30"/>
      <c r="D867" s="8"/>
      <c r="E867" s="8"/>
      <c r="F867" s="8"/>
      <c r="G867" s="8"/>
      <c r="H867" s="8"/>
      <c r="I867" s="8"/>
      <c r="J867" s="8"/>
      <c r="K867" s="8"/>
      <c r="L867" s="8"/>
      <c r="M867" s="8"/>
      <c r="N867" s="8"/>
      <c r="O867" s="8"/>
      <c r="P867" s="8"/>
      <c r="Q867" s="8"/>
      <c r="R867" s="8"/>
    </row>
    <row r="868" spans="1:18" ht="12.75" customHeight="1">
      <c r="A868" s="8"/>
      <c r="B868" s="8"/>
      <c r="C868" s="30"/>
      <c r="D868" s="8"/>
      <c r="E868" s="8"/>
      <c r="F868" s="8"/>
      <c r="G868" s="8"/>
      <c r="H868" s="8"/>
      <c r="I868" s="8"/>
      <c r="J868" s="8"/>
      <c r="K868" s="8"/>
      <c r="L868" s="8"/>
      <c r="M868" s="8"/>
      <c r="N868" s="8"/>
      <c r="O868" s="8"/>
      <c r="P868" s="8"/>
      <c r="Q868" s="8"/>
      <c r="R868" s="8"/>
    </row>
    <row r="869" spans="1:18" ht="12.75" customHeight="1">
      <c r="A869" s="8"/>
      <c r="B869" s="8"/>
      <c r="C869" s="30"/>
      <c r="D869" s="8"/>
      <c r="E869" s="8"/>
      <c r="F869" s="8"/>
      <c r="G869" s="8"/>
      <c r="H869" s="8"/>
      <c r="I869" s="8"/>
      <c r="J869" s="8"/>
      <c r="K869" s="8"/>
      <c r="L869" s="8"/>
      <c r="M869" s="8"/>
      <c r="N869" s="8"/>
      <c r="O869" s="8"/>
      <c r="P869" s="8"/>
      <c r="Q869" s="8"/>
      <c r="R869" s="8"/>
    </row>
    <row r="870" spans="1:18" ht="12.75" customHeight="1">
      <c r="A870" s="8"/>
      <c r="B870" s="8"/>
      <c r="C870" s="30"/>
      <c r="D870" s="8"/>
      <c r="E870" s="8"/>
      <c r="F870" s="8"/>
      <c r="G870" s="8"/>
      <c r="H870" s="8"/>
      <c r="I870" s="8"/>
      <c r="J870" s="8"/>
      <c r="K870" s="8"/>
      <c r="L870" s="8"/>
      <c r="M870" s="8"/>
      <c r="N870" s="8"/>
      <c r="O870" s="8"/>
      <c r="P870" s="8"/>
      <c r="Q870" s="8"/>
      <c r="R870" s="8"/>
    </row>
    <row r="871" spans="1:18" ht="12.75" customHeight="1">
      <c r="A871" s="8"/>
      <c r="B871" s="8"/>
      <c r="C871" s="30"/>
      <c r="D871" s="8"/>
      <c r="E871" s="8"/>
      <c r="F871" s="8"/>
      <c r="G871" s="8"/>
      <c r="H871" s="8"/>
      <c r="I871" s="8"/>
      <c r="J871" s="8"/>
      <c r="K871" s="8"/>
      <c r="L871" s="8"/>
      <c r="M871" s="8"/>
      <c r="N871" s="8"/>
      <c r="O871" s="8"/>
      <c r="P871" s="8"/>
      <c r="Q871" s="8"/>
      <c r="R871" s="8"/>
    </row>
    <row r="872" spans="1:18" ht="12.75" customHeight="1">
      <c r="A872" s="8"/>
      <c r="B872" s="8"/>
      <c r="C872" s="30"/>
      <c r="D872" s="8"/>
      <c r="E872" s="8"/>
      <c r="F872" s="8"/>
      <c r="G872" s="8"/>
      <c r="H872" s="8"/>
      <c r="I872" s="8"/>
      <c r="J872" s="8"/>
      <c r="K872" s="8"/>
      <c r="L872" s="8"/>
      <c r="M872" s="8"/>
      <c r="N872" s="8"/>
      <c r="O872" s="8"/>
      <c r="P872" s="8"/>
      <c r="Q872" s="8"/>
      <c r="R872" s="8"/>
    </row>
    <row r="873" spans="1:18" ht="12.75" customHeight="1">
      <c r="A873" s="8"/>
      <c r="B873" s="8"/>
      <c r="C873" s="30"/>
      <c r="D873" s="8"/>
      <c r="E873" s="8"/>
      <c r="F873" s="8"/>
      <c r="G873" s="8"/>
      <c r="H873" s="8"/>
      <c r="I873" s="8"/>
      <c r="J873" s="8"/>
      <c r="K873" s="8"/>
      <c r="L873" s="8"/>
      <c r="M873" s="8"/>
      <c r="N873" s="8"/>
      <c r="O873" s="8"/>
      <c r="P873" s="8"/>
      <c r="Q873" s="8"/>
      <c r="R873" s="8"/>
    </row>
    <row r="874" spans="1:18" ht="12.75" customHeight="1">
      <c r="A874" s="8"/>
      <c r="B874" s="8"/>
      <c r="C874" s="30"/>
      <c r="D874" s="8"/>
      <c r="E874" s="8"/>
      <c r="F874" s="8"/>
      <c r="G874" s="8"/>
      <c r="H874" s="8"/>
      <c r="I874" s="8"/>
      <c r="J874" s="8"/>
      <c r="K874" s="8"/>
      <c r="L874" s="8"/>
      <c r="M874" s="8"/>
      <c r="N874" s="8"/>
      <c r="O874" s="8"/>
      <c r="P874" s="8"/>
      <c r="Q874" s="8"/>
      <c r="R874" s="8"/>
    </row>
    <row r="875" spans="1:18" ht="12.75" customHeight="1">
      <c r="A875" s="8"/>
      <c r="B875" s="8"/>
      <c r="C875" s="30"/>
      <c r="D875" s="8"/>
      <c r="E875" s="8"/>
      <c r="F875" s="8"/>
      <c r="G875" s="8"/>
      <c r="H875" s="8"/>
      <c r="I875" s="8"/>
      <c r="J875" s="8"/>
      <c r="K875" s="8"/>
      <c r="L875" s="8"/>
      <c r="M875" s="8"/>
      <c r="N875" s="8"/>
      <c r="O875" s="8"/>
      <c r="P875" s="8"/>
      <c r="Q875" s="8"/>
      <c r="R875" s="8"/>
    </row>
    <row r="876" spans="1:18" ht="12.75" customHeight="1">
      <c r="A876" s="8"/>
      <c r="B876" s="8"/>
      <c r="C876" s="30"/>
      <c r="D876" s="8"/>
      <c r="E876" s="8"/>
      <c r="F876" s="8"/>
      <c r="G876" s="8"/>
      <c r="H876" s="8"/>
      <c r="I876" s="8"/>
      <c r="J876" s="8"/>
      <c r="K876" s="8"/>
      <c r="L876" s="8"/>
      <c r="M876" s="8"/>
      <c r="N876" s="8"/>
      <c r="O876" s="8"/>
      <c r="P876" s="8"/>
      <c r="Q876" s="8"/>
      <c r="R876" s="8"/>
    </row>
    <row r="877" spans="1:18" ht="12.75" customHeight="1">
      <c r="A877" s="8"/>
      <c r="B877" s="8"/>
      <c r="C877" s="30"/>
      <c r="D877" s="8"/>
      <c r="E877" s="8"/>
      <c r="F877" s="8"/>
      <c r="G877" s="8"/>
      <c r="H877" s="8"/>
      <c r="I877" s="8"/>
      <c r="J877" s="8"/>
      <c r="K877" s="8"/>
      <c r="L877" s="8"/>
      <c r="M877" s="8"/>
      <c r="N877" s="8"/>
      <c r="O877" s="8"/>
      <c r="P877" s="8"/>
      <c r="Q877" s="8"/>
      <c r="R877" s="8"/>
    </row>
    <row r="878" spans="1:18" ht="12.75" customHeight="1">
      <c r="A878" s="8"/>
      <c r="B878" s="8"/>
      <c r="C878" s="30"/>
      <c r="D878" s="8"/>
      <c r="E878" s="8"/>
      <c r="F878" s="8"/>
      <c r="G878" s="8"/>
      <c r="H878" s="8"/>
      <c r="I878" s="8"/>
      <c r="J878" s="8"/>
      <c r="K878" s="8"/>
      <c r="L878" s="8"/>
      <c r="M878" s="8"/>
      <c r="N878" s="8"/>
      <c r="O878" s="8"/>
      <c r="P878" s="8"/>
      <c r="Q878" s="8"/>
      <c r="R878" s="8"/>
    </row>
    <row r="879" spans="1:18" ht="12.75" customHeight="1">
      <c r="A879" s="8"/>
      <c r="B879" s="8"/>
      <c r="C879" s="30"/>
      <c r="D879" s="8"/>
      <c r="E879" s="8"/>
      <c r="F879" s="8"/>
      <c r="G879" s="8"/>
      <c r="H879" s="8"/>
      <c r="I879" s="8"/>
      <c r="J879" s="8"/>
      <c r="K879" s="8"/>
      <c r="L879" s="8"/>
      <c r="M879" s="8"/>
      <c r="N879" s="8"/>
      <c r="O879" s="8"/>
      <c r="P879" s="8"/>
      <c r="Q879" s="8"/>
      <c r="R879" s="8"/>
    </row>
    <row r="880" spans="1:18" ht="12.75" customHeight="1">
      <c r="A880" s="8"/>
      <c r="B880" s="8"/>
      <c r="C880" s="30"/>
      <c r="D880" s="8"/>
      <c r="E880" s="8"/>
      <c r="F880" s="8"/>
      <c r="G880" s="8"/>
      <c r="H880" s="8"/>
      <c r="I880" s="8"/>
      <c r="J880" s="8"/>
      <c r="K880" s="8"/>
      <c r="L880" s="8"/>
      <c r="M880" s="8"/>
      <c r="N880" s="8"/>
      <c r="O880" s="8"/>
      <c r="P880" s="8"/>
      <c r="Q880" s="8"/>
      <c r="R880" s="8"/>
    </row>
    <row r="881" spans="1:18" ht="12.75" customHeight="1">
      <c r="A881" s="8"/>
      <c r="B881" s="8"/>
      <c r="C881" s="30"/>
      <c r="D881" s="8"/>
      <c r="E881" s="8"/>
      <c r="F881" s="8"/>
      <c r="G881" s="8"/>
      <c r="H881" s="8"/>
      <c r="I881" s="8"/>
      <c r="J881" s="8"/>
      <c r="K881" s="8"/>
      <c r="L881" s="8"/>
      <c r="M881" s="8"/>
      <c r="N881" s="8"/>
      <c r="O881" s="8"/>
      <c r="P881" s="8"/>
      <c r="Q881" s="8"/>
      <c r="R881" s="8"/>
    </row>
    <row r="882" spans="1:18" ht="12.75" customHeight="1">
      <c r="A882" s="8"/>
      <c r="B882" s="8"/>
      <c r="C882" s="30"/>
      <c r="D882" s="8"/>
      <c r="E882" s="8"/>
      <c r="F882" s="8"/>
      <c r="G882" s="8"/>
      <c r="H882" s="8"/>
      <c r="I882" s="8"/>
      <c r="J882" s="8"/>
      <c r="K882" s="8"/>
      <c r="L882" s="8"/>
      <c r="M882" s="8"/>
      <c r="N882" s="8"/>
      <c r="O882" s="8"/>
      <c r="P882" s="8"/>
      <c r="Q882" s="8"/>
      <c r="R882" s="8"/>
    </row>
    <row r="883" spans="1:18" ht="12.75" customHeight="1">
      <c r="A883" s="8"/>
      <c r="B883" s="8"/>
      <c r="C883" s="30"/>
      <c r="D883" s="8"/>
      <c r="E883" s="8"/>
      <c r="F883" s="8"/>
      <c r="G883" s="8"/>
      <c r="H883" s="8"/>
      <c r="I883" s="8"/>
      <c r="J883" s="8"/>
      <c r="K883" s="8"/>
      <c r="L883" s="8"/>
      <c r="M883" s="8"/>
      <c r="N883" s="8"/>
      <c r="O883" s="8"/>
      <c r="P883" s="8"/>
      <c r="Q883" s="8"/>
      <c r="R883" s="8"/>
    </row>
    <row r="884" spans="1:18" ht="12.75" customHeight="1">
      <c r="A884" s="8"/>
      <c r="B884" s="8"/>
      <c r="C884" s="30"/>
      <c r="D884" s="8"/>
      <c r="E884" s="8"/>
      <c r="F884" s="8"/>
      <c r="G884" s="8"/>
      <c r="H884" s="8"/>
      <c r="I884" s="8"/>
      <c r="J884" s="8"/>
      <c r="K884" s="8"/>
      <c r="L884" s="8"/>
      <c r="M884" s="8"/>
      <c r="N884" s="8"/>
      <c r="O884" s="8"/>
      <c r="P884" s="8"/>
      <c r="Q884" s="8"/>
      <c r="R884" s="8"/>
    </row>
    <row r="885" spans="1:18" ht="12.75" customHeight="1">
      <c r="A885" s="8"/>
      <c r="B885" s="8"/>
      <c r="C885" s="30"/>
      <c r="D885" s="8"/>
      <c r="E885" s="8"/>
      <c r="F885" s="8"/>
      <c r="G885" s="8"/>
      <c r="H885" s="8"/>
      <c r="I885" s="8"/>
      <c r="J885" s="8"/>
      <c r="K885" s="8"/>
      <c r="L885" s="8"/>
      <c r="M885" s="8"/>
      <c r="N885" s="8"/>
      <c r="O885" s="8"/>
      <c r="P885" s="8"/>
      <c r="Q885" s="8"/>
      <c r="R885" s="8"/>
    </row>
    <row r="886" spans="1:18" ht="12.75" customHeight="1">
      <c r="A886" s="8"/>
      <c r="B886" s="8"/>
      <c r="C886" s="30"/>
      <c r="D886" s="8"/>
      <c r="E886" s="8"/>
      <c r="F886" s="8"/>
      <c r="G886" s="8"/>
      <c r="H886" s="8"/>
      <c r="I886" s="8"/>
      <c r="J886" s="8"/>
      <c r="K886" s="8"/>
      <c r="L886" s="8"/>
      <c r="M886" s="8"/>
      <c r="N886" s="8"/>
      <c r="O886" s="8"/>
      <c r="P886" s="8"/>
      <c r="Q886" s="8"/>
      <c r="R886" s="8"/>
    </row>
    <row r="887" spans="1:18" ht="12.75" customHeight="1">
      <c r="A887" s="8"/>
      <c r="B887" s="8"/>
      <c r="C887" s="30"/>
      <c r="D887" s="8"/>
      <c r="E887" s="8"/>
      <c r="F887" s="8"/>
      <c r="G887" s="8"/>
      <c r="H887" s="8"/>
      <c r="I887" s="8"/>
      <c r="J887" s="8"/>
      <c r="K887" s="8"/>
      <c r="L887" s="8"/>
      <c r="M887" s="8"/>
      <c r="N887" s="8"/>
      <c r="O887" s="8"/>
      <c r="P887" s="8"/>
      <c r="Q887" s="8"/>
      <c r="R887" s="8"/>
    </row>
    <row r="888" spans="1:18" ht="12.75" customHeight="1">
      <c r="A888" s="8"/>
      <c r="B888" s="8"/>
      <c r="C888" s="30"/>
      <c r="D888" s="8"/>
      <c r="E888" s="8"/>
      <c r="F888" s="8"/>
      <c r="G888" s="8"/>
      <c r="H888" s="8"/>
      <c r="I888" s="8"/>
      <c r="J888" s="8"/>
      <c r="K888" s="8"/>
      <c r="L888" s="8"/>
      <c r="M888" s="8"/>
      <c r="N888" s="8"/>
      <c r="O888" s="8"/>
      <c r="P888" s="8"/>
      <c r="Q888" s="8"/>
      <c r="R888" s="8"/>
    </row>
    <row r="889" spans="1:18" ht="12.75" customHeight="1">
      <c r="A889" s="8"/>
      <c r="B889" s="8"/>
      <c r="C889" s="30"/>
      <c r="D889" s="8"/>
      <c r="E889" s="8"/>
      <c r="F889" s="8"/>
      <c r="G889" s="8"/>
      <c r="H889" s="8"/>
      <c r="I889" s="8"/>
      <c r="J889" s="8"/>
      <c r="K889" s="8"/>
      <c r="L889" s="8"/>
      <c r="M889" s="8"/>
      <c r="N889" s="8"/>
      <c r="O889" s="8"/>
      <c r="P889" s="8"/>
      <c r="Q889" s="8"/>
      <c r="R889" s="8"/>
    </row>
    <row r="890" spans="1:18" ht="12.75" customHeight="1">
      <c r="A890" s="8"/>
      <c r="B890" s="8"/>
      <c r="C890" s="30"/>
      <c r="D890" s="8"/>
      <c r="E890" s="8"/>
      <c r="F890" s="8"/>
      <c r="G890" s="8"/>
      <c r="H890" s="8"/>
      <c r="I890" s="8"/>
      <c r="J890" s="8"/>
      <c r="K890" s="8"/>
      <c r="L890" s="8"/>
      <c r="M890" s="8"/>
      <c r="N890" s="8"/>
      <c r="O890" s="8"/>
      <c r="P890" s="8"/>
      <c r="Q890" s="8"/>
      <c r="R890" s="8"/>
    </row>
    <row r="891" spans="1:18" ht="12.75" customHeight="1">
      <c r="A891" s="8"/>
      <c r="B891" s="8"/>
      <c r="C891" s="30"/>
      <c r="D891" s="8"/>
      <c r="E891" s="8"/>
      <c r="F891" s="8"/>
      <c r="G891" s="8"/>
      <c r="H891" s="8"/>
      <c r="I891" s="8"/>
      <c r="J891" s="8"/>
      <c r="K891" s="8"/>
      <c r="L891" s="8"/>
      <c r="M891" s="8"/>
      <c r="N891" s="8"/>
      <c r="O891" s="8"/>
      <c r="P891" s="8"/>
      <c r="Q891" s="8"/>
      <c r="R891" s="8"/>
    </row>
    <row r="892" spans="1:18" ht="12.75" customHeight="1">
      <c r="A892" s="8"/>
      <c r="B892" s="8"/>
      <c r="C892" s="30"/>
      <c r="D892" s="8"/>
      <c r="E892" s="8"/>
      <c r="F892" s="8"/>
      <c r="G892" s="8"/>
      <c r="H892" s="8"/>
      <c r="I892" s="8"/>
      <c r="J892" s="8"/>
      <c r="K892" s="8"/>
      <c r="L892" s="8"/>
      <c r="M892" s="8"/>
      <c r="N892" s="8"/>
      <c r="O892" s="8"/>
      <c r="P892" s="8"/>
      <c r="Q892" s="8"/>
      <c r="R892" s="8"/>
    </row>
    <row r="893" spans="1:18" ht="12.75" customHeight="1">
      <c r="A893" s="8"/>
      <c r="B893" s="8"/>
      <c r="C893" s="30"/>
      <c r="D893" s="8"/>
      <c r="E893" s="8"/>
      <c r="F893" s="8"/>
      <c r="G893" s="8"/>
      <c r="H893" s="8"/>
      <c r="I893" s="8"/>
      <c r="J893" s="8"/>
      <c r="K893" s="8"/>
      <c r="L893" s="8"/>
      <c r="M893" s="8"/>
      <c r="N893" s="8"/>
      <c r="O893" s="8"/>
      <c r="P893" s="8"/>
      <c r="Q893" s="8"/>
      <c r="R893" s="8"/>
    </row>
    <row r="894" spans="1:18" ht="12.75" customHeight="1">
      <c r="A894" s="8"/>
      <c r="B894" s="8"/>
      <c r="C894" s="30"/>
      <c r="D894" s="8"/>
      <c r="E894" s="8"/>
      <c r="F894" s="8"/>
      <c r="G894" s="8"/>
      <c r="H894" s="8"/>
      <c r="I894" s="8"/>
      <c r="J894" s="8"/>
      <c r="K894" s="8"/>
      <c r="L894" s="8"/>
      <c r="M894" s="8"/>
      <c r="N894" s="8"/>
      <c r="O894" s="8"/>
      <c r="P894" s="8"/>
      <c r="Q894" s="8"/>
      <c r="R894" s="8"/>
    </row>
    <row r="895" spans="1:18" ht="12.75" customHeight="1">
      <c r="A895" s="8"/>
      <c r="B895" s="8"/>
      <c r="C895" s="30"/>
      <c r="D895" s="8"/>
      <c r="E895" s="8"/>
      <c r="F895" s="8"/>
      <c r="G895" s="8"/>
      <c r="H895" s="8"/>
      <c r="I895" s="8"/>
      <c r="J895" s="8"/>
      <c r="K895" s="8"/>
      <c r="L895" s="8"/>
      <c r="M895" s="8"/>
      <c r="N895" s="8"/>
      <c r="O895" s="8"/>
      <c r="P895" s="8"/>
      <c r="Q895" s="8"/>
      <c r="R895" s="8"/>
    </row>
    <row r="896" spans="1:18" ht="12.75" customHeight="1">
      <c r="A896" s="8"/>
      <c r="B896" s="8"/>
      <c r="C896" s="30"/>
      <c r="D896" s="8"/>
      <c r="E896" s="8"/>
      <c r="F896" s="8"/>
      <c r="G896" s="8"/>
      <c r="H896" s="8"/>
      <c r="I896" s="8"/>
      <c r="J896" s="8"/>
      <c r="K896" s="8"/>
      <c r="L896" s="8"/>
      <c r="M896" s="8"/>
      <c r="N896" s="8"/>
      <c r="O896" s="8"/>
      <c r="P896" s="8"/>
      <c r="Q896" s="8"/>
      <c r="R896" s="8"/>
    </row>
    <row r="897" spans="1:18" ht="12.75" customHeight="1">
      <c r="A897" s="8"/>
      <c r="B897" s="8"/>
      <c r="C897" s="30"/>
      <c r="D897" s="8"/>
      <c r="E897" s="8"/>
      <c r="F897" s="8"/>
      <c r="G897" s="8"/>
      <c r="H897" s="8"/>
      <c r="I897" s="8"/>
      <c r="J897" s="8"/>
      <c r="K897" s="8"/>
      <c r="L897" s="8"/>
      <c r="M897" s="8"/>
      <c r="N897" s="8"/>
      <c r="O897" s="8"/>
      <c r="P897" s="8"/>
      <c r="Q897" s="8"/>
      <c r="R897" s="8"/>
    </row>
    <row r="898" spans="1:18" ht="12.75" customHeight="1">
      <c r="A898" s="8"/>
      <c r="B898" s="8"/>
      <c r="C898" s="30"/>
      <c r="D898" s="8"/>
      <c r="E898" s="8"/>
      <c r="F898" s="8"/>
      <c r="G898" s="8"/>
      <c r="H898" s="8"/>
      <c r="I898" s="8"/>
      <c r="J898" s="8"/>
      <c r="K898" s="8"/>
      <c r="L898" s="8"/>
      <c r="M898" s="8"/>
      <c r="N898" s="8"/>
      <c r="O898" s="8"/>
      <c r="P898" s="8"/>
      <c r="Q898" s="8"/>
      <c r="R898" s="8"/>
    </row>
    <row r="899" spans="1:18" ht="12.75" customHeight="1">
      <c r="A899" s="8"/>
      <c r="B899" s="8"/>
      <c r="C899" s="30"/>
      <c r="D899" s="8"/>
      <c r="E899" s="8"/>
      <c r="F899" s="8"/>
      <c r="G899" s="8"/>
      <c r="H899" s="8"/>
      <c r="I899" s="8"/>
      <c r="J899" s="8"/>
      <c r="K899" s="8"/>
      <c r="L899" s="8"/>
      <c r="M899" s="8"/>
      <c r="N899" s="8"/>
      <c r="O899" s="8"/>
      <c r="P899" s="8"/>
      <c r="Q899" s="8"/>
      <c r="R899" s="8"/>
    </row>
    <row r="900" spans="1:18" ht="12.75" customHeight="1">
      <c r="A900" s="8"/>
      <c r="B900" s="8"/>
      <c r="C900" s="30"/>
      <c r="D900" s="8"/>
      <c r="E900" s="8"/>
      <c r="F900" s="8"/>
      <c r="G900" s="8"/>
      <c r="H900" s="8"/>
      <c r="I900" s="8"/>
      <c r="J900" s="8"/>
      <c r="K900" s="8"/>
      <c r="L900" s="8"/>
      <c r="M900" s="8"/>
      <c r="N900" s="8"/>
      <c r="O900" s="8"/>
      <c r="P900" s="8"/>
      <c r="Q900" s="8"/>
      <c r="R900" s="8"/>
    </row>
    <row r="901" spans="1:18" ht="12.75" customHeight="1">
      <c r="A901" s="8"/>
      <c r="B901" s="8"/>
      <c r="C901" s="30"/>
      <c r="D901" s="8"/>
      <c r="E901" s="8"/>
      <c r="F901" s="8"/>
      <c r="G901" s="8"/>
      <c r="H901" s="8"/>
      <c r="I901" s="8"/>
      <c r="J901" s="8"/>
      <c r="K901" s="8"/>
      <c r="L901" s="8"/>
      <c r="M901" s="8"/>
      <c r="N901" s="8"/>
      <c r="O901" s="8"/>
      <c r="P901" s="8"/>
      <c r="Q901" s="8"/>
      <c r="R901" s="8"/>
    </row>
    <row r="902" spans="1:18" ht="12.75" customHeight="1">
      <c r="A902" s="8"/>
      <c r="B902" s="8"/>
      <c r="C902" s="30"/>
      <c r="D902" s="8"/>
      <c r="E902" s="8"/>
      <c r="F902" s="8"/>
      <c r="G902" s="8"/>
      <c r="H902" s="8"/>
      <c r="I902" s="8"/>
      <c r="J902" s="8"/>
      <c r="K902" s="8"/>
      <c r="L902" s="8"/>
      <c r="M902" s="8"/>
      <c r="N902" s="8"/>
      <c r="O902" s="8"/>
      <c r="P902" s="8"/>
      <c r="Q902" s="8"/>
      <c r="R902" s="8"/>
    </row>
    <row r="903" spans="1:18" ht="12.75" customHeight="1">
      <c r="A903" s="8"/>
      <c r="B903" s="8"/>
      <c r="C903" s="30"/>
      <c r="D903" s="8"/>
      <c r="E903" s="8"/>
      <c r="F903" s="8"/>
      <c r="G903" s="8"/>
      <c r="H903" s="8"/>
      <c r="I903" s="8"/>
      <c r="J903" s="8"/>
      <c r="K903" s="8"/>
      <c r="L903" s="8"/>
      <c r="M903" s="8"/>
      <c r="N903" s="8"/>
      <c r="O903" s="8"/>
      <c r="P903" s="8"/>
      <c r="Q903" s="8"/>
      <c r="R903" s="8"/>
    </row>
    <row r="904" spans="1:18" ht="12.75" customHeight="1">
      <c r="A904" s="8"/>
      <c r="B904" s="8"/>
      <c r="C904" s="30"/>
      <c r="D904" s="8"/>
      <c r="E904" s="8"/>
      <c r="F904" s="8"/>
      <c r="G904" s="8"/>
      <c r="H904" s="8"/>
      <c r="I904" s="8"/>
      <c r="J904" s="8"/>
      <c r="K904" s="8"/>
      <c r="L904" s="8"/>
      <c r="M904" s="8"/>
      <c r="N904" s="8"/>
      <c r="O904" s="8"/>
      <c r="P904" s="8"/>
      <c r="Q904" s="8"/>
      <c r="R904" s="8"/>
    </row>
    <row r="905" spans="1:18" ht="12.75" customHeight="1">
      <c r="A905" s="8"/>
      <c r="B905" s="8"/>
      <c r="C905" s="30"/>
      <c r="D905" s="8"/>
      <c r="E905" s="8"/>
      <c r="F905" s="8"/>
      <c r="G905" s="8"/>
      <c r="H905" s="8"/>
      <c r="I905" s="8"/>
      <c r="J905" s="8"/>
      <c r="K905" s="8"/>
      <c r="L905" s="8"/>
      <c r="M905" s="8"/>
      <c r="N905" s="8"/>
      <c r="O905" s="8"/>
      <c r="P905" s="8"/>
      <c r="Q905" s="8"/>
      <c r="R905" s="8"/>
    </row>
    <row r="906" spans="1:18" ht="12.75" customHeight="1">
      <c r="A906" s="8"/>
      <c r="B906" s="8"/>
      <c r="C906" s="30"/>
      <c r="D906" s="8"/>
      <c r="E906" s="8"/>
      <c r="F906" s="8"/>
      <c r="G906" s="8"/>
      <c r="H906" s="8"/>
      <c r="I906" s="8"/>
      <c r="J906" s="8"/>
      <c r="K906" s="8"/>
      <c r="L906" s="8"/>
      <c r="M906" s="8"/>
      <c r="N906" s="8"/>
      <c r="O906" s="8"/>
      <c r="P906" s="8"/>
      <c r="Q906" s="8"/>
      <c r="R906" s="8"/>
    </row>
    <row r="907" spans="1:18" ht="12.75" customHeight="1">
      <c r="A907" s="8"/>
      <c r="B907" s="8"/>
      <c r="C907" s="30"/>
      <c r="D907" s="8"/>
      <c r="E907" s="8"/>
      <c r="F907" s="8"/>
      <c r="G907" s="8"/>
      <c r="H907" s="8"/>
      <c r="I907" s="8"/>
      <c r="J907" s="8"/>
      <c r="K907" s="8"/>
      <c r="L907" s="8"/>
      <c r="M907" s="8"/>
      <c r="N907" s="8"/>
      <c r="O907" s="8"/>
      <c r="P907" s="8"/>
      <c r="Q907" s="8"/>
      <c r="R907" s="8"/>
    </row>
    <row r="908" spans="1:18" ht="12.75" customHeight="1">
      <c r="A908" s="8"/>
      <c r="B908" s="8"/>
      <c r="C908" s="30"/>
      <c r="D908" s="8"/>
      <c r="E908" s="8"/>
      <c r="F908" s="8"/>
      <c r="G908" s="8"/>
      <c r="H908" s="8"/>
      <c r="I908" s="8"/>
      <c r="J908" s="8"/>
      <c r="K908" s="8"/>
      <c r="L908" s="8"/>
      <c r="M908" s="8"/>
      <c r="N908" s="8"/>
      <c r="O908" s="8"/>
      <c r="P908" s="8"/>
      <c r="Q908" s="8"/>
      <c r="R908" s="8"/>
    </row>
    <row r="909" spans="1:18" ht="12.75" customHeight="1">
      <c r="A909" s="8"/>
      <c r="B909" s="8"/>
      <c r="C909" s="30"/>
      <c r="D909" s="8"/>
      <c r="E909" s="8"/>
      <c r="F909" s="8"/>
      <c r="G909" s="8"/>
      <c r="H909" s="8"/>
      <c r="I909" s="8"/>
      <c r="J909" s="8"/>
      <c r="K909" s="8"/>
      <c r="L909" s="8"/>
      <c r="M909" s="8"/>
      <c r="N909" s="8"/>
      <c r="O909" s="8"/>
      <c r="P909" s="8"/>
      <c r="Q909" s="8"/>
      <c r="R909" s="8"/>
    </row>
    <row r="910" spans="1:18" ht="12.75" customHeight="1">
      <c r="A910" s="8"/>
      <c r="B910" s="8"/>
      <c r="C910" s="30"/>
      <c r="D910" s="8"/>
      <c r="E910" s="8"/>
      <c r="F910" s="8"/>
      <c r="G910" s="8"/>
      <c r="H910" s="8"/>
      <c r="I910" s="8"/>
      <c r="J910" s="8"/>
      <c r="K910" s="8"/>
      <c r="L910" s="8"/>
      <c r="M910" s="8"/>
      <c r="N910" s="8"/>
      <c r="O910" s="8"/>
      <c r="P910" s="8"/>
      <c r="Q910" s="8"/>
      <c r="R910" s="8"/>
    </row>
    <row r="911" spans="1:18" ht="12.75" customHeight="1">
      <c r="A911" s="8"/>
      <c r="B911" s="8"/>
      <c r="C911" s="30"/>
      <c r="D911" s="8"/>
      <c r="E911" s="8"/>
      <c r="F911" s="8"/>
      <c r="G911" s="8"/>
      <c r="H911" s="8"/>
      <c r="I911" s="8"/>
      <c r="J911" s="8"/>
      <c r="K911" s="8"/>
      <c r="L911" s="8"/>
      <c r="M911" s="8"/>
      <c r="N911" s="8"/>
      <c r="O911" s="8"/>
      <c r="P911" s="8"/>
      <c r="Q911" s="8"/>
      <c r="R911" s="8"/>
    </row>
    <row r="912" spans="1:18" ht="12.75" customHeight="1">
      <c r="A912" s="8"/>
      <c r="B912" s="8"/>
      <c r="C912" s="30"/>
      <c r="D912" s="8"/>
      <c r="E912" s="8"/>
      <c r="F912" s="8"/>
      <c r="G912" s="8"/>
      <c r="H912" s="8"/>
      <c r="I912" s="8"/>
      <c r="J912" s="8"/>
      <c r="K912" s="8"/>
      <c r="L912" s="8"/>
      <c r="M912" s="8"/>
      <c r="N912" s="8"/>
      <c r="O912" s="8"/>
      <c r="P912" s="8"/>
      <c r="Q912" s="8"/>
      <c r="R912" s="8"/>
    </row>
    <row r="913" spans="1:18" ht="12.75" customHeight="1">
      <c r="A913" s="8"/>
      <c r="B913" s="8"/>
      <c r="C913" s="30"/>
      <c r="D913" s="8"/>
      <c r="E913" s="8"/>
      <c r="F913" s="8"/>
      <c r="G913" s="8"/>
      <c r="H913" s="8"/>
      <c r="I913" s="8"/>
      <c r="J913" s="8"/>
      <c r="K913" s="8"/>
      <c r="L913" s="8"/>
      <c r="M913" s="8"/>
      <c r="N913" s="8"/>
      <c r="O913" s="8"/>
      <c r="P913" s="8"/>
      <c r="Q913" s="8"/>
      <c r="R913" s="8"/>
    </row>
    <row r="914" spans="1:18" ht="12.75" customHeight="1">
      <c r="A914" s="8"/>
      <c r="B914" s="8"/>
      <c r="C914" s="30"/>
      <c r="D914" s="8"/>
      <c r="E914" s="8"/>
      <c r="F914" s="8"/>
      <c r="G914" s="8"/>
      <c r="H914" s="8"/>
      <c r="I914" s="8"/>
      <c r="J914" s="8"/>
      <c r="K914" s="8"/>
      <c r="L914" s="8"/>
      <c r="M914" s="8"/>
      <c r="N914" s="8"/>
      <c r="O914" s="8"/>
      <c r="P914" s="8"/>
      <c r="Q914" s="8"/>
      <c r="R914" s="8"/>
    </row>
    <row r="915" spans="1:18" ht="12.75" customHeight="1">
      <c r="A915" s="8"/>
      <c r="B915" s="8"/>
      <c r="C915" s="30"/>
      <c r="D915" s="8"/>
      <c r="E915" s="8"/>
      <c r="F915" s="8"/>
      <c r="G915" s="8"/>
      <c r="H915" s="8"/>
      <c r="I915" s="8"/>
      <c r="J915" s="8"/>
      <c r="K915" s="8"/>
      <c r="L915" s="8"/>
      <c r="M915" s="8"/>
      <c r="N915" s="8"/>
      <c r="O915" s="8"/>
      <c r="P915" s="8"/>
      <c r="Q915" s="8"/>
      <c r="R915" s="8"/>
    </row>
    <row r="916" spans="1:18" ht="12.75" customHeight="1">
      <c r="A916" s="8"/>
      <c r="B916" s="8"/>
      <c r="C916" s="30"/>
      <c r="D916" s="8"/>
      <c r="E916" s="8"/>
      <c r="F916" s="8"/>
      <c r="G916" s="8"/>
      <c r="H916" s="8"/>
      <c r="I916" s="8"/>
      <c r="J916" s="8"/>
      <c r="K916" s="8"/>
      <c r="L916" s="8"/>
      <c r="M916" s="8"/>
      <c r="N916" s="8"/>
      <c r="O916" s="8"/>
      <c r="P916" s="8"/>
      <c r="Q916" s="8"/>
      <c r="R916" s="8"/>
    </row>
    <row r="917" spans="1:18" ht="12.75" customHeight="1">
      <c r="A917" s="8"/>
      <c r="B917" s="8"/>
      <c r="C917" s="30"/>
      <c r="D917" s="8"/>
      <c r="E917" s="8"/>
      <c r="F917" s="8"/>
      <c r="G917" s="8"/>
      <c r="H917" s="8"/>
      <c r="I917" s="8"/>
      <c r="J917" s="8"/>
      <c r="K917" s="8"/>
      <c r="L917" s="8"/>
      <c r="M917" s="8"/>
      <c r="N917" s="8"/>
      <c r="O917" s="8"/>
      <c r="P917" s="8"/>
      <c r="Q917" s="8"/>
      <c r="R917" s="8"/>
    </row>
    <row r="918" spans="1:18" ht="12.75" customHeight="1">
      <c r="A918" s="8"/>
      <c r="B918" s="8"/>
      <c r="C918" s="30"/>
      <c r="D918" s="8"/>
      <c r="E918" s="8"/>
      <c r="F918" s="8"/>
      <c r="G918" s="8"/>
      <c r="H918" s="8"/>
      <c r="I918" s="8"/>
      <c r="J918" s="8"/>
      <c r="K918" s="8"/>
      <c r="L918" s="8"/>
      <c r="M918" s="8"/>
      <c r="N918" s="8"/>
      <c r="O918" s="8"/>
      <c r="P918" s="8"/>
      <c r="Q918" s="8"/>
      <c r="R918" s="8"/>
    </row>
    <row r="919" spans="1:18" ht="12.75" customHeight="1">
      <c r="A919" s="8"/>
      <c r="B919" s="8"/>
      <c r="C919" s="30"/>
      <c r="D919" s="8"/>
      <c r="E919" s="8"/>
      <c r="F919" s="8"/>
      <c r="G919" s="8"/>
      <c r="H919" s="8"/>
      <c r="I919" s="8"/>
      <c r="J919" s="8"/>
      <c r="K919" s="8"/>
      <c r="L919" s="8"/>
      <c r="M919" s="8"/>
      <c r="N919" s="8"/>
      <c r="O919" s="8"/>
      <c r="P919" s="8"/>
      <c r="Q919" s="8"/>
      <c r="R919" s="8"/>
    </row>
    <row r="920" spans="1:18" ht="12.75" customHeight="1">
      <c r="A920" s="8"/>
      <c r="B920" s="8"/>
      <c r="C920" s="30"/>
      <c r="D920" s="8"/>
      <c r="E920" s="8"/>
      <c r="F920" s="8"/>
      <c r="G920" s="8"/>
      <c r="H920" s="8"/>
      <c r="I920" s="8"/>
      <c r="J920" s="8"/>
      <c r="K920" s="8"/>
      <c r="L920" s="8"/>
      <c r="M920" s="8"/>
      <c r="N920" s="8"/>
      <c r="O920" s="8"/>
      <c r="P920" s="8"/>
      <c r="Q920" s="8"/>
      <c r="R920" s="8"/>
    </row>
    <row r="921" spans="1:18" ht="12.75" customHeight="1">
      <c r="A921" s="8"/>
      <c r="B921" s="8"/>
      <c r="C921" s="30"/>
      <c r="D921" s="8"/>
      <c r="E921" s="8"/>
      <c r="F921" s="8"/>
      <c r="G921" s="8"/>
      <c r="H921" s="8"/>
      <c r="I921" s="8"/>
      <c r="J921" s="8"/>
      <c r="K921" s="8"/>
      <c r="L921" s="8"/>
      <c r="M921" s="8"/>
      <c r="N921" s="8"/>
      <c r="O921" s="8"/>
      <c r="P921" s="8"/>
      <c r="Q921" s="8"/>
      <c r="R921" s="8"/>
    </row>
    <row r="922" spans="1:18" ht="12.75" customHeight="1">
      <c r="A922" s="8"/>
      <c r="B922" s="8"/>
      <c r="C922" s="30"/>
      <c r="D922" s="8"/>
      <c r="E922" s="8"/>
      <c r="F922" s="8"/>
      <c r="G922" s="8"/>
      <c r="H922" s="8"/>
      <c r="I922" s="8"/>
      <c r="J922" s="8"/>
      <c r="K922" s="8"/>
      <c r="L922" s="8"/>
      <c r="M922" s="8"/>
      <c r="N922" s="8"/>
      <c r="O922" s="8"/>
      <c r="P922" s="8"/>
      <c r="Q922" s="8"/>
      <c r="R922" s="8"/>
    </row>
    <row r="923" spans="1:18" ht="12.75" customHeight="1">
      <c r="A923" s="8"/>
      <c r="B923" s="8"/>
      <c r="C923" s="30"/>
      <c r="D923" s="8"/>
      <c r="E923" s="8"/>
      <c r="F923" s="8"/>
      <c r="G923" s="8"/>
      <c r="H923" s="8"/>
      <c r="I923" s="8"/>
      <c r="J923" s="8"/>
      <c r="K923" s="8"/>
      <c r="L923" s="8"/>
      <c r="M923" s="8"/>
      <c r="N923" s="8"/>
      <c r="O923" s="8"/>
      <c r="P923" s="8"/>
      <c r="Q923" s="8"/>
      <c r="R923" s="8"/>
    </row>
    <row r="924" spans="1:18" ht="12.75" customHeight="1">
      <c r="A924" s="8"/>
      <c r="B924" s="8"/>
      <c r="C924" s="30"/>
      <c r="D924" s="8"/>
      <c r="E924" s="8"/>
      <c r="F924" s="8"/>
      <c r="G924" s="8"/>
      <c r="H924" s="8"/>
      <c r="I924" s="8"/>
      <c r="J924" s="8"/>
      <c r="K924" s="8"/>
      <c r="L924" s="8"/>
      <c r="M924" s="8"/>
      <c r="N924" s="8"/>
      <c r="O924" s="8"/>
      <c r="P924" s="8"/>
      <c r="Q924" s="8"/>
      <c r="R924" s="8"/>
    </row>
    <row r="925" spans="1:18" ht="12.75" customHeight="1">
      <c r="A925" s="8"/>
      <c r="B925" s="8"/>
      <c r="C925" s="30"/>
      <c r="D925" s="8"/>
      <c r="E925" s="8"/>
      <c r="F925" s="8"/>
      <c r="G925" s="8"/>
      <c r="H925" s="8"/>
      <c r="I925" s="8"/>
      <c r="J925" s="8"/>
      <c r="K925" s="8"/>
      <c r="L925" s="8"/>
      <c r="M925" s="8"/>
      <c r="N925" s="8"/>
      <c r="O925" s="8"/>
      <c r="P925" s="8"/>
      <c r="Q925" s="8"/>
      <c r="R925" s="8"/>
    </row>
    <row r="926" spans="1:18" ht="12.75" customHeight="1">
      <c r="A926" s="8"/>
      <c r="B926" s="8"/>
      <c r="C926" s="30"/>
      <c r="D926" s="8"/>
      <c r="E926" s="8"/>
      <c r="F926" s="8"/>
      <c r="G926" s="8"/>
      <c r="H926" s="8"/>
      <c r="I926" s="8"/>
      <c r="J926" s="8"/>
      <c r="K926" s="8"/>
      <c r="L926" s="8"/>
      <c r="M926" s="8"/>
      <c r="N926" s="8"/>
      <c r="O926" s="8"/>
      <c r="P926" s="8"/>
      <c r="Q926" s="8"/>
      <c r="R926" s="8"/>
    </row>
    <row r="927" spans="1:18" ht="12.75" customHeight="1">
      <c r="A927" s="8"/>
      <c r="B927" s="8"/>
      <c r="C927" s="30"/>
      <c r="D927" s="8"/>
      <c r="E927" s="8"/>
      <c r="F927" s="8"/>
      <c r="G927" s="8"/>
      <c r="H927" s="8"/>
      <c r="I927" s="8"/>
      <c r="J927" s="8"/>
      <c r="K927" s="8"/>
      <c r="L927" s="8"/>
      <c r="M927" s="8"/>
      <c r="N927" s="8"/>
      <c r="O927" s="8"/>
      <c r="P927" s="8"/>
      <c r="Q927" s="8"/>
      <c r="R927" s="8"/>
    </row>
    <row r="928" spans="1:18" ht="12.75" customHeight="1">
      <c r="A928" s="8"/>
      <c r="B928" s="8"/>
      <c r="C928" s="30"/>
      <c r="D928" s="8"/>
      <c r="E928" s="8"/>
      <c r="F928" s="8"/>
      <c r="G928" s="8"/>
      <c r="H928" s="8"/>
      <c r="I928" s="8"/>
      <c r="J928" s="8"/>
      <c r="K928" s="8"/>
      <c r="L928" s="8"/>
      <c r="M928" s="8"/>
      <c r="N928" s="8"/>
      <c r="O928" s="8"/>
      <c r="P928" s="8"/>
      <c r="Q928" s="8"/>
      <c r="R928" s="8"/>
    </row>
    <row r="929" spans="1:18" ht="12.75" customHeight="1">
      <c r="A929" s="8"/>
      <c r="B929" s="8"/>
      <c r="C929" s="30"/>
      <c r="D929" s="8"/>
      <c r="E929" s="8"/>
      <c r="F929" s="8"/>
      <c r="G929" s="8"/>
      <c r="H929" s="8"/>
      <c r="I929" s="8"/>
      <c r="J929" s="8"/>
      <c r="K929" s="8"/>
      <c r="L929" s="8"/>
      <c r="M929" s="8"/>
      <c r="N929" s="8"/>
      <c r="O929" s="8"/>
      <c r="P929" s="8"/>
      <c r="Q929" s="8"/>
      <c r="R929" s="8"/>
    </row>
    <row r="930" spans="1:18" ht="12.75" customHeight="1">
      <c r="A930" s="8"/>
      <c r="B930" s="8"/>
      <c r="C930" s="30"/>
      <c r="D930" s="8"/>
      <c r="E930" s="8"/>
      <c r="F930" s="8"/>
      <c r="G930" s="8"/>
      <c r="H930" s="8"/>
      <c r="I930" s="8"/>
      <c r="J930" s="8"/>
      <c r="K930" s="8"/>
      <c r="L930" s="8"/>
      <c r="M930" s="8"/>
      <c r="N930" s="8"/>
      <c r="O930" s="8"/>
      <c r="P930" s="8"/>
      <c r="Q930" s="8"/>
      <c r="R930" s="8"/>
    </row>
    <row r="931" spans="1:18" ht="12.75" customHeight="1">
      <c r="A931" s="8"/>
      <c r="B931" s="8"/>
      <c r="C931" s="30"/>
      <c r="D931" s="8"/>
      <c r="E931" s="8"/>
      <c r="F931" s="8"/>
      <c r="G931" s="8"/>
      <c r="H931" s="8"/>
      <c r="I931" s="8"/>
      <c r="J931" s="8"/>
      <c r="K931" s="8"/>
      <c r="L931" s="8"/>
      <c r="M931" s="8"/>
      <c r="N931" s="8"/>
      <c r="O931" s="8"/>
      <c r="P931" s="8"/>
      <c r="Q931" s="8"/>
      <c r="R931" s="8"/>
    </row>
    <row r="932" spans="1:18" ht="12.75" customHeight="1">
      <c r="A932" s="8"/>
      <c r="B932" s="8"/>
      <c r="C932" s="30"/>
      <c r="D932" s="8"/>
      <c r="E932" s="8"/>
      <c r="F932" s="8"/>
      <c r="G932" s="8"/>
      <c r="H932" s="8"/>
      <c r="I932" s="8"/>
      <c r="J932" s="8"/>
      <c r="K932" s="8"/>
      <c r="L932" s="8"/>
      <c r="M932" s="8"/>
      <c r="N932" s="8"/>
      <c r="O932" s="8"/>
      <c r="P932" s="8"/>
      <c r="Q932" s="8"/>
      <c r="R932" s="8"/>
    </row>
    <row r="933" spans="1:18" ht="12.75" customHeight="1">
      <c r="A933" s="8"/>
      <c r="B933" s="8"/>
      <c r="C933" s="30"/>
      <c r="D933" s="8"/>
      <c r="E933" s="8"/>
      <c r="F933" s="8"/>
      <c r="G933" s="8"/>
      <c r="H933" s="8"/>
      <c r="I933" s="8"/>
      <c r="J933" s="8"/>
      <c r="K933" s="8"/>
      <c r="L933" s="8"/>
      <c r="M933" s="8"/>
      <c r="N933" s="8"/>
      <c r="O933" s="8"/>
      <c r="P933" s="8"/>
      <c r="Q933" s="8"/>
      <c r="R933" s="8"/>
    </row>
    <row r="934" spans="1:18" ht="12.75" customHeight="1">
      <c r="A934" s="8"/>
      <c r="B934" s="8"/>
      <c r="C934" s="30"/>
      <c r="D934" s="8"/>
      <c r="E934" s="8"/>
      <c r="F934" s="8"/>
      <c r="G934" s="8"/>
      <c r="H934" s="8"/>
      <c r="I934" s="8"/>
      <c r="J934" s="8"/>
      <c r="K934" s="8"/>
      <c r="L934" s="8"/>
      <c r="M934" s="8"/>
      <c r="N934" s="8"/>
      <c r="O934" s="8"/>
      <c r="P934" s="8"/>
      <c r="Q934" s="8"/>
      <c r="R934" s="8"/>
    </row>
    <row r="935" spans="1:18" ht="12.75" customHeight="1">
      <c r="A935" s="8"/>
      <c r="B935" s="8"/>
      <c r="C935" s="30"/>
      <c r="D935" s="8"/>
      <c r="E935" s="8"/>
      <c r="F935" s="8"/>
      <c r="G935" s="8"/>
      <c r="H935" s="8"/>
      <c r="I935" s="8"/>
      <c r="J935" s="8"/>
      <c r="K935" s="8"/>
      <c r="L935" s="8"/>
      <c r="M935" s="8"/>
      <c r="N935" s="8"/>
      <c r="O935" s="8"/>
      <c r="P935" s="8"/>
      <c r="Q935" s="8"/>
      <c r="R935" s="8"/>
    </row>
    <row r="936" spans="1:18" ht="12.75" customHeight="1">
      <c r="A936" s="8"/>
      <c r="B936" s="8"/>
      <c r="C936" s="30"/>
      <c r="D936" s="8"/>
      <c r="E936" s="8"/>
      <c r="F936" s="8"/>
      <c r="G936" s="8"/>
      <c r="H936" s="8"/>
      <c r="I936" s="8"/>
      <c r="J936" s="8"/>
      <c r="K936" s="8"/>
      <c r="L936" s="8"/>
      <c r="M936" s="8"/>
      <c r="N936" s="8"/>
      <c r="O936" s="8"/>
      <c r="P936" s="8"/>
      <c r="Q936" s="8"/>
      <c r="R936" s="8"/>
    </row>
    <row r="937" spans="1:18" ht="12.75" customHeight="1">
      <c r="A937" s="8"/>
      <c r="B937" s="8"/>
      <c r="C937" s="30"/>
      <c r="D937" s="8"/>
      <c r="E937" s="8"/>
      <c r="F937" s="8"/>
      <c r="G937" s="8"/>
      <c r="H937" s="8"/>
      <c r="I937" s="8"/>
      <c r="J937" s="8"/>
      <c r="K937" s="8"/>
      <c r="L937" s="8"/>
      <c r="M937" s="8"/>
      <c r="N937" s="8"/>
      <c r="O937" s="8"/>
      <c r="P937" s="8"/>
      <c r="Q937" s="8"/>
      <c r="R937" s="8"/>
    </row>
    <row r="938" spans="1:18" ht="12.75" customHeight="1">
      <c r="A938" s="8"/>
      <c r="B938" s="8"/>
      <c r="C938" s="30"/>
      <c r="D938" s="8"/>
      <c r="E938" s="8"/>
      <c r="F938" s="8"/>
      <c r="G938" s="8"/>
      <c r="H938" s="8"/>
      <c r="I938" s="8"/>
      <c r="J938" s="8"/>
      <c r="K938" s="8"/>
      <c r="L938" s="8"/>
      <c r="M938" s="8"/>
      <c r="N938" s="8"/>
      <c r="O938" s="8"/>
      <c r="P938" s="8"/>
      <c r="Q938" s="8"/>
      <c r="R938" s="8"/>
    </row>
    <row r="939" spans="1:18" ht="12.75" customHeight="1">
      <c r="A939" s="8"/>
      <c r="B939" s="8"/>
      <c r="C939" s="30"/>
      <c r="D939" s="8"/>
      <c r="E939" s="8"/>
      <c r="F939" s="8"/>
      <c r="G939" s="8"/>
      <c r="H939" s="8"/>
      <c r="I939" s="8"/>
      <c r="J939" s="8"/>
      <c r="K939" s="8"/>
      <c r="L939" s="8"/>
      <c r="M939" s="8"/>
      <c r="N939" s="8"/>
      <c r="O939" s="8"/>
      <c r="P939" s="8"/>
      <c r="Q939" s="8"/>
      <c r="R939" s="8"/>
    </row>
    <row r="940" spans="1:18" ht="12.75" customHeight="1">
      <c r="A940" s="8"/>
      <c r="B940" s="8"/>
      <c r="C940" s="30"/>
      <c r="D940" s="8"/>
      <c r="E940" s="8"/>
      <c r="F940" s="8"/>
      <c r="G940" s="8"/>
      <c r="H940" s="8"/>
      <c r="I940" s="8"/>
      <c r="J940" s="8"/>
      <c r="K940" s="8"/>
      <c r="L940" s="8"/>
      <c r="M940" s="8"/>
      <c r="N940" s="8"/>
      <c r="O940" s="8"/>
      <c r="P940" s="8"/>
      <c r="Q940" s="8"/>
      <c r="R940" s="8"/>
    </row>
    <row r="941" spans="1:18" ht="12.75" customHeight="1">
      <c r="A941" s="8"/>
      <c r="B941" s="8"/>
      <c r="C941" s="30"/>
      <c r="D941" s="8"/>
      <c r="E941" s="8"/>
      <c r="F941" s="8"/>
      <c r="G941" s="8"/>
      <c r="H941" s="8"/>
      <c r="I941" s="8"/>
      <c r="J941" s="8"/>
      <c r="K941" s="8"/>
      <c r="L941" s="8"/>
      <c r="M941" s="8"/>
      <c r="N941" s="8"/>
      <c r="O941" s="8"/>
      <c r="P941" s="8"/>
      <c r="Q941" s="8"/>
      <c r="R941" s="8"/>
    </row>
    <row r="942" spans="1:18" ht="12.75" customHeight="1">
      <c r="A942" s="8"/>
      <c r="B942" s="8"/>
      <c r="C942" s="30"/>
      <c r="D942" s="8"/>
      <c r="E942" s="8"/>
      <c r="F942" s="8"/>
      <c r="G942" s="8"/>
      <c r="H942" s="8"/>
      <c r="I942" s="8"/>
      <c r="J942" s="8"/>
      <c r="K942" s="8"/>
      <c r="L942" s="8"/>
      <c r="M942" s="8"/>
      <c r="N942" s="8"/>
      <c r="O942" s="8"/>
      <c r="P942" s="8"/>
      <c r="Q942" s="8"/>
      <c r="R942" s="8"/>
    </row>
    <row r="943" spans="1:18" ht="12.75" customHeight="1">
      <c r="A943" s="8"/>
      <c r="B943" s="8"/>
      <c r="C943" s="30"/>
      <c r="D943" s="8"/>
      <c r="E943" s="8"/>
      <c r="F943" s="8"/>
      <c r="G943" s="8"/>
      <c r="H943" s="8"/>
      <c r="I943" s="8"/>
      <c r="J943" s="8"/>
      <c r="K943" s="8"/>
      <c r="L943" s="8"/>
      <c r="M943" s="8"/>
      <c r="N943" s="8"/>
      <c r="O943" s="8"/>
      <c r="P943" s="8"/>
      <c r="Q943" s="8"/>
      <c r="R943" s="8"/>
    </row>
    <row r="944" spans="1:18" ht="12.75" customHeight="1">
      <c r="A944" s="8"/>
      <c r="B944" s="8"/>
      <c r="C944" s="30"/>
      <c r="D944" s="8"/>
      <c r="E944" s="8"/>
      <c r="F944" s="8"/>
      <c r="G944" s="8"/>
      <c r="H944" s="8"/>
      <c r="I944" s="8"/>
      <c r="J944" s="8"/>
      <c r="K944" s="8"/>
      <c r="L944" s="8"/>
      <c r="M944" s="8"/>
      <c r="N944" s="8"/>
      <c r="O944" s="8"/>
      <c r="P944" s="8"/>
      <c r="Q944" s="8"/>
      <c r="R944" s="8"/>
    </row>
    <row r="945" spans="1:18" ht="12.75" customHeight="1">
      <c r="A945" s="8"/>
      <c r="B945" s="8"/>
      <c r="C945" s="30"/>
      <c r="D945" s="8"/>
      <c r="E945" s="8"/>
      <c r="F945" s="8"/>
      <c r="G945" s="8"/>
      <c r="H945" s="8"/>
      <c r="I945" s="8"/>
      <c r="J945" s="8"/>
      <c r="K945" s="8"/>
      <c r="L945" s="8"/>
      <c r="M945" s="8"/>
      <c r="N945" s="8"/>
      <c r="O945" s="8"/>
      <c r="P945" s="8"/>
      <c r="Q945" s="8"/>
      <c r="R945" s="8"/>
    </row>
    <row r="946" spans="1:18" ht="12.75" customHeight="1">
      <c r="A946" s="8"/>
      <c r="B946" s="8"/>
      <c r="C946" s="30"/>
      <c r="D946" s="8"/>
      <c r="E946" s="8"/>
      <c r="F946" s="8"/>
      <c r="G946" s="8"/>
      <c r="H946" s="8"/>
      <c r="I946" s="8"/>
      <c r="J946" s="8"/>
      <c r="K946" s="8"/>
      <c r="L946" s="8"/>
      <c r="M946" s="8"/>
      <c r="N946" s="8"/>
      <c r="O946" s="8"/>
      <c r="P946" s="8"/>
      <c r="Q946" s="8"/>
      <c r="R946" s="8"/>
    </row>
    <row r="947" spans="1:18" ht="12.75" customHeight="1">
      <c r="A947" s="8"/>
      <c r="B947" s="8"/>
      <c r="C947" s="30"/>
      <c r="D947" s="8"/>
      <c r="E947" s="8"/>
      <c r="F947" s="8"/>
      <c r="G947" s="8"/>
      <c r="H947" s="8"/>
      <c r="I947" s="8"/>
      <c r="J947" s="8"/>
      <c r="K947" s="8"/>
      <c r="L947" s="8"/>
      <c r="M947" s="8"/>
      <c r="N947" s="8"/>
      <c r="O947" s="8"/>
      <c r="P947" s="8"/>
      <c r="Q947" s="8"/>
      <c r="R947" s="8"/>
    </row>
    <row r="948" spans="1:18" ht="12.75" customHeight="1">
      <c r="A948" s="8"/>
      <c r="B948" s="8"/>
      <c r="C948" s="30"/>
      <c r="D948" s="8"/>
      <c r="E948" s="8"/>
      <c r="F948" s="8"/>
      <c r="G948" s="8"/>
      <c r="H948" s="8"/>
      <c r="I948" s="8"/>
      <c r="J948" s="8"/>
      <c r="K948" s="8"/>
      <c r="L948" s="8"/>
      <c r="M948" s="8"/>
      <c r="N948" s="8"/>
      <c r="O948" s="8"/>
      <c r="P948" s="8"/>
      <c r="Q948" s="8"/>
      <c r="R948" s="8"/>
    </row>
    <row r="949" spans="1:18" ht="12.75" customHeight="1">
      <c r="A949" s="8"/>
      <c r="B949" s="8"/>
      <c r="C949" s="30"/>
      <c r="D949" s="8"/>
      <c r="E949" s="8"/>
      <c r="F949" s="8"/>
      <c r="G949" s="8"/>
      <c r="H949" s="8"/>
      <c r="I949" s="8"/>
      <c r="J949" s="8"/>
      <c r="K949" s="8"/>
      <c r="L949" s="8"/>
      <c r="M949" s="8"/>
      <c r="N949" s="8"/>
      <c r="O949" s="8"/>
      <c r="P949" s="8"/>
      <c r="Q949" s="8"/>
      <c r="R949" s="8"/>
    </row>
    <row r="950" spans="1:18" ht="12.75" customHeight="1">
      <c r="A950" s="8"/>
      <c r="B950" s="8"/>
      <c r="C950" s="30"/>
      <c r="D950" s="8"/>
      <c r="E950" s="8"/>
      <c r="F950" s="8"/>
      <c r="G950" s="8"/>
      <c r="H950" s="8"/>
      <c r="I950" s="8"/>
      <c r="J950" s="8"/>
      <c r="K950" s="8"/>
      <c r="L950" s="8"/>
      <c r="M950" s="8"/>
      <c r="N950" s="8"/>
      <c r="O950" s="8"/>
      <c r="P950" s="8"/>
      <c r="Q950" s="8"/>
      <c r="R950" s="8"/>
    </row>
    <row r="951" spans="1:18" ht="12.75" customHeight="1">
      <c r="A951" s="8"/>
      <c r="B951" s="8"/>
      <c r="C951" s="30"/>
      <c r="D951" s="8"/>
      <c r="E951" s="8"/>
      <c r="F951" s="8"/>
      <c r="G951" s="8"/>
      <c r="H951" s="8"/>
      <c r="I951" s="8"/>
      <c r="J951" s="8"/>
      <c r="K951" s="8"/>
      <c r="L951" s="8"/>
      <c r="M951" s="8"/>
      <c r="N951" s="8"/>
      <c r="O951" s="8"/>
      <c r="P951" s="8"/>
      <c r="Q951" s="8"/>
      <c r="R951" s="8"/>
    </row>
    <row r="952" spans="1:18" ht="12.75" customHeight="1">
      <c r="A952" s="8"/>
      <c r="B952" s="8"/>
      <c r="C952" s="30"/>
      <c r="D952" s="8"/>
      <c r="E952" s="8"/>
      <c r="F952" s="8"/>
      <c r="G952" s="8"/>
      <c r="H952" s="8"/>
      <c r="I952" s="8"/>
      <c r="J952" s="8"/>
      <c r="K952" s="8"/>
      <c r="L952" s="8"/>
      <c r="M952" s="8"/>
      <c r="N952" s="8"/>
      <c r="O952" s="8"/>
      <c r="P952" s="8"/>
      <c r="Q952" s="8"/>
      <c r="R952" s="8"/>
    </row>
    <row r="953" spans="1:18" ht="12.75" customHeight="1">
      <c r="A953" s="8"/>
      <c r="B953" s="8"/>
      <c r="C953" s="30"/>
      <c r="D953" s="8"/>
      <c r="E953" s="8"/>
      <c r="F953" s="8"/>
      <c r="G953" s="8"/>
      <c r="H953" s="8"/>
      <c r="I953" s="8"/>
      <c r="J953" s="8"/>
      <c r="K953" s="8"/>
      <c r="L953" s="8"/>
      <c r="M953" s="8"/>
      <c r="N953" s="8"/>
      <c r="O953" s="8"/>
      <c r="P953" s="8"/>
      <c r="Q953" s="8"/>
      <c r="R953" s="8"/>
    </row>
    <row r="954" spans="1:18" ht="12.75" customHeight="1">
      <c r="A954" s="8"/>
      <c r="B954" s="8"/>
      <c r="C954" s="30"/>
      <c r="D954" s="8"/>
      <c r="E954" s="8"/>
      <c r="F954" s="8"/>
      <c r="G954" s="8"/>
      <c r="H954" s="8"/>
      <c r="I954" s="8"/>
      <c r="J954" s="8"/>
      <c r="K954" s="8"/>
      <c r="L954" s="8"/>
      <c r="M954" s="8"/>
      <c r="N954" s="8"/>
      <c r="O954" s="8"/>
      <c r="P954" s="8"/>
      <c r="Q954" s="8"/>
      <c r="R954" s="8"/>
    </row>
    <row r="955" spans="1:18" ht="12.75" customHeight="1">
      <c r="A955" s="8"/>
      <c r="B955" s="8"/>
      <c r="C955" s="30"/>
      <c r="D955" s="8"/>
      <c r="E955" s="8"/>
      <c r="F955" s="8"/>
      <c r="G955" s="8"/>
      <c r="H955" s="8"/>
      <c r="I955" s="8"/>
      <c r="J955" s="8"/>
      <c r="K955" s="8"/>
      <c r="L955" s="8"/>
      <c r="M955" s="8"/>
      <c r="N955" s="8"/>
      <c r="O955" s="8"/>
      <c r="P955" s="8"/>
      <c r="Q955" s="8"/>
      <c r="R955" s="8"/>
    </row>
    <row r="956" spans="1:18" ht="12.75" customHeight="1">
      <c r="A956" s="8"/>
      <c r="B956" s="8"/>
      <c r="C956" s="30"/>
      <c r="D956" s="8"/>
      <c r="E956" s="8"/>
      <c r="F956" s="8"/>
      <c r="G956" s="8"/>
      <c r="H956" s="8"/>
      <c r="I956" s="8"/>
      <c r="J956" s="8"/>
      <c r="K956" s="8"/>
      <c r="L956" s="8"/>
      <c r="M956" s="8"/>
      <c r="N956" s="8"/>
      <c r="O956" s="8"/>
      <c r="P956" s="8"/>
      <c r="Q956" s="8"/>
      <c r="R956" s="8"/>
    </row>
    <row r="957" spans="1:18" ht="12.75" customHeight="1">
      <c r="A957" s="8"/>
      <c r="B957" s="8"/>
      <c r="C957" s="30"/>
      <c r="D957" s="8"/>
      <c r="E957" s="8"/>
      <c r="F957" s="8"/>
      <c r="G957" s="8"/>
      <c r="H957" s="8"/>
      <c r="I957" s="8"/>
      <c r="J957" s="8"/>
      <c r="K957" s="8"/>
      <c r="L957" s="8"/>
      <c r="M957" s="8"/>
      <c r="N957" s="8"/>
      <c r="O957" s="8"/>
      <c r="P957" s="8"/>
      <c r="Q957" s="8"/>
      <c r="R957" s="8"/>
    </row>
    <row r="958" spans="1:18" ht="12.75" customHeight="1">
      <c r="A958" s="8"/>
      <c r="B958" s="8"/>
      <c r="C958" s="30"/>
      <c r="D958" s="8"/>
      <c r="E958" s="8"/>
      <c r="F958" s="8"/>
      <c r="G958" s="8"/>
      <c r="H958" s="8"/>
      <c r="I958" s="8"/>
      <c r="J958" s="8"/>
      <c r="K958" s="8"/>
      <c r="L958" s="8"/>
      <c r="M958" s="8"/>
      <c r="N958" s="8"/>
      <c r="O958" s="8"/>
      <c r="P958" s="8"/>
      <c r="Q958" s="8"/>
      <c r="R958" s="8"/>
    </row>
    <row r="959" spans="1:18" ht="12.75" customHeight="1">
      <c r="A959" s="8"/>
      <c r="B959" s="8"/>
      <c r="C959" s="30"/>
      <c r="D959" s="8"/>
      <c r="E959" s="8"/>
      <c r="F959" s="8"/>
      <c r="G959" s="8"/>
      <c r="H959" s="8"/>
      <c r="I959" s="8"/>
      <c r="J959" s="8"/>
      <c r="K959" s="8"/>
      <c r="L959" s="8"/>
      <c r="M959" s="8"/>
      <c r="N959" s="8"/>
      <c r="O959" s="8"/>
      <c r="P959" s="8"/>
      <c r="Q959" s="8"/>
      <c r="R959" s="8"/>
    </row>
    <row r="960" spans="1:18" ht="12.75" customHeight="1">
      <c r="A960" s="8"/>
      <c r="B960" s="8"/>
      <c r="C960" s="30"/>
      <c r="D960" s="8"/>
      <c r="E960" s="8"/>
      <c r="F960" s="8"/>
      <c r="G960" s="8"/>
      <c r="H960" s="8"/>
      <c r="I960" s="8"/>
      <c r="J960" s="8"/>
      <c r="K960" s="8"/>
      <c r="L960" s="8"/>
      <c r="M960" s="8"/>
      <c r="N960" s="8"/>
      <c r="O960" s="8"/>
      <c r="P960" s="8"/>
      <c r="Q960" s="8"/>
      <c r="R960" s="8"/>
    </row>
    <row r="961" spans="1:18" ht="12.75" customHeight="1">
      <c r="A961" s="8"/>
      <c r="B961" s="8"/>
      <c r="C961" s="30"/>
      <c r="D961" s="8"/>
      <c r="E961" s="8"/>
      <c r="F961" s="8"/>
      <c r="G961" s="8"/>
      <c r="H961" s="8"/>
      <c r="I961" s="8"/>
      <c r="J961" s="8"/>
      <c r="K961" s="8"/>
      <c r="L961" s="8"/>
      <c r="M961" s="8"/>
      <c r="N961" s="8"/>
      <c r="O961" s="8"/>
      <c r="P961" s="8"/>
      <c r="Q961" s="8"/>
      <c r="R961" s="8"/>
    </row>
    <row r="962" spans="1:18" ht="12.75" customHeight="1">
      <c r="A962" s="8"/>
      <c r="B962" s="8"/>
      <c r="C962" s="30"/>
      <c r="D962" s="8"/>
      <c r="E962" s="8"/>
      <c r="F962" s="8"/>
      <c r="G962" s="8"/>
      <c r="H962" s="8"/>
      <c r="I962" s="8"/>
      <c r="J962" s="8"/>
      <c r="K962" s="8"/>
      <c r="L962" s="8"/>
      <c r="M962" s="8"/>
      <c r="N962" s="8"/>
      <c r="O962" s="8"/>
      <c r="P962" s="8"/>
      <c r="Q962" s="8"/>
      <c r="R962" s="8"/>
    </row>
    <row r="963" spans="1:18" ht="12.75" customHeight="1">
      <c r="A963" s="8"/>
      <c r="B963" s="8"/>
      <c r="C963" s="30"/>
      <c r="D963" s="8"/>
      <c r="E963" s="8"/>
      <c r="F963" s="8"/>
      <c r="G963" s="8"/>
      <c r="H963" s="8"/>
      <c r="I963" s="8"/>
      <c r="J963" s="8"/>
      <c r="K963" s="8"/>
      <c r="L963" s="8"/>
      <c r="M963" s="8"/>
      <c r="N963" s="8"/>
      <c r="O963" s="8"/>
      <c r="P963" s="8"/>
      <c r="Q963" s="8"/>
      <c r="R963" s="8"/>
    </row>
    <row r="964" spans="1:18" ht="12.75" customHeight="1">
      <c r="A964" s="8"/>
      <c r="B964" s="8"/>
      <c r="C964" s="30"/>
      <c r="D964" s="8"/>
      <c r="E964" s="8"/>
      <c r="F964" s="8"/>
      <c r="G964" s="8"/>
      <c r="H964" s="8"/>
      <c r="I964" s="8"/>
      <c r="J964" s="8"/>
      <c r="K964" s="8"/>
      <c r="L964" s="8"/>
      <c r="M964" s="8"/>
      <c r="N964" s="8"/>
      <c r="O964" s="8"/>
      <c r="P964" s="8"/>
      <c r="Q964" s="8"/>
      <c r="R964" s="8"/>
    </row>
    <row r="965" spans="1:18" ht="12.75" customHeight="1">
      <c r="A965" s="8"/>
      <c r="B965" s="8"/>
      <c r="C965" s="30"/>
      <c r="D965" s="8"/>
      <c r="E965" s="8"/>
      <c r="F965" s="8"/>
      <c r="G965" s="8"/>
      <c r="H965" s="8"/>
      <c r="I965" s="8"/>
      <c r="J965" s="8"/>
      <c r="K965" s="8"/>
      <c r="L965" s="8"/>
      <c r="M965" s="8"/>
      <c r="N965" s="8"/>
      <c r="O965" s="8"/>
      <c r="P965" s="8"/>
      <c r="Q965" s="8"/>
      <c r="R965" s="8"/>
    </row>
    <row r="966" spans="1:18" ht="12.75" customHeight="1">
      <c r="A966" s="8"/>
      <c r="B966" s="8"/>
      <c r="C966" s="30"/>
      <c r="D966" s="8"/>
      <c r="E966" s="8"/>
      <c r="F966" s="8"/>
      <c r="G966" s="8"/>
      <c r="H966" s="8"/>
      <c r="I966" s="8"/>
      <c r="J966" s="8"/>
      <c r="K966" s="8"/>
      <c r="L966" s="8"/>
      <c r="M966" s="8"/>
      <c r="N966" s="8"/>
      <c r="O966" s="8"/>
      <c r="P966" s="8"/>
      <c r="Q966" s="8"/>
      <c r="R966" s="8"/>
    </row>
    <row r="967" spans="1:18" ht="12.75" customHeight="1">
      <c r="A967" s="8"/>
      <c r="B967" s="8"/>
      <c r="C967" s="30"/>
      <c r="D967" s="8"/>
      <c r="E967" s="8"/>
      <c r="F967" s="8"/>
      <c r="G967" s="8"/>
      <c r="H967" s="8"/>
      <c r="I967" s="8"/>
      <c r="J967" s="8"/>
      <c r="K967" s="8"/>
      <c r="L967" s="8"/>
      <c r="M967" s="8"/>
      <c r="N967" s="8"/>
      <c r="O967" s="8"/>
      <c r="P967" s="8"/>
      <c r="Q967" s="8"/>
      <c r="R967" s="8"/>
    </row>
    <row r="968" spans="1:18" ht="12.75" customHeight="1">
      <c r="A968" s="8"/>
      <c r="B968" s="8"/>
      <c r="C968" s="30"/>
      <c r="D968" s="8"/>
      <c r="E968" s="8"/>
      <c r="F968" s="8"/>
      <c r="G968" s="8"/>
      <c r="H968" s="8"/>
      <c r="I968" s="8"/>
      <c r="J968" s="8"/>
      <c r="K968" s="8"/>
      <c r="L968" s="8"/>
      <c r="M968" s="8"/>
      <c r="N968" s="8"/>
      <c r="O968" s="8"/>
      <c r="P968" s="8"/>
      <c r="Q968" s="8"/>
      <c r="R968" s="8"/>
    </row>
    <row r="969" spans="1:18" ht="12.75" customHeight="1">
      <c r="A969" s="8"/>
      <c r="B969" s="8"/>
      <c r="C969" s="30"/>
      <c r="D969" s="8"/>
      <c r="E969" s="8"/>
      <c r="F969" s="8"/>
      <c r="G969" s="8"/>
      <c r="H969" s="8"/>
      <c r="I969" s="8"/>
      <c r="J969" s="8"/>
      <c r="K969" s="8"/>
      <c r="L969" s="8"/>
      <c r="M969" s="8"/>
      <c r="N969" s="8"/>
      <c r="O969" s="8"/>
      <c r="P969" s="8"/>
      <c r="Q969" s="8"/>
      <c r="R969" s="8"/>
    </row>
    <row r="970" spans="1:18" ht="12.75" customHeight="1">
      <c r="A970" s="8"/>
      <c r="B970" s="8"/>
      <c r="C970" s="30"/>
      <c r="D970" s="8"/>
      <c r="E970" s="8"/>
      <c r="F970" s="8"/>
      <c r="G970" s="8"/>
      <c r="H970" s="8"/>
      <c r="I970" s="8"/>
      <c r="J970" s="8"/>
      <c r="K970" s="8"/>
      <c r="L970" s="8"/>
      <c r="M970" s="8"/>
      <c r="N970" s="8"/>
      <c r="O970" s="8"/>
      <c r="P970" s="8"/>
      <c r="Q970" s="8"/>
      <c r="R970" s="8"/>
    </row>
    <row r="971" spans="1:18" ht="12.75" customHeight="1">
      <c r="A971" s="8"/>
      <c r="B971" s="8"/>
      <c r="C971" s="30"/>
      <c r="D971" s="8"/>
      <c r="E971" s="8"/>
      <c r="F971" s="8"/>
      <c r="G971" s="8"/>
      <c r="H971" s="8"/>
      <c r="I971" s="8"/>
      <c r="J971" s="8"/>
      <c r="K971" s="8"/>
      <c r="L971" s="8"/>
      <c r="M971" s="8"/>
      <c r="N971" s="8"/>
      <c r="O971" s="8"/>
      <c r="P971" s="8"/>
      <c r="Q971" s="8"/>
      <c r="R971" s="8"/>
    </row>
    <row r="972" spans="1:18" ht="12.75" customHeight="1">
      <c r="A972" s="8"/>
      <c r="B972" s="8"/>
      <c r="C972" s="30"/>
      <c r="D972" s="8"/>
      <c r="E972" s="8"/>
      <c r="F972" s="8"/>
      <c r="G972" s="8"/>
      <c r="H972" s="8"/>
      <c r="I972" s="8"/>
      <c r="J972" s="8"/>
      <c r="K972" s="8"/>
      <c r="L972" s="8"/>
      <c r="M972" s="8"/>
      <c r="N972" s="8"/>
      <c r="O972" s="8"/>
      <c r="P972" s="8"/>
      <c r="Q972" s="8"/>
      <c r="R972" s="8"/>
    </row>
    <row r="973" spans="1:18" ht="12.75" customHeight="1">
      <c r="A973" s="8"/>
      <c r="B973" s="8"/>
      <c r="C973" s="30"/>
      <c r="D973" s="8"/>
      <c r="E973" s="8"/>
      <c r="F973" s="8"/>
      <c r="G973" s="8"/>
      <c r="H973" s="8"/>
      <c r="I973" s="8"/>
      <c r="J973" s="8"/>
      <c r="K973" s="8"/>
      <c r="L973" s="8"/>
      <c r="M973" s="8"/>
      <c r="N973" s="8"/>
      <c r="O973" s="8"/>
      <c r="P973" s="8"/>
      <c r="Q973" s="8"/>
      <c r="R973" s="8"/>
    </row>
    <row r="974" spans="1:18" ht="12.75" customHeight="1">
      <c r="A974" s="8"/>
      <c r="B974" s="8"/>
      <c r="C974" s="30"/>
      <c r="D974" s="8"/>
      <c r="E974" s="8"/>
      <c r="F974" s="8"/>
      <c r="G974" s="8"/>
      <c r="H974" s="8"/>
      <c r="I974" s="8"/>
      <c r="J974" s="8"/>
      <c r="K974" s="8"/>
      <c r="L974" s="8"/>
      <c r="M974" s="8"/>
      <c r="N974" s="8"/>
      <c r="O974" s="8"/>
      <c r="P974" s="8"/>
      <c r="Q974" s="8"/>
      <c r="R974" s="8"/>
    </row>
    <row r="975" spans="1:18" ht="12.75" customHeight="1">
      <c r="A975" s="8"/>
      <c r="B975" s="8"/>
      <c r="C975" s="30"/>
      <c r="D975" s="8"/>
      <c r="E975" s="8"/>
      <c r="F975" s="8"/>
      <c r="G975" s="8"/>
      <c r="H975" s="8"/>
      <c r="I975" s="8"/>
      <c r="J975" s="8"/>
      <c r="K975" s="8"/>
      <c r="L975" s="8"/>
      <c r="M975" s="8"/>
      <c r="N975" s="8"/>
      <c r="O975" s="8"/>
      <c r="P975" s="8"/>
      <c r="Q975" s="8"/>
      <c r="R975" s="8"/>
    </row>
    <row r="976" spans="1:18" ht="12.75" customHeight="1">
      <c r="A976" s="8"/>
      <c r="B976" s="8"/>
      <c r="C976" s="30"/>
      <c r="D976" s="8"/>
      <c r="E976" s="8"/>
      <c r="F976" s="8"/>
      <c r="G976" s="8"/>
      <c r="H976" s="8"/>
      <c r="I976" s="8"/>
      <c r="J976" s="8"/>
      <c r="K976" s="8"/>
      <c r="L976" s="8"/>
      <c r="M976" s="8"/>
      <c r="N976" s="8"/>
      <c r="O976" s="8"/>
      <c r="P976" s="8"/>
      <c r="Q976" s="8"/>
      <c r="R976" s="8"/>
    </row>
    <row r="977" spans="1:18" ht="12.75" customHeight="1">
      <c r="A977" s="8"/>
      <c r="B977" s="8"/>
      <c r="C977" s="30"/>
      <c r="D977" s="8"/>
      <c r="E977" s="8"/>
      <c r="F977" s="8"/>
      <c r="G977" s="8"/>
      <c r="H977" s="8"/>
      <c r="I977" s="8"/>
      <c r="J977" s="8"/>
      <c r="K977" s="8"/>
      <c r="L977" s="8"/>
      <c r="M977" s="8"/>
      <c r="N977" s="8"/>
      <c r="O977" s="8"/>
      <c r="P977" s="8"/>
      <c r="Q977" s="8"/>
      <c r="R977" s="8"/>
    </row>
    <row r="978" spans="1:18" ht="12.75" customHeight="1">
      <c r="A978" s="8"/>
      <c r="B978" s="8"/>
      <c r="C978" s="30"/>
      <c r="D978" s="8"/>
      <c r="E978" s="8"/>
      <c r="F978" s="8"/>
      <c r="G978" s="8"/>
      <c r="H978" s="8"/>
      <c r="I978" s="8"/>
      <c r="J978" s="8"/>
      <c r="K978" s="8"/>
      <c r="L978" s="8"/>
      <c r="M978" s="8"/>
      <c r="N978" s="8"/>
      <c r="O978" s="8"/>
      <c r="P978" s="8"/>
      <c r="Q978" s="8"/>
      <c r="R978" s="8"/>
    </row>
    <row r="979" spans="1:18" ht="12.75" customHeight="1">
      <c r="A979" s="8"/>
      <c r="B979" s="8"/>
      <c r="C979" s="30"/>
      <c r="D979" s="8"/>
      <c r="E979" s="8"/>
      <c r="F979" s="8"/>
      <c r="G979" s="8"/>
      <c r="H979" s="8"/>
      <c r="I979" s="8"/>
      <c r="J979" s="8"/>
      <c r="K979" s="8"/>
      <c r="L979" s="8"/>
      <c r="M979" s="8"/>
      <c r="N979" s="8"/>
      <c r="O979" s="8"/>
      <c r="P979" s="8"/>
      <c r="Q979" s="8"/>
      <c r="R979" s="8"/>
    </row>
    <row r="980" spans="1:18" ht="12.75" customHeight="1">
      <c r="A980" s="8"/>
      <c r="B980" s="8"/>
      <c r="C980" s="30"/>
      <c r="D980" s="8"/>
      <c r="E980" s="8"/>
      <c r="F980" s="8"/>
      <c r="G980" s="8"/>
      <c r="H980" s="8"/>
      <c r="I980" s="8"/>
      <c r="J980" s="8"/>
      <c r="K980" s="8"/>
      <c r="L980" s="8"/>
      <c r="M980" s="8"/>
      <c r="N980" s="8"/>
      <c r="O980" s="8"/>
      <c r="P980" s="8"/>
      <c r="Q980" s="8"/>
      <c r="R980" s="8"/>
    </row>
    <row r="981" spans="1:18" ht="12.75" customHeight="1">
      <c r="A981" s="8"/>
      <c r="B981" s="8"/>
      <c r="C981" s="30"/>
      <c r="D981" s="8"/>
      <c r="E981" s="8"/>
      <c r="F981" s="8"/>
      <c r="G981" s="8"/>
      <c r="H981" s="8"/>
      <c r="I981" s="8"/>
      <c r="J981" s="8"/>
      <c r="K981" s="8"/>
      <c r="L981" s="8"/>
      <c r="M981" s="8"/>
      <c r="N981" s="8"/>
      <c r="O981" s="8"/>
      <c r="P981" s="8"/>
      <c r="Q981" s="8"/>
      <c r="R981" s="8"/>
    </row>
    <row r="982" spans="1:18" ht="12.75" customHeight="1">
      <c r="A982" s="8"/>
      <c r="B982" s="8"/>
      <c r="C982" s="30"/>
      <c r="D982" s="8"/>
      <c r="E982" s="8"/>
      <c r="F982" s="8"/>
      <c r="G982" s="8"/>
      <c r="H982" s="8"/>
      <c r="I982" s="8"/>
      <c r="J982" s="8"/>
      <c r="K982" s="8"/>
      <c r="L982" s="8"/>
      <c r="M982" s="8"/>
      <c r="N982" s="8"/>
      <c r="O982" s="8"/>
      <c r="P982" s="8"/>
      <c r="Q982" s="8"/>
      <c r="R982" s="8"/>
    </row>
    <row r="983" spans="1:18" ht="12.75" customHeight="1">
      <c r="A983" s="8"/>
      <c r="B983" s="8"/>
      <c r="C983" s="30"/>
      <c r="D983" s="8"/>
      <c r="E983" s="8"/>
      <c r="F983" s="8"/>
      <c r="G983" s="8"/>
      <c r="H983" s="8"/>
      <c r="I983" s="8"/>
      <c r="J983" s="8"/>
      <c r="K983" s="8"/>
      <c r="L983" s="8"/>
      <c r="M983" s="8"/>
      <c r="N983" s="8"/>
      <c r="O983" s="8"/>
      <c r="P983" s="8"/>
      <c r="Q983" s="8"/>
      <c r="R983" s="8"/>
    </row>
    <row r="984" spans="1:18" ht="12.75" customHeight="1">
      <c r="A984" s="8"/>
      <c r="B984" s="8"/>
      <c r="C984" s="30"/>
      <c r="D984" s="8"/>
      <c r="E984" s="8"/>
      <c r="F984" s="8"/>
      <c r="G984" s="8"/>
      <c r="H984" s="8"/>
      <c r="I984" s="8"/>
      <c r="J984" s="8"/>
      <c r="K984" s="8"/>
      <c r="L984" s="8"/>
      <c r="M984" s="8"/>
      <c r="N984" s="8"/>
      <c r="O984" s="8"/>
      <c r="P984" s="8"/>
      <c r="Q984" s="8"/>
      <c r="R984" s="8"/>
    </row>
    <row r="985" spans="1:18" ht="12.75" customHeight="1">
      <c r="A985" s="8"/>
      <c r="B985" s="8"/>
      <c r="C985" s="30"/>
      <c r="D985" s="8"/>
      <c r="E985" s="8"/>
      <c r="F985" s="8"/>
      <c r="G985" s="8"/>
      <c r="H985" s="8"/>
      <c r="I985" s="8"/>
      <c r="J985" s="8"/>
      <c r="K985" s="8"/>
      <c r="L985" s="8"/>
      <c r="M985" s="8"/>
      <c r="N985" s="8"/>
      <c r="O985" s="8"/>
      <c r="P985" s="8"/>
      <c r="Q985" s="8"/>
      <c r="R985" s="8"/>
    </row>
    <row r="986" spans="1:18" ht="12.75" customHeight="1">
      <c r="A986" s="8"/>
      <c r="B986" s="8"/>
      <c r="C986" s="30"/>
      <c r="D986" s="8"/>
      <c r="E986" s="8"/>
      <c r="F986" s="8"/>
      <c r="G986" s="8"/>
      <c r="H986" s="8"/>
      <c r="I986" s="8"/>
      <c r="J986" s="8"/>
      <c r="K986" s="8"/>
      <c r="L986" s="8"/>
      <c r="M986" s="8"/>
      <c r="N986" s="8"/>
      <c r="O986" s="8"/>
      <c r="P986" s="8"/>
      <c r="Q986" s="8"/>
      <c r="R986" s="8"/>
    </row>
    <row r="987" spans="1:18" ht="12.75" customHeight="1">
      <c r="A987" s="8"/>
      <c r="B987" s="8"/>
      <c r="C987" s="30"/>
      <c r="D987" s="8"/>
      <c r="E987" s="8"/>
      <c r="F987" s="8"/>
      <c r="G987" s="8"/>
      <c r="H987" s="8"/>
      <c r="I987" s="8"/>
      <c r="J987" s="8"/>
      <c r="K987" s="8"/>
      <c r="L987" s="8"/>
      <c r="M987" s="8"/>
      <c r="N987" s="8"/>
      <c r="O987" s="8"/>
      <c r="P987" s="8"/>
      <c r="Q987" s="8"/>
      <c r="R987" s="8"/>
    </row>
    <row r="988" spans="1:18" ht="12.75" customHeight="1">
      <c r="A988" s="8"/>
      <c r="B988" s="8"/>
      <c r="C988" s="30"/>
      <c r="D988" s="8"/>
      <c r="E988" s="8"/>
      <c r="F988" s="8"/>
      <c r="G988" s="8"/>
      <c r="H988" s="8"/>
      <c r="I988" s="8"/>
      <c r="J988" s="8"/>
      <c r="K988" s="8"/>
      <c r="L988" s="8"/>
      <c r="M988" s="8"/>
      <c r="N988" s="8"/>
      <c r="O988" s="8"/>
      <c r="P988" s="8"/>
      <c r="Q988" s="8"/>
      <c r="R988" s="8"/>
    </row>
    <row r="989" spans="1:18" ht="12.75" customHeight="1">
      <c r="A989" s="8"/>
      <c r="B989" s="8"/>
      <c r="C989" s="30"/>
      <c r="D989" s="8"/>
      <c r="E989" s="8"/>
      <c r="F989" s="8"/>
      <c r="G989" s="8"/>
      <c r="H989" s="8"/>
      <c r="I989" s="8"/>
      <c r="J989" s="8"/>
      <c r="K989" s="8"/>
      <c r="L989" s="8"/>
      <c r="M989" s="8"/>
      <c r="N989" s="8"/>
      <c r="O989" s="8"/>
      <c r="P989" s="8"/>
      <c r="Q989" s="8"/>
      <c r="R989" s="8"/>
    </row>
    <row r="990" spans="1:18" ht="12.75" customHeight="1">
      <c r="A990" s="8"/>
      <c r="B990" s="8"/>
      <c r="C990" s="30"/>
      <c r="D990" s="8"/>
      <c r="E990" s="8"/>
      <c r="F990" s="8"/>
      <c r="G990" s="8"/>
      <c r="H990" s="8"/>
      <c r="I990" s="8"/>
      <c r="J990" s="8"/>
      <c r="K990" s="8"/>
      <c r="L990" s="8"/>
      <c r="M990" s="8"/>
      <c r="N990" s="8"/>
      <c r="O990" s="8"/>
      <c r="P990" s="8"/>
      <c r="Q990" s="8"/>
      <c r="R990" s="8"/>
    </row>
    <row r="991" spans="1:18" ht="12.75" customHeight="1">
      <c r="A991" s="8"/>
      <c r="B991" s="8"/>
      <c r="C991" s="30"/>
      <c r="D991" s="8"/>
      <c r="E991" s="8"/>
      <c r="F991" s="8"/>
      <c r="G991" s="8"/>
      <c r="H991" s="8"/>
      <c r="I991" s="8"/>
      <c r="J991" s="8"/>
      <c r="K991" s="8"/>
      <c r="L991" s="8"/>
      <c r="M991" s="8"/>
      <c r="N991" s="8"/>
      <c r="O991" s="8"/>
      <c r="P991" s="8"/>
      <c r="Q991" s="8"/>
      <c r="R991" s="8"/>
    </row>
    <row r="992" spans="1:18" ht="12.75" customHeight="1">
      <c r="A992" s="8"/>
      <c r="B992" s="8"/>
      <c r="C992" s="30"/>
      <c r="D992" s="8"/>
      <c r="E992" s="8"/>
      <c r="F992" s="8"/>
      <c r="G992" s="8"/>
      <c r="H992" s="8"/>
      <c r="I992" s="8"/>
      <c r="J992" s="8"/>
      <c r="K992" s="8"/>
      <c r="L992" s="8"/>
      <c r="M992" s="8"/>
      <c r="N992" s="8"/>
      <c r="O992" s="8"/>
      <c r="P992" s="8"/>
      <c r="Q992" s="8"/>
      <c r="R992" s="8"/>
    </row>
    <row r="993" spans="1:18" ht="12.75" customHeight="1">
      <c r="A993" s="8"/>
      <c r="B993" s="8"/>
      <c r="C993" s="30"/>
      <c r="D993" s="8"/>
      <c r="E993" s="8"/>
      <c r="F993" s="8"/>
      <c r="G993" s="8"/>
      <c r="H993" s="8"/>
      <c r="I993" s="8"/>
      <c r="J993" s="8"/>
      <c r="K993" s="8"/>
      <c r="L993" s="8"/>
      <c r="M993" s="8"/>
      <c r="N993" s="8"/>
      <c r="O993" s="8"/>
      <c r="P993" s="8"/>
      <c r="Q993" s="8"/>
      <c r="R993" s="8"/>
    </row>
    <row r="994" spans="1:18" ht="12.75" customHeight="1">
      <c r="A994" s="8"/>
      <c r="B994" s="8"/>
      <c r="C994" s="30"/>
      <c r="D994" s="8"/>
      <c r="E994" s="8"/>
      <c r="F994" s="8"/>
      <c r="G994" s="8"/>
      <c r="H994" s="8"/>
      <c r="I994" s="8"/>
      <c r="J994" s="8"/>
      <c r="K994" s="8"/>
      <c r="L994" s="8"/>
      <c r="M994" s="8"/>
      <c r="N994" s="8"/>
      <c r="O994" s="8"/>
      <c r="P994" s="8"/>
      <c r="Q994" s="8"/>
      <c r="R994" s="8"/>
    </row>
    <row r="995" spans="1:18" ht="12.75" customHeight="1">
      <c r="A995" s="8"/>
      <c r="B995" s="8"/>
      <c r="C995" s="30"/>
      <c r="D995" s="8"/>
      <c r="E995" s="8"/>
      <c r="F995" s="8"/>
      <c r="G995" s="8"/>
      <c r="H995" s="8"/>
      <c r="I995" s="8"/>
      <c r="J995" s="8"/>
      <c r="K995" s="8"/>
      <c r="L995" s="8"/>
      <c r="M995" s="8"/>
      <c r="N995" s="8"/>
      <c r="O995" s="8"/>
      <c r="P995" s="8"/>
      <c r="Q995" s="8"/>
      <c r="R995" s="8"/>
    </row>
    <row r="996" spans="1:18" ht="12.75" customHeight="1">
      <c r="A996" s="8"/>
      <c r="B996" s="8"/>
      <c r="C996" s="30"/>
      <c r="D996" s="8"/>
      <c r="E996" s="8"/>
      <c r="F996" s="8"/>
      <c r="G996" s="8"/>
      <c r="H996" s="8"/>
      <c r="I996" s="8"/>
      <c r="J996" s="8"/>
      <c r="K996" s="8"/>
      <c r="L996" s="8"/>
      <c r="M996" s="8"/>
      <c r="N996" s="8"/>
      <c r="O996" s="8"/>
      <c r="P996" s="8"/>
      <c r="Q996" s="8"/>
      <c r="R996" s="8"/>
    </row>
    <row r="997" spans="1:18" ht="12.75" customHeight="1">
      <c r="A997" s="8"/>
      <c r="B997" s="8"/>
      <c r="C997" s="30"/>
      <c r="D997" s="8"/>
      <c r="E997" s="8"/>
      <c r="F997" s="8"/>
      <c r="G997" s="8"/>
      <c r="H997" s="8"/>
      <c r="I997" s="8"/>
      <c r="J997" s="8"/>
      <c r="K997" s="8"/>
      <c r="L997" s="8"/>
      <c r="M997" s="8"/>
      <c r="N997" s="8"/>
      <c r="O997" s="8"/>
      <c r="P997" s="8"/>
      <c r="Q997" s="8"/>
      <c r="R997" s="8"/>
    </row>
    <row r="998" spans="1:18" ht="12.75" customHeight="1">
      <c r="A998" s="8"/>
      <c r="B998" s="8"/>
      <c r="C998" s="30"/>
      <c r="D998" s="8"/>
      <c r="E998" s="8"/>
      <c r="F998" s="8"/>
      <c r="G998" s="8"/>
      <c r="H998" s="8"/>
      <c r="I998" s="8"/>
      <c r="J998" s="8"/>
      <c r="K998" s="8"/>
      <c r="L998" s="8"/>
      <c r="M998" s="8"/>
      <c r="N998" s="8"/>
      <c r="O998" s="8"/>
      <c r="P998" s="8"/>
      <c r="Q998" s="8"/>
      <c r="R998" s="8"/>
    </row>
    <row r="999" spans="1:18" ht="12.75" customHeight="1">
      <c r="A999" s="8"/>
      <c r="B999" s="8"/>
      <c r="C999" s="30"/>
      <c r="D999" s="8"/>
      <c r="E999" s="8"/>
      <c r="F999" s="8"/>
      <c r="G999" s="8"/>
      <c r="H999" s="8"/>
      <c r="I999" s="8"/>
      <c r="J999" s="8"/>
      <c r="K999" s="8"/>
      <c r="L999" s="8"/>
      <c r="M999" s="8"/>
      <c r="N999" s="8"/>
      <c r="O999" s="8"/>
      <c r="P999" s="8"/>
      <c r="Q999" s="8"/>
      <c r="R999" s="8"/>
    </row>
    <row r="1000" spans="1:18" ht="12.75" customHeight="1">
      <c r="A1000" s="8"/>
      <c r="B1000" s="8"/>
      <c r="C1000" s="30"/>
      <c r="D1000" s="8"/>
      <c r="E1000" s="8"/>
      <c r="F1000" s="8"/>
      <c r="G1000" s="8"/>
      <c r="H1000" s="8"/>
      <c r="I1000" s="8"/>
      <c r="J1000" s="8"/>
      <c r="K1000" s="8"/>
      <c r="L1000" s="8"/>
      <c r="M1000" s="8"/>
      <c r="N1000" s="8"/>
      <c r="O1000" s="8"/>
      <c r="P1000" s="8"/>
      <c r="Q1000" s="8"/>
      <c r="R1000" s="8"/>
    </row>
  </sheetData>
  <mergeCells count="12">
    <mergeCell ref="A116:B116"/>
    <mergeCell ref="A133:B133"/>
    <mergeCell ref="A3:B4"/>
    <mergeCell ref="A105:B106"/>
    <mergeCell ref="A147:B147"/>
    <mergeCell ref="A5:C8"/>
    <mergeCell ref="A15:B15"/>
    <mergeCell ref="A38:B38"/>
    <mergeCell ref="A60:B60"/>
    <mergeCell ref="A84:B84"/>
    <mergeCell ref="A92:B92"/>
    <mergeCell ref="A107:C109"/>
  </mergeCells>
  <printOptions horizontalCentered="1"/>
  <pageMargins left="0.78740157480314965" right="0.59055118110236227" top="0.78740157480314965" bottom="0.78740157480314965" header="0" footer="0"/>
  <pageSetup paperSize="9" orientation="portrait" r:id="rId1"/>
  <headerFooter>
    <oddHeader xml:space="preserve">&amp;L&amp;"Arial Narrow,Negrita"MUNICIPALIDAD DE VILLA MARÍA&amp;R&amp;"Arial Narrow,Negrita"PRESUPUESTO 2024
</oddHeader>
    <oddFooter>&amp;R&amp;"Arial Narrow,Normal"&amp;P</oddFooter>
  </headerFooter>
  <rowBreaks count="2" manualBreakCount="2">
    <brk id="54" max="2" man="1"/>
    <brk id="104" max="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33"/>
  </sheetPr>
  <dimension ref="A1:R995"/>
  <sheetViews>
    <sheetView zoomScaleNormal="100" workbookViewId="0">
      <selection activeCell="D10" sqref="D10"/>
    </sheetView>
  </sheetViews>
  <sheetFormatPr baseColWidth="10" defaultColWidth="14.42578125" defaultRowHeight="15" customHeight="1"/>
  <cols>
    <col min="1" max="1" width="10.7109375" customWidth="1"/>
    <col min="2" max="2" width="50.7109375" customWidth="1"/>
    <col min="3" max="3" width="15.7109375" customWidth="1"/>
    <col min="4" max="4" width="6.5703125" customWidth="1"/>
    <col min="5" max="5" width="16.28515625" customWidth="1"/>
    <col min="6" max="6" width="13.28515625" customWidth="1"/>
    <col min="7" max="7" width="14.7109375" customWidth="1"/>
    <col min="8" max="8" width="10.7109375" customWidth="1"/>
    <col min="9" max="9" width="12.140625" customWidth="1"/>
    <col min="10" max="18" width="10.7109375" customWidth="1"/>
  </cols>
  <sheetData>
    <row r="1" spans="1:18" ht="15" customHeight="1" thickBot="1">
      <c r="A1" s="1555" t="s">
        <v>983</v>
      </c>
      <c r="B1" s="1556"/>
      <c r="C1" s="1557"/>
    </row>
    <row r="2" spans="1:18" ht="12.75" customHeight="1" thickBot="1">
      <c r="A2" s="8"/>
      <c r="B2" s="8"/>
      <c r="C2" s="30"/>
      <c r="D2" s="8"/>
      <c r="E2" s="8"/>
      <c r="F2" s="8"/>
      <c r="G2" s="8"/>
      <c r="H2" s="8"/>
      <c r="I2" s="8"/>
      <c r="J2" s="8"/>
      <c r="K2" s="8"/>
      <c r="L2" s="8"/>
      <c r="M2" s="8"/>
      <c r="N2" s="8"/>
      <c r="O2" s="8"/>
      <c r="P2" s="8"/>
      <c r="Q2" s="8"/>
      <c r="R2" s="8"/>
    </row>
    <row r="3" spans="1:18" ht="12.75" customHeight="1">
      <c r="A3" s="1116" t="s">
        <v>260</v>
      </c>
      <c r="B3" s="1135"/>
      <c r="C3" s="1146" t="s">
        <v>261</v>
      </c>
      <c r="D3" s="8"/>
      <c r="E3" s="8"/>
      <c r="F3" s="8"/>
      <c r="G3" s="8"/>
      <c r="H3" s="8"/>
      <c r="I3" s="8"/>
      <c r="J3" s="8"/>
      <c r="K3" s="8"/>
      <c r="L3" s="8"/>
      <c r="M3" s="8"/>
      <c r="N3" s="8"/>
      <c r="O3" s="8"/>
      <c r="P3" s="8"/>
      <c r="Q3" s="8"/>
      <c r="R3" s="8"/>
    </row>
    <row r="4" spans="1:18" ht="12.75" customHeight="1" thickBot="1">
      <c r="A4" s="1118"/>
      <c r="B4" s="1149"/>
      <c r="C4" s="1140"/>
      <c r="D4" s="8"/>
      <c r="E4" s="8"/>
      <c r="F4" s="8"/>
      <c r="G4" s="8"/>
      <c r="H4" s="8"/>
      <c r="I4" s="8"/>
      <c r="J4" s="8"/>
      <c r="K4" s="8"/>
      <c r="L4" s="8"/>
      <c r="M4" s="8"/>
      <c r="N4" s="8"/>
      <c r="O4" s="8"/>
      <c r="P4" s="8"/>
      <c r="Q4" s="8"/>
      <c r="R4" s="8"/>
    </row>
    <row r="5" spans="1:18" ht="12.75" customHeight="1">
      <c r="A5" s="1291" t="s">
        <v>455</v>
      </c>
      <c r="B5" s="1465"/>
      <c r="C5" s="1466"/>
      <c r="D5" s="270"/>
      <c r="E5" s="4"/>
      <c r="F5" s="4"/>
      <c r="G5" s="4"/>
      <c r="H5" s="4"/>
      <c r="I5" s="4"/>
      <c r="J5" s="4"/>
      <c r="K5" s="4"/>
      <c r="L5" s="4"/>
      <c r="M5" s="4"/>
      <c r="N5" s="4"/>
      <c r="O5" s="4"/>
      <c r="P5" s="4"/>
      <c r="Q5" s="4"/>
      <c r="R5" s="4"/>
    </row>
    <row r="6" spans="1:18" ht="12.75" customHeight="1">
      <c r="A6" s="1460"/>
      <c r="B6" s="1461"/>
      <c r="C6" s="1462"/>
      <c r="D6" s="8"/>
      <c r="E6" s="8"/>
      <c r="F6" s="8"/>
      <c r="G6" s="8"/>
      <c r="H6" s="8"/>
      <c r="I6" s="8"/>
      <c r="J6" s="8"/>
      <c r="K6" s="8"/>
      <c r="L6" s="8"/>
      <c r="M6" s="8"/>
      <c r="N6" s="8"/>
      <c r="O6" s="8"/>
      <c r="P6" s="8"/>
      <c r="Q6" s="8"/>
      <c r="R6" s="8"/>
    </row>
    <row r="7" spans="1:18" ht="12.75" customHeight="1">
      <c r="A7" s="1460"/>
      <c r="B7" s="1461"/>
      <c r="C7" s="1462"/>
      <c r="D7" s="8"/>
      <c r="E7" s="8"/>
      <c r="F7" s="8"/>
      <c r="G7" s="8"/>
      <c r="H7" s="8"/>
      <c r="I7" s="8"/>
      <c r="J7" s="8"/>
      <c r="K7" s="8"/>
      <c r="L7" s="8"/>
      <c r="M7" s="8"/>
      <c r="N7" s="8"/>
      <c r="O7" s="8"/>
      <c r="P7" s="8"/>
      <c r="Q7" s="8"/>
      <c r="R7" s="8"/>
    </row>
    <row r="8" spans="1:18" ht="12.75" customHeight="1">
      <c r="A8" s="1460"/>
      <c r="B8" s="1461"/>
      <c r="C8" s="1462"/>
      <c r="D8" s="8"/>
      <c r="E8" s="8"/>
      <c r="F8" s="8"/>
      <c r="G8" s="8"/>
      <c r="H8" s="8"/>
      <c r="I8" s="8"/>
      <c r="J8" s="8"/>
      <c r="K8" s="8"/>
      <c r="L8" s="8"/>
      <c r="M8" s="8"/>
      <c r="N8" s="8"/>
      <c r="O8" s="8"/>
      <c r="P8" s="8"/>
      <c r="Q8" s="8"/>
      <c r="R8" s="8"/>
    </row>
    <row r="9" spans="1:18" ht="12.75" customHeight="1" thickBot="1">
      <c r="A9" s="1448"/>
      <c r="B9" s="1449"/>
      <c r="C9" s="1450"/>
      <c r="D9" s="8"/>
      <c r="E9" s="8"/>
      <c r="F9" s="8"/>
      <c r="G9" s="8"/>
      <c r="H9" s="8"/>
      <c r="I9" s="8"/>
      <c r="J9" s="8"/>
      <c r="K9" s="8"/>
      <c r="L9" s="8"/>
      <c r="M9" s="8"/>
      <c r="N9" s="8"/>
      <c r="O9" s="8"/>
      <c r="P9" s="8"/>
      <c r="Q9" s="8"/>
      <c r="R9" s="8"/>
    </row>
    <row r="10" spans="1:18" ht="12.75" customHeight="1">
      <c r="A10" s="1094" t="s">
        <v>671</v>
      </c>
      <c r="B10" s="1095"/>
      <c r="C10" s="1096"/>
      <c r="D10" s="13"/>
      <c r="E10" s="13"/>
      <c r="F10" s="13"/>
      <c r="G10" s="13"/>
      <c r="H10" s="13"/>
      <c r="I10" s="13"/>
      <c r="J10" s="13"/>
      <c r="K10" s="13"/>
      <c r="L10" s="13"/>
      <c r="M10" s="13"/>
      <c r="N10" s="13"/>
      <c r="O10" s="13"/>
      <c r="P10" s="13"/>
      <c r="Q10" s="13"/>
      <c r="R10" s="13"/>
    </row>
    <row r="11" spans="1:18" ht="12.75" customHeight="1">
      <c r="A11" s="1097" t="s">
        <v>262</v>
      </c>
      <c r="B11" s="986"/>
      <c r="C11" s="1098"/>
      <c r="D11" s="13"/>
      <c r="E11" s="13"/>
      <c r="F11" s="13"/>
      <c r="G11" s="13"/>
      <c r="H11" s="13"/>
      <c r="I11" s="13"/>
      <c r="J11" s="13"/>
      <c r="K11" s="13"/>
      <c r="L11" s="13"/>
      <c r="M11" s="13"/>
      <c r="N11" s="13"/>
      <c r="O11" s="13"/>
      <c r="P11" s="13"/>
      <c r="Q11" s="13"/>
      <c r="R11" s="13"/>
    </row>
    <row r="12" spans="1:18" ht="12.75" customHeight="1">
      <c r="A12" s="1097" t="s">
        <v>939</v>
      </c>
      <c r="B12" s="986"/>
      <c r="C12" s="1098"/>
      <c r="D12" s="13"/>
      <c r="E12" s="13"/>
      <c r="F12" s="13"/>
      <c r="G12" s="13"/>
      <c r="H12" s="13"/>
      <c r="I12" s="13"/>
      <c r="J12" s="13"/>
      <c r="K12" s="13"/>
      <c r="L12" s="13"/>
      <c r="M12" s="13"/>
      <c r="N12" s="13"/>
      <c r="O12" s="13"/>
      <c r="P12" s="13"/>
      <c r="Q12" s="13"/>
      <c r="R12" s="13"/>
    </row>
    <row r="13" spans="1:18" ht="12.75" customHeight="1" thickBot="1">
      <c r="A13" s="1150" t="s">
        <v>0</v>
      </c>
      <c r="B13" s="1151"/>
      <c r="C13" s="1099"/>
      <c r="D13" s="13"/>
      <c r="E13" s="13"/>
      <c r="F13" s="13"/>
      <c r="G13" s="13"/>
      <c r="H13" s="13"/>
      <c r="I13" s="13"/>
      <c r="J13" s="13"/>
      <c r="K13" s="13"/>
      <c r="L13" s="13"/>
      <c r="M13" s="13"/>
      <c r="N13" s="13"/>
      <c r="O13" s="13"/>
      <c r="P13" s="13"/>
      <c r="Q13" s="13"/>
      <c r="R13" s="13"/>
    </row>
    <row r="14" spans="1:18" ht="12.75" customHeight="1" thickBot="1">
      <c r="A14" s="1132" t="s">
        <v>1</v>
      </c>
      <c r="B14" s="1133"/>
      <c r="C14" s="1134">
        <f>C16+C39+C57+C75</f>
        <v>188710950.9075</v>
      </c>
      <c r="D14" s="13"/>
      <c r="E14" s="986"/>
      <c r="F14" s="986"/>
      <c r="G14" s="986"/>
      <c r="H14" s="986"/>
      <c r="I14" s="986"/>
      <c r="J14" s="13"/>
      <c r="K14" s="13"/>
      <c r="L14" s="13"/>
      <c r="M14" s="13"/>
      <c r="N14" s="13"/>
      <c r="O14" s="13"/>
      <c r="P14" s="13"/>
      <c r="Q14" s="13"/>
      <c r="R14" s="13"/>
    </row>
    <row r="15" spans="1:18" ht="12.75" customHeight="1" thickBot="1">
      <c r="A15" s="15"/>
      <c r="B15" s="15"/>
      <c r="C15" s="16"/>
      <c r="D15" s="13"/>
      <c r="E15" s="1106"/>
      <c r="F15" s="1106"/>
      <c r="G15" s="1106"/>
      <c r="H15" s="1106"/>
      <c r="I15" s="1106"/>
      <c r="J15" s="13"/>
      <c r="K15" s="13"/>
      <c r="L15" s="13"/>
      <c r="M15" s="13"/>
      <c r="N15" s="13"/>
      <c r="O15" s="13"/>
      <c r="P15" s="13"/>
      <c r="Q15" s="13"/>
      <c r="R15" s="13"/>
    </row>
    <row r="16" spans="1:18" ht="12.75" customHeight="1" thickBot="1">
      <c r="A16" s="1451" t="s">
        <v>2</v>
      </c>
      <c r="B16" s="1281"/>
      <c r="C16" s="601">
        <f>(C17+C24+C31)</f>
        <v>171077450.9075</v>
      </c>
      <c r="D16" s="13"/>
      <c r="E16" s="1107"/>
      <c r="F16" s="1107"/>
      <c r="G16" s="1107"/>
      <c r="H16" s="1107"/>
      <c r="I16" s="1107"/>
      <c r="J16" s="13"/>
      <c r="K16" s="13"/>
      <c r="L16" s="13"/>
      <c r="M16" s="13"/>
      <c r="N16" s="13"/>
      <c r="O16" s="13"/>
      <c r="P16" s="13"/>
      <c r="Q16" s="13"/>
      <c r="R16" s="13"/>
    </row>
    <row r="17" spans="1:18" ht="12.75" customHeight="1">
      <c r="A17" s="48">
        <v>211101</v>
      </c>
      <c r="B17" s="22" t="s">
        <v>667</v>
      </c>
      <c r="C17" s="26">
        <f>SUM(C18:C23)</f>
        <v>6</v>
      </c>
      <c r="D17" s="10"/>
      <c r="E17" s="1039"/>
      <c r="F17" s="1039"/>
      <c r="G17" s="1039"/>
      <c r="H17" s="1039"/>
      <c r="I17" s="1039"/>
      <c r="J17" s="13"/>
      <c r="K17" s="13"/>
      <c r="L17" s="13"/>
      <c r="M17" s="13"/>
      <c r="N17" s="13"/>
      <c r="O17" s="13"/>
      <c r="P17" s="13"/>
      <c r="Q17" s="13"/>
      <c r="R17" s="13"/>
    </row>
    <row r="18" spans="1:18" ht="12.75" customHeight="1">
      <c r="A18" s="33">
        <v>21110101</v>
      </c>
      <c r="B18" s="24" t="s">
        <v>810</v>
      </c>
      <c r="C18" s="24">
        <v>1</v>
      </c>
      <c r="D18" s="10"/>
      <c r="E18" s="1039"/>
      <c r="F18" s="1039"/>
      <c r="G18" s="1039"/>
      <c r="H18" s="1039"/>
      <c r="I18" s="1039"/>
      <c r="J18" s="13"/>
      <c r="K18" s="13"/>
      <c r="L18" s="13"/>
      <c r="M18" s="13"/>
      <c r="N18" s="13"/>
      <c r="O18" s="13"/>
      <c r="P18" s="13"/>
      <c r="Q18" s="13"/>
      <c r="R18" s="13"/>
    </row>
    <row r="19" spans="1:18" ht="12.75" customHeight="1">
      <c r="A19" s="33">
        <v>21110102</v>
      </c>
      <c r="B19" s="24" t="s">
        <v>811</v>
      </c>
      <c r="C19" s="24">
        <v>1</v>
      </c>
      <c r="D19" s="10"/>
      <c r="E19" s="1039"/>
      <c r="F19" s="1039"/>
      <c r="G19" s="1109"/>
      <c r="H19" s="1039"/>
      <c r="I19" s="1039"/>
      <c r="J19" s="13"/>
      <c r="K19" s="13"/>
      <c r="L19" s="13"/>
      <c r="M19" s="13"/>
      <c r="N19" s="13"/>
      <c r="O19" s="13"/>
      <c r="P19" s="13"/>
      <c r="Q19" s="13"/>
      <c r="R19" s="13"/>
    </row>
    <row r="20" spans="1:18" ht="12.75" customHeight="1">
      <c r="A20" s="33">
        <v>21110103</v>
      </c>
      <c r="B20" s="24" t="s">
        <v>812</v>
      </c>
      <c r="C20" s="24">
        <v>1</v>
      </c>
      <c r="D20" s="10"/>
      <c r="E20" s="994"/>
      <c r="F20" s="994"/>
      <c r="G20" s="994"/>
      <c r="H20" s="994"/>
      <c r="I20" s="994"/>
      <c r="J20" s="27"/>
      <c r="K20" s="27"/>
      <c r="L20" s="27"/>
      <c r="M20" s="27"/>
      <c r="N20" s="27"/>
      <c r="O20" s="27"/>
      <c r="P20" s="27"/>
      <c r="Q20" s="27"/>
      <c r="R20" s="27"/>
    </row>
    <row r="21" spans="1:18" ht="12.75" customHeight="1">
      <c r="A21" s="33">
        <v>21110104</v>
      </c>
      <c r="B21" s="24" t="s">
        <v>813</v>
      </c>
      <c r="C21" s="24">
        <v>1</v>
      </c>
      <c r="D21" s="10"/>
      <c r="E21" s="994"/>
      <c r="F21" s="994"/>
      <c r="G21" s="994"/>
      <c r="H21" s="994"/>
      <c r="I21" s="994"/>
      <c r="J21" s="27"/>
      <c r="K21" s="27"/>
      <c r="L21" s="27"/>
      <c r="M21" s="27"/>
      <c r="N21" s="27"/>
      <c r="O21" s="27"/>
      <c r="P21" s="27"/>
      <c r="Q21" s="27"/>
      <c r="R21" s="27"/>
    </row>
    <row r="22" spans="1:18" ht="12.75" customHeight="1">
      <c r="A22" s="33">
        <v>21110105</v>
      </c>
      <c r="B22" s="24" t="s">
        <v>814</v>
      </c>
      <c r="C22" s="24">
        <v>1</v>
      </c>
      <c r="D22" s="10"/>
      <c r="E22" s="27"/>
      <c r="F22" s="27"/>
      <c r="G22" s="27"/>
      <c r="H22" s="27"/>
      <c r="I22" s="27"/>
      <c r="J22" s="27"/>
      <c r="K22" s="27"/>
      <c r="L22" s="27"/>
      <c r="M22" s="27"/>
      <c r="N22" s="27"/>
      <c r="O22" s="27"/>
      <c r="P22" s="27"/>
      <c r="Q22" s="27"/>
      <c r="R22" s="27"/>
    </row>
    <row r="23" spans="1:18" ht="12.75" customHeight="1">
      <c r="A23" s="33">
        <v>21110106</v>
      </c>
      <c r="B23" s="24" t="s">
        <v>815</v>
      </c>
      <c r="C23" s="24">
        <v>1</v>
      </c>
      <c r="D23" s="10"/>
      <c r="E23" s="27"/>
      <c r="F23" s="27"/>
      <c r="G23" s="27"/>
      <c r="H23" s="27"/>
      <c r="I23" s="27"/>
      <c r="J23" s="27"/>
      <c r="K23" s="27"/>
      <c r="L23" s="27"/>
      <c r="M23" s="27"/>
      <c r="N23" s="27"/>
      <c r="O23" s="27"/>
      <c r="P23" s="27"/>
      <c r="Q23" s="27"/>
      <c r="R23" s="27"/>
    </row>
    <row r="24" spans="1:18" ht="12.75" customHeight="1">
      <c r="A24" s="48">
        <v>211102</v>
      </c>
      <c r="B24" s="26" t="s">
        <v>668</v>
      </c>
      <c r="C24" s="26">
        <f>SUM(C25:C30)</f>
        <v>154469049.22499999</v>
      </c>
      <c r="D24" s="10"/>
      <c r="E24" s="27"/>
      <c r="F24" s="27"/>
      <c r="G24" s="27"/>
      <c r="H24" s="27"/>
      <c r="I24" s="27"/>
      <c r="J24" s="27"/>
      <c r="K24" s="27"/>
      <c r="L24" s="27"/>
      <c r="M24" s="27"/>
      <c r="N24" s="27"/>
      <c r="O24" s="27"/>
      <c r="P24" s="27"/>
      <c r="Q24" s="27"/>
      <c r="R24" s="27"/>
    </row>
    <row r="25" spans="1:18" ht="12.75" customHeight="1">
      <c r="A25" s="33">
        <v>21110201</v>
      </c>
      <c r="B25" s="24" t="s">
        <v>816</v>
      </c>
      <c r="C25" s="24">
        <v>128962947.26249999</v>
      </c>
      <c r="D25" s="30"/>
      <c r="E25" s="27"/>
      <c r="F25" s="27"/>
      <c r="G25" s="27"/>
      <c r="H25" s="27"/>
      <c r="I25" s="27"/>
      <c r="J25" s="27"/>
      <c r="K25" s="27"/>
      <c r="L25" s="27"/>
      <c r="M25" s="27"/>
      <c r="N25" s="27"/>
      <c r="O25" s="27"/>
      <c r="P25" s="27"/>
      <c r="Q25" s="27"/>
      <c r="R25" s="27"/>
    </row>
    <row r="26" spans="1:18" ht="12.75" customHeight="1">
      <c r="A26" s="33">
        <v>21110202</v>
      </c>
      <c r="B26" s="24" t="s">
        <v>817</v>
      </c>
      <c r="C26" s="24">
        <v>21520400.752499998</v>
      </c>
      <c r="D26" s="30"/>
      <c r="E26" s="13"/>
      <c r="F26" s="13"/>
      <c r="G26" s="13"/>
      <c r="H26" s="13"/>
      <c r="I26" s="13"/>
      <c r="J26" s="13"/>
      <c r="K26" s="13"/>
      <c r="L26" s="13"/>
      <c r="M26" s="13"/>
      <c r="N26" s="13"/>
      <c r="O26" s="13"/>
      <c r="P26" s="13"/>
      <c r="Q26" s="13"/>
      <c r="R26" s="13"/>
    </row>
    <row r="27" spans="1:18" ht="12.75" customHeight="1">
      <c r="A27" s="33">
        <v>21110203</v>
      </c>
      <c r="B27" s="24" t="s">
        <v>818</v>
      </c>
      <c r="C27" s="24">
        <v>3985698.21</v>
      </c>
      <c r="D27" s="10"/>
      <c r="E27" s="13"/>
      <c r="F27" s="13"/>
      <c r="G27" s="13"/>
      <c r="H27" s="13"/>
      <c r="I27" s="13"/>
      <c r="J27" s="13"/>
      <c r="K27" s="13"/>
      <c r="L27" s="13"/>
      <c r="M27" s="13"/>
      <c r="N27" s="13"/>
      <c r="O27" s="13"/>
      <c r="P27" s="13"/>
      <c r="Q27" s="13"/>
      <c r="R27" s="13"/>
    </row>
    <row r="28" spans="1:18" ht="12.75" customHeight="1">
      <c r="A28" s="33">
        <v>21110204</v>
      </c>
      <c r="B28" s="24" t="s">
        <v>819</v>
      </c>
      <c r="C28" s="24">
        <v>1</v>
      </c>
      <c r="D28" s="10"/>
      <c r="E28" s="27"/>
      <c r="F28" s="27"/>
      <c r="G28" s="27"/>
      <c r="H28" s="27"/>
      <c r="I28" s="27"/>
      <c r="J28" s="27"/>
      <c r="K28" s="27"/>
      <c r="L28" s="27"/>
      <c r="M28" s="27"/>
      <c r="N28" s="27"/>
      <c r="O28" s="27"/>
      <c r="P28" s="27"/>
      <c r="Q28" s="27"/>
      <c r="R28" s="27"/>
    </row>
    <row r="29" spans="1:18" ht="12.75" customHeight="1">
      <c r="A29" s="33">
        <v>21110205</v>
      </c>
      <c r="B29" s="24" t="s">
        <v>820</v>
      </c>
      <c r="C29" s="24">
        <v>1</v>
      </c>
      <c r="D29" s="10"/>
      <c r="E29" s="27"/>
      <c r="F29" s="27"/>
      <c r="G29" s="27"/>
      <c r="H29" s="27"/>
      <c r="I29" s="27"/>
      <c r="J29" s="27"/>
      <c r="K29" s="27"/>
      <c r="L29" s="27"/>
      <c r="M29" s="27"/>
      <c r="N29" s="27"/>
      <c r="O29" s="27"/>
      <c r="P29" s="27"/>
      <c r="Q29" s="27"/>
      <c r="R29" s="27"/>
    </row>
    <row r="30" spans="1:18" ht="12.75" customHeight="1">
      <c r="A30" s="33">
        <v>21110206</v>
      </c>
      <c r="B30" s="24" t="s">
        <v>821</v>
      </c>
      <c r="C30" s="24">
        <v>1</v>
      </c>
      <c r="D30" s="30"/>
      <c r="E30" s="27"/>
      <c r="F30" s="27"/>
      <c r="G30" s="27"/>
      <c r="H30" s="27"/>
      <c r="I30" s="27"/>
      <c r="J30" s="27"/>
      <c r="K30" s="27"/>
      <c r="L30" s="27"/>
      <c r="M30" s="27"/>
      <c r="N30" s="27"/>
      <c r="O30" s="27"/>
      <c r="P30" s="27"/>
      <c r="Q30" s="27"/>
      <c r="R30" s="27"/>
    </row>
    <row r="31" spans="1:18" ht="12.75" customHeight="1">
      <c r="A31" s="48">
        <v>211103</v>
      </c>
      <c r="B31" s="26" t="s">
        <v>669</v>
      </c>
      <c r="C31" s="26">
        <f>SUM(C32:C37)</f>
        <v>16608395.682499999</v>
      </c>
      <c r="D31" s="30"/>
      <c r="E31" s="27"/>
      <c r="F31" s="27"/>
      <c r="G31" s="27"/>
      <c r="H31" s="27"/>
      <c r="I31" s="27"/>
      <c r="J31" s="27"/>
      <c r="K31" s="27"/>
      <c r="L31" s="27"/>
      <c r="M31" s="27"/>
      <c r="N31" s="27"/>
      <c r="O31" s="27"/>
      <c r="P31" s="27"/>
      <c r="Q31" s="27"/>
      <c r="R31" s="27"/>
    </row>
    <row r="32" spans="1:18" ht="12.75" customHeight="1">
      <c r="A32" s="33">
        <v>21110301</v>
      </c>
      <c r="B32" s="24" t="s">
        <v>822</v>
      </c>
      <c r="C32" s="24">
        <v>13791956.392499998</v>
      </c>
      <c r="D32" s="107"/>
      <c r="E32" s="27"/>
      <c r="F32" s="27"/>
      <c r="G32" s="27"/>
      <c r="H32" s="27"/>
      <c r="I32" s="27"/>
      <c r="J32" s="27"/>
      <c r="K32" s="27"/>
      <c r="L32" s="27"/>
      <c r="M32" s="27"/>
      <c r="N32" s="27"/>
      <c r="O32" s="27"/>
      <c r="P32" s="27"/>
      <c r="Q32" s="27"/>
      <c r="R32" s="27"/>
    </row>
    <row r="33" spans="1:18" ht="12.75" customHeight="1">
      <c r="A33" s="33">
        <v>21110302</v>
      </c>
      <c r="B33" s="24" t="s">
        <v>823</v>
      </c>
      <c r="C33" s="24">
        <v>2283142.9725000001</v>
      </c>
      <c r="D33" s="107"/>
      <c r="E33" s="27"/>
      <c r="F33" s="27"/>
      <c r="G33" s="27"/>
      <c r="H33" s="27"/>
      <c r="I33" s="27"/>
      <c r="J33" s="27"/>
      <c r="K33" s="27"/>
      <c r="L33" s="27"/>
      <c r="M33" s="27"/>
      <c r="N33" s="27"/>
      <c r="O33" s="27"/>
      <c r="P33" s="27"/>
      <c r="Q33" s="27"/>
      <c r="R33" s="27"/>
    </row>
    <row r="34" spans="1:18" ht="12.75" customHeight="1">
      <c r="A34" s="33">
        <v>21110303</v>
      </c>
      <c r="B34" s="24" t="s">
        <v>824</v>
      </c>
      <c r="C34" s="24">
        <v>428726.3175</v>
      </c>
      <c r="D34" s="107"/>
      <c r="E34" s="27"/>
      <c r="F34" s="27"/>
      <c r="G34" s="27"/>
      <c r="H34" s="27"/>
      <c r="I34" s="27"/>
      <c r="J34" s="27"/>
      <c r="K34" s="27"/>
      <c r="L34" s="27"/>
      <c r="M34" s="27"/>
      <c r="N34" s="27"/>
      <c r="O34" s="27"/>
      <c r="P34" s="27"/>
      <c r="Q34" s="27"/>
      <c r="R34" s="27"/>
    </row>
    <row r="35" spans="1:18" ht="12.75" customHeight="1">
      <c r="A35" s="33">
        <v>21110304</v>
      </c>
      <c r="B35" s="24" t="s">
        <v>825</v>
      </c>
      <c r="C35" s="24">
        <v>1</v>
      </c>
      <c r="D35" s="107"/>
      <c r="E35" s="27"/>
      <c r="F35" s="27"/>
      <c r="G35" s="27"/>
      <c r="H35" s="27"/>
      <c r="I35" s="27"/>
      <c r="J35" s="27"/>
      <c r="K35" s="27"/>
      <c r="L35" s="27"/>
      <c r="M35" s="27"/>
      <c r="N35" s="27"/>
      <c r="O35" s="27"/>
      <c r="P35" s="27"/>
      <c r="Q35" s="27"/>
      <c r="R35" s="27"/>
    </row>
    <row r="36" spans="1:18" ht="12.75" customHeight="1">
      <c r="A36" s="33">
        <v>21110305</v>
      </c>
      <c r="B36" s="24" t="s">
        <v>826</v>
      </c>
      <c r="C36" s="24">
        <v>104568</v>
      </c>
      <c r="D36" s="27"/>
      <c r="E36" s="27"/>
      <c r="F36" s="27"/>
      <c r="G36" s="27"/>
      <c r="H36" s="27"/>
      <c r="I36" s="27"/>
      <c r="J36" s="27"/>
      <c r="K36" s="27"/>
      <c r="L36" s="27"/>
      <c r="M36" s="27"/>
      <c r="N36" s="27"/>
      <c r="O36" s="27"/>
      <c r="P36" s="27"/>
      <c r="Q36" s="27"/>
      <c r="R36" s="27"/>
    </row>
    <row r="37" spans="1:18" ht="12.75" customHeight="1">
      <c r="A37" s="33">
        <v>21110306</v>
      </c>
      <c r="B37" s="24" t="s">
        <v>670</v>
      </c>
      <c r="C37" s="24">
        <v>1</v>
      </c>
      <c r="D37" s="8"/>
      <c r="E37" s="8"/>
      <c r="F37" s="8"/>
      <c r="G37" s="8"/>
      <c r="H37" s="8"/>
      <c r="I37" s="8"/>
      <c r="J37" s="8"/>
      <c r="K37" s="8"/>
      <c r="L37" s="8"/>
      <c r="M37" s="8"/>
      <c r="N37" s="8"/>
      <c r="O37" s="8"/>
      <c r="P37" s="8"/>
      <c r="Q37" s="8"/>
      <c r="R37" s="8"/>
    </row>
    <row r="38" spans="1:18" ht="12.75" customHeight="1" thickBot="1">
      <c r="A38" s="23"/>
      <c r="B38" s="23"/>
      <c r="C38" s="14"/>
      <c r="D38" s="8"/>
      <c r="E38" s="8"/>
      <c r="F38" s="8"/>
      <c r="G38" s="8"/>
      <c r="H38" s="8"/>
      <c r="I38" s="8"/>
      <c r="J38" s="8"/>
      <c r="K38" s="8"/>
      <c r="L38" s="8"/>
      <c r="M38" s="8"/>
      <c r="N38" s="8"/>
      <c r="O38" s="8"/>
      <c r="P38" s="8"/>
      <c r="Q38" s="8"/>
      <c r="R38" s="8"/>
    </row>
    <row r="39" spans="1:18" ht="12.75" customHeight="1" thickBot="1">
      <c r="A39" s="1280" t="s">
        <v>9</v>
      </c>
      <c r="B39" s="1281"/>
      <c r="C39" s="31">
        <f>C40+C42+C45+C52+C47</f>
        <v>2550500</v>
      </c>
      <c r="D39" s="8"/>
      <c r="E39" s="8"/>
      <c r="F39" s="8"/>
      <c r="G39" s="8"/>
      <c r="H39" s="8"/>
      <c r="I39" s="8"/>
      <c r="J39" s="8"/>
      <c r="K39" s="8"/>
      <c r="L39" s="8"/>
      <c r="M39" s="8"/>
      <c r="N39" s="8"/>
      <c r="O39" s="8"/>
      <c r="P39" s="8"/>
      <c r="Q39" s="8"/>
      <c r="R39" s="8"/>
    </row>
    <row r="40" spans="1:18" ht="12.75" customHeight="1">
      <c r="A40" s="48">
        <v>211201</v>
      </c>
      <c r="B40" s="22" t="s">
        <v>459</v>
      </c>
      <c r="C40" s="16">
        <f>SUM(C41)</f>
        <v>916000</v>
      </c>
      <c r="D40" s="8"/>
      <c r="E40" s="8"/>
      <c r="F40" s="8"/>
      <c r="G40" s="8"/>
      <c r="H40" s="8"/>
      <c r="I40" s="8"/>
      <c r="J40" s="8"/>
      <c r="K40" s="8"/>
      <c r="L40" s="8"/>
      <c r="M40" s="8"/>
      <c r="N40" s="8"/>
      <c r="O40" s="8"/>
      <c r="P40" s="8"/>
      <c r="Q40" s="8"/>
      <c r="R40" s="8"/>
    </row>
    <row r="41" spans="1:18" ht="13.5" customHeight="1">
      <c r="A41" s="33">
        <v>21120101</v>
      </c>
      <c r="B41" s="13" t="s">
        <v>460</v>
      </c>
      <c r="C41" s="24">
        <v>916000</v>
      </c>
      <c r="D41" s="13"/>
      <c r="E41" s="13"/>
      <c r="F41" s="13"/>
      <c r="G41" s="13"/>
      <c r="H41" s="13"/>
      <c r="I41" s="13"/>
      <c r="J41" s="13"/>
      <c r="K41" s="13"/>
      <c r="L41" s="13"/>
      <c r="M41" s="13"/>
      <c r="N41" s="13"/>
      <c r="O41" s="13"/>
      <c r="P41" s="13"/>
      <c r="Q41" s="13"/>
      <c r="R41" s="13"/>
    </row>
    <row r="42" spans="1:18" ht="13.5" customHeight="1">
      <c r="A42" s="48">
        <v>211203</v>
      </c>
      <c r="B42" s="15" t="s">
        <v>461</v>
      </c>
      <c r="C42" s="26">
        <f>+SUM(C43:C44)</f>
        <v>177000</v>
      </c>
      <c r="D42" s="13"/>
      <c r="E42" s="13"/>
      <c r="F42" s="13"/>
      <c r="G42" s="13"/>
      <c r="H42" s="13"/>
      <c r="I42" s="13"/>
      <c r="J42" s="13"/>
      <c r="K42" s="13"/>
      <c r="L42" s="13"/>
      <c r="M42" s="13"/>
      <c r="N42" s="13"/>
      <c r="O42" s="13"/>
      <c r="P42" s="13"/>
      <c r="Q42" s="13"/>
      <c r="R42" s="13"/>
    </row>
    <row r="43" spans="1:18" ht="13.5" customHeight="1">
      <c r="A43" s="33">
        <v>21120301</v>
      </c>
      <c r="B43" s="13" t="s">
        <v>527</v>
      </c>
      <c r="C43" s="24">
        <v>127000</v>
      </c>
      <c r="D43" s="13"/>
      <c r="E43" s="13"/>
      <c r="F43" s="13"/>
      <c r="G43" s="13"/>
      <c r="H43" s="13"/>
      <c r="I43" s="13"/>
      <c r="J43" s="13"/>
      <c r="K43" s="13"/>
      <c r="L43" s="13"/>
      <c r="M43" s="13"/>
      <c r="N43" s="13"/>
      <c r="O43" s="13"/>
      <c r="P43" s="13"/>
      <c r="Q43" s="13"/>
      <c r="R43" s="13"/>
    </row>
    <row r="44" spans="1:18" ht="13.5" customHeight="1">
      <c r="A44" s="33">
        <v>21120302</v>
      </c>
      <c r="B44" s="13" t="s">
        <v>462</v>
      </c>
      <c r="C44" s="24">
        <v>50000</v>
      </c>
      <c r="D44" s="13"/>
      <c r="E44" s="13"/>
      <c r="F44" s="13"/>
      <c r="G44" s="13"/>
      <c r="H44" s="13"/>
      <c r="I44" s="13"/>
      <c r="J44" s="13"/>
      <c r="K44" s="13"/>
      <c r="L44" s="13"/>
      <c r="M44" s="13"/>
      <c r="N44" s="13"/>
      <c r="O44" s="13"/>
      <c r="P44" s="13"/>
      <c r="Q44" s="13"/>
      <c r="R44" s="13"/>
    </row>
    <row r="45" spans="1:18" ht="13.5" customHeight="1">
      <c r="A45" s="48">
        <v>211204</v>
      </c>
      <c r="B45" s="15" t="s">
        <v>463</v>
      </c>
      <c r="C45" s="26">
        <f>SUM(C46)</f>
        <v>816500</v>
      </c>
      <c r="D45" s="13"/>
      <c r="E45" s="13"/>
      <c r="F45" s="13"/>
      <c r="G45" s="13"/>
      <c r="H45" s="13"/>
      <c r="I45" s="13"/>
      <c r="J45" s="13"/>
      <c r="K45" s="13"/>
      <c r="L45" s="13"/>
      <c r="M45" s="13"/>
      <c r="N45" s="13"/>
      <c r="O45" s="13"/>
      <c r="P45" s="13"/>
      <c r="Q45" s="13"/>
      <c r="R45" s="13"/>
    </row>
    <row r="46" spans="1:18" ht="13.5" customHeight="1">
      <c r="A46" s="33">
        <v>21120401</v>
      </c>
      <c r="B46" s="24" t="s">
        <v>464</v>
      </c>
      <c r="C46" s="24">
        <v>816500</v>
      </c>
      <c r="D46" s="40"/>
      <c r="E46" s="13"/>
      <c r="F46" s="13"/>
      <c r="G46" s="13"/>
      <c r="H46" s="13"/>
      <c r="I46" s="13"/>
      <c r="J46" s="13"/>
      <c r="K46" s="13"/>
      <c r="L46" s="13"/>
      <c r="M46" s="13"/>
      <c r="N46" s="13"/>
      <c r="O46" s="13"/>
      <c r="P46" s="13"/>
      <c r="Q46" s="13"/>
      <c r="R46" s="13"/>
    </row>
    <row r="47" spans="1:18" ht="12.75" customHeight="1">
      <c r="A47" s="48">
        <v>211207</v>
      </c>
      <c r="B47" s="21" t="s">
        <v>467</v>
      </c>
      <c r="C47" s="26">
        <f>+SUM(C48:C51)</f>
        <v>172500</v>
      </c>
      <c r="D47" s="8"/>
      <c r="E47" s="8"/>
      <c r="F47" s="8"/>
      <c r="G47" s="8"/>
      <c r="H47" s="8"/>
      <c r="I47" s="8"/>
      <c r="J47" s="8"/>
      <c r="K47" s="8"/>
      <c r="L47" s="8"/>
      <c r="M47" s="8"/>
      <c r="N47" s="8"/>
      <c r="O47" s="8"/>
      <c r="P47" s="8"/>
      <c r="Q47" s="8"/>
      <c r="R47" s="8"/>
    </row>
    <row r="48" spans="1:18" ht="12.75" customHeight="1">
      <c r="A48" s="33">
        <v>21120702</v>
      </c>
      <c r="B48" s="24" t="s">
        <v>468</v>
      </c>
      <c r="C48" s="24">
        <v>30000</v>
      </c>
      <c r="D48" s="8"/>
      <c r="E48" s="8"/>
      <c r="F48" s="8"/>
      <c r="G48" s="8"/>
      <c r="H48" s="8"/>
      <c r="I48" s="8"/>
      <c r="J48" s="8"/>
      <c r="K48" s="8"/>
      <c r="L48" s="8"/>
      <c r="M48" s="8"/>
      <c r="N48" s="8"/>
      <c r="O48" s="8"/>
      <c r="P48" s="8"/>
      <c r="Q48" s="8"/>
      <c r="R48" s="8"/>
    </row>
    <row r="49" spans="1:18" ht="12.75" customHeight="1">
      <c r="A49" s="33">
        <v>21120708</v>
      </c>
      <c r="B49" s="24" t="s">
        <v>470</v>
      </c>
      <c r="C49" s="24">
        <v>30000</v>
      </c>
      <c r="D49" s="8"/>
      <c r="E49" s="8"/>
      <c r="F49" s="8"/>
      <c r="G49" s="8"/>
      <c r="H49" s="8"/>
      <c r="I49" s="8"/>
      <c r="J49" s="8"/>
      <c r="K49" s="8"/>
      <c r="L49" s="8"/>
      <c r="M49" s="8"/>
      <c r="N49" s="8"/>
      <c r="O49" s="8"/>
      <c r="P49" s="8"/>
      <c r="Q49" s="8"/>
      <c r="R49" s="8"/>
    </row>
    <row r="50" spans="1:18" ht="12.75" customHeight="1">
      <c r="A50" s="33">
        <v>21120709</v>
      </c>
      <c r="B50" s="24" t="s">
        <v>471</v>
      </c>
      <c r="C50" s="24">
        <v>52500</v>
      </c>
      <c r="D50" s="8"/>
      <c r="E50" s="8"/>
      <c r="F50" s="8"/>
      <c r="G50" s="8"/>
      <c r="H50" s="8"/>
      <c r="I50" s="8"/>
      <c r="J50" s="8"/>
      <c r="K50" s="8"/>
      <c r="L50" s="8"/>
      <c r="M50" s="8"/>
      <c r="N50" s="8"/>
      <c r="O50" s="8"/>
      <c r="P50" s="8"/>
      <c r="Q50" s="8"/>
      <c r="R50" s="8"/>
    </row>
    <row r="51" spans="1:18" ht="12.75" customHeight="1">
      <c r="A51" s="33">
        <v>21120711</v>
      </c>
      <c r="B51" s="24" t="s">
        <v>473</v>
      </c>
      <c r="C51" s="24">
        <v>60000</v>
      </c>
      <c r="D51" s="8"/>
      <c r="E51" s="8"/>
      <c r="F51" s="8"/>
      <c r="G51" s="8"/>
      <c r="H51" s="8"/>
      <c r="I51" s="8"/>
      <c r="J51" s="8"/>
      <c r="K51" s="8"/>
      <c r="L51" s="8"/>
      <c r="M51" s="8"/>
      <c r="N51" s="8"/>
      <c r="O51" s="8"/>
      <c r="P51" s="8"/>
      <c r="Q51" s="8"/>
      <c r="R51" s="8"/>
    </row>
    <row r="52" spans="1:18" ht="12.75" customHeight="1">
      <c r="A52" s="48">
        <v>211209</v>
      </c>
      <c r="B52" s="26" t="s">
        <v>477</v>
      </c>
      <c r="C52" s="16">
        <f>+SUM(C53:C55)</f>
        <v>468500</v>
      </c>
      <c r="D52" s="8"/>
      <c r="E52" s="8"/>
      <c r="F52" s="8"/>
      <c r="G52" s="8"/>
      <c r="H52" s="8"/>
      <c r="I52" s="8"/>
      <c r="J52" s="8"/>
      <c r="K52" s="8"/>
      <c r="L52" s="8"/>
      <c r="M52" s="8"/>
      <c r="N52" s="8"/>
      <c r="O52" s="8"/>
      <c r="P52" s="8"/>
      <c r="Q52" s="8"/>
      <c r="R52" s="8"/>
    </row>
    <row r="53" spans="1:18" ht="13.5" customHeight="1">
      <c r="A53" s="33">
        <v>21120901</v>
      </c>
      <c r="B53" s="24" t="s">
        <v>478</v>
      </c>
      <c r="C53" s="24">
        <v>380500</v>
      </c>
      <c r="D53" s="40"/>
      <c r="E53" s="13"/>
      <c r="F53" s="13"/>
      <c r="G53" s="13"/>
      <c r="H53" s="13"/>
      <c r="I53" s="13"/>
      <c r="J53" s="13"/>
      <c r="K53" s="13"/>
      <c r="L53" s="13"/>
      <c r="M53" s="13"/>
      <c r="N53" s="13"/>
      <c r="O53" s="13"/>
      <c r="P53" s="13"/>
      <c r="Q53" s="13"/>
      <c r="R53" s="13"/>
    </row>
    <row r="54" spans="1:18" ht="13.5" customHeight="1">
      <c r="A54" s="33">
        <v>21120905</v>
      </c>
      <c r="B54" s="24" t="s">
        <v>525</v>
      </c>
      <c r="C54" s="24">
        <v>19000</v>
      </c>
      <c r="D54" s="40"/>
      <c r="E54" s="13"/>
      <c r="F54" s="13"/>
      <c r="G54" s="13"/>
      <c r="H54" s="13"/>
      <c r="I54" s="13"/>
      <c r="J54" s="13"/>
      <c r="K54" s="13"/>
      <c r="L54" s="13"/>
      <c r="M54" s="13"/>
      <c r="N54" s="13"/>
      <c r="O54" s="13"/>
      <c r="P54" s="13"/>
      <c r="Q54" s="13"/>
      <c r="R54" s="13"/>
    </row>
    <row r="55" spans="1:18" ht="13.5" customHeight="1">
      <c r="A55" s="33">
        <v>21120906</v>
      </c>
      <c r="B55" s="24" t="s">
        <v>479</v>
      </c>
      <c r="C55" s="24">
        <v>69000</v>
      </c>
      <c r="D55" s="22"/>
      <c r="E55" s="13"/>
      <c r="F55" s="13"/>
      <c r="G55" s="13"/>
      <c r="H55" s="13"/>
      <c r="I55" s="13"/>
      <c r="J55" s="13"/>
      <c r="K55" s="13"/>
      <c r="L55" s="13"/>
      <c r="M55" s="13"/>
      <c r="N55" s="13"/>
      <c r="O55" s="13"/>
      <c r="P55" s="13"/>
      <c r="Q55" s="13"/>
      <c r="R55" s="13"/>
    </row>
    <row r="56" spans="1:18" ht="13.5" customHeight="1" thickBot="1">
      <c r="A56" s="23"/>
      <c r="B56" s="24"/>
      <c r="C56" s="24"/>
      <c r="D56" s="22"/>
      <c r="E56" s="13"/>
      <c r="F56" s="13"/>
      <c r="G56" s="13"/>
      <c r="H56" s="13"/>
      <c r="I56" s="13"/>
      <c r="J56" s="13"/>
      <c r="K56" s="13"/>
      <c r="L56" s="13"/>
      <c r="M56" s="13"/>
      <c r="N56" s="13"/>
      <c r="O56" s="13"/>
      <c r="P56" s="13"/>
      <c r="Q56" s="13"/>
      <c r="R56" s="13"/>
    </row>
    <row r="57" spans="1:18" ht="12.75" customHeight="1" thickBot="1">
      <c r="A57" s="1282" t="s">
        <v>4</v>
      </c>
      <c r="B57" s="1281"/>
      <c r="C57" s="41">
        <f>+C58+C60+C62+C65+C68+C70</f>
        <v>14779000</v>
      </c>
      <c r="D57" s="8"/>
      <c r="E57" s="8"/>
      <c r="F57" s="8"/>
      <c r="G57" s="8"/>
      <c r="H57" s="8"/>
      <c r="I57" s="8"/>
      <c r="J57" s="8"/>
      <c r="K57" s="8"/>
      <c r="L57" s="8"/>
      <c r="M57" s="8"/>
      <c r="N57" s="8"/>
      <c r="O57" s="8"/>
      <c r="P57" s="8"/>
      <c r="Q57" s="8"/>
      <c r="R57" s="8"/>
    </row>
    <row r="58" spans="1:18" ht="13.5" customHeight="1">
      <c r="A58" s="22">
        <v>211302</v>
      </c>
      <c r="B58" s="15" t="s">
        <v>481</v>
      </c>
      <c r="C58" s="26">
        <f>SUM(C59)</f>
        <v>223000</v>
      </c>
      <c r="D58" s="40"/>
      <c r="E58" s="13"/>
      <c r="F58" s="13"/>
      <c r="G58" s="13"/>
      <c r="H58" s="13"/>
      <c r="I58" s="13"/>
      <c r="J58" s="13"/>
      <c r="K58" s="13"/>
      <c r="L58" s="13"/>
      <c r="M58" s="13"/>
      <c r="N58" s="13"/>
      <c r="O58" s="13"/>
      <c r="P58" s="13"/>
      <c r="Q58" s="13"/>
      <c r="R58" s="13"/>
    </row>
    <row r="59" spans="1:18" ht="13.5" customHeight="1">
      <c r="A59" s="40">
        <v>21130204</v>
      </c>
      <c r="B59" s="13" t="s">
        <v>483</v>
      </c>
      <c r="C59" s="24">
        <v>223000</v>
      </c>
      <c r="D59" s="40"/>
      <c r="E59" s="13"/>
      <c r="F59" s="13"/>
      <c r="G59" s="13"/>
      <c r="H59" s="13"/>
      <c r="I59" s="13"/>
      <c r="J59" s="13"/>
      <c r="K59" s="13"/>
      <c r="L59" s="13"/>
      <c r="M59" s="13"/>
      <c r="N59" s="13"/>
      <c r="O59" s="13"/>
      <c r="P59" s="13"/>
      <c r="Q59" s="13"/>
      <c r="R59" s="13"/>
    </row>
    <row r="60" spans="1:18" ht="13.5" customHeight="1">
      <c r="A60" s="22">
        <v>211303</v>
      </c>
      <c r="B60" s="15" t="s">
        <v>484</v>
      </c>
      <c r="C60" s="26">
        <f>SUM(C61)</f>
        <v>146500</v>
      </c>
      <c r="D60" s="40"/>
      <c r="E60" s="13"/>
      <c r="F60" s="13"/>
      <c r="G60" s="13"/>
      <c r="H60" s="13"/>
      <c r="I60" s="13"/>
      <c r="J60" s="13"/>
      <c r="K60" s="13"/>
      <c r="L60" s="13"/>
      <c r="M60" s="13"/>
      <c r="N60" s="13"/>
      <c r="O60" s="13"/>
      <c r="P60" s="13"/>
      <c r="Q60" s="13"/>
      <c r="R60" s="13"/>
    </row>
    <row r="61" spans="1:18" ht="13.5" customHeight="1">
      <c r="A61" s="40">
        <v>21130307</v>
      </c>
      <c r="B61" s="13" t="s">
        <v>488</v>
      </c>
      <c r="C61" s="24">
        <v>146500</v>
      </c>
      <c r="D61" s="40"/>
      <c r="E61" s="13"/>
      <c r="F61" s="13"/>
      <c r="G61" s="13"/>
      <c r="H61" s="13"/>
      <c r="I61" s="13"/>
      <c r="J61" s="13"/>
      <c r="K61" s="13"/>
      <c r="L61" s="13"/>
      <c r="M61" s="13"/>
      <c r="N61" s="13"/>
      <c r="O61" s="13"/>
      <c r="P61" s="13"/>
      <c r="Q61" s="13"/>
      <c r="R61" s="13"/>
    </row>
    <row r="62" spans="1:18" ht="13.5" customHeight="1">
      <c r="A62" s="48">
        <v>211305</v>
      </c>
      <c r="B62" s="15" t="s">
        <v>489</v>
      </c>
      <c r="C62" s="26">
        <f>+SUM(C63:C64)</f>
        <v>8033000</v>
      </c>
      <c r="D62" s="40"/>
      <c r="E62" s="13"/>
      <c r="F62" s="13"/>
      <c r="G62" s="13"/>
      <c r="H62" s="13"/>
      <c r="I62" s="13"/>
      <c r="J62" s="13"/>
      <c r="K62" s="13"/>
      <c r="L62" s="13"/>
      <c r="M62" s="13"/>
      <c r="N62" s="13"/>
      <c r="O62" s="13"/>
      <c r="P62" s="13"/>
      <c r="Q62" s="13"/>
      <c r="R62" s="13"/>
    </row>
    <row r="63" spans="1:18" ht="12.75" customHeight="1">
      <c r="A63" s="33">
        <v>21130501</v>
      </c>
      <c r="B63" s="13" t="s">
        <v>490</v>
      </c>
      <c r="C63" s="14">
        <v>60000</v>
      </c>
      <c r="D63" s="30"/>
      <c r="E63" s="8"/>
      <c r="F63" s="8"/>
      <c r="G63" s="8"/>
      <c r="H63" s="8"/>
      <c r="I63" s="8"/>
      <c r="J63" s="8"/>
      <c r="K63" s="8"/>
      <c r="L63" s="8"/>
      <c r="M63" s="8"/>
      <c r="N63" s="8"/>
      <c r="O63" s="8"/>
      <c r="P63" s="8"/>
      <c r="Q63" s="8"/>
      <c r="R63" s="8"/>
    </row>
    <row r="64" spans="1:18" ht="12.75" customHeight="1">
      <c r="A64" s="33">
        <v>21130502</v>
      </c>
      <c r="B64" s="24" t="s">
        <v>491</v>
      </c>
      <c r="C64" s="14">
        <v>7973000</v>
      </c>
      <c r="D64" s="14"/>
      <c r="E64" s="8"/>
      <c r="F64" s="8"/>
      <c r="G64" s="8"/>
      <c r="H64" s="8"/>
      <c r="I64" s="8"/>
      <c r="J64" s="8"/>
      <c r="K64" s="8"/>
      <c r="L64" s="8"/>
      <c r="M64" s="8"/>
      <c r="N64" s="8"/>
      <c r="O64" s="8"/>
      <c r="P64" s="8"/>
      <c r="Q64" s="8"/>
      <c r="R64" s="8"/>
    </row>
    <row r="65" spans="1:18" ht="12.75" customHeight="1">
      <c r="A65" s="48">
        <v>211306</v>
      </c>
      <c r="B65" s="26" t="s">
        <v>492</v>
      </c>
      <c r="C65" s="16">
        <f>SUM(C66:C67)</f>
        <v>187000</v>
      </c>
      <c r="D65" s="14"/>
      <c r="E65" s="8"/>
      <c r="F65" s="8"/>
      <c r="G65" s="8"/>
      <c r="H65" s="8"/>
      <c r="I65" s="8"/>
      <c r="J65" s="8"/>
      <c r="K65" s="8"/>
      <c r="L65" s="8"/>
      <c r="M65" s="8"/>
      <c r="N65" s="8"/>
      <c r="O65" s="8"/>
      <c r="P65" s="8"/>
      <c r="Q65" s="8"/>
      <c r="R65" s="8"/>
    </row>
    <row r="66" spans="1:18" ht="12.75" customHeight="1">
      <c r="A66" s="33">
        <v>21130607</v>
      </c>
      <c r="B66" s="24" t="s">
        <v>493</v>
      </c>
      <c r="C66" s="14">
        <v>37000</v>
      </c>
      <c r="D66" s="14"/>
      <c r="E66" s="8"/>
      <c r="F66" s="8"/>
      <c r="G66" s="8"/>
      <c r="H66" s="8"/>
      <c r="I66" s="8"/>
      <c r="J66" s="8"/>
      <c r="K66" s="8"/>
      <c r="L66" s="8"/>
      <c r="M66" s="8"/>
      <c r="N66" s="8"/>
      <c r="O66" s="8"/>
      <c r="P66" s="8"/>
      <c r="Q66" s="8"/>
      <c r="R66" s="8"/>
    </row>
    <row r="67" spans="1:18" ht="12.75" customHeight="1">
      <c r="A67" s="33">
        <v>21130608</v>
      </c>
      <c r="B67" s="24" t="s">
        <v>557</v>
      </c>
      <c r="C67" s="24">
        <v>150000</v>
      </c>
      <c r="D67" s="161"/>
      <c r="E67" s="23"/>
      <c r="F67" s="23"/>
      <c r="G67" s="23"/>
      <c r="H67" s="23"/>
      <c r="I67" s="23"/>
      <c r="J67" s="23"/>
      <c r="K67" s="23"/>
      <c r="L67" s="23"/>
      <c r="M67" s="23"/>
      <c r="N67" s="23"/>
      <c r="O67" s="23"/>
      <c r="P67" s="23"/>
      <c r="Q67" s="23"/>
      <c r="R67" s="23"/>
    </row>
    <row r="68" spans="1:18" ht="12.75" customHeight="1">
      <c r="A68" s="48">
        <v>211307</v>
      </c>
      <c r="B68" s="26" t="s">
        <v>494</v>
      </c>
      <c r="C68" s="16">
        <f>SUM(C69)</f>
        <v>217500</v>
      </c>
      <c r="D68" s="14"/>
      <c r="E68" s="8"/>
      <c r="F68" s="8"/>
      <c r="G68" s="8"/>
      <c r="H68" s="8"/>
      <c r="I68" s="8"/>
      <c r="J68" s="8"/>
      <c r="K68" s="8"/>
      <c r="L68" s="8"/>
      <c r="M68" s="8"/>
      <c r="N68" s="8"/>
      <c r="O68" s="8"/>
      <c r="P68" s="8"/>
      <c r="Q68" s="8"/>
      <c r="R68" s="8"/>
    </row>
    <row r="69" spans="1:18" ht="12.75" customHeight="1">
      <c r="A69" s="33">
        <v>21130701</v>
      </c>
      <c r="B69" s="13" t="s">
        <v>495</v>
      </c>
      <c r="C69" s="14">
        <v>217500</v>
      </c>
      <c r="D69" s="14"/>
      <c r="E69" s="8"/>
      <c r="F69" s="8"/>
      <c r="G69" s="8"/>
      <c r="H69" s="8"/>
      <c r="I69" s="8"/>
      <c r="J69" s="8"/>
      <c r="K69" s="8"/>
      <c r="L69" s="8"/>
      <c r="M69" s="8"/>
      <c r="N69" s="8"/>
      <c r="O69" s="8"/>
      <c r="P69" s="8"/>
      <c r="Q69" s="8"/>
      <c r="R69" s="8"/>
    </row>
    <row r="70" spans="1:18" ht="12.75" customHeight="1">
      <c r="A70" s="48">
        <v>211309</v>
      </c>
      <c r="B70" s="26" t="s">
        <v>496</v>
      </c>
      <c r="C70" s="16">
        <f>+SUM(C71:C73)</f>
        <v>5972000</v>
      </c>
      <c r="D70" s="14"/>
      <c r="E70" s="8"/>
      <c r="F70" s="8"/>
      <c r="G70" s="8"/>
      <c r="H70" s="8"/>
      <c r="I70" s="8"/>
      <c r="J70" s="8"/>
      <c r="K70" s="8"/>
      <c r="L70" s="8"/>
      <c r="M70" s="8"/>
      <c r="N70" s="8"/>
      <c r="O70" s="8"/>
      <c r="P70" s="8"/>
      <c r="Q70" s="8"/>
      <c r="R70" s="8"/>
    </row>
    <row r="71" spans="1:18" ht="12.75" customHeight="1">
      <c r="A71" s="33">
        <v>21130901</v>
      </c>
      <c r="B71" s="24" t="s">
        <v>497</v>
      </c>
      <c r="C71" s="14">
        <v>5350000</v>
      </c>
      <c r="D71" s="14"/>
      <c r="E71" s="8"/>
      <c r="F71" s="8"/>
      <c r="G71" s="8"/>
      <c r="H71" s="8"/>
      <c r="I71" s="8"/>
      <c r="J71" s="8"/>
      <c r="K71" s="8"/>
      <c r="L71" s="8"/>
      <c r="M71" s="8"/>
      <c r="N71" s="8"/>
      <c r="O71" s="8"/>
      <c r="P71" s="8"/>
      <c r="Q71" s="8"/>
      <c r="R71" s="8"/>
    </row>
    <row r="72" spans="1:18" ht="12.75" customHeight="1">
      <c r="A72" s="33">
        <v>21130903</v>
      </c>
      <c r="B72" s="24" t="s">
        <v>498</v>
      </c>
      <c r="C72" s="14">
        <v>122000</v>
      </c>
      <c r="D72" s="16"/>
      <c r="E72" s="8"/>
      <c r="F72" s="8"/>
      <c r="G72" s="8"/>
      <c r="H72" s="8"/>
      <c r="I72" s="8"/>
      <c r="J72" s="8"/>
      <c r="K72" s="8"/>
      <c r="L72" s="8"/>
      <c r="M72" s="8"/>
      <c r="N72" s="8"/>
      <c r="O72" s="8"/>
      <c r="P72" s="8"/>
      <c r="Q72" s="8"/>
      <c r="R72" s="8"/>
    </row>
    <row r="73" spans="1:18" ht="12.75" customHeight="1">
      <c r="A73" s="33">
        <v>21130908</v>
      </c>
      <c r="B73" s="24" t="s">
        <v>500</v>
      </c>
      <c r="C73" s="14">
        <v>500000</v>
      </c>
      <c r="D73" s="30"/>
      <c r="E73" s="8"/>
      <c r="F73" s="8"/>
      <c r="G73" s="8"/>
      <c r="H73" s="8"/>
      <c r="I73" s="8"/>
      <c r="J73" s="8"/>
      <c r="K73" s="8"/>
      <c r="L73" s="8"/>
      <c r="M73" s="8"/>
      <c r="N73" s="8"/>
      <c r="O73" s="8"/>
      <c r="P73" s="8"/>
      <c r="Q73" s="8"/>
      <c r="R73" s="8"/>
    </row>
    <row r="74" spans="1:18" ht="12.75" customHeight="1" thickBot="1">
      <c r="A74" s="23"/>
      <c r="B74" s="24"/>
      <c r="C74" s="14"/>
      <c r="D74" s="30"/>
      <c r="E74" s="8"/>
      <c r="F74" s="8"/>
      <c r="G74" s="8"/>
      <c r="H74" s="8"/>
      <c r="I74" s="8"/>
      <c r="J74" s="8"/>
      <c r="K74" s="8"/>
      <c r="L74" s="8"/>
      <c r="M74" s="8"/>
      <c r="N74" s="8"/>
      <c r="O74" s="8"/>
      <c r="P74" s="8"/>
      <c r="Q74" s="8"/>
      <c r="R74" s="8"/>
    </row>
    <row r="75" spans="1:18" ht="12.75" customHeight="1" thickBot="1">
      <c r="A75" s="1283" t="s">
        <v>48</v>
      </c>
      <c r="B75" s="1281"/>
      <c r="C75" s="52">
        <f>C76+C80</f>
        <v>304000</v>
      </c>
      <c r="D75" s="8"/>
      <c r="E75" s="8"/>
      <c r="F75" s="8"/>
      <c r="G75" s="8"/>
      <c r="H75" s="8"/>
      <c r="I75" s="8"/>
      <c r="J75" s="8"/>
      <c r="K75" s="8"/>
      <c r="L75" s="8"/>
      <c r="M75" s="8"/>
      <c r="N75" s="8"/>
      <c r="O75" s="8"/>
      <c r="P75" s="8"/>
      <c r="Q75" s="8"/>
      <c r="R75" s="8"/>
    </row>
    <row r="76" spans="1:18" ht="12.75" customHeight="1">
      <c r="A76" s="22">
        <v>221104</v>
      </c>
      <c r="B76" s="22" t="s">
        <v>510</v>
      </c>
      <c r="C76" s="16">
        <f>SUM(C77:C79)</f>
        <v>214000</v>
      </c>
      <c r="D76" s="8"/>
      <c r="E76" s="8"/>
      <c r="F76" s="8"/>
      <c r="G76" s="8"/>
      <c r="H76" s="8"/>
      <c r="I76" s="8"/>
      <c r="J76" s="8"/>
      <c r="K76" s="8"/>
      <c r="L76" s="8"/>
      <c r="M76" s="8"/>
      <c r="N76" s="8"/>
      <c r="O76" s="8"/>
      <c r="P76" s="8"/>
      <c r="Q76" s="8"/>
      <c r="R76" s="8"/>
    </row>
    <row r="77" spans="1:18" ht="12.75" customHeight="1">
      <c r="A77" s="33">
        <v>22110401</v>
      </c>
      <c r="B77" s="13" t="s">
        <v>511</v>
      </c>
      <c r="C77" s="14">
        <v>140000</v>
      </c>
      <c r="D77" s="8"/>
      <c r="E77" s="8"/>
      <c r="F77" s="8"/>
      <c r="G77" s="8"/>
      <c r="H77" s="8"/>
      <c r="I77" s="8"/>
      <c r="J77" s="8"/>
      <c r="K77" s="8"/>
      <c r="L77" s="8"/>
      <c r="M77" s="8"/>
      <c r="N77" s="8"/>
      <c r="O77" s="8"/>
      <c r="P77" s="8"/>
      <c r="Q77" s="8"/>
      <c r="R77" s="8"/>
    </row>
    <row r="78" spans="1:18" ht="12.75" customHeight="1">
      <c r="A78" s="40">
        <v>22110404</v>
      </c>
      <c r="B78" s="13" t="s">
        <v>512</v>
      </c>
      <c r="C78" s="14">
        <v>29000</v>
      </c>
      <c r="D78" s="8"/>
      <c r="E78" s="8"/>
      <c r="F78" s="8"/>
      <c r="G78" s="8"/>
      <c r="H78" s="8"/>
      <c r="I78" s="8"/>
      <c r="J78" s="8"/>
      <c r="K78" s="8"/>
      <c r="L78" s="8"/>
      <c r="M78" s="8"/>
      <c r="N78" s="8"/>
      <c r="O78" s="8"/>
      <c r="P78" s="8"/>
      <c r="Q78" s="8"/>
      <c r="R78" s="8"/>
    </row>
    <row r="79" spans="1:18" ht="13.5" customHeight="1">
      <c r="A79" s="33">
        <v>22110409</v>
      </c>
      <c r="B79" s="24" t="s">
        <v>513</v>
      </c>
      <c r="C79" s="24">
        <v>45000</v>
      </c>
      <c r="D79" s="40"/>
      <c r="E79" s="13"/>
      <c r="F79" s="13"/>
      <c r="G79" s="13"/>
      <c r="H79" s="13"/>
      <c r="I79" s="13"/>
      <c r="J79" s="13"/>
      <c r="K79" s="13"/>
      <c r="L79" s="13"/>
      <c r="M79" s="13"/>
      <c r="N79" s="13"/>
      <c r="O79" s="13"/>
      <c r="P79" s="13"/>
      <c r="Q79" s="13"/>
      <c r="R79" s="13"/>
    </row>
    <row r="80" spans="1:18" ht="12.75" customHeight="1">
      <c r="A80" s="48">
        <v>221107</v>
      </c>
      <c r="B80" s="26" t="s">
        <v>514</v>
      </c>
      <c r="C80" s="16">
        <f>SUM(C81)</f>
        <v>90000</v>
      </c>
      <c r="D80" s="8"/>
      <c r="E80" s="8"/>
      <c r="F80" s="8"/>
      <c r="G80" s="8"/>
      <c r="H80" s="8"/>
      <c r="I80" s="8"/>
      <c r="J80" s="8"/>
      <c r="K80" s="8"/>
      <c r="L80" s="8"/>
      <c r="M80" s="8"/>
      <c r="N80" s="8"/>
      <c r="O80" s="8"/>
      <c r="P80" s="8"/>
      <c r="Q80" s="8"/>
      <c r="R80" s="8"/>
    </row>
    <row r="81" spans="1:18" ht="12.75" customHeight="1">
      <c r="A81" s="33">
        <v>22110702</v>
      </c>
      <c r="B81" s="24" t="s">
        <v>515</v>
      </c>
      <c r="C81" s="14">
        <v>90000</v>
      </c>
      <c r="D81" s="8"/>
      <c r="E81" s="8"/>
      <c r="F81" s="8"/>
      <c r="G81" s="8"/>
      <c r="H81" s="8"/>
      <c r="I81" s="8"/>
      <c r="J81" s="8"/>
      <c r="K81" s="8"/>
      <c r="L81" s="8"/>
      <c r="M81" s="8"/>
      <c r="N81" s="8"/>
      <c r="O81" s="8"/>
      <c r="P81" s="8"/>
      <c r="Q81" s="8"/>
      <c r="R81" s="8"/>
    </row>
    <row r="82" spans="1:18" ht="12.75" customHeight="1">
      <c r="A82" s="13"/>
      <c r="B82" s="13"/>
      <c r="C82" s="14"/>
      <c r="D82" s="8"/>
      <c r="E82" s="8"/>
      <c r="F82" s="8"/>
      <c r="G82" s="8"/>
      <c r="H82" s="8"/>
      <c r="I82" s="8"/>
      <c r="J82" s="8"/>
      <c r="K82" s="8"/>
      <c r="L82" s="8"/>
      <c r="M82" s="8"/>
      <c r="N82" s="8"/>
      <c r="O82" s="8"/>
      <c r="P82" s="8"/>
      <c r="Q82" s="8"/>
      <c r="R82" s="8"/>
    </row>
    <row r="83" spans="1:18" ht="12.75" customHeight="1">
      <c r="A83" s="8"/>
      <c r="B83" s="8"/>
      <c r="C83" s="30"/>
      <c r="D83" s="8"/>
      <c r="E83" s="8"/>
      <c r="F83" s="8"/>
      <c r="G83" s="8"/>
      <c r="H83" s="8"/>
      <c r="I83" s="8"/>
      <c r="J83" s="8"/>
      <c r="K83" s="8"/>
      <c r="L83" s="8"/>
      <c r="M83" s="8"/>
      <c r="N83" s="8"/>
      <c r="O83" s="8"/>
      <c r="P83" s="8"/>
      <c r="Q83" s="8"/>
      <c r="R83" s="8"/>
    </row>
    <row r="84" spans="1:18" ht="12.75" customHeight="1">
      <c r="A84" s="8"/>
      <c r="B84" s="8"/>
      <c r="C84" s="30"/>
      <c r="D84" s="8"/>
      <c r="E84" s="8"/>
      <c r="F84" s="8"/>
      <c r="G84" s="8"/>
      <c r="H84" s="8"/>
      <c r="I84" s="8"/>
      <c r="J84" s="8"/>
      <c r="K84" s="8"/>
      <c r="L84" s="8"/>
      <c r="M84" s="8"/>
      <c r="N84" s="8"/>
      <c r="O84" s="8"/>
      <c r="P84" s="8"/>
      <c r="Q84" s="8"/>
      <c r="R84" s="8"/>
    </row>
    <row r="85" spans="1:18" ht="12.75" customHeight="1">
      <c r="A85" s="8"/>
      <c r="B85" s="8"/>
      <c r="C85" s="30"/>
      <c r="D85" s="8"/>
      <c r="E85" s="8"/>
      <c r="F85" s="8"/>
      <c r="G85" s="8"/>
      <c r="H85" s="8"/>
      <c r="I85" s="8"/>
      <c r="J85" s="8"/>
      <c r="K85" s="8"/>
      <c r="L85" s="8"/>
      <c r="M85" s="8"/>
      <c r="N85" s="8"/>
      <c r="O85" s="8"/>
      <c r="P85" s="8"/>
      <c r="Q85" s="8"/>
      <c r="R85" s="8"/>
    </row>
    <row r="86" spans="1:18" ht="12.75" customHeight="1">
      <c r="A86" s="8"/>
      <c r="B86" s="8"/>
      <c r="C86" s="30"/>
      <c r="D86" s="8"/>
      <c r="E86" s="8"/>
      <c r="F86" s="8"/>
      <c r="G86" s="8"/>
      <c r="H86" s="8"/>
      <c r="I86" s="8"/>
      <c r="J86" s="8"/>
      <c r="K86" s="8"/>
      <c r="L86" s="8"/>
      <c r="M86" s="8"/>
      <c r="N86" s="8"/>
      <c r="O86" s="8"/>
      <c r="P86" s="8"/>
      <c r="Q86" s="8"/>
      <c r="R86" s="8"/>
    </row>
    <row r="87" spans="1:18" ht="12.75" customHeight="1">
      <c r="A87" s="4"/>
      <c r="B87" s="4"/>
      <c r="C87" s="3"/>
      <c r="D87" s="8"/>
      <c r="E87" s="8"/>
      <c r="F87" s="8"/>
      <c r="G87" s="8"/>
      <c r="H87" s="8"/>
      <c r="I87" s="8"/>
      <c r="J87" s="8"/>
      <c r="K87" s="8"/>
      <c r="L87" s="8"/>
      <c r="M87" s="8"/>
      <c r="N87" s="8"/>
      <c r="O87" s="8"/>
      <c r="P87" s="8"/>
      <c r="Q87" s="8"/>
      <c r="R87" s="8"/>
    </row>
    <row r="88" spans="1:18" ht="12.75" customHeight="1">
      <c r="A88" s="8"/>
      <c r="B88" s="8"/>
      <c r="C88" s="30"/>
      <c r="D88" s="8"/>
      <c r="E88" s="8"/>
      <c r="F88" s="8"/>
      <c r="G88" s="8"/>
      <c r="H88" s="8"/>
      <c r="I88" s="8"/>
      <c r="J88" s="8"/>
      <c r="K88" s="8"/>
      <c r="L88" s="8"/>
      <c r="M88" s="8"/>
      <c r="N88" s="8"/>
      <c r="O88" s="8"/>
      <c r="P88" s="8"/>
      <c r="Q88" s="8"/>
      <c r="R88" s="8"/>
    </row>
    <row r="89" spans="1:18" ht="12.75" customHeight="1">
      <c r="A89" s="8"/>
      <c r="B89" s="8"/>
      <c r="C89" s="30"/>
      <c r="D89" s="8"/>
      <c r="E89" s="8"/>
      <c r="F89" s="8"/>
      <c r="G89" s="8"/>
      <c r="H89" s="8"/>
      <c r="I89" s="8"/>
      <c r="J89" s="8"/>
      <c r="K89" s="8"/>
      <c r="L89" s="8"/>
      <c r="M89" s="8"/>
      <c r="N89" s="8"/>
      <c r="O89" s="8"/>
      <c r="P89" s="8"/>
      <c r="Q89" s="8"/>
      <c r="R89" s="8"/>
    </row>
    <row r="90" spans="1:18" ht="12.75" customHeight="1">
      <c r="A90" s="8"/>
      <c r="B90" s="8"/>
      <c r="C90" s="30"/>
      <c r="D90" s="8"/>
      <c r="E90" s="8"/>
      <c r="F90" s="8"/>
      <c r="G90" s="8"/>
      <c r="H90" s="8"/>
      <c r="I90" s="8"/>
      <c r="J90" s="8"/>
      <c r="K90" s="8"/>
      <c r="L90" s="8"/>
      <c r="M90" s="8"/>
      <c r="N90" s="8"/>
      <c r="O90" s="8"/>
      <c r="P90" s="8"/>
      <c r="Q90" s="8"/>
      <c r="R90" s="8"/>
    </row>
    <row r="91" spans="1:18" ht="12.75" customHeight="1">
      <c r="A91" s="8"/>
      <c r="B91" s="8"/>
      <c r="C91" s="30"/>
      <c r="D91" s="8"/>
      <c r="E91" s="8"/>
      <c r="F91" s="8"/>
      <c r="G91" s="8"/>
      <c r="H91" s="8"/>
      <c r="I91" s="8"/>
      <c r="J91" s="8"/>
      <c r="K91" s="8"/>
      <c r="L91" s="8"/>
      <c r="M91" s="8"/>
      <c r="N91" s="8"/>
      <c r="O91" s="8"/>
      <c r="P91" s="8"/>
      <c r="Q91" s="8"/>
      <c r="R91" s="8"/>
    </row>
    <row r="92" spans="1:18" ht="12.75" customHeight="1">
      <c r="A92" s="8"/>
      <c r="B92" s="8"/>
      <c r="C92" s="30"/>
      <c r="D92" s="8"/>
      <c r="E92" s="8"/>
      <c r="F92" s="8"/>
      <c r="G92" s="8"/>
      <c r="H92" s="8"/>
      <c r="I92" s="8"/>
      <c r="J92" s="8"/>
      <c r="K92" s="8"/>
      <c r="L92" s="8"/>
      <c r="M92" s="8"/>
      <c r="N92" s="8"/>
      <c r="O92" s="8"/>
      <c r="P92" s="8"/>
      <c r="Q92" s="8"/>
      <c r="R92" s="8"/>
    </row>
    <row r="93" spans="1:18" ht="12.75" customHeight="1">
      <c r="A93" s="8"/>
      <c r="B93" s="8"/>
      <c r="C93" s="30"/>
      <c r="D93" s="8"/>
      <c r="E93" s="8"/>
      <c r="F93" s="8"/>
      <c r="G93" s="8"/>
      <c r="H93" s="8"/>
      <c r="I93" s="8"/>
      <c r="J93" s="8"/>
      <c r="K93" s="8"/>
      <c r="L93" s="8"/>
      <c r="M93" s="8"/>
      <c r="N93" s="8"/>
      <c r="O93" s="8"/>
      <c r="P93" s="8"/>
      <c r="Q93" s="8"/>
      <c r="R93" s="8"/>
    </row>
    <row r="94" spans="1:18" ht="12.75" customHeight="1">
      <c r="A94" s="8"/>
      <c r="B94" s="8"/>
      <c r="C94" s="30"/>
      <c r="D94" s="8"/>
      <c r="E94" s="8"/>
      <c r="F94" s="8"/>
      <c r="G94" s="8"/>
      <c r="H94" s="8"/>
      <c r="I94" s="8"/>
      <c r="J94" s="8"/>
      <c r="K94" s="8"/>
      <c r="L94" s="8"/>
      <c r="M94" s="8"/>
      <c r="N94" s="8"/>
      <c r="O94" s="8"/>
      <c r="P94" s="8"/>
      <c r="Q94" s="8"/>
      <c r="R94" s="8"/>
    </row>
    <row r="95" spans="1:18" ht="12.75" customHeight="1">
      <c r="A95" s="8"/>
      <c r="B95" s="8"/>
      <c r="C95" s="30"/>
      <c r="D95" s="8"/>
      <c r="E95" s="8"/>
      <c r="F95" s="8"/>
      <c r="G95" s="8"/>
      <c r="H95" s="8"/>
      <c r="I95" s="8"/>
      <c r="J95" s="8"/>
      <c r="K95" s="8"/>
      <c r="L95" s="8"/>
      <c r="M95" s="8"/>
      <c r="N95" s="8"/>
      <c r="O95" s="8"/>
      <c r="P95" s="8"/>
      <c r="Q95" s="8"/>
      <c r="R95" s="8"/>
    </row>
    <row r="96" spans="1:18" ht="12.75" customHeight="1">
      <c r="A96" s="8"/>
      <c r="B96" s="8"/>
      <c r="C96" s="30"/>
      <c r="D96" s="8"/>
      <c r="E96" s="8"/>
      <c r="F96" s="8"/>
      <c r="G96" s="8"/>
      <c r="H96" s="8"/>
      <c r="I96" s="8"/>
      <c r="J96" s="8"/>
      <c r="K96" s="8"/>
      <c r="L96" s="8"/>
      <c r="M96" s="8"/>
      <c r="N96" s="8"/>
      <c r="O96" s="8"/>
      <c r="P96" s="8"/>
      <c r="Q96" s="8"/>
      <c r="R96" s="8"/>
    </row>
    <row r="97" spans="1:18" ht="12.75" customHeight="1">
      <c r="A97" s="8"/>
      <c r="B97" s="8"/>
      <c r="C97" s="30"/>
      <c r="D97" s="8"/>
      <c r="E97" s="8"/>
      <c r="F97" s="8"/>
      <c r="G97" s="8"/>
      <c r="H97" s="8"/>
      <c r="I97" s="8"/>
      <c r="J97" s="8"/>
      <c r="K97" s="8"/>
      <c r="L97" s="8"/>
      <c r="M97" s="8"/>
      <c r="N97" s="8"/>
      <c r="O97" s="8"/>
      <c r="P97" s="8"/>
      <c r="Q97" s="8"/>
      <c r="R97" s="8"/>
    </row>
    <row r="98" spans="1:18" ht="12.75" customHeight="1">
      <c r="A98" s="8"/>
      <c r="B98" s="8"/>
      <c r="C98" s="30"/>
      <c r="D98" s="8"/>
      <c r="E98" s="8"/>
      <c r="F98" s="8"/>
      <c r="G98" s="8"/>
      <c r="H98" s="8"/>
      <c r="I98" s="8"/>
      <c r="J98" s="8"/>
      <c r="K98" s="8"/>
      <c r="L98" s="8"/>
      <c r="M98" s="8"/>
      <c r="N98" s="8"/>
      <c r="O98" s="8"/>
      <c r="P98" s="8"/>
      <c r="Q98" s="8"/>
      <c r="R98" s="8"/>
    </row>
    <row r="99" spans="1:18" ht="12.75" customHeight="1">
      <c r="A99" s="8"/>
      <c r="B99" s="8"/>
      <c r="C99" s="30"/>
      <c r="D99" s="8"/>
      <c r="E99" s="8"/>
      <c r="F99" s="8"/>
      <c r="G99" s="8"/>
      <c r="H99" s="8"/>
      <c r="I99" s="8"/>
      <c r="J99" s="8"/>
      <c r="K99" s="8"/>
      <c r="L99" s="8"/>
      <c r="M99" s="8"/>
      <c r="N99" s="8"/>
      <c r="O99" s="8"/>
      <c r="P99" s="8"/>
      <c r="Q99" s="8"/>
      <c r="R99" s="8"/>
    </row>
    <row r="100" spans="1:18" ht="12.75" customHeight="1">
      <c r="A100" s="8"/>
      <c r="B100" s="8"/>
      <c r="C100" s="30"/>
      <c r="D100" s="8"/>
      <c r="E100" s="8"/>
      <c r="F100" s="8"/>
      <c r="G100" s="8"/>
      <c r="H100" s="8"/>
      <c r="I100" s="8"/>
      <c r="J100" s="8"/>
      <c r="K100" s="8"/>
      <c r="L100" s="8"/>
      <c r="M100" s="8"/>
      <c r="N100" s="8"/>
      <c r="O100" s="8"/>
      <c r="P100" s="8"/>
      <c r="Q100" s="8"/>
      <c r="R100" s="8"/>
    </row>
    <row r="101" spans="1:18" ht="12.75" customHeight="1">
      <c r="A101" s="8"/>
      <c r="B101" s="8"/>
      <c r="C101" s="30"/>
      <c r="D101" s="8"/>
      <c r="E101" s="8"/>
      <c r="F101" s="8"/>
      <c r="G101" s="8"/>
      <c r="H101" s="8"/>
      <c r="I101" s="8"/>
      <c r="J101" s="8"/>
      <c r="K101" s="8"/>
      <c r="L101" s="8"/>
      <c r="M101" s="8"/>
      <c r="N101" s="8"/>
      <c r="O101" s="8"/>
      <c r="P101" s="8"/>
      <c r="Q101" s="8"/>
      <c r="R101" s="8"/>
    </row>
    <row r="102" spans="1:18" ht="12.75" customHeight="1">
      <c r="A102" s="8"/>
      <c r="B102" s="8"/>
      <c r="C102" s="30"/>
      <c r="D102" s="8"/>
      <c r="E102" s="8"/>
      <c r="F102" s="8"/>
      <c r="G102" s="8"/>
      <c r="H102" s="8"/>
      <c r="I102" s="8"/>
      <c r="J102" s="8"/>
      <c r="K102" s="8"/>
      <c r="L102" s="8"/>
      <c r="M102" s="8"/>
      <c r="N102" s="8"/>
      <c r="O102" s="8"/>
      <c r="P102" s="8"/>
      <c r="Q102" s="8"/>
      <c r="R102" s="8"/>
    </row>
    <row r="103" spans="1:18" ht="12.75" customHeight="1">
      <c r="A103" s="8"/>
      <c r="B103" s="8"/>
      <c r="C103" s="30"/>
      <c r="D103" s="8"/>
      <c r="E103" s="8"/>
      <c r="F103" s="8"/>
      <c r="G103" s="8"/>
      <c r="H103" s="8"/>
      <c r="I103" s="8"/>
      <c r="J103" s="8"/>
      <c r="K103" s="8"/>
      <c r="L103" s="8"/>
      <c r="M103" s="8"/>
      <c r="N103" s="8"/>
      <c r="O103" s="8"/>
      <c r="P103" s="8"/>
      <c r="Q103" s="8"/>
      <c r="R103" s="8"/>
    </row>
    <row r="104" spans="1:18" ht="12.75" customHeight="1">
      <c r="A104" s="8"/>
      <c r="B104" s="8"/>
      <c r="C104" s="30"/>
      <c r="D104" s="8"/>
      <c r="E104" s="8"/>
      <c r="F104" s="8"/>
      <c r="G104" s="8"/>
      <c r="H104" s="8"/>
      <c r="I104" s="8"/>
      <c r="J104" s="8"/>
      <c r="K104" s="8"/>
      <c r="L104" s="8"/>
      <c r="M104" s="8"/>
      <c r="N104" s="8"/>
      <c r="O104" s="8"/>
      <c r="P104" s="8"/>
      <c r="Q104" s="8"/>
      <c r="R104" s="8"/>
    </row>
    <row r="105" spans="1:18" ht="12.75" customHeight="1">
      <c r="A105" s="8"/>
      <c r="B105" s="8"/>
      <c r="C105" s="30"/>
      <c r="D105" s="8"/>
      <c r="E105" s="8"/>
      <c r="F105" s="8"/>
      <c r="G105" s="8"/>
      <c r="H105" s="8"/>
      <c r="I105" s="8"/>
      <c r="J105" s="8"/>
      <c r="K105" s="8"/>
      <c r="L105" s="8"/>
      <c r="M105" s="8"/>
      <c r="N105" s="8"/>
      <c r="O105" s="8"/>
      <c r="P105" s="8"/>
      <c r="Q105" s="8"/>
      <c r="R105" s="8"/>
    </row>
    <row r="106" spans="1:18" ht="12.75" customHeight="1">
      <c r="A106" s="8"/>
      <c r="B106" s="8"/>
      <c r="C106" s="30"/>
      <c r="D106" s="8"/>
      <c r="E106" s="8"/>
      <c r="F106" s="8"/>
      <c r="G106" s="8"/>
      <c r="H106" s="8"/>
      <c r="I106" s="8"/>
      <c r="J106" s="8"/>
      <c r="K106" s="8"/>
      <c r="L106" s="8"/>
      <c r="M106" s="8"/>
      <c r="N106" s="8"/>
      <c r="O106" s="8"/>
      <c r="P106" s="8"/>
      <c r="Q106" s="8"/>
      <c r="R106" s="8"/>
    </row>
    <row r="107" spans="1:18" ht="12.75" customHeight="1">
      <c r="A107" s="8"/>
      <c r="B107" s="8"/>
      <c r="C107" s="30"/>
      <c r="D107" s="8"/>
      <c r="E107" s="8"/>
      <c r="F107" s="8"/>
      <c r="G107" s="8"/>
      <c r="H107" s="8"/>
      <c r="I107" s="8"/>
      <c r="J107" s="8"/>
      <c r="K107" s="8"/>
      <c r="L107" s="8"/>
      <c r="M107" s="8"/>
      <c r="N107" s="8"/>
      <c r="O107" s="8"/>
      <c r="P107" s="8"/>
      <c r="Q107" s="8"/>
      <c r="R107" s="8"/>
    </row>
    <row r="108" spans="1:18" ht="12.75" customHeight="1">
      <c r="A108" s="8"/>
      <c r="B108" s="8"/>
      <c r="C108" s="30"/>
      <c r="D108" s="8"/>
      <c r="E108" s="8"/>
      <c r="F108" s="8"/>
      <c r="G108" s="8"/>
      <c r="H108" s="8"/>
      <c r="I108" s="8"/>
      <c r="J108" s="8"/>
      <c r="K108" s="8"/>
      <c r="L108" s="8"/>
      <c r="M108" s="8"/>
      <c r="N108" s="8"/>
      <c r="O108" s="8"/>
      <c r="P108" s="8"/>
      <c r="Q108" s="8"/>
      <c r="R108" s="8"/>
    </row>
    <row r="109" spans="1:18" ht="12.75" customHeight="1">
      <c r="A109" s="8"/>
      <c r="B109" s="8"/>
      <c r="C109" s="30"/>
      <c r="D109" s="8"/>
      <c r="E109" s="8"/>
      <c r="F109" s="8"/>
      <c r="G109" s="8"/>
      <c r="H109" s="8"/>
      <c r="I109" s="8"/>
      <c r="J109" s="8"/>
      <c r="K109" s="8"/>
      <c r="L109" s="8"/>
      <c r="M109" s="8"/>
      <c r="N109" s="8"/>
      <c r="O109" s="8"/>
      <c r="P109" s="8"/>
      <c r="Q109" s="8"/>
      <c r="R109" s="8"/>
    </row>
    <row r="110" spans="1:18" ht="12.75" customHeight="1">
      <c r="A110" s="8"/>
      <c r="B110" s="8"/>
      <c r="C110" s="30"/>
      <c r="D110" s="8"/>
      <c r="E110" s="8"/>
      <c r="F110" s="8"/>
      <c r="G110" s="8"/>
      <c r="H110" s="8"/>
      <c r="I110" s="8"/>
      <c r="J110" s="8"/>
      <c r="K110" s="8"/>
      <c r="L110" s="8"/>
      <c r="M110" s="8"/>
      <c r="N110" s="8"/>
      <c r="O110" s="8"/>
      <c r="P110" s="8"/>
      <c r="Q110" s="8"/>
      <c r="R110" s="8"/>
    </row>
    <row r="111" spans="1:18" ht="12.75" customHeight="1">
      <c r="A111" s="8"/>
      <c r="B111" s="8"/>
      <c r="C111" s="30"/>
      <c r="D111" s="8"/>
      <c r="E111" s="8"/>
      <c r="F111" s="8"/>
      <c r="G111" s="8"/>
      <c r="H111" s="8"/>
      <c r="I111" s="8"/>
      <c r="J111" s="8"/>
      <c r="K111" s="8"/>
      <c r="L111" s="8"/>
      <c r="M111" s="8"/>
      <c r="N111" s="8"/>
      <c r="O111" s="8"/>
      <c r="P111" s="8"/>
      <c r="Q111" s="8"/>
      <c r="R111" s="8"/>
    </row>
    <row r="112" spans="1:18" ht="12.75" customHeight="1">
      <c r="A112" s="8"/>
      <c r="B112" s="8"/>
      <c r="C112" s="30"/>
      <c r="D112" s="8"/>
      <c r="E112" s="8"/>
      <c r="F112" s="8"/>
      <c r="G112" s="8"/>
      <c r="H112" s="8"/>
      <c r="I112" s="8"/>
      <c r="J112" s="8"/>
      <c r="K112" s="8"/>
      <c r="L112" s="8"/>
      <c r="M112" s="8"/>
      <c r="N112" s="8"/>
      <c r="O112" s="8"/>
      <c r="P112" s="8"/>
      <c r="Q112" s="8"/>
      <c r="R112" s="8"/>
    </row>
    <row r="113" spans="1:18" ht="12.75" customHeight="1">
      <c r="A113" s="8"/>
      <c r="B113" s="8"/>
      <c r="C113" s="30"/>
      <c r="D113" s="8"/>
      <c r="E113" s="8"/>
      <c r="F113" s="8"/>
      <c r="G113" s="8"/>
      <c r="H113" s="8"/>
      <c r="I113" s="8"/>
      <c r="J113" s="8"/>
      <c r="K113" s="8"/>
      <c r="L113" s="8"/>
      <c r="M113" s="8"/>
      <c r="N113" s="8"/>
      <c r="O113" s="8"/>
      <c r="P113" s="8"/>
      <c r="Q113" s="8"/>
      <c r="R113" s="8"/>
    </row>
    <row r="114" spans="1:18" ht="12.75" customHeight="1">
      <c r="A114" s="8"/>
      <c r="B114" s="8"/>
      <c r="C114" s="30"/>
      <c r="D114" s="8"/>
      <c r="E114" s="8"/>
      <c r="F114" s="8"/>
      <c r="G114" s="8"/>
      <c r="H114" s="8"/>
      <c r="I114" s="8"/>
      <c r="J114" s="8"/>
      <c r="K114" s="8"/>
      <c r="L114" s="8"/>
      <c r="M114" s="8"/>
      <c r="N114" s="8"/>
      <c r="O114" s="8"/>
      <c r="P114" s="8"/>
      <c r="Q114" s="8"/>
      <c r="R114" s="8"/>
    </row>
    <row r="115" spans="1:18" ht="12.75" customHeight="1">
      <c r="A115" s="8"/>
      <c r="B115" s="8"/>
      <c r="C115" s="30"/>
      <c r="D115" s="8"/>
      <c r="E115" s="8"/>
      <c r="F115" s="8"/>
      <c r="G115" s="8"/>
      <c r="H115" s="8"/>
      <c r="I115" s="8"/>
      <c r="J115" s="8"/>
      <c r="K115" s="8"/>
      <c r="L115" s="8"/>
      <c r="M115" s="8"/>
      <c r="N115" s="8"/>
      <c r="O115" s="8"/>
      <c r="P115" s="8"/>
      <c r="Q115" s="8"/>
      <c r="R115" s="8"/>
    </row>
    <row r="116" spans="1:18" ht="12.75" customHeight="1">
      <c r="A116" s="8"/>
      <c r="B116" s="8"/>
      <c r="C116" s="30"/>
      <c r="D116" s="8"/>
      <c r="E116" s="8"/>
      <c r="F116" s="8"/>
      <c r="G116" s="8"/>
      <c r="H116" s="8"/>
      <c r="I116" s="8"/>
      <c r="J116" s="8"/>
      <c r="K116" s="8"/>
      <c r="L116" s="8"/>
      <c r="M116" s="8"/>
      <c r="N116" s="8"/>
      <c r="O116" s="8"/>
      <c r="P116" s="8"/>
      <c r="Q116" s="8"/>
      <c r="R116" s="8"/>
    </row>
    <row r="117" spans="1:18" ht="12.75" customHeight="1">
      <c r="A117" s="8"/>
      <c r="B117" s="8"/>
      <c r="C117" s="30"/>
      <c r="D117" s="8"/>
      <c r="E117" s="8"/>
      <c r="F117" s="8"/>
      <c r="G117" s="8"/>
      <c r="H117" s="8"/>
      <c r="I117" s="8"/>
      <c r="J117" s="8"/>
      <c r="K117" s="8"/>
      <c r="L117" s="8"/>
      <c r="M117" s="8"/>
      <c r="N117" s="8"/>
      <c r="O117" s="8"/>
      <c r="P117" s="8"/>
      <c r="Q117" s="8"/>
      <c r="R117" s="8"/>
    </row>
    <row r="118" spans="1:18" ht="12.75" customHeight="1">
      <c r="A118" s="8"/>
      <c r="B118" s="8"/>
      <c r="C118" s="30"/>
      <c r="D118" s="8"/>
      <c r="E118" s="8"/>
      <c r="F118" s="8"/>
      <c r="G118" s="8"/>
      <c r="H118" s="8"/>
      <c r="I118" s="8"/>
      <c r="J118" s="8"/>
      <c r="K118" s="8"/>
      <c r="L118" s="8"/>
      <c r="M118" s="8"/>
      <c r="N118" s="8"/>
      <c r="O118" s="8"/>
      <c r="P118" s="8"/>
      <c r="Q118" s="8"/>
      <c r="R118" s="8"/>
    </row>
    <row r="119" spans="1:18" ht="12.75" customHeight="1">
      <c r="A119" s="8"/>
      <c r="B119" s="8"/>
      <c r="C119" s="30"/>
      <c r="D119" s="8"/>
      <c r="E119" s="8"/>
      <c r="F119" s="8"/>
      <c r="G119" s="8"/>
      <c r="H119" s="8"/>
      <c r="I119" s="8"/>
      <c r="J119" s="8"/>
      <c r="K119" s="8"/>
      <c r="L119" s="8"/>
      <c r="M119" s="8"/>
      <c r="N119" s="8"/>
      <c r="O119" s="8"/>
      <c r="P119" s="8"/>
      <c r="Q119" s="8"/>
      <c r="R119" s="8"/>
    </row>
    <row r="120" spans="1:18" ht="12.75" customHeight="1">
      <c r="A120" s="8"/>
      <c r="B120" s="8"/>
      <c r="C120" s="30"/>
      <c r="D120" s="8"/>
      <c r="E120" s="8"/>
      <c r="F120" s="8"/>
      <c r="G120" s="8"/>
      <c r="H120" s="8"/>
      <c r="I120" s="8"/>
      <c r="J120" s="8"/>
      <c r="K120" s="8"/>
      <c r="L120" s="8"/>
      <c r="M120" s="8"/>
      <c r="N120" s="8"/>
      <c r="O120" s="8"/>
      <c r="P120" s="8"/>
      <c r="Q120" s="8"/>
      <c r="R120" s="8"/>
    </row>
    <row r="121" spans="1:18" ht="12.75" customHeight="1">
      <c r="A121" s="8"/>
      <c r="B121" s="8"/>
      <c r="C121" s="30"/>
      <c r="D121" s="8"/>
      <c r="E121" s="8"/>
      <c r="F121" s="8"/>
      <c r="G121" s="8"/>
      <c r="H121" s="8"/>
      <c r="I121" s="8"/>
      <c r="J121" s="8"/>
      <c r="K121" s="8"/>
      <c r="L121" s="8"/>
      <c r="M121" s="8"/>
      <c r="N121" s="8"/>
      <c r="O121" s="8"/>
      <c r="P121" s="8"/>
      <c r="Q121" s="8"/>
      <c r="R121" s="8"/>
    </row>
    <row r="122" spans="1:18" ht="12.75" customHeight="1">
      <c r="A122" s="8"/>
      <c r="B122" s="8"/>
      <c r="C122" s="30"/>
      <c r="D122" s="8"/>
      <c r="E122" s="8"/>
      <c r="F122" s="8"/>
      <c r="G122" s="8"/>
      <c r="H122" s="8"/>
      <c r="I122" s="8"/>
      <c r="J122" s="8"/>
      <c r="K122" s="8"/>
      <c r="L122" s="8"/>
      <c r="M122" s="8"/>
      <c r="N122" s="8"/>
      <c r="O122" s="8"/>
      <c r="P122" s="8"/>
      <c r="Q122" s="8"/>
      <c r="R122" s="8"/>
    </row>
    <row r="123" spans="1:18" ht="12.75" customHeight="1">
      <c r="A123" s="8"/>
      <c r="B123" s="8"/>
      <c r="C123" s="30"/>
      <c r="D123" s="8"/>
      <c r="E123" s="8"/>
      <c r="F123" s="8"/>
      <c r="G123" s="8"/>
      <c r="H123" s="8"/>
      <c r="I123" s="8"/>
      <c r="J123" s="8"/>
      <c r="K123" s="8"/>
      <c r="L123" s="8"/>
      <c r="M123" s="8"/>
      <c r="N123" s="8"/>
      <c r="O123" s="8"/>
      <c r="P123" s="8"/>
      <c r="Q123" s="8"/>
      <c r="R123" s="8"/>
    </row>
    <row r="124" spans="1:18" ht="12.75" customHeight="1">
      <c r="A124" s="8"/>
      <c r="B124" s="8"/>
      <c r="C124" s="30"/>
      <c r="D124" s="8"/>
      <c r="E124" s="8"/>
      <c r="F124" s="8"/>
      <c r="G124" s="8"/>
      <c r="H124" s="8"/>
      <c r="I124" s="8"/>
      <c r="J124" s="8"/>
      <c r="K124" s="8"/>
      <c r="L124" s="8"/>
      <c r="M124" s="8"/>
      <c r="N124" s="8"/>
      <c r="O124" s="8"/>
      <c r="P124" s="8"/>
      <c r="Q124" s="8"/>
      <c r="R124" s="8"/>
    </row>
    <row r="125" spans="1:18" ht="12.75" customHeight="1">
      <c r="A125" s="8"/>
      <c r="B125" s="8"/>
      <c r="C125" s="30"/>
      <c r="D125" s="8"/>
      <c r="E125" s="8"/>
      <c r="F125" s="8"/>
      <c r="G125" s="8"/>
      <c r="H125" s="8"/>
      <c r="I125" s="8"/>
      <c r="J125" s="8"/>
      <c r="K125" s="8"/>
      <c r="L125" s="8"/>
      <c r="M125" s="8"/>
      <c r="N125" s="8"/>
      <c r="O125" s="8"/>
      <c r="P125" s="8"/>
      <c r="Q125" s="8"/>
      <c r="R125" s="8"/>
    </row>
    <row r="126" spans="1:18" ht="12.75" customHeight="1">
      <c r="A126" s="8"/>
      <c r="B126" s="8"/>
      <c r="C126" s="30"/>
      <c r="D126" s="8"/>
      <c r="E126" s="8"/>
      <c r="F126" s="8"/>
      <c r="G126" s="8"/>
      <c r="H126" s="8"/>
      <c r="I126" s="8"/>
      <c r="J126" s="8"/>
      <c r="K126" s="8"/>
      <c r="L126" s="8"/>
      <c r="M126" s="8"/>
      <c r="N126" s="8"/>
      <c r="O126" s="8"/>
      <c r="P126" s="8"/>
      <c r="Q126" s="8"/>
      <c r="R126" s="8"/>
    </row>
    <row r="127" spans="1:18" ht="12.75" customHeight="1">
      <c r="A127" s="8"/>
      <c r="B127" s="8"/>
      <c r="C127" s="30"/>
      <c r="D127" s="8"/>
      <c r="E127" s="8"/>
      <c r="F127" s="8"/>
      <c r="G127" s="8"/>
      <c r="H127" s="8"/>
      <c r="I127" s="8"/>
      <c r="J127" s="8"/>
      <c r="K127" s="8"/>
      <c r="L127" s="8"/>
      <c r="M127" s="8"/>
      <c r="N127" s="8"/>
      <c r="O127" s="8"/>
      <c r="P127" s="8"/>
      <c r="Q127" s="8"/>
      <c r="R127" s="8"/>
    </row>
    <row r="128" spans="1:18" ht="12.75" customHeight="1">
      <c r="A128" s="8"/>
      <c r="B128" s="8"/>
      <c r="C128" s="30"/>
      <c r="D128" s="8"/>
      <c r="E128" s="8"/>
      <c r="F128" s="8"/>
      <c r="G128" s="8"/>
      <c r="H128" s="8"/>
      <c r="I128" s="8"/>
      <c r="J128" s="8"/>
      <c r="K128" s="8"/>
      <c r="L128" s="8"/>
      <c r="M128" s="8"/>
      <c r="N128" s="8"/>
      <c r="O128" s="8"/>
      <c r="P128" s="8"/>
      <c r="Q128" s="8"/>
      <c r="R128" s="8"/>
    </row>
    <row r="129" spans="1:18" ht="12.75" customHeight="1">
      <c r="A129" s="8"/>
      <c r="B129" s="8"/>
      <c r="C129" s="30"/>
      <c r="D129" s="8"/>
      <c r="E129" s="8"/>
      <c r="F129" s="8"/>
      <c r="G129" s="8"/>
      <c r="H129" s="8"/>
      <c r="I129" s="8"/>
      <c r="J129" s="8"/>
      <c r="K129" s="8"/>
      <c r="L129" s="8"/>
      <c r="M129" s="8"/>
      <c r="N129" s="8"/>
      <c r="O129" s="8"/>
      <c r="P129" s="8"/>
      <c r="Q129" s="8"/>
      <c r="R129" s="8"/>
    </row>
    <row r="130" spans="1:18" ht="12.75" customHeight="1">
      <c r="A130" s="8"/>
      <c r="B130" s="8"/>
      <c r="C130" s="30"/>
      <c r="D130" s="8"/>
      <c r="E130" s="8"/>
      <c r="F130" s="8"/>
      <c r="G130" s="8"/>
      <c r="H130" s="8"/>
      <c r="I130" s="8"/>
      <c r="J130" s="8"/>
      <c r="K130" s="8"/>
      <c r="L130" s="8"/>
      <c r="M130" s="8"/>
      <c r="N130" s="8"/>
      <c r="O130" s="8"/>
      <c r="P130" s="8"/>
      <c r="Q130" s="8"/>
      <c r="R130" s="8"/>
    </row>
    <row r="131" spans="1:18" ht="12.75" customHeight="1">
      <c r="A131" s="8"/>
      <c r="B131" s="8"/>
      <c r="C131" s="30"/>
      <c r="D131" s="8"/>
      <c r="E131" s="8"/>
      <c r="F131" s="8"/>
      <c r="G131" s="8"/>
      <c r="H131" s="8"/>
      <c r="I131" s="8"/>
      <c r="J131" s="8"/>
      <c r="K131" s="8"/>
      <c r="L131" s="8"/>
      <c r="M131" s="8"/>
      <c r="N131" s="8"/>
      <c r="O131" s="8"/>
      <c r="P131" s="8"/>
      <c r="Q131" s="8"/>
      <c r="R131" s="8"/>
    </row>
    <row r="132" spans="1:18" ht="12.75" customHeight="1">
      <c r="A132" s="8"/>
      <c r="B132" s="8"/>
      <c r="C132" s="30"/>
      <c r="D132" s="8"/>
      <c r="E132" s="8"/>
      <c r="F132" s="8"/>
      <c r="G132" s="8"/>
      <c r="H132" s="8"/>
      <c r="I132" s="8"/>
      <c r="J132" s="8"/>
      <c r="K132" s="8"/>
      <c r="L132" s="8"/>
      <c r="M132" s="8"/>
      <c r="N132" s="8"/>
      <c r="O132" s="8"/>
      <c r="P132" s="8"/>
      <c r="Q132" s="8"/>
      <c r="R132" s="8"/>
    </row>
    <row r="133" spans="1:18" ht="12.75" customHeight="1">
      <c r="A133" s="8"/>
      <c r="B133" s="8"/>
      <c r="C133" s="30"/>
      <c r="D133" s="8"/>
      <c r="E133" s="8"/>
      <c r="F133" s="8"/>
      <c r="G133" s="8"/>
      <c r="H133" s="8"/>
      <c r="I133" s="8"/>
      <c r="J133" s="8"/>
      <c r="K133" s="8"/>
      <c r="L133" s="8"/>
      <c r="M133" s="8"/>
      <c r="N133" s="8"/>
      <c r="O133" s="8"/>
      <c r="P133" s="8"/>
      <c r="Q133" s="8"/>
      <c r="R133" s="8"/>
    </row>
    <row r="134" spans="1:18" ht="12.75" customHeight="1">
      <c r="A134" s="8"/>
      <c r="B134" s="8"/>
      <c r="C134" s="30"/>
      <c r="D134" s="8"/>
      <c r="E134" s="8"/>
      <c r="F134" s="8"/>
      <c r="G134" s="8"/>
      <c r="H134" s="8"/>
      <c r="I134" s="8"/>
      <c r="J134" s="8"/>
      <c r="K134" s="8"/>
      <c r="L134" s="8"/>
      <c r="M134" s="8"/>
      <c r="N134" s="8"/>
      <c r="O134" s="8"/>
      <c r="P134" s="8"/>
      <c r="Q134" s="8"/>
      <c r="R134" s="8"/>
    </row>
    <row r="135" spans="1:18" ht="12.75" customHeight="1">
      <c r="A135" s="8"/>
      <c r="B135" s="8"/>
      <c r="C135" s="30"/>
      <c r="D135" s="8"/>
      <c r="E135" s="8"/>
      <c r="F135" s="8"/>
      <c r="G135" s="8"/>
      <c r="H135" s="8"/>
      <c r="I135" s="8"/>
      <c r="J135" s="8"/>
      <c r="K135" s="8"/>
      <c r="L135" s="8"/>
      <c r="M135" s="8"/>
      <c r="N135" s="8"/>
      <c r="O135" s="8"/>
      <c r="P135" s="8"/>
      <c r="Q135" s="8"/>
      <c r="R135" s="8"/>
    </row>
    <row r="136" spans="1:18" ht="12.75" customHeight="1">
      <c r="A136" s="8"/>
      <c r="B136" s="8"/>
      <c r="C136" s="30"/>
      <c r="D136" s="8"/>
      <c r="E136" s="8"/>
      <c r="F136" s="8"/>
      <c r="G136" s="8"/>
      <c r="H136" s="8"/>
      <c r="I136" s="8"/>
      <c r="J136" s="8"/>
      <c r="K136" s="8"/>
      <c r="L136" s="8"/>
      <c r="M136" s="8"/>
      <c r="N136" s="8"/>
      <c r="O136" s="8"/>
      <c r="P136" s="8"/>
      <c r="Q136" s="8"/>
      <c r="R136" s="8"/>
    </row>
    <row r="137" spans="1:18" ht="12.75" customHeight="1">
      <c r="A137" s="8"/>
      <c r="B137" s="8"/>
      <c r="C137" s="30"/>
      <c r="D137" s="8"/>
      <c r="E137" s="8"/>
      <c r="F137" s="8"/>
      <c r="G137" s="8"/>
      <c r="H137" s="8"/>
      <c r="I137" s="8"/>
      <c r="J137" s="8"/>
      <c r="K137" s="8"/>
      <c r="L137" s="8"/>
      <c r="M137" s="8"/>
      <c r="N137" s="8"/>
      <c r="O137" s="8"/>
      <c r="P137" s="8"/>
      <c r="Q137" s="8"/>
      <c r="R137" s="8"/>
    </row>
    <row r="138" spans="1:18" ht="12.75" customHeight="1">
      <c r="A138" s="8"/>
      <c r="B138" s="8"/>
      <c r="C138" s="30"/>
      <c r="D138" s="8"/>
      <c r="E138" s="8"/>
      <c r="F138" s="8"/>
      <c r="G138" s="8"/>
      <c r="H138" s="8"/>
      <c r="I138" s="8"/>
      <c r="J138" s="8"/>
      <c r="K138" s="8"/>
      <c r="L138" s="8"/>
      <c r="M138" s="8"/>
      <c r="N138" s="8"/>
      <c r="O138" s="8"/>
      <c r="P138" s="8"/>
      <c r="Q138" s="8"/>
      <c r="R138" s="8"/>
    </row>
    <row r="139" spans="1:18" ht="12.75" customHeight="1">
      <c r="A139" s="8"/>
      <c r="B139" s="8"/>
      <c r="C139" s="30"/>
      <c r="D139" s="8"/>
      <c r="E139" s="8"/>
      <c r="F139" s="8"/>
      <c r="G139" s="8"/>
      <c r="H139" s="8"/>
      <c r="I139" s="8"/>
      <c r="J139" s="8"/>
      <c r="K139" s="8"/>
      <c r="L139" s="8"/>
      <c r="M139" s="8"/>
      <c r="N139" s="8"/>
      <c r="O139" s="8"/>
      <c r="P139" s="8"/>
      <c r="Q139" s="8"/>
      <c r="R139" s="8"/>
    </row>
    <row r="140" spans="1:18" ht="12.75" customHeight="1">
      <c r="A140" s="8"/>
      <c r="B140" s="8"/>
      <c r="C140" s="30"/>
      <c r="D140" s="8"/>
      <c r="E140" s="8"/>
      <c r="F140" s="8"/>
      <c r="G140" s="8"/>
      <c r="H140" s="8"/>
      <c r="I140" s="8"/>
      <c r="J140" s="8"/>
      <c r="K140" s="8"/>
      <c r="L140" s="8"/>
      <c r="M140" s="8"/>
      <c r="N140" s="8"/>
      <c r="O140" s="8"/>
      <c r="P140" s="8"/>
      <c r="Q140" s="8"/>
      <c r="R140" s="8"/>
    </row>
    <row r="141" spans="1:18" ht="12.75" customHeight="1">
      <c r="A141" s="8"/>
      <c r="B141" s="8"/>
      <c r="C141" s="30"/>
      <c r="D141" s="8"/>
      <c r="E141" s="8"/>
      <c r="F141" s="8"/>
      <c r="G141" s="8"/>
      <c r="H141" s="8"/>
      <c r="I141" s="8"/>
      <c r="J141" s="8"/>
      <c r="K141" s="8"/>
      <c r="L141" s="8"/>
      <c r="M141" s="8"/>
      <c r="N141" s="8"/>
      <c r="O141" s="8"/>
      <c r="P141" s="8"/>
      <c r="Q141" s="8"/>
      <c r="R141" s="8"/>
    </row>
    <row r="142" spans="1:18" ht="12.75" customHeight="1">
      <c r="A142" s="8"/>
      <c r="B142" s="8"/>
      <c r="C142" s="30"/>
      <c r="D142" s="8"/>
      <c r="E142" s="8"/>
      <c r="F142" s="8"/>
      <c r="G142" s="8"/>
      <c r="H142" s="8"/>
      <c r="I142" s="8"/>
      <c r="J142" s="8"/>
      <c r="K142" s="8"/>
      <c r="L142" s="8"/>
      <c r="M142" s="8"/>
      <c r="N142" s="8"/>
      <c r="O142" s="8"/>
      <c r="P142" s="8"/>
      <c r="Q142" s="8"/>
      <c r="R142" s="8"/>
    </row>
    <row r="143" spans="1:18" ht="12.75" customHeight="1">
      <c r="A143" s="8"/>
      <c r="B143" s="8"/>
      <c r="C143" s="30"/>
      <c r="D143" s="8"/>
      <c r="E143" s="8"/>
      <c r="F143" s="8"/>
      <c r="G143" s="8"/>
      <c r="H143" s="8"/>
      <c r="I143" s="8"/>
      <c r="J143" s="8"/>
      <c r="K143" s="8"/>
      <c r="L143" s="8"/>
      <c r="M143" s="8"/>
      <c r="N143" s="8"/>
      <c r="O143" s="8"/>
      <c r="P143" s="8"/>
      <c r="Q143" s="8"/>
      <c r="R143" s="8"/>
    </row>
    <row r="144" spans="1:18" ht="12.75" customHeight="1">
      <c r="A144" s="8"/>
      <c r="B144" s="8"/>
      <c r="C144" s="30"/>
      <c r="D144" s="8"/>
      <c r="E144" s="8"/>
      <c r="F144" s="8"/>
      <c r="G144" s="8"/>
      <c r="H144" s="8"/>
      <c r="I144" s="8"/>
      <c r="J144" s="8"/>
      <c r="K144" s="8"/>
      <c r="L144" s="8"/>
      <c r="M144" s="8"/>
      <c r="N144" s="8"/>
      <c r="O144" s="8"/>
      <c r="P144" s="8"/>
      <c r="Q144" s="8"/>
      <c r="R144" s="8"/>
    </row>
    <row r="145" spans="1:18" ht="12.75" customHeight="1">
      <c r="A145" s="8"/>
      <c r="B145" s="8"/>
      <c r="C145" s="30"/>
      <c r="D145" s="8"/>
      <c r="E145" s="8"/>
      <c r="F145" s="8"/>
      <c r="G145" s="8"/>
      <c r="H145" s="8"/>
      <c r="I145" s="8"/>
      <c r="J145" s="8"/>
      <c r="K145" s="8"/>
      <c r="L145" s="8"/>
      <c r="M145" s="8"/>
      <c r="N145" s="8"/>
      <c r="O145" s="8"/>
      <c r="P145" s="8"/>
      <c r="Q145" s="8"/>
      <c r="R145" s="8"/>
    </row>
    <row r="146" spans="1:18" ht="12.75" customHeight="1">
      <c r="A146" s="8"/>
      <c r="B146" s="8"/>
      <c r="C146" s="30"/>
      <c r="D146" s="8"/>
      <c r="E146" s="8"/>
      <c r="F146" s="8"/>
      <c r="G146" s="8"/>
      <c r="H146" s="8"/>
      <c r="I146" s="8"/>
      <c r="J146" s="8"/>
      <c r="K146" s="8"/>
      <c r="L146" s="8"/>
      <c r="M146" s="8"/>
      <c r="N146" s="8"/>
      <c r="O146" s="8"/>
      <c r="P146" s="8"/>
      <c r="Q146" s="8"/>
      <c r="R146" s="8"/>
    </row>
    <row r="147" spans="1:18" ht="12.75" customHeight="1">
      <c r="A147" s="8"/>
      <c r="B147" s="8"/>
      <c r="C147" s="30"/>
      <c r="D147" s="8"/>
      <c r="E147" s="8"/>
      <c r="F147" s="8"/>
      <c r="G147" s="8"/>
      <c r="H147" s="8"/>
      <c r="I147" s="8"/>
      <c r="J147" s="8"/>
      <c r="K147" s="8"/>
      <c r="L147" s="8"/>
      <c r="M147" s="8"/>
      <c r="N147" s="8"/>
      <c r="O147" s="8"/>
      <c r="P147" s="8"/>
      <c r="Q147" s="8"/>
      <c r="R147" s="8"/>
    </row>
    <row r="148" spans="1:18" ht="12.75" customHeight="1">
      <c r="A148" s="8"/>
      <c r="B148" s="8"/>
      <c r="C148" s="30"/>
      <c r="D148" s="8"/>
      <c r="E148" s="8"/>
      <c r="F148" s="8"/>
      <c r="G148" s="8"/>
      <c r="H148" s="8"/>
      <c r="I148" s="8"/>
      <c r="J148" s="8"/>
      <c r="K148" s="8"/>
      <c r="L148" s="8"/>
      <c r="M148" s="8"/>
      <c r="N148" s="8"/>
      <c r="O148" s="8"/>
      <c r="P148" s="8"/>
      <c r="Q148" s="8"/>
      <c r="R148" s="8"/>
    </row>
    <row r="149" spans="1:18" ht="12.75" customHeight="1">
      <c r="A149" s="8"/>
      <c r="B149" s="8"/>
      <c r="C149" s="30"/>
      <c r="D149" s="8"/>
      <c r="E149" s="8"/>
      <c r="F149" s="8"/>
      <c r="G149" s="8"/>
      <c r="H149" s="8"/>
      <c r="I149" s="8"/>
      <c r="J149" s="8"/>
      <c r="K149" s="8"/>
      <c r="L149" s="8"/>
      <c r="M149" s="8"/>
      <c r="N149" s="8"/>
      <c r="O149" s="8"/>
      <c r="P149" s="8"/>
      <c r="Q149" s="8"/>
      <c r="R149" s="8"/>
    </row>
    <row r="150" spans="1:18" ht="12.75" customHeight="1">
      <c r="A150" s="8"/>
      <c r="B150" s="8"/>
      <c r="C150" s="30"/>
      <c r="D150" s="8"/>
      <c r="E150" s="8"/>
      <c r="F150" s="8"/>
      <c r="G150" s="8"/>
      <c r="H150" s="8"/>
      <c r="I150" s="8"/>
      <c r="J150" s="8"/>
      <c r="K150" s="8"/>
      <c r="L150" s="8"/>
      <c r="M150" s="8"/>
      <c r="N150" s="8"/>
      <c r="O150" s="8"/>
      <c r="P150" s="8"/>
      <c r="Q150" s="8"/>
      <c r="R150" s="8"/>
    </row>
    <row r="151" spans="1:18" ht="12.75" customHeight="1">
      <c r="A151" s="8"/>
      <c r="B151" s="8"/>
      <c r="C151" s="30"/>
      <c r="D151" s="8"/>
      <c r="E151" s="8"/>
      <c r="F151" s="8"/>
      <c r="G151" s="8"/>
      <c r="H151" s="8"/>
      <c r="I151" s="8"/>
      <c r="J151" s="8"/>
      <c r="K151" s="8"/>
      <c r="L151" s="8"/>
      <c r="M151" s="8"/>
      <c r="N151" s="8"/>
      <c r="O151" s="8"/>
      <c r="P151" s="8"/>
      <c r="Q151" s="8"/>
      <c r="R151" s="8"/>
    </row>
    <row r="152" spans="1:18" ht="12.75" customHeight="1">
      <c r="A152" s="8"/>
      <c r="B152" s="8"/>
      <c r="C152" s="30"/>
      <c r="D152" s="8"/>
      <c r="E152" s="8"/>
      <c r="F152" s="8"/>
      <c r="G152" s="8"/>
      <c r="H152" s="8"/>
      <c r="I152" s="8"/>
      <c r="J152" s="8"/>
      <c r="K152" s="8"/>
      <c r="L152" s="8"/>
      <c r="M152" s="8"/>
      <c r="N152" s="8"/>
      <c r="O152" s="8"/>
      <c r="P152" s="8"/>
      <c r="Q152" s="8"/>
      <c r="R152" s="8"/>
    </row>
    <row r="153" spans="1:18" ht="12.75" customHeight="1">
      <c r="A153" s="8"/>
      <c r="B153" s="8"/>
      <c r="C153" s="30"/>
      <c r="D153" s="8"/>
      <c r="E153" s="8"/>
      <c r="F153" s="8"/>
      <c r="G153" s="8"/>
      <c r="H153" s="8"/>
      <c r="I153" s="8"/>
      <c r="J153" s="8"/>
      <c r="K153" s="8"/>
      <c r="L153" s="8"/>
      <c r="M153" s="8"/>
      <c r="N153" s="8"/>
      <c r="O153" s="8"/>
      <c r="P153" s="8"/>
      <c r="Q153" s="8"/>
      <c r="R153" s="8"/>
    </row>
    <row r="154" spans="1:18" ht="12.75" customHeight="1">
      <c r="A154" s="8"/>
      <c r="B154" s="8"/>
      <c r="C154" s="30"/>
      <c r="D154" s="8"/>
      <c r="E154" s="8"/>
      <c r="F154" s="8"/>
      <c r="G154" s="8"/>
      <c r="H154" s="8"/>
      <c r="I154" s="8"/>
      <c r="J154" s="8"/>
      <c r="K154" s="8"/>
      <c r="L154" s="8"/>
      <c r="M154" s="8"/>
      <c r="N154" s="8"/>
      <c r="O154" s="8"/>
      <c r="P154" s="8"/>
      <c r="Q154" s="8"/>
      <c r="R154" s="8"/>
    </row>
    <row r="155" spans="1:18" ht="12.75" customHeight="1">
      <c r="A155" s="8"/>
      <c r="B155" s="8"/>
      <c r="C155" s="30"/>
      <c r="D155" s="8"/>
      <c r="E155" s="8"/>
      <c r="F155" s="8"/>
      <c r="G155" s="8"/>
      <c r="H155" s="8"/>
      <c r="I155" s="8"/>
      <c r="J155" s="8"/>
      <c r="K155" s="8"/>
      <c r="L155" s="8"/>
      <c r="M155" s="8"/>
      <c r="N155" s="8"/>
      <c r="O155" s="8"/>
      <c r="P155" s="8"/>
      <c r="Q155" s="8"/>
      <c r="R155" s="8"/>
    </row>
    <row r="156" spans="1:18" ht="12.75" customHeight="1">
      <c r="A156" s="8"/>
      <c r="B156" s="8"/>
      <c r="C156" s="30"/>
      <c r="D156" s="8"/>
      <c r="E156" s="8"/>
      <c r="F156" s="8"/>
      <c r="G156" s="8"/>
      <c r="H156" s="8"/>
      <c r="I156" s="8"/>
      <c r="J156" s="8"/>
      <c r="K156" s="8"/>
      <c r="L156" s="8"/>
      <c r="M156" s="8"/>
      <c r="N156" s="8"/>
      <c r="O156" s="8"/>
      <c r="P156" s="8"/>
      <c r="Q156" s="8"/>
      <c r="R156" s="8"/>
    </row>
    <row r="157" spans="1:18" ht="12.75" customHeight="1">
      <c r="A157" s="8"/>
      <c r="B157" s="8"/>
      <c r="C157" s="30"/>
      <c r="D157" s="8"/>
      <c r="E157" s="8"/>
      <c r="F157" s="8"/>
      <c r="G157" s="8"/>
      <c r="H157" s="8"/>
      <c r="I157" s="8"/>
      <c r="J157" s="8"/>
      <c r="K157" s="8"/>
      <c r="L157" s="8"/>
      <c r="M157" s="8"/>
      <c r="N157" s="8"/>
      <c r="O157" s="8"/>
      <c r="P157" s="8"/>
      <c r="Q157" s="8"/>
      <c r="R157" s="8"/>
    </row>
    <row r="158" spans="1:18" ht="12.75" customHeight="1">
      <c r="A158" s="8"/>
      <c r="B158" s="8"/>
      <c r="C158" s="30"/>
      <c r="D158" s="8"/>
      <c r="E158" s="8"/>
      <c r="F158" s="8"/>
      <c r="G158" s="8"/>
      <c r="H158" s="8"/>
      <c r="I158" s="8"/>
      <c r="J158" s="8"/>
      <c r="K158" s="8"/>
      <c r="L158" s="8"/>
      <c r="M158" s="8"/>
      <c r="N158" s="8"/>
      <c r="O158" s="8"/>
      <c r="P158" s="8"/>
      <c r="Q158" s="8"/>
      <c r="R158" s="8"/>
    </row>
    <row r="159" spans="1:18" ht="12.75" customHeight="1">
      <c r="A159" s="8"/>
      <c r="B159" s="8"/>
      <c r="C159" s="30"/>
      <c r="D159" s="8"/>
      <c r="E159" s="8"/>
      <c r="F159" s="8"/>
      <c r="G159" s="8"/>
      <c r="H159" s="8"/>
      <c r="I159" s="8"/>
      <c r="J159" s="8"/>
      <c r="K159" s="8"/>
      <c r="L159" s="8"/>
      <c r="M159" s="8"/>
      <c r="N159" s="8"/>
      <c r="O159" s="8"/>
      <c r="P159" s="8"/>
      <c r="Q159" s="8"/>
      <c r="R159" s="8"/>
    </row>
    <row r="160" spans="1:18" ht="12.75" customHeight="1">
      <c r="A160" s="8"/>
      <c r="B160" s="8"/>
      <c r="C160" s="30"/>
      <c r="D160" s="8"/>
      <c r="E160" s="8"/>
      <c r="F160" s="8"/>
      <c r="G160" s="8"/>
      <c r="H160" s="8"/>
      <c r="I160" s="8"/>
      <c r="J160" s="8"/>
      <c r="K160" s="8"/>
      <c r="L160" s="8"/>
      <c r="M160" s="8"/>
      <c r="N160" s="8"/>
      <c r="O160" s="8"/>
      <c r="P160" s="8"/>
      <c r="Q160" s="8"/>
      <c r="R160" s="8"/>
    </row>
    <row r="161" spans="1:18" ht="12.75" customHeight="1">
      <c r="A161" s="8"/>
      <c r="B161" s="8"/>
      <c r="C161" s="30"/>
      <c r="D161" s="8"/>
      <c r="E161" s="8"/>
      <c r="F161" s="8"/>
      <c r="G161" s="8"/>
      <c r="H161" s="8"/>
      <c r="I161" s="8"/>
      <c r="J161" s="8"/>
      <c r="K161" s="8"/>
      <c r="L161" s="8"/>
      <c r="M161" s="8"/>
      <c r="N161" s="8"/>
      <c r="O161" s="8"/>
      <c r="P161" s="8"/>
      <c r="Q161" s="8"/>
      <c r="R161" s="8"/>
    </row>
    <row r="162" spans="1:18" ht="12.75" customHeight="1">
      <c r="A162" s="8"/>
      <c r="B162" s="8"/>
      <c r="C162" s="30"/>
      <c r="D162" s="8"/>
      <c r="E162" s="8"/>
      <c r="F162" s="8"/>
      <c r="G162" s="8"/>
      <c r="H162" s="8"/>
      <c r="I162" s="8"/>
      <c r="J162" s="8"/>
      <c r="K162" s="8"/>
      <c r="L162" s="8"/>
      <c r="M162" s="8"/>
      <c r="N162" s="8"/>
      <c r="O162" s="8"/>
      <c r="P162" s="8"/>
      <c r="Q162" s="8"/>
      <c r="R162" s="8"/>
    </row>
    <row r="163" spans="1:18" ht="12.75" customHeight="1">
      <c r="A163" s="8"/>
      <c r="B163" s="8"/>
      <c r="C163" s="30"/>
      <c r="D163" s="8"/>
      <c r="E163" s="8"/>
      <c r="F163" s="8"/>
      <c r="G163" s="8"/>
      <c r="H163" s="8"/>
      <c r="I163" s="8"/>
      <c r="J163" s="8"/>
      <c r="K163" s="8"/>
      <c r="L163" s="8"/>
      <c r="M163" s="8"/>
      <c r="N163" s="8"/>
      <c r="O163" s="8"/>
      <c r="P163" s="8"/>
      <c r="Q163" s="8"/>
      <c r="R163" s="8"/>
    </row>
    <row r="164" spans="1:18" ht="12.75" customHeight="1">
      <c r="A164" s="8"/>
      <c r="B164" s="8"/>
      <c r="C164" s="30"/>
      <c r="D164" s="8"/>
      <c r="E164" s="8"/>
      <c r="F164" s="8"/>
      <c r="G164" s="8"/>
      <c r="H164" s="8"/>
      <c r="I164" s="8"/>
      <c r="J164" s="8"/>
      <c r="K164" s="8"/>
      <c r="L164" s="8"/>
      <c r="M164" s="8"/>
      <c r="N164" s="8"/>
      <c r="O164" s="8"/>
      <c r="P164" s="8"/>
      <c r="Q164" s="8"/>
      <c r="R164" s="8"/>
    </row>
    <row r="165" spans="1:18" ht="12.75" customHeight="1">
      <c r="A165" s="8"/>
      <c r="B165" s="8"/>
      <c r="C165" s="30"/>
      <c r="D165" s="8"/>
      <c r="E165" s="8"/>
      <c r="F165" s="8"/>
      <c r="G165" s="8"/>
      <c r="H165" s="8"/>
      <c r="I165" s="8"/>
      <c r="J165" s="8"/>
      <c r="K165" s="8"/>
      <c r="L165" s="8"/>
      <c r="M165" s="8"/>
      <c r="N165" s="8"/>
      <c r="O165" s="8"/>
      <c r="P165" s="8"/>
      <c r="Q165" s="8"/>
      <c r="R165" s="8"/>
    </row>
    <row r="166" spans="1:18" ht="12.75" customHeight="1">
      <c r="A166" s="8"/>
      <c r="B166" s="8"/>
      <c r="C166" s="30"/>
      <c r="D166" s="8"/>
      <c r="E166" s="8"/>
      <c r="F166" s="8"/>
      <c r="G166" s="8"/>
      <c r="H166" s="8"/>
      <c r="I166" s="8"/>
      <c r="J166" s="8"/>
      <c r="K166" s="8"/>
      <c r="L166" s="8"/>
      <c r="M166" s="8"/>
      <c r="N166" s="8"/>
      <c r="O166" s="8"/>
      <c r="P166" s="8"/>
      <c r="Q166" s="8"/>
      <c r="R166" s="8"/>
    </row>
    <row r="167" spans="1:18" ht="12.75" customHeight="1">
      <c r="A167" s="8"/>
      <c r="B167" s="8"/>
      <c r="C167" s="30"/>
      <c r="D167" s="8"/>
      <c r="E167" s="8"/>
      <c r="F167" s="8"/>
      <c r="G167" s="8"/>
      <c r="H167" s="8"/>
      <c r="I167" s="8"/>
      <c r="J167" s="8"/>
      <c r="K167" s="8"/>
      <c r="L167" s="8"/>
      <c r="M167" s="8"/>
      <c r="N167" s="8"/>
      <c r="O167" s="8"/>
      <c r="P167" s="8"/>
      <c r="Q167" s="8"/>
      <c r="R167" s="8"/>
    </row>
    <row r="168" spans="1:18" ht="12.75" customHeight="1">
      <c r="A168" s="8"/>
      <c r="B168" s="8"/>
      <c r="C168" s="30"/>
      <c r="D168" s="8"/>
      <c r="E168" s="8"/>
      <c r="F168" s="8"/>
      <c r="G168" s="8"/>
      <c r="H168" s="8"/>
      <c r="I168" s="8"/>
      <c r="J168" s="8"/>
      <c r="K168" s="8"/>
      <c r="L168" s="8"/>
      <c r="M168" s="8"/>
      <c r="N168" s="8"/>
      <c r="O168" s="8"/>
      <c r="P168" s="8"/>
      <c r="Q168" s="8"/>
      <c r="R168" s="8"/>
    </row>
    <row r="169" spans="1:18" ht="12.75" customHeight="1">
      <c r="A169" s="8"/>
      <c r="B169" s="8"/>
      <c r="C169" s="30"/>
      <c r="D169" s="8"/>
      <c r="E169" s="8"/>
      <c r="F169" s="8"/>
      <c r="G169" s="8"/>
      <c r="H169" s="8"/>
      <c r="I169" s="8"/>
      <c r="J169" s="8"/>
      <c r="K169" s="8"/>
      <c r="L169" s="8"/>
      <c r="M169" s="8"/>
      <c r="N169" s="8"/>
      <c r="O169" s="8"/>
      <c r="P169" s="8"/>
      <c r="Q169" s="8"/>
      <c r="R169" s="8"/>
    </row>
    <row r="170" spans="1:18" ht="12.75" customHeight="1">
      <c r="A170" s="8"/>
      <c r="B170" s="8"/>
      <c r="C170" s="30"/>
      <c r="D170" s="8"/>
      <c r="E170" s="8"/>
      <c r="F170" s="8"/>
      <c r="G170" s="8"/>
      <c r="H170" s="8"/>
      <c r="I170" s="8"/>
      <c r="J170" s="8"/>
      <c r="K170" s="8"/>
      <c r="L170" s="8"/>
      <c r="M170" s="8"/>
      <c r="N170" s="8"/>
      <c r="O170" s="8"/>
      <c r="P170" s="8"/>
      <c r="Q170" s="8"/>
      <c r="R170" s="8"/>
    </row>
    <row r="171" spans="1:18" ht="12.75" customHeight="1">
      <c r="A171" s="8"/>
      <c r="B171" s="8"/>
      <c r="C171" s="30"/>
      <c r="D171" s="8"/>
      <c r="E171" s="8"/>
      <c r="F171" s="8"/>
      <c r="G171" s="8"/>
      <c r="H171" s="8"/>
      <c r="I171" s="8"/>
      <c r="J171" s="8"/>
      <c r="K171" s="8"/>
      <c r="L171" s="8"/>
      <c r="M171" s="8"/>
      <c r="N171" s="8"/>
      <c r="O171" s="8"/>
      <c r="P171" s="8"/>
      <c r="Q171" s="8"/>
      <c r="R171" s="8"/>
    </row>
    <row r="172" spans="1:18" ht="12.75" customHeight="1">
      <c r="A172" s="8"/>
      <c r="B172" s="8"/>
      <c r="C172" s="30"/>
      <c r="D172" s="8"/>
      <c r="E172" s="8"/>
      <c r="F172" s="8"/>
      <c r="G172" s="8"/>
      <c r="H172" s="8"/>
      <c r="I172" s="8"/>
      <c r="J172" s="8"/>
      <c r="K172" s="8"/>
      <c r="L172" s="8"/>
      <c r="M172" s="8"/>
      <c r="N172" s="8"/>
      <c r="O172" s="8"/>
      <c r="P172" s="8"/>
      <c r="Q172" s="8"/>
      <c r="R172" s="8"/>
    </row>
    <row r="173" spans="1:18" ht="12.75" customHeight="1">
      <c r="A173" s="8"/>
      <c r="B173" s="8"/>
      <c r="C173" s="30"/>
      <c r="D173" s="8"/>
      <c r="E173" s="8"/>
      <c r="F173" s="8"/>
      <c r="G173" s="8"/>
      <c r="H173" s="8"/>
      <c r="I173" s="8"/>
      <c r="J173" s="8"/>
      <c r="K173" s="8"/>
      <c r="L173" s="8"/>
      <c r="M173" s="8"/>
      <c r="N173" s="8"/>
      <c r="O173" s="8"/>
      <c r="P173" s="8"/>
      <c r="Q173" s="8"/>
      <c r="R173" s="8"/>
    </row>
    <row r="174" spans="1:18" ht="12.75" customHeight="1">
      <c r="A174" s="8"/>
      <c r="B174" s="8"/>
      <c r="C174" s="30"/>
      <c r="D174" s="8"/>
      <c r="E174" s="8"/>
      <c r="F174" s="8"/>
      <c r="G174" s="8"/>
      <c r="H174" s="8"/>
      <c r="I174" s="8"/>
      <c r="J174" s="8"/>
      <c r="K174" s="8"/>
      <c r="L174" s="8"/>
      <c r="M174" s="8"/>
      <c r="N174" s="8"/>
      <c r="O174" s="8"/>
      <c r="P174" s="8"/>
      <c r="Q174" s="8"/>
      <c r="R174" s="8"/>
    </row>
    <row r="175" spans="1:18" ht="12.75" customHeight="1">
      <c r="A175" s="8"/>
      <c r="B175" s="8"/>
      <c r="C175" s="30"/>
      <c r="D175" s="8"/>
      <c r="E175" s="8"/>
      <c r="F175" s="8"/>
      <c r="G175" s="8"/>
      <c r="H175" s="8"/>
      <c r="I175" s="8"/>
      <c r="J175" s="8"/>
      <c r="K175" s="8"/>
      <c r="L175" s="8"/>
      <c r="M175" s="8"/>
      <c r="N175" s="8"/>
      <c r="O175" s="8"/>
      <c r="P175" s="8"/>
      <c r="Q175" s="8"/>
      <c r="R175" s="8"/>
    </row>
    <row r="176" spans="1:18" ht="12.75" customHeight="1">
      <c r="A176" s="8"/>
      <c r="B176" s="8"/>
      <c r="C176" s="30"/>
      <c r="D176" s="8"/>
      <c r="E176" s="8"/>
      <c r="F176" s="8"/>
      <c r="G176" s="8"/>
      <c r="H176" s="8"/>
      <c r="I176" s="8"/>
      <c r="J176" s="8"/>
      <c r="K176" s="8"/>
      <c r="L176" s="8"/>
      <c r="M176" s="8"/>
      <c r="N176" s="8"/>
      <c r="O176" s="8"/>
      <c r="P176" s="8"/>
      <c r="Q176" s="8"/>
      <c r="R176" s="8"/>
    </row>
    <row r="177" spans="1:18" ht="12.75" customHeight="1">
      <c r="A177" s="8"/>
      <c r="B177" s="8"/>
      <c r="C177" s="30"/>
      <c r="D177" s="8"/>
      <c r="E177" s="8"/>
      <c r="F177" s="8"/>
      <c r="G177" s="8"/>
      <c r="H177" s="8"/>
      <c r="I177" s="8"/>
      <c r="J177" s="8"/>
      <c r="K177" s="8"/>
      <c r="L177" s="8"/>
      <c r="M177" s="8"/>
      <c r="N177" s="8"/>
      <c r="O177" s="8"/>
      <c r="P177" s="8"/>
      <c r="Q177" s="8"/>
      <c r="R177" s="8"/>
    </row>
    <row r="178" spans="1:18" ht="12.75" customHeight="1">
      <c r="A178" s="8"/>
      <c r="B178" s="8"/>
      <c r="C178" s="30"/>
      <c r="D178" s="8"/>
      <c r="E178" s="8"/>
      <c r="F178" s="8"/>
      <c r="G178" s="8"/>
      <c r="H178" s="8"/>
      <c r="I178" s="8"/>
      <c r="J178" s="8"/>
      <c r="K178" s="8"/>
      <c r="L178" s="8"/>
      <c r="M178" s="8"/>
      <c r="N178" s="8"/>
      <c r="O178" s="8"/>
      <c r="P178" s="8"/>
      <c r="Q178" s="8"/>
      <c r="R178" s="8"/>
    </row>
    <row r="179" spans="1:18" ht="12.75" customHeight="1">
      <c r="A179" s="8"/>
      <c r="B179" s="8"/>
      <c r="C179" s="30"/>
      <c r="D179" s="8"/>
      <c r="E179" s="8"/>
      <c r="F179" s="8"/>
      <c r="G179" s="8"/>
      <c r="H179" s="8"/>
      <c r="I179" s="8"/>
      <c r="J179" s="8"/>
      <c r="K179" s="8"/>
      <c r="L179" s="8"/>
      <c r="M179" s="8"/>
      <c r="N179" s="8"/>
      <c r="O179" s="8"/>
      <c r="P179" s="8"/>
      <c r="Q179" s="8"/>
      <c r="R179" s="8"/>
    </row>
    <row r="180" spans="1:18" ht="12.75" customHeight="1">
      <c r="A180" s="8"/>
      <c r="B180" s="8"/>
      <c r="C180" s="30"/>
      <c r="D180" s="8"/>
      <c r="E180" s="8"/>
      <c r="F180" s="8"/>
      <c r="G180" s="8"/>
      <c r="H180" s="8"/>
      <c r="I180" s="8"/>
      <c r="J180" s="8"/>
      <c r="K180" s="8"/>
      <c r="L180" s="8"/>
      <c r="M180" s="8"/>
      <c r="N180" s="8"/>
      <c r="O180" s="8"/>
      <c r="P180" s="8"/>
      <c r="Q180" s="8"/>
      <c r="R180" s="8"/>
    </row>
    <row r="181" spans="1:18" ht="12.75" customHeight="1">
      <c r="A181" s="8"/>
      <c r="B181" s="8"/>
      <c r="C181" s="30"/>
      <c r="D181" s="8"/>
      <c r="E181" s="8"/>
      <c r="F181" s="8"/>
      <c r="G181" s="8"/>
      <c r="H181" s="8"/>
      <c r="I181" s="8"/>
      <c r="J181" s="8"/>
      <c r="K181" s="8"/>
      <c r="L181" s="8"/>
      <c r="M181" s="8"/>
      <c r="N181" s="8"/>
      <c r="O181" s="8"/>
      <c r="P181" s="8"/>
      <c r="Q181" s="8"/>
      <c r="R181" s="8"/>
    </row>
    <row r="182" spans="1:18" ht="12.75" customHeight="1">
      <c r="A182" s="8"/>
      <c r="B182" s="8"/>
      <c r="C182" s="30"/>
      <c r="D182" s="8"/>
      <c r="E182" s="8"/>
      <c r="F182" s="8"/>
      <c r="G182" s="8"/>
      <c r="H182" s="8"/>
      <c r="I182" s="8"/>
      <c r="J182" s="8"/>
      <c r="K182" s="8"/>
      <c r="L182" s="8"/>
      <c r="M182" s="8"/>
      <c r="N182" s="8"/>
      <c r="O182" s="8"/>
      <c r="P182" s="8"/>
      <c r="Q182" s="8"/>
      <c r="R182" s="8"/>
    </row>
    <row r="183" spans="1:18" ht="12.75" customHeight="1">
      <c r="A183" s="8"/>
      <c r="B183" s="8"/>
      <c r="C183" s="30"/>
      <c r="D183" s="8"/>
      <c r="E183" s="8"/>
      <c r="F183" s="8"/>
      <c r="G183" s="8"/>
      <c r="H183" s="8"/>
      <c r="I183" s="8"/>
      <c r="J183" s="8"/>
      <c r="K183" s="8"/>
      <c r="L183" s="8"/>
      <c r="M183" s="8"/>
      <c r="N183" s="8"/>
      <c r="O183" s="8"/>
      <c r="P183" s="8"/>
      <c r="Q183" s="8"/>
      <c r="R183" s="8"/>
    </row>
    <row r="184" spans="1:18" ht="12.75" customHeight="1">
      <c r="A184" s="8"/>
      <c r="B184" s="8"/>
      <c r="C184" s="30"/>
      <c r="D184" s="8"/>
      <c r="E184" s="8"/>
      <c r="F184" s="8"/>
      <c r="G184" s="8"/>
      <c r="H184" s="8"/>
      <c r="I184" s="8"/>
      <c r="J184" s="8"/>
      <c r="K184" s="8"/>
      <c r="L184" s="8"/>
      <c r="M184" s="8"/>
      <c r="N184" s="8"/>
      <c r="O184" s="8"/>
      <c r="P184" s="8"/>
      <c r="Q184" s="8"/>
      <c r="R184" s="8"/>
    </row>
    <row r="185" spans="1:18" ht="12.75" customHeight="1">
      <c r="A185" s="8"/>
      <c r="B185" s="8"/>
      <c r="C185" s="30"/>
      <c r="D185" s="8"/>
      <c r="E185" s="8"/>
      <c r="F185" s="8"/>
      <c r="G185" s="8"/>
      <c r="H185" s="8"/>
      <c r="I185" s="8"/>
      <c r="J185" s="8"/>
      <c r="K185" s="8"/>
      <c r="L185" s="8"/>
      <c r="M185" s="8"/>
      <c r="N185" s="8"/>
      <c r="O185" s="8"/>
      <c r="P185" s="8"/>
      <c r="Q185" s="8"/>
      <c r="R185" s="8"/>
    </row>
    <row r="186" spans="1:18" ht="12.75" customHeight="1">
      <c r="A186" s="8"/>
      <c r="B186" s="8"/>
      <c r="C186" s="30"/>
      <c r="D186" s="8"/>
      <c r="E186" s="8"/>
      <c r="F186" s="8"/>
      <c r="G186" s="8"/>
      <c r="H186" s="8"/>
      <c r="I186" s="8"/>
      <c r="J186" s="8"/>
      <c r="K186" s="8"/>
      <c r="L186" s="8"/>
      <c r="M186" s="8"/>
      <c r="N186" s="8"/>
      <c r="O186" s="8"/>
      <c r="P186" s="8"/>
      <c r="Q186" s="8"/>
      <c r="R186" s="8"/>
    </row>
    <row r="187" spans="1:18" ht="12.75" customHeight="1">
      <c r="A187" s="8"/>
      <c r="B187" s="8"/>
      <c r="C187" s="30"/>
      <c r="D187" s="8"/>
      <c r="E187" s="8"/>
      <c r="F187" s="8"/>
      <c r="G187" s="8"/>
      <c r="H187" s="8"/>
      <c r="I187" s="8"/>
      <c r="J187" s="8"/>
      <c r="K187" s="8"/>
      <c r="L187" s="8"/>
      <c r="M187" s="8"/>
      <c r="N187" s="8"/>
      <c r="O187" s="8"/>
      <c r="P187" s="8"/>
      <c r="Q187" s="8"/>
      <c r="R187" s="8"/>
    </row>
    <row r="188" spans="1:18" ht="12.75" customHeight="1">
      <c r="A188" s="8"/>
      <c r="B188" s="8"/>
      <c r="C188" s="30"/>
      <c r="D188" s="8"/>
      <c r="E188" s="8"/>
      <c r="F188" s="8"/>
      <c r="G188" s="8"/>
      <c r="H188" s="8"/>
      <c r="I188" s="8"/>
      <c r="J188" s="8"/>
      <c r="K188" s="8"/>
      <c r="L188" s="8"/>
      <c r="M188" s="8"/>
      <c r="N188" s="8"/>
      <c r="O188" s="8"/>
      <c r="P188" s="8"/>
      <c r="Q188" s="8"/>
      <c r="R188" s="8"/>
    </row>
    <row r="189" spans="1:18" ht="12.75" customHeight="1">
      <c r="A189" s="8"/>
      <c r="B189" s="8"/>
      <c r="C189" s="30"/>
      <c r="D189" s="8"/>
      <c r="E189" s="8"/>
      <c r="F189" s="8"/>
      <c r="G189" s="8"/>
      <c r="H189" s="8"/>
      <c r="I189" s="8"/>
      <c r="J189" s="8"/>
      <c r="K189" s="8"/>
      <c r="L189" s="8"/>
      <c r="M189" s="8"/>
      <c r="N189" s="8"/>
      <c r="O189" s="8"/>
      <c r="P189" s="8"/>
      <c r="Q189" s="8"/>
      <c r="R189" s="8"/>
    </row>
    <row r="190" spans="1:18" ht="12.75" customHeight="1">
      <c r="A190" s="8"/>
      <c r="B190" s="8"/>
      <c r="C190" s="30"/>
      <c r="D190" s="8"/>
      <c r="E190" s="8"/>
      <c r="F190" s="8"/>
      <c r="G190" s="8"/>
      <c r="H190" s="8"/>
      <c r="I190" s="8"/>
      <c r="J190" s="8"/>
      <c r="K190" s="8"/>
      <c r="L190" s="8"/>
      <c r="M190" s="8"/>
      <c r="N190" s="8"/>
      <c r="O190" s="8"/>
      <c r="P190" s="8"/>
      <c r="Q190" s="8"/>
      <c r="R190" s="8"/>
    </row>
    <row r="191" spans="1:18" ht="12.75" customHeight="1">
      <c r="A191" s="8"/>
      <c r="B191" s="8"/>
      <c r="C191" s="30"/>
      <c r="D191" s="8"/>
      <c r="E191" s="8"/>
      <c r="F191" s="8"/>
      <c r="G191" s="8"/>
      <c r="H191" s="8"/>
      <c r="I191" s="8"/>
      <c r="J191" s="8"/>
      <c r="K191" s="8"/>
      <c r="L191" s="8"/>
      <c r="M191" s="8"/>
      <c r="N191" s="8"/>
      <c r="O191" s="8"/>
      <c r="P191" s="8"/>
      <c r="Q191" s="8"/>
      <c r="R191" s="8"/>
    </row>
    <row r="192" spans="1:18" ht="12.75" customHeight="1">
      <c r="A192" s="8"/>
      <c r="B192" s="8"/>
      <c r="C192" s="30"/>
      <c r="D192" s="8"/>
      <c r="E192" s="8"/>
      <c r="F192" s="8"/>
      <c r="G192" s="8"/>
      <c r="H192" s="8"/>
      <c r="I192" s="8"/>
      <c r="J192" s="8"/>
      <c r="K192" s="8"/>
      <c r="L192" s="8"/>
      <c r="M192" s="8"/>
      <c r="N192" s="8"/>
      <c r="O192" s="8"/>
      <c r="P192" s="8"/>
      <c r="Q192" s="8"/>
      <c r="R192" s="8"/>
    </row>
    <row r="193" spans="1:18" ht="12.75" customHeight="1">
      <c r="A193" s="8"/>
      <c r="B193" s="8"/>
      <c r="C193" s="30"/>
      <c r="D193" s="8"/>
      <c r="E193" s="8"/>
      <c r="F193" s="8"/>
      <c r="G193" s="8"/>
      <c r="H193" s="8"/>
      <c r="I193" s="8"/>
      <c r="J193" s="8"/>
      <c r="K193" s="8"/>
      <c r="L193" s="8"/>
      <c r="M193" s="8"/>
      <c r="N193" s="8"/>
      <c r="O193" s="8"/>
      <c r="P193" s="8"/>
      <c r="Q193" s="8"/>
      <c r="R193" s="8"/>
    </row>
    <row r="194" spans="1:18" ht="12.75" customHeight="1">
      <c r="A194" s="8"/>
      <c r="B194" s="8"/>
      <c r="C194" s="30"/>
      <c r="D194" s="8"/>
      <c r="E194" s="8"/>
      <c r="F194" s="8"/>
      <c r="G194" s="8"/>
      <c r="H194" s="8"/>
      <c r="I194" s="8"/>
      <c r="J194" s="8"/>
      <c r="K194" s="8"/>
      <c r="L194" s="8"/>
      <c r="M194" s="8"/>
      <c r="N194" s="8"/>
      <c r="O194" s="8"/>
      <c r="P194" s="8"/>
      <c r="Q194" s="8"/>
      <c r="R194" s="8"/>
    </row>
    <row r="195" spans="1:18" ht="12.75" customHeight="1">
      <c r="A195" s="8"/>
      <c r="B195" s="8"/>
      <c r="C195" s="30"/>
      <c r="D195" s="8"/>
      <c r="E195" s="8"/>
      <c r="F195" s="8"/>
      <c r="G195" s="8"/>
      <c r="H195" s="8"/>
      <c r="I195" s="8"/>
      <c r="J195" s="8"/>
      <c r="K195" s="8"/>
      <c r="L195" s="8"/>
      <c r="M195" s="8"/>
      <c r="N195" s="8"/>
      <c r="O195" s="8"/>
      <c r="P195" s="8"/>
      <c r="Q195" s="8"/>
      <c r="R195" s="8"/>
    </row>
    <row r="196" spans="1:18" ht="12.75" customHeight="1">
      <c r="A196" s="8"/>
      <c r="B196" s="8"/>
      <c r="C196" s="30"/>
      <c r="D196" s="8"/>
      <c r="E196" s="8"/>
      <c r="F196" s="8"/>
      <c r="G196" s="8"/>
      <c r="H196" s="8"/>
      <c r="I196" s="8"/>
      <c r="J196" s="8"/>
      <c r="K196" s="8"/>
      <c r="L196" s="8"/>
      <c r="M196" s="8"/>
      <c r="N196" s="8"/>
      <c r="O196" s="8"/>
      <c r="P196" s="8"/>
      <c r="Q196" s="8"/>
      <c r="R196" s="8"/>
    </row>
    <row r="197" spans="1:18" ht="12.75" customHeight="1">
      <c r="A197" s="8"/>
      <c r="B197" s="8"/>
      <c r="C197" s="30"/>
      <c r="D197" s="8"/>
      <c r="E197" s="8"/>
      <c r="F197" s="8"/>
      <c r="G197" s="8"/>
      <c r="H197" s="8"/>
      <c r="I197" s="8"/>
      <c r="J197" s="8"/>
      <c r="K197" s="8"/>
      <c r="L197" s="8"/>
      <c r="M197" s="8"/>
      <c r="N197" s="8"/>
      <c r="O197" s="8"/>
      <c r="P197" s="8"/>
      <c r="Q197" s="8"/>
      <c r="R197" s="8"/>
    </row>
    <row r="198" spans="1:18" ht="12.75" customHeight="1">
      <c r="A198" s="8"/>
      <c r="B198" s="8"/>
      <c r="C198" s="30"/>
      <c r="D198" s="8"/>
      <c r="E198" s="8"/>
      <c r="F198" s="8"/>
      <c r="G198" s="8"/>
      <c r="H198" s="8"/>
      <c r="I198" s="8"/>
      <c r="J198" s="8"/>
      <c r="K198" s="8"/>
      <c r="L198" s="8"/>
      <c r="M198" s="8"/>
      <c r="N198" s="8"/>
      <c r="O198" s="8"/>
      <c r="P198" s="8"/>
      <c r="Q198" s="8"/>
      <c r="R198" s="8"/>
    </row>
    <row r="199" spans="1:18" ht="12.75" customHeight="1">
      <c r="A199" s="8"/>
      <c r="B199" s="8"/>
      <c r="C199" s="30"/>
      <c r="D199" s="8"/>
      <c r="E199" s="8"/>
      <c r="F199" s="8"/>
      <c r="G199" s="8"/>
      <c r="H199" s="8"/>
      <c r="I199" s="8"/>
      <c r="J199" s="8"/>
      <c r="K199" s="8"/>
      <c r="L199" s="8"/>
      <c r="M199" s="8"/>
      <c r="N199" s="8"/>
      <c r="O199" s="8"/>
      <c r="P199" s="8"/>
      <c r="Q199" s="8"/>
      <c r="R199" s="8"/>
    </row>
    <row r="200" spans="1:18" ht="12.75" customHeight="1">
      <c r="A200" s="8"/>
      <c r="B200" s="8"/>
      <c r="C200" s="30"/>
      <c r="D200" s="8"/>
      <c r="E200" s="8"/>
      <c r="F200" s="8"/>
      <c r="G200" s="8"/>
      <c r="H200" s="8"/>
      <c r="I200" s="8"/>
      <c r="J200" s="8"/>
      <c r="K200" s="8"/>
      <c r="L200" s="8"/>
      <c r="M200" s="8"/>
      <c r="N200" s="8"/>
      <c r="O200" s="8"/>
      <c r="P200" s="8"/>
      <c r="Q200" s="8"/>
      <c r="R200" s="8"/>
    </row>
    <row r="201" spans="1:18" ht="12.75" customHeight="1">
      <c r="A201" s="8"/>
      <c r="B201" s="8"/>
      <c r="C201" s="30"/>
      <c r="D201" s="8"/>
      <c r="E201" s="8"/>
      <c r="F201" s="8"/>
      <c r="G201" s="8"/>
      <c r="H201" s="8"/>
      <c r="I201" s="8"/>
      <c r="J201" s="8"/>
      <c r="K201" s="8"/>
      <c r="L201" s="8"/>
      <c r="M201" s="8"/>
      <c r="N201" s="8"/>
      <c r="O201" s="8"/>
      <c r="P201" s="8"/>
      <c r="Q201" s="8"/>
      <c r="R201" s="8"/>
    </row>
    <row r="202" spans="1:18" ht="12.75" customHeight="1">
      <c r="A202" s="8"/>
      <c r="B202" s="8"/>
      <c r="C202" s="30"/>
      <c r="D202" s="8"/>
      <c r="E202" s="8"/>
      <c r="F202" s="8"/>
      <c r="G202" s="8"/>
      <c r="H202" s="8"/>
      <c r="I202" s="8"/>
      <c r="J202" s="8"/>
      <c r="K202" s="8"/>
      <c r="L202" s="8"/>
      <c r="M202" s="8"/>
      <c r="N202" s="8"/>
      <c r="O202" s="8"/>
      <c r="P202" s="8"/>
      <c r="Q202" s="8"/>
      <c r="R202" s="8"/>
    </row>
    <row r="203" spans="1:18" ht="12.75" customHeight="1">
      <c r="A203" s="8"/>
      <c r="B203" s="8"/>
      <c r="C203" s="30"/>
      <c r="D203" s="8"/>
      <c r="E203" s="8"/>
      <c r="F203" s="8"/>
      <c r="G203" s="8"/>
      <c r="H203" s="8"/>
      <c r="I203" s="8"/>
      <c r="J203" s="8"/>
      <c r="K203" s="8"/>
      <c r="L203" s="8"/>
      <c r="M203" s="8"/>
      <c r="N203" s="8"/>
      <c r="O203" s="8"/>
      <c r="P203" s="8"/>
      <c r="Q203" s="8"/>
      <c r="R203" s="8"/>
    </row>
    <row r="204" spans="1:18" ht="12.75" customHeight="1">
      <c r="A204" s="8"/>
      <c r="B204" s="8"/>
      <c r="C204" s="30"/>
      <c r="D204" s="8"/>
      <c r="E204" s="8"/>
      <c r="F204" s="8"/>
      <c r="G204" s="8"/>
      <c r="H204" s="8"/>
      <c r="I204" s="8"/>
      <c r="J204" s="8"/>
      <c r="K204" s="8"/>
      <c r="L204" s="8"/>
      <c r="M204" s="8"/>
      <c r="N204" s="8"/>
      <c r="O204" s="8"/>
      <c r="P204" s="8"/>
      <c r="Q204" s="8"/>
      <c r="R204" s="8"/>
    </row>
    <row r="205" spans="1:18" ht="12.75" customHeight="1">
      <c r="A205" s="8"/>
      <c r="B205" s="8"/>
      <c r="C205" s="30"/>
      <c r="D205" s="8"/>
      <c r="E205" s="8"/>
      <c r="F205" s="8"/>
      <c r="G205" s="8"/>
      <c r="H205" s="8"/>
      <c r="I205" s="8"/>
      <c r="J205" s="8"/>
      <c r="K205" s="8"/>
      <c r="L205" s="8"/>
      <c r="M205" s="8"/>
      <c r="N205" s="8"/>
      <c r="O205" s="8"/>
      <c r="P205" s="8"/>
      <c r="Q205" s="8"/>
      <c r="R205" s="8"/>
    </row>
    <row r="206" spans="1:18" ht="12.75" customHeight="1">
      <c r="A206" s="8"/>
      <c r="B206" s="8"/>
      <c r="C206" s="30"/>
      <c r="D206" s="8"/>
      <c r="E206" s="8"/>
      <c r="F206" s="8"/>
      <c r="G206" s="8"/>
      <c r="H206" s="8"/>
      <c r="I206" s="8"/>
      <c r="J206" s="8"/>
      <c r="K206" s="8"/>
      <c r="L206" s="8"/>
      <c r="M206" s="8"/>
      <c r="N206" s="8"/>
      <c r="O206" s="8"/>
      <c r="P206" s="8"/>
      <c r="Q206" s="8"/>
      <c r="R206" s="8"/>
    </row>
    <row r="207" spans="1:18" ht="12.75" customHeight="1">
      <c r="A207" s="8"/>
      <c r="B207" s="8"/>
      <c r="C207" s="30"/>
      <c r="D207" s="8"/>
      <c r="E207" s="8"/>
      <c r="F207" s="8"/>
      <c r="G207" s="8"/>
      <c r="H207" s="8"/>
      <c r="I207" s="8"/>
      <c r="J207" s="8"/>
      <c r="K207" s="8"/>
      <c r="L207" s="8"/>
      <c r="M207" s="8"/>
      <c r="N207" s="8"/>
      <c r="O207" s="8"/>
      <c r="P207" s="8"/>
      <c r="Q207" s="8"/>
      <c r="R207" s="8"/>
    </row>
    <row r="208" spans="1:18" ht="12.75" customHeight="1">
      <c r="A208" s="8"/>
      <c r="B208" s="8"/>
      <c r="C208" s="30"/>
      <c r="D208" s="8"/>
      <c r="E208" s="8"/>
      <c r="F208" s="8"/>
      <c r="G208" s="8"/>
      <c r="H208" s="8"/>
      <c r="I208" s="8"/>
      <c r="J208" s="8"/>
      <c r="K208" s="8"/>
      <c r="L208" s="8"/>
      <c r="M208" s="8"/>
      <c r="N208" s="8"/>
      <c r="O208" s="8"/>
      <c r="P208" s="8"/>
      <c r="Q208" s="8"/>
      <c r="R208" s="8"/>
    </row>
    <row r="209" spans="1:18" ht="12.75" customHeight="1">
      <c r="A209" s="8"/>
      <c r="B209" s="8"/>
      <c r="C209" s="30"/>
      <c r="D209" s="8"/>
      <c r="E209" s="8"/>
      <c r="F209" s="8"/>
      <c r="G209" s="8"/>
      <c r="H209" s="8"/>
      <c r="I209" s="8"/>
      <c r="J209" s="8"/>
      <c r="K209" s="8"/>
      <c r="L209" s="8"/>
      <c r="M209" s="8"/>
      <c r="N209" s="8"/>
      <c r="O209" s="8"/>
      <c r="P209" s="8"/>
      <c r="Q209" s="8"/>
      <c r="R209" s="8"/>
    </row>
    <row r="210" spans="1:18" ht="12.75" customHeight="1">
      <c r="A210" s="8"/>
      <c r="B210" s="8"/>
      <c r="C210" s="30"/>
      <c r="D210" s="8"/>
      <c r="E210" s="8"/>
      <c r="F210" s="8"/>
      <c r="G210" s="8"/>
      <c r="H210" s="8"/>
      <c r="I210" s="8"/>
      <c r="J210" s="8"/>
      <c r="K210" s="8"/>
      <c r="L210" s="8"/>
      <c r="M210" s="8"/>
      <c r="N210" s="8"/>
      <c r="O210" s="8"/>
      <c r="P210" s="8"/>
      <c r="Q210" s="8"/>
      <c r="R210" s="8"/>
    </row>
    <row r="211" spans="1:18" ht="12.75" customHeight="1">
      <c r="A211" s="8"/>
      <c r="B211" s="8"/>
      <c r="C211" s="30"/>
      <c r="D211" s="8"/>
      <c r="E211" s="8"/>
      <c r="F211" s="8"/>
      <c r="G211" s="8"/>
      <c r="H211" s="8"/>
      <c r="I211" s="8"/>
      <c r="J211" s="8"/>
      <c r="K211" s="8"/>
      <c r="L211" s="8"/>
      <c r="M211" s="8"/>
      <c r="N211" s="8"/>
      <c r="O211" s="8"/>
      <c r="P211" s="8"/>
      <c r="Q211" s="8"/>
      <c r="R211" s="8"/>
    </row>
    <row r="212" spans="1:18" ht="12.75" customHeight="1">
      <c r="A212" s="8"/>
      <c r="B212" s="8"/>
      <c r="C212" s="30"/>
      <c r="D212" s="8"/>
      <c r="E212" s="8"/>
      <c r="F212" s="8"/>
      <c r="G212" s="8"/>
      <c r="H212" s="8"/>
      <c r="I212" s="8"/>
      <c r="J212" s="8"/>
      <c r="K212" s="8"/>
      <c r="L212" s="8"/>
      <c r="M212" s="8"/>
      <c r="N212" s="8"/>
      <c r="O212" s="8"/>
      <c r="P212" s="8"/>
      <c r="Q212" s="8"/>
      <c r="R212" s="8"/>
    </row>
    <row r="213" spans="1:18" ht="12.75" customHeight="1">
      <c r="A213" s="8"/>
      <c r="B213" s="8"/>
      <c r="C213" s="30"/>
      <c r="D213" s="8"/>
      <c r="E213" s="8"/>
      <c r="F213" s="8"/>
      <c r="G213" s="8"/>
      <c r="H213" s="8"/>
      <c r="I213" s="8"/>
      <c r="J213" s="8"/>
      <c r="K213" s="8"/>
      <c r="L213" s="8"/>
      <c r="M213" s="8"/>
      <c r="N213" s="8"/>
      <c r="O213" s="8"/>
      <c r="P213" s="8"/>
      <c r="Q213" s="8"/>
      <c r="R213" s="8"/>
    </row>
    <row r="214" spans="1:18" ht="12.75" customHeight="1">
      <c r="A214" s="8"/>
      <c r="B214" s="8"/>
      <c r="C214" s="30"/>
      <c r="D214" s="8"/>
      <c r="E214" s="8"/>
      <c r="F214" s="8"/>
      <c r="G214" s="8"/>
      <c r="H214" s="8"/>
      <c r="I214" s="8"/>
      <c r="J214" s="8"/>
      <c r="K214" s="8"/>
      <c r="L214" s="8"/>
      <c r="M214" s="8"/>
      <c r="N214" s="8"/>
      <c r="O214" s="8"/>
      <c r="P214" s="8"/>
      <c r="Q214" s="8"/>
      <c r="R214" s="8"/>
    </row>
    <row r="215" spans="1:18" ht="12.75" customHeight="1">
      <c r="A215" s="8"/>
      <c r="B215" s="8"/>
      <c r="C215" s="30"/>
      <c r="D215" s="8"/>
      <c r="E215" s="8"/>
      <c r="F215" s="8"/>
      <c r="G215" s="8"/>
      <c r="H215" s="8"/>
      <c r="I215" s="8"/>
      <c r="J215" s="8"/>
      <c r="K215" s="8"/>
      <c r="L215" s="8"/>
      <c r="M215" s="8"/>
      <c r="N215" s="8"/>
      <c r="O215" s="8"/>
      <c r="P215" s="8"/>
      <c r="Q215" s="8"/>
      <c r="R215" s="8"/>
    </row>
    <row r="216" spans="1:18" ht="12.75" customHeight="1">
      <c r="A216" s="8"/>
      <c r="B216" s="8"/>
      <c r="C216" s="30"/>
      <c r="D216" s="8"/>
      <c r="E216" s="8"/>
      <c r="F216" s="8"/>
      <c r="G216" s="8"/>
      <c r="H216" s="8"/>
      <c r="I216" s="8"/>
      <c r="J216" s="8"/>
      <c r="K216" s="8"/>
      <c r="L216" s="8"/>
      <c r="M216" s="8"/>
      <c r="N216" s="8"/>
      <c r="O216" s="8"/>
      <c r="P216" s="8"/>
      <c r="Q216" s="8"/>
      <c r="R216" s="8"/>
    </row>
    <row r="217" spans="1:18" ht="12.75" customHeight="1">
      <c r="A217" s="8"/>
      <c r="B217" s="8"/>
      <c r="C217" s="30"/>
      <c r="D217" s="8"/>
      <c r="E217" s="8"/>
      <c r="F217" s="8"/>
      <c r="G217" s="8"/>
      <c r="H217" s="8"/>
      <c r="I217" s="8"/>
      <c r="J217" s="8"/>
      <c r="K217" s="8"/>
      <c r="L217" s="8"/>
      <c r="M217" s="8"/>
      <c r="N217" s="8"/>
      <c r="O217" s="8"/>
      <c r="P217" s="8"/>
      <c r="Q217" s="8"/>
      <c r="R217" s="8"/>
    </row>
    <row r="218" spans="1:18" ht="12.75" customHeight="1">
      <c r="A218" s="8"/>
      <c r="B218" s="8"/>
      <c r="C218" s="30"/>
      <c r="D218" s="8"/>
      <c r="E218" s="8"/>
      <c r="F218" s="8"/>
      <c r="G218" s="8"/>
      <c r="H218" s="8"/>
      <c r="I218" s="8"/>
      <c r="J218" s="8"/>
      <c r="K218" s="8"/>
      <c r="L218" s="8"/>
      <c r="M218" s="8"/>
      <c r="N218" s="8"/>
      <c r="O218" s="8"/>
      <c r="P218" s="8"/>
      <c r="Q218" s="8"/>
      <c r="R218" s="8"/>
    </row>
    <row r="219" spans="1:18" ht="12.75" customHeight="1">
      <c r="A219" s="8"/>
      <c r="B219" s="8"/>
      <c r="C219" s="30"/>
      <c r="D219" s="8"/>
      <c r="E219" s="8"/>
      <c r="F219" s="8"/>
      <c r="G219" s="8"/>
      <c r="H219" s="8"/>
      <c r="I219" s="8"/>
      <c r="J219" s="8"/>
      <c r="K219" s="8"/>
      <c r="L219" s="8"/>
      <c r="M219" s="8"/>
      <c r="N219" s="8"/>
      <c r="O219" s="8"/>
      <c r="P219" s="8"/>
      <c r="Q219" s="8"/>
      <c r="R219" s="8"/>
    </row>
    <row r="220" spans="1:18" ht="12.75" customHeight="1">
      <c r="A220" s="8"/>
      <c r="B220" s="8"/>
      <c r="C220" s="30"/>
      <c r="D220" s="8"/>
      <c r="E220" s="8"/>
      <c r="F220" s="8"/>
      <c r="G220" s="8"/>
      <c r="H220" s="8"/>
      <c r="I220" s="8"/>
      <c r="J220" s="8"/>
      <c r="K220" s="8"/>
      <c r="L220" s="8"/>
      <c r="M220" s="8"/>
      <c r="N220" s="8"/>
      <c r="O220" s="8"/>
      <c r="P220" s="8"/>
      <c r="Q220" s="8"/>
      <c r="R220" s="8"/>
    </row>
    <row r="221" spans="1:18" ht="12.75" customHeight="1">
      <c r="A221" s="8"/>
      <c r="B221" s="8"/>
      <c r="C221" s="30"/>
      <c r="D221" s="8"/>
      <c r="E221" s="8"/>
      <c r="F221" s="8"/>
      <c r="G221" s="8"/>
      <c r="H221" s="8"/>
      <c r="I221" s="8"/>
      <c r="J221" s="8"/>
      <c r="K221" s="8"/>
      <c r="L221" s="8"/>
      <c r="M221" s="8"/>
      <c r="N221" s="8"/>
      <c r="O221" s="8"/>
      <c r="P221" s="8"/>
      <c r="Q221" s="8"/>
      <c r="R221" s="8"/>
    </row>
    <row r="222" spans="1:18" ht="12.75" customHeight="1">
      <c r="A222" s="8"/>
      <c r="B222" s="8"/>
      <c r="C222" s="30"/>
      <c r="D222" s="8"/>
      <c r="E222" s="8"/>
      <c r="F222" s="8"/>
      <c r="G222" s="8"/>
      <c r="H222" s="8"/>
      <c r="I222" s="8"/>
      <c r="J222" s="8"/>
      <c r="K222" s="8"/>
      <c r="L222" s="8"/>
      <c r="M222" s="8"/>
      <c r="N222" s="8"/>
      <c r="O222" s="8"/>
      <c r="P222" s="8"/>
      <c r="Q222" s="8"/>
      <c r="R222" s="8"/>
    </row>
    <row r="223" spans="1:18" ht="12.75" customHeight="1">
      <c r="A223" s="8"/>
      <c r="B223" s="8"/>
      <c r="C223" s="30"/>
      <c r="D223" s="8"/>
      <c r="E223" s="8"/>
      <c r="F223" s="8"/>
      <c r="G223" s="8"/>
      <c r="H223" s="8"/>
      <c r="I223" s="8"/>
      <c r="J223" s="8"/>
      <c r="K223" s="8"/>
      <c r="L223" s="8"/>
      <c r="M223" s="8"/>
      <c r="N223" s="8"/>
      <c r="O223" s="8"/>
      <c r="P223" s="8"/>
      <c r="Q223" s="8"/>
      <c r="R223" s="8"/>
    </row>
    <row r="224" spans="1:18" ht="12.75" customHeight="1">
      <c r="A224" s="8"/>
      <c r="B224" s="8"/>
      <c r="C224" s="30"/>
      <c r="D224" s="8"/>
      <c r="E224" s="8"/>
      <c r="F224" s="8"/>
      <c r="G224" s="8"/>
      <c r="H224" s="8"/>
      <c r="I224" s="8"/>
      <c r="J224" s="8"/>
      <c r="K224" s="8"/>
      <c r="L224" s="8"/>
      <c r="M224" s="8"/>
      <c r="N224" s="8"/>
      <c r="O224" s="8"/>
      <c r="P224" s="8"/>
      <c r="Q224" s="8"/>
      <c r="R224" s="8"/>
    </row>
    <row r="225" spans="1:18" ht="12.75" customHeight="1">
      <c r="A225" s="8"/>
      <c r="B225" s="8"/>
      <c r="C225" s="30"/>
      <c r="D225" s="8"/>
      <c r="E225" s="8"/>
      <c r="F225" s="8"/>
      <c r="G225" s="8"/>
      <c r="H225" s="8"/>
      <c r="I225" s="8"/>
      <c r="J225" s="8"/>
      <c r="K225" s="8"/>
      <c r="L225" s="8"/>
      <c r="M225" s="8"/>
      <c r="N225" s="8"/>
      <c r="O225" s="8"/>
      <c r="P225" s="8"/>
      <c r="Q225" s="8"/>
      <c r="R225" s="8"/>
    </row>
    <row r="226" spans="1:18" ht="12.75" customHeight="1">
      <c r="A226" s="8"/>
      <c r="B226" s="8"/>
      <c r="C226" s="30"/>
      <c r="D226" s="8"/>
      <c r="E226" s="8"/>
      <c r="F226" s="8"/>
      <c r="G226" s="8"/>
      <c r="H226" s="8"/>
      <c r="I226" s="8"/>
      <c r="J226" s="8"/>
      <c r="K226" s="8"/>
      <c r="L226" s="8"/>
      <c r="M226" s="8"/>
      <c r="N226" s="8"/>
      <c r="O226" s="8"/>
      <c r="P226" s="8"/>
      <c r="Q226" s="8"/>
      <c r="R226" s="8"/>
    </row>
    <row r="227" spans="1:18" ht="12.75" customHeight="1">
      <c r="A227" s="8"/>
      <c r="B227" s="8"/>
      <c r="C227" s="30"/>
      <c r="D227" s="8"/>
      <c r="E227" s="8"/>
      <c r="F227" s="8"/>
      <c r="G227" s="8"/>
      <c r="H227" s="8"/>
      <c r="I227" s="8"/>
      <c r="J227" s="8"/>
      <c r="K227" s="8"/>
      <c r="L227" s="8"/>
      <c r="M227" s="8"/>
      <c r="N227" s="8"/>
      <c r="O227" s="8"/>
      <c r="P227" s="8"/>
      <c r="Q227" s="8"/>
      <c r="R227" s="8"/>
    </row>
    <row r="228" spans="1:18" ht="12.75" customHeight="1">
      <c r="A228" s="8"/>
      <c r="B228" s="8"/>
      <c r="C228" s="30"/>
      <c r="D228" s="8"/>
      <c r="E228" s="8"/>
      <c r="F228" s="8"/>
      <c r="G228" s="8"/>
      <c r="H228" s="8"/>
      <c r="I228" s="8"/>
      <c r="J228" s="8"/>
      <c r="K228" s="8"/>
      <c r="L228" s="8"/>
      <c r="M228" s="8"/>
      <c r="N228" s="8"/>
      <c r="O228" s="8"/>
      <c r="P228" s="8"/>
      <c r="Q228" s="8"/>
      <c r="R228" s="8"/>
    </row>
    <row r="229" spans="1:18" ht="12.75" customHeight="1">
      <c r="A229" s="8"/>
      <c r="B229" s="8"/>
      <c r="C229" s="30"/>
      <c r="D229" s="8"/>
      <c r="E229" s="8"/>
      <c r="F229" s="8"/>
      <c r="G229" s="8"/>
      <c r="H229" s="8"/>
      <c r="I229" s="8"/>
      <c r="J229" s="8"/>
      <c r="K229" s="8"/>
      <c r="L229" s="8"/>
      <c r="M229" s="8"/>
      <c r="N229" s="8"/>
      <c r="O229" s="8"/>
      <c r="P229" s="8"/>
      <c r="Q229" s="8"/>
      <c r="R229" s="8"/>
    </row>
    <row r="230" spans="1:18" ht="12.75" customHeight="1">
      <c r="A230" s="8"/>
      <c r="B230" s="8"/>
      <c r="C230" s="30"/>
      <c r="D230" s="8"/>
      <c r="E230" s="8"/>
      <c r="F230" s="8"/>
      <c r="G230" s="8"/>
      <c r="H230" s="8"/>
      <c r="I230" s="8"/>
      <c r="J230" s="8"/>
      <c r="K230" s="8"/>
      <c r="L230" s="8"/>
      <c r="M230" s="8"/>
      <c r="N230" s="8"/>
      <c r="O230" s="8"/>
      <c r="P230" s="8"/>
      <c r="Q230" s="8"/>
      <c r="R230" s="8"/>
    </row>
    <row r="231" spans="1:18" ht="12.75" customHeight="1">
      <c r="A231" s="8"/>
      <c r="B231" s="8"/>
      <c r="C231" s="30"/>
      <c r="D231" s="8"/>
      <c r="E231" s="8"/>
      <c r="F231" s="8"/>
      <c r="G231" s="8"/>
      <c r="H231" s="8"/>
      <c r="I231" s="8"/>
      <c r="J231" s="8"/>
      <c r="K231" s="8"/>
      <c r="L231" s="8"/>
      <c r="M231" s="8"/>
      <c r="N231" s="8"/>
      <c r="O231" s="8"/>
      <c r="P231" s="8"/>
      <c r="Q231" s="8"/>
      <c r="R231" s="8"/>
    </row>
    <row r="232" spans="1:18" ht="12.75" customHeight="1">
      <c r="A232" s="8"/>
      <c r="B232" s="8"/>
      <c r="C232" s="30"/>
      <c r="D232" s="8"/>
      <c r="E232" s="8"/>
      <c r="F232" s="8"/>
      <c r="G232" s="8"/>
      <c r="H232" s="8"/>
      <c r="I232" s="8"/>
      <c r="J232" s="8"/>
      <c r="K232" s="8"/>
      <c r="L232" s="8"/>
      <c r="M232" s="8"/>
      <c r="N232" s="8"/>
      <c r="O232" s="8"/>
      <c r="P232" s="8"/>
      <c r="Q232" s="8"/>
      <c r="R232" s="8"/>
    </row>
    <row r="233" spans="1:18" ht="12.75" customHeight="1">
      <c r="A233" s="8"/>
      <c r="B233" s="8"/>
      <c r="C233" s="30"/>
      <c r="D233" s="8"/>
      <c r="E233" s="8"/>
      <c r="F233" s="8"/>
      <c r="G233" s="8"/>
      <c r="H233" s="8"/>
      <c r="I233" s="8"/>
      <c r="J233" s="8"/>
      <c r="K233" s="8"/>
      <c r="L233" s="8"/>
      <c r="M233" s="8"/>
      <c r="N233" s="8"/>
      <c r="O233" s="8"/>
      <c r="P233" s="8"/>
      <c r="Q233" s="8"/>
      <c r="R233" s="8"/>
    </row>
    <row r="234" spans="1:18" ht="12.75" customHeight="1">
      <c r="A234" s="8"/>
      <c r="B234" s="8"/>
      <c r="C234" s="30"/>
      <c r="D234" s="8"/>
      <c r="E234" s="8"/>
      <c r="F234" s="8"/>
      <c r="G234" s="8"/>
      <c r="H234" s="8"/>
      <c r="I234" s="8"/>
      <c r="J234" s="8"/>
      <c r="K234" s="8"/>
      <c r="L234" s="8"/>
      <c r="M234" s="8"/>
      <c r="N234" s="8"/>
      <c r="O234" s="8"/>
      <c r="P234" s="8"/>
      <c r="Q234" s="8"/>
      <c r="R234" s="8"/>
    </row>
    <row r="235" spans="1:18" ht="12.75" customHeight="1">
      <c r="A235" s="8"/>
      <c r="B235" s="8"/>
      <c r="C235" s="30"/>
      <c r="D235" s="8"/>
      <c r="E235" s="8"/>
      <c r="F235" s="8"/>
      <c r="G235" s="8"/>
      <c r="H235" s="8"/>
      <c r="I235" s="8"/>
      <c r="J235" s="8"/>
      <c r="K235" s="8"/>
      <c r="L235" s="8"/>
      <c r="M235" s="8"/>
      <c r="N235" s="8"/>
      <c r="O235" s="8"/>
      <c r="P235" s="8"/>
      <c r="Q235" s="8"/>
      <c r="R235" s="8"/>
    </row>
    <row r="236" spans="1:18" ht="12.75" customHeight="1">
      <c r="A236" s="8"/>
      <c r="B236" s="8"/>
      <c r="C236" s="30"/>
      <c r="D236" s="8"/>
      <c r="E236" s="8"/>
      <c r="F236" s="8"/>
      <c r="G236" s="8"/>
      <c r="H236" s="8"/>
      <c r="I236" s="8"/>
      <c r="J236" s="8"/>
      <c r="K236" s="8"/>
      <c r="L236" s="8"/>
      <c r="M236" s="8"/>
      <c r="N236" s="8"/>
      <c r="O236" s="8"/>
      <c r="P236" s="8"/>
      <c r="Q236" s="8"/>
      <c r="R236" s="8"/>
    </row>
    <row r="237" spans="1:18" ht="12.75" customHeight="1">
      <c r="A237" s="8"/>
      <c r="B237" s="8"/>
      <c r="C237" s="30"/>
      <c r="D237" s="8"/>
      <c r="E237" s="8"/>
      <c r="F237" s="8"/>
      <c r="G237" s="8"/>
      <c r="H237" s="8"/>
      <c r="I237" s="8"/>
      <c r="J237" s="8"/>
      <c r="K237" s="8"/>
      <c r="L237" s="8"/>
      <c r="M237" s="8"/>
      <c r="N237" s="8"/>
      <c r="O237" s="8"/>
      <c r="P237" s="8"/>
      <c r="Q237" s="8"/>
      <c r="R237" s="8"/>
    </row>
    <row r="238" spans="1:18" ht="12.75" customHeight="1">
      <c r="A238" s="8"/>
      <c r="B238" s="8"/>
      <c r="C238" s="30"/>
      <c r="D238" s="8"/>
      <c r="E238" s="8"/>
      <c r="F238" s="8"/>
      <c r="G238" s="8"/>
      <c r="H238" s="8"/>
      <c r="I238" s="8"/>
      <c r="J238" s="8"/>
      <c r="K238" s="8"/>
      <c r="L238" s="8"/>
      <c r="M238" s="8"/>
      <c r="N238" s="8"/>
      <c r="O238" s="8"/>
      <c r="P238" s="8"/>
      <c r="Q238" s="8"/>
      <c r="R238" s="8"/>
    </row>
    <row r="239" spans="1:18" ht="12.75" customHeight="1">
      <c r="A239" s="8"/>
      <c r="B239" s="8"/>
      <c r="C239" s="30"/>
      <c r="D239" s="8"/>
      <c r="E239" s="8"/>
      <c r="F239" s="8"/>
      <c r="G239" s="8"/>
      <c r="H239" s="8"/>
      <c r="I239" s="8"/>
      <c r="J239" s="8"/>
      <c r="K239" s="8"/>
      <c r="L239" s="8"/>
      <c r="M239" s="8"/>
      <c r="N239" s="8"/>
      <c r="O239" s="8"/>
      <c r="P239" s="8"/>
      <c r="Q239" s="8"/>
      <c r="R239" s="8"/>
    </row>
    <row r="240" spans="1:18" ht="12.75" customHeight="1">
      <c r="A240" s="8"/>
      <c r="B240" s="8"/>
      <c r="C240" s="30"/>
      <c r="D240" s="8"/>
      <c r="E240" s="8"/>
      <c r="F240" s="8"/>
      <c r="G240" s="8"/>
      <c r="H240" s="8"/>
      <c r="I240" s="8"/>
      <c r="J240" s="8"/>
      <c r="K240" s="8"/>
      <c r="L240" s="8"/>
      <c r="M240" s="8"/>
      <c r="N240" s="8"/>
      <c r="O240" s="8"/>
      <c r="P240" s="8"/>
      <c r="Q240" s="8"/>
      <c r="R240" s="8"/>
    </row>
    <row r="241" spans="1:18" ht="12.75" customHeight="1">
      <c r="A241" s="8"/>
      <c r="B241" s="8"/>
      <c r="C241" s="30"/>
      <c r="D241" s="8"/>
      <c r="E241" s="8"/>
      <c r="F241" s="8"/>
      <c r="G241" s="8"/>
      <c r="H241" s="8"/>
      <c r="I241" s="8"/>
      <c r="J241" s="8"/>
      <c r="K241" s="8"/>
      <c r="L241" s="8"/>
      <c r="M241" s="8"/>
      <c r="N241" s="8"/>
      <c r="O241" s="8"/>
      <c r="P241" s="8"/>
      <c r="Q241" s="8"/>
      <c r="R241" s="8"/>
    </row>
    <row r="242" spans="1:18" ht="12.75" customHeight="1">
      <c r="A242" s="8"/>
      <c r="B242" s="8"/>
      <c r="C242" s="30"/>
      <c r="D242" s="8"/>
      <c r="E242" s="8"/>
      <c r="F242" s="8"/>
      <c r="G242" s="8"/>
      <c r="H242" s="8"/>
      <c r="I242" s="8"/>
      <c r="J242" s="8"/>
      <c r="K242" s="8"/>
      <c r="L242" s="8"/>
      <c r="M242" s="8"/>
      <c r="N242" s="8"/>
      <c r="O242" s="8"/>
      <c r="P242" s="8"/>
      <c r="Q242" s="8"/>
      <c r="R242" s="8"/>
    </row>
    <row r="243" spans="1:18" ht="12.75" customHeight="1">
      <c r="A243" s="8"/>
      <c r="B243" s="8"/>
      <c r="C243" s="30"/>
      <c r="D243" s="8"/>
      <c r="E243" s="8"/>
      <c r="F243" s="8"/>
      <c r="G243" s="8"/>
      <c r="H243" s="8"/>
      <c r="I243" s="8"/>
      <c r="J243" s="8"/>
      <c r="K243" s="8"/>
      <c r="L243" s="8"/>
      <c r="M243" s="8"/>
      <c r="N243" s="8"/>
      <c r="O243" s="8"/>
      <c r="P243" s="8"/>
      <c r="Q243" s="8"/>
      <c r="R243" s="8"/>
    </row>
    <row r="244" spans="1:18" ht="12.75" customHeight="1">
      <c r="A244" s="8"/>
      <c r="B244" s="8"/>
      <c r="C244" s="30"/>
      <c r="D244" s="8"/>
      <c r="E244" s="8"/>
      <c r="F244" s="8"/>
      <c r="G244" s="8"/>
      <c r="H244" s="8"/>
      <c r="I244" s="8"/>
      <c r="J244" s="8"/>
      <c r="K244" s="8"/>
      <c r="L244" s="8"/>
      <c r="M244" s="8"/>
      <c r="N244" s="8"/>
      <c r="O244" s="8"/>
      <c r="P244" s="8"/>
      <c r="Q244" s="8"/>
      <c r="R244" s="8"/>
    </row>
    <row r="245" spans="1:18" ht="12.75" customHeight="1">
      <c r="A245" s="8"/>
      <c r="B245" s="8"/>
      <c r="C245" s="30"/>
      <c r="D245" s="8"/>
      <c r="E245" s="8"/>
      <c r="F245" s="8"/>
      <c r="G245" s="8"/>
      <c r="H245" s="8"/>
      <c r="I245" s="8"/>
      <c r="J245" s="8"/>
      <c r="K245" s="8"/>
      <c r="L245" s="8"/>
      <c r="M245" s="8"/>
      <c r="N245" s="8"/>
      <c r="O245" s="8"/>
      <c r="P245" s="8"/>
      <c r="Q245" s="8"/>
      <c r="R245" s="8"/>
    </row>
    <row r="246" spans="1:18" ht="12.75" customHeight="1">
      <c r="A246" s="8"/>
      <c r="B246" s="8"/>
      <c r="C246" s="30"/>
      <c r="D246" s="8"/>
      <c r="E246" s="8"/>
      <c r="F246" s="8"/>
      <c r="G246" s="8"/>
      <c r="H246" s="8"/>
      <c r="I246" s="8"/>
      <c r="J246" s="8"/>
      <c r="K246" s="8"/>
      <c r="L246" s="8"/>
      <c r="M246" s="8"/>
      <c r="N246" s="8"/>
      <c r="O246" s="8"/>
      <c r="P246" s="8"/>
      <c r="Q246" s="8"/>
      <c r="R246" s="8"/>
    </row>
    <row r="247" spans="1:18" ht="12.75" customHeight="1">
      <c r="A247" s="8"/>
      <c r="B247" s="8"/>
      <c r="C247" s="30"/>
      <c r="D247" s="8"/>
      <c r="E247" s="8"/>
      <c r="F247" s="8"/>
      <c r="G247" s="8"/>
      <c r="H247" s="8"/>
      <c r="I247" s="8"/>
      <c r="J247" s="8"/>
      <c r="K247" s="8"/>
      <c r="L247" s="8"/>
      <c r="M247" s="8"/>
      <c r="N247" s="8"/>
      <c r="O247" s="8"/>
      <c r="P247" s="8"/>
      <c r="Q247" s="8"/>
      <c r="R247" s="8"/>
    </row>
    <row r="248" spans="1:18" ht="12.75" customHeight="1">
      <c r="A248" s="8"/>
      <c r="B248" s="8"/>
      <c r="C248" s="30"/>
      <c r="D248" s="8"/>
      <c r="E248" s="8"/>
      <c r="F248" s="8"/>
      <c r="G248" s="8"/>
      <c r="H248" s="8"/>
      <c r="I248" s="8"/>
      <c r="J248" s="8"/>
      <c r="K248" s="8"/>
      <c r="L248" s="8"/>
      <c r="M248" s="8"/>
      <c r="N248" s="8"/>
      <c r="O248" s="8"/>
      <c r="P248" s="8"/>
      <c r="Q248" s="8"/>
      <c r="R248" s="8"/>
    </row>
    <row r="249" spans="1:18" ht="12.75" customHeight="1">
      <c r="A249" s="8"/>
      <c r="B249" s="8"/>
      <c r="C249" s="30"/>
      <c r="D249" s="8"/>
      <c r="E249" s="8"/>
      <c r="F249" s="8"/>
      <c r="G249" s="8"/>
      <c r="H249" s="8"/>
      <c r="I249" s="8"/>
      <c r="J249" s="8"/>
      <c r="K249" s="8"/>
      <c r="L249" s="8"/>
      <c r="M249" s="8"/>
      <c r="N249" s="8"/>
      <c r="O249" s="8"/>
      <c r="P249" s="8"/>
      <c r="Q249" s="8"/>
      <c r="R249" s="8"/>
    </row>
    <row r="250" spans="1:18" ht="12.75" customHeight="1">
      <c r="A250" s="8"/>
      <c r="B250" s="8"/>
      <c r="C250" s="30"/>
      <c r="D250" s="8"/>
      <c r="E250" s="8"/>
      <c r="F250" s="8"/>
      <c r="G250" s="8"/>
      <c r="H250" s="8"/>
      <c r="I250" s="8"/>
      <c r="J250" s="8"/>
      <c r="K250" s="8"/>
      <c r="L250" s="8"/>
      <c r="M250" s="8"/>
      <c r="N250" s="8"/>
      <c r="O250" s="8"/>
      <c r="P250" s="8"/>
      <c r="Q250" s="8"/>
      <c r="R250" s="8"/>
    </row>
    <row r="251" spans="1:18" ht="12.75" customHeight="1">
      <c r="A251" s="8"/>
      <c r="B251" s="8"/>
      <c r="C251" s="30"/>
      <c r="D251" s="8"/>
      <c r="E251" s="8"/>
      <c r="F251" s="8"/>
      <c r="G251" s="8"/>
      <c r="H251" s="8"/>
      <c r="I251" s="8"/>
      <c r="J251" s="8"/>
      <c r="K251" s="8"/>
      <c r="L251" s="8"/>
      <c r="M251" s="8"/>
      <c r="N251" s="8"/>
      <c r="O251" s="8"/>
      <c r="P251" s="8"/>
      <c r="Q251" s="8"/>
      <c r="R251" s="8"/>
    </row>
    <row r="252" spans="1:18" ht="12.75" customHeight="1">
      <c r="A252" s="8"/>
      <c r="B252" s="8"/>
      <c r="C252" s="30"/>
      <c r="D252" s="8"/>
      <c r="E252" s="8"/>
      <c r="F252" s="8"/>
      <c r="G252" s="8"/>
      <c r="H252" s="8"/>
      <c r="I252" s="8"/>
      <c r="J252" s="8"/>
      <c r="K252" s="8"/>
      <c r="L252" s="8"/>
      <c r="M252" s="8"/>
      <c r="N252" s="8"/>
      <c r="O252" s="8"/>
      <c r="P252" s="8"/>
      <c r="Q252" s="8"/>
      <c r="R252" s="8"/>
    </row>
    <row r="253" spans="1:18" ht="12.75" customHeight="1">
      <c r="A253" s="8"/>
      <c r="B253" s="8"/>
      <c r="C253" s="30"/>
      <c r="D253" s="8"/>
      <c r="E253" s="8"/>
      <c r="F253" s="8"/>
      <c r="G253" s="8"/>
      <c r="H253" s="8"/>
      <c r="I253" s="8"/>
      <c r="J253" s="8"/>
      <c r="K253" s="8"/>
      <c r="L253" s="8"/>
      <c r="M253" s="8"/>
      <c r="N253" s="8"/>
      <c r="O253" s="8"/>
      <c r="P253" s="8"/>
      <c r="Q253" s="8"/>
      <c r="R253" s="8"/>
    </row>
    <row r="254" spans="1:18" ht="12.75" customHeight="1">
      <c r="A254" s="8"/>
      <c r="B254" s="8"/>
      <c r="C254" s="30"/>
      <c r="D254" s="8"/>
      <c r="E254" s="8"/>
      <c r="F254" s="8"/>
      <c r="G254" s="8"/>
      <c r="H254" s="8"/>
      <c r="I254" s="8"/>
      <c r="J254" s="8"/>
      <c r="K254" s="8"/>
      <c r="L254" s="8"/>
      <c r="M254" s="8"/>
      <c r="N254" s="8"/>
      <c r="O254" s="8"/>
      <c r="P254" s="8"/>
      <c r="Q254" s="8"/>
      <c r="R254" s="8"/>
    </row>
    <row r="255" spans="1:18" ht="12.75" customHeight="1">
      <c r="A255" s="8"/>
      <c r="B255" s="8"/>
      <c r="C255" s="30"/>
      <c r="D255" s="8"/>
      <c r="E255" s="8"/>
      <c r="F255" s="8"/>
      <c r="G255" s="8"/>
      <c r="H255" s="8"/>
      <c r="I255" s="8"/>
      <c r="J255" s="8"/>
      <c r="K255" s="8"/>
      <c r="L255" s="8"/>
      <c r="M255" s="8"/>
      <c r="N255" s="8"/>
      <c r="O255" s="8"/>
      <c r="P255" s="8"/>
      <c r="Q255" s="8"/>
      <c r="R255" s="8"/>
    </row>
    <row r="256" spans="1:18" ht="12.75" customHeight="1">
      <c r="A256" s="8"/>
      <c r="B256" s="8"/>
      <c r="C256" s="30"/>
      <c r="D256" s="8"/>
      <c r="E256" s="8"/>
      <c r="F256" s="8"/>
      <c r="G256" s="8"/>
      <c r="H256" s="8"/>
      <c r="I256" s="8"/>
      <c r="J256" s="8"/>
      <c r="K256" s="8"/>
      <c r="L256" s="8"/>
      <c r="M256" s="8"/>
      <c r="N256" s="8"/>
      <c r="O256" s="8"/>
      <c r="P256" s="8"/>
      <c r="Q256" s="8"/>
      <c r="R256" s="8"/>
    </row>
    <row r="257" spans="1:18" ht="12.75" customHeight="1">
      <c r="A257" s="8"/>
      <c r="B257" s="8"/>
      <c r="C257" s="30"/>
      <c r="D257" s="8"/>
      <c r="E257" s="8"/>
      <c r="F257" s="8"/>
      <c r="G257" s="8"/>
      <c r="H257" s="8"/>
      <c r="I257" s="8"/>
      <c r="J257" s="8"/>
      <c r="K257" s="8"/>
      <c r="L257" s="8"/>
      <c r="M257" s="8"/>
      <c r="N257" s="8"/>
      <c r="O257" s="8"/>
      <c r="P257" s="8"/>
      <c r="Q257" s="8"/>
      <c r="R257" s="8"/>
    </row>
    <row r="258" spans="1:18" ht="12.75" customHeight="1">
      <c r="A258" s="8"/>
      <c r="B258" s="8"/>
      <c r="C258" s="30"/>
      <c r="D258" s="8"/>
      <c r="E258" s="8"/>
      <c r="F258" s="8"/>
      <c r="G258" s="8"/>
      <c r="H258" s="8"/>
      <c r="I258" s="8"/>
      <c r="J258" s="8"/>
      <c r="K258" s="8"/>
      <c r="L258" s="8"/>
      <c r="M258" s="8"/>
      <c r="N258" s="8"/>
      <c r="O258" s="8"/>
      <c r="P258" s="8"/>
      <c r="Q258" s="8"/>
      <c r="R258" s="8"/>
    </row>
    <row r="259" spans="1:18" ht="12.75" customHeight="1">
      <c r="A259" s="8"/>
      <c r="B259" s="8"/>
      <c r="C259" s="30"/>
      <c r="D259" s="8"/>
      <c r="E259" s="8"/>
      <c r="F259" s="8"/>
      <c r="G259" s="8"/>
      <c r="H259" s="8"/>
      <c r="I259" s="8"/>
      <c r="J259" s="8"/>
      <c r="K259" s="8"/>
      <c r="L259" s="8"/>
      <c r="M259" s="8"/>
      <c r="N259" s="8"/>
      <c r="O259" s="8"/>
      <c r="P259" s="8"/>
      <c r="Q259" s="8"/>
      <c r="R259" s="8"/>
    </row>
    <row r="260" spans="1:18" ht="12.75" customHeight="1">
      <c r="A260" s="8"/>
      <c r="B260" s="8"/>
      <c r="C260" s="30"/>
      <c r="D260" s="8"/>
      <c r="E260" s="8"/>
      <c r="F260" s="8"/>
      <c r="G260" s="8"/>
      <c r="H260" s="8"/>
      <c r="I260" s="8"/>
      <c r="J260" s="8"/>
      <c r="K260" s="8"/>
      <c r="L260" s="8"/>
      <c r="M260" s="8"/>
      <c r="N260" s="8"/>
      <c r="O260" s="8"/>
      <c r="P260" s="8"/>
      <c r="Q260" s="8"/>
      <c r="R260" s="8"/>
    </row>
    <row r="261" spans="1:18" ht="12.75" customHeight="1">
      <c r="A261" s="8"/>
      <c r="B261" s="8"/>
      <c r="C261" s="30"/>
      <c r="D261" s="8"/>
      <c r="E261" s="8"/>
      <c r="F261" s="8"/>
      <c r="G261" s="8"/>
      <c r="H261" s="8"/>
      <c r="I261" s="8"/>
      <c r="J261" s="8"/>
      <c r="K261" s="8"/>
      <c r="L261" s="8"/>
      <c r="M261" s="8"/>
      <c r="N261" s="8"/>
      <c r="O261" s="8"/>
      <c r="P261" s="8"/>
      <c r="Q261" s="8"/>
      <c r="R261" s="8"/>
    </row>
    <row r="262" spans="1:18" ht="12.75" customHeight="1">
      <c r="A262" s="8"/>
      <c r="B262" s="8"/>
      <c r="C262" s="30"/>
      <c r="D262" s="8"/>
      <c r="E262" s="8"/>
      <c r="F262" s="8"/>
      <c r="G262" s="8"/>
      <c r="H262" s="8"/>
      <c r="I262" s="8"/>
      <c r="J262" s="8"/>
      <c r="K262" s="8"/>
      <c r="L262" s="8"/>
      <c r="M262" s="8"/>
      <c r="N262" s="8"/>
      <c r="O262" s="8"/>
      <c r="P262" s="8"/>
      <c r="Q262" s="8"/>
      <c r="R262" s="8"/>
    </row>
    <row r="263" spans="1:18" ht="12.75" customHeight="1">
      <c r="A263" s="8"/>
      <c r="B263" s="8"/>
      <c r="C263" s="30"/>
      <c r="D263" s="8"/>
      <c r="E263" s="8"/>
      <c r="F263" s="8"/>
      <c r="G263" s="8"/>
      <c r="H263" s="8"/>
      <c r="I263" s="8"/>
      <c r="J263" s="8"/>
      <c r="K263" s="8"/>
      <c r="L263" s="8"/>
      <c r="M263" s="8"/>
      <c r="N263" s="8"/>
      <c r="O263" s="8"/>
      <c r="P263" s="8"/>
      <c r="Q263" s="8"/>
      <c r="R263" s="8"/>
    </row>
    <row r="264" spans="1:18" ht="12.75" customHeight="1">
      <c r="A264" s="8"/>
      <c r="B264" s="8"/>
      <c r="C264" s="30"/>
      <c r="D264" s="8"/>
      <c r="E264" s="8"/>
      <c r="F264" s="8"/>
      <c r="G264" s="8"/>
      <c r="H264" s="8"/>
      <c r="I264" s="8"/>
      <c r="J264" s="8"/>
      <c r="K264" s="8"/>
      <c r="L264" s="8"/>
      <c r="M264" s="8"/>
      <c r="N264" s="8"/>
      <c r="O264" s="8"/>
      <c r="P264" s="8"/>
      <c r="Q264" s="8"/>
      <c r="R264" s="8"/>
    </row>
    <row r="265" spans="1:18" ht="12.75" customHeight="1">
      <c r="A265" s="8"/>
      <c r="B265" s="8"/>
      <c r="C265" s="30"/>
      <c r="D265" s="8"/>
      <c r="E265" s="8"/>
      <c r="F265" s="8"/>
      <c r="G265" s="8"/>
      <c r="H265" s="8"/>
      <c r="I265" s="8"/>
      <c r="J265" s="8"/>
      <c r="K265" s="8"/>
      <c r="L265" s="8"/>
      <c r="M265" s="8"/>
      <c r="N265" s="8"/>
      <c r="O265" s="8"/>
      <c r="P265" s="8"/>
      <c r="Q265" s="8"/>
      <c r="R265" s="8"/>
    </row>
    <row r="266" spans="1:18" ht="12.75" customHeight="1">
      <c r="A266" s="8"/>
      <c r="B266" s="8"/>
      <c r="C266" s="30"/>
      <c r="D266" s="8"/>
      <c r="E266" s="8"/>
      <c r="F266" s="8"/>
      <c r="G266" s="8"/>
      <c r="H266" s="8"/>
      <c r="I266" s="8"/>
      <c r="J266" s="8"/>
      <c r="K266" s="8"/>
      <c r="L266" s="8"/>
      <c r="M266" s="8"/>
      <c r="N266" s="8"/>
      <c r="O266" s="8"/>
      <c r="P266" s="8"/>
      <c r="Q266" s="8"/>
      <c r="R266" s="8"/>
    </row>
    <row r="267" spans="1:18" ht="12.75" customHeight="1">
      <c r="A267" s="8"/>
      <c r="B267" s="8"/>
      <c r="C267" s="30"/>
      <c r="D267" s="8"/>
      <c r="E267" s="8"/>
      <c r="F267" s="8"/>
      <c r="G267" s="8"/>
      <c r="H267" s="8"/>
      <c r="I267" s="8"/>
      <c r="J267" s="8"/>
      <c r="K267" s="8"/>
      <c r="L267" s="8"/>
      <c r="M267" s="8"/>
      <c r="N267" s="8"/>
      <c r="O267" s="8"/>
      <c r="P267" s="8"/>
      <c r="Q267" s="8"/>
      <c r="R267" s="8"/>
    </row>
    <row r="268" spans="1:18" ht="12.75" customHeight="1">
      <c r="A268" s="8"/>
      <c r="B268" s="8"/>
      <c r="C268" s="30"/>
      <c r="D268" s="8"/>
      <c r="E268" s="8"/>
      <c r="F268" s="8"/>
      <c r="G268" s="8"/>
      <c r="H268" s="8"/>
      <c r="I268" s="8"/>
      <c r="J268" s="8"/>
      <c r="K268" s="8"/>
      <c r="L268" s="8"/>
      <c r="M268" s="8"/>
      <c r="N268" s="8"/>
      <c r="O268" s="8"/>
      <c r="P268" s="8"/>
      <c r="Q268" s="8"/>
      <c r="R268" s="8"/>
    </row>
    <row r="269" spans="1:18" ht="12.75" customHeight="1">
      <c r="A269" s="8"/>
      <c r="B269" s="8"/>
      <c r="C269" s="30"/>
      <c r="D269" s="8"/>
      <c r="E269" s="8"/>
      <c r="F269" s="8"/>
      <c r="G269" s="8"/>
      <c r="H269" s="8"/>
      <c r="I269" s="8"/>
      <c r="J269" s="8"/>
      <c r="K269" s="8"/>
      <c r="L269" s="8"/>
      <c r="M269" s="8"/>
      <c r="N269" s="8"/>
      <c r="O269" s="8"/>
      <c r="P269" s="8"/>
      <c r="Q269" s="8"/>
      <c r="R269" s="8"/>
    </row>
    <row r="270" spans="1:18" ht="12.75" customHeight="1">
      <c r="A270" s="8"/>
      <c r="B270" s="8"/>
      <c r="C270" s="30"/>
      <c r="D270" s="8"/>
      <c r="E270" s="8"/>
      <c r="F270" s="8"/>
      <c r="G270" s="8"/>
      <c r="H270" s="8"/>
      <c r="I270" s="8"/>
      <c r="J270" s="8"/>
      <c r="K270" s="8"/>
      <c r="L270" s="8"/>
      <c r="M270" s="8"/>
      <c r="N270" s="8"/>
      <c r="O270" s="8"/>
      <c r="P270" s="8"/>
      <c r="Q270" s="8"/>
      <c r="R270" s="8"/>
    </row>
    <row r="271" spans="1:18" ht="12.75" customHeight="1">
      <c r="A271" s="8"/>
      <c r="B271" s="8"/>
      <c r="C271" s="30"/>
      <c r="D271" s="8"/>
      <c r="E271" s="8"/>
      <c r="F271" s="8"/>
      <c r="G271" s="8"/>
      <c r="H271" s="8"/>
      <c r="I271" s="8"/>
      <c r="J271" s="8"/>
      <c r="K271" s="8"/>
      <c r="L271" s="8"/>
      <c r="M271" s="8"/>
      <c r="N271" s="8"/>
      <c r="O271" s="8"/>
      <c r="P271" s="8"/>
      <c r="Q271" s="8"/>
      <c r="R271" s="8"/>
    </row>
    <row r="272" spans="1:18" ht="12.75" customHeight="1">
      <c r="A272" s="8"/>
      <c r="B272" s="8"/>
      <c r="C272" s="30"/>
      <c r="D272" s="8"/>
      <c r="E272" s="8"/>
      <c r="F272" s="8"/>
      <c r="G272" s="8"/>
      <c r="H272" s="8"/>
      <c r="I272" s="8"/>
      <c r="J272" s="8"/>
      <c r="K272" s="8"/>
      <c r="L272" s="8"/>
      <c r="M272" s="8"/>
      <c r="N272" s="8"/>
      <c r="O272" s="8"/>
      <c r="P272" s="8"/>
      <c r="Q272" s="8"/>
      <c r="R272" s="8"/>
    </row>
    <row r="273" spans="1:18" ht="12.75" customHeight="1">
      <c r="A273" s="8"/>
      <c r="B273" s="8"/>
      <c r="C273" s="30"/>
      <c r="D273" s="8"/>
      <c r="E273" s="8"/>
      <c r="F273" s="8"/>
      <c r="G273" s="8"/>
      <c r="H273" s="8"/>
      <c r="I273" s="8"/>
      <c r="J273" s="8"/>
      <c r="K273" s="8"/>
      <c r="L273" s="8"/>
      <c r="M273" s="8"/>
      <c r="N273" s="8"/>
      <c r="O273" s="8"/>
      <c r="P273" s="8"/>
      <c r="Q273" s="8"/>
      <c r="R273" s="8"/>
    </row>
    <row r="274" spans="1:18" ht="12.75" customHeight="1">
      <c r="A274" s="8"/>
      <c r="B274" s="8"/>
      <c r="C274" s="30"/>
      <c r="D274" s="8"/>
      <c r="E274" s="8"/>
      <c r="F274" s="8"/>
      <c r="G274" s="8"/>
      <c r="H274" s="8"/>
      <c r="I274" s="8"/>
      <c r="J274" s="8"/>
      <c r="K274" s="8"/>
      <c r="L274" s="8"/>
      <c r="M274" s="8"/>
      <c r="N274" s="8"/>
      <c r="O274" s="8"/>
      <c r="P274" s="8"/>
      <c r="Q274" s="8"/>
      <c r="R274" s="8"/>
    </row>
    <row r="275" spans="1:18" ht="12.75" customHeight="1">
      <c r="A275" s="8"/>
      <c r="B275" s="8"/>
      <c r="C275" s="30"/>
      <c r="D275" s="8"/>
      <c r="E275" s="8"/>
      <c r="F275" s="8"/>
      <c r="G275" s="8"/>
      <c r="H275" s="8"/>
      <c r="I275" s="8"/>
      <c r="J275" s="8"/>
      <c r="K275" s="8"/>
      <c r="L275" s="8"/>
      <c r="M275" s="8"/>
      <c r="N275" s="8"/>
      <c r="O275" s="8"/>
      <c r="P275" s="8"/>
      <c r="Q275" s="8"/>
      <c r="R275" s="8"/>
    </row>
    <row r="276" spans="1:18" ht="12.75" customHeight="1">
      <c r="A276" s="8"/>
      <c r="B276" s="8"/>
      <c r="C276" s="30"/>
      <c r="D276" s="8"/>
      <c r="E276" s="8"/>
      <c r="F276" s="8"/>
      <c r="G276" s="8"/>
      <c r="H276" s="8"/>
      <c r="I276" s="8"/>
      <c r="J276" s="8"/>
      <c r="K276" s="8"/>
      <c r="L276" s="8"/>
      <c r="M276" s="8"/>
      <c r="N276" s="8"/>
      <c r="O276" s="8"/>
      <c r="P276" s="8"/>
      <c r="Q276" s="8"/>
      <c r="R276" s="8"/>
    </row>
    <row r="277" spans="1:18" ht="12.75" customHeight="1">
      <c r="A277" s="8"/>
      <c r="B277" s="8"/>
      <c r="C277" s="30"/>
      <c r="D277" s="8"/>
      <c r="E277" s="8"/>
      <c r="F277" s="8"/>
      <c r="G277" s="8"/>
      <c r="H277" s="8"/>
      <c r="I277" s="8"/>
      <c r="J277" s="8"/>
      <c r="K277" s="8"/>
      <c r="L277" s="8"/>
      <c r="M277" s="8"/>
      <c r="N277" s="8"/>
      <c r="O277" s="8"/>
      <c r="P277" s="8"/>
      <c r="Q277" s="8"/>
      <c r="R277" s="8"/>
    </row>
    <row r="278" spans="1:18" ht="12.75" customHeight="1">
      <c r="A278" s="8"/>
      <c r="B278" s="8"/>
      <c r="C278" s="30"/>
      <c r="D278" s="8"/>
      <c r="E278" s="8"/>
      <c r="F278" s="8"/>
      <c r="G278" s="8"/>
      <c r="H278" s="8"/>
      <c r="I278" s="8"/>
      <c r="J278" s="8"/>
      <c r="K278" s="8"/>
      <c r="L278" s="8"/>
      <c r="M278" s="8"/>
      <c r="N278" s="8"/>
      <c r="O278" s="8"/>
      <c r="P278" s="8"/>
      <c r="Q278" s="8"/>
      <c r="R278" s="8"/>
    </row>
    <row r="279" spans="1:18" ht="12.75" customHeight="1">
      <c r="A279" s="8"/>
      <c r="B279" s="8"/>
      <c r="C279" s="30"/>
      <c r="D279" s="8"/>
      <c r="E279" s="8"/>
      <c r="F279" s="8"/>
      <c r="G279" s="8"/>
      <c r="H279" s="8"/>
      <c r="I279" s="8"/>
      <c r="J279" s="8"/>
      <c r="K279" s="8"/>
      <c r="L279" s="8"/>
      <c r="M279" s="8"/>
      <c r="N279" s="8"/>
      <c r="O279" s="8"/>
      <c r="P279" s="8"/>
      <c r="Q279" s="8"/>
      <c r="R279" s="8"/>
    </row>
    <row r="280" spans="1:18" ht="12.75" customHeight="1">
      <c r="A280" s="8"/>
      <c r="B280" s="8"/>
      <c r="C280" s="30"/>
      <c r="D280" s="8"/>
      <c r="E280" s="8"/>
      <c r="F280" s="8"/>
      <c r="G280" s="8"/>
      <c r="H280" s="8"/>
      <c r="I280" s="8"/>
      <c r="J280" s="8"/>
      <c r="K280" s="8"/>
      <c r="L280" s="8"/>
      <c r="M280" s="8"/>
      <c r="N280" s="8"/>
      <c r="O280" s="8"/>
      <c r="P280" s="8"/>
      <c r="Q280" s="8"/>
      <c r="R280" s="8"/>
    </row>
    <row r="281" spans="1:18" ht="12.75" customHeight="1">
      <c r="A281" s="8"/>
      <c r="B281" s="8"/>
      <c r="C281" s="30"/>
      <c r="D281" s="8"/>
      <c r="E281" s="8"/>
      <c r="F281" s="8"/>
      <c r="G281" s="8"/>
      <c r="H281" s="8"/>
      <c r="I281" s="8"/>
      <c r="J281" s="8"/>
      <c r="K281" s="8"/>
      <c r="L281" s="8"/>
      <c r="M281" s="8"/>
      <c r="N281" s="8"/>
      <c r="O281" s="8"/>
      <c r="P281" s="8"/>
      <c r="Q281" s="8"/>
      <c r="R281" s="8"/>
    </row>
    <row r="282" spans="1:18" ht="12.75" customHeight="1">
      <c r="A282" s="8"/>
      <c r="B282" s="8"/>
      <c r="C282" s="30"/>
      <c r="D282" s="8"/>
      <c r="E282" s="8"/>
      <c r="F282" s="8"/>
      <c r="G282" s="8"/>
      <c r="H282" s="8"/>
      <c r="I282" s="8"/>
      <c r="J282" s="8"/>
      <c r="K282" s="8"/>
      <c r="L282" s="8"/>
      <c r="M282" s="8"/>
      <c r="N282" s="8"/>
      <c r="O282" s="8"/>
      <c r="P282" s="8"/>
      <c r="Q282" s="8"/>
      <c r="R282" s="8"/>
    </row>
    <row r="283" spans="1:18" ht="12.75" customHeight="1">
      <c r="A283" s="8"/>
      <c r="B283" s="8"/>
      <c r="C283" s="30"/>
      <c r="D283" s="8"/>
      <c r="E283" s="8"/>
      <c r="F283" s="8"/>
      <c r="G283" s="8"/>
      <c r="H283" s="8"/>
      <c r="I283" s="8"/>
      <c r="J283" s="8"/>
      <c r="K283" s="8"/>
      <c r="L283" s="8"/>
      <c r="M283" s="8"/>
      <c r="N283" s="8"/>
      <c r="O283" s="8"/>
      <c r="P283" s="8"/>
      <c r="Q283" s="8"/>
      <c r="R283" s="8"/>
    </row>
    <row r="284" spans="1:18" ht="12.75" customHeight="1">
      <c r="A284" s="8"/>
      <c r="B284" s="8"/>
      <c r="C284" s="30"/>
      <c r="D284" s="8"/>
      <c r="E284" s="8"/>
      <c r="F284" s="8"/>
      <c r="G284" s="8"/>
      <c r="H284" s="8"/>
      <c r="I284" s="8"/>
      <c r="J284" s="8"/>
      <c r="K284" s="8"/>
      <c r="L284" s="8"/>
      <c r="M284" s="8"/>
      <c r="N284" s="8"/>
      <c r="O284" s="8"/>
      <c r="P284" s="8"/>
      <c r="Q284" s="8"/>
      <c r="R284" s="8"/>
    </row>
    <row r="285" spans="1:18" ht="12.75" customHeight="1">
      <c r="A285" s="8"/>
      <c r="B285" s="8"/>
      <c r="C285" s="30"/>
      <c r="D285" s="8"/>
      <c r="E285" s="8"/>
      <c r="F285" s="8"/>
      <c r="G285" s="8"/>
      <c r="H285" s="8"/>
      <c r="I285" s="8"/>
      <c r="J285" s="8"/>
      <c r="K285" s="8"/>
      <c r="L285" s="8"/>
      <c r="M285" s="8"/>
      <c r="N285" s="8"/>
      <c r="O285" s="8"/>
      <c r="P285" s="8"/>
      <c r="Q285" s="8"/>
      <c r="R285" s="8"/>
    </row>
    <row r="286" spans="1:18" ht="12.75" customHeight="1">
      <c r="A286" s="8"/>
      <c r="B286" s="8"/>
      <c r="C286" s="30"/>
      <c r="D286" s="8"/>
      <c r="E286" s="8"/>
      <c r="F286" s="8"/>
      <c r="G286" s="8"/>
      <c r="H286" s="8"/>
      <c r="I286" s="8"/>
      <c r="J286" s="8"/>
      <c r="K286" s="8"/>
      <c r="L286" s="8"/>
      <c r="M286" s="8"/>
      <c r="N286" s="8"/>
      <c r="O286" s="8"/>
      <c r="P286" s="8"/>
      <c r="Q286" s="8"/>
      <c r="R286" s="8"/>
    </row>
    <row r="287" spans="1:18" ht="12.75" customHeight="1">
      <c r="A287" s="8"/>
      <c r="B287" s="8"/>
      <c r="C287" s="30"/>
      <c r="D287" s="8"/>
      <c r="E287" s="8"/>
      <c r="F287" s="8"/>
      <c r="G287" s="8"/>
      <c r="H287" s="8"/>
      <c r="I287" s="8"/>
      <c r="J287" s="8"/>
      <c r="K287" s="8"/>
      <c r="L287" s="8"/>
      <c r="M287" s="8"/>
      <c r="N287" s="8"/>
      <c r="O287" s="8"/>
      <c r="P287" s="8"/>
      <c r="Q287" s="8"/>
      <c r="R287" s="8"/>
    </row>
    <row r="288" spans="1:18" ht="12.75" customHeight="1">
      <c r="A288" s="8"/>
      <c r="B288" s="8"/>
      <c r="C288" s="30"/>
      <c r="D288" s="8"/>
      <c r="E288" s="8"/>
      <c r="F288" s="8"/>
      <c r="G288" s="8"/>
      <c r="H288" s="8"/>
      <c r="I288" s="8"/>
      <c r="J288" s="8"/>
      <c r="K288" s="8"/>
      <c r="L288" s="8"/>
      <c r="M288" s="8"/>
      <c r="N288" s="8"/>
      <c r="O288" s="8"/>
      <c r="P288" s="8"/>
      <c r="Q288" s="8"/>
      <c r="R288" s="8"/>
    </row>
    <row r="289" spans="1:18" ht="12.75" customHeight="1">
      <c r="A289" s="8"/>
      <c r="B289" s="8"/>
      <c r="C289" s="30"/>
      <c r="D289" s="8"/>
      <c r="E289" s="8"/>
      <c r="F289" s="8"/>
      <c r="G289" s="8"/>
      <c r="H289" s="8"/>
      <c r="I289" s="8"/>
      <c r="J289" s="8"/>
      <c r="K289" s="8"/>
      <c r="L289" s="8"/>
      <c r="M289" s="8"/>
      <c r="N289" s="8"/>
      <c r="O289" s="8"/>
      <c r="P289" s="8"/>
      <c r="Q289" s="8"/>
      <c r="R289" s="8"/>
    </row>
    <row r="290" spans="1:18" ht="12.75" customHeight="1">
      <c r="A290" s="8"/>
      <c r="B290" s="8"/>
      <c r="C290" s="30"/>
      <c r="D290" s="8"/>
      <c r="E290" s="8"/>
      <c r="F290" s="8"/>
      <c r="G290" s="8"/>
      <c r="H290" s="8"/>
      <c r="I290" s="8"/>
      <c r="J290" s="8"/>
      <c r="K290" s="8"/>
      <c r="L290" s="8"/>
      <c r="M290" s="8"/>
      <c r="N290" s="8"/>
      <c r="O290" s="8"/>
      <c r="P290" s="8"/>
      <c r="Q290" s="8"/>
      <c r="R290" s="8"/>
    </row>
    <row r="291" spans="1:18" ht="12.75" customHeight="1">
      <c r="A291" s="8"/>
      <c r="B291" s="8"/>
      <c r="C291" s="30"/>
      <c r="D291" s="8"/>
      <c r="E291" s="8"/>
      <c r="F291" s="8"/>
      <c r="G291" s="8"/>
      <c r="H291" s="8"/>
      <c r="I291" s="8"/>
      <c r="J291" s="8"/>
      <c r="K291" s="8"/>
      <c r="L291" s="8"/>
      <c r="M291" s="8"/>
      <c r="N291" s="8"/>
      <c r="O291" s="8"/>
      <c r="P291" s="8"/>
      <c r="Q291" s="8"/>
      <c r="R291" s="8"/>
    </row>
    <row r="292" spans="1:18" ht="12.75" customHeight="1">
      <c r="A292" s="8"/>
      <c r="B292" s="8"/>
      <c r="C292" s="30"/>
      <c r="D292" s="8"/>
      <c r="E292" s="8"/>
      <c r="F292" s="8"/>
      <c r="G292" s="8"/>
      <c r="H292" s="8"/>
      <c r="I292" s="8"/>
      <c r="J292" s="8"/>
      <c r="K292" s="8"/>
      <c r="L292" s="8"/>
      <c r="M292" s="8"/>
      <c r="N292" s="8"/>
      <c r="O292" s="8"/>
      <c r="P292" s="8"/>
      <c r="Q292" s="8"/>
      <c r="R292" s="8"/>
    </row>
    <row r="293" spans="1:18" ht="12.75" customHeight="1">
      <c r="A293" s="8"/>
      <c r="B293" s="8"/>
      <c r="C293" s="30"/>
      <c r="D293" s="8"/>
      <c r="E293" s="8"/>
      <c r="F293" s="8"/>
      <c r="G293" s="8"/>
      <c r="H293" s="8"/>
      <c r="I293" s="8"/>
      <c r="J293" s="8"/>
      <c r="K293" s="8"/>
      <c r="L293" s="8"/>
      <c r="M293" s="8"/>
      <c r="N293" s="8"/>
      <c r="O293" s="8"/>
      <c r="P293" s="8"/>
      <c r="Q293" s="8"/>
      <c r="R293" s="8"/>
    </row>
    <row r="294" spans="1:18" ht="12.75" customHeight="1">
      <c r="A294" s="8"/>
      <c r="B294" s="8"/>
      <c r="C294" s="30"/>
      <c r="D294" s="8"/>
      <c r="E294" s="8"/>
      <c r="F294" s="8"/>
      <c r="G294" s="8"/>
      <c r="H294" s="8"/>
      <c r="I294" s="8"/>
      <c r="J294" s="8"/>
      <c r="K294" s="8"/>
      <c r="L294" s="8"/>
      <c r="M294" s="8"/>
      <c r="N294" s="8"/>
      <c r="O294" s="8"/>
      <c r="P294" s="8"/>
      <c r="Q294" s="8"/>
      <c r="R294" s="8"/>
    </row>
    <row r="295" spans="1:18" ht="12.75" customHeight="1">
      <c r="A295" s="8"/>
      <c r="B295" s="8"/>
      <c r="C295" s="30"/>
      <c r="D295" s="8"/>
      <c r="E295" s="8"/>
      <c r="F295" s="8"/>
      <c r="G295" s="8"/>
      <c r="H295" s="8"/>
      <c r="I295" s="8"/>
      <c r="J295" s="8"/>
      <c r="K295" s="8"/>
      <c r="L295" s="8"/>
      <c r="M295" s="8"/>
      <c r="N295" s="8"/>
      <c r="O295" s="8"/>
      <c r="P295" s="8"/>
      <c r="Q295" s="8"/>
      <c r="R295" s="8"/>
    </row>
    <row r="296" spans="1:18" ht="12.75" customHeight="1">
      <c r="A296" s="8"/>
      <c r="B296" s="8"/>
      <c r="C296" s="30"/>
      <c r="D296" s="8"/>
      <c r="E296" s="8"/>
      <c r="F296" s="8"/>
      <c r="G296" s="8"/>
      <c r="H296" s="8"/>
      <c r="I296" s="8"/>
      <c r="J296" s="8"/>
      <c r="K296" s="8"/>
      <c r="L296" s="8"/>
      <c r="M296" s="8"/>
      <c r="N296" s="8"/>
      <c r="O296" s="8"/>
      <c r="P296" s="8"/>
      <c r="Q296" s="8"/>
      <c r="R296" s="8"/>
    </row>
    <row r="297" spans="1:18" ht="12.75" customHeight="1">
      <c r="A297" s="8"/>
      <c r="B297" s="8"/>
      <c r="C297" s="30"/>
      <c r="D297" s="8"/>
      <c r="E297" s="8"/>
      <c r="F297" s="8"/>
      <c r="G297" s="8"/>
      <c r="H297" s="8"/>
      <c r="I297" s="8"/>
      <c r="J297" s="8"/>
      <c r="K297" s="8"/>
      <c r="L297" s="8"/>
      <c r="M297" s="8"/>
      <c r="N297" s="8"/>
      <c r="O297" s="8"/>
      <c r="P297" s="8"/>
      <c r="Q297" s="8"/>
      <c r="R297" s="8"/>
    </row>
    <row r="298" spans="1:18" ht="12.75" customHeight="1">
      <c r="A298" s="8"/>
      <c r="B298" s="8"/>
      <c r="C298" s="30"/>
      <c r="D298" s="8"/>
      <c r="E298" s="8"/>
      <c r="F298" s="8"/>
      <c r="G298" s="8"/>
      <c r="H298" s="8"/>
      <c r="I298" s="8"/>
      <c r="J298" s="8"/>
      <c r="K298" s="8"/>
      <c r="L298" s="8"/>
      <c r="M298" s="8"/>
      <c r="N298" s="8"/>
      <c r="O298" s="8"/>
      <c r="P298" s="8"/>
      <c r="Q298" s="8"/>
      <c r="R298" s="8"/>
    </row>
    <row r="299" spans="1:18" ht="12.75" customHeight="1">
      <c r="A299" s="8"/>
      <c r="B299" s="8"/>
      <c r="C299" s="30"/>
      <c r="D299" s="8"/>
      <c r="E299" s="8"/>
      <c r="F299" s="8"/>
      <c r="G299" s="8"/>
      <c r="H299" s="8"/>
      <c r="I299" s="8"/>
      <c r="J299" s="8"/>
      <c r="K299" s="8"/>
      <c r="L299" s="8"/>
      <c r="M299" s="8"/>
      <c r="N299" s="8"/>
      <c r="O299" s="8"/>
      <c r="P299" s="8"/>
      <c r="Q299" s="8"/>
      <c r="R299" s="8"/>
    </row>
    <row r="300" spans="1:18" ht="12.75" customHeight="1">
      <c r="A300" s="8"/>
      <c r="B300" s="8"/>
      <c r="C300" s="30"/>
      <c r="D300" s="8"/>
      <c r="E300" s="8"/>
      <c r="F300" s="8"/>
      <c r="G300" s="8"/>
      <c r="H300" s="8"/>
      <c r="I300" s="8"/>
      <c r="J300" s="8"/>
      <c r="K300" s="8"/>
      <c r="L300" s="8"/>
      <c r="M300" s="8"/>
      <c r="N300" s="8"/>
      <c r="O300" s="8"/>
      <c r="P300" s="8"/>
      <c r="Q300" s="8"/>
      <c r="R300" s="8"/>
    </row>
    <row r="301" spans="1:18" ht="12.75" customHeight="1">
      <c r="A301" s="8"/>
      <c r="B301" s="8"/>
      <c r="C301" s="30"/>
      <c r="D301" s="8"/>
      <c r="E301" s="8"/>
      <c r="F301" s="8"/>
      <c r="G301" s="8"/>
      <c r="H301" s="8"/>
      <c r="I301" s="8"/>
      <c r="J301" s="8"/>
      <c r="K301" s="8"/>
      <c r="L301" s="8"/>
      <c r="M301" s="8"/>
      <c r="N301" s="8"/>
      <c r="O301" s="8"/>
      <c r="P301" s="8"/>
      <c r="Q301" s="8"/>
      <c r="R301" s="8"/>
    </row>
    <row r="302" spans="1:18" ht="12.75" customHeight="1">
      <c r="A302" s="8"/>
      <c r="B302" s="8"/>
      <c r="C302" s="30"/>
      <c r="D302" s="8"/>
      <c r="E302" s="8"/>
      <c r="F302" s="8"/>
      <c r="G302" s="8"/>
      <c r="H302" s="8"/>
      <c r="I302" s="8"/>
      <c r="J302" s="8"/>
      <c r="K302" s="8"/>
      <c r="L302" s="8"/>
      <c r="M302" s="8"/>
      <c r="N302" s="8"/>
      <c r="O302" s="8"/>
      <c r="P302" s="8"/>
      <c r="Q302" s="8"/>
      <c r="R302" s="8"/>
    </row>
    <row r="303" spans="1:18" ht="12.75" customHeight="1">
      <c r="A303" s="8"/>
      <c r="B303" s="8"/>
      <c r="C303" s="30"/>
      <c r="D303" s="8"/>
      <c r="E303" s="8"/>
      <c r="F303" s="8"/>
      <c r="G303" s="8"/>
      <c r="H303" s="8"/>
      <c r="I303" s="8"/>
      <c r="J303" s="8"/>
      <c r="K303" s="8"/>
      <c r="L303" s="8"/>
      <c r="M303" s="8"/>
      <c r="N303" s="8"/>
      <c r="O303" s="8"/>
      <c r="P303" s="8"/>
      <c r="Q303" s="8"/>
      <c r="R303" s="8"/>
    </row>
    <row r="304" spans="1:18" ht="12.75" customHeight="1">
      <c r="A304" s="8"/>
      <c r="B304" s="8"/>
      <c r="C304" s="30"/>
      <c r="D304" s="8"/>
      <c r="E304" s="8"/>
      <c r="F304" s="8"/>
      <c r="G304" s="8"/>
      <c r="H304" s="8"/>
      <c r="I304" s="8"/>
      <c r="J304" s="8"/>
      <c r="K304" s="8"/>
      <c r="L304" s="8"/>
      <c r="M304" s="8"/>
      <c r="N304" s="8"/>
      <c r="O304" s="8"/>
      <c r="P304" s="8"/>
      <c r="Q304" s="8"/>
      <c r="R304" s="8"/>
    </row>
    <row r="305" spans="1:18" ht="12.75" customHeight="1">
      <c r="A305" s="8"/>
      <c r="B305" s="8"/>
      <c r="C305" s="30"/>
      <c r="D305" s="8"/>
      <c r="E305" s="8"/>
      <c r="F305" s="8"/>
      <c r="G305" s="8"/>
      <c r="H305" s="8"/>
      <c r="I305" s="8"/>
      <c r="J305" s="8"/>
      <c r="K305" s="8"/>
      <c r="L305" s="8"/>
      <c r="M305" s="8"/>
      <c r="N305" s="8"/>
      <c r="O305" s="8"/>
      <c r="P305" s="8"/>
      <c r="Q305" s="8"/>
      <c r="R305" s="8"/>
    </row>
    <row r="306" spans="1:18" ht="12.75" customHeight="1">
      <c r="A306" s="8"/>
      <c r="B306" s="8"/>
      <c r="C306" s="30"/>
      <c r="D306" s="8"/>
      <c r="E306" s="8"/>
      <c r="F306" s="8"/>
      <c r="G306" s="8"/>
      <c r="H306" s="8"/>
      <c r="I306" s="8"/>
      <c r="J306" s="8"/>
      <c r="K306" s="8"/>
      <c r="L306" s="8"/>
      <c r="M306" s="8"/>
      <c r="N306" s="8"/>
      <c r="O306" s="8"/>
      <c r="P306" s="8"/>
      <c r="Q306" s="8"/>
      <c r="R306" s="8"/>
    </row>
    <row r="307" spans="1:18" ht="12.75" customHeight="1">
      <c r="A307" s="8"/>
      <c r="B307" s="8"/>
      <c r="C307" s="30"/>
      <c r="D307" s="8"/>
      <c r="E307" s="8"/>
      <c r="F307" s="8"/>
      <c r="G307" s="8"/>
      <c r="H307" s="8"/>
      <c r="I307" s="8"/>
      <c r="J307" s="8"/>
      <c r="K307" s="8"/>
      <c r="L307" s="8"/>
      <c r="M307" s="8"/>
      <c r="N307" s="8"/>
      <c r="O307" s="8"/>
      <c r="P307" s="8"/>
      <c r="Q307" s="8"/>
      <c r="R307" s="8"/>
    </row>
    <row r="308" spans="1:18" ht="12.75" customHeight="1">
      <c r="A308" s="8"/>
      <c r="B308" s="8"/>
      <c r="C308" s="30"/>
      <c r="D308" s="8"/>
      <c r="E308" s="8"/>
      <c r="F308" s="8"/>
      <c r="G308" s="8"/>
      <c r="H308" s="8"/>
      <c r="I308" s="8"/>
      <c r="J308" s="8"/>
      <c r="K308" s="8"/>
      <c r="L308" s="8"/>
      <c r="M308" s="8"/>
      <c r="N308" s="8"/>
      <c r="O308" s="8"/>
      <c r="P308" s="8"/>
      <c r="Q308" s="8"/>
      <c r="R308" s="8"/>
    </row>
    <row r="309" spans="1:18" ht="12.75" customHeight="1">
      <c r="A309" s="8"/>
      <c r="B309" s="8"/>
      <c r="C309" s="30"/>
      <c r="D309" s="8"/>
      <c r="E309" s="8"/>
      <c r="F309" s="8"/>
      <c r="G309" s="8"/>
      <c r="H309" s="8"/>
      <c r="I309" s="8"/>
      <c r="J309" s="8"/>
      <c r="K309" s="8"/>
      <c r="L309" s="8"/>
      <c r="M309" s="8"/>
      <c r="N309" s="8"/>
      <c r="O309" s="8"/>
      <c r="P309" s="8"/>
      <c r="Q309" s="8"/>
      <c r="R309" s="8"/>
    </row>
    <row r="310" spans="1:18" ht="12.75" customHeight="1">
      <c r="A310" s="8"/>
      <c r="B310" s="8"/>
      <c r="C310" s="30"/>
      <c r="D310" s="8"/>
      <c r="E310" s="8"/>
      <c r="F310" s="8"/>
      <c r="G310" s="8"/>
      <c r="H310" s="8"/>
      <c r="I310" s="8"/>
      <c r="J310" s="8"/>
      <c r="K310" s="8"/>
      <c r="L310" s="8"/>
      <c r="M310" s="8"/>
      <c r="N310" s="8"/>
      <c r="O310" s="8"/>
      <c r="P310" s="8"/>
      <c r="Q310" s="8"/>
      <c r="R310" s="8"/>
    </row>
    <row r="311" spans="1:18" ht="12.75" customHeight="1">
      <c r="A311" s="8"/>
      <c r="B311" s="8"/>
      <c r="C311" s="30"/>
      <c r="D311" s="8"/>
      <c r="E311" s="8"/>
      <c r="F311" s="8"/>
      <c r="G311" s="8"/>
      <c r="H311" s="8"/>
      <c r="I311" s="8"/>
      <c r="J311" s="8"/>
      <c r="K311" s="8"/>
      <c r="L311" s="8"/>
      <c r="M311" s="8"/>
      <c r="N311" s="8"/>
      <c r="O311" s="8"/>
      <c r="P311" s="8"/>
      <c r="Q311" s="8"/>
      <c r="R311" s="8"/>
    </row>
    <row r="312" spans="1:18" ht="12.75" customHeight="1">
      <c r="A312" s="8"/>
      <c r="B312" s="8"/>
      <c r="C312" s="30"/>
      <c r="D312" s="8"/>
      <c r="E312" s="8"/>
      <c r="F312" s="8"/>
      <c r="G312" s="8"/>
      <c r="H312" s="8"/>
      <c r="I312" s="8"/>
      <c r="J312" s="8"/>
      <c r="K312" s="8"/>
      <c r="L312" s="8"/>
      <c r="M312" s="8"/>
      <c r="N312" s="8"/>
      <c r="O312" s="8"/>
      <c r="P312" s="8"/>
      <c r="Q312" s="8"/>
      <c r="R312" s="8"/>
    </row>
    <row r="313" spans="1:18" ht="12.75" customHeight="1">
      <c r="A313" s="8"/>
      <c r="B313" s="8"/>
      <c r="C313" s="30"/>
      <c r="D313" s="8"/>
      <c r="E313" s="8"/>
      <c r="F313" s="8"/>
      <c r="G313" s="8"/>
      <c r="H313" s="8"/>
      <c r="I313" s="8"/>
      <c r="J313" s="8"/>
      <c r="K313" s="8"/>
      <c r="L313" s="8"/>
      <c r="M313" s="8"/>
      <c r="N313" s="8"/>
      <c r="O313" s="8"/>
      <c r="P313" s="8"/>
      <c r="Q313" s="8"/>
      <c r="R313" s="8"/>
    </row>
    <row r="314" spans="1:18" ht="12.75" customHeight="1">
      <c r="A314" s="8"/>
      <c r="B314" s="8"/>
      <c r="C314" s="30"/>
      <c r="D314" s="8"/>
      <c r="E314" s="8"/>
      <c r="F314" s="8"/>
      <c r="G314" s="8"/>
      <c r="H314" s="8"/>
      <c r="I314" s="8"/>
      <c r="J314" s="8"/>
      <c r="K314" s="8"/>
      <c r="L314" s="8"/>
      <c r="M314" s="8"/>
      <c r="N314" s="8"/>
      <c r="O314" s="8"/>
      <c r="P314" s="8"/>
      <c r="Q314" s="8"/>
      <c r="R314" s="8"/>
    </row>
    <row r="315" spans="1:18" ht="12.75" customHeight="1">
      <c r="A315" s="8"/>
      <c r="B315" s="8"/>
      <c r="C315" s="30"/>
      <c r="D315" s="8"/>
      <c r="E315" s="8"/>
      <c r="F315" s="8"/>
      <c r="G315" s="8"/>
      <c r="H315" s="8"/>
      <c r="I315" s="8"/>
      <c r="J315" s="8"/>
      <c r="K315" s="8"/>
      <c r="L315" s="8"/>
      <c r="M315" s="8"/>
      <c r="N315" s="8"/>
      <c r="O315" s="8"/>
      <c r="P315" s="8"/>
      <c r="Q315" s="8"/>
      <c r="R315" s="8"/>
    </row>
    <row r="316" spans="1:18" ht="12.75" customHeight="1">
      <c r="A316" s="8"/>
      <c r="B316" s="8"/>
      <c r="C316" s="30"/>
      <c r="D316" s="8"/>
      <c r="E316" s="8"/>
      <c r="F316" s="8"/>
      <c r="G316" s="8"/>
      <c r="H316" s="8"/>
      <c r="I316" s="8"/>
      <c r="J316" s="8"/>
      <c r="K316" s="8"/>
      <c r="L316" s="8"/>
      <c r="M316" s="8"/>
      <c r="N316" s="8"/>
      <c r="O316" s="8"/>
      <c r="P316" s="8"/>
      <c r="Q316" s="8"/>
      <c r="R316" s="8"/>
    </row>
    <row r="317" spans="1:18" ht="12.75" customHeight="1">
      <c r="A317" s="8"/>
      <c r="B317" s="8"/>
      <c r="C317" s="30"/>
      <c r="D317" s="8"/>
      <c r="E317" s="8"/>
      <c r="F317" s="8"/>
      <c r="G317" s="8"/>
      <c r="H317" s="8"/>
      <c r="I317" s="8"/>
      <c r="J317" s="8"/>
      <c r="K317" s="8"/>
      <c r="L317" s="8"/>
      <c r="M317" s="8"/>
      <c r="N317" s="8"/>
      <c r="O317" s="8"/>
      <c r="P317" s="8"/>
      <c r="Q317" s="8"/>
      <c r="R317" s="8"/>
    </row>
    <row r="318" spans="1:18" ht="12.75" customHeight="1">
      <c r="A318" s="8"/>
      <c r="B318" s="8"/>
      <c r="C318" s="30"/>
      <c r="D318" s="8"/>
      <c r="E318" s="8"/>
      <c r="F318" s="8"/>
      <c r="G318" s="8"/>
      <c r="H318" s="8"/>
      <c r="I318" s="8"/>
      <c r="J318" s="8"/>
      <c r="K318" s="8"/>
      <c r="L318" s="8"/>
      <c r="M318" s="8"/>
      <c r="N318" s="8"/>
      <c r="O318" s="8"/>
      <c r="P318" s="8"/>
      <c r="Q318" s="8"/>
      <c r="R318" s="8"/>
    </row>
    <row r="319" spans="1:18" ht="12.75" customHeight="1">
      <c r="A319" s="8"/>
      <c r="B319" s="8"/>
      <c r="C319" s="30"/>
      <c r="D319" s="8"/>
      <c r="E319" s="8"/>
      <c r="F319" s="8"/>
      <c r="G319" s="8"/>
      <c r="H319" s="8"/>
      <c r="I319" s="8"/>
      <c r="J319" s="8"/>
      <c r="K319" s="8"/>
      <c r="L319" s="8"/>
      <c r="M319" s="8"/>
      <c r="N319" s="8"/>
      <c r="O319" s="8"/>
      <c r="P319" s="8"/>
      <c r="Q319" s="8"/>
      <c r="R319" s="8"/>
    </row>
    <row r="320" spans="1:18" ht="12.75" customHeight="1">
      <c r="A320" s="8"/>
      <c r="B320" s="8"/>
      <c r="C320" s="30"/>
      <c r="D320" s="8"/>
      <c r="E320" s="8"/>
      <c r="F320" s="8"/>
      <c r="G320" s="8"/>
      <c r="H320" s="8"/>
      <c r="I320" s="8"/>
      <c r="J320" s="8"/>
      <c r="K320" s="8"/>
      <c r="L320" s="8"/>
      <c r="M320" s="8"/>
      <c r="N320" s="8"/>
      <c r="O320" s="8"/>
      <c r="P320" s="8"/>
      <c r="Q320" s="8"/>
      <c r="R320" s="8"/>
    </row>
    <row r="321" spans="1:18" ht="12.75" customHeight="1">
      <c r="A321" s="8"/>
      <c r="B321" s="8"/>
      <c r="C321" s="30"/>
      <c r="D321" s="8"/>
      <c r="E321" s="8"/>
      <c r="F321" s="8"/>
      <c r="G321" s="8"/>
      <c r="H321" s="8"/>
      <c r="I321" s="8"/>
      <c r="J321" s="8"/>
      <c r="K321" s="8"/>
      <c r="L321" s="8"/>
      <c r="M321" s="8"/>
      <c r="N321" s="8"/>
      <c r="O321" s="8"/>
      <c r="P321" s="8"/>
      <c r="Q321" s="8"/>
      <c r="R321" s="8"/>
    </row>
    <row r="322" spans="1:18" ht="12.75" customHeight="1">
      <c r="A322" s="8"/>
      <c r="B322" s="8"/>
      <c r="C322" s="30"/>
      <c r="D322" s="8"/>
      <c r="E322" s="8"/>
      <c r="F322" s="8"/>
      <c r="G322" s="8"/>
      <c r="H322" s="8"/>
      <c r="I322" s="8"/>
      <c r="J322" s="8"/>
      <c r="K322" s="8"/>
      <c r="L322" s="8"/>
      <c r="M322" s="8"/>
      <c r="N322" s="8"/>
      <c r="O322" s="8"/>
      <c r="P322" s="8"/>
      <c r="Q322" s="8"/>
      <c r="R322" s="8"/>
    </row>
    <row r="323" spans="1:18" ht="12.75" customHeight="1">
      <c r="A323" s="8"/>
      <c r="B323" s="8"/>
      <c r="C323" s="30"/>
      <c r="D323" s="8"/>
      <c r="E323" s="8"/>
      <c r="F323" s="8"/>
      <c r="G323" s="8"/>
      <c r="H323" s="8"/>
      <c r="I323" s="8"/>
      <c r="J323" s="8"/>
      <c r="K323" s="8"/>
      <c r="L323" s="8"/>
      <c r="M323" s="8"/>
      <c r="N323" s="8"/>
      <c r="O323" s="8"/>
      <c r="P323" s="8"/>
      <c r="Q323" s="8"/>
      <c r="R323" s="8"/>
    </row>
    <row r="324" spans="1:18" ht="12.75" customHeight="1">
      <c r="A324" s="8"/>
      <c r="B324" s="8"/>
      <c r="C324" s="30"/>
      <c r="D324" s="8"/>
      <c r="E324" s="8"/>
      <c r="F324" s="8"/>
      <c r="G324" s="8"/>
      <c r="H324" s="8"/>
      <c r="I324" s="8"/>
      <c r="J324" s="8"/>
      <c r="K324" s="8"/>
      <c r="L324" s="8"/>
      <c r="M324" s="8"/>
      <c r="N324" s="8"/>
      <c r="O324" s="8"/>
      <c r="P324" s="8"/>
      <c r="Q324" s="8"/>
      <c r="R324" s="8"/>
    </row>
    <row r="325" spans="1:18" ht="12.75" customHeight="1">
      <c r="A325" s="8"/>
      <c r="B325" s="8"/>
      <c r="C325" s="30"/>
      <c r="D325" s="8"/>
      <c r="E325" s="8"/>
      <c r="F325" s="8"/>
      <c r="G325" s="8"/>
      <c r="H325" s="8"/>
      <c r="I325" s="8"/>
      <c r="J325" s="8"/>
      <c r="K325" s="8"/>
      <c r="L325" s="8"/>
      <c r="M325" s="8"/>
      <c r="N325" s="8"/>
      <c r="O325" s="8"/>
      <c r="P325" s="8"/>
      <c r="Q325" s="8"/>
      <c r="R325" s="8"/>
    </row>
    <row r="326" spans="1:18" ht="12.75" customHeight="1">
      <c r="A326" s="8"/>
      <c r="B326" s="8"/>
      <c r="C326" s="30"/>
      <c r="D326" s="8"/>
      <c r="E326" s="8"/>
      <c r="F326" s="8"/>
      <c r="G326" s="8"/>
      <c r="H326" s="8"/>
      <c r="I326" s="8"/>
      <c r="J326" s="8"/>
      <c r="K326" s="8"/>
      <c r="L326" s="8"/>
      <c r="M326" s="8"/>
      <c r="N326" s="8"/>
      <c r="O326" s="8"/>
      <c r="P326" s="8"/>
      <c r="Q326" s="8"/>
      <c r="R326" s="8"/>
    </row>
    <row r="327" spans="1:18" ht="12.75" customHeight="1">
      <c r="A327" s="8"/>
      <c r="B327" s="8"/>
      <c r="C327" s="30"/>
      <c r="D327" s="8"/>
      <c r="E327" s="8"/>
      <c r="F327" s="8"/>
      <c r="G327" s="8"/>
      <c r="H327" s="8"/>
      <c r="I327" s="8"/>
      <c r="J327" s="8"/>
      <c r="K327" s="8"/>
      <c r="L327" s="8"/>
      <c r="M327" s="8"/>
      <c r="N327" s="8"/>
      <c r="O327" s="8"/>
      <c r="P327" s="8"/>
      <c r="Q327" s="8"/>
      <c r="R327" s="8"/>
    </row>
    <row r="328" spans="1:18" ht="12.75" customHeight="1">
      <c r="A328" s="8"/>
      <c r="B328" s="8"/>
      <c r="C328" s="30"/>
      <c r="D328" s="8"/>
      <c r="E328" s="8"/>
      <c r="F328" s="8"/>
      <c r="G328" s="8"/>
      <c r="H328" s="8"/>
      <c r="I328" s="8"/>
      <c r="J328" s="8"/>
      <c r="K328" s="8"/>
      <c r="L328" s="8"/>
      <c r="M328" s="8"/>
      <c r="N328" s="8"/>
      <c r="O328" s="8"/>
      <c r="P328" s="8"/>
      <c r="Q328" s="8"/>
      <c r="R328" s="8"/>
    </row>
    <row r="329" spans="1:18" ht="12.75" customHeight="1">
      <c r="A329" s="8"/>
      <c r="B329" s="8"/>
      <c r="C329" s="30"/>
      <c r="D329" s="8"/>
      <c r="E329" s="8"/>
      <c r="F329" s="8"/>
      <c r="G329" s="8"/>
      <c r="H329" s="8"/>
      <c r="I329" s="8"/>
      <c r="J329" s="8"/>
      <c r="K329" s="8"/>
      <c r="L329" s="8"/>
      <c r="M329" s="8"/>
      <c r="N329" s="8"/>
      <c r="O329" s="8"/>
      <c r="P329" s="8"/>
      <c r="Q329" s="8"/>
      <c r="R329" s="8"/>
    </row>
    <row r="330" spans="1:18" ht="12.75" customHeight="1">
      <c r="A330" s="8"/>
      <c r="B330" s="8"/>
      <c r="C330" s="30"/>
      <c r="D330" s="8"/>
      <c r="E330" s="8"/>
      <c r="F330" s="8"/>
      <c r="G330" s="8"/>
      <c r="H330" s="8"/>
      <c r="I330" s="8"/>
      <c r="J330" s="8"/>
      <c r="K330" s="8"/>
      <c r="L330" s="8"/>
      <c r="M330" s="8"/>
      <c r="N330" s="8"/>
      <c r="O330" s="8"/>
      <c r="P330" s="8"/>
      <c r="Q330" s="8"/>
      <c r="R330" s="8"/>
    </row>
    <row r="331" spans="1:18" ht="12.75" customHeight="1">
      <c r="A331" s="8"/>
      <c r="B331" s="8"/>
      <c r="C331" s="30"/>
      <c r="D331" s="8"/>
      <c r="E331" s="8"/>
      <c r="F331" s="8"/>
      <c r="G331" s="8"/>
      <c r="H331" s="8"/>
      <c r="I331" s="8"/>
      <c r="J331" s="8"/>
      <c r="K331" s="8"/>
      <c r="L331" s="8"/>
      <c r="M331" s="8"/>
      <c r="N331" s="8"/>
      <c r="O331" s="8"/>
      <c r="P331" s="8"/>
      <c r="Q331" s="8"/>
      <c r="R331" s="8"/>
    </row>
    <row r="332" spans="1:18" ht="12.75" customHeight="1">
      <c r="A332" s="8"/>
      <c r="B332" s="8"/>
      <c r="C332" s="30"/>
      <c r="D332" s="8"/>
      <c r="E332" s="8"/>
      <c r="F332" s="8"/>
      <c r="G332" s="8"/>
      <c r="H332" s="8"/>
      <c r="I332" s="8"/>
      <c r="J332" s="8"/>
      <c r="K332" s="8"/>
      <c r="L332" s="8"/>
      <c r="M332" s="8"/>
      <c r="N332" s="8"/>
      <c r="O332" s="8"/>
      <c r="P332" s="8"/>
      <c r="Q332" s="8"/>
      <c r="R332" s="8"/>
    </row>
    <row r="333" spans="1:18" ht="12.75" customHeight="1">
      <c r="A333" s="8"/>
      <c r="B333" s="8"/>
      <c r="C333" s="30"/>
      <c r="D333" s="8"/>
      <c r="E333" s="8"/>
      <c r="F333" s="8"/>
      <c r="G333" s="8"/>
      <c r="H333" s="8"/>
      <c r="I333" s="8"/>
      <c r="J333" s="8"/>
      <c r="K333" s="8"/>
      <c r="L333" s="8"/>
      <c r="M333" s="8"/>
      <c r="N333" s="8"/>
      <c r="O333" s="8"/>
      <c r="P333" s="8"/>
      <c r="Q333" s="8"/>
      <c r="R333" s="8"/>
    </row>
    <row r="334" spans="1:18" ht="12.75" customHeight="1">
      <c r="A334" s="8"/>
      <c r="B334" s="8"/>
      <c r="C334" s="30"/>
      <c r="D334" s="8"/>
      <c r="E334" s="8"/>
      <c r="F334" s="8"/>
      <c r="G334" s="8"/>
      <c r="H334" s="8"/>
      <c r="I334" s="8"/>
      <c r="J334" s="8"/>
      <c r="K334" s="8"/>
      <c r="L334" s="8"/>
      <c r="M334" s="8"/>
      <c r="N334" s="8"/>
      <c r="O334" s="8"/>
      <c r="P334" s="8"/>
      <c r="Q334" s="8"/>
      <c r="R334" s="8"/>
    </row>
    <row r="335" spans="1:18" ht="12.75" customHeight="1">
      <c r="A335" s="8"/>
      <c r="B335" s="8"/>
      <c r="C335" s="30"/>
      <c r="D335" s="8"/>
      <c r="E335" s="8"/>
      <c r="F335" s="8"/>
      <c r="G335" s="8"/>
      <c r="H335" s="8"/>
      <c r="I335" s="8"/>
      <c r="J335" s="8"/>
      <c r="K335" s="8"/>
      <c r="L335" s="8"/>
      <c r="M335" s="8"/>
      <c r="N335" s="8"/>
      <c r="O335" s="8"/>
      <c r="P335" s="8"/>
      <c r="Q335" s="8"/>
      <c r="R335" s="8"/>
    </row>
    <row r="336" spans="1:18" ht="12.75" customHeight="1">
      <c r="A336" s="8"/>
      <c r="B336" s="8"/>
      <c r="C336" s="30"/>
      <c r="D336" s="8"/>
      <c r="E336" s="8"/>
      <c r="F336" s="8"/>
      <c r="G336" s="8"/>
      <c r="H336" s="8"/>
      <c r="I336" s="8"/>
      <c r="J336" s="8"/>
      <c r="K336" s="8"/>
      <c r="L336" s="8"/>
      <c r="M336" s="8"/>
      <c r="N336" s="8"/>
      <c r="O336" s="8"/>
      <c r="P336" s="8"/>
      <c r="Q336" s="8"/>
      <c r="R336" s="8"/>
    </row>
    <row r="337" spans="1:18" ht="12.75" customHeight="1">
      <c r="A337" s="8"/>
      <c r="B337" s="8"/>
      <c r="C337" s="30"/>
      <c r="D337" s="8"/>
      <c r="E337" s="8"/>
      <c r="F337" s="8"/>
      <c r="G337" s="8"/>
      <c r="H337" s="8"/>
      <c r="I337" s="8"/>
      <c r="J337" s="8"/>
      <c r="K337" s="8"/>
      <c r="L337" s="8"/>
      <c r="M337" s="8"/>
      <c r="N337" s="8"/>
      <c r="O337" s="8"/>
      <c r="P337" s="8"/>
      <c r="Q337" s="8"/>
      <c r="R337" s="8"/>
    </row>
    <row r="338" spans="1:18" ht="12.75" customHeight="1">
      <c r="A338" s="8"/>
      <c r="B338" s="8"/>
      <c r="C338" s="30"/>
      <c r="D338" s="8"/>
      <c r="E338" s="8"/>
      <c r="F338" s="8"/>
      <c r="G338" s="8"/>
      <c r="H338" s="8"/>
      <c r="I338" s="8"/>
      <c r="J338" s="8"/>
      <c r="K338" s="8"/>
      <c r="L338" s="8"/>
      <c r="M338" s="8"/>
      <c r="N338" s="8"/>
      <c r="O338" s="8"/>
      <c r="P338" s="8"/>
      <c r="Q338" s="8"/>
      <c r="R338" s="8"/>
    </row>
    <row r="339" spans="1:18" ht="12.75" customHeight="1">
      <c r="A339" s="8"/>
      <c r="B339" s="8"/>
      <c r="C339" s="30"/>
      <c r="D339" s="8"/>
      <c r="E339" s="8"/>
      <c r="F339" s="8"/>
      <c r="G339" s="8"/>
      <c r="H339" s="8"/>
      <c r="I339" s="8"/>
      <c r="J339" s="8"/>
      <c r="K339" s="8"/>
      <c r="L339" s="8"/>
      <c r="M339" s="8"/>
      <c r="N339" s="8"/>
      <c r="O339" s="8"/>
      <c r="P339" s="8"/>
      <c r="Q339" s="8"/>
      <c r="R339" s="8"/>
    </row>
    <row r="340" spans="1:18" ht="12.75" customHeight="1">
      <c r="A340" s="8"/>
      <c r="B340" s="8"/>
      <c r="C340" s="30"/>
      <c r="D340" s="8"/>
      <c r="E340" s="8"/>
      <c r="F340" s="8"/>
      <c r="G340" s="8"/>
      <c r="H340" s="8"/>
      <c r="I340" s="8"/>
      <c r="J340" s="8"/>
      <c r="K340" s="8"/>
      <c r="L340" s="8"/>
      <c r="M340" s="8"/>
      <c r="N340" s="8"/>
      <c r="O340" s="8"/>
      <c r="P340" s="8"/>
      <c r="Q340" s="8"/>
      <c r="R340" s="8"/>
    </row>
    <row r="341" spans="1:18" ht="12.75" customHeight="1">
      <c r="A341" s="8"/>
      <c r="B341" s="8"/>
      <c r="C341" s="30"/>
      <c r="D341" s="8"/>
      <c r="E341" s="8"/>
      <c r="F341" s="8"/>
      <c r="G341" s="8"/>
      <c r="H341" s="8"/>
      <c r="I341" s="8"/>
      <c r="J341" s="8"/>
      <c r="K341" s="8"/>
      <c r="L341" s="8"/>
      <c r="M341" s="8"/>
      <c r="N341" s="8"/>
      <c r="O341" s="8"/>
      <c r="P341" s="8"/>
      <c r="Q341" s="8"/>
      <c r="R341" s="8"/>
    </row>
    <row r="342" spans="1:18" ht="12.75" customHeight="1">
      <c r="A342" s="8"/>
      <c r="B342" s="8"/>
      <c r="C342" s="30"/>
      <c r="D342" s="8"/>
      <c r="E342" s="8"/>
      <c r="F342" s="8"/>
      <c r="G342" s="8"/>
      <c r="H342" s="8"/>
      <c r="I342" s="8"/>
      <c r="J342" s="8"/>
      <c r="K342" s="8"/>
      <c r="L342" s="8"/>
      <c r="M342" s="8"/>
      <c r="N342" s="8"/>
      <c r="O342" s="8"/>
      <c r="P342" s="8"/>
      <c r="Q342" s="8"/>
      <c r="R342" s="8"/>
    </row>
    <row r="343" spans="1:18" ht="12.75" customHeight="1">
      <c r="A343" s="8"/>
      <c r="B343" s="8"/>
      <c r="C343" s="30"/>
      <c r="D343" s="8"/>
      <c r="E343" s="8"/>
      <c r="F343" s="8"/>
      <c r="G343" s="8"/>
      <c r="H343" s="8"/>
      <c r="I343" s="8"/>
      <c r="J343" s="8"/>
      <c r="K343" s="8"/>
      <c r="L343" s="8"/>
      <c r="M343" s="8"/>
      <c r="N343" s="8"/>
      <c r="O343" s="8"/>
      <c r="P343" s="8"/>
      <c r="Q343" s="8"/>
      <c r="R343" s="8"/>
    </row>
    <row r="344" spans="1:18" ht="12.75" customHeight="1">
      <c r="A344" s="8"/>
      <c r="B344" s="8"/>
      <c r="C344" s="30"/>
      <c r="D344" s="8"/>
      <c r="E344" s="8"/>
      <c r="F344" s="8"/>
      <c r="G344" s="8"/>
      <c r="H344" s="8"/>
      <c r="I344" s="8"/>
      <c r="J344" s="8"/>
      <c r="K344" s="8"/>
      <c r="L344" s="8"/>
      <c r="M344" s="8"/>
      <c r="N344" s="8"/>
      <c r="O344" s="8"/>
      <c r="P344" s="8"/>
      <c r="Q344" s="8"/>
      <c r="R344" s="8"/>
    </row>
    <row r="345" spans="1:18" ht="12.75" customHeight="1">
      <c r="A345" s="8"/>
      <c r="B345" s="8"/>
      <c r="C345" s="30"/>
      <c r="D345" s="8"/>
      <c r="E345" s="8"/>
      <c r="F345" s="8"/>
      <c r="G345" s="8"/>
      <c r="H345" s="8"/>
      <c r="I345" s="8"/>
      <c r="J345" s="8"/>
      <c r="K345" s="8"/>
      <c r="L345" s="8"/>
      <c r="M345" s="8"/>
      <c r="N345" s="8"/>
      <c r="O345" s="8"/>
      <c r="P345" s="8"/>
      <c r="Q345" s="8"/>
      <c r="R345" s="8"/>
    </row>
    <row r="346" spans="1:18" ht="12.75" customHeight="1">
      <c r="A346" s="8"/>
      <c r="B346" s="8"/>
      <c r="C346" s="30"/>
      <c r="D346" s="8"/>
      <c r="E346" s="8"/>
      <c r="F346" s="8"/>
      <c r="G346" s="8"/>
      <c r="H346" s="8"/>
      <c r="I346" s="8"/>
      <c r="J346" s="8"/>
      <c r="K346" s="8"/>
      <c r="L346" s="8"/>
      <c r="M346" s="8"/>
      <c r="N346" s="8"/>
      <c r="O346" s="8"/>
      <c r="P346" s="8"/>
      <c r="Q346" s="8"/>
      <c r="R346" s="8"/>
    </row>
    <row r="347" spans="1:18" ht="12.75" customHeight="1">
      <c r="A347" s="8"/>
      <c r="B347" s="8"/>
      <c r="C347" s="30"/>
      <c r="D347" s="8"/>
      <c r="E347" s="8"/>
      <c r="F347" s="8"/>
      <c r="G347" s="8"/>
      <c r="H347" s="8"/>
      <c r="I347" s="8"/>
      <c r="J347" s="8"/>
      <c r="K347" s="8"/>
      <c r="L347" s="8"/>
      <c r="M347" s="8"/>
      <c r="N347" s="8"/>
      <c r="O347" s="8"/>
      <c r="P347" s="8"/>
      <c r="Q347" s="8"/>
      <c r="R347" s="8"/>
    </row>
    <row r="348" spans="1:18" ht="12.75" customHeight="1">
      <c r="A348" s="8"/>
      <c r="B348" s="8"/>
      <c r="C348" s="30"/>
      <c r="D348" s="8"/>
      <c r="E348" s="8"/>
      <c r="F348" s="8"/>
      <c r="G348" s="8"/>
      <c r="H348" s="8"/>
      <c r="I348" s="8"/>
      <c r="J348" s="8"/>
      <c r="K348" s="8"/>
      <c r="L348" s="8"/>
      <c r="M348" s="8"/>
      <c r="N348" s="8"/>
      <c r="O348" s="8"/>
      <c r="P348" s="8"/>
      <c r="Q348" s="8"/>
      <c r="R348" s="8"/>
    </row>
    <row r="349" spans="1:18" ht="12.75" customHeight="1">
      <c r="A349" s="8"/>
      <c r="B349" s="8"/>
      <c r="C349" s="30"/>
      <c r="D349" s="8"/>
      <c r="E349" s="8"/>
      <c r="F349" s="8"/>
      <c r="G349" s="8"/>
      <c r="H349" s="8"/>
      <c r="I349" s="8"/>
      <c r="J349" s="8"/>
      <c r="K349" s="8"/>
      <c r="L349" s="8"/>
      <c r="M349" s="8"/>
      <c r="N349" s="8"/>
      <c r="O349" s="8"/>
      <c r="P349" s="8"/>
      <c r="Q349" s="8"/>
      <c r="R349" s="8"/>
    </row>
    <row r="350" spans="1:18" ht="12.75" customHeight="1">
      <c r="A350" s="8"/>
      <c r="B350" s="8"/>
      <c r="C350" s="30"/>
      <c r="D350" s="8"/>
      <c r="E350" s="8"/>
      <c r="F350" s="8"/>
      <c r="G350" s="8"/>
      <c r="H350" s="8"/>
      <c r="I350" s="8"/>
      <c r="J350" s="8"/>
      <c r="K350" s="8"/>
      <c r="L350" s="8"/>
      <c r="M350" s="8"/>
      <c r="N350" s="8"/>
      <c r="O350" s="8"/>
      <c r="P350" s="8"/>
      <c r="Q350" s="8"/>
      <c r="R350" s="8"/>
    </row>
    <row r="351" spans="1:18" ht="12.75" customHeight="1">
      <c r="A351" s="8"/>
      <c r="B351" s="8"/>
      <c r="C351" s="30"/>
      <c r="D351" s="8"/>
      <c r="E351" s="8"/>
      <c r="F351" s="8"/>
      <c r="G351" s="8"/>
      <c r="H351" s="8"/>
      <c r="I351" s="8"/>
      <c r="J351" s="8"/>
      <c r="K351" s="8"/>
      <c r="L351" s="8"/>
      <c r="M351" s="8"/>
      <c r="N351" s="8"/>
      <c r="O351" s="8"/>
      <c r="P351" s="8"/>
      <c r="Q351" s="8"/>
      <c r="R351" s="8"/>
    </row>
    <row r="352" spans="1:18" ht="12.75" customHeight="1">
      <c r="A352" s="8"/>
      <c r="B352" s="8"/>
      <c r="C352" s="30"/>
      <c r="D352" s="8"/>
      <c r="E352" s="8"/>
      <c r="F352" s="8"/>
      <c r="G352" s="8"/>
      <c r="H352" s="8"/>
      <c r="I352" s="8"/>
      <c r="J352" s="8"/>
      <c r="K352" s="8"/>
      <c r="L352" s="8"/>
      <c r="M352" s="8"/>
      <c r="N352" s="8"/>
      <c r="O352" s="8"/>
      <c r="P352" s="8"/>
      <c r="Q352" s="8"/>
      <c r="R352" s="8"/>
    </row>
    <row r="353" spans="1:18" ht="12.75" customHeight="1">
      <c r="A353" s="8"/>
      <c r="B353" s="8"/>
      <c r="C353" s="30"/>
      <c r="D353" s="8"/>
      <c r="E353" s="8"/>
      <c r="F353" s="8"/>
      <c r="G353" s="8"/>
      <c r="H353" s="8"/>
      <c r="I353" s="8"/>
      <c r="J353" s="8"/>
      <c r="K353" s="8"/>
      <c r="L353" s="8"/>
      <c r="M353" s="8"/>
      <c r="N353" s="8"/>
      <c r="O353" s="8"/>
      <c r="P353" s="8"/>
      <c r="Q353" s="8"/>
      <c r="R353" s="8"/>
    </row>
    <row r="354" spans="1:18" ht="12.75" customHeight="1">
      <c r="A354" s="8"/>
      <c r="B354" s="8"/>
      <c r="C354" s="30"/>
      <c r="D354" s="8"/>
      <c r="E354" s="8"/>
      <c r="F354" s="8"/>
      <c r="G354" s="8"/>
      <c r="H354" s="8"/>
      <c r="I354" s="8"/>
      <c r="J354" s="8"/>
      <c r="K354" s="8"/>
      <c r="L354" s="8"/>
      <c r="M354" s="8"/>
      <c r="N354" s="8"/>
      <c r="O354" s="8"/>
      <c r="P354" s="8"/>
      <c r="Q354" s="8"/>
      <c r="R354" s="8"/>
    </row>
    <row r="355" spans="1:18" ht="12.75" customHeight="1">
      <c r="A355" s="8"/>
      <c r="B355" s="8"/>
      <c r="C355" s="30"/>
      <c r="D355" s="8"/>
      <c r="E355" s="8"/>
      <c r="F355" s="8"/>
      <c r="G355" s="8"/>
      <c r="H355" s="8"/>
      <c r="I355" s="8"/>
      <c r="J355" s="8"/>
      <c r="K355" s="8"/>
      <c r="L355" s="8"/>
      <c r="M355" s="8"/>
      <c r="N355" s="8"/>
      <c r="O355" s="8"/>
      <c r="P355" s="8"/>
      <c r="Q355" s="8"/>
      <c r="R355" s="8"/>
    </row>
    <row r="356" spans="1:18" ht="12.75" customHeight="1">
      <c r="A356" s="8"/>
      <c r="B356" s="8"/>
      <c r="C356" s="30"/>
      <c r="D356" s="8"/>
      <c r="E356" s="8"/>
      <c r="F356" s="8"/>
      <c r="G356" s="8"/>
      <c r="H356" s="8"/>
      <c r="I356" s="8"/>
      <c r="J356" s="8"/>
      <c r="K356" s="8"/>
      <c r="L356" s="8"/>
      <c r="M356" s="8"/>
      <c r="N356" s="8"/>
      <c r="O356" s="8"/>
      <c r="P356" s="8"/>
      <c r="Q356" s="8"/>
      <c r="R356" s="8"/>
    </row>
    <row r="357" spans="1:18" ht="12.75" customHeight="1">
      <c r="A357" s="8"/>
      <c r="B357" s="8"/>
      <c r="C357" s="30"/>
      <c r="D357" s="8"/>
      <c r="E357" s="8"/>
      <c r="F357" s="8"/>
      <c r="G357" s="8"/>
      <c r="H357" s="8"/>
      <c r="I357" s="8"/>
      <c r="J357" s="8"/>
      <c r="K357" s="8"/>
      <c r="L357" s="8"/>
      <c r="M357" s="8"/>
      <c r="N357" s="8"/>
      <c r="O357" s="8"/>
      <c r="P357" s="8"/>
      <c r="Q357" s="8"/>
      <c r="R357" s="8"/>
    </row>
    <row r="358" spans="1:18" ht="12.75" customHeight="1">
      <c r="A358" s="8"/>
      <c r="B358" s="8"/>
      <c r="C358" s="30"/>
      <c r="D358" s="8"/>
      <c r="E358" s="8"/>
      <c r="F358" s="8"/>
      <c r="G358" s="8"/>
      <c r="H358" s="8"/>
      <c r="I358" s="8"/>
      <c r="J358" s="8"/>
      <c r="K358" s="8"/>
      <c r="L358" s="8"/>
      <c r="M358" s="8"/>
      <c r="N358" s="8"/>
      <c r="O358" s="8"/>
      <c r="P358" s="8"/>
      <c r="Q358" s="8"/>
      <c r="R358" s="8"/>
    </row>
    <row r="359" spans="1:18" ht="12.75" customHeight="1">
      <c r="A359" s="8"/>
      <c r="B359" s="8"/>
      <c r="C359" s="30"/>
      <c r="D359" s="8"/>
      <c r="E359" s="8"/>
      <c r="F359" s="8"/>
      <c r="G359" s="8"/>
      <c r="H359" s="8"/>
      <c r="I359" s="8"/>
      <c r="J359" s="8"/>
      <c r="K359" s="8"/>
      <c r="L359" s="8"/>
      <c r="M359" s="8"/>
      <c r="N359" s="8"/>
      <c r="O359" s="8"/>
      <c r="P359" s="8"/>
      <c r="Q359" s="8"/>
      <c r="R359" s="8"/>
    </row>
    <row r="360" spans="1:18" ht="12.75" customHeight="1">
      <c r="A360" s="8"/>
      <c r="B360" s="8"/>
      <c r="C360" s="30"/>
      <c r="D360" s="8"/>
      <c r="E360" s="8"/>
      <c r="F360" s="8"/>
      <c r="G360" s="8"/>
      <c r="H360" s="8"/>
      <c r="I360" s="8"/>
      <c r="J360" s="8"/>
      <c r="K360" s="8"/>
      <c r="L360" s="8"/>
      <c r="M360" s="8"/>
      <c r="N360" s="8"/>
      <c r="O360" s="8"/>
      <c r="P360" s="8"/>
      <c r="Q360" s="8"/>
      <c r="R360" s="8"/>
    </row>
    <row r="361" spans="1:18" ht="12.75" customHeight="1">
      <c r="A361" s="8"/>
      <c r="B361" s="8"/>
      <c r="C361" s="30"/>
      <c r="D361" s="8"/>
      <c r="E361" s="8"/>
      <c r="F361" s="8"/>
      <c r="G361" s="8"/>
      <c r="H361" s="8"/>
      <c r="I361" s="8"/>
      <c r="J361" s="8"/>
      <c r="K361" s="8"/>
      <c r="L361" s="8"/>
      <c r="M361" s="8"/>
      <c r="N361" s="8"/>
      <c r="O361" s="8"/>
      <c r="P361" s="8"/>
      <c r="Q361" s="8"/>
      <c r="R361" s="8"/>
    </row>
    <row r="362" spans="1:18" ht="12.75" customHeight="1">
      <c r="A362" s="8"/>
      <c r="B362" s="8"/>
      <c r="C362" s="30"/>
      <c r="D362" s="8"/>
      <c r="E362" s="8"/>
      <c r="F362" s="8"/>
      <c r="G362" s="8"/>
      <c r="H362" s="8"/>
      <c r="I362" s="8"/>
      <c r="J362" s="8"/>
      <c r="K362" s="8"/>
      <c r="L362" s="8"/>
      <c r="M362" s="8"/>
      <c r="N362" s="8"/>
      <c r="O362" s="8"/>
      <c r="P362" s="8"/>
      <c r="Q362" s="8"/>
      <c r="R362" s="8"/>
    </row>
    <row r="363" spans="1:18" ht="12.75" customHeight="1">
      <c r="A363" s="8"/>
      <c r="B363" s="8"/>
      <c r="C363" s="30"/>
      <c r="D363" s="8"/>
      <c r="E363" s="8"/>
      <c r="F363" s="8"/>
      <c r="G363" s="8"/>
      <c r="H363" s="8"/>
      <c r="I363" s="8"/>
      <c r="J363" s="8"/>
      <c r="K363" s="8"/>
      <c r="L363" s="8"/>
      <c r="M363" s="8"/>
      <c r="N363" s="8"/>
      <c r="O363" s="8"/>
      <c r="P363" s="8"/>
      <c r="Q363" s="8"/>
      <c r="R363" s="8"/>
    </row>
    <row r="364" spans="1:18" ht="12.75" customHeight="1">
      <c r="A364" s="8"/>
      <c r="B364" s="8"/>
      <c r="C364" s="30"/>
      <c r="D364" s="8"/>
      <c r="E364" s="8"/>
      <c r="F364" s="8"/>
      <c r="G364" s="8"/>
      <c r="H364" s="8"/>
      <c r="I364" s="8"/>
      <c r="J364" s="8"/>
      <c r="K364" s="8"/>
      <c r="L364" s="8"/>
      <c r="M364" s="8"/>
      <c r="N364" s="8"/>
      <c r="O364" s="8"/>
      <c r="P364" s="8"/>
      <c r="Q364" s="8"/>
      <c r="R364" s="8"/>
    </row>
    <row r="365" spans="1:18" ht="12.75" customHeight="1">
      <c r="A365" s="8"/>
      <c r="B365" s="8"/>
      <c r="C365" s="30"/>
      <c r="D365" s="8"/>
      <c r="E365" s="8"/>
      <c r="F365" s="8"/>
      <c r="G365" s="8"/>
      <c r="H365" s="8"/>
      <c r="I365" s="8"/>
      <c r="J365" s="8"/>
      <c r="K365" s="8"/>
      <c r="L365" s="8"/>
      <c r="M365" s="8"/>
      <c r="N365" s="8"/>
      <c r="O365" s="8"/>
      <c r="P365" s="8"/>
      <c r="Q365" s="8"/>
      <c r="R365" s="8"/>
    </row>
    <row r="366" spans="1:18" ht="12.75" customHeight="1">
      <c r="A366" s="8"/>
      <c r="B366" s="8"/>
      <c r="C366" s="30"/>
      <c r="D366" s="8"/>
      <c r="E366" s="8"/>
      <c r="F366" s="8"/>
      <c r="G366" s="8"/>
      <c r="H366" s="8"/>
      <c r="I366" s="8"/>
      <c r="J366" s="8"/>
      <c r="K366" s="8"/>
      <c r="L366" s="8"/>
      <c r="M366" s="8"/>
      <c r="N366" s="8"/>
      <c r="O366" s="8"/>
      <c r="P366" s="8"/>
      <c r="Q366" s="8"/>
      <c r="R366" s="8"/>
    </row>
    <row r="367" spans="1:18" ht="12.75" customHeight="1">
      <c r="A367" s="8"/>
      <c r="B367" s="8"/>
      <c r="C367" s="30"/>
      <c r="D367" s="8"/>
      <c r="E367" s="8"/>
      <c r="F367" s="8"/>
      <c r="G367" s="8"/>
      <c r="H367" s="8"/>
      <c r="I367" s="8"/>
      <c r="J367" s="8"/>
      <c r="K367" s="8"/>
      <c r="L367" s="8"/>
      <c r="M367" s="8"/>
      <c r="N367" s="8"/>
      <c r="O367" s="8"/>
      <c r="P367" s="8"/>
      <c r="Q367" s="8"/>
      <c r="R367" s="8"/>
    </row>
    <row r="368" spans="1:18" ht="12.75" customHeight="1">
      <c r="A368" s="8"/>
      <c r="B368" s="8"/>
      <c r="C368" s="30"/>
      <c r="D368" s="8"/>
      <c r="E368" s="8"/>
      <c r="F368" s="8"/>
      <c r="G368" s="8"/>
      <c r="H368" s="8"/>
      <c r="I368" s="8"/>
      <c r="J368" s="8"/>
      <c r="K368" s="8"/>
      <c r="L368" s="8"/>
      <c r="M368" s="8"/>
      <c r="N368" s="8"/>
      <c r="O368" s="8"/>
      <c r="P368" s="8"/>
      <c r="Q368" s="8"/>
      <c r="R368" s="8"/>
    </row>
    <row r="369" spans="1:18" ht="12.75" customHeight="1">
      <c r="A369" s="8"/>
      <c r="B369" s="8"/>
      <c r="C369" s="30"/>
      <c r="D369" s="8"/>
      <c r="E369" s="8"/>
      <c r="F369" s="8"/>
      <c r="G369" s="8"/>
      <c r="H369" s="8"/>
      <c r="I369" s="8"/>
      <c r="J369" s="8"/>
      <c r="K369" s="8"/>
      <c r="L369" s="8"/>
      <c r="M369" s="8"/>
      <c r="N369" s="8"/>
      <c r="O369" s="8"/>
      <c r="P369" s="8"/>
      <c r="Q369" s="8"/>
      <c r="R369" s="8"/>
    </row>
    <row r="370" spans="1:18" ht="12.75" customHeight="1">
      <c r="A370" s="8"/>
      <c r="B370" s="8"/>
      <c r="C370" s="30"/>
      <c r="D370" s="8"/>
      <c r="E370" s="8"/>
      <c r="F370" s="8"/>
      <c r="G370" s="8"/>
      <c r="H370" s="8"/>
      <c r="I370" s="8"/>
      <c r="J370" s="8"/>
      <c r="K370" s="8"/>
      <c r="L370" s="8"/>
      <c r="M370" s="8"/>
      <c r="N370" s="8"/>
      <c r="O370" s="8"/>
      <c r="P370" s="8"/>
      <c r="Q370" s="8"/>
      <c r="R370" s="8"/>
    </row>
    <row r="371" spans="1:18" ht="12.75" customHeight="1">
      <c r="A371" s="8"/>
      <c r="B371" s="8"/>
      <c r="C371" s="30"/>
      <c r="D371" s="8"/>
      <c r="E371" s="8"/>
      <c r="F371" s="8"/>
      <c r="G371" s="8"/>
      <c r="H371" s="8"/>
      <c r="I371" s="8"/>
      <c r="J371" s="8"/>
      <c r="K371" s="8"/>
      <c r="L371" s="8"/>
      <c r="M371" s="8"/>
      <c r="N371" s="8"/>
      <c r="O371" s="8"/>
      <c r="P371" s="8"/>
      <c r="Q371" s="8"/>
      <c r="R371" s="8"/>
    </row>
    <row r="372" spans="1:18" ht="12.75" customHeight="1">
      <c r="A372" s="8"/>
      <c r="B372" s="8"/>
      <c r="C372" s="30"/>
      <c r="D372" s="8"/>
      <c r="E372" s="8"/>
      <c r="F372" s="8"/>
      <c r="G372" s="8"/>
      <c r="H372" s="8"/>
      <c r="I372" s="8"/>
      <c r="J372" s="8"/>
      <c r="K372" s="8"/>
      <c r="L372" s="8"/>
      <c r="M372" s="8"/>
      <c r="N372" s="8"/>
      <c r="O372" s="8"/>
      <c r="P372" s="8"/>
      <c r="Q372" s="8"/>
      <c r="R372" s="8"/>
    </row>
    <row r="373" spans="1:18" ht="12.75" customHeight="1">
      <c r="A373" s="8"/>
      <c r="B373" s="8"/>
      <c r="C373" s="30"/>
      <c r="D373" s="8"/>
      <c r="E373" s="8"/>
      <c r="F373" s="8"/>
      <c r="G373" s="8"/>
      <c r="H373" s="8"/>
      <c r="I373" s="8"/>
      <c r="J373" s="8"/>
      <c r="K373" s="8"/>
      <c r="L373" s="8"/>
      <c r="M373" s="8"/>
      <c r="N373" s="8"/>
      <c r="O373" s="8"/>
      <c r="P373" s="8"/>
      <c r="Q373" s="8"/>
      <c r="R373" s="8"/>
    </row>
    <row r="374" spans="1:18" ht="12.75" customHeight="1">
      <c r="A374" s="8"/>
      <c r="B374" s="8"/>
      <c r="C374" s="30"/>
      <c r="D374" s="8"/>
      <c r="E374" s="8"/>
      <c r="F374" s="8"/>
      <c r="G374" s="8"/>
      <c r="H374" s="8"/>
      <c r="I374" s="8"/>
      <c r="J374" s="8"/>
      <c r="K374" s="8"/>
      <c r="L374" s="8"/>
      <c r="M374" s="8"/>
      <c r="N374" s="8"/>
      <c r="O374" s="8"/>
      <c r="P374" s="8"/>
      <c r="Q374" s="8"/>
      <c r="R374" s="8"/>
    </row>
    <row r="375" spans="1:18" ht="12.75" customHeight="1">
      <c r="A375" s="8"/>
      <c r="B375" s="8"/>
      <c r="C375" s="30"/>
      <c r="D375" s="8"/>
      <c r="E375" s="8"/>
      <c r="F375" s="8"/>
      <c r="G375" s="8"/>
      <c r="H375" s="8"/>
      <c r="I375" s="8"/>
      <c r="J375" s="8"/>
      <c r="K375" s="8"/>
      <c r="L375" s="8"/>
      <c r="M375" s="8"/>
      <c r="N375" s="8"/>
      <c r="O375" s="8"/>
      <c r="P375" s="8"/>
      <c r="Q375" s="8"/>
      <c r="R375" s="8"/>
    </row>
    <row r="376" spans="1:18" ht="12.75" customHeight="1">
      <c r="A376" s="8"/>
      <c r="B376" s="8"/>
      <c r="C376" s="30"/>
      <c r="D376" s="8"/>
      <c r="E376" s="8"/>
      <c r="F376" s="8"/>
      <c r="G376" s="8"/>
      <c r="H376" s="8"/>
      <c r="I376" s="8"/>
      <c r="J376" s="8"/>
      <c r="K376" s="8"/>
      <c r="L376" s="8"/>
      <c r="M376" s="8"/>
      <c r="N376" s="8"/>
      <c r="O376" s="8"/>
      <c r="P376" s="8"/>
      <c r="Q376" s="8"/>
      <c r="R376" s="8"/>
    </row>
    <row r="377" spans="1:18" ht="12.75" customHeight="1">
      <c r="A377" s="8"/>
      <c r="B377" s="8"/>
      <c r="C377" s="30"/>
      <c r="D377" s="8"/>
      <c r="E377" s="8"/>
      <c r="F377" s="8"/>
      <c r="G377" s="8"/>
      <c r="H377" s="8"/>
      <c r="I377" s="8"/>
      <c r="J377" s="8"/>
      <c r="K377" s="8"/>
      <c r="L377" s="8"/>
      <c r="M377" s="8"/>
      <c r="N377" s="8"/>
      <c r="O377" s="8"/>
      <c r="P377" s="8"/>
      <c r="Q377" s="8"/>
      <c r="R377" s="8"/>
    </row>
    <row r="378" spans="1:18" ht="12.75" customHeight="1">
      <c r="A378" s="8"/>
      <c r="B378" s="8"/>
      <c r="C378" s="30"/>
      <c r="D378" s="8"/>
      <c r="E378" s="8"/>
      <c r="F378" s="8"/>
      <c r="G378" s="8"/>
      <c r="H378" s="8"/>
      <c r="I378" s="8"/>
      <c r="J378" s="8"/>
      <c r="K378" s="8"/>
      <c r="L378" s="8"/>
      <c r="M378" s="8"/>
      <c r="N378" s="8"/>
      <c r="O378" s="8"/>
      <c r="P378" s="8"/>
      <c r="Q378" s="8"/>
      <c r="R378" s="8"/>
    </row>
    <row r="379" spans="1:18" ht="12.75" customHeight="1">
      <c r="A379" s="8"/>
      <c r="B379" s="8"/>
      <c r="C379" s="30"/>
      <c r="D379" s="8"/>
      <c r="E379" s="8"/>
      <c r="F379" s="8"/>
      <c r="G379" s="8"/>
      <c r="H379" s="8"/>
      <c r="I379" s="8"/>
      <c r="J379" s="8"/>
      <c r="K379" s="8"/>
      <c r="L379" s="8"/>
      <c r="M379" s="8"/>
      <c r="N379" s="8"/>
      <c r="O379" s="8"/>
      <c r="P379" s="8"/>
      <c r="Q379" s="8"/>
      <c r="R379" s="8"/>
    </row>
    <row r="380" spans="1:18" ht="12.75" customHeight="1">
      <c r="A380" s="8"/>
      <c r="B380" s="8"/>
      <c r="C380" s="30"/>
      <c r="D380" s="8"/>
      <c r="E380" s="8"/>
      <c r="F380" s="8"/>
      <c r="G380" s="8"/>
      <c r="H380" s="8"/>
      <c r="I380" s="8"/>
      <c r="J380" s="8"/>
      <c r="K380" s="8"/>
      <c r="L380" s="8"/>
      <c r="M380" s="8"/>
      <c r="N380" s="8"/>
      <c r="O380" s="8"/>
      <c r="P380" s="8"/>
      <c r="Q380" s="8"/>
      <c r="R380" s="8"/>
    </row>
    <row r="381" spans="1:18" ht="12.75" customHeight="1">
      <c r="A381" s="8"/>
      <c r="B381" s="8"/>
      <c r="C381" s="30"/>
      <c r="D381" s="8"/>
      <c r="E381" s="8"/>
      <c r="F381" s="8"/>
      <c r="G381" s="8"/>
      <c r="H381" s="8"/>
      <c r="I381" s="8"/>
      <c r="J381" s="8"/>
      <c r="K381" s="8"/>
      <c r="L381" s="8"/>
      <c r="M381" s="8"/>
      <c r="N381" s="8"/>
      <c r="O381" s="8"/>
      <c r="P381" s="8"/>
      <c r="Q381" s="8"/>
      <c r="R381" s="8"/>
    </row>
    <row r="382" spans="1:18" ht="12.75" customHeight="1">
      <c r="A382" s="8"/>
      <c r="B382" s="8"/>
      <c r="C382" s="30"/>
      <c r="D382" s="8"/>
      <c r="E382" s="8"/>
      <c r="F382" s="8"/>
      <c r="G382" s="8"/>
      <c r="H382" s="8"/>
      <c r="I382" s="8"/>
      <c r="J382" s="8"/>
      <c r="K382" s="8"/>
      <c r="L382" s="8"/>
      <c r="M382" s="8"/>
      <c r="N382" s="8"/>
      <c r="O382" s="8"/>
      <c r="P382" s="8"/>
      <c r="Q382" s="8"/>
      <c r="R382" s="8"/>
    </row>
    <row r="383" spans="1:18" ht="12.75" customHeight="1">
      <c r="A383" s="8"/>
      <c r="B383" s="8"/>
      <c r="C383" s="30"/>
      <c r="D383" s="8"/>
      <c r="E383" s="8"/>
      <c r="F383" s="8"/>
      <c r="G383" s="8"/>
      <c r="H383" s="8"/>
      <c r="I383" s="8"/>
      <c r="J383" s="8"/>
      <c r="K383" s="8"/>
      <c r="L383" s="8"/>
      <c r="M383" s="8"/>
      <c r="N383" s="8"/>
      <c r="O383" s="8"/>
      <c r="P383" s="8"/>
      <c r="Q383" s="8"/>
      <c r="R383" s="8"/>
    </row>
    <row r="384" spans="1:18" ht="12.75" customHeight="1">
      <c r="A384" s="8"/>
      <c r="B384" s="8"/>
      <c r="C384" s="30"/>
      <c r="D384" s="8"/>
      <c r="E384" s="8"/>
      <c r="F384" s="8"/>
      <c r="G384" s="8"/>
      <c r="H384" s="8"/>
      <c r="I384" s="8"/>
      <c r="J384" s="8"/>
      <c r="K384" s="8"/>
      <c r="L384" s="8"/>
      <c r="M384" s="8"/>
      <c r="N384" s="8"/>
      <c r="O384" s="8"/>
      <c r="P384" s="8"/>
      <c r="Q384" s="8"/>
      <c r="R384" s="8"/>
    </row>
    <row r="385" spans="1:18" ht="12.75" customHeight="1">
      <c r="A385" s="8"/>
      <c r="B385" s="8"/>
      <c r="C385" s="30"/>
      <c r="D385" s="8"/>
      <c r="E385" s="8"/>
      <c r="F385" s="8"/>
      <c r="G385" s="8"/>
      <c r="H385" s="8"/>
      <c r="I385" s="8"/>
      <c r="J385" s="8"/>
      <c r="K385" s="8"/>
      <c r="L385" s="8"/>
      <c r="M385" s="8"/>
      <c r="N385" s="8"/>
      <c r="O385" s="8"/>
      <c r="P385" s="8"/>
      <c r="Q385" s="8"/>
      <c r="R385" s="8"/>
    </row>
    <row r="386" spans="1:18" ht="12.75" customHeight="1">
      <c r="A386" s="8"/>
      <c r="B386" s="8"/>
      <c r="C386" s="30"/>
      <c r="D386" s="8"/>
      <c r="E386" s="8"/>
      <c r="F386" s="8"/>
      <c r="G386" s="8"/>
      <c r="H386" s="8"/>
      <c r="I386" s="8"/>
      <c r="J386" s="8"/>
      <c r="K386" s="8"/>
      <c r="L386" s="8"/>
      <c r="M386" s="8"/>
      <c r="N386" s="8"/>
      <c r="O386" s="8"/>
      <c r="P386" s="8"/>
      <c r="Q386" s="8"/>
      <c r="R386" s="8"/>
    </row>
    <row r="387" spans="1:18" ht="12.75" customHeight="1">
      <c r="A387" s="8"/>
      <c r="B387" s="8"/>
      <c r="C387" s="30"/>
      <c r="D387" s="8"/>
      <c r="E387" s="8"/>
      <c r="F387" s="8"/>
      <c r="G387" s="8"/>
      <c r="H387" s="8"/>
      <c r="I387" s="8"/>
      <c r="J387" s="8"/>
      <c r="K387" s="8"/>
      <c r="L387" s="8"/>
      <c r="M387" s="8"/>
      <c r="N387" s="8"/>
      <c r="O387" s="8"/>
      <c r="P387" s="8"/>
      <c r="Q387" s="8"/>
      <c r="R387" s="8"/>
    </row>
    <row r="388" spans="1:18" ht="12.75" customHeight="1">
      <c r="A388" s="8"/>
      <c r="B388" s="8"/>
      <c r="C388" s="30"/>
      <c r="D388" s="8"/>
      <c r="E388" s="8"/>
      <c r="F388" s="8"/>
      <c r="G388" s="8"/>
      <c r="H388" s="8"/>
      <c r="I388" s="8"/>
      <c r="J388" s="8"/>
      <c r="K388" s="8"/>
      <c r="L388" s="8"/>
      <c r="M388" s="8"/>
      <c r="N388" s="8"/>
      <c r="O388" s="8"/>
      <c r="P388" s="8"/>
      <c r="Q388" s="8"/>
      <c r="R388" s="8"/>
    </row>
    <row r="389" spans="1:18" ht="12.75" customHeight="1">
      <c r="A389" s="8"/>
      <c r="B389" s="8"/>
      <c r="C389" s="30"/>
      <c r="D389" s="8"/>
      <c r="E389" s="8"/>
      <c r="F389" s="8"/>
      <c r="G389" s="8"/>
      <c r="H389" s="8"/>
      <c r="I389" s="8"/>
      <c r="J389" s="8"/>
      <c r="K389" s="8"/>
      <c r="L389" s="8"/>
      <c r="M389" s="8"/>
      <c r="N389" s="8"/>
      <c r="O389" s="8"/>
      <c r="P389" s="8"/>
      <c r="Q389" s="8"/>
      <c r="R389" s="8"/>
    </row>
    <row r="390" spans="1:18" ht="12.75" customHeight="1">
      <c r="A390" s="8"/>
      <c r="B390" s="8"/>
      <c r="C390" s="30"/>
      <c r="D390" s="8"/>
      <c r="E390" s="8"/>
      <c r="F390" s="8"/>
      <c r="G390" s="8"/>
      <c r="H390" s="8"/>
      <c r="I390" s="8"/>
      <c r="J390" s="8"/>
      <c r="K390" s="8"/>
      <c r="L390" s="8"/>
      <c r="M390" s="8"/>
      <c r="N390" s="8"/>
      <c r="O390" s="8"/>
      <c r="P390" s="8"/>
      <c r="Q390" s="8"/>
      <c r="R390" s="8"/>
    </row>
    <row r="391" spans="1:18" ht="12.75" customHeight="1">
      <c r="A391" s="8"/>
      <c r="B391" s="8"/>
      <c r="C391" s="30"/>
      <c r="D391" s="8"/>
      <c r="E391" s="8"/>
      <c r="F391" s="8"/>
      <c r="G391" s="8"/>
      <c r="H391" s="8"/>
      <c r="I391" s="8"/>
      <c r="J391" s="8"/>
      <c r="K391" s="8"/>
      <c r="L391" s="8"/>
      <c r="M391" s="8"/>
      <c r="N391" s="8"/>
      <c r="O391" s="8"/>
      <c r="P391" s="8"/>
      <c r="Q391" s="8"/>
      <c r="R391" s="8"/>
    </row>
    <row r="392" spans="1:18" ht="12.75" customHeight="1">
      <c r="A392" s="8"/>
      <c r="B392" s="8"/>
      <c r="C392" s="30"/>
      <c r="D392" s="8"/>
      <c r="E392" s="8"/>
      <c r="F392" s="8"/>
      <c r="G392" s="8"/>
      <c r="H392" s="8"/>
      <c r="I392" s="8"/>
      <c r="J392" s="8"/>
      <c r="K392" s="8"/>
      <c r="L392" s="8"/>
      <c r="M392" s="8"/>
      <c r="N392" s="8"/>
      <c r="O392" s="8"/>
      <c r="P392" s="8"/>
      <c r="Q392" s="8"/>
      <c r="R392" s="8"/>
    </row>
    <row r="393" spans="1:18" ht="12.75" customHeight="1">
      <c r="A393" s="8"/>
      <c r="B393" s="8"/>
      <c r="C393" s="30"/>
      <c r="D393" s="8"/>
      <c r="E393" s="8"/>
      <c r="F393" s="8"/>
      <c r="G393" s="8"/>
      <c r="H393" s="8"/>
      <c r="I393" s="8"/>
      <c r="J393" s="8"/>
      <c r="K393" s="8"/>
      <c r="L393" s="8"/>
      <c r="M393" s="8"/>
      <c r="N393" s="8"/>
      <c r="O393" s="8"/>
      <c r="P393" s="8"/>
      <c r="Q393" s="8"/>
      <c r="R393" s="8"/>
    </row>
    <row r="394" spans="1:18" ht="12.75" customHeight="1">
      <c r="A394" s="8"/>
      <c r="B394" s="8"/>
      <c r="C394" s="30"/>
      <c r="D394" s="8"/>
      <c r="E394" s="8"/>
      <c r="F394" s="8"/>
      <c r="G394" s="8"/>
      <c r="H394" s="8"/>
      <c r="I394" s="8"/>
      <c r="J394" s="8"/>
      <c r="K394" s="8"/>
      <c r="L394" s="8"/>
      <c r="M394" s="8"/>
      <c r="N394" s="8"/>
      <c r="O394" s="8"/>
      <c r="P394" s="8"/>
      <c r="Q394" s="8"/>
      <c r="R394" s="8"/>
    </row>
    <row r="395" spans="1:18" ht="12.75" customHeight="1">
      <c r="A395" s="8"/>
      <c r="B395" s="8"/>
      <c r="C395" s="30"/>
      <c r="D395" s="8"/>
      <c r="E395" s="8"/>
      <c r="F395" s="8"/>
      <c r="G395" s="8"/>
      <c r="H395" s="8"/>
      <c r="I395" s="8"/>
      <c r="J395" s="8"/>
      <c r="K395" s="8"/>
      <c r="L395" s="8"/>
      <c r="M395" s="8"/>
      <c r="N395" s="8"/>
      <c r="O395" s="8"/>
      <c r="P395" s="8"/>
      <c r="Q395" s="8"/>
      <c r="R395" s="8"/>
    </row>
    <row r="396" spans="1:18" ht="12.75" customHeight="1">
      <c r="A396" s="8"/>
      <c r="B396" s="8"/>
      <c r="C396" s="30"/>
      <c r="D396" s="8"/>
      <c r="E396" s="8"/>
      <c r="F396" s="8"/>
      <c r="G396" s="8"/>
      <c r="H396" s="8"/>
      <c r="I396" s="8"/>
      <c r="J396" s="8"/>
      <c r="K396" s="8"/>
      <c r="L396" s="8"/>
      <c r="M396" s="8"/>
      <c r="N396" s="8"/>
      <c r="O396" s="8"/>
      <c r="P396" s="8"/>
      <c r="Q396" s="8"/>
      <c r="R396" s="8"/>
    </row>
    <row r="397" spans="1:18" ht="12.75" customHeight="1">
      <c r="A397" s="8"/>
      <c r="B397" s="8"/>
      <c r="C397" s="30"/>
      <c r="D397" s="8"/>
      <c r="E397" s="8"/>
      <c r="F397" s="8"/>
      <c r="G397" s="8"/>
      <c r="H397" s="8"/>
      <c r="I397" s="8"/>
      <c r="J397" s="8"/>
      <c r="K397" s="8"/>
      <c r="L397" s="8"/>
      <c r="M397" s="8"/>
      <c r="N397" s="8"/>
      <c r="O397" s="8"/>
      <c r="P397" s="8"/>
      <c r="Q397" s="8"/>
      <c r="R397" s="8"/>
    </row>
    <row r="398" spans="1:18" ht="12.75" customHeight="1">
      <c r="A398" s="8"/>
      <c r="B398" s="8"/>
      <c r="C398" s="30"/>
      <c r="D398" s="8"/>
      <c r="E398" s="8"/>
      <c r="F398" s="8"/>
      <c r="G398" s="8"/>
      <c r="H398" s="8"/>
      <c r="I398" s="8"/>
      <c r="J398" s="8"/>
      <c r="K398" s="8"/>
      <c r="L398" s="8"/>
      <c r="M398" s="8"/>
      <c r="N398" s="8"/>
      <c r="O398" s="8"/>
      <c r="P398" s="8"/>
      <c r="Q398" s="8"/>
      <c r="R398" s="8"/>
    </row>
    <row r="399" spans="1:18" ht="12.75" customHeight="1">
      <c r="A399" s="8"/>
      <c r="B399" s="8"/>
      <c r="C399" s="30"/>
      <c r="D399" s="8"/>
      <c r="E399" s="8"/>
      <c r="F399" s="8"/>
      <c r="G399" s="8"/>
      <c r="H399" s="8"/>
      <c r="I399" s="8"/>
      <c r="J399" s="8"/>
      <c r="K399" s="8"/>
      <c r="L399" s="8"/>
      <c r="M399" s="8"/>
      <c r="N399" s="8"/>
      <c r="O399" s="8"/>
      <c r="P399" s="8"/>
      <c r="Q399" s="8"/>
      <c r="R399" s="8"/>
    </row>
    <row r="400" spans="1:18" ht="12.75" customHeight="1">
      <c r="A400" s="8"/>
      <c r="B400" s="8"/>
      <c r="C400" s="30"/>
      <c r="D400" s="8"/>
      <c r="E400" s="8"/>
      <c r="F400" s="8"/>
      <c r="G400" s="8"/>
      <c r="H400" s="8"/>
      <c r="I400" s="8"/>
      <c r="J400" s="8"/>
      <c r="K400" s="8"/>
      <c r="L400" s="8"/>
      <c r="M400" s="8"/>
      <c r="N400" s="8"/>
      <c r="O400" s="8"/>
      <c r="P400" s="8"/>
      <c r="Q400" s="8"/>
      <c r="R400" s="8"/>
    </row>
    <row r="401" spans="1:18" ht="12.75" customHeight="1">
      <c r="A401" s="8"/>
      <c r="B401" s="8"/>
      <c r="C401" s="30"/>
      <c r="D401" s="8"/>
      <c r="E401" s="8"/>
      <c r="F401" s="8"/>
      <c r="G401" s="8"/>
      <c r="H401" s="8"/>
      <c r="I401" s="8"/>
      <c r="J401" s="8"/>
      <c r="K401" s="8"/>
      <c r="L401" s="8"/>
      <c r="M401" s="8"/>
      <c r="N401" s="8"/>
      <c r="O401" s="8"/>
      <c r="P401" s="8"/>
      <c r="Q401" s="8"/>
      <c r="R401" s="8"/>
    </row>
    <row r="402" spans="1:18" ht="12.75" customHeight="1">
      <c r="A402" s="8"/>
      <c r="B402" s="8"/>
      <c r="C402" s="30"/>
      <c r="D402" s="8"/>
      <c r="E402" s="8"/>
      <c r="F402" s="8"/>
      <c r="G402" s="8"/>
      <c r="H402" s="8"/>
      <c r="I402" s="8"/>
      <c r="J402" s="8"/>
      <c r="K402" s="8"/>
      <c r="L402" s="8"/>
      <c r="M402" s="8"/>
      <c r="N402" s="8"/>
      <c r="O402" s="8"/>
      <c r="P402" s="8"/>
      <c r="Q402" s="8"/>
      <c r="R402" s="8"/>
    </row>
    <row r="403" spans="1:18" ht="12.75" customHeight="1">
      <c r="A403" s="8"/>
      <c r="B403" s="8"/>
      <c r="C403" s="30"/>
      <c r="D403" s="8"/>
      <c r="E403" s="8"/>
      <c r="F403" s="8"/>
      <c r="G403" s="8"/>
      <c r="H403" s="8"/>
      <c r="I403" s="8"/>
      <c r="J403" s="8"/>
      <c r="K403" s="8"/>
      <c r="L403" s="8"/>
      <c r="M403" s="8"/>
      <c r="N403" s="8"/>
      <c r="O403" s="8"/>
      <c r="P403" s="8"/>
      <c r="Q403" s="8"/>
      <c r="R403" s="8"/>
    </row>
    <row r="404" spans="1:18" ht="12.75" customHeight="1">
      <c r="A404" s="8"/>
      <c r="B404" s="8"/>
      <c r="C404" s="30"/>
      <c r="D404" s="8"/>
      <c r="E404" s="8"/>
      <c r="F404" s="8"/>
      <c r="G404" s="8"/>
      <c r="H404" s="8"/>
      <c r="I404" s="8"/>
      <c r="J404" s="8"/>
      <c r="K404" s="8"/>
      <c r="L404" s="8"/>
      <c r="M404" s="8"/>
      <c r="N404" s="8"/>
      <c r="O404" s="8"/>
      <c r="P404" s="8"/>
      <c r="Q404" s="8"/>
      <c r="R404" s="8"/>
    </row>
    <row r="405" spans="1:18" ht="12.75" customHeight="1">
      <c r="A405" s="8"/>
      <c r="B405" s="8"/>
      <c r="C405" s="30"/>
      <c r="D405" s="8"/>
      <c r="E405" s="8"/>
      <c r="F405" s="8"/>
      <c r="G405" s="8"/>
      <c r="H405" s="8"/>
      <c r="I405" s="8"/>
      <c r="J405" s="8"/>
      <c r="K405" s="8"/>
      <c r="L405" s="8"/>
      <c r="M405" s="8"/>
      <c r="N405" s="8"/>
      <c r="O405" s="8"/>
      <c r="P405" s="8"/>
      <c r="Q405" s="8"/>
      <c r="R405" s="8"/>
    </row>
    <row r="406" spans="1:18" ht="12.75" customHeight="1">
      <c r="A406" s="8"/>
      <c r="B406" s="8"/>
      <c r="C406" s="30"/>
      <c r="D406" s="8"/>
      <c r="E406" s="8"/>
      <c r="F406" s="8"/>
      <c r="G406" s="8"/>
      <c r="H406" s="8"/>
      <c r="I406" s="8"/>
      <c r="J406" s="8"/>
      <c r="K406" s="8"/>
      <c r="L406" s="8"/>
      <c r="M406" s="8"/>
      <c r="N406" s="8"/>
      <c r="O406" s="8"/>
      <c r="P406" s="8"/>
      <c r="Q406" s="8"/>
      <c r="R406" s="8"/>
    </row>
    <row r="407" spans="1:18" ht="12.75" customHeight="1">
      <c r="A407" s="8"/>
      <c r="B407" s="8"/>
      <c r="C407" s="30"/>
      <c r="D407" s="8"/>
      <c r="E407" s="8"/>
      <c r="F407" s="8"/>
      <c r="G407" s="8"/>
      <c r="H407" s="8"/>
      <c r="I407" s="8"/>
      <c r="J407" s="8"/>
      <c r="K407" s="8"/>
      <c r="L407" s="8"/>
      <c r="M407" s="8"/>
      <c r="N407" s="8"/>
      <c r="O407" s="8"/>
      <c r="P407" s="8"/>
      <c r="Q407" s="8"/>
      <c r="R407" s="8"/>
    </row>
    <row r="408" spans="1:18" ht="12.75" customHeight="1">
      <c r="A408" s="8"/>
      <c r="B408" s="8"/>
      <c r="C408" s="30"/>
      <c r="D408" s="8"/>
      <c r="E408" s="8"/>
      <c r="F408" s="8"/>
      <c r="G408" s="8"/>
      <c r="H408" s="8"/>
      <c r="I408" s="8"/>
      <c r="J408" s="8"/>
      <c r="K408" s="8"/>
      <c r="L408" s="8"/>
      <c r="M408" s="8"/>
      <c r="N408" s="8"/>
      <c r="O408" s="8"/>
      <c r="P408" s="8"/>
      <c r="Q408" s="8"/>
      <c r="R408" s="8"/>
    </row>
    <row r="409" spans="1:18" ht="12.75" customHeight="1">
      <c r="A409" s="8"/>
      <c r="B409" s="8"/>
      <c r="C409" s="30"/>
      <c r="D409" s="8"/>
      <c r="E409" s="8"/>
      <c r="F409" s="8"/>
      <c r="G409" s="8"/>
      <c r="H409" s="8"/>
      <c r="I409" s="8"/>
      <c r="J409" s="8"/>
      <c r="K409" s="8"/>
      <c r="L409" s="8"/>
      <c r="M409" s="8"/>
      <c r="N409" s="8"/>
      <c r="O409" s="8"/>
      <c r="P409" s="8"/>
      <c r="Q409" s="8"/>
      <c r="R409" s="8"/>
    </row>
    <row r="410" spans="1:18" ht="12.75" customHeight="1">
      <c r="A410" s="8"/>
      <c r="B410" s="8"/>
      <c r="C410" s="30"/>
      <c r="D410" s="8"/>
      <c r="E410" s="8"/>
      <c r="F410" s="8"/>
      <c r="G410" s="8"/>
      <c r="H410" s="8"/>
      <c r="I410" s="8"/>
      <c r="J410" s="8"/>
      <c r="K410" s="8"/>
      <c r="L410" s="8"/>
      <c r="M410" s="8"/>
      <c r="N410" s="8"/>
      <c r="O410" s="8"/>
      <c r="P410" s="8"/>
      <c r="Q410" s="8"/>
      <c r="R410" s="8"/>
    </row>
    <row r="411" spans="1:18" ht="12.75" customHeight="1">
      <c r="A411" s="8"/>
      <c r="B411" s="8"/>
      <c r="C411" s="30"/>
      <c r="D411" s="8"/>
      <c r="E411" s="8"/>
      <c r="F411" s="8"/>
      <c r="G411" s="8"/>
      <c r="H411" s="8"/>
      <c r="I411" s="8"/>
      <c r="J411" s="8"/>
      <c r="K411" s="8"/>
      <c r="L411" s="8"/>
      <c r="M411" s="8"/>
      <c r="N411" s="8"/>
      <c r="O411" s="8"/>
      <c r="P411" s="8"/>
      <c r="Q411" s="8"/>
      <c r="R411" s="8"/>
    </row>
    <row r="412" spans="1:18" ht="12.75" customHeight="1">
      <c r="A412" s="8"/>
      <c r="B412" s="8"/>
      <c r="C412" s="30"/>
      <c r="D412" s="8"/>
      <c r="E412" s="8"/>
      <c r="F412" s="8"/>
      <c r="G412" s="8"/>
      <c r="H412" s="8"/>
      <c r="I412" s="8"/>
      <c r="J412" s="8"/>
      <c r="K412" s="8"/>
      <c r="L412" s="8"/>
      <c r="M412" s="8"/>
      <c r="N412" s="8"/>
      <c r="O412" s="8"/>
      <c r="P412" s="8"/>
      <c r="Q412" s="8"/>
      <c r="R412" s="8"/>
    </row>
    <row r="413" spans="1:18" ht="12.75" customHeight="1">
      <c r="A413" s="8"/>
      <c r="B413" s="8"/>
      <c r="C413" s="30"/>
      <c r="D413" s="8"/>
      <c r="E413" s="8"/>
      <c r="F413" s="8"/>
      <c r="G413" s="8"/>
      <c r="H413" s="8"/>
      <c r="I413" s="8"/>
      <c r="J413" s="8"/>
      <c r="K413" s="8"/>
      <c r="L413" s="8"/>
      <c r="M413" s="8"/>
      <c r="N413" s="8"/>
      <c r="O413" s="8"/>
      <c r="P413" s="8"/>
      <c r="Q413" s="8"/>
      <c r="R413" s="8"/>
    </row>
    <row r="414" spans="1:18" ht="12.75" customHeight="1">
      <c r="A414" s="8"/>
      <c r="B414" s="8"/>
      <c r="C414" s="30"/>
      <c r="D414" s="8"/>
      <c r="E414" s="8"/>
      <c r="F414" s="8"/>
      <c r="G414" s="8"/>
      <c r="H414" s="8"/>
      <c r="I414" s="8"/>
      <c r="J414" s="8"/>
      <c r="K414" s="8"/>
      <c r="L414" s="8"/>
      <c r="M414" s="8"/>
      <c r="N414" s="8"/>
      <c r="O414" s="8"/>
      <c r="P414" s="8"/>
      <c r="Q414" s="8"/>
      <c r="R414" s="8"/>
    </row>
    <row r="415" spans="1:18" ht="12.75" customHeight="1">
      <c r="A415" s="8"/>
      <c r="B415" s="8"/>
      <c r="C415" s="30"/>
      <c r="D415" s="8"/>
      <c r="E415" s="8"/>
      <c r="F415" s="8"/>
      <c r="G415" s="8"/>
      <c r="H415" s="8"/>
      <c r="I415" s="8"/>
      <c r="J415" s="8"/>
      <c r="K415" s="8"/>
      <c r="L415" s="8"/>
      <c r="M415" s="8"/>
      <c r="N415" s="8"/>
      <c r="O415" s="8"/>
      <c r="P415" s="8"/>
      <c r="Q415" s="8"/>
      <c r="R415" s="8"/>
    </row>
    <row r="416" spans="1:18" ht="12.75" customHeight="1">
      <c r="A416" s="8"/>
      <c r="B416" s="8"/>
      <c r="C416" s="30"/>
      <c r="D416" s="8"/>
      <c r="E416" s="8"/>
      <c r="F416" s="8"/>
      <c r="G416" s="8"/>
      <c r="H416" s="8"/>
      <c r="I416" s="8"/>
      <c r="J416" s="8"/>
      <c r="K416" s="8"/>
      <c r="L416" s="8"/>
      <c r="M416" s="8"/>
      <c r="N416" s="8"/>
      <c r="O416" s="8"/>
      <c r="P416" s="8"/>
      <c r="Q416" s="8"/>
      <c r="R416" s="8"/>
    </row>
    <row r="417" spans="1:18" ht="12.75" customHeight="1">
      <c r="A417" s="8"/>
      <c r="B417" s="8"/>
      <c r="C417" s="30"/>
      <c r="D417" s="8"/>
      <c r="E417" s="8"/>
      <c r="F417" s="8"/>
      <c r="G417" s="8"/>
      <c r="H417" s="8"/>
      <c r="I417" s="8"/>
      <c r="J417" s="8"/>
      <c r="K417" s="8"/>
      <c r="L417" s="8"/>
      <c r="M417" s="8"/>
      <c r="N417" s="8"/>
      <c r="O417" s="8"/>
      <c r="P417" s="8"/>
      <c r="Q417" s="8"/>
      <c r="R417" s="8"/>
    </row>
    <row r="418" spans="1:18" ht="12.75" customHeight="1">
      <c r="A418" s="8"/>
      <c r="B418" s="8"/>
      <c r="C418" s="30"/>
      <c r="D418" s="8"/>
      <c r="E418" s="8"/>
      <c r="F418" s="8"/>
      <c r="G418" s="8"/>
      <c r="H418" s="8"/>
      <c r="I418" s="8"/>
      <c r="J418" s="8"/>
      <c r="K418" s="8"/>
      <c r="L418" s="8"/>
      <c r="M418" s="8"/>
      <c r="N418" s="8"/>
      <c r="O418" s="8"/>
      <c r="P418" s="8"/>
      <c r="Q418" s="8"/>
      <c r="R418" s="8"/>
    </row>
    <row r="419" spans="1:18" ht="12.75" customHeight="1">
      <c r="A419" s="8"/>
      <c r="B419" s="8"/>
      <c r="C419" s="30"/>
      <c r="D419" s="8"/>
      <c r="E419" s="8"/>
      <c r="F419" s="8"/>
      <c r="G419" s="8"/>
      <c r="H419" s="8"/>
      <c r="I419" s="8"/>
      <c r="J419" s="8"/>
      <c r="K419" s="8"/>
      <c r="L419" s="8"/>
      <c r="M419" s="8"/>
      <c r="N419" s="8"/>
      <c r="O419" s="8"/>
      <c r="P419" s="8"/>
      <c r="Q419" s="8"/>
      <c r="R419" s="8"/>
    </row>
    <row r="420" spans="1:18" ht="12.75" customHeight="1">
      <c r="A420" s="8"/>
      <c r="B420" s="8"/>
      <c r="C420" s="30"/>
      <c r="D420" s="8"/>
      <c r="E420" s="8"/>
      <c r="F420" s="8"/>
      <c r="G420" s="8"/>
      <c r="H420" s="8"/>
      <c r="I420" s="8"/>
      <c r="J420" s="8"/>
      <c r="K420" s="8"/>
      <c r="L420" s="8"/>
      <c r="M420" s="8"/>
      <c r="N420" s="8"/>
      <c r="O420" s="8"/>
      <c r="P420" s="8"/>
      <c r="Q420" s="8"/>
      <c r="R420" s="8"/>
    </row>
    <row r="421" spans="1:18" ht="12.75" customHeight="1">
      <c r="A421" s="8"/>
      <c r="B421" s="8"/>
      <c r="C421" s="30"/>
      <c r="D421" s="8"/>
      <c r="E421" s="8"/>
      <c r="F421" s="8"/>
      <c r="G421" s="8"/>
      <c r="H421" s="8"/>
      <c r="I421" s="8"/>
      <c r="J421" s="8"/>
      <c r="K421" s="8"/>
      <c r="L421" s="8"/>
      <c r="M421" s="8"/>
      <c r="N421" s="8"/>
      <c r="O421" s="8"/>
      <c r="P421" s="8"/>
      <c r="Q421" s="8"/>
      <c r="R421" s="8"/>
    </row>
    <row r="422" spans="1:18" ht="12.75" customHeight="1">
      <c r="A422" s="8"/>
      <c r="B422" s="8"/>
      <c r="C422" s="30"/>
      <c r="D422" s="8"/>
      <c r="E422" s="8"/>
      <c r="F422" s="8"/>
      <c r="G422" s="8"/>
      <c r="H422" s="8"/>
      <c r="I422" s="8"/>
      <c r="J422" s="8"/>
      <c r="K422" s="8"/>
      <c r="L422" s="8"/>
      <c r="M422" s="8"/>
      <c r="N422" s="8"/>
      <c r="O422" s="8"/>
      <c r="P422" s="8"/>
      <c r="Q422" s="8"/>
      <c r="R422" s="8"/>
    </row>
    <row r="423" spans="1:18" ht="12.75" customHeight="1">
      <c r="A423" s="8"/>
      <c r="B423" s="8"/>
      <c r="C423" s="30"/>
      <c r="D423" s="8"/>
      <c r="E423" s="8"/>
      <c r="F423" s="8"/>
      <c r="G423" s="8"/>
      <c r="H423" s="8"/>
      <c r="I423" s="8"/>
      <c r="J423" s="8"/>
      <c r="K423" s="8"/>
      <c r="L423" s="8"/>
      <c r="M423" s="8"/>
      <c r="N423" s="8"/>
      <c r="O423" s="8"/>
      <c r="P423" s="8"/>
      <c r="Q423" s="8"/>
      <c r="R423" s="8"/>
    </row>
    <row r="424" spans="1:18" ht="12.75" customHeight="1">
      <c r="A424" s="8"/>
      <c r="B424" s="8"/>
      <c r="C424" s="30"/>
      <c r="D424" s="8"/>
      <c r="E424" s="8"/>
      <c r="F424" s="8"/>
      <c r="G424" s="8"/>
      <c r="H424" s="8"/>
      <c r="I424" s="8"/>
      <c r="J424" s="8"/>
      <c r="K424" s="8"/>
      <c r="L424" s="8"/>
      <c r="M424" s="8"/>
      <c r="N424" s="8"/>
      <c r="O424" s="8"/>
      <c r="P424" s="8"/>
      <c r="Q424" s="8"/>
      <c r="R424" s="8"/>
    </row>
    <row r="425" spans="1:18" ht="12.75" customHeight="1">
      <c r="A425" s="8"/>
      <c r="B425" s="8"/>
      <c r="C425" s="30"/>
      <c r="D425" s="8"/>
      <c r="E425" s="8"/>
      <c r="F425" s="8"/>
      <c r="G425" s="8"/>
      <c r="H425" s="8"/>
      <c r="I425" s="8"/>
      <c r="J425" s="8"/>
      <c r="K425" s="8"/>
      <c r="L425" s="8"/>
      <c r="M425" s="8"/>
      <c r="N425" s="8"/>
      <c r="O425" s="8"/>
      <c r="P425" s="8"/>
      <c r="Q425" s="8"/>
      <c r="R425" s="8"/>
    </row>
    <row r="426" spans="1:18" ht="12.75" customHeight="1">
      <c r="A426" s="8"/>
      <c r="B426" s="8"/>
      <c r="C426" s="30"/>
      <c r="D426" s="8"/>
      <c r="E426" s="8"/>
      <c r="F426" s="8"/>
      <c r="G426" s="8"/>
      <c r="H426" s="8"/>
      <c r="I426" s="8"/>
      <c r="J426" s="8"/>
      <c r="K426" s="8"/>
      <c r="L426" s="8"/>
      <c r="M426" s="8"/>
      <c r="N426" s="8"/>
      <c r="O426" s="8"/>
      <c r="P426" s="8"/>
      <c r="Q426" s="8"/>
      <c r="R426" s="8"/>
    </row>
    <row r="427" spans="1:18" ht="12.75" customHeight="1">
      <c r="A427" s="8"/>
      <c r="B427" s="8"/>
      <c r="C427" s="30"/>
      <c r="D427" s="8"/>
      <c r="E427" s="8"/>
      <c r="F427" s="8"/>
      <c r="G427" s="8"/>
      <c r="H427" s="8"/>
      <c r="I427" s="8"/>
      <c r="J427" s="8"/>
      <c r="K427" s="8"/>
      <c r="L427" s="8"/>
      <c r="M427" s="8"/>
      <c r="N427" s="8"/>
      <c r="O427" s="8"/>
      <c r="P427" s="8"/>
      <c r="Q427" s="8"/>
      <c r="R427" s="8"/>
    </row>
    <row r="428" spans="1:18" ht="12.75" customHeight="1">
      <c r="A428" s="8"/>
      <c r="B428" s="8"/>
      <c r="C428" s="30"/>
      <c r="D428" s="8"/>
      <c r="E428" s="8"/>
      <c r="F428" s="8"/>
      <c r="G428" s="8"/>
      <c r="H428" s="8"/>
      <c r="I428" s="8"/>
      <c r="J428" s="8"/>
      <c r="K428" s="8"/>
      <c r="L428" s="8"/>
      <c r="M428" s="8"/>
      <c r="N428" s="8"/>
      <c r="O428" s="8"/>
      <c r="P428" s="8"/>
      <c r="Q428" s="8"/>
      <c r="R428" s="8"/>
    </row>
    <row r="429" spans="1:18" ht="12.75" customHeight="1">
      <c r="A429" s="8"/>
      <c r="B429" s="8"/>
      <c r="C429" s="30"/>
      <c r="D429" s="8"/>
      <c r="E429" s="8"/>
      <c r="F429" s="8"/>
      <c r="G429" s="8"/>
      <c r="H429" s="8"/>
      <c r="I429" s="8"/>
      <c r="J429" s="8"/>
      <c r="K429" s="8"/>
      <c r="L429" s="8"/>
      <c r="M429" s="8"/>
      <c r="N429" s="8"/>
      <c r="O429" s="8"/>
      <c r="P429" s="8"/>
      <c r="Q429" s="8"/>
      <c r="R429" s="8"/>
    </row>
    <row r="430" spans="1:18" ht="12.75" customHeight="1">
      <c r="A430" s="8"/>
      <c r="B430" s="8"/>
      <c r="C430" s="30"/>
      <c r="D430" s="8"/>
      <c r="E430" s="8"/>
      <c r="F430" s="8"/>
      <c r="G430" s="8"/>
      <c r="H430" s="8"/>
      <c r="I430" s="8"/>
      <c r="J430" s="8"/>
      <c r="K430" s="8"/>
      <c r="L430" s="8"/>
      <c r="M430" s="8"/>
      <c r="N430" s="8"/>
      <c r="O430" s="8"/>
      <c r="P430" s="8"/>
      <c r="Q430" s="8"/>
      <c r="R430" s="8"/>
    </row>
    <row r="431" spans="1:18" ht="12.75" customHeight="1">
      <c r="A431" s="8"/>
      <c r="B431" s="8"/>
      <c r="C431" s="30"/>
      <c r="D431" s="8"/>
      <c r="E431" s="8"/>
      <c r="F431" s="8"/>
      <c r="G431" s="8"/>
      <c r="H431" s="8"/>
      <c r="I431" s="8"/>
      <c r="J431" s="8"/>
      <c r="K431" s="8"/>
      <c r="L431" s="8"/>
      <c r="M431" s="8"/>
      <c r="N431" s="8"/>
      <c r="O431" s="8"/>
      <c r="P431" s="8"/>
      <c r="Q431" s="8"/>
      <c r="R431" s="8"/>
    </row>
    <row r="432" spans="1:18" ht="12.75" customHeight="1">
      <c r="A432" s="8"/>
      <c r="B432" s="8"/>
      <c r="C432" s="30"/>
      <c r="D432" s="8"/>
      <c r="E432" s="8"/>
      <c r="F432" s="8"/>
      <c r="G432" s="8"/>
      <c r="H432" s="8"/>
      <c r="I432" s="8"/>
      <c r="J432" s="8"/>
      <c r="K432" s="8"/>
      <c r="L432" s="8"/>
      <c r="M432" s="8"/>
      <c r="N432" s="8"/>
      <c r="O432" s="8"/>
      <c r="P432" s="8"/>
      <c r="Q432" s="8"/>
      <c r="R432" s="8"/>
    </row>
    <row r="433" spans="1:18" ht="12.75" customHeight="1">
      <c r="A433" s="8"/>
      <c r="B433" s="8"/>
      <c r="C433" s="30"/>
      <c r="D433" s="8"/>
      <c r="E433" s="8"/>
      <c r="F433" s="8"/>
      <c r="G433" s="8"/>
      <c r="H433" s="8"/>
      <c r="I433" s="8"/>
      <c r="J433" s="8"/>
      <c r="K433" s="8"/>
      <c r="L433" s="8"/>
      <c r="M433" s="8"/>
      <c r="N433" s="8"/>
      <c r="O433" s="8"/>
      <c r="P433" s="8"/>
      <c r="Q433" s="8"/>
      <c r="R433" s="8"/>
    </row>
    <row r="434" spans="1:18" ht="12.75" customHeight="1">
      <c r="A434" s="8"/>
      <c r="B434" s="8"/>
      <c r="C434" s="30"/>
      <c r="D434" s="8"/>
      <c r="E434" s="8"/>
      <c r="F434" s="8"/>
      <c r="G434" s="8"/>
      <c r="H434" s="8"/>
      <c r="I434" s="8"/>
      <c r="J434" s="8"/>
      <c r="K434" s="8"/>
      <c r="L434" s="8"/>
      <c r="M434" s="8"/>
      <c r="N434" s="8"/>
      <c r="O434" s="8"/>
      <c r="P434" s="8"/>
      <c r="Q434" s="8"/>
      <c r="R434" s="8"/>
    </row>
    <row r="435" spans="1:18" ht="12.75" customHeight="1">
      <c r="A435" s="8"/>
      <c r="B435" s="8"/>
      <c r="C435" s="30"/>
      <c r="D435" s="8"/>
      <c r="E435" s="8"/>
      <c r="F435" s="8"/>
      <c r="G435" s="8"/>
      <c r="H435" s="8"/>
      <c r="I435" s="8"/>
      <c r="J435" s="8"/>
      <c r="K435" s="8"/>
      <c r="L435" s="8"/>
      <c r="M435" s="8"/>
      <c r="N435" s="8"/>
      <c r="O435" s="8"/>
      <c r="P435" s="8"/>
      <c r="Q435" s="8"/>
      <c r="R435" s="8"/>
    </row>
    <row r="436" spans="1:18" ht="12.75" customHeight="1">
      <c r="A436" s="8"/>
      <c r="B436" s="8"/>
      <c r="C436" s="30"/>
      <c r="D436" s="8"/>
      <c r="E436" s="8"/>
      <c r="F436" s="8"/>
      <c r="G436" s="8"/>
      <c r="H436" s="8"/>
      <c r="I436" s="8"/>
      <c r="J436" s="8"/>
      <c r="K436" s="8"/>
      <c r="L436" s="8"/>
      <c r="M436" s="8"/>
      <c r="N436" s="8"/>
      <c r="O436" s="8"/>
      <c r="P436" s="8"/>
      <c r="Q436" s="8"/>
      <c r="R436" s="8"/>
    </row>
    <row r="437" spans="1:18" ht="12.75" customHeight="1">
      <c r="A437" s="8"/>
      <c r="B437" s="8"/>
      <c r="C437" s="30"/>
      <c r="D437" s="8"/>
      <c r="E437" s="8"/>
      <c r="F437" s="8"/>
      <c r="G437" s="8"/>
      <c r="H437" s="8"/>
      <c r="I437" s="8"/>
      <c r="J437" s="8"/>
      <c r="K437" s="8"/>
      <c r="L437" s="8"/>
      <c r="M437" s="8"/>
      <c r="N437" s="8"/>
      <c r="O437" s="8"/>
      <c r="P437" s="8"/>
      <c r="Q437" s="8"/>
      <c r="R437" s="8"/>
    </row>
    <row r="438" spans="1:18" ht="12.75" customHeight="1">
      <c r="A438" s="8"/>
      <c r="B438" s="8"/>
      <c r="C438" s="30"/>
      <c r="D438" s="8"/>
      <c r="E438" s="8"/>
      <c r="F438" s="8"/>
      <c r="G438" s="8"/>
      <c r="H438" s="8"/>
      <c r="I438" s="8"/>
      <c r="J438" s="8"/>
      <c r="K438" s="8"/>
      <c r="L438" s="8"/>
      <c r="M438" s="8"/>
      <c r="N438" s="8"/>
      <c r="O438" s="8"/>
      <c r="P438" s="8"/>
      <c r="Q438" s="8"/>
      <c r="R438" s="8"/>
    </row>
    <row r="439" spans="1:18" ht="12.75" customHeight="1">
      <c r="A439" s="8"/>
      <c r="B439" s="8"/>
      <c r="C439" s="30"/>
      <c r="D439" s="8"/>
      <c r="E439" s="8"/>
      <c r="F439" s="8"/>
      <c r="G439" s="8"/>
      <c r="H439" s="8"/>
      <c r="I439" s="8"/>
      <c r="J439" s="8"/>
      <c r="K439" s="8"/>
      <c r="L439" s="8"/>
      <c r="M439" s="8"/>
      <c r="N439" s="8"/>
      <c r="O439" s="8"/>
      <c r="P439" s="8"/>
      <c r="Q439" s="8"/>
      <c r="R439" s="8"/>
    </row>
    <row r="440" spans="1:18" ht="12.75" customHeight="1">
      <c r="A440" s="8"/>
      <c r="B440" s="8"/>
      <c r="C440" s="30"/>
      <c r="D440" s="8"/>
      <c r="E440" s="8"/>
      <c r="F440" s="8"/>
      <c r="G440" s="8"/>
      <c r="H440" s="8"/>
      <c r="I440" s="8"/>
      <c r="J440" s="8"/>
      <c r="K440" s="8"/>
      <c r="L440" s="8"/>
      <c r="M440" s="8"/>
      <c r="N440" s="8"/>
      <c r="O440" s="8"/>
      <c r="P440" s="8"/>
      <c r="Q440" s="8"/>
      <c r="R440" s="8"/>
    </row>
    <row r="441" spans="1:18" ht="12.75" customHeight="1">
      <c r="A441" s="8"/>
      <c r="B441" s="8"/>
      <c r="C441" s="30"/>
      <c r="D441" s="8"/>
      <c r="E441" s="8"/>
      <c r="F441" s="8"/>
      <c r="G441" s="8"/>
      <c r="H441" s="8"/>
      <c r="I441" s="8"/>
      <c r="J441" s="8"/>
      <c r="K441" s="8"/>
      <c r="L441" s="8"/>
      <c r="M441" s="8"/>
      <c r="N441" s="8"/>
      <c r="O441" s="8"/>
      <c r="P441" s="8"/>
      <c r="Q441" s="8"/>
      <c r="R441" s="8"/>
    </row>
    <row r="442" spans="1:18" ht="12.75" customHeight="1">
      <c r="A442" s="8"/>
      <c r="B442" s="8"/>
      <c r="C442" s="30"/>
      <c r="D442" s="8"/>
      <c r="E442" s="8"/>
      <c r="F442" s="8"/>
      <c r="G442" s="8"/>
      <c r="H442" s="8"/>
      <c r="I442" s="8"/>
      <c r="J442" s="8"/>
      <c r="K442" s="8"/>
      <c r="L442" s="8"/>
      <c r="M442" s="8"/>
      <c r="N442" s="8"/>
      <c r="O442" s="8"/>
      <c r="P442" s="8"/>
      <c r="Q442" s="8"/>
      <c r="R442" s="8"/>
    </row>
    <row r="443" spans="1:18" ht="12.75" customHeight="1">
      <c r="A443" s="8"/>
      <c r="B443" s="8"/>
      <c r="C443" s="30"/>
      <c r="D443" s="8"/>
      <c r="E443" s="8"/>
      <c r="F443" s="8"/>
      <c r="G443" s="8"/>
      <c r="H443" s="8"/>
      <c r="I443" s="8"/>
      <c r="J443" s="8"/>
      <c r="K443" s="8"/>
      <c r="L443" s="8"/>
      <c r="M443" s="8"/>
      <c r="N443" s="8"/>
      <c r="O443" s="8"/>
      <c r="P443" s="8"/>
      <c r="Q443" s="8"/>
      <c r="R443" s="8"/>
    </row>
    <row r="444" spans="1:18" ht="12.75" customHeight="1">
      <c r="A444" s="8"/>
      <c r="B444" s="8"/>
      <c r="C444" s="30"/>
      <c r="D444" s="8"/>
      <c r="E444" s="8"/>
      <c r="F444" s="8"/>
      <c r="G444" s="8"/>
      <c r="H444" s="8"/>
      <c r="I444" s="8"/>
      <c r="J444" s="8"/>
      <c r="K444" s="8"/>
      <c r="L444" s="8"/>
      <c r="M444" s="8"/>
      <c r="N444" s="8"/>
      <c r="O444" s="8"/>
      <c r="P444" s="8"/>
      <c r="Q444" s="8"/>
      <c r="R444" s="8"/>
    </row>
    <row r="445" spans="1:18" ht="12.75" customHeight="1">
      <c r="A445" s="8"/>
      <c r="B445" s="8"/>
      <c r="C445" s="30"/>
      <c r="D445" s="8"/>
      <c r="E445" s="8"/>
      <c r="F445" s="8"/>
      <c r="G445" s="8"/>
      <c r="H445" s="8"/>
      <c r="I445" s="8"/>
      <c r="J445" s="8"/>
      <c r="K445" s="8"/>
      <c r="L445" s="8"/>
      <c r="M445" s="8"/>
      <c r="N445" s="8"/>
      <c r="O445" s="8"/>
      <c r="P445" s="8"/>
      <c r="Q445" s="8"/>
      <c r="R445" s="8"/>
    </row>
    <row r="446" spans="1:18" ht="12.75" customHeight="1">
      <c r="A446" s="8"/>
      <c r="B446" s="8"/>
      <c r="C446" s="30"/>
      <c r="D446" s="8"/>
      <c r="E446" s="8"/>
      <c r="F446" s="8"/>
      <c r="G446" s="8"/>
      <c r="H446" s="8"/>
      <c r="I446" s="8"/>
      <c r="J446" s="8"/>
      <c r="K446" s="8"/>
      <c r="L446" s="8"/>
      <c r="M446" s="8"/>
      <c r="N446" s="8"/>
      <c r="O446" s="8"/>
      <c r="P446" s="8"/>
      <c r="Q446" s="8"/>
      <c r="R446" s="8"/>
    </row>
    <row r="447" spans="1:18" ht="12.75" customHeight="1">
      <c r="A447" s="8"/>
      <c r="B447" s="8"/>
      <c r="C447" s="30"/>
      <c r="D447" s="8"/>
      <c r="E447" s="8"/>
      <c r="F447" s="8"/>
      <c r="G447" s="8"/>
      <c r="H447" s="8"/>
      <c r="I447" s="8"/>
      <c r="J447" s="8"/>
      <c r="K447" s="8"/>
      <c r="L447" s="8"/>
      <c r="M447" s="8"/>
      <c r="N447" s="8"/>
      <c r="O447" s="8"/>
      <c r="P447" s="8"/>
      <c r="Q447" s="8"/>
      <c r="R447" s="8"/>
    </row>
    <row r="448" spans="1:18" ht="12.75" customHeight="1">
      <c r="A448" s="8"/>
      <c r="B448" s="8"/>
      <c r="C448" s="30"/>
      <c r="D448" s="8"/>
      <c r="E448" s="8"/>
      <c r="F448" s="8"/>
      <c r="G448" s="8"/>
      <c r="H448" s="8"/>
      <c r="I448" s="8"/>
      <c r="J448" s="8"/>
      <c r="K448" s="8"/>
      <c r="L448" s="8"/>
      <c r="M448" s="8"/>
      <c r="N448" s="8"/>
      <c r="O448" s="8"/>
      <c r="P448" s="8"/>
      <c r="Q448" s="8"/>
      <c r="R448" s="8"/>
    </row>
    <row r="449" spans="1:18" ht="12.75" customHeight="1">
      <c r="A449" s="8"/>
      <c r="B449" s="8"/>
      <c r="C449" s="30"/>
      <c r="D449" s="8"/>
      <c r="E449" s="8"/>
      <c r="F449" s="8"/>
      <c r="G449" s="8"/>
      <c r="H449" s="8"/>
      <c r="I449" s="8"/>
      <c r="J449" s="8"/>
      <c r="K449" s="8"/>
      <c r="L449" s="8"/>
      <c r="M449" s="8"/>
      <c r="N449" s="8"/>
      <c r="O449" s="8"/>
      <c r="P449" s="8"/>
      <c r="Q449" s="8"/>
      <c r="R449" s="8"/>
    </row>
    <row r="450" spans="1:18" ht="12.75" customHeight="1">
      <c r="A450" s="8"/>
      <c r="B450" s="8"/>
      <c r="C450" s="30"/>
      <c r="D450" s="8"/>
      <c r="E450" s="8"/>
      <c r="F450" s="8"/>
      <c r="G450" s="8"/>
      <c r="H450" s="8"/>
      <c r="I450" s="8"/>
      <c r="J450" s="8"/>
      <c r="K450" s="8"/>
      <c r="L450" s="8"/>
      <c r="M450" s="8"/>
      <c r="N450" s="8"/>
      <c r="O450" s="8"/>
      <c r="P450" s="8"/>
      <c r="Q450" s="8"/>
      <c r="R450" s="8"/>
    </row>
    <row r="451" spans="1:18" ht="12.75" customHeight="1">
      <c r="A451" s="8"/>
      <c r="B451" s="8"/>
      <c r="C451" s="30"/>
      <c r="D451" s="8"/>
      <c r="E451" s="8"/>
      <c r="F451" s="8"/>
      <c r="G451" s="8"/>
      <c r="H451" s="8"/>
      <c r="I451" s="8"/>
      <c r="J451" s="8"/>
      <c r="K451" s="8"/>
      <c r="L451" s="8"/>
      <c r="M451" s="8"/>
      <c r="N451" s="8"/>
      <c r="O451" s="8"/>
      <c r="P451" s="8"/>
      <c r="Q451" s="8"/>
      <c r="R451" s="8"/>
    </row>
    <row r="452" spans="1:18" ht="12.75" customHeight="1">
      <c r="A452" s="8"/>
      <c r="B452" s="8"/>
      <c r="C452" s="30"/>
      <c r="D452" s="8"/>
      <c r="E452" s="8"/>
      <c r="F452" s="8"/>
      <c r="G452" s="8"/>
      <c r="H452" s="8"/>
      <c r="I452" s="8"/>
      <c r="J452" s="8"/>
      <c r="K452" s="8"/>
      <c r="L452" s="8"/>
      <c r="M452" s="8"/>
      <c r="N452" s="8"/>
      <c r="O452" s="8"/>
      <c r="P452" s="8"/>
      <c r="Q452" s="8"/>
      <c r="R452" s="8"/>
    </row>
    <row r="453" spans="1:18" ht="12.75" customHeight="1">
      <c r="A453" s="8"/>
      <c r="B453" s="8"/>
      <c r="C453" s="30"/>
      <c r="D453" s="8"/>
      <c r="E453" s="8"/>
      <c r="F453" s="8"/>
      <c r="G453" s="8"/>
      <c r="H453" s="8"/>
      <c r="I453" s="8"/>
      <c r="J453" s="8"/>
      <c r="K453" s="8"/>
      <c r="L453" s="8"/>
      <c r="M453" s="8"/>
      <c r="N453" s="8"/>
      <c r="O453" s="8"/>
      <c r="P453" s="8"/>
      <c r="Q453" s="8"/>
      <c r="R453" s="8"/>
    </row>
    <row r="454" spans="1:18" ht="12.75" customHeight="1">
      <c r="A454" s="8"/>
      <c r="B454" s="8"/>
      <c r="C454" s="30"/>
      <c r="D454" s="8"/>
      <c r="E454" s="8"/>
      <c r="F454" s="8"/>
      <c r="G454" s="8"/>
      <c r="H454" s="8"/>
      <c r="I454" s="8"/>
      <c r="J454" s="8"/>
      <c r="K454" s="8"/>
      <c r="L454" s="8"/>
      <c r="M454" s="8"/>
      <c r="N454" s="8"/>
      <c r="O454" s="8"/>
      <c r="P454" s="8"/>
      <c r="Q454" s="8"/>
      <c r="R454" s="8"/>
    </row>
    <row r="455" spans="1:18" ht="12.75" customHeight="1">
      <c r="A455" s="8"/>
      <c r="B455" s="8"/>
      <c r="C455" s="30"/>
      <c r="D455" s="8"/>
      <c r="E455" s="8"/>
      <c r="F455" s="8"/>
      <c r="G455" s="8"/>
      <c r="H455" s="8"/>
      <c r="I455" s="8"/>
      <c r="J455" s="8"/>
      <c r="K455" s="8"/>
      <c r="L455" s="8"/>
      <c r="M455" s="8"/>
      <c r="N455" s="8"/>
      <c r="O455" s="8"/>
      <c r="P455" s="8"/>
      <c r="Q455" s="8"/>
      <c r="R455" s="8"/>
    </row>
    <row r="456" spans="1:18" ht="12.75" customHeight="1">
      <c r="A456" s="8"/>
      <c r="B456" s="8"/>
      <c r="C456" s="30"/>
      <c r="D456" s="8"/>
      <c r="E456" s="8"/>
      <c r="F456" s="8"/>
      <c r="G456" s="8"/>
      <c r="H456" s="8"/>
      <c r="I456" s="8"/>
      <c r="J456" s="8"/>
      <c r="K456" s="8"/>
      <c r="L456" s="8"/>
      <c r="M456" s="8"/>
      <c r="N456" s="8"/>
      <c r="O456" s="8"/>
      <c r="P456" s="8"/>
      <c r="Q456" s="8"/>
      <c r="R456" s="8"/>
    </row>
    <row r="457" spans="1:18" ht="12.75" customHeight="1">
      <c r="A457" s="8"/>
      <c r="B457" s="8"/>
      <c r="C457" s="30"/>
      <c r="D457" s="8"/>
      <c r="E457" s="8"/>
      <c r="F457" s="8"/>
      <c r="G457" s="8"/>
      <c r="H457" s="8"/>
      <c r="I457" s="8"/>
      <c r="J457" s="8"/>
      <c r="K457" s="8"/>
      <c r="L457" s="8"/>
      <c r="M457" s="8"/>
      <c r="N457" s="8"/>
      <c r="O457" s="8"/>
      <c r="P457" s="8"/>
      <c r="Q457" s="8"/>
      <c r="R457" s="8"/>
    </row>
    <row r="458" spans="1:18" ht="12.75" customHeight="1">
      <c r="A458" s="8"/>
      <c r="B458" s="8"/>
      <c r="C458" s="30"/>
      <c r="D458" s="8"/>
      <c r="E458" s="8"/>
      <c r="F458" s="8"/>
      <c r="G458" s="8"/>
      <c r="H458" s="8"/>
      <c r="I458" s="8"/>
      <c r="J458" s="8"/>
      <c r="K458" s="8"/>
      <c r="L458" s="8"/>
      <c r="M458" s="8"/>
      <c r="N458" s="8"/>
      <c r="O458" s="8"/>
      <c r="P458" s="8"/>
      <c r="Q458" s="8"/>
      <c r="R458" s="8"/>
    </row>
    <row r="459" spans="1:18" ht="12.75" customHeight="1">
      <c r="A459" s="8"/>
      <c r="B459" s="8"/>
      <c r="C459" s="30"/>
      <c r="D459" s="8"/>
      <c r="E459" s="8"/>
      <c r="F459" s="8"/>
      <c r="G459" s="8"/>
      <c r="H459" s="8"/>
      <c r="I459" s="8"/>
      <c r="J459" s="8"/>
      <c r="K459" s="8"/>
      <c r="L459" s="8"/>
      <c r="M459" s="8"/>
      <c r="N459" s="8"/>
      <c r="O459" s="8"/>
      <c r="P459" s="8"/>
      <c r="Q459" s="8"/>
      <c r="R459" s="8"/>
    </row>
    <row r="460" spans="1:18" ht="12.75" customHeight="1">
      <c r="A460" s="8"/>
      <c r="B460" s="8"/>
      <c r="C460" s="30"/>
      <c r="D460" s="8"/>
      <c r="E460" s="8"/>
      <c r="F460" s="8"/>
      <c r="G460" s="8"/>
      <c r="H460" s="8"/>
      <c r="I460" s="8"/>
      <c r="J460" s="8"/>
      <c r="K460" s="8"/>
      <c r="L460" s="8"/>
      <c r="M460" s="8"/>
      <c r="N460" s="8"/>
      <c r="O460" s="8"/>
      <c r="P460" s="8"/>
      <c r="Q460" s="8"/>
      <c r="R460" s="8"/>
    </row>
    <row r="461" spans="1:18" ht="12.75" customHeight="1">
      <c r="A461" s="8"/>
      <c r="B461" s="8"/>
      <c r="C461" s="30"/>
      <c r="D461" s="8"/>
      <c r="E461" s="8"/>
      <c r="F461" s="8"/>
      <c r="G461" s="8"/>
      <c r="H461" s="8"/>
      <c r="I461" s="8"/>
      <c r="J461" s="8"/>
      <c r="K461" s="8"/>
      <c r="L461" s="8"/>
      <c r="M461" s="8"/>
      <c r="N461" s="8"/>
      <c r="O461" s="8"/>
      <c r="P461" s="8"/>
      <c r="Q461" s="8"/>
      <c r="R461" s="8"/>
    </row>
    <row r="462" spans="1:18" ht="12.75" customHeight="1">
      <c r="A462" s="8"/>
      <c r="B462" s="8"/>
      <c r="C462" s="30"/>
      <c r="D462" s="8"/>
      <c r="E462" s="8"/>
      <c r="F462" s="8"/>
      <c r="G462" s="8"/>
      <c r="H462" s="8"/>
      <c r="I462" s="8"/>
      <c r="J462" s="8"/>
      <c r="K462" s="8"/>
      <c r="L462" s="8"/>
      <c r="M462" s="8"/>
      <c r="N462" s="8"/>
      <c r="O462" s="8"/>
      <c r="P462" s="8"/>
      <c r="Q462" s="8"/>
      <c r="R462" s="8"/>
    </row>
    <row r="463" spans="1:18" ht="12.75" customHeight="1">
      <c r="A463" s="8"/>
      <c r="B463" s="8"/>
      <c r="C463" s="30"/>
      <c r="D463" s="8"/>
      <c r="E463" s="8"/>
      <c r="F463" s="8"/>
      <c r="G463" s="8"/>
      <c r="H463" s="8"/>
      <c r="I463" s="8"/>
      <c r="J463" s="8"/>
      <c r="K463" s="8"/>
      <c r="L463" s="8"/>
      <c r="M463" s="8"/>
      <c r="N463" s="8"/>
      <c r="O463" s="8"/>
      <c r="P463" s="8"/>
      <c r="Q463" s="8"/>
      <c r="R463" s="8"/>
    </row>
    <row r="464" spans="1:18" ht="12.75" customHeight="1">
      <c r="A464" s="8"/>
      <c r="B464" s="8"/>
      <c r="C464" s="30"/>
      <c r="D464" s="8"/>
      <c r="E464" s="8"/>
      <c r="F464" s="8"/>
      <c r="G464" s="8"/>
      <c r="H464" s="8"/>
      <c r="I464" s="8"/>
      <c r="J464" s="8"/>
      <c r="K464" s="8"/>
      <c r="L464" s="8"/>
      <c r="M464" s="8"/>
      <c r="N464" s="8"/>
      <c r="O464" s="8"/>
      <c r="P464" s="8"/>
      <c r="Q464" s="8"/>
      <c r="R464" s="8"/>
    </row>
    <row r="465" spans="1:18" ht="12.75" customHeight="1">
      <c r="A465" s="8"/>
      <c r="B465" s="8"/>
      <c r="C465" s="30"/>
      <c r="D465" s="8"/>
      <c r="E465" s="8"/>
      <c r="F465" s="8"/>
      <c r="G465" s="8"/>
      <c r="H465" s="8"/>
      <c r="I465" s="8"/>
      <c r="J465" s="8"/>
      <c r="K465" s="8"/>
      <c r="L465" s="8"/>
      <c r="M465" s="8"/>
      <c r="N465" s="8"/>
      <c r="O465" s="8"/>
      <c r="P465" s="8"/>
      <c r="Q465" s="8"/>
      <c r="R465" s="8"/>
    </row>
    <row r="466" spans="1:18" ht="12.75" customHeight="1">
      <c r="A466" s="8"/>
      <c r="B466" s="8"/>
      <c r="C466" s="30"/>
      <c r="D466" s="8"/>
      <c r="E466" s="8"/>
      <c r="F466" s="8"/>
      <c r="G466" s="8"/>
      <c r="H466" s="8"/>
      <c r="I466" s="8"/>
      <c r="J466" s="8"/>
      <c r="K466" s="8"/>
      <c r="L466" s="8"/>
      <c r="M466" s="8"/>
      <c r="N466" s="8"/>
      <c r="O466" s="8"/>
      <c r="P466" s="8"/>
      <c r="Q466" s="8"/>
      <c r="R466" s="8"/>
    </row>
    <row r="467" spans="1:18" ht="12.75" customHeight="1">
      <c r="A467" s="8"/>
      <c r="B467" s="8"/>
      <c r="C467" s="30"/>
      <c r="D467" s="8"/>
      <c r="E467" s="8"/>
      <c r="F467" s="8"/>
      <c r="G467" s="8"/>
      <c r="H467" s="8"/>
      <c r="I467" s="8"/>
      <c r="J467" s="8"/>
      <c r="K467" s="8"/>
      <c r="L467" s="8"/>
      <c r="M467" s="8"/>
      <c r="N467" s="8"/>
      <c r="O467" s="8"/>
      <c r="P467" s="8"/>
      <c r="Q467" s="8"/>
      <c r="R467" s="8"/>
    </row>
    <row r="468" spans="1:18" ht="12.75" customHeight="1">
      <c r="A468" s="8"/>
      <c r="B468" s="8"/>
      <c r="C468" s="30"/>
      <c r="D468" s="8"/>
      <c r="E468" s="8"/>
      <c r="F468" s="8"/>
      <c r="G468" s="8"/>
      <c r="H468" s="8"/>
      <c r="I468" s="8"/>
      <c r="J468" s="8"/>
      <c r="K468" s="8"/>
      <c r="L468" s="8"/>
      <c r="M468" s="8"/>
      <c r="N468" s="8"/>
      <c r="O468" s="8"/>
      <c r="P468" s="8"/>
      <c r="Q468" s="8"/>
      <c r="R468" s="8"/>
    </row>
    <row r="469" spans="1:18" ht="12.75" customHeight="1">
      <c r="A469" s="8"/>
      <c r="B469" s="8"/>
      <c r="C469" s="30"/>
      <c r="D469" s="8"/>
      <c r="E469" s="8"/>
      <c r="F469" s="8"/>
      <c r="G469" s="8"/>
      <c r="H469" s="8"/>
      <c r="I469" s="8"/>
      <c r="J469" s="8"/>
      <c r="K469" s="8"/>
      <c r="L469" s="8"/>
      <c r="M469" s="8"/>
      <c r="N469" s="8"/>
      <c r="O469" s="8"/>
      <c r="P469" s="8"/>
      <c r="Q469" s="8"/>
      <c r="R469" s="8"/>
    </row>
    <row r="470" spans="1:18" ht="12.75" customHeight="1">
      <c r="A470" s="8"/>
      <c r="B470" s="8"/>
      <c r="C470" s="30"/>
      <c r="D470" s="8"/>
      <c r="E470" s="8"/>
      <c r="F470" s="8"/>
      <c r="G470" s="8"/>
      <c r="H470" s="8"/>
      <c r="I470" s="8"/>
      <c r="J470" s="8"/>
      <c r="K470" s="8"/>
      <c r="L470" s="8"/>
      <c r="M470" s="8"/>
      <c r="N470" s="8"/>
      <c r="O470" s="8"/>
      <c r="P470" s="8"/>
      <c r="Q470" s="8"/>
      <c r="R470" s="8"/>
    </row>
    <row r="471" spans="1:18" ht="12.75" customHeight="1">
      <c r="A471" s="8"/>
      <c r="B471" s="8"/>
      <c r="C471" s="30"/>
      <c r="D471" s="8"/>
      <c r="E471" s="8"/>
      <c r="F471" s="8"/>
      <c r="G471" s="8"/>
      <c r="H471" s="8"/>
      <c r="I471" s="8"/>
      <c r="J471" s="8"/>
      <c r="K471" s="8"/>
      <c r="L471" s="8"/>
      <c r="M471" s="8"/>
      <c r="N471" s="8"/>
      <c r="O471" s="8"/>
      <c r="P471" s="8"/>
      <c r="Q471" s="8"/>
      <c r="R471" s="8"/>
    </row>
    <row r="472" spans="1:18" ht="12.75" customHeight="1">
      <c r="A472" s="8"/>
      <c r="B472" s="8"/>
      <c r="C472" s="30"/>
      <c r="D472" s="8"/>
      <c r="E472" s="8"/>
      <c r="F472" s="8"/>
      <c r="G472" s="8"/>
      <c r="H472" s="8"/>
      <c r="I472" s="8"/>
      <c r="J472" s="8"/>
      <c r="K472" s="8"/>
      <c r="L472" s="8"/>
      <c r="M472" s="8"/>
      <c r="N472" s="8"/>
      <c r="O472" s="8"/>
      <c r="P472" s="8"/>
      <c r="Q472" s="8"/>
      <c r="R472" s="8"/>
    </row>
    <row r="473" spans="1:18" ht="12.75" customHeight="1">
      <c r="A473" s="8"/>
      <c r="B473" s="8"/>
      <c r="C473" s="30"/>
      <c r="D473" s="8"/>
      <c r="E473" s="8"/>
      <c r="F473" s="8"/>
      <c r="G473" s="8"/>
      <c r="H473" s="8"/>
      <c r="I473" s="8"/>
      <c r="J473" s="8"/>
      <c r="K473" s="8"/>
      <c r="L473" s="8"/>
      <c r="M473" s="8"/>
      <c r="N473" s="8"/>
      <c r="O473" s="8"/>
      <c r="P473" s="8"/>
      <c r="Q473" s="8"/>
      <c r="R473" s="8"/>
    </row>
    <row r="474" spans="1:18" ht="12.75" customHeight="1">
      <c r="A474" s="8"/>
      <c r="B474" s="8"/>
      <c r="C474" s="30"/>
      <c r="D474" s="8"/>
      <c r="E474" s="8"/>
      <c r="F474" s="8"/>
      <c r="G474" s="8"/>
      <c r="H474" s="8"/>
      <c r="I474" s="8"/>
      <c r="J474" s="8"/>
      <c r="K474" s="8"/>
      <c r="L474" s="8"/>
      <c r="M474" s="8"/>
      <c r="N474" s="8"/>
      <c r="O474" s="8"/>
      <c r="P474" s="8"/>
      <c r="Q474" s="8"/>
      <c r="R474" s="8"/>
    </row>
    <row r="475" spans="1:18" ht="12.75" customHeight="1">
      <c r="A475" s="8"/>
      <c r="B475" s="8"/>
      <c r="C475" s="30"/>
      <c r="D475" s="8"/>
      <c r="E475" s="8"/>
      <c r="F475" s="8"/>
      <c r="G475" s="8"/>
      <c r="H475" s="8"/>
      <c r="I475" s="8"/>
      <c r="J475" s="8"/>
      <c r="K475" s="8"/>
      <c r="L475" s="8"/>
      <c r="M475" s="8"/>
      <c r="N475" s="8"/>
      <c r="O475" s="8"/>
      <c r="P475" s="8"/>
      <c r="Q475" s="8"/>
      <c r="R475" s="8"/>
    </row>
    <row r="476" spans="1:18" ht="12.75" customHeight="1">
      <c r="A476" s="8"/>
      <c r="B476" s="8"/>
      <c r="C476" s="30"/>
      <c r="D476" s="8"/>
      <c r="E476" s="8"/>
      <c r="F476" s="8"/>
      <c r="G476" s="8"/>
      <c r="H476" s="8"/>
      <c r="I476" s="8"/>
      <c r="J476" s="8"/>
      <c r="K476" s="8"/>
      <c r="L476" s="8"/>
      <c r="M476" s="8"/>
      <c r="N476" s="8"/>
      <c r="O476" s="8"/>
      <c r="P476" s="8"/>
      <c r="Q476" s="8"/>
      <c r="R476" s="8"/>
    </row>
    <row r="477" spans="1:18" ht="12.75" customHeight="1">
      <c r="A477" s="8"/>
      <c r="B477" s="8"/>
      <c r="C477" s="30"/>
      <c r="D477" s="8"/>
      <c r="E477" s="8"/>
      <c r="F477" s="8"/>
      <c r="G477" s="8"/>
      <c r="H477" s="8"/>
      <c r="I477" s="8"/>
      <c r="J477" s="8"/>
      <c r="K477" s="8"/>
      <c r="L477" s="8"/>
      <c r="M477" s="8"/>
      <c r="N477" s="8"/>
      <c r="O477" s="8"/>
      <c r="P477" s="8"/>
      <c r="Q477" s="8"/>
      <c r="R477" s="8"/>
    </row>
    <row r="478" spans="1:18" ht="12.75" customHeight="1">
      <c r="A478" s="8"/>
      <c r="B478" s="8"/>
      <c r="C478" s="30"/>
      <c r="D478" s="8"/>
      <c r="E478" s="8"/>
      <c r="F478" s="8"/>
      <c r="G478" s="8"/>
      <c r="H478" s="8"/>
      <c r="I478" s="8"/>
      <c r="J478" s="8"/>
      <c r="K478" s="8"/>
      <c r="L478" s="8"/>
      <c r="M478" s="8"/>
      <c r="N478" s="8"/>
      <c r="O478" s="8"/>
      <c r="P478" s="8"/>
      <c r="Q478" s="8"/>
      <c r="R478" s="8"/>
    </row>
    <row r="479" spans="1:18" ht="12.75" customHeight="1">
      <c r="A479" s="8"/>
      <c r="B479" s="8"/>
      <c r="C479" s="30"/>
      <c r="D479" s="8"/>
      <c r="E479" s="8"/>
      <c r="F479" s="8"/>
      <c r="G479" s="8"/>
      <c r="H479" s="8"/>
      <c r="I479" s="8"/>
      <c r="J479" s="8"/>
      <c r="K479" s="8"/>
      <c r="L479" s="8"/>
      <c r="M479" s="8"/>
      <c r="N479" s="8"/>
      <c r="O479" s="8"/>
      <c r="P479" s="8"/>
      <c r="Q479" s="8"/>
      <c r="R479" s="8"/>
    </row>
    <row r="480" spans="1:18" ht="12.75" customHeight="1">
      <c r="A480" s="8"/>
      <c r="B480" s="8"/>
      <c r="C480" s="30"/>
      <c r="D480" s="8"/>
      <c r="E480" s="8"/>
      <c r="F480" s="8"/>
      <c r="G480" s="8"/>
      <c r="H480" s="8"/>
      <c r="I480" s="8"/>
      <c r="J480" s="8"/>
      <c r="K480" s="8"/>
      <c r="L480" s="8"/>
      <c r="M480" s="8"/>
      <c r="N480" s="8"/>
      <c r="O480" s="8"/>
      <c r="P480" s="8"/>
      <c r="Q480" s="8"/>
      <c r="R480" s="8"/>
    </row>
    <row r="481" spans="1:18" ht="12.75" customHeight="1">
      <c r="A481" s="8"/>
      <c r="B481" s="8"/>
      <c r="C481" s="30"/>
      <c r="D481" s="8"/>
      <c r="E481" s="8"/>
      <c r="F481" s="8"/>
      <c r="G481" s="8"/>
      <c r="H481" s="8"/>
      <c r="I481" s="8"/>
      <c r="J481" s="8"/>
      <c r="K481" s="8"/>
      <c r="L481" s="8"/>
      <c r="M481" s="8"/>
      <c r="N481" s="8"/>
      <c r="O481" s="8"/>
      <c r="P481" s="8"/>
      <c r="Q481" s="8"/>
      <c r="R481" s="8"/>
    </row>
    <row r="482" spans="1:18" ht="12.75" customHeight="1">
      <c r="A482" s="8"/>
      <c r="B482" s="8"/>
      <c r="C482" s="30"/>
      <c r="D482" s="8"/>
      <c r="E482" s="8"/>
      <c r="F482" s="8"/>
      <c r="G482" s="8"/>
      <c r="H482" s="8"/>
      <c r="I482" s="8"/>
      <c r="J482" s="8"/>
      <c r="K482" s="8"/>
      <c r="L482" s="8"/>
      <c r="M482" s="8"/>
      <c r="N482" s="8"/>
      <c r="O482" s="8"/>
      <c r="P482" s="8"/>
      <c r="Q482" s="8"/>
      <c r="R482" s="8"/>
    </row>
    <row r="483" spans="1:18" ht="12.75" customHeight="1">
      <c r="A483" s="8"/>
      <c r="B483" s="8"/>
      <c r="C483" s="30"/>
      <c r="D483" s="8"/>
      <c r="E483" s="8"/>
      <c r="F483" s="8"/>
      <c r="G483" s="8"/>
      <c r="H483" s="8"/>
      <c r="I483" s="8"/>
      <c r="J483" s="8"/>
      <c r="K483" s="8"/>
      <c r="L483" s="8"/>
      <c r="M483" s="8"/>
      <c r="N483" s="8"/>
      <c r="O483" s="8"/>
      <c r="P483" s="8"/>
      <c r="Q483" s="8"/>
      <c r="R483" s="8"/>
    </row>
    <row r="484" spans="1:18" ht="12.75" customHeight="1">
      <c r="A484" s="8"/>
      <c r="B484" s="8"/>
      <c r="C484" s="30"/>
      <c r="D484" s="8"/>
      <c r="E484" s="8"/>
      <c r="F484" s="8"/>
      <c r="G484" s="8"/>
      <c r="H484" s="8"/>
      <c r="I484" s="8"/>
      <c r="J484" s="8"/>
      <c r="K484" s="8"/>
      <c r="L484" s="8"/>
      <c r="M484" s="8"/>
      <c r="N484" s="8"/>
      <c r="O484" s="8"/>
      <c r="P484" s="8"/>
      <c r="Q484" s="8"/>
      <c r="R484" s="8"/>
    </row>
    <row r="485" spans="1:18" ht="12.75" customHeight="1">
      <c r="A485" s="8"/>
      <c r="B485" s="8"/>
      <c r="C485" s="30"/>
      <c r="D485" s="8"/>
      <c r="E485" s="8"/>
      <c r="F485" s="8"/>
      <c r="G485" s="8"/>
      <c r="H485" s="8"/>
      <c r="I485" s="8"/>
      <c r="J485" s="8"/>
      <c r="K485" s="8"/>
      <c r="L485" s="8"/>
      <c r="M485" s="8"/>
      <c r="N485" s="8"/>
      <c r="O485" s="8"/>
      <c r="P485" s="8"/>
      <c r="Q485" s="8"/>
      <c r="R485" s="8"/>
    </row>
    <row r="486" spans="1:18" ht="12.75" customHeight="1">
      <c r="A486" s="8"/>
      <c r="B486" s="8"/>
      <c r="C486" s="30"/>
      <c r="D486" s="8"/>
      <c r="E486" s="8"/>
      <c r="F486" s="8"/>
      <c r="G486" s="8"/>
      <c r="H486" s="8"/>
      <c r="I486" s="8"/>
      <c r="J486" s="8"/>
      <c r="K486" s="8"/>
      <c r="L486" s="8"/>
      <c r="M486" s="8"/>
      <c r="N486" s="8"/>
      <c r="O486" s="8"/>
      <c r="P486" s="8"/>
      <c r="Q486" s="8"/>
      <c r="R486" s="8"/>
    </row>
    <row r="487" spans="1:18" ht="12.75" customHeight="1">
      <c r="A487" s="8"/>
      <c r="B487" s="8"/>
      <c r="C487" s="30"/>
      <c r="D487" s="8"/>
      <c r="E487" s="8"/>
      <c r="F487" s="8"/>
      <c r="G487" s="8"/>
      <c r="H487" s="8"/>
      <c r="I487" s="8"/>
      <c r="J487" s="8"/>
      <c r="K487" s="8"/>
      <c r="L487" s="8"/>
      <c r="M487" s="8"/>
      <c r="N487" s="8"/>
      <c r="O487" s="8"/>
      <c r="P487" s="8"/>
      <c r="Q487" s="8"/>
      <c r="R487" s="8"/>
    </row>
    <row r="488" spans="1:18" ht="12.75" customHeight="1">
      <c r="A488" s="8"/>
      <c r="B488" s="8"/>
      <c r="C488" s="30"/>
      <c r="D488" s="8"/>
      <c r="E488" s="8"/>
      <c r="F488" s="8"/>
      <c r="G488" s="8"/>
      <c r="H488" s="8"/>
      <c r="I488" s="8"/>
      <c r="J488" s="8"/>
      <c r="K488" s="8"/>
      <c r="L488" s="8"/>
      <c r="M488" s="8"/>
      <c r="N488" s="8"/>
      <c r="O488" s="8"/>
      <c r="P488" s="8"/>
      <c r="Q488" s="8"/>
      <c r="R488" s="8"/>
    </row>
    <row r="489" spans="1:18" ht="12.75" customHeight="1">
      <c r="A489" s="8"/>
      <c r="B489" s="8"/>
      <c r="C489" s="30"/>
      <c r="D489" s="8"/>
      <c r="E489" s="8"/>
      <c r="F489" s="8"/>
      <c r="G489" s="8"/>
      <c r="H489" s="8"/>
      <c r="I489" s="8"/>
      <c r="J489" s="8"/>
      <c r="K489" s="8"/>
      <c r="L489" s="8"/>
      <c r="M489" s="8"/>
      <c r="N489" s="8"/>
      <c r="O489" s="8"/>
      <c r="P489" s="8"/>
      <c r="Q489" s="8"/>
      <c r="R489" s="8"/>
    </row>
    <row r="490" spans="1:18" ht="12.75" customHeight="1">
      <c r="A490" s="8"/>
      <c r="B490" s="8"/>
      <c r="C490" s="30"/>
      <c r="D490" s="8"/>
      <c r="E490" s="8"/>
      <c r="F490" s="8"/>
      <c r="G490" s="8"/>
      <c r="H490" s="8"/>
      <c r="I490" s="8"/>
      <c r="J490" s="8"/>
      <c r="K490" s="8"/>
      <c r="L490" s="8"/>
      <c r="M490" s="8"/>
      <c r="N490" s="8"/>
      <c r="O490" s="8"/>
      <c r="P490" s="8"/>
      <c r="Q490" s="8"/>
      <c r="R490" s="8"/>
    </row>
    <row r="491" spans="1:18" ht="12.75" customHeight="1">
      <c r="A491" s="8"/>
      <c r="B491" s="8"/>
      <c r="C491" s="30"/>
      <c r="D491" s="8"/>
      <c r="E491" s="8"/>
      <c r="F491" s="8"/>
      <c r="G491" s="8"/>
      <c r="H491" s="8"/>
      <c r="I491" s="8"/>
      <c r="J491" s="8"/>
      <c r="K491" s="8"/>
      <c r="L491" s="8"/>
      <c r="M491" s="8"/>
      <c r="N491" s="8"/>
      <c r="O491" s="8"/>
      <c r="P491" s="8"/>
      <c r="Q491" s="8"/>
      <c r="R491" s="8"/>
    </row>
    <row r="492" spans="1:18" ht="12.75" customHeight="1">
      <c r="A492" s="8"/>
      <c r="B492" s="8"/>
      <c r="C492" s="30"/>
      <c r="D492" s="8"/>
      <c r="E492" s="8"/>
      <c r="F492" s="8"/>
      <c r="G492" s="8"/>
      <c r="H492" s="8"/>
      <c r="I492" s="8"/>
      <c r="J492" s="8"/>
      <c r="K492" s="8"/>
      <c r="L492" s="8"/>
      <c r="M492" s="8"/>
      <c r="N492" s="8"/>
      <c r="O492" s="8"/>
      <c r="P492" s="8"/>
      <c r="Q492" s="8"/>
      <c r="R492" s="8"/>
    </row>
    <row r="493" spans="1:18" ht="12.75" customHeight="1">
      <c r="A493" s="8"/>
      <c r="B493" s="8"/>
      <c r="C493" s="30"/>
      <c r="D493" s="8"/>
      <c r="E493" s="8"/>
      <c r="F493" s="8"/>
      <c r="G493" s="8"/>
      <c r="H493" s="8"/>
      <c r="I493" s="8"/>
      <c r="J493" s="8"/>
      <c r="K493" s="8"/>
      <c r="L493" s="8"/>
      <c r="M493" s="8"/>
      <c r="N493" s="8"/>
      <c r="O493" s="8"/>
      <c r="P493" s="8"/>
      <c r="Q493" s="8"/>
      <c r="R493" s="8"/>
    </row>
    <row r="494" spans="1:18" ht="12.75" customHeight="1">
      <c r="A494" s="8"/>
      <c r="B494" s="8"/>
      <c r="C494" s="30"/>
      <c r="D494" s="8"/>
      <c r="E494" s="8"/>
      <c r="F494" s="8"/>
      <c r="G494" s="8"/>
      <c r="H494" s="8"/>
      <c r="I494" s="8"/>
      <c r="J494" s="8"/>
      <c r="K494" s="8"/>
      <c r="L494" s="8"/>
      <c r="M494" s="8"/>
      <c r="N494" s="8"/>
      <c r="O494" s="8"/>
      <c r="P494" s="8"/>
      <c r="Q494" s="8"/>
      <c r="R494" s="8"/>
    </row>
    <row r="495" spans="1:18" ht="12.75" customHeight="1">
      <c r="A495" s="8"/>
      <c r="B495" s="8"/>
      <c r="C495" s="30"/>
      <c r="D495" s="8"/>
      <c r="E495" s="8"/>
      <c r="F495" s="8"/>
      <c r="G495" s="8"/>
      <c r="H495" s="8"/>
      <c r="I495" s="8"/>
      <c r="J495" s="8"/>
      <c r="K495" s="8"/>
      <c r="L495" s="8"/>
      <c r="M495" s="8"/>
      <c r="N495" s="8"/>
      <c r="O495" s="8"/>
      <c r="P495" s="8"/>
      <c r="Q495" s="8"/>
      <c r="R495" s="8"/>
    </row>
    <row r="496" spans="1:18" ht="12.75" customHeight="1">
      <c r="A496" s="8"/>
      <c r="B496" s="8"/>
      <c r="C496" s="30"/>
      <c r="D496" s="8"/>
      <c r="E496" s="8"/>
      <c r="F496" s="8"/>
      <c r="G496" s="8"/>
      <c r="H496" s="8"/>
      <c r="I496" s="8"/>
      <c r="J496" s="8"/>
      <c r="K496" s="8"/>
      <c r="L496" s="8"/>
      <c r="M496" s="8"/>
      <c r="N496" s="8"/>
      <c r="O496" s="8"/>
      <c r="P496" s="8"/>
      <c r="Q496" s="8"/>
      <c r="R496" s="8"/>
    </row>
    <row r="497" spans="1:18" ht="12.75" customHeight="1">
      <c r="A497" s="8"/>
      <c r="B497" s="8"/>
      <c r="C497" s="30"/>
      <c r="D497" s="8"/>
      <c r="E497" s="8"/>
      <c r="F497" s="8"/>
      <c r="G497" s="8"/>
      <c r="H497" s="8"/>
      <c r="I497" s="8"/>
      <c r="J497" s="8"/>
      <c r="K497" s="8"/>
      <c r="L497" s="8"/>
      <c r="M497" s="8"/>
      <c r="N497" s="8"/>
      <c r="O497" s="8"/>
      <c r="P497" s="8"/>
      <c r="Q497" s="8"/>
      <c r="R497" s="8"/>
    </row>
    <row r="498" spans="1:18" ht="12.75" customHeight="1">
      <c r="A498" s="8"/>
      <c r="B498" s="8"/>
      <c r="C498" s="30"/>
      <c r="D498" s="8"/>
      <c r="E498" s="8"/>
      <c r="F498" s="8"/>
      <c r="G498" s="8"/>
      <c r="H498" s="8"/>
      <c r="I498" s="8"/>
      <c r="J498" s="8"/>
      <c r="K498" s="8"/>
      <c r="L498" s="8"/>
      <c r="M498" s="8"/>
      <c r="N498" s="8"/>
      <c r="O498" s="8"/>
      <c r="P498" s="8"/>
      <c r="Q498" s="8"/>
      <c r="R498" s="8"/>
    </row>
    <row r="499" spans="1:18" ht="12.75" customHeight="1">
      <c r="A499" s="8"/>
      <c r="B499" s="8"/>
      <c r="C499" s="30"/>
      <c r="D499" s="8"/>
      <c r="E499" s="8"/>
      <c r="F499" s="8"/>
      <c r="G499" s="8"/>
      <c r="H499" s="8"/>
      <c r="I499" s="8"/>
      <c r="J499" s="8"/>
      <c r="K499" s="8"/>
      <c r="L499" s="8"/>
      <c r="M499" s="8"/>
      <c r="N499" s="8"/>
      <c r="O499" s="8"/>
      <c r="P499" s="8"/>
      <c r="Q499" s="8"/>
      <c r="R499" s="8"/>
    </row>
    <row r="500" spans="1:18" ht="12.75" customHeight="1">
      <c r="A500" s="8"/>
      <c r="B500" s="8"/>
      <c r="C500" s="30"/>
      <c r="D500" s="8"/>
      <c r="E500" s="8"/>
      <c r="F500" s="8"/>
      <c r="G500" s="8"/>
      <c r="H500" s="8"/>
      <c r="I500" s="8"/>
      <c r="J500" s="8"/>
      <c r="K500" s="8"/>
      <c r="L500" s="8"/>
      <c r="M500" s="8"/>
      <c r="N500" s="8"/>
      <c r="O500" s="8"/>
      <c r="P500" s="8"/>
      <c r="Q500" s="8"/>
      <c r="R500" s="8"/>
    </row>
    <row r="501" spans="1:18" ht="12.75" customHeight="1">
      <c r="A501" s="8"/>
      <c r="B501" s="8"/>
      <c r="C501" s="30"/>
      <c r="D501" s="8"/>
      <c r="E501" s="8"/>
      <c r="F501" s="8"/>
      <c r="G501" s="8"/>
      <c r="H501" s="8"/>
      <c r="I501" s="8"/>
      <c r="J501" s="8"/>
      <c r="K501" s="8"/>
      <c r="L501" s="8"/>
      <c r="M501" s="8"/>
      <c r="N501" s="8"/>
      <c r="O501" s="8"/>
      <c r="P501" s="8"/>
      <c r="Q501" s="8"/>
      <c r="R501" s="8"/>
    </row>
    <row r="502" spans="1:18" ht="12.75" customHeight="1">
      <c r="A502" s="8"/>
      <c r="B502" s="8"/>
      <c r="C502" s="30"/>
      <c r="D502" s="8"/>
      <c r="E502" s="8"/>
      <c r="F502" s="8"/>
      <c r="G502" s="8"/>
      <c r="H502" s="8"/>
      <c r="I502" s="8"/>
      <c r="J502" s="8"/>
      <c r="K502" s="8"/>
      <c r="L502" s="8"/>
      <c r="M502" s="8"/>
      <c r="N502" s="8"/>
      <c r="O502" s="8"/>
      <c r="P502" s="8"/>
      <c r="Q502" s="8"/>
      <c r="R502" s="8"/>
    </row>
    <row r="503" spans="1:18" ht="12.75" customHeight="1">
      <c r="A503" s="8"/>
      <c r="B503" s="8"/>
      <c r="C503" s="30"/>
      <c r="D503" s="8"/>
      <c r="E503" s="8"/>
      <c r="F503" s="8"/>
      <c r="G503" s="8"/>
      <c r="H503" s="8"/>
      <c r="I503" s="8"/>
      <c r="J503" s="8"/>
      <c r="K503" s="8"/>
      <c r="L503" s="8"/>
      <c r="M503" s="8"/>
      <c r="N503" s="8"/>
      <c r="O503" s="8"/>
      <c r="P503" s="8"/>
      <c r="Q503" s="8"/>
      <c r="R503" s="8"/>
    </row>
    <row r="504" spans="1:18" ht="12.75" customHeight="1">
      <c r="A504" s="8"/>
      <c r="B504" s="8"/>
      <c r="C504" s="30"/>
      <c r="D504" s="8"/>
      <c r="E504" s="8"/>
      <c r="F504" s="8"/>
      <c r="G504" s="8"/>
      <c r="H504" s="8"/>
      <c r="I504" s="8"/>
      <c r="J504" s="8"/>
      <c r="K504" s="8"/>
      <c r="L504" s="8"/>
      <c r="M504" s="8"/>
      <c r="N504" s="8"/>
      <c r="O504" s="8"/>
      <c r="P504" s="8"/>
      <c r="Q504" s="8"/>
      <c r="R504" s="8"/>
    </row>
    <row r="505" spans="1:18" ht="12.75" customHeight="1">
      <c r="A505" s="8"/>
      <c r="B505" s="8"/>
      <c r="C505" s="30"/>
      <c r="D505" s="8"/>
      <c r="E505" s="8"/>
      <c r="F505" s="8"/>
      <c r="G505" s="8"/>
      <c r="H505" s="8"/>
      <c r="I505" s="8"/>
      <c r="J505" s="8"/>
      <c r="K505" s="8"/>
      <c r="L505" s="8"/>
      <c r="M505" s="8"/>
      <c r="N505" s="8"/>
      <c r="O505" s="8"/>
      <c r="P505" s="8"/>
      <c r="Q505" s="8"/>
      <c r="R505" s="8"/>
    </row>
    <row r="506" spans="1:18" ht="12.75" customHeight="1">
      <c r="A506" s="8"/>
      <c r="B506" s="8"/>
      <c r="C506" s="30"/>
      <c r="D506" s="8"/>
      <c r="E506" s="8"/>
      <c r="F506" s="8"/>
      <c r="G506" s="8"/>
      <c r="H506" s="8"/>
      <c r="I506" s="8"/>
      <c r="J506" s="8"/>
      <c r="K506" s="8"/>
      <c r="L506" s="8"/>
      <c r="M506" s="8"/>
      <c r="N506" s="8"/>
      <c r="O506" s="8"/>
      <c r="P506" s="8"/>
      <c r="Q506" s="8"/>
      <c r="R506" s="8"/>
    </row>
    <row r="507" spans="1:18" ht="12.75" customHeight="1">
      <c r="A507" s="8"/>
      <c r="B507" s="8"/>
      <c r="C507" s="30"/>
      <c r="D507" s="8"/>
      <c r="E507" s="8"/>
      <c r="F507" s="8"/>
      <c r="G507" s="8"/>
      <c r="H507" s="8"/>
      <c r="I507" s="8"/>
      <c r="J507" s="8"/>
      <c r="K507" s="8"/>
      <c r="L507" s="8"/>
      <c r="M507" s="8"/>
      <c r="N507" s="8"/>
      <c r="O507" s="8"/>
      <c r="P507" s="8"/>
      <c r="Q507" s="8"/>
      <c r="R507" s="8"/>
    </row>
    <row r="508" spans="1:18" ht="12.75" customHeight="1">
      <c r="A508" s="8"/>
      <c r="B508" s="8"/>
      <c r="C508" s="30"/>
      <c r="D508" s="8"/>
      <c r="E508" s="8"/>
      <c r="F508" s="8"/>
      <c r="G508" s="8"/>
      <c r="H508" s="8"/>
      <c r="I508" s="8"/>
      <c r="J508" s="8"/>
      <c r="K508" s="8"/>
      <c r="L508" s="8"/>
      <c r="M508" s="8"/>
      <c r="N508" s="8"/>
      <c r="O508" s="8"/>
      <c r="P508" s="8"/>
      <c r="Q508" s="8"/>
      <c r="R508" s="8"/>
    </row>
    <row r="509" spans="1:18" ht="12.75" customHeight="1">
      <c r="A509" s="8"/>
      <c r="B509" s="8"/>
      <c r="C509" s="30"/>
      <c r="D509" s="8"/>
      <c r="E509" s="8"/>
      <c r="F509" s="8"/>
      <c r="G509" s="8"/>
      <c r="H509" s="8"/>
      <c r="I509" s="8"/>
      <c r="J509" s="8"/>
      <c r="K509" s="8"/>
      <c r="L509" s="8"/>
      <c r="M509" s="8"/>
      <c r="N509" s="8"/>
      <c r="O509" s="8"/>
      <c r="P509" s="8"/>
      <c r="Q509" s="8"/>
      <c r="R509" s="8"/>
    </row>
    <row r="510" spans="1:18" ht="12.75" customHeight="1">
      <c r="A510" s="8"/>
      <c r="B510" s="8"/>
      <c r="C510" s="30"/>
      <c r="D510" s="8"/>
      <c r="E510" s="8"/>
      <c r="F510" s="8"/>
      <c r="G510" s="8"/>
      <c r="H510" s="8"/>
      <c r="I510" s="8"/>
      <c r="J510" s="8"/>
      <c r="K510" s="8"/>
      <c r="L510" s="8"/>
      <c r="M510" s="8"/>
      <c r="N510" s="8"/>
      <c r="O510" s="8"/>
      <c r="P510" s="8"/>
      <c r="Q510" s="8"/>
      <c r="R510" s="8"/>
    </row>
    <row r="511" spans="1:18" ht="12.75" customHeight="1">
      <c r="A511" s="8"/>
      <c r="B511" s="8"/>
      <c r="C511" s="30"/>
      <c r="D511" s="8"/>
      <c r="E511" s="8"/>
      <c r="F511" s="8"/>
      <c r="G511" s="8"/>
      <c r="H511" s="8"/>
      <c r="I511" s="8"/>
      <c r="J511" s="8"/>
      <c r="K511" s="8"/>
      <c r="L511" s="8"/>
      <c r="M511" s="8"/>
      <c r="N511" s="8"/>
      <c r="O511" s="8"/>
      <c r="P511" s="8"/>
      <c r="Q511" s="8"/>
      <c r="R511" s="8"/>
    </row>
    <row r="512" spans="1:18" ht="12.75" customHeight="1">
      <c r="A512" s="8"/>
      <c r="B512" s="8"/>
      <c r="C512" s="30"/>
      <c r="D512" s="8"/>
      <c r="E512" s="8"/>
      <c r="F512" s="8"/>
      <c r="G512" s="8"/>
      <c r="H512" s="8"/>
      <c r="I512" s="8"/>
      <c r="J512" s="8"/>
      <c r="K512" s="8"/>
      <c r="L512" s="8"/>
      <c r="M512" s="8"/>
      <c r="N512" s="8"/>
      <c r="O512" s="8"/>
      <c r="P512" s="8"/>
      <c r="Q512" s="8"/>
      <c r="R512" s="8"/>
    </row>
    <row r="513" spans="1:18" ht="12.75" customHeight="1">
      <c r="A513" s="8"/>
      <c r="B513" s="8"/>
      <c r="C513" s="30"/>
      <c r="D513" s="8"/>
      <c r="E513" s="8"/>
      <c r="F513" s="8"/>
      <c r="G513" s="8"/>
      <c r="H513" s="8"/>
      <c r="I513" s="8"/>
      <c r="J513" s="8"/>
      <c r="K513" s="8"/>
      <c r="L513" s="8"/>
      <c r="M513" s="8"/>
      <c r="N513" s="8"/>
      <c r="O513" s="8"/>
      <c r="P513" s="8"/>
      <c r="Q513" s="8"/>
      <c r="R513" s="8"/>
    </row>
    <row r="514" spans="1:18" ht="12.75" customHeight="1">
      <c r="A514" s="8"/>
      <c r="B514" s="8"/>
      <c r="C514" s="30"/>
      <c r="D514" s="8"/>
      <c r="E514" s="8"/>
      <c r="F514" s="8"/>
      <c r="G514" s="8"/>
      <c r="H514" s="8"/>
      <c r="I514" s="8"/>
      <c r="J514" s="8"/>
      <c r="K514" s="8"/>
      <c r="L514" s="8"/>
      <c r="M514" s="8"/>
      <c r="N514" s="8"/>
      <c r="O514" s="8"/>
      <c r="P514" s="8"/>
      <c r="Q514" s="8"/>
      <c r="R514" s="8"/>
    </row>
    <row r="515" spans="1:18" ht="12.75" customHeight="1">
      <c r="A515" s="8"/>
      <c r="B515" s="8"/>
      <c r="C515" s="30"/>
      <c r="D515" s="8"/>
      <c r="E515" s="8"/>
      <c r="F515" s="8"/>
      <c r="G515" s="8"/>
      <c r="H515" s="8"/>
      <c r="I515" s="8"/>
      <c r="J515" s="8"/>
      <c r="K515" s="8"/>
      <c r="L515" s="8"/>
      <c r="M515" s="8"/>
      <c r="N515" s="8"/>
      <c r="O515" s="8"/>
      <c r="P515" s="8"/>
      <c r="Q515" s="8"/>
      <c r="R515" s="8"/>
    </row>
    <row r="516" spans="1:18" ht="12.75" customHeight="1">
      <c r="A516" s="8"/>
      <c r="B516" s="8"/>
      <c r="C516" s="30"/>
      <c r="D516" s="8"/>
      <c r="E516" s="8"/>
      <c r="F516" s="8"/>
      <c r="G516" s="8"/>
      <c r="H516" s="8"/>
      <c r="I516" s="8"/>
      <c r="J516" s="8"/>
      <c r="K516" s="8"/>
      <c r="L516" s="8"/>
      <c r="M516" s="8"/>
      <c r="N516" s="8"/>
      <c r="O516" s="8"/>
      <c r="P516" s="8"/>
      <c r="Q516" s="8"/>
      <c r="R516" s="8"/>
    </row>
    <row r="517" spans="1:18" ht="12.75" customHeight="1">
      <c r="A517" s="8"/>
      <c r="B517" s="8"/>
      <c r="C517" s="30"/>
      <c r="D517" s="8"/>
      <c r="E517" s="8"/>
      <c r="F517" s="8"/>
      <c r="G517" s="8"/>
      <c r="H517" s="8"/>
      <c r="I517" s="8"/>
      <c r="J517" s="8"/>
      <c r="K517" s="8"/>
      <c r="L517" s="8"/>
      <c r="M517" s="8"/>
      <c r="N517" s="8"/>
      <c r="O517" s="8"/>
      <c r="P517" s="8"/>
      <c r="Q517" s="8"/>
      <c r="R517" s="8"/>
    </row>
    <row r="518" spans="1:18" ht="12.75" customHeight="1">
      <c r="A518" s="8"/>
      <c r="B518" s="8"/>
      <c r="C518" s="30"/>
      <c r="D518" s="8"/>
      <c r="E518" s="8"/>
      <c r="F518" s="8"/>
      <c r="G518" s="8"/>
      <c r="H518" s="8"/>
      <c r="I518" s="8"/>
      <c r="J518" s="8"/>
      <c r="K518" s="8"/>
      <c r="L518" s="8"/>
      <c r="M518" s="8"/>
      <c r="N518" s="8"/>
      <c r="O518" s="8"/>
      <c r="P518" s="8"/>
      <c r="Q518" s="8"/>
      <c r="R518" s="8"/>
    </row>
    <row r="519" spans="1:18" ht="12.75" customHeight="1">
      <c r="A519" s="8"/>
      <c r="B519" s="8"/>
      <c r="C519" s="30"/>
      <c r="D519" s="8"/>
      <c r="E519" s="8"/>
      <c r="F519" s="8"/>
      <c r="G519" s="8"/>
      <c r="H519" s="8"/>
      <c r="I519" s="8"/>
      <c r="J519" s="8"/>
      <c r="K519" s="8"/>
      <c r="L519" s="8"/>
      <c r="M519" s="8"/>
      <c r="N519" s="8"/>
      <c r="O519" s="8"/>
      <c r="P519" s="8"/>
      <c r="Q519" s="8"/>
      <c r="R519" s="8"/>
    </row>
    <row r="520" spans="1:18" ht="12.75" customHeight="1">
      <c r="A520" s="8"/>
      <c r="B520" s="8"/>
      <c r="C520" s="30"/>
      <c r="D520" s="8"/>
      <c r="E520" s="8"/>
      <c r="F520" s="8"/>
      <c r="G520" s="8"/>
      <c r="H520" s="8"/>
      <c r="I520" s="8"/>
      <c r="J520" s="8"/>
      <c r="K520" s="8"/>
      <c r="L520" s="8"/>
      <c r="M520" s="8"/>
      <c r="N520" s="8"/>
      <c r="O520" s="8"/>
      <c r="P520" s="8"/>
      <c r="Q520" s="8"/>
      <c r="R520" s="8"/>
    </row>
    <row r="521" spans="1:18" ht="12.75" customHeight="1">
      <c r="A521" s="8"/>
      <c r="B521" s="8"/>
      <c r="C521" s="30"/>
      <c r="D521" s="8"/>
      <c r="E521" s="8"/>
      <c r="F521" s="8"/>
      <c r="G521" s="8"/>
      <c r="H521" s="8"/>
      <c r="I521" s="8"/>
      <c r="J521" s="8"/>
      <c r="K521" s="8"/>
      <c r="L521" s="8"/>
      <c r="M521" s="8"/>
      <c r="N521" s="8"/>
      <c r="O521" s="8"/>
      <c r="P521" s="8"/>
      <c r="Q521" s="8"/>
      <c r="R521" s="8"/>
    </row>
    <row r="522" spans="1:18" ht="12.75" customHeight="1">
      <c r="A522" s="8"/>
      <c r="B522" s="8"/>
      <c r="C522" s="30"/>
      <c r="D522" s="8"/>
      <c r="E522" s="8"/>
      <c r="F522" s="8"/>
      <c r="G522" s="8"/>
      <c r="H522" s="8"/>
      <c r="I522" s="8"/>
      <c r="J522" s="8"/>
      <c r="K522" s="8"/>
      <c r="L522" s="8"/>
      <c r="M522" s="8"/>
      <c r="N522" s="8"/>
      <c r="O522" s="8"/>
      <c r="P522" s="8"/>
      <c r="Q522" s="8"/>
      <c r="R522" s="8"/>
    </row>
    <row r="523" spans="1:18" ht="12.75" customHeight="1">
      <c r="A523" s="8"/>
      <c r="B523" s="8"/>
      <c r="C523" s="30"/>
      <c r="D523" s="8"/>
      <c r="E523" s="8"/>
      <c r="F523" s="8"/>
      <c r="G523" s="8"/>
      <c r="H523" s="8"/>
      <c r="I523" s="8"/>
      <c r="J523" s="8"/>
      <c r="K523" s="8"/>
      <c r="L523" s="8"/>
      <c r="M523" s="8"/>
      <c r="N523" s="8"/>
      <c r="O523" s="8"/>
      <c r="P523" s="8"/>
      <c r="Q523" s="8"/>
      <c r="R523" s="8"/>
    </row>
    <row r="524" spans="1:18" ht="12.75" customHeight="1">
      <c r="A524" s="8"/>
      <c r="B524" s="8"/>
      <c r="C524" s="30"/>
      <c r="D524" s="8"/>
      <c r="E524" s="8"/>
      <c r="F524" s="8"/>
      <c r="G524" s="8"/>
      <c r="H524" s="8"/>
      <c r="I524" s="8"/>
      <c r="J524" s="8"/>
      <c r="K524" s="8"/>
      <c r="L524" s="8"/>
      <c r="M524" s="8"/>
      <c r="N524" s="8"/>
      <c r="O524" s="8"/>
      <c r="P524" s="8"/>
      <c r="Q524" s="8"/>
      <c r="R524" s="8"/>
    </row>
    <row r="525" spans="1:18" ht="12.75" customHeight="1">
      <c r="A525" s="8"/>
      <c r="B525" s="8"/>
      <c r="C525" s="30"/>
      <c r="D525" s="8"/>
      <c r="E525" s="8"/>
      <c r="F525" s="8"/>
      <c r="G525" s="8"/>
      <c r="H525" s="8"/>
      <c r="I525" s="8"/>
      <c r="J525" s="8"/>
      <c r="K525" s="8"/>
      <c r="L525" s="8"/>
      <c r="M525" s="8"/>
      <c r="N525" s="8"/>
      <c r="O525" s="8"/>
      <c r="P525" s="8"/>
      <c r="Q525" s="8"/>
      <c r="R525" s="8"/>
    </row>
    <row r="526" spans="1:18" ht="12.75" customHeight="1">
      <c r="A526" s="8"/>
      <c r="B526" s="8"/>
      <c r="C526" s="30"/>
      <c r="D526" s="8"/>
      <c r="E526" s="8"/>
      <c r="F526" s="8"/>
      <c r="G526" s="8"/>
      <c r="H526" s="8"/>
      <c r="I526" s="8"/>
      <c r="J526" s="8"/>
      <c r="K526" s="8"/>
      <c r="L526" s="8"/>
      <c r="M526" s="8"/>
      <c r="N526" s="8"/>
      <c r="O526" s="8"/>
      <c r="P526" s="8"/>
      <c r="Q526" s="8"/>
      <c r="R526" s="8"/>
    </row>
    <row r="527" spans="1:18" ht="12.75" customHeight="1">
      <c r="A527" s="8"/>
      <c r="B527" s="8"/>
      <c r="C527" s="30"/>
      <c r="D527" s="8"/>
      <c r="E527" s="8"/>
      <c r="F527" s="8"/>
      <c r="G527" s="8"/>
      <c r="H527" s="8"/>
      <c r="I527" s="8"/>
      <c r="J527" s="8"/>
      <c r="K527" s="8"/>
      <c r="L527" s="8"/>
      <c r="M527" s="8"/>
      <c r="N527" s="8"/>
      <c r="O527" s="8"/>
      <c r="P527" s="8"/>
      <c r="Q527" s="8"/>
      <c r="R527" s="8"/>
    </row>
    <row r="528" spans="1:18" ht="12.75" customHeight="1">
      <c r="A528" s="8"/>
      <c r="B528" s="8"/>
      <c r="C528" s="30"/>
      <c r="D528" s="8"/>
      <c r="E528" s="8"/>
      <c r="F528" s="8"/>
      <c r="G528" s="8"/>
      <c r="H528" s="8"/>
      <c r="I528" s="8"/>
      <c r="J528" s="8"/>
      <c r="K528" s="8"/>
      <c r="L528" s="8"/>
      <c r="M528" s="8"/>
      <c r="N528" s="8"/>
      <c r="O528" s="8"/>
      <c r="P528" s="8"/>
      <c r="Q528" s="8"/>
      <c r="R528" s="8"/>
    </row>
    <row r="529" spans="1:18" ht="12.75" customHeight="1">
      <c r="A529" s="8"/>
      <c r="B529" s="8"/>
      <c r="C529" s="30"/>
      <c r="D529" s="8"/>
      <c r="E529" s="8"/>
      <c r="F529" s="8"/>
      <c r="G529" s="8"/>
      <c r="H529" s="8"/>
      <c r="I529" s="8"/>
      <c r="J529" s="8"/>
      <c r="K529" s="8"/>
      <c r="L529" s="8"/>
      <c r="M529" s="8"/>
      <c r="N529" s="8"/>
      <c r="O529" s="8"/>
      <c r="P529" s="8"/>
      <c r="Q529" s="8"/>
      <c r="R529" s="8"/>
    </row>
    <row r="530" spans="1:18" ht="12.75" customHeight="1">
      <c r="A530" s="8"/>
      <c r="B530" s="8"/>
      <c r="C530" s="30"/>
      <c r="D530" s="8"/>
      <c r="E530" s="8"/>
      <c r="F530" s="8"/>
      <c r="G530" s="8"/>
      <c r="H530" s="8"/>
      <c r="I530" s="8"/>
      <c r="J530" s="8"/>
      <c r="K530" s="8"/>
      <c r="L530" s="8"/>
      <c r="M530" s="8"/>
      <c r="N530" s="8"/>
      <c r="O530" s="8"/>
      <c r="P530" s="8"/>
      <c r="Q530" s="8"/>
      <c r="R530" s="8"/>
    </row>
    <row r="531" spans="1:18" ht="12.75" customHeight="1">
      <c r="A531" s="8"/>
      <c r="B531" s="8"/>
      <c r="C531" s="30"/>
      <c r="D531" s="8"/>
      <c r="E531" s="8"/>
      <c r="F531" s="8"/>
      <c r="G531" s="8"/>
      <c r="H531" s="8"/>
      <c r="I531" s="8"/>
      <c r="J531" s="8"/>
      <c r="K531" s="8"/>
      <c r="L531" s="8"/>
      <c r="M531" s="8"/>
      <c r="N531" s="8"/>
      <c r="O531" s="8"/>
      <c r="P531" s="8"/>
      <c r="Q531" s="8"/>
      <c r="R531" s="8"/>
    </row>
    <row r="532" spans="1:18" ht="12.75" customHeight="1">
      <c r="A532" s="8"/>
      <c r="B532" s="8"/>
      <c r="C532" s="30"/>
      <c r="D532" s="8"/>
      <c r="E532" s="8"/>
      <c r="F532" s="8"/>
      <c r="G532" s="8"/>
      <c r="H532" s="8"/>
      <c r="I532" s="8"/>
      <c r="J532" s="8"/>
      <c r="K532" s="8"/>
      <c r="L532" s="8"/>
      <c r="M532" s="8"/>
      <c r="N532" s="8"/>
      <c r="O532" s="8"/>
      <c r="P532" s="8"/>
      <c r="Q532" s="8"/>
      <c r="R532" s="8"/>
    </row>
    <row r="533" spans="1:18" ht="12.75" customHeight="1">
      <c r="A533" s="8"/>
      <c r="B533" s="8"/>
      <c r="C533" s="30"/>
      <c r="D533" s="8"/>
      <c r="E533" s="8"/>
      <c r="F533" s="8"/>
      <c r="G533" s="8"/>
      <c r="H533" s="8"/>
      <c r="I533" s="8"/>
      <c r="J533" s="8"/>
      <c r="K533" s="8"/>
      <c r="L533" s="8"/>
      <c r="M533" s="8"/>
      <c r="N533" s="8"/>
      <c r="O533" s="8"/>
      <c r="P533" s="8"/>
      <c r="Q533" s="8"/>
      <c r="R533" s="8"/>
    </row>
    <row r="534" spans="1:18" ht="12.75" customHeight="1">
      <c r="A534" s="8"/>
      <c r="B534" s="8"/>
      <c r="C534" s="30"/>
      <c r="D534" s="8"/>
      <c r="E534" s="8"/>
      <c r="F534" s="8"/>
      <c r="G534" s="8"/>
      <c r="H534" s="8"/>
      <c r="I534" s="8"/>
      <c r="J534" s="8"/>
      <c r="K534" s="8"/>
      <c r="L534" s="8"/>
      <c r="M534" s="8"/>
      <c r="N534" s="8"/>
      <c r="O534" s="8"/>
      <c r="P534" s="8"/>
      <c r="Q534" s="8"/>
      <c r="R534" s="8"/>
    </row>
    <row r="535" spans="1:18" ht="12.75" customHeight="1">
      <c r="A535" s="8"/>
      <c r="B535" s="8"/>
      <c r="C535" s="30"/>
      <c r="D535" s="8"/>
      <c r="E535" s="8"/>
      <c r="F535" s="8"/>
      <c r="G535" s="8"/>
      <c r="H535" s="8"/>
      <c r="I535" s="8"/>
      <c r="J535" s="8"/>
      <c r="K535" s="8"/>
      <c r="L535" s="8"/>
      <c r="M535" s="8"/>
      <c r="N535" s="8"/>
      <c r="O535" s="8"/>
      <c r="P535" s="8"/>
      <c r="Q535" s="8"/>
      <c r="R535" s="8"/>
    </row>
    <row r="536" spans="1:18" ht="12.75" customHeight="1">
      <c r="A536" s="8"/>
      <c r="B536" s="8"/>
      <c r="C536" s="30"/>
      <c r="D536" s="8"/>
      <c r="E536" s="8"/>
      <c r="F536" s="8"/>
      <c r="G536" s="8"/>
      <c r="H536" s="8"/>
      <c r="I536" s="8"/>
      <c r="J536" s="8"/>
      <c r="K536" s="8"/>
      <c r="L536" s="8"/>
      <c r="M536" s="8"/>
      <c r="N536" s="8"/>
      <c r="O536" s="8"/>
      <c r="P536" s="8"/>
      <c r="Q536" s="8"/>
      <c r="R536" s="8"/>
    </row>
    <row r="537" spans="1:18" ht="12.75" customHeight="1">
      <c r="A537" s="8"/>
      <c r="B537" s="8"/>
      <c r="C537" s="30"/>
      <c r="D537" s="8"/>
      <c r="E537" s="8"/>
      <c r="F537" s="8"/>
      <c r="G537" s="8"/>
      <c r="H537" s="8"/>
      <c r="I537" s="8"/>
      <c r="J537" s="8"/>
      <c r="K537" s="8"/>
      <c r="L537" s="8"/>
      <c r="M537" s="8"/>
      <c r="N537" s="8"/>
      <c r="O537" s="8"/>
      <c r="P537" s="8"/>
      <c r="Q537" s="8"/>
      <c r="R537" s="8"/>
    </row>
    <row r="538" spans="1:18" ht="12.75" customHeight="1">
      <c r="A538" s="8"/>
      <c r="B538" s="8"/>
      <c r="C538" s="30"/>
      <c r="D538" s="8"/>
      <c r="E538" s="8"/>
      <c r="F538" s="8"/>
      <c r="G538" s="8"/>
      <c r="H538" s="8"/>
      <c r="I538" s="8"/>
      <c r="J538" s="8"/>
      <c r="K538" s="8"/>
      <c r="L538" s="8"/>
      <c r="M538" s="8"/>
      <c r="N538" s="8"/>
      <c r="O538" s="8"/>
      <c r="P538" s="8"/>
      <c r="Q538" s="8"/>
      <c r="R538" s="8"/>
    </row>
    <row r="539" spans="1:18" ht="12.75" customHeight="1">
      <c r="A539" s="8"/>
      <c r="B539" s="8"/>
      <c r="C539" s="30"/>
      <c r="D539" s="8"/>
      <c r="E539" s="8"/>
      <c r="F539" s="8"/>
      <c r="G539" s="8"/>
      <c r="H539" s="8"/>
      <c r="I539" s="8"/>
      <c r="J539" s="8"/>
      <c r="K539" s="8"/>
      <c r="L539" s="8"/>
      <c r="M539" s="8"/>
      <c r="N539" s="8"/>
      <c r="O539" s="8"/>
      <c r="P539" s="8"/>
      <c r="Q539" s="8"/>
      <c r="R539" s="8"/>
    </row>
    <row r="540" spans="1:18" ht="12.75" customHeight="1">
      <c r="A540" s="8"/>
      <c r="B540" s="8"/>
      <c r="C540" s="30"/>
      <c r="D540" s="8"/>
      <c r="E540" s="8"/>
      <c r="F540" s="8"/>
      <c r="G540" s="8"/>
      <c r="H540" s="8"/>
      <c r="I540" s="8"/>
      <c r="J540" s="8"/>
      <c r="K540" s="8"/>
      <c r="L540" s="8"/>
      <c r="M540" s="8"/>
      <c r="N540" s="8"/>
      <c r="O540" s="8"/>
      <c r="P540" s="8"/>
      <c r="Q540" s="8"/>
      <c r="R540" s="8"/>
    </row>
    <row r="541" spans="1:18" ht="12.75" customHeight="1">
      <c r="A541" s="8"/>
      <c r="B541" s="8"/>
      <c r="C541" s="30"/>
      <c r="D541" s="8"/>
      <c r="E541" s="8"/>
      <c r="F541" s="8"/>
      <c r="G541" s="8"/>
      <c r="H541" s="8"/>
      <c r="I541" s="8"/>
      <c r="J541" s="8"/>
      <c r="K541" s="8"/>
      <c r="L541" s="8"/>
      <c r="M541" s="8"/>
      <c r="N541" s="8"/>
      <c r="O541" s="8"/>
      <c r="P541" s="8"/>
      <c r="Q541" s="8"/>
      <c r="R541" s="8"/>
    </row>
    <row r="542" spans="1:18" ht="12.75" customHeight="1">
      <c r="A542" s="8"/>
      <c r="B542" s="8"/>
      <c r="C542" s="30"/>
      <c r="D542" s="8"/>
      <c r="E542" s="8"/>
      <c r="F542" s="8"/>
      <c r="G542" s="8"/>
      <c r="H542" s="8"/>
      <c r="I542" s="8"/>
      <c r="J542" s="8"/>
      <c r="K542" s="8"/>
      <c r="L542" s="8"/>
      <c r="M542" s="8"/>
      <c r="N542" s="8"/>
      <c r="O542" s="8"/>
      <c r="P542" s="8"/>
      <c r="Q542" s="8"/>
      <c r="R542" s="8"/>
    </row>
    <row r="543" spans="1:18" ht="12.75" customHeight="1">
      <c r="A543" s="8"/>
      <c r="B543" s="8"/>
      <c r="C543" s="30"/>
      <c r="D543" s="8"/>
      <c r="E543" s="8"/>
      <c r="F543" s="8"/>
      <c r="G543" s="8"/>
      <c r="H543" s="8"/>
      <c r="I543" s="8"/>
      <c r="J543" s="8"/>
      <c r="K543" s="8"/>
      <c r="L543" s="8"/>
      <c r="M543" s="8"/>
      <c r="N543" s="8"/>
      <c r="O543" s="8"/>
      <c r="P543" s="8"/>
      <c r="Q543" s="8"/>
      <c r="R543" s="8"/>
    </row>
    <row r="544" spans="1:18" ht="12.75" customHeight="1">
      <c r="A544" s="8"/>
      <c r="B544" s="8"/>
      <c r="C544" s="30"/>
      <c r="D544" s="8"/>
      <c r="E544" s="8"/>
      <c r="F544" s="8"/>
      <c r="G544" s="8"/>
      <c r="H544" s="8"/>
      <c r="I544" s="8"/>
      <c r="J544" s="8"/>
      <c r="K544" s="8"/>
      <c r="L544" s="8"/>
      <c r="M544" s="8"/>
      <c r="N544" s="8"/>
      <c r="O544" s="8"/>
      <c r="P544" s="8"/>
      <c r="Q544" s="8"/>
      <c r="R544" s="8"/>
    </row>
    <row r="545" spans="1:18" ht="12.75" customHeight="1">
      <c r="A545" s="8"/>
      <c r="B545" s="8"/>
      <c r="C545" s="30"/>
      <c r="D545" s="8"/>
      <c r="E545" s="8"/>
      <c r="F545" s="8"/>
      <c r="G545" s="8"/>
      <c r="H545" s="8"/>
      <c r="I545" s="8"/>
      <c r="J545" s="8"/>
      <c r="K545" s="8"/>
      <c r="L545" s="8"/>
      <c r="M545" s="8"/>
      <c r="N545" s="8"/>
      <c r="O545" s="8"/>
      <c r="P545" s="8"/>
      <c r="Q545" s="8"/>
      <c r="R545" s="8"/>
    </row>
    <row r="546" spans="1:18" ht="12.75" customHeight="1">
      <c r="A546" s="8"/>
      <c r="B546" s="8"/>
      <c r="C546" s="30"/>
      <c r="D546" s="8"/>
      <c r="E546" s="8"/>
      <c r="F546" s="8"/>
      <c r="G546" s="8"/>
      <c r="H546" s="8"/>
      <c r="I546" s="8"/>
      <c r="J546" s="8"/>
      <c r="K546" s="8"/>
      <c r="L546" s="8"/>
      <c r="M546" s="8"/>
      <c r="N546" s="8"/>
      <c r="O546" s="8"/>
      <c r="P546" s="8"/>
      <c r="Q546" s="8"/>
      <c r="R546" s="8"/>
    </row>
    <row r="547" spans="1:18" ht="12.75" customHeight="1">
      <c r="A547" s="8"/>
      <c r="B547" s="8"/>
      <c r="C547" s="30"/>
      <c r="D547" s="8"/>
      <c r="E547" s="8"/>
      <c r="F547" s="8"/>
      <c r="G547" s="8"/>
      <c r="H547" s="8"/>
      <c r="I547" s="8"/>
      <c r="J547" s="8"/>
      <c r="K547" s="8"/>
      <c r="L547" s="8"/>
      <c r="M547" s="8"/>
      <c r="N547" s="8"/>
      <c r="O547" s="8"/>
      <c r="P547" s="8"/>
      <c r="Q547" s="8"/>
      <c r="R547" s="8"/>
    </row>
    <row r="548" spans="1:18" ht="12.75" customHeight="1">
      <c r="A548" s="8"/>
      <c r="B548" s="8"/>
      <c r="C548" s="30"/>
      <c r="D548" s="8"/>
      <c r="E548" s="8"/>
      <c r="F548" s="8"/>
      <c r="G548" s="8"/>
      <c r="H548" s="8"/>
      <c r="I548" s="8"/>
      <c r="J548" s="8"/>
      <c r="K548" s="8"/>
      <c r="L548" s="8"/>
      <c r="M548" s="8"/>
      <c r="N548" s="8"/>
      <c r="O548" s="8"/>
      <c r="P548" s="8"/>
      <c r="Q548" s="8"/>
      <c r="R548" s="8"/>
    </row>
    <row r="549" spans="1:18" ht="12.75" customHeight="1">
      <c r="A549" s="8"/>
      <c r="B549" s="8"/>
      <c r="C549" s="30"/>
      <c r="D549" s="8"/>
      <c r="E549" s="8"/>
      <c r="F549" s="8"/>
      <c r="G549" s="8"/>
      <c r="H549" s="8"/>
      <c r="I549" s="8"/>
      <c r="J549" s="8"/>
      <c r="K549" s="8"/>
      <c r="L549" s="8"/>
      <c r="M549" s="8"/>
      <c r="N549" s="8"/>
      <c r="O549" s="8"/>
      <c r="P549" s="8"/>
      <c r="Q549" s="8"/>
      <c r="R549" s="8"/>
    </row>
    <row r="550" spans="1:18" ht="12.75" customHeight="1">
      <c r="A550" s="8"/>
      <c r="B550" s="8"/>
      <c r="C550" s="30"/>
      <c r="D550" s="8"/>
      <c r="E550" s="8"/>
      <c r="F550" s="8"/>
      <c r="G550" s="8"/>
      <c r="H550" s="8"/>
      <c r="I550" s="8"/>
      <c r="J550" s="8"/>
      <c r="K550" s="8"/>
      <c r="L550" s="8"/>
      <c r="M550" s="8"/>
      <c r="N550" s="8"/>
      <c r="O550" s="8"/>
      <c r="P550" s="8"/>
      <c r="Q550" s="8"/>
      <c r="R550" s="8"/>
    </row>
    <row r="551" spans="1:18" ht="12.75" customHeight="1">
      <c r="A551" s="8"/>
      <c r="B551" s="8"/>
      <c r="C551" s="30"/>
      <c r="D551" s="8"/>
      <c r="E551" s="8"/>
      <c r="F551" s="8"/>
      <c r="G551" s="8"/>
      <c r="H551" s="8"/>
      <c r="I551" s="8"/>
      <c r="J551" s="8"/>
      <c r="K551" s="8"/>
      <c r="L551" s="8"/>
      <c r="M551" s="8"/>
      <c r="N551" s="8"/>
      <c r="O551" s="8"/>
      <c r="P551" s="8"/>
      <c r="Q551" s="8"/>
      <c r="R551" s="8"/>
    </row>
    <row r="552" spans="1:18" ht="12.75" customHeight="1">
      <c r="A552" s="8"/>
      <c r="B552" s="8"/>
      <c r="C552" s="30"/>
      <c r="D552" s="8"/>
      <c r="E552" s="8"/>
      <c r="F552" s="8"/>
      <c r="G552" s="8"/>
      <c r="H552" s="8"/>
      <c r="I552" s="8"/>
      <c r="J552" s="8"/>
      <c r="K552" s="8"/>
      <c r="L552" s="8"/>
      <c r="M552" s="8"/>
      <c r="N552" s="8"/>
      <c r="O552" s="8"/>
      <c r="P552" s="8"/>
      <c r="Q552" s="8"/>
      <c r="R552" s="8"/>
    </row>
    <row r="553" spans="1:18" ht="12.75" customHeight="1">
      <c r="A553" s="8"/>
      <c r="B553" s="8"/>
      <c r="C553" s="30"/>
      <c r="D553" s="8"/>
      <c r="E553" s="8"/>
      <c r="F553" s="8"/>
      <c r="G553" s="8"/>
      <c r="H553" s="8"/>
      <c r="I553" s="8"/>
      <c r="J553" s="8"/>
      <c r="K553" s="8"/>
      <c r="L553" s="8"/>
      <c r="M553" s="8"/>
      <c r="N553" s="8"/>
      <c r="O553" s="8"/>
      <c r="P553" s="8"/>
      <c r="Q553" s="8"/>
      <c r="R553" s="8"/>
    </row>
    <row r="554" spans="1:18" ht="12.75" customHeight="1">
      <c r="A554" s="8"/>
      <c r="B554" s="8"/>
      <c r="C554" s="30"/>
      <c r="D554" s="8"/>
      <c r="E554" s="8"/>
      <c r="F554" s="8"/>
      <c r="G554" s="8"/>
      <c r="H554" s="8"/>
      <c r="I554" s="8"/>
      <c r="J554" s="8"/>
      <c r="K554" s="8"/>
      <c r="L554" s="8"/>
      <c r="M554" s="8"/>
      <c r="N554" s="8"/>
      <c r="O554" s="8"/>
      <c r="P554" s="8"/>
      <c r="Q554" s="8"/>
      <c r="R554" s="8"/>
    </row>
    <row r="555" spans="1:18" ht="12.75" customHeight="1">
      <c r="A555" s="8"/>
      <c r="B555" s="8"/>
      <c r="C555" s="30"/>
      <c r="D555" s="8"/>
      <c r="E555" s="8"/>
      <c r="F555" s="8"/>
      <c r="G555" s="8"/>
      <c r="H555" s="8"/>
      <c r="I555" s="8"/>
      <c r="J555" s="8"/>
      <c r="K555" s="8"/>
      <c r="L555" s="8"/>
      <c r="M555" s="8"/>
      <c r="N555" s="8"/>
      <c r="O555" s="8"/>
      <c r="P555" s="8"/>
      <c r="Q555" s="8"/>
      <c r="R555" s="8"/>
    </row>
    <row r="556" spans="1:18" ht="12.75" customHeight="1">
      <c r="A556" s="8"/>
      <c r="B556" s="8"/>
      <c r="C556" s="30"/>
      <c r="D556" s="8"/>
      <c r="E556" s="8"/>
      <c r="F556" s="8"/>
      <c r="G556" s="8"/>
      <c r="H556" s="8"/>
      <c r="I556" s="8"/>
      <c r="J556" s="8"/>
      <c r="K556" s="8"/>
      <c r="L556" s="8"/>
      <c r="M556" s="8"/>
      <c r="N556" s="8"/>
      <c r="O556" s="8"/>
      <c r="P556" s="8"/>
      <c r="Q556" s="8"/>
      <c r="R556" s="8"/>
    </row>
    <row r="557" spans="1:18" ht="12.75" customHeight="1">
      <c r="A557" s="8"/>
      <c r="B557" s="8"/>
      <c r="C557" s="30"/>
      <c r="D557" s="8"/>
      <c r="E557" s="8"/>
      <c r="F557" s="8"/>
      <c r="G557" s="8"/>
      <c r="H557" s="8"/>
      <c r="I557" s="8"/>
      <c r="J557" s="8"/>
      <c r="K557" s="8"/>
      <c r="L557" s="8"/>
      <c r="M557" s="8"/>
      <c r="N557" s="8"/>
      <c r="O557" s="8"/>
      <c r="P557" s="8"/>
      <c r="Q557" s="8"/>
      <c r="R557" s="8"/>
    </row>
    <row r="558" spans="1:18" ht="12.75" customHeight="1">
      <c r="A558" s="8"/>
      <c r="B558" s="8"/>
      <c r="C558" s="30"/>
      <c r="D558" s="8"/>
      <c r="E558" s="8"/>
      <c r="F558" s="8"/>
      <c r="G558" s="8"/>
      <c r="H558" s="8"/>
      <c r="I558" s="8"/>
      <c r="J558" s="8"/>
      <c r="K558" s="8"/>
      <c r="L558" s="8"/>
      <c r="M558" s="8"/>
      <c r="N558" s="8"/>
      <c r="O558" s="8"/>
      <c r="P558" s="8"/>
      <c r="Q558" s="8"/>
      <c r="R558" s="8"/>
    </row>
    <row r="559" spans="1:18" ht="12.75" customHeight="1">
      <c r="A559" s="8"/>
      <c r="B559" s="8"/>
      <c r="C559" s="30"/>
      <c r="D559" s="8"/>
      <c r="E559" s="8"/>
      <c r="F559" s="8"/>
      <c r="G559" s="8"/>
      <c r="H559" s="8"/>
      <c r="I559" s="8"/>
      <c r="J559" s="8"/>
      <c r="K559" s="8"/>
      <c r="L559" s="8"/>
      <c r="M559" s="8"/>
      <c r="N559" s="8"/>
      <c r="O559" s="8"/>
      <c r="P559" s="8"/>
      <c r="Q559" s="8"/>
      <c r="R559" s="8"/>
    </row>
    <row r="560" spans="1:18" ht="12.75" customHeight="1">
      <c r="A560" s="8"/>
      <c r="B560" s="8"/>
      <c r="C560" s="30"/>
      <c r="D560" s="8"/>
      <c r="E560" s="8"/>
      <c r="F560" s="8"/>
      <c r="G560" s="8"/>
      <c r="H560" s="8"/>
      <c r="I560" s="8"/>
      <c r="J560" s="8"/>
      <c r="K560" s="8"/>
      <c r="L560" s="8"/>
      <c r="M560" s="8"/>
      <c r="N560" s="8"/>
      <c r="O560" s="8"/>
      <c r="P560" s="8"/>
      <c r="Q560" s="8"/>
      <c r="R560" s="8"/>
    </row>
    <row r="561" spans="1:18" ht="12.75" customHeight="1">
      <c r="A561" s="8"/>
      <c r="B561" s="8"/>
      <c r="C561" s="30"/>
      <c r="D561" s="8"/>
      <c r="E561" s="8"/>
      <c r="F561" s="8"/>
      <c r="G561" s="8"/>
      <c r="H561" s="8"/>
      <c r="I561" s="8"/>
      <c r="J561" s="8"/>
      <c r="K561" s="8"/>
      <c r="L561" s="8"/>
      <c r="M561" s="8"/>
      <c r="N561" s="8"/>
      <c r="O561" s="8"/>
      <c r="P561" s="8"/>
      <c r="Q561" s="8"/>
      <c r="R561" s="8"/>
    </row>
    <row r="562" spans="1:18" ht="12.75" customHeight="1">
      <c r="A562" s="8"/>
      <c r="B562" s="8"/>
      <c r="C562" s="30"/>
      <c r="D562" s="8"/>
      <c r="E562" s="8"/>
      <c r="F562" s="8"/>
      <c r="G562" s="8"/>
      <c r="H562" s="8"/>
      <c r="I562" s="8"/>
      <c r="J562" s="8"/>
      <c r="K562" s="8"/>
      <c r="L562" s="8"/>
      <c r="M562" s="8"/>
      <c r="N562" s="8"/>
      <c r="O562" s="8"/>
      <c r="P562" s="8"/>
      <c r="Q562" s="8"/>
      <c r="R562" s="8"/>
    </row>
    <row r="563" spans="1:18" ht="12.75" customHeight="1">
      <c r="A563" s="8"/>
      <c r="B563" s="8"/>
      <c r="C563" s="30"/>
      <c r="D563" s="8"/>
      <c r="E563" s="8"/>
      <c r="F563" s="8"/>
      <c r="G563" s="8"/>
      <c r="H563" s="8"/>
      <c r="I563" s="8"/>
      <c r="J563" s="8"/>
      <c r="K563" s="8"/>
      <c r="L563" s="8"/>
      <c r="M563" s="8"/>
      <c r="N563" s="8"/>
      <c r="O563" s="8"/>
      <c r="P563" s="8"/>
      <c r="Q563" s="8"/>
      <c r="R563" s="8"/>
    </row>
    <row r="564" spans="1:18" ht="12.75" customHeight="1">
      <c r="A564" s="8"/>
      <c r="B564" s="8"/>
      <c r="C564" s="30"/>
      <c r="D564" s="8"/>
      <c r="E564" s="8"/>
      <c r="F564" s="8"/>
      <c r="G564" s="8"/>
      <c r="H564" s="8"/>
      <c r="I564" s="8"/>
      <c r="J564" s="8"/>
      <c r="K564" s="8"/>
      <c r="L564" s="8"/>
      <c r="M564" s="8"/>
      <c r="N564" s="8"/>
      <c r="O564" s="8"/>
      <c r="P564" s="8"/>
      <c r="Q564" s="8"/>
      <c r="R564" s="8"/>
    </row>
    <row r="565" spans="1:18" ht="12.75" customHeight="1">
      <c r="A565" s="8"/>
      <c r="B565" s="8"/>
      <c r="C565" s="30"/>
      <c r="D565" s="8"/>
      <c r="E565" s="8"/>
      <c r="F565" s="8"/>
      <c r="G565" s="8"/>
      <c r="H565" s="8"/>
      <c r="I565" s="8"/>
      <c r="J565" s="8"/>
      <c r="K565" s="8"/>
      <c r="L565" s="8"/>
      <c r="M565" s="8"/>
      <c r="N565" s="8"/>
      <c r="O565" s="8"/>
      <c r="P565" s="8"/>
      <c r="Q565" s="8"/>
      <c r="R565" s="8"/>
    </row>
    <row r="566" spans="1:18" ht="12.75" customHeight="1">
      <c r="A566" s="8"/>
      <c r="B566" s="8"/>
      <c r="C566" s="30"/>
      <c r="D566" s="8"/>
      <c r="E566" s="8"/>
      <c r="F566" s="8"/>
      <c r="G566" s="8"/>
      <c r="H566" s="8"/>
      <c r="I566" s="8"/>
      <c r="J566" s="8"/>
      <c r="K566" s="8"/>
      <c r="L566" s="8"/>
      <c r="M566" s="8"/>
      <c r="N566" s="8"/>
      <c r="O566" s="8"/>
      <c r="P566" s="8"/>
      <c r="Q566" s="8"/>
      <c r="R566" s="8"/>
    </row>
    <row r="567" spans="1:18" ht="12.75" customHeight="1">
      <c r="A567" s="8"/>
      <c r="B567" s="8"/>
      <c r="C567" s="30"/>
      <c r="D567" s="8"/>
      <c r="E567" s="8"/>
      <c r="F567" s="8"/>
      <c r="G567" s="8"/>
      <c r="H567" s="8"/>
      <c r="I567" s="8"/>
      <c r="J567" s="8"/>
      <c r="K567" s="8"/>
      <c r="L567" s="8"/>
      <c r="M567" s="8"/>
      <c r="N567" s="8"/>
      <c r="O567" s="8"/>
      <c r="P567" s="8"/>
      <c r="Q567" s="8"/>
      <c r="R567" s="8"/>
    </row>
    <row r="568" spans="1:18" ht="12.75" customHeight="1">
      <c r="A568" s="8"/>
      <c r="B568" s="8"/>
      <c r="C568" s="30"/>
      <c r="D568" s="8"/>
      <c r="E568" s="8"/>
      <c r="F568" s="8"/>
      <c r="G568" s="8"/>
      <c r="H568" s="8"/>
      <c r="I568" s="8"/>
      <c r="J568" s="8"/>
      <c r="K568" s="8"/>
      <c r="L568" s="8"/>
      <c r="M568" s="8"/>
      <c r="N568" s="8"/>
      <c r="O568" s="8"/>
      <c r="P568" s="8"/>
      <c r="Q568" s="8"/>
      <c r="R568" s="8"/>
    </row>
    <row r="569" spans="1:18" ht="12.75" customHeight="1">
      <c r="A569" s="8"/>
      <c r="B569" s="8"/>
      <c r="C569" s="30"/>
      <c r="D569" s="8"/>
      <c r="E569" s="8"/>
      <c r="F569" s="8"/>
      <c r="G569" s="8"/>
      <c r="H569" s="8"/>
      <c r="I569" s="8"/>
      <c r="J569" s="8"/>
      <c r="K569" s="8"/>
      <c r="L569" s="8"/>
      <c r="M569" s="8"/>
      <c r="N569" s="8"/>
      <c r="O569" s="8"/>
      <c r="P569" s="8"/>
      <c r="Q569" s="8"/>
      <c r="R569" s="8"/>
    </row>
    <row r="570" spans="1:18" ht="12.75" customHeight="1">
      <c r="A570" s="8"/>
      <c r="B570" s="8"/>
      <c r="C570" s="30"/>
      <c r="D570" s="8"/>
      <c r="E570" s="8"/>
      <c r="F570" s="8"/>
      <c r="G570" s="8"/>
      <c r="H570" s="8"/>
      <c r="I570" s="8"/>
      <c r="J570" s="8"/>
      <c r="K570" s="8"/>
      <c r="L570" s="8"/>
      <c r="M570" s="8"/>
      <c r="N570" s="8"/>
      <c r="O570" s="8"/>
      <c r="P570" s="8"/>
      <c r="Q570" s="8"/>
      <c r="R570" s="8"/>
    </row>
    <row r="571" spans="1:18" ht="12.75" customHeight="1">
      <c r="A571" s="8"/>
      <c r="B571" s="8"/>
      <c r="C571" s="30"/>
      <c r="D571" s="8"/>
      <c r="E571" s="8"/>
      <c r="F571" s="8"/>
      <c r="G571" s="8"/>
      <c r="H571" s="8"/>
      <c r="I571" s="8"/>
      <c r="J571" s="8"/>
      <c r="K571" s="8"/>
      <c r="L571" s="8"/>
      <c r="M571" s="8"/>
      <c r="N571" s="8"/>
      <c r="O571" s="8"/>
      <c r="P571" s="8"/>
      <c r="Q571" s="8"/>
      <c r="R571" s="8"/>
    </row>
    <row r="572" spans="1:18" ht="12.75" customHeight="1">
      <c r="A572" s="8"/>
      <c r="B572" s="8"/>
      <c r="C572" s="30"/>
      <c r="D572" s="8"/>
      <c r="E572" s="8"/>
      <c r="F572" s="8"/>
      <c r="G572" s="8"/>
      <c r="H572" s="8"/>
      <c r="I572" s="8"/>
      <c r="J572" s="8"/>
      <c r="K572" s="8"/>
      <c r="L572" s="8"/>
      <c r="M572" s="8"/>
      <c r="N572" s="8"/>
      <c r="O572" s="8"/>
      <c r="P572" s="8"/>
      <c r="Q572" s="8"/>
      <c r="R572" s="8"/>
    </row>
    <row r="573" spans="1:18" ht="12.75" customHeight="1">
      <c r="A573" s="8"/>
      <c r="B573" s="8"/>
      <c r="C573" s="30"/>
      <c r="D573" s="8"/>
      <c r="E573" s="8"/>
      <c r="F573" s="8"/>
      <c r="G573" s="8"/>
      <c r="H573" s="8"/>
      <c r="I573" s="8"/>
      <c r="J573" s="8"/>
      <c r="K573" s="8"/>
      <c r="L573" s="8"/>
      <c r="M573" s="8"/>
      <c r="N573" s="8"/>
      <c r="O573" s="8"/>
      <c r="P573" s="8"/>
      <c r="Q573" s="8"/>
      <c r="R573" s="8"/>
    </row>
    <row r="574" spans="1:18" ht="12.75" customHeight="1">
      <c r="A574" s="8"/>
      <c r="B574" s="8"/>
      <c r="C574" s="30"/>
      <c r="D574" s="8"/>
      <c r="E574" s="8"/>
      <c r="F574" s="8"/>
      <c r="G574" s="8"/>
      <c r="H574" s="8"/>
      <c r="I574" s="8"/>
      <c r="J574" s="8"/>
      <c r="K574" s="8"/>
      <c r="L574" s="8"/>
      <c r="M574" s="8"/>
      <c r="N574" s="8"/>
      <c r="O574" s="8"/>
      <c r="P574" s="8"/>
      <c r="Q574" s="8"/>
      <c r="R574" s="8"/>
    </row>
    <row r="575" spans="1:18" ht="12.75" customHeight="1">
      <c r="A575" s="8"/>
      <c r="B575" s="8"/>
      <c r="C575" s="30"/>
      <c r="D575" s="8"/>
      <c r="E575" s="8"/>
      <c r="F575" s="8"/>
      <c r="G575" s="8"/>
      <c r="H575" s="8"/>
      <c r="I575" s="8"/>
      <c r="J575" s="8"/>
      <c r="K575" s="8"/>
      <c r="L575" s="8"/>
      <c r="M575" s="8"/>
      <c r="N575" s="8"/>
      <c r="O575" s="8"/>
      <c r="P575" s="8"/>
      <c r="Q575" s="8"/>
      <c r="R575" s="8"/>
    </row>
    <row r="576" spans="1:18" ht="12.75" customHeight="1">
      <c r="A576" s="8"/>
      <c r="B576" s="8"/>
      <c r="C576" s="30"/>
      <c r="D576" s="8"/>
      <c r="E576" s="8"/>
      <c r="F576" s="8"/>
      <c r="G576" s="8"/>
      <c r="H576" s="8"/>
      <c r="I576" s="8"/>
      <c r="J576" s="8"/>
      <c r="K576" s="8"/>
      <c r="L576" s="8"/>
      <c r="M576" s="8"/>
      <c r="N576" s="8"/>
      <c r="O576" s="8"/>
      <c r="P576" s="8"/>
      <c r="Q576" s="8"/>
      <c r="R576" s="8"/>
    </row>
    <row r="577" spans="1:18" ht="12.75" customHeight="1">
      <c r="A577" s="8"/>
      <c r="B577" s="8"/>
      <c r="C577" s="30"/>
      <c r="D577" s="8"/>
      <c r="E577" s="8"/>
      <c r="F577" s="8"/>
      <c r="G577" s="8"/>
      <c r="H577" s="8"/>
      <c r="I577" s="8"/>
      <c r="J577" s="8"/>
      <c r="K577" s="8"/>
      <c r="L577" s="8"/>
      <c r="M577" s="8"/>
      <c r="N577" s="8"/>
      <c r="O577" s="8"/>
      <c r="P577" s="8"/>
      <c r="Q577" s="8"/>
      <c r="R577" s="8"/>
    </row>
    <row r="578" spans="1:18" ht="12.75" customHeight="1">
      <c r="A578" s="8"/>
      <c r="B578" s="8"/>
      <c r="C578" s="30"/>
      <c r="D578" s="8"/>
      <c r="E578" s="8"/>
      <c r="F578" s="8"/>
      <c r="G578" s="8"/>
      <c r="H578" s="8"/>
      <c r="I578" s="8"/>
      <c r="J578" s="8"/>
      <c r="K578" s="8"/>
      <c r="L578" s="8"/>
      <c r="M578" s="8"/>
      <c r="N578" s="8"/>
      <c r="O578" s="8"/>
      <c r="P578" s="8"/>
      <c r="Q578" s="8"/>
      <c r="R578" s="8"/>
    </row>
    <row r="579" spans="1:18" ht="12.75" customHeight="1">
      <c r="A579" s="8"/>
      <c r="B579" s="8"/>
      <c r="C579" s="30"/>
      <c r="D579" s="8"/>
      <c r="E579" s="8"/>
      <c r="F579" s="8"/>
      <c r="G579" s="8"/>
      <c r="H579" s="8"/>
      <c r="I579" s="8"/>
      <c r="J579" s="8"/>
      <c r="K579" s="8"/>
      <c r="L579" s="8"/>
      <c r="M579" s="8"/>
      <c r="N579" s="8"/>
      <c r="O579" s="8"/>
      <c r="P579" s="8"/>
      <c r="Q579" s="8"/>
      <c r="R579" s="8"/>
    </row>
    <row r="580" spans="1:18" ht="12.75" customHeight="1">
      <c r="A580" s="8"/>
      <c r="B580" s="8"/>
      <c r="C580" s="30"/>
      <c r="D580" s="8"/>
      <c r="E580" s="8"/>
      <c r="F580" s="8"/>
      <c r="G580" s="8"/>
      <c r="H580" s="8"/>
      <c r="I580" s="8"/>
      <c r="J580" s="8"/>
      <c r="K580" s="8"/>
      <c r="L580" s="8"/>
      <c r="M580" s="8"/>
      <c r="N580" s="8"/>
      <c r="O580" s="8"/>
      <c r="P580" s="8"/>
      <c r="Q580" s="8"/>
      <c r="R580" s="8"/>
    </row>
    <row r="581" spans="1:18" ht="12.75" customHeight="1">
      <c r="A581" s="8"/>
      <c r="B581" s="8"/>
      <c r="C581" s="30"/>
      <c r="D581" s="8"/>
      <c r="E581" s="8"/>
      <c r="F581" s="8"/>
      <c r="G581" s="8"/>
      <c r="H581" s="8"/>
      <c r="I581" s="8"/>
      <c r="J581" s="8"/>
      <c r="K581" s="8"/>
      <c r="L581" s="8"/>
      <c r="M581" s="8"/>
      <c r="N581" s="8"/>
      <c r="O581" s="8"/>
      <c r="P581" s="8"/>
      <c r="Q581" s="8"/>
      <c r="R581" s="8"/>
    </row>
    <row r="582" spans="1:18" ht="12.75" customHeight="1">
      <c r="A582" s="8"/>
      <c r="B582" s="8"/>
      <c r="C582" s="30"/>
      <c r="D582" s="8"/>
      <c r="E582" s="8"/>
      <c r="F582" s="8"/>
      <c r="G582" s="8"/>
      <c r="H582" s="8"/>
      <c r="I582" s="8"/>
      <c r="J582" s="8"/>
      <c r="K582" s="8"/>
      <c r="L582" s="8"/>
      <c r="M582" s="8"/>
      <c r="N582" s="8"/>
      <c r="O582" s="8"/>
      <c r="P582" s="8"/>
      <c r="Q582" s="8"/>
      <c r="R582" s="8"/>
    </row>
    <row r="583" spans="1:18" ht="12.75" customHeight="1">
      <c r="A583" s="8"/>
      <c r="B583" s="8"/>
      <c r="C583" s="30"/>
      <c r="D583" s="8"/>
      <c r="E583" s="8"/>
      <c r="F583" s="8"/>
      <c r="G583" s="8"/>
      <c r="H583" s="8"/>
      <c r="I583" s="8"/>
      <c r="J583" s="8"/>
      <c r="K583" s="8"/>
      <c r="L583" s="8"/>
      <c r="M583" s="8"/>
      <c r="N583" s="8"/>
      <c r="O583" s="8"/>
      <c r="P583" s="8"/>
      <c r="Q583" s="8"/>
      <c r="R583" s="8"/>
    </row>
    <row r="584" spans="1:18" ht="12.75" customHeight="1">
      <c r="A584" s="8"/>
      <c r="B584" s="8"/>
      <c r="C584" s="30"/>
      <c r="D584" s="8"/>
      <c r="E584" s="8"/>
      <c r="F584" s="8"/>
      <c r="G584" s="8"/>
      <c r="H584" s="8"/>
      <c r="I584" s="8"/>
      <c r="J584" s="8"/>
      <c r="K584" s="8"/>
      <c r="L584" s="8"/>
      <c r="M584" s="8"/>
      <c r="N584" s="8"/>
      <c r="O584" s="8"/>
      <c r="P584" s="8"/>
      <c r="Q584" s="8"/>
      <c r="R584" s="8"/>
    </row>
    <row r="585" spans="1:18" ht="12.75" customHeight="1">
      <c r="A585" s="8"/>
      <c r="B585" s="8"/>
      <c r="C585" s="30"/>
      <c r="D585" s="8"/>
      <c r="E585" s="8"/>
      <c r="F585" s="8"/>
      <c r="G585" s="8"/>
      <c r="H585" s="8"/>
      <c r="I585" s="8"/>
      <c r="J585" s="8"/>
      <c r="K585" s="8"/>
      <c r="L585" s="8"/>
      <c r="M585" s="8"/>
      <c r="N585" s="8"/>
      <c r="O585" s="8"/>
      <c r="P585" s="8"/>
      <c r="Q585" s="8"/>
      <c r="R585" s="8"/>
    </row>
    <row r="586" spans="1:18" ht="12.75" customHeight="1">
      <c r="A586" s="8"/>
      <c r="B586" s="8"/>
      <c r="C586" s="30"/>
      <c r="D586" s="8"/>
      <c r="E586" s="8"/>
      <c r="F586" s="8"/>
      <c r="G586" s="8"/>
      <c r="H586" s="8"/>
      <c r="I586" s="8"/>
      <c r="J586" s="8"/>
      <c r="K586" s="8"/>
      <c r="L586" s="8"/>
      <c r="M586" s="8"/>
      <c r="N586" s="8"/>
      <c r="O586" s="8"/>
      <c r="P586" s="8"/>
      <c r="Q586" s="8"/>
      <c r="R586" s="8"/>
    </row>
    <row r="587" spans="1:18" ht="12.75" customHeight="1">
      <c r="A587" s="8"/>
      <c r="B587" s="8"/>
      <c r="C587" s="30"/>
      <c r="D587" s="8"/>
      <c r="E587" s="8"/>
      <c r="F587" s="8"/>
      <c r="G587" s="8"/>
      <c r="H587" s="8"/>
      <c r="I587" s="8"/>
      <c r="J587" s="8"/>
      <c r="K587" s="8"/>
      <c r="L587" s="8"/>
      <c r="M587" s="8"/>
      <c r="N587" s="8"/>
      <c r="O587" s="8"/>
      <c r="P587" s="8"/>
      <c r="Q587" s="8"/>
      <c r="R587" s="8"/>
    </row>
    <row r="588" spans="1:18" ht="12.75" customHeight="1">
      <c r="A588" s="8"/>
      <c r="B588" s="8"/>
      <c r="C588" s="30"/>
      <c r="D588" s="8"/>
      <c r="E588" s="8"/>
      <c r="F588" s="8"/>
      <c r="G588" s="8"/>
      <c r="H588" s="8"/>
      <c r="I588" s="8"/>
      <c r="J588" s="8"/>
      <c r="K588" s="8"/>
      <c r="L588" s="8"/>
      <c r="M588" s="8"/>
      <c r="N588" s="8"/>
      <c r="O588" s="8"/>
      <c r="P588" s="8"/>
      <c r="Q588" s="8"/>
      <c r="R588" s="8"/>
    </row>
    <row r="589" spans="1:18" ht="12.75" customHeight="1">
      <c r="A589" s="8"/>
      <c r="B589" s="8"/>
      <c r="C589" s="30"/>
      <c r="D589" s="8"/>
      <c r="E589" s="8"/>
      <c r="F589" s="8"/>
      <c r="G589" s="8"/>
      <c r="H589" s="8"/>
      <c r="I589" s="8"/>
      <c r="J589" s="8"/>
      <c r="K589" s="8"/>
      <c r="L589" s="8"/>
      <c r="M589" s="8"/>
      <c r="N589" s="8"/>
      <c r="O589" s="8"/>
      <c r="P589" s="8"/>
      <c r="Q589" s="8"/>
      <c r="R589" s="8"/>
    </row>
    <row r="590" spans="1:18" ht="12.75" customHeight="1">
      <c r="A590" s="8"/>
      <c r="B590" s="8"/>
      <c r="C590" s="30"/>
      <c r="D590" s="8"/>
      <c r="E590" s="8"/>
      <c r="F590" s="8"/>
      <c r="G590" s="8"/>
      <c r="H590" s="8"/>
      <c r="I590" s="8"/>
      <c r="J590" s="8"/>
      <c r="K590" s="8"/>
      <c r="L590" s="8"/>
      <c r="M590" s="8"/>
      <c r="N590" s="8"/>
      <c r="O590" s="8"/>
      <c r="P590" s="8"/>
      <c r="Q590" s="8"/>
      <c r="R590" s="8"/>
    </row>
    <row r="591" spans="1:18" ht="12.75" customHeight="1">
      <c r="A591" s="8"/>
      <c r="B591" s="8"/>
      <c r="C591" s="30"/>
      <c r="D591" s="8"/>
      <c r="E591" s="8"/>
      <c r="F591" s="8"/>
      <c r="G591" s="8"/>
      <c r="H591" s="8"/>
      <c r="I591" s="8"/>
      <c r="J591" s="8"/>
      <c r="K591" s="8"/>
      <c r="L591" s="8"/>
      <c r="M591" s="8"/>
      <c r="N591" s="8"/>
      <c r="O591" s="8"/>
      <c r="P591" s="8"/>
      <c r="Q591" s="8"/>
      <c r="R591" s="8"/>
    </row>
    <row r="592" spans="1:18" ht="12.75" customHeight="1">
      <c r="A592" s="8"/>
      <c r="B592" s="8"/>
      <c r="C592" s="30"/>
      <c r="D592" s="8"/>
      <c r="E592" s="8"/>
      <c r="F592" s="8"/>
      <c r="G592" s="8"/>
      <c r="H592" s="8"/>
      <c r="I592" s="8"/>
      <c r="J592" s="8"/>
      <c r="K592" s="8"/>
      <c r="L592" s="8"/>
      <c r="M592" s="8"/>
      <c r="N592" s="8"/>
      <c r="O592" s="8"/>
      <c r="P592" s="8"/>
      <c r="Q592" s="8"/>
      <c r="R592" s="8"/>
    </row>
    <row r="593" spans="1:18" ht="12.75" customHeight="1">
      <c r="A593" s="8"/>
      <c r="B593" s="8"/>
      <c r="C593" s="30"/>
      <c r="D593" s="8"/>
      <c r="E593" s="8"/>
      <c r="F593" s="8"/>
      <c r="G593" s="8"/>
      <c r="H593" s="8"/>
      <c r="I593" s="8"/>
      <c r="J593" s="8"/>
      <c r="K593" s="8"/>
      <c r="L593" s="8"/>
      <c r="M593" s="8"/>
      <c r="N593" s="8"/>
      <c r="O593" s="8"/>
      <c r="P593" s="8"/>
      <c r="Q593" s="8"/>
      <c r="R593" s="8"/>
    </row>
    <row r="594" spans="1:18" ht="12.75" customHeight="1">
      <c r="A594" s="8"/>
      <c r="B594" s="8"/>
      <c r="C594" s="30"/>
      <c r="D594" s="8"/>
      <c r="E594" s="8"/>
      <c r="F594" s="8"/>
      <c r="G594" s="8"/>
      <c r="H594" s="8"/>
      <c r="I594" s="8"/>
      <c r="J594" s="8"/>
      <c r="K594" s="8"/>
      <c r="L594" s="8"/>
      <c r="M594" s="8"/>
      <c r="N594" s="8"/>
      <c r="O594" s="8"/>
      <c r="P594" s="8"/>
      <c r="Q594" s="8"/>
      <c r="R594" s="8"/>
    </row>
    <row r="595" spans="1:18" ht="12.75" customHeight="1">
      <c r="A595" s="8"/>
      <c r="B595" s="8"/>
      <c r="C595" s="30"/>
      <c r="D595" s="8"/>
      <c r="E595" s="8"/>
      <c r="F595" s="8"/>
      <c r="G595" s="8"/>
      <c r="H595" s="8"/>
      <c r="I595" s="8"/>
      <c r="J595" s="8"/>
      <c r="K595" s="8"/>
      <c r="L595" s="8"/>
      <c r="M595" s="8"/>
      <c r="N595" s="8"/>
      <c r="O595" s="8"/>
      <c r="P595" s="8"/>
      <c r="Q595" s="8"/>
      <c r="R595" s="8"/>
    </row>
    <row r="596" spans="1:18" ht="12.75" customHeight="1">
      <c r="A596" s="8"/>
      <c r="B596" s="8"/>
      <c r="C596" s="30"/>
      <c r="D596" s="8"/>
      <c r="E596" s="8"/>
      <c r="F596" s="8"/>
      <c r="G596" s="8"/>
      <c r="H596" s="8"/>
      <c r="I596" s="8"/>
      <c r="J596" s="8"/>
      <c r="K596" s="8"/>
      <c r="L596" s="8"/>
      <c r="M596" s="8"/>
      <c r="N596" s="8"/>
      <c r="O596" s="8"/>
      <c r="P596" s="8"/>
      <c r="Q596" s="8"/>
      <c r="R596" s="8"/>
    </row>
    <row r="597" spans="1:18" ht="12.75" customHeight="1">
      <c r="A597" s="8"/>
      <c r="B597" s="8"/>
      <c r="C597" s="30"/>
      <c r="D597" s="8"/>
      <c r="E597" s="8"/>
      <c r="F597" s="8"/>
      <c r="G597" s="8"/>
      <c r="H597" s="8"/>
      <c r="I597" s="8"/>
      <c r="J597" s="8"/>
      <c r="K597" s="8"/>
      <c r="L597" s="8"/>
      <c r="M597" s="8"/>
      <c r="N597" s="8"/>
      <c r="O597" s="8"/>
      <c r="P597" s="8"/>
      <c r="Q597" s="8"/>
      <c r="R597" s="8"/>
    </row>
    <row r="598" spans="1:18" ht="12.75" customHeight="1">
      <c r="A598" s="8"/>
      <c r="B598" s="8"/>
      <c r="C598" s="30"/>
      <c r="D598" s="8"/>
      <c r="E598" s="8"/>
      <c r="F598" s="8"/>
      <c r="G598" s="8"/>
      <c r="H598" s="8"/>
      <c r="I598" s="8"/>
      <c r="J598" s="8"/>
      <c r="K598" s="8"/>
      <c r="L598" s="8"/>
      <c r="M598" s="8"/>
      <c r="N598" s="8"/>
      <c r="O598" s="8"/>
      <c r="P598" s="8"/>
      <c r="Q598" s="8"/>
      <c r="R598" s="8"/>
    </row>
    <row r="599" spans="1:18" ht="12.75" customHeight="1">
      <c r="A599" s="8"/>
      <c r="B599" s="8"/>
      <c r="C599" s="30"/>
      <c r="D599" s="8"/>
      <c r="E599" s="8"/>
      <c r="F599" s="8"/>
      <c r="G599" s="8"/>
      <c r="H599" s="8"/>
      <c r="I599" s="8"/>
      <c r="J599" s="8"/>
      <c r="K599" s="8"/>
      <c r="L599" s="8"/>
      <c r="M599" s="8"/>
      <c r="N599" s="8"/>
      <c r="O599" s="8"/>
      <c r="P599" s="8"/>
      <c r="Q599" s="8"/>
      <c r="R599" s="8"/>
    </row>
    <row r="600" spans="1:18" ht="12.75" customHeight="1">
      <c r="A600" s="8"/>
      <c r="B600" s="8"/>
      <c r="C600" s="30"/>
      <c r="D600" s="8"/>
      <c r="E600" s="8"/>
      <c r="F600" s="8"/>
      <c r="G600" s="8"/>
      <c r="H600" s="8"/>
      <c r="I600" s="8"/>
      <c r="J600" s="8"/>
      <c r="K600" s="8"/>
      <c r="L600" s="8"/>
      <c r="M600" s="8"/>
      <c r="N600" s="8"/>
      <c r="O600" s="8"/>
      <c r="P600" s="8"/>
      <c r="Q600" s="8"/>
      <c r="R600" s="8"/>
    </row>
    <row r="601" spans="1:18" ht="12.75" customHeight="1">
      <c r="A601" s="8"/>
      <c r="B601" s="8"/>
      <c r="C601" s="30"/>
      <c r="D601" s="8"/>
      <c r="E601" s="8"/>
      <c r="F601" s="8"/>
      <c r="G601" s="8"/>
      <c r="H601" s="8"/>
      <c r="I601" s="8"/>
      <c r="J601" s="8"/>
      <c r="K601" s="8"/>
      <c r="L601" s="8"/>
      <c r="M601" s="8"/>
      <c r="N601" s="8"/>
      <c r="O601" s="8"/>
      <c r="P601" s="8"/>
      <c r="Q601" s="8"/>
      <c r="R601" s="8"/>
    </row>
    <row r="602" spans="1:18" ht="12.75" customHeight="1">
      <c r="A602" s="8"/>
      <c r="B602" s="8"/>
      <c r="C602" s="30"/>
      <c r="D602" s="8"/>
      <c r="E602" s="8"/>
      <c r="F602" s="8"/>
      <c r="G602" s="8"/>
      <c r="H602" s="8"/>
      <c r="I602" s="8"/>
      <c r="J602" s="8"/>
      <c r="K602" s="8"/>
      <c r="L602" s="8"/>
      <c r="M602" s="8"/>
      <c r="N602" s="8"/>
      <c r="O602" s="8"/>
      <c r="P602" s="8"/>
      <c r="Q602" s="8"/>
      <c r="R602" s="8"/>
    </row>
    <row r="603" spans="1:18" ht="12.75" customHeight="1">
      <c r="A603" s="8"/>
      <c r="B603" s="8"/>
      <c r="C603" s="30"/>
      <c r="D603" s="8"/>
      <c r="E603" s="8"/>
      <c r="F603" s="8"/>
      <c r="G603" s="8"/>
      <c r="H603" s="8"/>
      <c r="I603" s="8"/>
      <c r="J603" s="8"/>
      <c r="K603" s="8"/>
      <c r="L603" s="8"/>
      <c r="M603" s="8"/>
      <c r="N603" s="8"/>
      <c r="O603" s="8"/>
      <c r="P603" s="8"/>
      <c r="Q603" s="8"/>
      <c r="R603" s="8"/>
    </row>
    <row r="604" spans="1:18" ht="12.75" customHeight="1">
      <c r="A604" s="8"/>
      <c r="B604" s="8"/>
      <c r="C604" s="30"/>
      <c r="D604" s="8"/>
      <c r="E604" s="8"/>
      <c r="F604" s="8"/>
      <c r="G604" s="8"/>
      <c r="H604" s="8"/>
      <c r="I604" s="8"/>
      <c r="J604" s="8"/>
      <c r="K604" s="8"/>
      <c r="L604" s="8"/>
      <c r="M604" s="8"/>
      <c r="N604" s="8"/>
      <c r="O604" s="8"/>
      <c r="P604" s="8"/>
      <c r="Q604" s="8"/>
      <c r="R604" s="8"/>
    </row>
    <row r="605" spans="1:18" ht="12.75" customHeight="1">
      <c r="A605" s="8"/>
      <c r="B605" s="8"/>
      <c r="C605" s="30"/>
      <c r="D605" s="8"/>
      <c r="E605" s="8"/>
      <c r="F605" s="8"/>
      <c r="G605" s="8"/>
      <c r="H605" s="8"/>
      <c r="I605" s="8"/>
      <c r="J605" s="8"/>
      <c r="K605" s="8"/>
      <c r="L605" s="8"/>
      <c r="M605" s="8"/>
      <c r="N605" s="8"/>
      <c r="O605" s="8"/>
      <c r="P605" s="8"/>
      <c r="Q605" s="8"/>
      <c r="R605" s="8"/>
    </row>
    <row r="606" spans="1:18" ht="12.75" customHeight="1">
      <c r="A606" s="8"/>
      <c r="B606" s="8"/>
      <c r="C606" s="30"/>
      <c r="D606" s="8"/>
      <c r="E606" s="8"/>
      <c r="F606" s="8"/>
      <c r="G606" s="8"/>
      <c r="H606" s="8"/>
      <c r="I606" s="8"/>
      <c r="J606" s="8"/>
      <c r="K606" s="8"/>
      <c r="L606" s="8"/>
      <c r="M606" s="8"/>
      <c r="N606" s="8"/>
      <c r="O606" s="8"/>
      <c r="P606" s="8"/>
      <c r="Q606" s="8"/>
      <c r="R606" s="8"/>
    </row>
    <row r="607" spans="1:18" ht="12.75" customHeight="1">
      <c r="A607" s="8"/>
      <c r="B607" s="8"/>
      <c r="C607" s="30"/>
      <c r="D607" s="8"/>
      <c r="E607" s="8"/>
      <c r="F607" s="8"/>
      <c r="G607" s="8"/>
      <c r="H607" s="8"/>
      <c r="I607" s="8"/>
      <c r="J607" s="8"/>
      <c r="K607" s="8"/>
      <c r="L607" s="8"/>
      <c r="M607" s="8"/>
      <c r="N607" s="8"/>
      <c r="O607" s="8"/>
      <c r="P607" s="8"/>
      <c r="Q607" s="8"/>
      <c r="R607" s="8"/>
    </row>
    <row r="608" spans="1:18" ht="12.75" customHeight="1">
      <c r="A608" s="8"/>
      <c r="B608" s="8"/>
      <c r="C608" s="30"/>
      <c r="D608" s="8"/>
      <c r="E608" s="8"/>
      <c r="F608" s="8"/>
      <c r="G608" s="8"/>
      <c r="H608" s="8"/>
      <c r="I608" s="8"/>
      <c r="J608" s="8"/>
      <c r="K608" s="8"/>
      <c r="L608" s="8"/>
      <c r="M608" s="8"/>
      <c r="N608" s="8"/>
      <c r="O608" s="8"/>
      <c r="P608" s="8"/>
      <c r="Q608" s="8"/>
      <c r="R608" s="8"/>
    </row>
    <row r="609" spans="1:18" ht="12.75" customHeight="1">
      <c r="A609" s="8"/>
      <c r="B609" s="8"/>
      <c r="C609" s="30"/>
      <c r="D609" s="8"/>
      <c r="E609" s="8"/>
      <c r="F609" s="8"/>
      <c r="G609" s="8"/>
      <c r="H609" s="8"/>
      <c r="I609" s="8"/>
      <c r="J609" s="8"/>
      <c r="K609" s="8"/>
      <c r="L609" s="8"/>
      <c r="M609" s="8"/>
      <c r="N609" s="8"/>
      <c r="O609" s="8"/>
      <c r="P609" s="8"/>
      <c r="Q609" s="8"/>
      <c r="R609" s="8"/>
    </row>
    <row r="610" spans="1:18" ht="12.75" customHeight="1">
      <c r="A610" s="8"/>
      <c r="B610" s="8"/>
      <c r="C610" s="30"/>
      <c r="D610" s="8"/>
      <c r="E610" s="8"/>
      <c r="F610" s="8"/>
      <c r="G610" s="8"/>
      <c r="H610" s="8"/>
      <c r="I610" s="8"/>
      <c r="J610" s="8"/>
      <c r="K610" s="8"/>
      <c r="L610" s="8"/>
      <c r="M610" s="8"/>
      <c r="N610" s="8"/>
      <c r="O610" s="8"/>
      <c r="P610" s="8"/>
      <c r="Q610" s="8"/>
      <c r="R610" s="8"/>
    </row>
    <row r="611" spans="1:18" ht="12.75" customHeight="1">
      <c r="A611" s="8"/>
      <c r="B611" s="8"/>
      <c r="C611" s="30"/>
      <c r="D611" s="8"/>
      <c r="E611" s="8"/>
      <c r="F611" s="8"/>
      <c r="G611" s="8"/>
      <c r="H611" s="8"/>
      <c r="I611" s="8"/>
      <c r="J611" s="8"/>
      <c r="K611" s="8"/>
      <c r="L611" s="8"/>
      <c r="M611" s="8"/>
      <c r="N611" s="8"/>
      <c r="O611" s="8"/>
      <c r="P611" s="8"/>
      <c r="Q611" s="8"/>
      <c r="R611" s="8"/>
    </row>
    <row r="612" spans="1:18" ht="12.75" customHeight="1">
      <c r="A612" s="8"/>
      <c r="B612" s="8"/>
      <c r="C612" s="30"/>
      <c r="D612" s="8"/>
      <c r="E612" s="8"/>
      <c r="F612" s="8"/>
      <c r="G612" s="8"/>
      <c r="H612" s="8"/>
      <c r="I612" s="8"/>
      <c r="J612" s="8"/>
      <c r="K612" s="8"/>
      <c r="L612" s="8"/>
      <c r="M612" s="8"/>
      <c r="N612" s="8"/>
      <c r="O612" s="8"/>
      <c r="P612" s="8"/>
      <c r="Q612" s="8"/>
      <c r="R612" s="8"/>
    </row>
    <row r="613" spans="1:18" ht="12.75" customHeight="1">
      <c r="A613" s="8"/>
      <c r="B613" s="8"/>
      <c r="C613" s="30"/>
      <c r="D613" s="8"/>
      <c r="E613" s="8"/>
      <c r="F613" s="8"/>
      <c r="G613" s="8"/>
      <c r="H613" s="8"/>
      <c r="I613" s="8"/>
      <c r="J613" s="8"/>
      <c r="K613" s="8"/>
      <c r="L613" s="8"/>
      <c r="M613" s="8"/>
      <c r="N613" s="8"/>
      <c r="O613" s="8"/>
      <c r="P613" s="8"/>
      <c r="Q613" s="8"/>
      <c r="R613" s="8"/>
    </row>
    <row r="614" spans="1:18" ht="12.75" customHeight="1">
      <c r="A614" s="8"/>
      <c r="B614" s="8"/>
      <c r="C614" s="30"/>
      <c r="D614" s="8"/>
      <c r="E614" s="8"/>
      <c r="F614" s="8"/>
      <c r="G614" s="8"/>
      <c r="H614" s="8"/>
      <c r="I614" s="8"/>
      <c r="J614" s="8"/>
      <c r="K614" s="8"/>
      <c r="L614" s="8"/>
      <c r="M614" s="8"/>
      <c r="N614" s="8"/>
      <c r="O614" s="8"/>
      <c r="P614" s="8"/>
      <c r="Q614" s="8"/>
      <c r="R614" s="8"/>
    </row>
    <row r="615" spans="1:18" ht="12.75" customHeight="1">
      <c r="A615" s="8"/>
      <c r="B615" s="8"/>
      <c r="C615" s="30"/>
      <c r="D615" s="8"/>
      <c r="E615" s="8"/>
      <c r="F615" s="8"/>
      <c r="G615" s="8"/>
      <c r="H615" s="8"/>
      <c r="I615" s="8"/>
      <c r="J615" s="8"/>
      <c r="K615" s="8"/>
      <c r="L615" s="8"/>
      <c r="M615" s="8"/>
      <c r="N615" s="8"/>
      <c r="O615" s="8"/>
      <c r="P615" s="8"/>
      <c r="Q615" s="8"/>
      <c r="R615" s="8"/>
    </row>
    <row r="616" spans="1:18" ht="12.75" customHeight="1">
      <c r="A616" s="8"/>
      <c r="B616" s="8"/>
      <c r="C616" s="30"/>
      <c r="D616" s="8"/>
      <c r="E616" s="8"/>
      <c r="F616" s="8"/>
      <c r="G616" s="8"/>
      <c r="H616" s="8"/>
      <c r="I616" s="8"/>
      <c r="J616" s="8"/>
      <c r="K616" s="8"/>
      <c r="L616" s="8"/>
      <c r="M616" s="8"/>
      <c r="N616" s="8"/>
      <c r="O616" s="8"/>
      <c r="P616" s="8"/>
      <c r="Q616" s="8"/>
      <c r="R616" s="8"/>
    </row>
    <row r="617" spans="1:18" ht="12.75" customHeight="1">
      <c r="A617" s="8"/>
      <c r="B617" s="8"/>
      <c r="C617" s="30"/>
      <c r="D617" s="8"/>
      <c r="E617" s="8"/>
      <c r="F617" s="8"/>
      <c r="G617" s="8"/>
      <c r="H617" s="8"/>
      <c r="I617" s="8"/>
      <c r="J617" s="8"/>
      <c r="K617" s="8"/>
      <c r="L617" s="8"/>
      <c r="M617" s="8"/>
      <c r="N617" s="8"/>
      <c r="O617" s="8"/>
      <c r="P617" s="8"/>
      <c r="Q617" s="8"/>
      <c r="R617" s="8"/>
    </row>
    <row r="618" spans="1:18" ht="12.75" customHeight="1">
      <c r="A618" s="8"/>
      <c r="B618" s="8"/>
      <c r="C618" s="30"/>
      <c r="D618" s="8"/>
      <c r="E618" s="8"/>
      <c r="F618" s="8"/>
      <c r="G618" s="8"/>
      <c r="H618" s="8"/>
      <c r="I618" s="8"/>
      <c r="J618" s="8"/>
      <c r="K618" s="8"/>
      <c r="L618" s="8"/>
      <c r="M618" s="8"/>
      <c r="N618" s="8"/>
      <c r="O618" s="8"/>
      <c r="P618" s="8"/>
      <c r="Q618" s="8"/>
      <c r="R618" s="8"/>
    </row>
    <row r="619" spans="1:18" ht="12.75" customHeight="1">
      <c r="A619" s="8"/>
      <c r="B619" s="8"/>
      <c r="C619" s="30"/>
      <c r="D619" s="8"/>
      <c r="E619" s="8"/>
      <c r="F619" s="8"/>
      <c r="G619" s="8"/>
      <c r="H619" s="8"/>
      <c r="I619" s="8"/>
      <c r="J619" s="8"/>
      <c r="K619" s="8"/>
      <c r="L619" s="8"/>
      <c r="M619" s="8"/>
      <c r="N619" s="8"/>
      <c r="O619" s="8"/>
      <c r="P619" s="8"/>
      <c r="Q619" s="8"/>
      <c r="R619" s="8"/>
    </row>
    <row r="620" spans="1:18" ht="12.75" customHeight="1">
      <c r="A620" s="8"/>
      <c r="B620" s="8"/>
      <c r="C620" s="30"/>
      <c r="D620" s="8"/>
      <c r="E620" s="8"/>
      <c r="F620" s="8"/>
      <c r="G620" s="8"/>
      <c r="H620" s="8"/>
      <c r="I620" s="8"/>
      <c r="J620" s="8"/>
      <c r="K620" s="8"/>
      <c r="L620" s="8"/>
      <c r="M620" s="8"/>
      <c r="N620" s="8"/>
      <c r="O620" s="8"/>
      <c r="P620" s="8"/>
      <c r="Q620" s="8"/>
      <c r="R620" s="8"/>
    </row>
    <row r="621" spans="1:18" ht="12.75" customHeight="1">
      <c r="A621" s="8"/>
      <c r="B621" s="8"/>
      <c r="C621" s="30"/>
      <c r="D621" s="8"/>
      <c r="E621" s="8"/>
      <c r="F621" s="8"/>
      <c r="G621" s="8"/>
      <c r="H621" s="8"/>
      <c r="I621" s="8"/>
      <c r="J621" s="8"/>
      <c r="K621" s="8"/>
      <c r="L621" s="8"/>
      <c r="M621" s="8"/>
      <c r="N621" s="8"/>
      <c r="O621" s="8"/>
      <c r="P621" s="8"/>
      <c r="Q621" s="8"/>
      <c r="R621" s="8"/>
    </row>
    <row r="622" spans="1:18" ht="12.75" customHeight="1">
      <c r="A622" s="8"/>
      <c r="B622" s="8"/>
      <c r="C622" s="30"/>
      <c r="D622" s="8"/>
      <c r="E622" s="8"/>
      <c r="F622" s="8"/>
      <c r="G622" s="8"/>
      <c r="H622" s="8"/>
      <c r="I622" s="8"/>
      <c r="J622" s="8"/>
      <c r="K622" s="8"/>
      <c r="L622" s="8"/>
      <c r="M622" s="8"/>
      <c r="N622" s="8"/>
      <c r="O622" s="8"/>
      <c r="P622" s="8"/>
      <c r="Q622" s="8"/>
      <c r="R622" s="8"/>
    </row>
    <row r="623" spans="1:18" ht="12.75" customHeight="1">
      <c r="A623" s="8"/>
      <c r="B623" s="8"/>
      <c r="C623" s="30"/>
      <c r="D623" s="8"/>
      <c r="E623" s="8"/>
      <c r="F623" s="8"/>
      <c r="G623" s="8"/>
      <c r="H623" s="8"/>
      <c r="I623" s="8"/>
      <c r="J623" s="8"/>
      <c r="K623" s="8"/>
      <c r="L623" s="8"/>
      <c r="M623" s="8"/>
      <c r="N623" s="8"/>
      <c r="O623" s="8"/>
      <c r="P623" s="8"/>
      <c r="Q623" s="8"/>
      <c r="R623" s="8"/>
    </row>
    <row r="624" spans="1:18" ht="12.75" customHeight="1">
      <c r="A624" s="8"/>
      <c r="B624" s="8"/>
      <c r="C624" s="30"/>
      <c r="D624" s="8"/>
      <c r="E624" s="8"/>
      <c r="F624" s="8"/>
      <c r="G624" s="8"/>
      <c r="H624" s="8"/>
      <c r="I624" s="8"/>
      <c r="J624" s="8"/>
      <c r="K624" s="8"/>
      <c r="L624" s="8"/>
      <c r="M624" s="8"/>
      <c r="N624" s="8"/>
      <c r="O624" s="8"/>
      <c r="P624" s="8"/>
      <c r="Q624" s="8"/>
      <c r="R624" s="8"/>
    </row>
    <row r="625" spans="1:18" ht="12.75" customHeight="1">
      <c r="A625" s="8"/>
      <c r="B625" s="8"/>
      <c r="C625" s="30"/>
      <c r="D625" s="8"/>
      <c r="E625" s="8"/>
      <c r="F625" s="8"/>
      <c r="G625" s="8"/>
      <c r="H625" s="8"/>
      <c r="I625" s="8"/>
      <c r="J625" s="8"/>
      <c r="K625" s="8"/>
      <c r="L625" s="8"/>
      <c r="M625" s="8"/>
      <c r="N625" s="8"/>
      <c r="O625" s="8"/>
      <c r="P625" s="8"/>
      <c r="Q625" s="8"/>
      <c r="R625" s="8"/>
    </row>
    <row r="626" spans="1:18" ht="12.75" customHeight="1">
      <c r="A626" s="8"/>
      <c r="B626" s="8"/>
      <c r="C626" s="30"/>
      <c r="D626" s="8"/>
      <c r="E626" s="8"/>
      <c r="F626" s="8"/>
      <c r="G626" s="8"/>
      <c r="H626" s="8"/>
      <c r="I626" s="8"/>
      <c r="J626" s="8"/>
      <c r="K626" s="8"/>
      <c r="L626" s="8"/>
      <c r="M626" s="8"/>
      <c r="N626" s="8"/>
      <c r="O626" s="8"/>
      <c r="P626" s="8"/>
      <c r="Q626" s="8"/>
      <c r="R626" s="8"/>
    </row>
    <row r="627" spans="1:18" ht="12.75" customHeight="1">
      <c r="A627" s="8"/>
      <c r="B627" s="8"/>
      <c r="C627" s="30"/>
      <c r="D627" s="8"/>
      <c r="E627" s="8"/>
      <c r="F627" s="8"/>
      <c r="G627" s="8"/>
      <c r="H627" s="8"/>
      <c r="I627" s="8"/>
      <c r="J627" s="8"/>
      <c r="K627" s="8"/>
      <c r="L627" s="8"/>
      <c r="M627" s="8"/>
      <c r="N627" s="8"/>
      <c r="O627" s="8"/>
      <c r="P627" s="8"/>
      <c r="Q627" s="8"/>
      <c r="R627" s="8"/>
    </row>
    <row r="628" spans="1:18" ht="12.75" customHeight="1">
      <c r="A628" s="8"/>
      <c r="B628" s="8"/>
      <c r="C628" s="30"/>
      <c r="D628" s="8"/>
      <c r="E628" s="8"/>
      <c r="F628" s="8"/>
      <c r="G628" s="8"/>
      <c r="H628" s="8"/>
      <c r="I628" s="8"/>
      <c r="J628" s="8"/>
      <c r="K628" s="8"/>
      <c r="L628" s="8"/>
      <c r="M628" s="8"/>
      <c r="N628" s="8"/>
      <c r="O628" s="8"/>
      <c r="P628" s="8"/>
      <c r="Q628" s="8"/>
      <c r="R628" s="8"/>
    </row>
    <row r="629" spans="1:18" ht="12.75" customHeight="1">
      <c r="A629" s="8"/>
      <c r="B629" s="8"/>
      <c r="C629" s="30"/>
      <c r="D629" s="8"/>
      <c r="E629" s="8"/>
      <c r="F629" s="8"/>
      <c r="G629" s="8"/>
      <c r="H629" s="8"/>
      <c r="I629" s="8"/>
      <c r="J629" s="8"/>
      <c r="K629" s="8"/>
      <c r="L629" s="8"/>
      <c r="M629" s="8"/>
      <c r="N629" s="8"/>
      <c r="O629" s="8"/>
      <c r="P629" s="8"/>
      <c r="Q629" s="8"/>
      <c r="R629" s="8"/>
    </row>
    <row r="630" spans="1:18" ht="12.75" customHeight="1">
      <c r="A630" s="8"/>
      <c r="B630" s="8"/>
      <c r="C630" s="30"/>
      <c r="D630" s="8"/>
      <c r="E630" s="8"/>
      <c r="F630" s="8"/>
      <c r="G630" s="8"/>
      <c r="H630" s="8"/>
      <c r="I630" s="8"/>
      <c r="J630" s="8"/>
      <c r="K630" s="8"/>
      <c r="L630" s="8"/>
      <c r="M630" s="8"/>
      <c r="N630" s="8"/>
      <c r="O630" s="8"/>
      <c r="P630" s="8"/>
      <c r="Q630" s="8"/>
      <c r="R630" s="8"/>
    </row>
    <row r="631" spans="1:18" ht="12.75" customHeight="1">
      <c r="A631" s="8"/>
      <c r="B631" s="8"/>
      <c r="C631" s="30"/>
      <c r="D631" s="8"/>
      <c r="E631" s="8"/>
      <c r="F631" s="8"/>
      <c r="G631" s="8"/>
      <c r="H631" s="8"/>
      <c r="I631" s="8"/>
      <c r="J631" s="8"/>
      <c r="K631" s="8"/>
      <c r="L631" s="8"/>
      <c r="M631" s="8"/>
      <c r="N631" s="8"/>
      <c r="O631" s="8"/>
      <c r="P631" s="8"/>
      <c r="Q631" s="8"/>
      <c r="R631" s="8"/>
    </row>
    <row r="632" spans="1:18" ht="12.75" customHeight="1">
      <c r="A632" s="8"/>
      <c r="B632" s="8"/>
      <c r="C632" s="30"/>
      <c r="D632" s="8"/>
      <c r="E632" s="8"/>
      <c r="F632" s="8"/>
      <c r="G632" s="8"/>
      <c r="H632" s="8"/>
      <c r="I632" s="8"/>
      <c r="J632" s="8"/>
      <c r="K632" s="8"/>
      <c r="L632" s="8"/>
      <c r="M632" s="8"/>
      <c r="N632" s="8"/>
      <c r="O632" s="8"/>
      <c r="P632" s="8"/>
      <c r="Q632" s="8"/>
      <c r="R632" s="8"/>
    </row>
    <row r="633" spans="1:18" ht="12.75" customHeight="1">
      <c r="A633" s="8"/>
      <c r="B633" s="8"/>
      <c r="C633" s="30"/>
      <c r="D633" s="8"/>
      <c r="E633" s="8"/>
      <c r="F633" s="8"/>
      <c r="G633" s="8"/>
      <c r="H633" s="8"/>
      <c r="I633" s="8"/>
      <c r="J633" s="8"/>
      <c r="K633" s="8"/>
      <c r="L633" s="8"/>
      <c r="M633" s="8"/>
      <c r="N633" s="8"/>
      <c r="O633" s="8"/>
      <c r="P633" s="8"/>
      <c r="Q633" s="8"/>
      <c r="R633" s="8"/>
    </row>
    <row r="634" spans="1:18" ht="12.75" customHeight="1">
      <c r="A634" s="8"/>
      <c r="B634" s="8"/>
      <c r="C634" s="30"/>
      <c r="D634" s="8"/>
      <c r="E634" s="8"/>
      <c r="F634" s="8"/>
      <c r="G634" s="8"/>
      <c r="H634" s="8"/>
      <c r="I634" s="8"/>
      <c r="J634" s="8"/>
      <c r="K634" s="8"/>
      <c r="L634" s="8"/>
      <c r="M634" s="8"/>
      <c r="N634" s="8"/>
      <c r="O634" s="8"/>
      <c r="P634" s="8"/>
      <c r="Q634" s="8"/>
      <c r="R634" s="8"/>
    </row>
    <row r="635" spans="1:18" ht="12.75" customHeight="1">
      <c r="A635" s="8"/>
      <c r="B635" s="8"/>
      <c r="C635" s="30"/>
      <c r="D635" s="8"/>
      <c r="E635" s="8"/>
      <c r="F635" s="8"/>
      <c r="G635" s="8"/>
      <c r="H635" s="8"/>
      <c r="I635" s="8"/>
      <c r="J635" s="8"/>
      <c r="K635" s="8"/>
      <c r="L635" s="8"/>
      <c r="M635" s="8"/>
      <c r="N635" s="8"/>
      <c r="O635" s="8"/>
      <c r="P635" s="8"/>
      <c r="Q635" s="8"/>
      <c r="R635" s="8"/>
    </row>
    <row r="636" spans="1:18" ht="12.75" customHeight="1">
      <c r="A636" s="8"/>
      <c r="B636" s="8"/>
      <c r="C636" s="30"/>
      <c r="D636" s="8"/>
      <c r="E636" s="8"/>
      <c r="F636" s="8"/>
      <c r="G636" s="8"/>
      <c r="H636" s="8"/>
      <c r="I636" s="8"/>
      <c r="J636" s="8"/>
      <c r="K636" s="8"/>
      <c r="L636" s="8"/>
      <c r="M636" s="8"/>
      <c r="N636" s="8"/>
      <c r="O636" s="8"/>
      <c r="P636" s="8"/>
      <c r="Q636" s="8"/>
      <c r="R636" s="8"/>
    </row>
    <row r="637" spans="1:18" ht="12.75" customHeight="1">
      <c r="A637" s="8"/>
      <c r="B637" s="8"/>
      <c r="C637" s="30"/>
      <c r="D637" s="8"/>
      <c r="E637" s="8"/>
      <c r="F637" s="8"/>
      <c r="G637" s="8"/>
      <c r="H637" s="8"/>
      <c r="I637" s="8"/>
      <c r="J637" s="8"/>
      <c r="K637" s="8"/>
      <c r="L637" s="8"/>
      <c r="M637" s="8"/>
      <c r="N637" s="8"/>
      <c r="O637" s="8"/>
      <c r="P637" s="8"/>
      <c r="Q637" s="8"/>
      <c r="R637" s="8"/>
    </row>
    <row r="638" spans="1:18" ht="12.75" customHeight="1">
      <c r="A638" s="8"/>
      <c r="B638" s="8"/>
      <c r="C638" s="30"/>
      <c r="D638" s="8"/>
      <c r="E638" s="8"/>
      <c r="F638" s="8"/>
      <c r="G638" s="8"/>
      <c r="H638" s="8"/>
      <c r="I638" s="8"/>
      <c r="J638" s="8"/>
      <c r="K638" s="8"/>
      <c r="L638" s="8"/>
      <c r="M638" s="8"/>
      <c r="N638" s="8"/>
      <c r="O638" s="8"/>
      <c r="P638" s="8"/>
      <c r="Q638" s="8"/>
      <c r="R638" s="8"/>
    </row>
    <row r="639" spans="1:18" ht="12.75" customHeight="1">
      <c r="A639" s="8"/>
      <c r="B639" s="8"/>
      <c r="C639" s="30"/>
      <c r="D639" s="8"/>
      <c r="E639" s="8"/>
      <c r="F639" s="8"/>
      <c r="G639" s="8"/>
      <c r="H639" s="8"/>
      <c r="I639" s="8"/>
      <c r="J639" s="8"/>
      <c r="K639" s="8"/>
      <c r="L639" s="8"/>
      <c r="M639" s="8"/>
      <c r="N639" s="8"/>
      <c r="O639" s="8"/>
      <c r="P639" s="8"/>
      <c r="Q639" s="8"/>
      <c r="R639" s="8"/>
    </row>
    <row r="640" spans="1:18" ht="12.75" customHeight="1">
      <c r="A640" s="8"/>
      <c r="B640" s="8"/>
      <c r="C640" s="30"/>
      <c r="D640" s="8"/>
      <c r="E640" s="8"/>
      <c r="F640" s="8"/>
      <c r="G640" s="8"/>
      <c r="H640" s="8"/>
      <c r="I640" s="8"/>
      <c r="J640" s="8"/>
      <c r="K640" s="8"/>
      <c r="L640" s="8"/>
      <c r="M640" s="8"/>
      <c r="N640" s="8"/>
      <c r="O640" s="8"/>
      <c r="P640" s="8"/>
      <c r="Q640" s="8"/>
      <c r="R640" s="8"/>
    </row>
    <row r="641" spans="1:18" ht="12.75" customHeight="1">
      <c r="A641" s="8"/>
      <c r="B641" s="8"/>
      <c r="C641" s="30"/>
      <c r="D641" s="8"/>
      <c r="E641" s="8"/>
      <c r="F641" s="8"/>
      <c r="G641" s="8"/>
      <c r="H641" s="8"/>
      <c r="I641" s="8"/>
      <c r="J641" s="8"/>
      <c r="K641" s="8"/>
      <c r="L641" s="8"/>
      <c r="M641" s="8"/>
      <c r="N641" s="8"/>
      <c r="O641" s="8"/>
      <c r="P641" s="8"/>
      <c r="Q641" s="8"/>
      <c r="R641" s="8"/>
    </row>
    <row r="642" spans="1:18" ht="12.75" customHeight="1">
      <c r="A642" s="8"/>
      <c r="B642" s="8"/>
      <c r="C642" s="30"/>
      <c r="D642" s="8"/>
      <c r="E642" s="8"/>
      <c r="F642" s="8"/>
      <c r="G642" s="8"/>
      <c r="H642" s="8"/>
      <c r="I642" s="8"/>
      <c r="J642" s="8"/>
      <c r="K642" s="8"/>
      <c r="L642" s="8"/>
      <c r="M642" s="8"/>
      <c r="N642" s="8"/>
      <c r="O642" s="8"/>
      <c r="P642" s="8"/>
      <c r="Q642" s="8"/>
      <c r="R642" s="8"/>
    </row>
    <row r="643" spans="1:18" ht="12.75" customHeight="1">
      <c r="A643" s="8"/>
      <c r="B643" s="8"/>
      <c r="C643" s="30"/>
      <c r="D643" s="8"/>
      <c r="E643" s="8"/>
      <c r="F643" s="8"/>
      <c r="G643" s="8"/>
      <c r="H643" s="8"/>
      <c r="I643" s="8"/>
      <c r="J643" s="8"/>
      <c r="K643" s="8"/>
      <c r="L643" s="8"/>
      <c r="M643" s="8"/>
      <c r="N643" s="8"/>
      <c r="O643" s="8"/>
      <c r="P643" s="8"/>
      <c r="Q643" s="8"/>
      <c r="R643" s="8"/>
    </row>
    <row r="644" spans="1:18" ht="12.75" customHeight="1">
      <c r="A644" s="8"/>
      <c r="B644" s="8"/>
      <c r="C644" s="30"/>
      <c r="D644" s="8"/>
      <c r="E644" s="8"/>
      <c r="F644" s="8"/>
      <c r="G644" s="8"/>
      <c r="H644" s="8"/>
      <c r="I644" s="8"/>
      <c r="J644" s="8"/>
      <c r="K644" s="8"/>
      <c r="L644" s="8"/>
      <c r="M644" s="8"/>
      <c r="N644" s="8"/>
      <c r="O644" s="8"/>
      <c r="P644" s="8"/>
      <c r="Q644" s="8"/>
      <c r="R644" s="8"/>
    </row>
    <row r="645" spans="1:18" ht="12.75" customHeight="1">
      <c r="A645" s="8"/>
      <c r="B645" s="8"/>
      <c r="C645" s="30"/>
      <c r="D645" s="8"/>
      <c r="E645" s="8"/>
      <c r="F645" s="8"/>
      <c r="G645" s="8"/>
      <c r="H645" s="8"/>
      <c r="I645" s="8"/>
      <c r="J645" s="8"/>
      <c r="K645" s="8"/>
      <c r="L645" s="8"/>
      <c r="M645" s="8"/>
      <c r="N645" s="8"/>
      <c r="O645" s="8"/>
      <c r="P645" s="8"/>
      <c r="Q645" s="8"/>
      <c r="R645" s="8"/>
    </row>
    <row r="646" spans="1:18" ht="12.75" customHeight="1">
      <c r="A646" s="8"/>
      <c r="B646" s="8"/>
      <c r="C646" s="30"/>
      <c r="D646" s="8"/>
      <c r="E646" s="8"/>
      <c r="F646" s="8"/>
      <c r="G646" s="8"/>
      <c r="H646" s="8"/>
      <c r="I646" s="8"/>
      <c r="J646" s="8"/>
      <c r="K646" s="8"/>
      <c r="L646" s="8"/>
      <c r="M646" s="8"/>
      <c r="N646" s="8"/>
      <c r="O646" s="8"/>
      <c r="P646" s="8"/>
      <c r="Q646" s="8"/>
      <c r="R646" s="8"/>
    </row>
    <row r="647" spans="1:18" ht="12.75" customHeight="1">
      <c r="A647" s="8"/>
      <c r="B647" s="8"/>
      <c r="C647" s="30"/>
      <c r="D647" s="8"/>
      <c r="E647" s="8"/>
      <c r="F647" s="8"/>
      <c r="G647" s="8"/>
      <c r="H647" s="8"/>
      <c r="I647" s="8"/>
      <c r="J647" s="8"/>
      <c r="K647" s="8"/>
      <c r="L647" s="8"/>
      <c r="M647" s="8"/>
      <c r="N647" s="8"/>
      <c r="O647" s="8"/>
      <c r="P647" s="8"/>
      <c r="Q647" s="8"/>
      <c r="R647" s="8"/>
    </row>
    <row r="648" spans="1:18" ht="12.75" customHeight="1">
      <c r="A648" s="8"/>
      <c r="B648" s="8"/>
      <c r="C648" s="30"/>
      <c r="D648" s="8"/>
      <c r="E648" s="8"/>
      <c r="F648" s="8"/>
      <c r="G648" s="8"/>
      <c r="H648" s="8"/>
      <c r="I648" s="8"/>
      <c r="J648" s="8"/>
      <c r="K648" s="8"/>
      <c r="L648" s="8"/>
      <c r="M648" s="8"/>
      <c r="N648" s="8"/>
      <c r="O648" s="8"/>
      <c r="P648" s="8"/>
      <c r="Q648" s="8"/>
      <c r="R648" s="8"/>
    </row>
    <row r="649" spans="1:18" ht="12.75" customHeight="1">
      <c r="A649" s="8"/>
      <c r="B649" s="8"/>
      <c r="C649" s="30"/>
      <c r="D649" s="8"/>
      <c r="E649" s="8"/>
      <c r="F649" s="8"/>
      <c r="G649" s="8"/>
      <c r="H649" s="8"/>
      <c r="I649" s="8"/>
      <c r="J649" s="8"/>
      <c r="K649" s="8"/>
      <c r="L649" s="8"/>
      <c r="M649" s="8"/>
      <c r="N649" s="8"/>
      <c r="O649" s="8"/>
      <c r="P649" s="8"/>
      <c r="Q649" s="8"/>
      <c r="R649" s="8"/>
    </row>
    <row r="650" spans="1:18" ht="12.75" customHeight="1">
      <c r="A650" s="8"/>
      <c r="B650" s="8"/>
      <c r="C650" s="30"/>
      <c r="D650" s="8"/>
      <c r="E650" s="8"/>
      <c r="F650" s="8"/>
      <c r="G650" s="8"/>
      <c r="H650" s="8"/>
      <c r="I650" s="8"/>
      <c r="J650" s="8"/>
      <c r="K650" s="8"/>
      <c r="L650" s="8"/>
      <c r="M650" s="8"/>
      <c r="N650" s="8"/>
      <c r="O650" s="8"/>
      <c r="P650" s="8"/>
      <c r="Q650" s="8"/>
      <c r="R650" s="8"/>
    </row>
    <row r="651" spans="1:18" ht="12.75" customHeight="1">
      <c r="A651" s="8"/>
      <c r="B651" s="8"/>
      <c r="C651" s="30"/>
      <c r="D651" s="8"/>
      <c r="E651" s="8"/>
      <c r="F651" s="8"/>
      <c r="G651" s="8"/>
      <c r="H651" s="8"/>
      <c r="I651" s="8"/>
      <c r="J651" s="8"/>
      <c r="K651" s="8"/>
      <c r="L651" s="8"/>
      <c r="M651" s="8"/>
      <c r="N651" s="8"/>
      <c r="O651" s="8"/>
      <c r="P651" s="8"/>
      <c r="Q651" s="8"/>
      <c r="R651" s="8"/>
    </row>
    <row r="652" spans="1:18" ht="12.75" customHeight="1">
      <c r="A652" s="8"/>
      <c r="B652" s="8"/>
      <c r="C652" s="30"/>
      <c r="D652" s="8"/>
      <c r="E652" s="8"/>
      <c r="F652" s="8"/>
      <c r="G652" s="8"/>
      <c r="H652" s="8"/>
      <c r="I652" s="8"/>
      <c r="J652" s="8"/>
      <c r="K652" s="8"/>
      <c r="L652" s="8"/>
      <c r="M652" s="8"/>
      <c r="N652" s="8"/>
      <c r="O652" s="8"/>
      <c r="P652" s="8"/>
      <c r="Q652" s="8"/>
      <c r="R652" s="8"/>
    </row>
    <row r="653" spans="1:18" ht="12.75" customHeight="1">
      <c r="A653" s="8"/>
      <c r="B653" s="8"/>
      <c r="C653" s="30"/>
      <c r="D653" s="8"/>
      <c r="E653" s="8"/>
      <c r="F653" s="8"/>
      <c r="G653" s="8"/>
      <c r="H653" s="8"/>
      <c r="I653" s="8"/>
      <c r="J653" s="8"/>
      <c r="K653" s="8"/>
      <c r="L653" s="8"/>
      <c r="M653" s="8"/>
      <c r="N653" s="8"/>
      <c r="O653" s="8"/>
      <c r="P653" s="8"/>
      <c r="Q653" s="8"/>
      <c r="R653" s="8"/>
    </row>
    <row r="654" spans="1:18" ht="12.75" customHeight="1">
      <c r="A654" s="8"/>
      <c r="B654" s="8"/>
      <c r="C654" s="30"/>
      <c r="D654" s="8"/>
      <c r="E654" s="8"/>
      <c r="F654" s="8"/>
      <c r="G654" s="8"/>
      <c r="H654" s="8"/>
      <c r="I654" s="8"/>
      <c r="J654" s="8"/>
      <c r="K654" s="8"/>
      <c r="L654" s="8"/>
      <c r="M654" s="8"/>
      <c r="N654" s="8"/>
      <c r="O654" s="8"/>
      <c r="P654" s="8"/>
      <c r="Q654" s="8"/>
      <c r="R654" s="8"/>
    </row>
    <row r="655" spans="1:18" ht="12.75" customHeight="1">
      <c r="A655" s="8"/>
      <c r="B655" s="8"/>
      <c r="C655" s="30"/>
      <c r="D655" s="8"/>
      <c r="E655" s="8"/>
      <c r="F655" s="8"/>
      <c r="G655" s="8"/>
      <c r="H655" s="8"/>
      <c r="I655" s="8"/>
      <c r="J655" s="8"/>
      <c r="K655" s="8"/>
      <c r="L655" s="8"/>
      <c r="M655" s="8"/>
      <c r="N655" s="8"/>
      <c r="O655" s="8"/>
      <c r="P655" s="8"/>
      <c r="Q655" s="8"/>
      <c r="R655" s="8"/>
    </row>
    <row r="656" spans="1:18" ht="12.75" customHeight="1">
      <c r="A656" s="8"/>
      <c r="B656" s="8"/>
      <c r="C656" s="30"/>
      <c r="D656" s="8"/>
      <c r="E656" s="8"/>
      <c r="F656" s="8"/>
      <c r="G656" s="8"/>
      <c r="H656" s="8"/>
      <c r="I656" s="8"/>
      <c r="J656" s="8"/>
      <c r="K656" s="8"/>
      <c r="L656" s="8"/>
      <c r="M656" s="8"/>
      <c r="N656" s="8"/>
      <c r="O656" s="8"/>
      <c r="P656" s="8"/>
      <c r="Q656" s="8"/>
      <c r="R656" s="8"/>
    </row>
    <row r="657" spans="1:18" ht="12.75" customHeight="1">
      <c r="A657" s="8"/>
      <c r="B657" s="8"/>
      <c r="C657" s="30"/>
      <c r="D657" s="8"/>
      <c r="E657" s="8"/>
      <c r="F657" s="8"/>
      <c r="G657" s="8"/>
      <c r="H657" s="8"/>
      <c r="I657" s="8"/>
      <c r="J657" s="8"/>
      <c r="K657" s="8"/>
      <c r="L657" s="8"/>
      <c r="M657" s="8"/>
      <c r="N657" s="8"/>
      <c r="O657" s="8"/>
      <c r="P657" s="8"/>
      <c r="Q657" s="8"/>
      <c r="R657" s="8"/>
    </row>
    <row r="658" spans="1:18" ht="12.75" customHeight="1">
      <c r="A658" s="8"/>
      <c r="B658" s="8"/>
      <c r="C658" s="30"/>
      <c r="D658" s="8"/>
      <c r="E658" s="8"/>
      <c r="F658" s="8"/>
      <c r="G658" s="8"/>
      <c r="H658" s="8"/>
      <c r="I658" s="8"/>
      <c r="J658" s="8"/>
      <c r="K658" s="8"/>
      <c r="L658" s="8"/>
      <c r="M658" s="8"/>
      <c r="N658" s="8"/>
      <c r="O658" s="8"/>
      <c r="P658" s="8"/>
      <c r="Q658" s="8"/>
      <c r="R658" s="8"/>
    </row>
    <row r="659" spans="1:18" ht="12.75" customHeight="1">
      <c r="A659" s="8"/>
      <c r="B659" s="8"/>
      <c r="C659" s="30"/>
      <c r="D659" s="8"/>
      <c r="E659" s="8"/>
      <c r="F659" s="8"/>
      <c r="G659" s="8"/>
      <c r="H659" s="8"/>
      <c r="I659" s="8"/>
      <c r="J659" s="8"/>
      <c r="K659" s="8"/>
      <c r="L659" s="8"/>
      <c r="M659" s="8"/>
      <c r="N659" s="8"/>
      <c r="O659" s="8"/>
      <c r="P659" s="8"/>
      <c r="Q659" s="8"/>
      <c r="R659" s="8"/>
    </row>
    <row r="660" spans="1:18" ht="12.75" customHeight="1">
      <c r="A660" s="8"/>
      <c r="B660" s="8"/>
      <c r="C660" s="30"/>
      <c r="D660" s="8"/>
      <c r="E660" s="8"/>
      <c r="F660" s="8"/>
      <c r="G660" s="8"/>
      <c r="H660" s="8"/>
      <c r="I660" s="8"/>
      <c r="J660" s="8"/>
      <c r="K660" s="8"/>
      <c r="L660" s="8"/>
      <c r="M660" s="8"/>
      <c r="N660" s="8"/>
      <c r="O660" s="8"/>
      <c r="P660" s="8"/>
      <c r="Q660" s="8"/>
      <c r="R660" s="8"/>
    </row>
    <row r="661" spans="1:18" ht="12.75" customHeight="1">
      <c r="A661" s="8"/>
      <c r="B661" s="8"/>
      <c r="C661" s="30"/>
      <c r="D661" s="8"/>
      <c r="E661" s="8"/>
      <c r="F661" s="8"/>
      <c r="G661" s="8"/>
      <c r="H661" s="8"/>
      <c r="I661" s="8"/>
      <c r="J661" s="8"/>
      <c r="K661" s="8"/>
      <c r="L661" s="8"/>
      <c r="M661" s="8"/>
      <c r="N661" s="8"/>
      <c r="O661" s="8"/>
      <c r="P661" s="8"/>
      <c r="Q661" s="8"/>
      <c r="R661" s="8"/>
    </row>
    <row r="662" spans="1:18" ht="12.75" customHeight="1">
      <c r="A662" s="8"/>
      <c r="B662" s="8"/>
      <c r="C662" s="30"/>
      <c r="D662" s="8"/>
      <c r="E662" s="8"/>
      <c r="F662" s="8"/>
      <c r="G662" s="8"/>
      <c r="H662" s="8"/>
      <c r="I662" s="8"/>
      <c r="J662" s="8"/>
      <c r="K662" s="8"/>
      <c r="L662" s="8"/>
      <c r="M662" s="8"/>
      <c r="N662" s="8"/>
      <c r="O662" s="8"/>
      <c r="P662" s="8"/>
      <c r="Q662" s="8"/>
      <c r="R662" s="8"/>
    </row>
    <row r="663" spans="1:18" ht="12.75" customHeight="1">
      <c r="A663" s="8"/>
      <c r="B663" s="8"/>
      <c r="C663" s="30"/>
      <c r="D663" s="8"/>
      <c r="E663" s="8"/>
      <c r="F663" s="8"/>
      <c r="G663" s="8"/>
      <c r="H663" s="8"/>
      <c r="I663" s="8"/>
      <c r="J663" s="8"/>
      <c r="K663" s="8"/>
      <c r="L663" s="8"/>
      <c r="M663" s="8"/>
      <c r="N663" s="8"/>
      <c r="O663" s="8"/>
      <c r="P663" s="8"/>
      <c r="Q663" s="8"/>
      <c r="R663" s="8"/>
    </row>
    <row r="664" spans="1:18" ht="12.75" customHeight="1">
      <c r="A664" s="8"/>
      <c r="B664" s="8"/>
      <c r="C664" s="30"/>
      <c r="D664" s="8"/>
      <c r="E664" s="8"/>
      <c r="F664" s="8"/>
      <c r="G664" s="8"/>
      <c r="H664" s="8"/>
      <c r="I664" s="8"/>
      <c r="J664" s="8"/>
      <c r="K664" s="8"/>
      <c r="L664" s="8"/>
      <c r="M664" s="8"/>
      <c r="N664" s="8"/>
      <c r="O664" s="8"/>
      <c r="P664" s="8"/>
      <c r="Q664" s="8"/>
      <c r="R664" s="8"/>
    </row>
    <row r="665" spans="1:18" ht="12.75" customHeight="1">
      <c r="A665" s="8"/>
      <c r="B665" s="8"/>
      <c r="C665" s="30"/>
      <c r="D665" s="8"/>
      <c r="E665" s="8"/>
      <c r="F665" s="8"/>
      <c r="G665" s="8"/>
      <c r="H665" s="8"/>
      <c r="I665" s="8"/>
      <c r="J665" s="8"/>
      <c r="K665" s="8"/>
      <c r="L665" s="8"/>
      <c r="M665" s="8"/>
      <c r="N665" s="8"/>
      <c r="O665" s="8"/>
      <c r="P665" s="8"/>
      <c r="Q665" s="8"/>
      <c r="R665" s="8"/>
    </row>
    <row r="666" spans="1:18" ht="12.75" customHeight="1">
      <c r="A666" s="8"/>
      <c r="B666" s="8"/>
      <c r="C666" s="30"/>
      <c r="D666" s="8"/>
      <c r="E666" s="8"/>
      <c r="F666" s="8"/>
      <c r="G666" s="8"/>
      <c r="H666" s="8"/>
      <c r="I666" s="8"/>
      <c r="J666" s="8"/>
      <c r="K666" s="8"/>
      <c r="L666" s="8"/>
      <c r="M666" s="8"/>
      <c r="N666" s="8"/>
      <c r="O666" s="8"/>
      <c r="P666" s="8"/>
      <c r="Q666" s="8"/>
      <c r="R666" s="8"/>
    </row>
    <row r="667" spans="1:18" ht="12.75" customHeight="1">
      <c r="A667" s="8"/>
      <c r="B667" s="8"/>
      <c r="C667" s="30"/>
      <c r="D667" s="8"/>
      <c r="E667" s="8"/>
      <c r="F667" s="8"/>
      <c r="G667" s="8"/>
      <c r="H667" s="8"/>
      <c r="I667" s="8"/>
      <c r="J667" s="8"/>
      <c r="K667" s="8"/>
      <c r="L667" s="8"/>
      <c r="M667" s="8"/>
      <c r="N667" s="8"/>
      <c r="O667" s="8"/>
      <c r="P667" s="8"/>
      <c r="Q667" s="8"/>
      <c r="R667" s="8"/>
    </row>
    <row r="668" spans="1:18" ht="12.75" customHeight="1">
      <c r="A668" s="8"/>
      <c r="B668" s="8"/>
      <c r="C668" s="30"/>
      <c r="D668" s="8"/>
      <c r="E668" s="8"/>
      <c r="F668" s="8"/>
      <c r="G668" s="8"/>
      <c r="H668" s="8"/>
      <c r="I668" s="8"/>
      <c r="J668" s="8"/>
      <c r="K668" s="8"/>
      <c r="L668" s="8"/>
      <c r="M668" s="8"/>
      <c r="N668" s="8"/>
      <c r="O668" s="8"/>
      <c r="P668" s="8"/>
      <c r="Q668" s="8"/>
      <c r="R668" s="8"/>
    </row>
    <row r="669" spans="1:18" ht="12.75" customHeight="1">
      <c r="A669" s="8"/>
      <c r="B669" s="8"/>
      <c r="C669" s="30"/>
      <c r="D669" s="8"/>
      <c r="E669" s="8"/>
      <c r="F669" s="8"/>
      <c r="G669" s="8"/>
      <c r="H669" s="8"/>
      <c r="I669" s="8"/>
      <c r="J669" s="8"/>
      <c r="K669" s="8"/>
      <c r="L669" s="8"/>
      <c r="M669" s="8"/>
      <c r="N669" s="8"/>
      <c r="O669" s="8"/>
      <c r="P669" s="8"/>
      <c r="Q669" s="8"/>
      <c r="R669" s="8"/>
    </row>
    <row r="670" spans="1:18" ht="12.75" customHeight="1">
      <c r="A670" s="8"/>
      <c r="B670" s="8"/>
      <c r="C670" s="30"/>
      <c r="D670" s="8"/>
      <c r="E670" s="8"/>
      <c r="F670" s="8"/>
      <c r="G670" s="8"/>
      <c r="H670" s="8"/>
      <c r="I670" s="8"/>
      <c r="J670" s="8"/>
      <c r="K670" s="8"/>
      <c r="L670" s="8"/>
      <c r="M670" s="8"/>
      <c r="N670" s="8"/>
      <c r="O670" s="8"/>
      <c r="P670" s="8"/>
      <c r="Q670" s="8"/>
      <c r="R670" s="8"/>
    </row>
    <row r="671" spans="1:18" ht="12.75" customHeight="1">
      <c r="A671" s="8"/>
      <c r="B671" s="8"/>
      <c r="C671" s="30"/>
      <c r="D671" s="8"/>
      <c r="E671" s="8"/>
      <c r="F671" s="8"/>
      <c r="G671" s="8"/>
      <c r="H671" s="8"/>
      <c r="I671" s="8"/>
      <c r="J671" s="8"/>
      <c r="K671" s="8"/>
      <c r="L671" s="8"/>
      <c r="M671" s="8"/>
      <c r="N671" s="8"/>
      <c r="O671" s="8"/>
      <c r="P671" s="8"/>
      <c r="Q671" s="8"/>
      <c r="R671" s="8"/>
    </row>
    <row r="672" spans="1:18" ht="12.75" customHeight="1">
      <c r="A672" s="8"/>
      <c r="B672" s="8"/>
      <c r="C672" s="30"/>
      <c r="D672" s="8"/>
      <c r="E672" s="8"/>
      <c r="F672" s="8"/>
      <c r="G672" s="8"/>
      <c r="H672" s="8"/>
      <c r="I672" s="8"/>
      <c r="J672" s="8"/>
      <c r="K672" s="8"/>
      <c r="L672" s="8"/>
      <c r="M672" s="8"/>
      <c r="N672" s="8"/>
      <c r="O672" s="8"/>
      <c r="P672" s="8"/>
      <c r="Q672" s="8"/>
      <c r="R672" s="8"/>
    </row>
    <row r="673" spans="1:18" ht="12.75" customHeight="1">
      <c r="A673" s="8"/>
      <c r="B673" s="8"/>
      <c r="C673" s="30"/>
      <c r="D673" s="8"/>
      <c r="E673" s="8"/>
      <c r="F673" s="8"/>
      <c r="G673" s="8"/>
      <c r="H673" s="8"/>
      <c r="I673" s="8"/>
      <c r="J673" s="8"/>
      <c r="K673" s="8"/>
      <c r="L673" s="8"/>
      <c r="M673" s="8"/>
      <c r="N673" s="8"/>
      <c r="O673" s="8"/>
      <c r="P673" s="8"/>
      <c r="Q673" s="8"/>
      <c r="R673" s="8"/>
    </row>
    <row r="674" spans="1:18" ht="12.75" customHeight="1">
      <c r="A674" s="8"/>
      <c r="B674" s="8"/>
      <c r="C674" s="30"/>
      <c r="D674" s="8"/>
      <c r="E674" s="8"/>
      <c r="F674" s="8"/>
      <c r="G674" s="8"/>
      <c r="H674" s="8"/>
      <c r="I674" s="8"/>
      <c r="J674" s="8"/>
      <c r="K674" s="8"/>
      <c r="L674" s="8"/>
      <c r="M674" s="8"/>
      <c r="N674" s="8"/>
      <c r="O674" s="8"/>
      <c r="P674" s="8"/>
      <c r="Q674" s="8"/>
      <c r="R674" s="8"/>
    </row>
    <row r="675" spans="1:18" ht="12.75" customHeight="1">
      <c r="A675" s="8"/>
      <c r="B675" s="8"/>
      <c r="C675" s="30"/>
      <c r="D675" s="8"/>
      <c r="E675" s="8"/>
      <c r="F675" s="8"/>
      <c r="G675" s="8"/>
      <c r="H675" s="8"/>
      <c r="I675" s="8"/>
      <c r="J675" s="8"/>
      <c r="K675" s="8"/>
      <c r="L675" s="8"/>
      <c r="M675" s="8"/>
      <c r="N675" s="8"/>
      <c r="O675" s="8"/>
      <c r="P675" s="8"/>
      <c r="Q675" s="8"/>
      <c r="R675" s="8"/>
    </row>
    <row r="676" spans="1:18" ht="12.75" customHeight="1">
      <c r="A676" s="8"/>
      <c r="B676" s="8"/>
      <c r="C676" s="30"/>
      <c r="D676" s="8"/>
      <c r="E676" s="8"/>
      <c r="F676" s="8"/>
      <c r="G676" s="8"/>
      <c r="H676" s="8"/>
      <c r="I676" s="8"/>
      <c r="J676" s="8"/>
      <c r="K676" s="8"/>
      <c r="L676" s="8"/>
      <c r="M676" s="8"/>
      <c r="N676" s="8"/>
      <c r="O676" s="8"/>
      <c r="P676" s="8"/>
      <c r="Q676" s="8"/>
      <c r="R676" s="8"/>
    </row>
    <row r="677" spans="1:18" ht="12.75" customHeight="1">
      <c r="A677" s="8"/>
      <c r="B677" s="8"/>
      <c r="C677" s="30"/>
      <c r="D677" s="8"/>
      <c r="E677" s="8"/>
      <c r="F677" s="8"/>
      <c r="G677" s="8"/>
      <c r="H677" s="8"/>
      <c r="I677" s="8"/>
      <c r="J677" s="8"/>
      <c r="K677" s="8"/>
      <c r="L677" s="8"/>
      <c r="M677" s="8"/>
      <c r="N677" s="8"/>
      <c r="O677" s="8"/>
      <c r="P677" s="8"/>
      <c r="Q677" s="8"/>
      <c r="R677" s="8"/>
    </row>
    <row r="678" spans="1:18" ht="12.75" customHeight="1">
      <c r="A678" s="8"/>
      <c r="B678" s="8"/>
      <c r="C678" s="30"/>
      <c r="D678" s="8"/>
      <c r="E678" s="8"/>
      <c r="F678" s="8"/>
      <c r="G678" s="8"/>
      <c r="H678" s="8"/>
      <c r="I678" s="8"/>
      <c r="J678" s="8"/>
      <c r="K678" s="8"/>
      <c r="L678" s="8"/>
      <c r="M678" s="8"/>
      <c r="N678" s="8"/>
      <c r="O678" s="8"/>
      <c r="P678" s="8"/>
      <c r="Q678" s="8"/>
      <c r="R678" s="8"/>
    </row>
    <row r="679" spans="1:18" ht="12.75" customHeight="1">
      <c r="A679" s="8"/>
      <c r="B679" s="8"/>
      <c r="C679" s="30"/>
      <c r="D679" s="8"/>
      <c r="E679" s="8"/>
      <c r="F679" s="8"/>
      <c r="G679" s="8"/>
      <c r="H679" s="8"/>
      <c r="I679" s="8"/>
      <c r="J679" s="8"/>
      <c r="K679" s="8"/>
      <c r="L679" s="8"/>
      <c r="M679" s="8"/>
      <c r="N679" s="8"/>
      <c r="O679" s="8"/>
      <c r="P679" s="8"/>
      <c r="Q679" s="8"/>
      <c r="R679" s="8"/>
    </row>
    <row r="680" spans="1:18" ht="12.75" customHeight="1">
      <c r="A680" s="8"/>
      <c r="B680" s="8"/>
      <c r="C680" s="30"/>
      <c r="D680" s="8"/>
      <c r="E680" s="8"/>
      <c r="F680" s="8"/>
      <c r="G680" s="8"/>
      <c r="H680" s="8"/>
      <c r="I680" s="8"/>
      <c r="J680" s="8"/>
      <c r="K680" s="8"/>
      <c r="L680" s="8"/>
      <c r="M680" s="8"/>
      <c r="N680" s="8"/>
      <c r="O680" s="8"/>
      <c r="P680" s="8"/>
      <c r="Q680" s="8"/>
      <c r="R680" s="8"/>
    </row>
    <row r="681" spans="1:18" ht="12.75" customHeight="1">
      <c r="A681" s="8"/>
      <c r="B681" s="8"/>
      <c r="C681" s="30"/>
      <c r="D681" s="8"/>
      <c r="E681" s="8"/>
      <c r="F681" s="8"/>
      <c r="G681" s="8"/>
      <c r="H681" s="8"/>
      <c r="I681" s="8"/>
      <c r="J681" s="8"/>
      <c r="K681" s="8"/>
      <c r="L681" s="8"/>
      <c r="M681" s="8"/>
      <c r="N681" s="8"/>
      <c r="O681" s="8"/>
      <c r="P681" s="8"/>
      <c r="Q681" s="8"/>
      <c r="R681" s="8"/>
    </row>
    <row r="682" spans="1:18" ht="12.75" customHeight="1">
      <c r="A682" s="8"/>
      <c r="B682" s="8"/>
      <c r="C682" s="30"/>
      <c r="D682" s="8"/>
      <c r="E682" s="8"/>
      <c r="F682" s="8"/>
      <c r="G682" s="8"/>
      <c r="H682" s="8"/>
      <c r="I682" s="8"/>
      <c r="J682" s="8"/>
      <c r="K682" s="8"/>
      <c r="L682" s="8"/>
      <c r="M682" s="8"/>
      <c r="N682" s="8"/>
      <c r="O682" s="8"/>
      <c r="P682" s="8"/>
      <c r="Q682" s="8"/>
      <c r="R682" s="8"/>
    </row>
    <row r="683" spans="1:18" ht="12.75" customHeight="1">
      <c r="A683" s="8"/>
      <c r="B683" s="8"/>
      <c r="C683" s="30"/>
      <c r="D683" s="8"/>
      <c r="E683" s="8"/>
      <c r="F683" s="8"/>
      <c r="G683" s="8"/>
      <c r="H683" s="8"/>
      <c r="I683" s="8"/>
      <c r="J683" s="8"/>
      <c r="K683" s="8"/>
      <c r="L683" s="8"/>
      <c r="M683" s="8"/>
      <c r="N683" s="8"/>
      <c r="O683" s="8"/>
      <c r="P683" s="8"/>
      <c r="Q683" s="8"/>
      <c r="R683" s="8"/>
    </row>
    <row r="684" spans="1:18" ht="12.75" customHeight="1">
      <c r="A684" s="8"/>
      <c r="B684" s="8"/>
      <c r="C684" s="30"/>
      <c r="D684" s="8"/>
      <c r="E684" s="8"/>
      <c r="F684" s="8"/>
      <c r="G684" s="8"/>
      <c r="H684" s="8"/>
      <c r="I684" s="8"/>
      <c r="J684" s="8"/>
      <c r="K684" s="8"/>
      <c r="L684" s="8"/>
      <c r="M684" s="8"/>
      <c r="N684" s="8"/>
      <c r="O684" s="8"/>
      <c r="P684" s="8"/>
      <c r="Q684" s="8"/>
      <c r="R684" s="8"/>
    </row>
    <row r="685" spans="1:18" ht="12.75" customHeight="1">
      <c r="A685" s="8"/>
      <c r="B685" s="8"/>
      <c r="C685" s="30"/>
      <c r="D685" s="8"/>
      <c r="E685" s="8"/>
      <c r="F685" s="8"/>
      <c r="G685" s="8"/>
      <c r="H685" s="8"/>
      <c r="I685" s="8"/>
      <c r="J685" s="8"/>
      <c r="K685" s="8"/>
      <c r="L685" s="8"/>
      <c r="M685" s="8"/>
      <c r="N685" s="8"/>
      <c r="O685" s="8"/>
      <c r="P685" s="8"/>
      <c r="Q685" s="8"/>
      <c r="R685" s="8"/>
    </row>
    <row r="686" spans="1:18" ht="12.75" customHeight="1">
      <c r="A686" s="8"/>
      <c r="B686" s="8"/>
      <c r="C686" s="30"/>
      <c r="D686" s="8"/>
      <c r="E686" s="8"/>
      <c r="F686" s="8"/>
      <c r="G686" s="8"/>
      <c r="H686" s="8"/>
      <c r="I686" s="8"/>
      <c r="J686" s="8"/>
      <c r="K686" s="8"/>
      <c r="L686" s="8"/>
      <c r="M686" s="8"/>
      <c r="N686" s="8"/>
      <c r="O686" s="8"/>
      <c r="P686" s="8"/>
      <c r="Q686" s="8"/>
      <c r="R686" s="8"/>
    </row>
    <row r="687" spans="1:18" ht="12.75" customHeight="1">
      <c r="A687" s="8"/>
      <c r="B687" s="8"/>
      <c r="C687" s="30"/>
      <c r="D687" s="8"/>
      <c r="E687" s="8"/>
      <c r="F687" s="8"/>
      <c r="G687" s="8"/>
      <c r="H687" s="8"/>
      <c r="I687" s="8"/>
      <c r="J687" s="8"/>
      <c r="K687" s="8"/>
      <c r="L687" s="8"/>
      <c r="M687" s="8"/>
      <c r="N687" s="8"/>
      <c r="O687" s="8"/>
      <c r="P687" s="8"/>
      <c r="Q687" s="8"/>
      <c r="R687" s="8"/>
    </row>
    <row r="688" spans="1:18" ht="12.75" customHeight="1">
      <c r="A688" s="8"/>
      <c r="B688" s="8"/>
      <c r="C688" s="30"/>
      <c r="D688" s="8"/>
      <c r="E688" s="8"/>
      <c r="F688" s="8"/>
      <c r="G688" s="8"/>
      <c r="H688" s="8"/>
      <c r="I688" s="8"/>
      <c r="J688" s="8"/>
      <c r="K688" s="8"/>
      <c r="L688" s="8"/>
      <c r="M688" s="8"/>
      <c r="N688" s="8"/>
      <c r="O688" s="8"/>
      <c r="P688" s="8"/>
      <c r="Q688" s="8"/>
      <c r="R688" s="8"/>
    </row>
    <row r="689" spans="1:18" ht="12.75" customHeight="1">
      <c r="A689" s="8"/>
      <c r="B689" s="8"/>
      <c r="C689" s="30"/>
      <c r="D689" s="8"/>
      <c r="E689" s="8"/>
      <c r="F689" s="8"/>
      <c r="G689" s="8"/>
      <c r="H689" s="8"/>
      <c r="I689" s="8"/>
      <c r="J689" s="8"/>
      <c r="K689" s="8"/>
      <c r="L689" s="8"/>
      <c r="M689" s="8"/>
      <c r="N689" s="8"/>
      <c r="O689" s="8"/>
      <c r="P689" s="8"/>
      <c r="Q689" s="8"/>
      <c r="R689" s="8"/>
    </row>
    <row r="690" spans="1:18" ht="12.75" customHeight="1">
      <c r="A690" s="8"/>
      <c r="B690" s="8"/>
      <c r="C690" s="30"/>
      <c r="D690" s="8"/>
      <c r="E690" s="8"/>
      <c r="F690" s="8"/>
      <c r="G690" s="8"/>
      <c r="H690" s="8"/>
      <c r="I690" s="8"/>
      <c r="J690" s="8"/>
      <c r="K690" s="8"/>
      <c r="L690" s="8"/>
      <c r="M690" s="8"/>
      <c r="N690" s="8"/>
      <c r="O690" s="8"/>
      <c r="P690" s="8"/>
      <c r="Q690" s="8"/>
      <c r="R690" s="8"/>
    </row>
    <row r="691" spans="1:18" ht="12.75" customHeight="1">
      <c r="A691" s="8"/>
      <c r="B691" s="8"/>
      <c r="C691" s="30"/>
      <c r="D691" s="8"/>
      <c r="E691" s="8"/>
      <c r="F691" s="8"/>
      <c r="G691" s="8"/>
      <c r="H691" s="8"/>
      <c r="I691" s="8"/>
      <c r="J691" s="8"/>
      <c r="K691" s="8"/>
      <c r="L691" s="8"/>
      <c r="M691" s="8"/>
      <c r="N691" s="8"/>
      <c r="O691" s="8"/>
      <c r="P691" s="8"/>
      <c r="Q691" s="8"/>
      <c r="R691" s="8"/>
    </row>
    <row r="692" spans="1:18" ht="12.75" customHeight="1">
      <c r="A692" s="8"/>
      <c r="B692" s="8"/>
      <c r="C692" s="30"/>
      <c r="D692" s="8"/>
      <c r="E692" s="8"/>
      <c r="F692" s="8"/>
      <c r="G692" s="8"/>
      <c r="H692" s="8"/>
      <c r="I692" s="8"/>
      <c r="J692" s="8"/>
      <c r="K692" s="8"/>
      <c r="L692" s="8"/>
      <c r="M692" s="8"/>
      <c r="N692" s="8"/>
      <c r="O692" s="8"/>
      <c r="P692" s="8"/>
      <c r="Q692" s="8"/>
      <c r="R692" s="8"/>
    </row>
    <row r="693" spans="1:18" ht="12.75" customHeight="1">
      <c r="A693" s="8"/>
      <c r="B693" s="8"/>
      <c r="C693" s="30"/>
      <c r="D693" s="8"/>
      <c r="E693" s="8"/>
      <c r="F693" s="8"/>
      <c r="G693" s="8"/>
      <c r="H693" s="8"/>
      <c r="I693" s="8"/>
      <c r="J693" s="8"/>
      <c r="K693" s="8"/>
      <c r="L693" s="8"/>
      <c r="M693" s="8"/>
      <c r="N693" s="8"/>
      <c r="O693" s="8"/>
      <c r="P693" s="8"/>
      <c r="Q693" s="8"/>
      <c r="R693" s="8"/>
    </row>
    <row r="694" spans="1:18" ht="12.75" customHeight="1">
      <c r="A694" s="8"/>
      <c r="B694" s="8"/>
      <c r="C694" s="30"/>
      <c r="D694" s="8"/>
      <c r="E694" s="8"/>
      <c r="F694" s="8"/>
      <c r="G694" s="8"/>
      <c r="H694" s="8"/>
      <c r="I694" s="8"/>
      <c r="J694" s="8"/>
      <c r="K694" s="8"/>
      <c r="L694" s="8"/>
      <c r="M694" s="8"/>
      <c r="N694" s="8"/>
      <c r="O694" s="8"/>
      <c r="P694" s="8"/>
      <c r="Q694" s="8"/>
      <c r="R694" s="8"/>
    </row>
    <row r="695" spans="1:18" ht="12.75" customHeight="1">
      <c r="A695" s="8"/>
      <c r="B695" s="8"/>
      <c r="C695" s="30"/>
      <c r="D695" s="8"/>
      <c r="E695" s="8"/>
      <c r="F695" s="8"/>
      <c r="G695" s="8"/>
      <c r="H695" s="8"/>
      <c r="I695" s="8"/>
      <c r="J695" s="8"/>
      <c r="K695" s="8"/>
      <c r="L695" s="8"/>
      <c r="M695" s="8"/>
      <c r="N695" s="8"/>
      <c r="O695" s="8"/>
      <c r="P695" s="8"/>
      <c r="Q695" s="8"/>
      <c r="R695" s="8"/>
    </row>
    <row r="696" spans="1:18" ht="12.75" customHeight="1">
      <c r="A696" s="8"/>
      <c r="B696" s="8"/>
      <c r="C696" s="30"/>
      <c r="D696" s="8"/>
      <c r="E696" s="8"/>
      <c r="F696" s="8"/>
      <c r="G696" s="8"/>
      <c r="H696" s="8"/>
      <c r="I696" s="8"/>
      <c r="J696" s="8"/>
      <c r="K696" s="8"/>
      <c r="L696" s="8"/>
      <c r="M696" s="8"/>
      <c r="N696" s="8"/>
      <c r="O696" s="8"/>
      <c r="P696" s="8"/>
      <c r="Q696" s="8"/>
      <c r="R696" s="8"/>
    </row>
    <row r="697" spans="1:18" ht="12.75" customHeight="1">
      <c r="A697" s="8"/>
      <c r="B697" s="8"/>
      <c r="C697" s="30"/>
      <c r="D697" s="8"/>
      <c r="E697" s="8"/>
      <c r="F697" s="8"/>
      <c r="G697" s="8"/>
      <c r="H697" s="8"/>
      <c r="I697" s="8"/>
      <c r="J697" s="8"/>
      <c r="K697" s="8"/>
      <c r="L697" s="8"/>
      <c r="M697" s="8"/>
      <c r="N697" s="8"/>
      <c r="O697" s="8"/>
      <c r="P697" s="8"/>
      <c r="Q697" s="8"/>
      <c r="R697" s="8"/>
    </row>
    <row r="698" spans="1:18" ht="12.75" customHeight="1">
      <c r="A698" s="8"/>
      <c r="B698" s="8"/>
      <c r="C698" s="30"/>
      <c r="D698" s="8"/>
      <c r="E698" s="8"/>
      <c r="F698" s="8"/>
      <c r="G698" s="8"/>
      <c r="H698" s="8"/>
      <c r="I698" s="8"/>
      <c r="J698" s="8"/>
      <c r="K698" s="8"/>
      <c r="L698" s="8"/>
      <c r="M698" s="8"/>
      <c r="N698" s="8"/>
      <c r="O698" s="8"/>
      <c r="P698" s="8"/>
      <c r="Q698" s="8"/>
      <c r="R698" s="8"/>
    </row>
    <row r="699" spans="1:18" ht="12.75" customHeight="1">
      <c r="A699" s="8"/>
      <c r="B699" s="8"/>
      <c r="C699" s="30"/>
      <c r="D699" s="8"/>
      <c r="E699" s="8"/>
      <c r="F699" s="8"/>
      <c r="G699" s="8"/>
      <c r="H699" s="8"/>
      <c r="I699" s="8"/>
      <c r="J699" s="8"/>
      <c r="K699" s="8"/>
      <c r="L699" s="8"/>
      <c r="M699" s="8"/>
      <c r="N699" s="8"/>
      <c r="O699" s="8"/>
      <c r="P699" s="8"/>
      <c r="Q699" s="8"/>
      <c r="R699" s="8"/>
    </row>
    <row r="700" spans="1:18" ht="12.75" customHeight="1">
      <c r="A700" s="8"/>
      <c r="B700" s="8"/>
      <c r="C700" s="30"/>
      <c r="D700" s="8"/>
      <c r="E700" s="8"/>
      <c r="F700" s="8"/>
      <c r="G700" s="8"/>
      <c r="H700" s="8"/>
      <c r="I700" s="8"/>
      <c r="J700" s="8"/>
      <c r="K700" s="8"/>
      <c r="L700" s="8"/>
      <c r="M700" s="8"/>
      <c r="N700" s="8"/>
      <c r="O700" s="8"/>
      <c r="P700" s="8"/>
      <c r="Q700" s="8"/>
      <c r="R700" s="8"/>
    </row>
    <row r="701" spans="1:18" ht="12.75" customHeight="1">
      <c r="A701" s="8"/>
      <c r="B701" s="8"/>
      <c r="C701" s="30"/>
      <c r="D701" s="8"/>
      <c r="E701" s="8"/>
      <c r="F701" s="8"/>
      <c r="G701" s="8"/>
      <c r="H701" s="8"/>
      <c r="I701" s="8"/>
      <c r="J701" s="8"/>
      <c r="K701" s="8"/>
      <c r="L701" s="8"/>
      <c r="M701" s="8"/>
      <c r="N701" s="8"/>
      <c r="O701" s="8"/>
      <c r="P701" s="8"/>
      <c r="Q701" s="8"/>
      <c r="R701" s="8"/>
    </row>
    <row r="702" spans="1:18" ht="12.75" customHeight="1">
      <c r="A702" s="8"/>
      <c r="B702" s="8"/>
      <c r="C702" s="30"/>
      <c r="D702" s="8"/>
      <c r="E702" s="8"/>
      <c r="F702" s="8"/>
      <c r="G702" s="8"/>
      <c r="H702" s="8"/>
      <c r="I702" s="8"/>
      <c r="J702" s="8"/>
      <c r="K702" s="8"/>
      <c r="L702" s="8"/>
      <c r="M702" s="8"/>
      <c r="N702" s="8"/>
      <c r="O702" s="8"/>
      <c r="P702" s="8"/>
      <c r="Q702" s="8"/>
      <c r="R702" s="8"/>
    </row>
    <row r="703" spans="1:18" ht="12.75" customHeight="1">
      <c r="A703" s="8"/>
      <c r="B703" s="8"/>
      <c r="C703" s="30"/>
      <c r="D703" s="8"/>
      <c r="E703" s="8"/>
      <c r="F703" s="8"/>
      <c r="G703" s="8"/>
      <c r="H703" s="8"/>
      <c r="I703" s="8"/>
      <c r="J703" s="8"/>
      <c r="K703" s="8"/>
      <c r="L703" s="8"/>
      <c r="M703" s="8"/>
      <c r="N703" s="8"/>
      <c r="O703" s="8"/>
      <c r="P703" s="8"/>
      <c r="Q703" s="8"/>
      <c r="R703" s="8"/>
    </row>
    <row r="704" spans="1:18" ht="12.75" customHeight="1">
      <c r="A704" s="8"/>
      <c r="B704" s="8"/>
      <c r="C704" s="30"/>
      <c r="D704" s="8"/>
      <c r="E704" s="8"/>
      <c r="F704" s="8"/>
      <c r="G704" s="8"/>
      <c r="H704" s="8"/>
      <c r="I704" s="8"/>
      <c r="J704" s="8"/>
      <c r="K704" s="8"/>
      <c r="L704" s="8"/>
      <c r="M704" s="8"/>
      <c r="N704" s="8"/>
      <c r="O704" s="8"/>
      <c r="P704" s="8"/>
      <c r="Q704" s="8"/>
      <c r="R704" s="8"/>
    </row>
    <row r="705" spans="1:18" ht="12.75" customHeight="1">
      <c r="A705" s="8"/>
      <c r="B705" s="8"/>
      <c r="C705" s="30"/>
      <c r="D705" s="8"/>
      <c r="E705" s="8"/>
      <c r="F705" s="8"/>
      <c r="G705" s="8"/>
      <c r="H705" s="8"/>
      <c r="I705" s="8"/>
      <c r="J705" s="8"/>
      <c r="K705" s="8"/>
      <c r="L705" s="8"/>
      <c r="M705" s="8"/>
      <c r="N705" s="8"/>
      <c r="O705" s="8"/>
      <c r="P705" s="8"/>
      <c r="Q705" s="8"/>
      <c r="R705" s="8"/>
    </row>
    <row r="706" spans="1:18" ht="12.75" customHeight="1">
      <c r="A706" s="8"/>
      <c r="B706" s="8"/>
      <c r="C706" s="30"/>
      <c r="D706" s="8"/>
      <c r="E706" s="8"/>
      <c r="F706" s="8"/>
      <c r="G706" s="8"/>
      <c r="H706" s="8"/>
      <c r="I706" s="8"/>
      <c r="J706" s="8"/>
      <c r="K706" s="8"/>
      <c r="L706" s="8"/>
      <c r="M706" s="8"/>
      <c r="N706" s="8"/>
      <c r="O706" s="8"/>
      <c r="P706" s="8"/>
      <c r="Q706" s="8"/>
      <c r="R706" s="8"/>
    </row>
    <row r="707" spans="1:18" ht="12.75" customHeight="1">
      <c r="A707" s="8"/>
      <c r="B707" s="8"/>
      <c r="C707" s="30"/>
      <c r="D707" s="8"/>
      <c r="E707" s="8"/>
      <c r="F707" s="8"/>
      <c r="G707" s="8"/>
      <c r="H707" s="8"/>
      <c r="I707" s="8"/>
      <c r="J707" s="8"/>
      <c r="K707" s="8"/>
      <c r="L707" s="8"/>
      <c r="M707" s="8"/>
      <c r="N707" s="8"/>
      <c r="O707" s="8"/>
      <c r="P707" s="8"/>
      <c r="Q707" s="8"/>
      <c r="R707" s="8"/>
    </row>
    <row r="708" spans="1:18" ht="12.75" customHeight="1">
      <c r="A708" s="8"/>
      <c r="B708" s="8"/>
      <c r="C708" s="30"/>
      <c r="D708" s="8"/>
      <c r="E708" s="8"/>
      <c r="F708" s="8"/>
      <c r="G708" s="8"/>
      <c r="H708" s="8"/>
      <c r="I708" s="8"/>
      <c r="J708" s="8"/>
      <c r="K708" s="8"/>
      <c r="L708" s="8"/>
      <c r="M708" s="8"/>
      <c r="N708" s="8"/>
      <c r="O708" s="8"/>
      <c r="P708" s="8"/>
      <c r="Q708" s="8"/>
      <c r="R708" s="8"/>
    </row>
    <row r="709" spans="1:18" ht="12.75" customHeight="1">
      <c r="A709" s="8"/>
      <c r="B709" s="8"/>
      <c r="C709" s="30"/>
      <c r="D709" s="8"/>
      <c r="E709" s="8"/>
      <c r="F709" s="8"/>
      <c r="G709" s="8"/>
      <c r="H709" s="8"/>
      <c r="I709" s="8"/>
      <c r="J709" s="8"/>
      <c r="K709" s="8"/>
      <c r="L709" s="8"/>
      <c r="M709" s="8"/>
      <c r="N709" s="8"/>
      <c r="O709" s="8"/>
      <c r="P709" s="8"/>
      <c r="Q709" s="8"/>
      <c r="R709" s="8"/>
    </row>
    <row r="710" spans="1:18" ht="12.75" customHeight="1">
      <c r="A710" s="8"/>
      <c r="B710" s="8"/>
      <c r="C710" s="30"/>
      <c r="D710" s="8"/>
      <c r="E710" s="8"/>
      <c r="F710" s="8"/>
      <c r="G710" s="8"/>
      <c r="H710" s="8"/>
      <c r="I710" s="8"/>
      <c r="J710" s="8"/>
      <c r="K710" s="8"/>
      <c r="L710" s="8"/>
      <c r="M710" s="8"/>
      <c r="N710" s="8"/>
      <c r="O710" s="8"/>
      <c r="P710" s="8"/>
      <c r="Q710" s="8"/>
      <c r="R710" s="8"/>
    </row>
    <row r="711" spans="1:18" ht="12.75" customHeight="1">
      <c r="A711" s="8"/>
      <c r="B711" s="8"/>
      <c r="C711" s="30"/>
      <c r="D711" s="8"/>
      <c r="E711" s="8"/>
      <c r="F711" s="8"/>
      <c r="G711" s="8"/>
      <c r="H711" s="8"/>
      <c r="I711" s="8"/>
      <c r="J711" s="8"/>
      <c r="K711" s="8"/>
      <c r="L711" s="8"/>
      <c r="M711" s="8"/>
      <c r="N711" s="8"/>
      <c r="O711" s="8"/>
      <c r="P711" s="8"/>
      <c r="Q711" s="8"/>
      <c r="R711" s="8"/>
    </row>
    <row r="712" spans="1:18" ht="12.75" customHeight="1">
      <c r="A712" s="8"/>
      <c r="B712" s="8"/>
      <c r="C712" s="30"/>
      <c r="D712" s="8"/>
      <c r="E712" s="8"/>
      <c r="F712" s="8"/>
      <c r="G712" s="8"/>
      <c r="H712" s="8"/>
      <c r="I712" s="8"/>
      <c r="J712" s="8"/>
      <c r="K712" s="8"/>
      <c r="L712" s="8"/>
      <c r="M712" s="8"/>
      <c r="N712" s="8"/>
      <c r="O712" s="8"/>
      <c r="P712" s="8"/>
      <c r="Q712" s="8"/>
      <c r="R712" s="8"/>
    </row>
    <row r="713" spans="1:18" ht="12.75" customHeight="1">
      <c r="A713" s="8"/>
      <c r="B713" s="8"/>
      <c r="C713" s="30"/>
      <c r="D713" s="8"/>
      <c r="E713" s="8"/>
      <c r="F713" s="8"/>
      <c r="G713" s="8"/>
      <c r="H713" s="8"/>
      <c r="I713" s="8"/>
      <c r="J713" s="8"/>
      <c r="K713" s="8"/>
      <c r="L713" s="8"/>
      <c r="M713" s="8"/>
      <c r="N713" s="8"/>
      <c r="O713" s="8"/>
      <c r="P713" s="8"/>
      <c r="Q713" s="8"/>
      <c r="R713" s="8"/>
    </row>
    <row r="714" spans="1:18" ht="12.75" customHeight="1">
      <c r="A714" s="8"/>
      <c r="B714" s="8"/>
      <c r="C714" s="30"/>
      <c r="D714" s="8"/>
      <c r="E714" s="8"/>
      <c r="F714" s="8"/>
      <c r="G714" s="8"/>
      <c r="H714" s="8"/>
      <c r="I714" s="8"/>
      <c r="J714" s="8"/>
      <c r="K714" s="8"/>
      <c r="L714" s="8"/>
      <c r="M714" s="8"/>
      <c r="N714" s="8"/>
      <c r="O714" s="8"/>
      <c r="P714" s="8"/>
      <c r="Q714" s="8"/>
      <c r="R714" s="8"/>
    </row>
    <row r="715" spans="1:18" ht="12.75" customHeight="1">
      <c r="A715" s="8"/>
      <c r="B715" s="8"/>
      <c r="C715" s="30"/>
      <c r="D715" s="8"/>
      <c r="E715" s="8"/>
      <c r="F715" s="8"/>
      <c r="G715" s="8"/>
      <c r="H715" s="8"/>
      <c r="I715" s="8"/>
      <c r="J715" s="8"/>
      <c r="K715" s="8"/>
      <c r="L715" s="8"/>
      <c r="M715" s="8"/>
      <c r="N715" s="8"/>
      <c r="O715" s="8"/>
      <c r="P715" s="8"/>
      <c r="Q715" s="8"/>
      <c r="R715" s="8"/>
    </row>
    <row r="716" spans="1:18" ht="12.75" customHeight="1">
      <c r="A716" s="8"/>
      <c r="B716" s="8"/>
      <c r="C716" s="30"/>
      <c r="D716" s="8"/>
      <c r="E716" s="8"/>
      <c r="F716" s="8"/>
      <c r="G716" s="8"/>
      <c r="H716" s="8"/>
      <c r="I716" s="8"/>
      <c r="J716" s="8"/>
      <c r="K716" s="8"/>
      <c r="L716" s="8"/>
      <c r="M716" s="8"/>
      <c r="N716" s="8"/>
      <c r="O716" s="8"/>
      <c r="P716" s="8"/>
      <c r="Q716" s="8"/>
      <c r="R716" s="8"/>
    </row>
    <row r="717" spans="1:18" ht="12.75" customHeight="1">
      <c r="A717" s="8"/>
      <c r="B717" s="8"/>
      <c r="C717" s="30"/>
      <c r="D717" s="8"/>
      <c r="E717" s="8"/>
      <c r="F717" s="8"/>
      <c r="G717" s="8"/>
      <c r="H717" s="8"/>
      <c r="I717" s="8"/>
      <c r="J717" s="8"/>
      <c r="K717" s="8"/>
      <c r="L717" s="8"/>
      <c r="M717" s="8"/>
      <c r="N717" s="8"/>
      <c r="O717" s="8"/>
      <c r="P717" s="8"/>
      <c r="Q717" s="8"/>
      <c r="R717" s="8"/>
    </row>
    <row r="718" spans="1:18" ht="12.75" customHeight="1">
      <c r="A718" s="8"/>
      <c r="B718" s="8"/>
      <c r="C718" s="30"/>
      <c r="D718" s="8"/>
      <c r="E718" s="8"/>
      <c r="F718" s="8"/>
      <c r="G718" s="8"/>
      <c r="H718" s="8"/>
      <c r="I718" s="8"/>
      <c r="J718" s="8"/>
      <c r="K718" s="8"/>
      <c r="L718" s="8"/>
      <c r="M718" s="8"/>
      <c r="N718" s="8"/>
      <c r="O718" s="8"/>
      <c r="P718" s="8"/>
      <c r="Q718" s="8"/>
      <c r="R718" s="8"/>
    </row>
    <row r="719" spans="1:18" ht="12.75" customHeight="1">
      <c r="A719" s="8"/>
      <c r="B719" s="8"/>
      <c r="C719" s="30"/>
      <c r="D719" s="8"/>
      <c r="E719" s="8"/>
      <c r="F719" s="8"/>
      <c r="G719" s="8"/>
      <c r="H719" s="8"/>
      <c r="I719" s="8"/>
      <c r="J719" s="8"/>
      <c r="K719" s="8"/>
      <c r="L719" s="8"/>
      <c r="M719" s="8"/>
      <c r="N719" s="8"/>
      <c r="O719" s="8"/>
      <c r="P719" s="8"/>
      <c r="Q719" s="8"/>
      <c r="R719" s="8"/>
    </row>
    <row r="720" spans="1:18" ht="12.75" customHeight="1">
      <c r="A720" s="8"/>
      <c r="B720" s="8"/>
      <c r="C720" s="30"/>
      <c r="D720" s="8"/>
      <c r="E720" s="8"/>
      <c r="F720" s="8"/>
      <c r="G720" s="8"/>
      <c r="H720" s="8"/>
      <c r="I720" s="8"/>
      <c r="J720" s="8"/>
      <c r="K720" s="8"/>
      <c r="L720" s="8"/>
      <c r="M720" s="8"/>
      <c r="N720" s="8"/>
      <c r="O720" s="8"/>
      <c r="P720" s="8"/>
      <c r="Q720" s="8"/>
      <c r="R720" s="8"/>
    </row>
    <row r="721" spans="1:18" ht="12.75" customHeight="1">
      <c r="A721" s="8"/>
      <c r="B721" s="8"/>
      <c r="C721" s="30"/>
      <c r="D721" s="8"/>
      <c r="E721" s="8"/>
      <c r="F721" s="8"/>
      <c r="G721" s="8"/>
      <c r="H721" s="8"/>
      <c r="I721" s="8"/>
      <c r="J721" s="8"/>
      <c r="K721" s="8"/>
      <c r="L721" s="8"/>
      <c r="M721" s="8"/>
      <c r="N721" s="8"/>
      <c r="O721" s="8"/>
      <c r="P721" s="8"/>
      <c r="Q721" s="8"/>
      <c r="R721" s="8"/>
    </row>
    <row r="722" spans="1:18" ht="12.75" customHeight="1">
      <c r="A722" s="8"/>
      <c r="B722" s="8"/>
      <c r="C722" s="30"/>
      <c r="D722" s="8"/>
      <c r="E722" s="8"/>
      <c r="F722" s="8"/>
      <c r="G722" s="8"/>
      <c r="H722" s="8"/>
      <c r="I722" s="8"/>
      <c r="J722" s="8"/>
      <c r="K722" s="8"/>
      <c r="L722" s="8"/>
      <c r="M722" s="8"/>
      <c r="N722" s="8"/>
      <c r="O722" s="8"/>
      <c r="P722" s="8"/>
      <c r="Q722" s="8"/>
      <c r="R722" s="8"/>
    </row>
    <row r="723" spans="1:18" ht="12.75" customHeight="1">
      <c r="A723" s="8"/>
      <c r="B723" s="8"/>
      <c r="C723" s="30"/>
      <c r="D723" s="8"/>
      <c r="E723" s="8"/>
      <c r="F723" s="8"/>
      <c r="G723" s="8"/>
      <c r="H723" s="8"/>
      <c r="I723" s="8"/>
      <c r="J723" s="8"/>
      <c r="K723" s="8"/>
      <c r="L723" s="8"/>
      <c r="M723" s="8"/>
      <c r="N723" s="8"/>
      <c r="O723" s="8"/>
      <c r="P723" s="8"/>
      <c r="Q723" s="8"/>
      <c r="R723" s="8"/>
    </row>
    <row r="724" spans="1:18" ht="12.75" customHeight="1">
      <c r="A724" s="8"/>
      <c r="B724" s="8"/>
      <c r="C724" s="30"/>
      <c r="D724" s="8"/>
      <c r="E724" s="8"/>
      <c r="F724" s="8"/>
      <c r="G724" s="8"/>
      <c r="H724" s="8"/>
      <c r="I724" s="8"/>
      <c r="J724" s="8"/>
      <c r="K724" s="8"/>
      <c r="L724" s="8"/>
      <c r="M724" s="8"/>
      <c r="N724" s="8"/>
      <c r="O724" s="8"/>
      <c r="P724" s="8"/>
      <c r="Q724" s="8"/>
      <c r="R724" s="8"/>
    </row>
    <row r="725" spans="1:18" ht="12.75" customHeight="1">
      <c r="A725" s="8"/>
      <c r="B725" s="8"/>
      <c r="C725" s="30"/>
      <c r="D725" s="8"/>
      <c r="E725" s="8"/>
      <c r="F725" s="8"/>
      <c r="G725" s="8"/>
      <c r="H725" s="8"/>
      <c r="I725" s="8"/>
      <c r="J725" s="8"/>
      <c r="K725" s="8"/>
      <c r="L725" s="8"/>
      <c r="M725" s="8"/>
      <c r="N725" s="8"/>
      <c r="O725" s="8"/>
      <c r="P725" s="8"/>
      <c r="Q725" s="8"/>
      <c r="R725" s="8"/>
    </row>
    <row r="726" spans="1:18" ht="12.75" customHeight="1">
      <c r="A726" s="8"/>
      <c r="B726" s="8"/>
      <c r="C726" s="30"/>
      <c r="D726" s="8"/>
      <c r="E726" s="8"/>
      <c r="F726" s="8"/>
      <c r="G726" s="8"/>
      <c r="H726" s="8"/>
      <c r="I726" s="8"/>
      <c r="J726" s="8"/>
      <c r="K726" s="8"/>
      <c r="L726" s="8"/>
      <c r="M726" s="8"/>
      <c r="N726" s="8"/>
      <c r="O726" s="8"/>
      <c r="P726" s="8"/>
      <c r="Q726" s="8"/>
      <c r="R726" s="8"/>
    </row>
    <row r="727" spans="1:18" ht="12.75" customHeight="1">
      <c r="A727" s="8"/>
      <c r="B727" s="8"/>
      <c r="C727" s="30"/>
      <c r="D727" s="8"/>
      <c r="E727" s="8"/>
      <c r="F727" s="8"/>
      <c r="G727" s="8"/>
      <c r="H727" s="8"/>
      <c r="I727" s="8"/>
      <c r="J727" s="8"/>
      <c r="K727" s="8"/>
      <c r="L727" s="8"/>
      <c r="M727" s="8"/>
      <c r="N727" s="8"/>
      <c r="O727" s="8"/>
      <c r="P727" s="8"/>
      <c r="Q727" s="8"/>
      <c r="R727" s="8"/>
    </row>
    <row r="728" spans="1:18" ht="12.75" customHeight="1">
      <c r="A728" s="8"/>
      <c r="B728" s="8"/>
      <c r="C728" s="30"/>
      <c r="D728" s="8"/>
      <c r="E728" s="8"/>
      <c r="F728" s="8"/>
      <c r="G728" s="8"/>
      <c r="H728" s="8"/>
      <c r="I728" s="8"/>
      <c r="J728" s="8"/>
      <c r="K728" s="8"/>
      <c r="L728" s="8"/>
      <c r="M728" s="8"/>
      <c r="N728" s="8"/>
      <c r="O728" s="8"/>
      <c r="P728" s="8"/>
      <c r="Q728" s="8"/>
      <c r="R728" s="8"/>
    </row>
    <row r="729" spans="1:18" ht="12.75" customHeight="1">
      <c r="A729" s="8"/>
      <c r="B729" s="8"/>
      <c r="C729" s="30"/>
      <c r="D729" s="8"/>
      <c r="E729" s="8"/>
      <c r="F729" s="8"/>
      <c r="G729" s="8"/>
      <c r="H729" s="8"/>
      <c r="I729" s="8"/>
      <c r="J729" s="8"/>
      <c r="K729" s="8"/>
      <c r="L729" s="8"/>
      <c r="M729" s="8"/>
      <c r="N729" s="8"/>
      <c r="O729" s="8"/>
      <c r="P729" s="8"/>
      <c r="Q729" s="8"/>
      <c r="R729" s="8"/>
    </row>
    <row r="730" spans="1:18" ht="12.75" customHeight="1">
      <c r="A730" s="8"/>
      <c r="B730" s="8"/>
      <c r="C730" s="30"/>
      <c r="D730" s="8"/>
      <c r="E730" s="8"/>
      <c r="F730" s="8"/>
      <c r="G730" s="8"/>
      <c r="H730" s="8"/>
      <c r="I730" s="8"/>
      <c r="J730" s="8"/>
      <c r="K730" s="8"/>
      <c r="L730" s="8"/>
      <c r="M730" s="8"/>
      <c r="N730" s="8"/>
      <c r="O730" s="8"/>
      <c r="P730" s="8"/>
      <c r="Q730" s="8"/>
      <c r="R730" s="8"/>
    </row>
    <row r="731" spans="1:18" ht="12.75" customHeight="1">
      <c r="A731" s="8"/>
      <c r="B731" s="8"/>
      <c r="C731" s="30"/>
      <c r="D731" s="8"/>
      <c r="E731" s="8"/>
      <c r="F731" s="8"/>
      <c r="G731" s="8"/>
      <c r="H731" s="8"/>
      <c r="I731" s="8"/>
      <c r="J731" s="8"/>
      <c r="K731" s="8"/>
      <c r="L731" s="8"/>
      <c r="M731" s="8"/>
      <c r="N731" s="8"/>
      <c r="O731" s="8"/>
      <c r="P731" s="8"/>
      <c r="Q731" s="8"/>
      <c r="R731" s="8"/>
    </row>
    <row r="732" spans="1:18" ht="12.75" customHeight="1">
      <c r="A732" s="8"/>
      <c r="B732" s="8"/>
      <c r="C732" s="30"/>
      <c r="D732" s="8"/>
      <c r="E732" s="8"/>
      <c r="F732" s="8"/>
      <c r="G732" s="8"/>
      <c r="H732" s="8"/>
      <c r="I732" s="8"/>
      <c r="J732" s="8"/>
      <c r="K732" s="8"/>
      <c r="L732" s="8"/>
      <c r="M732" s="8"/>
      <c r="N732" s="8"/>
      <c r="O732" s="8"/>
      <c r="P732" s="8"/>
      <c r="Q732" s="8"/>
      <c r="R732" s="8"/>
    </row>
    <row r="733" spans="1:18" ht="12.75" customHeight="1">
      <c r="A733" s="8"/>
      <c r="B733" s="8"/>
      <c r="C733" s="30"/>
      <c r="D733" s="8"/>
      <c r="E733" s="8"/>
      <c r="F733" s="8"/>
      <c r="G733" s="8"/>
      <c r="H733" s="8"/>
      <c r="I733" s="8"/>
      <c r="J733" s="8"/>
      <c r="K733" s="8"/>
      <c r="L733" s="8"/>
      <c r="M733" s="8"/>
      <c r="N733" s="8"/>
      <c r="O733" s="8"/>
      <c r="P733" s="8"/>
      <c r="Q733" s="8"/>
      <c r="R733" s="8"/>
    </row>
    <row r="734" spans="1:18" ht="12.75" customHeight="1">
      <c r="A734" s="8"/>
      <c r="B734" s="8"/>
      <c r="C734" s="30"/>
      <c r="D734" s="8"/>
      <c r="E734" s="8"/>
      <c r="F734" s="8"/>
      <c r="G734" s="8"/>
      <c r="H734" s="8"/>
      <c r="I734" s="8"/>
      <c r="J734" s="8"/>
      <c r="K734" s="8"/>
      <c r="L734" s="8"/>
      <c r="M734" s="8"/>
      <c r="N734" s="8"/>
      <c r="O734" s="8"/>
      <c r="P734" s="8"/>
      <c r="Q734" s="8"/>
      <c r="R734" s="8"/>
    </row>
    <row r="735" spans="1:18" ht="12.75" customHeight="1">
      <c r="A735" s="8"/>
      <c r="B735" s="8"/>
      <c r="C735" s="30"/>
      <c r="D735" s="8"/>
      <c r="E735" s="8"/>
      <c r="F735" s="8"/>
      <c r="G735" s="8"/>
      <c r="H735" s="8"/>
      <c r="I735" s="8"/>
      <c r="J735" s="8"/>
      <c r="K735" s="8"/>
      <c r="L735" s="8"/>
      <c r="M735" s="8"/>
      <c r="N735" s="8"/>
      <c r="O735" s="8"/>
      <c r="P735" s="8"/>
      <c r="Q735" s="8"/>
      <c r="R735" s="8"/>
    </row>
    <row r="736" spans="1:18" ht="12.75" customHeight="1">
      <c r="A736" s="8"/>
      <c r="B736" s="8"/>
      <c r="C736" s="30"/>
      <c r="D736" s="8"/>
      <c r="E736" s="8"/>
      <c r="F736" s="8"/>
      <c r="G736" s="8"/>
      <c r="H736" s="8"/>
      <c r="I736" s="8"/>
      <c r="J736" s="8"/>
      <c r="K736" s="8"/>
      <c r="L736" s="8"/>
      <c r="M736" s="8"/>
      <c r="N736" s="8"/>
      <c r="O736" s="8"/>
      <c r="P736" s="8"/>
      <c r="Q736" s="8"/>
      <c r="R736" s="8"/>
    </row>
    <row r="737" spans="1:18" ht="12.75" customHeight="1">
      <c r="A737" s="8"/>
      <c r="B737" s="8"/>
      <c r="C737" s="30"/>
      <c r="D737" s="8"/>
      <c r="E737" s="8"/>
      <c r="F737" s="8"/>
      <c r="G737" s="8"/>
      <c r="H737" s="8"/>
      <c r="I737" s="8"/>
      <c r="J737" s="8"/>
      <c r="K737" s="8"/>
      <c r="L737" s="8"/>
      <c r="M737" s="8"/>
      <c r="N737" s="8"/>
      <c r="O737" s="8"/>
      <c r="P737" s="8"/>
      <c r="Q737" s="8"/>
      <c r="R737" s="8"/>
    </row>
    <row r="738" spans="1:18" ht="12.75" customHeight="1">
      <c r="A738" s="8"/>
      <c r="B738" s="8"/>
      <c r="C738" s="30"/>
      <c r="D738" s="8"/>
      <c r="E738" s="8"/>
      <c r="F738" s="8"/>
      <c r="G738" s="8"/>
      <c r="H738" s="8"/>
      <c r="I738" s="8"/>
      <c r="J738" s="8"/>
      <c r="K738" s="8"/>
      <c r="L738" s="8"/>
      <c r="M738" s="8"/>
      <c r="N738" s="8"/>
      <c r="O738" s="8"/>
      <c r="P738" s="8"/>
      <c r="Q738" s="8"/>
      <c r="R738" s="8"/>
    </row>
    <row r="739" spans="1:18" ht="12.75" customHeight="1">
      <c r="A739" s="8"/>
      <c r="B739" s="8"/>
      <c r="C739" s="30"/>
      <c r="D739" s="8"/>
      <c r="E739" s="8"/>
      <c r="F739" s="8"/>
      <c r="G739" s="8"/>
      <c r="H739" s="8"/>
      <c r="I739" s="8"/>
      <c r="J739" s="8"/>
      <c r="K739" s="8"/>
      <c r="L739" s="8"/>
      <c r="M739" s="8"/>
      <c r="N739" s="8"/>
      <c r="O739" s="8"/>
      <c r="P739" s="8"/>
      <c r="Q739" s="8"/>
      <c r="R739" s="8"/>
    </row>
    <row r="740" spans="1:18" ht="12.75" customHeight="1">
      <c r="A740" s="8"/>
      <c r="B740" s="8"/>
      <c r="C740" s="30"/>
      <c r="D740" s="8"/>
      <c r="E740" s="8"/>
      <c r="F740" s="8"/>
      <c r="G740" s="8"/>
      <c r="H740" s="8"/>
      <c r="I740" s="8"/>
      <c r="J740" s="8"/>
      <c r="K740" s="8"/>
      <c r="L740" s="8"/>
      <c r="M740" s="8"/>
      <c r="N740" s="8"/>
      <c r="O740" s="8"/>
      <c r="P740" s="8"/>
      <c r="Q740" s="8"/>
      <c r="R740" s="8"/>
    </row>
    <row r="741" spans="1:18" ht="12.75" customHeight="1">
      <c r="A741" s="8"/>
      <c r="B741" s="8"/>
      <c r="C741" s="30"/>
      <c r="D741" s="8"/>
      <c r="E741" s="8"/>
      <c r="F741" s="8"/>
      <c r="G741" s="8"/>
      <c r="H741" s="8"/>
      <c r="I741" s="8"/>
      <c r="J741" s="8"/>
      <c r="K741" s="8"/>
      <c r="L741" s="8"/>
      <c r="M741" s="8"/>
      <c r="N741" s="8"/>
      <c r="O741" s="8"/>
      <c r="P741" s="8"/>
      <c r="Q741" s="8"/>
      <c r="R741" s="8"/>
    </row>
    <row r="742" spans="1:18" ht="12.75" customHeight="1">
      <c r="A742" s="8"/>
      <c r="B742" s="8"/>
      <c r="C742" s="30"/>
      <c r="D742" s="8"/>
      <c r="E742" s="8"/>
      <c r="F742" s="8"/>
      <c r="G742" s="8"/>
      <c r="H742" s="8"/>
      <c r="I742" s="8"/>
      <c r="J742" s="8"/>
      <c r="K742" s="8"/>
      <c r="L742" s="8"/>
      <c r="M742" s="8"/>
      <c r="N742" s="8"/>
      <c r="O742" s="8"/>
      <c r="P742" s="8"/>
      <c r="Q742" s="8"/>
      <c r="R742" s="8"/>
    </row>
    <row r="743" spans="1:18" ht="12.75" customHeight="1">
      <c r="A743" s="8"/>
      <c r="B743" s="8"/>
      <c r="C743" s="30"/>
      <c r="D743" s="8"/>
      <c r="E743" s="8"/>
      <c r="F743" s="8"/>
      <c r="G743" s="8"/>
      <c r="H743" s="8"/>
      <c r="I743" s="8"/>
      <c r="J743" s="8"/>
      <c r="K743" s="8"/>
      <c r="L743" s="8"/>
      <c r="M743" s="8"/>
      <c r="N743" s="8"/>
      <c r="O743" s="8"/>
      <c r="P743" s="8"/>
      <c r="Q743" s="8"/>
      <c r="R743" s="8"/>
    </row>
    <row r="744" spans="1:18" ht="12.75" customHeight="1">
      <c r="A744" s="8"/>
      <c r="B744" s="8"/>
      <c r="C744" s="30"/>
      <c r="D744" s="8"/>
      <c r="E744" s="8"/>
      <c r="F744" s="8"/>
      <c r="G744" s="8"/>
      <c r="H744" s="8"/>
      <c r="I744" s="8"/>
      <c r="J744" s="8"/>
      <c r="K744" s="8"/>
      <c r="L744" s="8"/>
      <c r="M744" s="8"/>
      <c r="N744" s="8"/>
      <c r="O744" s="8"/>
      <c r="P744" s="8"/>
      <c r="Q744" s="8"/>
      <c r="R744" s="8"/>
    </row>
    <row r="745" spans="1:18" ht="12.75" customHeight="1">
      <c r="A745" s="8"/>
      <c r="B745" s="8"/>
      <c r="C745" s="30"/>
      <c r="D745" s="8"/>
      <c r="E745" s="8"/>
      <c r="F745" s="8"/>
      <c r="G745" s="8"/>
      <c r="H745" s="8"/>
      <c r="I745" s="8"/>
      <c r="J745" s="8"/>
      <c r="K745" s="8"/>
      <c r="L745" s="8"/>
      <c r="M745" s="8"/>
      <c r="N745" s="8"/>
      <c r="O745" s="8"/>
      <c r="P745" s="8"/>
      <c r="Q745" s="8"/>
      <c r="R745" s="8"/>
    </row>
    <row r="746" spans="1:18" ht="12.75" customHeight="1">
      <c r="A746" s="8"/>
      <c r="B746" s="8"/>
      <c r="C746" s="30"/>
      <c r="D746" s="8"/>
      <c r="E746" s="8"/>
      <c r="F746" s="8"/>
      <c r="G746" s="8"/>
      <c r="H746" s="8"/>
      <c r="I746" s="8"/>
      <c r="J746" s="8"/>
      <c r="K746" s="8"/>
      <c r="L746" s="8"/>
      <c r="M746" s="8"/>
      <c r="N746" s="8"/>
      <c r="O746" s="8"/>
      <c r="P746" s="8"/>
      <c r="Q746" s="8"/>
      <c r="R746" s="8"/>
    </row>
    <row r="747" spans="1:18" ht="12.75" customHeight="1">
      <c r="A747" s="8"/>
      <c r="B747" s="8"/>
      <c r="C747" s="30"/>
      <c r="D747" s="8"/>
      <c r="E747" s="8"/>
      <c r="F747" s="8"/>
      <c r="G747" s="8"/>
      <c r="H747" s="8"/>
      <c r="I747" s="8"/>
      <c r="J747" s="8"/>
      <c r="K747" s="8"/>
      <c r="L747" s="8"/>
      <c r="M747" s="8"/>
      <c r="N747" s="8"/>
      <c r="O747" s="8"/>
      <c r="P747" s="8"/>
      <c r="Q747" s="8"/>
      <c r="R747" s="8"/>
    </row>
    <row r="748" spans="1:18" ht="12.75" customHeight="1">
      <c r="A748" s="8"/>
      <c r="B748" s="8"/>
      <c r="C748" s="30"/>
      <c r="D748" s="8"/>
      <c r="E748" s="8"/>
      <c r="F748" s="8"/>
      <c r="G748" s="8"/>
      <c r="H748" s="8"/>
      <c r="I748" s="8"/>
      <c r="J748" s="8"/>
      <c r="K748" s="8"/>
      <c r="L748" s="8"/>
      <c r="M748" s="8"/>
      <c r="N748" s="8"/>
      <c r="O748" s="8"/>
      <c r="P748" s="8"/>
      <c r="Q748" s="8"/>
      <c r="R748" s="8"/>
    </row>
    <row r="749" spans="1:18" ht="12.75" customHeight="1">
      <c r="A749" s="8"/>
      <c r="B749" s="8"/>
      <c r="C749" s="30"/>
      <c r="D749" s="8"/>
      <c r="E749" s="8"/>
      <c r="F749" s="8"/>
      <c r="G749" s="8"/>
      <c r="H749" s="8"/>
      <c r="I749" s="8"/>
      <c r="J749" s="8"/>
      <c r="K749" s="8"/>
      <c r="L749" s="8"/>
      <c r="M749" s="8"/>
      <c r="N749" s="8"/>
      <c r="O749" s="8"/>
      <c r="P749" s="8"/>
      <c r="Q749" s="8"/>
      <c r="R749" s="8"/>
    </row>
    <row r="750" spans="1:18" ht="12.75" customHeight="1">
      <c r="A750" s="8"/>
      <c r="B750" s="8"/>
      <c r="C750" s="30"/>
      <c r="D750" s="8"/>
      <c r="E750" s="8"/>
      <c r="F750" s="8"/>
      <c r="G750" s="8"/>
      <c r="H750" s="8"/>
      <c r="I750" s="8"/>
      <c r="J750" s="8"/>
      <c r="K750" s="8"/>
      <c r="L750" s="8"/>
      <c r="M750" s="8"/>
      <c r="N750" s="8"/>
      <c r="O750" s="8"/>
      <c r="P750" s="8"/>
      <c r="Q750" s="8"/>
      <c r="R750" s="8"/>
    </row>
    <row r="751" spans="1:18" ht="12.75" customHeight="1">
      <c r="A751" s="8"/>
      <c r="B751" s="8"/>
      <c r="C751" s="30"/>
      <c r="D751" s="8"/>
      <c r="E751" s="8"/>
      <c r="F751" s="8"/>
      <c r="G751" s="8"/>
      <c r="H751" s="8"/>
      <c r="I751" s="8"/>
      <c r="J751" s="8"/>
      <c r="K751" s="8"/>
      <c r="L751" s="8"/>
      <c r="M751" s="8"/>
      <c r="N751" s="8"/>
      <c r="O751" s="8"/>
      <c r="P751" s="8"/>
      <c r="Q751" s="8"/>
      <c r="R751" s="8"/>
    </row>
    <row r="752" spans="1:18" ht="12.75" customHeight="1">
      <c r="A752" s="8"/>
      <c r="B752" s="8"/>
      <c r="C752" s="30"/>
      <c r="D752" s="8"/>
      <c r="E752" s="8"/>
      <c r="F752" s="8"/>
      <c r="G752" s="8"/>
      <c r="H752" s="8"/>
      <c r="I752" s="8"/>
      <c r="J752" s="8"/>
      <c r="K752" s="8"/>
      <c r="L752" s="8"/>
      <c r="M752" s="8"/>
      <c r="N752" s="8"/>
      <c r="O752" s="8"/>
      <c r="P752" s="8"/>
      <c r="Q752" s="8"/>
      <c r="R752" s="8"/>
    </row>
    <row r="753" spans="1:18" ht="12.75" customHeight="1">
      <c r="A753" s="8"/>
      <c r="B753" s="8"/>
      <c r="C753" s="30"/>
      <c r="D753" s="8"/>
      <c r="E753" s="8"/>
      <c r="F753" s="8"/>
      <c r="G753" s="8"/>
      <c r="H753" s="8"/>
      <c r="I753" s="8"/>
      <c r="J753" s="8"/>
      <c r="K753" s="8"/>
      <c r="L753" s="8"/>
      <c r="M753" s="8"/>
      <c r="N753" s="8"/>
      <c r="O753" s="8"/>
      <c r="P753" s="8"/>
      <c r="Q753" s="8"/>
      <c r="R753" s="8"/>
    </row>
    <row r="754" spans="1:18" ht="12.75" customHeight="1">
      <c r="A754" s="8"/>
      <c r="B754" s="8"/>
      <c r="C754" s="30"/>
      <c r="D754" s="8"/>
      <c r="E754" s="8"/>
      <c r="F754" s="8"/>
      <c r="G754" s="8"/>
      <c r="H754" s="8"/>
      <c r="I754" s="8"/>
      <c r="J754" s="8"/>
      <c r="K754" s="8"/>
      <c r="L754" s="8"/>
      <c r="M754" s="8"/>
      <c r="N754" s="8"/>
      <c r="O754" s="8"/>
      <c r="P754" s="8"/>
      <c r="Q754" s="8"/>
      <c r="R754" s="8"/>
    </row>
    <row r="755" spans="1:18" ht="12.75" customHeight="1">
      <c r="A755" s="8"/>
      <c r="B755" s="8"/>
      <c r="C755" s="30"/>
      <c r="D755" s="8"/>
      <c r="E755" s="8"/>
      <c r="F755" s="8"/>
      <c r="G755" s="8"/>
      <c r="H755" s="8"/>
      <c r="I755" s="8"/>
      <c r="J755" s="8"/>
      <c r="K755" s="8"/>
      <c r="L755" s="8"/>
      <c r="M755" s="8"/>
      <c r="N755" s="8"/>
      <c r="O755" s="8"/>
      <c r="P755" s="8"/>
      <c r="Q755" s="8"/>
      <c r="R755" s="8"/>
    </row>
    <row r="756" spans="1:18" ht="12.75" customHeight="1">
      <c r="A756" s="8"/>
      <c r="B756" s="8"/>
      <c r="C756" s="30"/>
      <c r="D756" s="8"/>
      <c r="E756" s="8"/>
      <c r="F756" s="8"/>
      <c r="G756" s="8"/>
      <c r="H756" s="8"/>
      <c r="I756" s="8"/>
      <c r="J756" s="8"/>
      <c r="K756" s="8"/>
      <c r="L756" s="8"/>
      <c r="M756" s="8"/>
      <c r="N756" s="8"/>
      <c r="O756" s="8"/>
      <c r="P756" s="8"/>
      <c r="Q756" s="8"/>
      <c r="R756" s="8"/>
    </row>
    <row r="757" spans="1:18" ht="12.75" customHeight="1">
      <c r="A757" s="8"/>
      <c r="B757" s="8"/>
      <c r="C757" s="30"/>
      <c r="D757" s="8"/>
      <c r="E757" s="8"/>
      <c r="F757" s="8"/>
      <c r="G757" s="8"/>
      <c r="H757" s="8"/>
      <c r="I757" s="8"/>
      <c r="J757" s="8"/>
      <c r="K757" s="8"/>
      <c r="L757" s="8"/>
      <c r="M757" s="8"/>
      <c r="N757" s="8"/>
      <c r="O757" s="8"/>
      <c r="P757" s="8"/>
      <c r="Q757" s="8"/>
      <c r="R757" s="8"/>
    </row>
    <row r="758" spans="1:18" ht="12.75" customHeight="1">
      <c r="A758" s="8"/>
      <c r="B758" s="8"/>
      <c r="C758" s="30"/>
      <c r="D758" s="8"/>
      <c r="E758" s="8"/>
      <c r="F758" s="8"/>
      <c r="G758" s="8"/>
      <c r="H758" s="8"/>
      <c r="I758" s="8"/>
      <c r="J758" s="8"/>
      <c r="K758" s="8"/>
      <c r="L758" s="8"/>
      <c r="M758" s="8"/>
      <c r="N758" s="8"/>
      <c r="O758" s="8"/>
      <c r="P758" s="8"/>
      <c r="Q758" s="8"/>
      <c r="R758" s="8"/>
    </row>
    <row r="759" spans="1:18" ht="12.75" customHeight="1">
      <c r="A759" s="8"/>
      <c r="B759" s="8"/>
      <c r="C759" s="30"/>
      <c r="D759" s="8"/>
      <c r="E759" s="8"/>
      <c r="F759" s="8"/>
      <c r="G759" s="8"/>
      <c r="H759" s="8"/>
      <c r="I759" s="8"/>
      <c r="J759" s="8"/>
      <c r="K759" s="8"/>
      <c r="L759" s="8"/>
      <c r="M759" s="8"/>
      <c r="N759" s="8"/>
      <c r="O759" s="8"/>
      <c r="P759" s="8"/>
      <c r="Q759" s="8"/>
      <c r="R759" s="8"/>
    </row>
    <row r="760" spans="1:18" ht="12.75" customHeight="1">
      <c r="A760" s="8"/>
      <c r="B760" s="8"/>
      <c r="C760" s="30"/>
      <c r="D760" s="8"/>
      <c r="E760" s="8"/>
      <c r="F760" s="8"/>
      <c r="G760" s="8"/>
      <c r="H760" s="8"/>
      <c r="I760" s="8"/>
      <c r="J760" s="8"/>
      <c r="K760" s="8"/>
      <c r="L760" s="8"/>
      <c r="M760" s="8"/>
      <c r="N760" s="8"/>
      <c r="O760" s="8"/>
      <c r="P760" s="8"/>
      <c r="Q760" s="8"/>
      <c r="R760" s="8"/>
    </row>
    <row r="761" spans="1:18" ht="12.75" customHeight="1">
      <c r="A761" s="8"/>
      <c r="B761" s="8"/>
      <c r="C761" s="30"/>
      <c r="D761" s="8"/>
      <c r="E761" s="8"/>
      <c r="F761" s="8"/>
      <c r="G761" s="8"/>
      <c r="H761" s="8"/>
      <c r="I761" s="8"/>
      <c r="J761" s="8"/>
      <c r="K761" s="8"/>
      <c r="L761" s="8"/>
      <c r="M761" s="8"/>
      <c r="N761" s="8"/>
      <c r="O761" s="8"/>
      <c r="P761" s="8"/>
      <c r="Q761" s="8"/>
      <c r="R761" s="8"/>
    </row>
    <row r="762" spans="1:18" ht="12.75" customHeight="1">
      <c r="A762" s="8"/>
      <c r="B762" s="8"/>
      <c r="C762" s="30"/>
      <c r="D762" s="8"/>
      <c r="E762" s="8"/>
      <c r="F762" s="8"/>
      <c r="G762" s="8"/>
      <c r="H762" s="8"/>
      <c r="I762" s="8"/>
      <c r="J762" s="8"/>
      <c r="K762" s="8"/>
      <c r="L762" s="8"/>
      <c r="M762" s="8"/>
      <c r="N762" s="8"/>
      <c r="O762" s="8"/>
      <c r="P762" s="8"/>
      <c r="Q762" s="8"/>
      <c r="R762" s="8"/>
    </row>
    <row r="763" spans="1:18" ht="12.75" customHeight="1">
      <c r="A763" s="8"/>
      <c r="B763" s="8"/>
      <c r="C763" s="30"/>
      <c r="D763" s="8"/>
      <c r="E763" s="8"/>
      <c r="F763" s="8"/>
      <c r="G763" s="8"/>
      <c r="H763" s="8"/>
      <c r="I763" s="8"/>
      <c r="J763" s="8"/>
      <c r="K763" s="8"/>
      <c r="L763" s="8"/>
      <c r="M763" s="8"/>
      <c r="N763" s="8"/>
      <c r="O763" s="8"/>
      <c r="P763" s="8"/>
      <c r="Q763" s="8"/>
      <c r="R763" s="8"/>
    </row>
    <row r="764" spans="1:18" ht="12.75" customHeight="1">
      <c r="A764" s="8"/>
      <c r="B764" s="8"/>
      <c r="C764" s="30"/>
      <c r="D764" s="8"/>
      <c r="E764" s="8"/>
      <c r="F764" s="8"/>
      <c r="G764" s="8"/>
      <c r="H764" s="8"/>
      <c r="I764" s="8"/>
      <c r="J764" s="8"/>
      <c r="K764" s="8"/>
      <c r="L764" s="8"/>
      <c r="M764" s="8"/>
      <c r="N764" s="8"/>
      <c r="O764" s="8"/>
      <c r="P764" s="8"/>
      <c r="Q764" s="8"/>
      <c r="R764" s="8"/>
    </row>
    <row r="765" spans="1:18" ht="12.75" customHeight="1">
      <c r="A765" s="8"/>
      <c r="B765" s="8"/>
      <c r="C765" s="30"/>
      <c r="D765" s="8"/>
      <c r="E765" s="8"/>
      <c r="F765" s="8"/>
      <c r="G765" s="8"/>
      <c r="H765" s="8"/>
      <c r="I765" s="8"/>
      <c r="J765" s="8"/>
      <c r="K765" s="8"/>
      <c r="L765" s="8"/>
      <c r="M765" s="8"/>
      <c r="N765" s="8"/>
      <c r="O765" s="8"/>
      <c r="P765" s="8"/>
      <c r="Q765" s="8"/>
      <c r="R765" s="8"/>
    </row>
    <row r="766" spans="1:18" ht="12.75" customHeight="1">
      <c r="A766" s="8"/>
      <c r="B766" s="8"/>
      <c r="C766" s="30"/>
      <c r="D766" s="8"/>
      <c r="E766" s="8"/>
      <c r="F766" s="8"/>
      <c r="G766" s="8"/>
      <c r="H766" s="8"/>
      <c r="I766" s="8"/>
      <c r="J766" s="8"/>
      <c r="K766" s="8"/>
      <c r="L766" s="8"/>
      <c r="M766" s="8"/>
      <c r="N766" s="8"/>
      <c r="O766" s="8"/>
      <c r="P766" s="8"/>
      <c r="Q766" s="8"/>
      <c r="R766" s="8"/>
    </row>
    <row r="767" spans="1:18" ht="12.75" customHeight="1">
      <c r="A767" s="8"/>
      <c r="B767" s="8"/>
      <c r="C767" s="30"/>
      <c r="D767" s="8"/>
      <c r="E767" s="8"/>
      <c r="F767" s="8"/>
      <c r="G767" s="8"/>
      <c r="H767" s="8"/>
      <c r="I767" s="8"/>
      <c r="J767" s="8"/>
      <c r="K767" s="8"/>
      <c r="L767" s="8"/>
      <c r="M767" s="8"/>
      <c r="N767" s="8"/>
      <c r="O767" s="8"/>
      <c r="P767" s="8"/>
      <c r="Q767" s="8"/>
      <c r="R767" s="8"/>
    </row>
    <row r="768" spans="1:18" ht="12.75" customHeight="1">
      <c r="A768" s="8"/>
      <c r="B768" s="8"/>
      <c r="C768" s="30"/>
      <c r="D768" s="8"/>
      <c r="E768" s="8"/>
      <c r="F768" s="8"/>
      <c r="G768" s="8"/>
      <c r="H768" s="8"/>
      <c r="I768" s="8"/>
      <c r="J768" s="8"/>
      <c r="K768" s="8"/>
      <c r="L768" s="8"/>
      <c r="M768" s="8"/>
      <c r="N768" s="8"/>
      <c r="O768" s="8"/>
      <c r="P768" s="8"/>
      <c r="Q768" s="8"/>
      <c r="R768" s="8"/>
    </row>
    <row r="769" spans="1:18" ht="12.75" customHeight="1">
      <c r="A769" s="8"/>
      <c r="B769" s="8"/>
      <c r="C769" s="30"/>
      <c r="D769" s="8"/>
      <c r="E769" s="8"/>
      <c r="F769" s="8"/>
      <c r="G769" s="8"/>
      <c r="H769" s="8"/>
      <c r="I769" s="8"/>
      <c r="J769" s="8"/>
      <c r="K769" s="8"/>
      <c r="L769" s="8"/>
      <c r="M769" s="8"/>
      <c r="N769" s="8"/>
      <c r="O769" s="8"/>
      <c r="P769" s="8"/>
      <c r="Q769" s="8"/>
      <c r="R769" s="8"/>
    </row>
    <row r="770" spans="1:18" ht="12.75" customHeight="1">
      <c r="A770" s="8"/>
      <c r="B770" s="8"/>
      <c r="C770" s="30"/>
      <c r="D770" s="8"/>
      <c r="E770" s="8"/>
      <c r="F770" s="8"/>
      <c r="G770" s="8"/>
      <c r="H770" s="8"/>
      <c r="I770" s="8"/>
      <c r="J770" s="8"/>
      <c r="K770" s="8"/>
      <c r="L770" s="8"/>
      <c r="M770" s="8"/>
      <c r="N770" s="8"/>
      <c r="O770" s="8"/>
      <c r="P770" s="8"/>
      <c r="Q770" s="8"/>
      <c r="R770" s="8"/>
    </row>
    <row r="771" spans="1:18" ht="12.75" customHeight="1">
      <c r="A771" s="8"/>
      <c r="B771" s="8"/>
      <c r="C771" s="30"/>
      <c r="D771" s="8"/>
      <c r="E771" s="8"/>
      <c r="F771" s="8"/>
      <c r="G771" s="8"/>
      <c r="H771" s="8"/>
      <c r="I771" s="8"/>
      <c r="J771" s="8"/>
      <c r="K771" s="8"/>
      <c r="L771" s="8"/>
      <c r="M771" s="8"/>
      <c r="N771" s="8"/>
      <c r="O771" s="8"/>
      <c r="P771" s="8"/>
      <c r="Q771" s="8"/>
      <c r="R771" s="8"/>
    </row>
    <row r="772" spans="1:18" ht="12.75" customHeight="1">
      <c r="A772" s="8"/>
      <c r="B772" s="8"/>
      <c r="C772" s="30"/>
      <c r="D772" s="8"/>
      <c r="E772" s="8"/>
      <c r="F772" s="8"/>
      <c r="G772" s="8"/>
      <c r="H772" s="8"/>
      <c r="I772" s="8"/>
      <c r="J772" s="8"/>
      <c r="K772" s="8"/>
      <c r="L772" s="8"/>
      <c r="M772" s="8"/>
      <c r="N772" s="8"/>
      <c r="O772" s="8"/>
      <c r="P772" s="8"/>
      <c r="Q772" s="8"/>
      <c r="R772" s="8"/>
    </row>
    <row r="773" spans="1:18" ht="12.75" customHeight="1">
      <c r="A773" s="8"/>
      <c r="B773" s="8"/>
      <c r="C773" s="30"/>
      <c r="D773" s="8"/>
      <c r="E773" s="8"/>
      <c r="F773" s="8"/>
      <c r="G773" s="8"/>
      <c r="H773" s="8"/>
      <c r="I773" s="8"/>
      <c r="J773" s="8"/>
      <c r="K773" s="8"/>
      <c r="L773" s="8"/>
      <c r="M773" s="8"/>
      <c r="N773" s="8"/>
      <c r="O773" s="8"/>
      <c r="P773" s="8"/>
      <c r="Q773" s="8"/>
      <c r="R773" s="8"/>
    </row>
    <row r="774" spans="1:18" ht="12.75" customHeight="1">
      <c r="A774" s="8"/>
      <c r="B774" s="8"/>
      <c r="C774" s="30"/>
      <c r="D774" s="8"/>
      <c r="E774" s="8"/>
      <c r="F774" s="8"/>
      <c r="G774" s="8"/>
      <c r="H774" s="8"/>
      <c r="I774" s="8"/>
      <c r="J774" s="8"/>
      <c r="K774" s="8"/>
      <c r="L774" s="8"/>
      <c r="M774" s="8"/>
      <c r="N774" s="8"/>
      <c r="O774" s="8"/>
      <c r="P774" s="8"/>
      <c r="Q774" s="8"/>
      <c r="R774" s="8"/>
    </row>
    <row r="775" spans="1:18" ht="12.75" customHeight="1">
      <c r="A775" s="8"/>
      <c r="B775" s="8"/>
      <c r="C775" s="30"/>
      <c r="D775" s="8"/>
      <c r="E775" s="8"/>
      <c r="F775" s="8"/>
      <c r="G775" s="8"/>
      <c r="H775" s="8"/>
      <c r="I775" s="8"/>
      <c r="J775" s="8"/>
      <c r="K775" s="8"/>
      <c r="L775" s="8"/>
      <c r="M775" s="8"/>
      <c r="N775" s="8"/>
      <c r="O775" s="8"/>
      <c r="P775" s="8"/>
      <c r="Q775" s="8"/>
      <c r="R775" s="8"/>
    </row>
    <row r="776" spans="1:18" ht="12.75" customHeight="1">
      <c r="A776" s="8"/>
      <c r="B776" s="8"/>
      <c r="C776" s="30"/>
      <c r="D776" s="8"/>
      <c r="E776" s="8"/>
      <c r="F776" s="8"/>
      <c r="G776" s="8"/>
      <c r="H776" s="8"/>
      <c r="I776" s="8"/>
      <c r="J776" s="8"/>
      <c r="K776" s="8"/>
      <c r="L776" s="8"/>
      <c r="M776" s="8"/>
      <c r="N776" s="8"/>
      <c r="O776" s="8"/>
      <c r="P776" s="8"/>
      <c r="Q776" s="8"/>
      <c r="R776" s="8"/>
    </row>
    <row r="777" spans="1:18" ht="12.75" customHeight="1">
      <c r="A777" s="8"/>
      <c r="B777" s="8"/>
      <c r="C777" s="30"/>
      <c r="D777" s="8"/>
      <c r="E777" s="8"/>
      <c r="F777" s="8"/>
      <c r="G777" s="8"/>
      <c r="H777" s="8"/>
      <c r="I777" s="8"/>
      <c r="J777" s="8"/>
      <c r="K777" s="8"/>
      <c r="L777" s="8"/>
      <c r="M777" s="8"/>
      <c r="N777" s="8"/>
      <c r="O777" s="8"/>
      <c r="P777" s="8"/>
      <c r="Q777" s="8"/>
      <c r="R777" s="8"/>
    </row>
    <row r="778" spans="1:18" ht="12.75" customHeight="1">
      <c r="A778" s="8"/>
      <c r="B778" s="8"/>
      <c r="C778" s="30"/>
      <c r="D778" s="8"/>
      <c r="E778" s="8"/>
      <c r="F778" s="8"/>
      <c r="G778" s="8"/>
      <c r="H778" s="8"/>
      <c r="I778" s="8"/>
      <c r="J778" s="8"/>
      <c r="K778" s="8"/>
      <c r="L778" s="8"/>
      <c r="M778" s="8"/>
      <c r="N778" s="8"/>
      <c r="O778" s="8"/>
      <c r="P778" s="8"/>
      <c r="Q778" s="8"/>
      <c r="R778" s="8"/>
    </row>
    <row r="779" spans="1:18" ht="12.75" customHeight="1">
      <c r="A779" s="8"/>
      <c r="B779" s="8"/>
      <c r="C779" s="30"/>
      <c r="D779" s="8"/>
      <c r="E779" s="8"/>
      <c r="F779" s="8"/>
      <c r="G779" s="8"/>
      <c r="H779" s="8"/>
      <c r="I779" s="8"/>
      <c r="J779" s="8"/>
      <c r="K779" s="8"/>
      <c r="L779" s="8"/>
      <c r="M779" s="8"/>
      <c r="N779" s="8"/>
      <c r="O779" s="8"/>
      <c r="P779" s="8"/>
      <c r="Q779" s="8"/>
      <c r="R779" s="8"/>
    </row>
    <row r="780" spans="1:18" ht="12.75" customHeight="1">
      <c r="A780" s="8"/>
      <c r="B780" s="8"/>
      <c r="C780" s="30"/>
      <c r="D780" s="8"/>
      <c r="E780" s="8"/>
      <c r="F780" s="8"/>
      <c r="G780" s="8"/>
      <c r="H780" s="8"/>
      <c r="I780" s="8"/>
      <c r="J780" s="8"/>
      <c r="K780" s="8"/>
      <c r="L780" s="8"/>
      <c r="M780" s="8"/>
      <c r="N780" s="8"/>
      <c r="O780" s="8"/>
      <c r="P780" s="8"/>
      <c r="Q780" s="8"/>
      <c r="R780" s="8"/>
    </row>
    <row r="781" spans="1:18" ht="12.75" customHeight="1">
      <c r="A781" s="8"/>
      <c r="B781" s="8"/>
      <c r="C781" s="30"/>
      <c r="D781" s="8"/>
      <c r="E781" s="8"/>
      <c r="F781" s="8"/>
      <c r="G781" s="8"/>
      <c r="H781" s="8"/>
      <c r="I781" s="8"/>
      <c r="J781" s="8"/>
      <c r="K781" s="8"/>
      <c r="L781" s="8"/>
      <c r="M781" s="8"/>
      <c r="N781" s="8"/>
      <c r="O781" s="8"/>
      <c r="P781" s="8"/>
      <c r="Q781" s="8"/>
      <c r="R781" s="8"/>
    </row>
    <row r="782" spans="1:18" ht="12.75" customHeight="1">
      <c r="A782" s="8"/>
      <c r="B782" s="8"/>
      <c r="C782" s="30"/>
      <c r="D782" s="8"/>
      <c r="E782" s="8"/>
      <c r="F782" s="8"/>
      <c r="G782" s="8"/>
      <c r="H782" s="8"/>
      <c r="I782" s="8"/>
      <c r="J782" s="8"/>
      <c r="K782" s="8"/>
      <c r="L782" s="8"/>
      <c r="M782" s="8"/>
      <c r="N782" s="8"/>
      <c r="O782" s="8"/>
      <c r="P782" s="8"/>
      <c r="Q782" s="8"/>
      <c r="R782" s="8"/>
    </row>
    <row r="783" spans="1:18" ht="12.75" customHeight="1">
      <c r="A783" s="8"/>
      <c r="B783" s="8"/>
      <c r="C783" s="30"/>
      <c r="D783" s="8"/>
      <c r="E783" s="8"/>
      <c r="F783" s="8"/>
      <c r="G783" s="8"/>
      <c r="H783" s="8"/>
      <c r="I783" s="8"/>
      <c r="J783" s="8"/>
      <c r="K783" s="8"/>
      <c r="L783" s="8"/>
      <c r="M783" s="8"/>
      <c r="N783" s="8"/>
      <c r="O783" s="8"/>
      <c r="P783" s="8"/>
      <c r="Q783" s="8"/>
      <c r="R783" s="8"/>
    </row>
    <row r="784" spans="1:18" ht="12.75" customHeight="1">
      <c r="A784" s="8"/>
      <c r="B784" s="8"/>
      <c r="C784" s="30"/>
      <c r="D784" s="8"/>
      <c r="E784" s="8"/>
      <c r="F784" s="8"/>
      <c r="G784" s="8"/>
      <c r="H784" s="8"/>
      <c r="I784" s="8"/>
      <c r="J784" s="8"/>
      <c r="K784" s="8"/>
      <c r="L784" s="8"/>
      <c r="M784" s="8"/>
      <c r="N784" s="8"/>
      <c r="O784" s="8"/>
      <c r="P784" s="8"/>
      <c r="Q784" s="8"/>
      <c r="R784" s="8"/>
    </row>
    <row r="785" spans="1:18" ht="12.75" customHeight="1">
      <c r="A785" s="8"/>
      <c r="B785" s="8"/>
      <c r="C785" s="30"/>
      <c r="D785" s="8"/>
      <c r="E785" s="8"/>
      <c r="F785" s="8"/>
      <c r="G785" s="8"/>
      <c r="H785" s="8"/>
      <c r="I785" s="8"/>
      <c r="J785" s="8"/>
      <c r="K785" s="8"/>
      <c r="L785" s="8"/>
      <c r="M785" s="8"/>
      <c r="N785" s="8"/>
      <c r="O785" s="8"/>
      <c r="P785" s="8"/>
      <c r="Q785" s="8"/>
      <c r="R785" s="8"/>
    </row>
    <row r="786" spans="1:18" ht="12.75" customHeight="1">
      <c r="A786" s="8"/>
      <c r="B786" s="8"/>
      <c r="C786" s="30"/>
      <c r="D786" s="8"/>
      <c r="E786" s="8"/>
      <c r="F786" s="8"/>
      <c r="G786" s="8"/>
      <c r="H786" s="8"/>
      <c r="I786" s="8"/>
      <c r="J786" s="8"/>
      <c r="K786" s="8"/>
      <c r="L786" s="8"/>
      <c r="M786" s="8"/>
      <c r="N786" s="8"/>
      <c r="O786" s="8"/>
      <c r="P786" s="8"/>
      <c r="Q786" s="8"/>
      <c r="R786" s="8"/>
    </row>
    <row r="787" spans="1:18" ht="12.75" customHeight="1">
      <c r="A787" s="8"/>
      <c r="B787" s="8"/>
      <c r="C787" s="30"/>
      <c r="D787" s="8"/>
      <c r="E787" s="8"/>
      <c r="F787" s="8"/>
      <c r="G787" s="8"/>
      <c r="H787" s="8"/>
      <c r="I787" s="8"/>
      <c r="J787" s="8"/>
      <c r="K787" s="8"/>
      <c r="L787" s="8"/>
      <c r="M787" s="8"/>
      <c r="N787" s="8"/>
      <c r="O787" s="8"/>
      <c r="P787" s="8"/>
      <c r="Q787" s="8"/>
      <c r="R787" s="8"/>
    </row>
    <row r="788" spans="1:18" ht="12.75" customHeight="1">
      <c r="A788" s="8"/>
      <c r="B788" s="8"/>
      <c r="C788" s="30"/>
      <c r="D788" s="8"/>
      <c r="E788" s="8"/>
      <c r="F788" s="8"/>
      <c r="G788" s="8"/>
      <c r="H788" s="8"/>
      <c r="I788" s="8"/>
      <c r="J788" s="8"/>
      <c r="K788" s="8"/>
      <c r="L788" s="8"/>
      <c r="M788" s="8"/>
      <c r="N788" s="8"/>
      <c r="O788" s="8"/>
      <c r="P788" s="8"/>
      <c r="Q788" s="8"/>
      <c r="R788" s="8"/>
    </row>
    <row r="789" spans="1:18" ht="12.75" customHeight="1">
      <c r="A789" s="8"/>
      <c r="B789" s="8"/>
      <c r="C789" s="30"/>
      <c r="D789" s="8"/>
      <c r="E789" s="8"/>
      <c r="F789" s="8"/>
      <c r="G789" s="8"/>
      <c r="H789" s="8"/>
      <c r="I789" s="8"/>
      <c r="J789" s="8"/>
      <c r="K789" s="8"/>
      <c r="L789" s="8"/>
      <c r="M789" s="8"/>
      <c r="N789" s="8"/>
      <c r="O789" s="8"/>
      <c r="P789" s="8"/>
      <c r="Q789" s="8"/>
      <c r="R789" s="8"/>
    </row>
    <row r="790" spans="1:18" ht="12.75" customHeight="1">
      <c r="A790" s="8"/>
      <c r="B790" s="8"/>
      <c r="C790" s="30"/>
      <c r="D790" s="8"/>
      <c r="E790" s="8"/>
      <c r="F790" s="8"/>
      <c r="G790" s="8"/>
      <c r="H790" s="8"/>
      <c r="I790" s="8"/>
      <c r="J790" s="8"/>
      <c r="K790" s="8"/>
      <c r="L790" s="8"/>
      <c r="M790" s="8"/>
      <c r="N790" s="8"/>
      <c r="O790" s="8"/>
      <c r="P790" s="8"/>
      <c r="Q790" s="8"/>
      <c r="R790" s="8"/>
    </row>
    <row r="791" spans="1:18" ht="12.75" customHeight="1">
      <c r="A791" s="8"/>
      <c r="B791" s="8"/>
      <c r="C791" s="30"/>
      <c r="D791" s="8"/>
      <c r="E791" s="8"/>
      <c r="F791" s="8"/>
      <c r="G791" s="8"/>
      <c r="H791" s="8"/>
      <c r="I791" s="8"/>
      <c r="J791" s="8"/>
      <c r="K791" s="8"/>
      <c r="L791" s="8"/>
      <c r="M791" s="8"/>
      <c r="N791" s="8"/>
      <c r="O791" s="8"/>
      <c r="P791" s="8"/>
      <c r="Q791" s="8"/>
      <c r="R791" s="8"/>
    </row>
    <row r="792" spans="1:18" ht="12.75" customHeight="1">
      <c r="A792" s="8"/>
      <c r="B792" s="8"/>
      <c r="C792" s="30"/>
      <c r="D792" s="8"/>
      <c r="E792" s="8"/>
      <c r="F792" s="8"/>
      <c r="G792" s="8"/>
      <c r="H792" s="8"/>
      <c r="I792" s="8"/>
      <c r="J792" s="8"/>
      <c r="K792" s="8"/>
      <c r="L792" s="8"/>
      <c r="M792" s="8"/>
      <c r="N792" s="8"/>
      <c r="O792" s="8"/>
      <c r="P792" s="8"/>
      <c r="Q792" s="8"/>
      <c r="R792" s="8"/>
    </row>
    <row r="793" spans="1:18" ht="12.75" customHeight="1">
      <c r="A793" s="8"/>
      <c r="B793" s="8"/>
      <c r="C793" s="30"/>
      <c r="D793" s="8"/>
      <c r="E793" s="8"/>
      <c r="F793" s="8"/>
      <c r="G793" s="8"/>
      <c r="H793" s="8"/>
      <c r="I793" s="8"/>
      <c r="J793" s="8"/>
      <c r="K793" s="8"/>
      <c r="L793" s="8"/>
      <c r="M793" s="8"/>
      <c r="N793" s="8"/>
      <c r="O793" s="8"/>
      <c r="P793" s="8"/>
      <c r="Q793" s="8"/>
      <c r="R793" s="8"/>
    </row>
    <row r="794" spans="1:18" ht="12.75" customHeight="1">
      <c r="A794" s="8"/>
      <c r="B794" s="8"/>
      <c r="C794" s="30"/>
      <c r="D794" s="8"/>
      <c r="E794" s="8"/>
      <c r="F794" s="8"/>
      <c r="G794" s="8"/>
      <c r="H794" s="8"/>
      <c r="I794" s="8"/>
      <c r="J794" s="8"/>
      <c r="K794" s="8"/>
      <c r="L794" s="8"/>
      <c r="M794" s="8"/>
      <c r="N794" s="8"/>
      <c r="O794" s="8"/>
      <c r="P794" s="8"/>
      <c r="Q794" s="8"/>
      <c r="R794" s="8"/>
    </row>
    <row r="795" spans="1:18" ht="12.75" customHeight="1">
      <c r="A795" s="8"/>
      <c r="B795" s="8"/>
      <c r="C795" s="30"/>
      <c r="D795" s="8"/>
      <c r="E795" s="8"/>
      <c r="F795" s="8"/>
      <c r="G795" s="8"/>
      <c r="H795" s="8"/>
      <c r="I795" s="8"/>
      <c r="J795" s="8"/>
      <c r="K795" s="8"/>
      <c r="L795" s="8"/>
      <c r="M795" s="8"/>
      <c r="N795" s="8"/>
      <c r="O795" s="8"/>
      <c r="P795" s="8"/>
      <c r="Q795" s="8"/>
      <c r="R795" s="8"/>
    </row>
    <row r="796" spans="1:18" ht="12.75" customHeight="1">
      <c r="A796" s="8"/>
      <c r="B796" s="8"/>
      <c r="C796" s="30"/>
      <c r="D796" s="8"/>
      <c r="E796" s="8"/>
      <c r="F796" s="8"/>
      <c r="G796" s="8"/>
      <c r="H796" s="8"/>
      <c r="I796" s="8"/>
      <c r="J796" s="8"/>
      <c r="K796" s="8"/>
      <c r="L796" s="8"/>
      <c r="M796" s="8"/>
      <c r="N796" s="8"/>
      <c r="O796" s="8"/>
      <c r="P796" s="8"/>
      <c r="Q796" s="8"/>
      <c r="R796" s="8"/>
    </row>
    <row r="797" spans="1:18" ht="12.75" customHeight="1">
      <c r="A797" s="8"/>
      <c r="B797" s="8"/>
      <c r="C797" s="30"/>
      <c r="D797" s="8"/>
      <c r="E797" s="8"/>
      <c r="F797" s="8"/>
      <c r="G797" s="8"/>
      <c r="H797" s="8"/>
      <c r="I797" s="8"/>
      <c r="J797" s="8"/>
      <c r="K797" s="8"/>
      <c r="L797" s="8"/>
      <c r="M797" s="8"/>
      <c r="N797" s="8"/>
      <c r="O797" s="8"/>
      <c r="P797" s="8"/>
      <c r="Q797" s="8"/>
      <c r="R797" s="8"/>
    </row>
    <row r="798" spans="1:18" ht="12.75" customHeight="1">
      <c r="A798" s="8"/>
      <c r="B798" s="8"/>
      <c r="C798" s="30"/>
      <c r="D798" s="8"/>
      <c r="E798" s="8"/>
      <c r="F798" s="8"/>
      <c r="G798" s="8"/>
      <c r="H798" s="8"/>
      <c r="I798" s="8"/>
      <c r="J798" s="8"/>
      <c r="K798" s="8"/>
      <c r="L798" s="8"/>
      <c r="M798" s="8"/>
      <c r="N798" s="8"/>
      <c r="O798" s="8"/>
      <c r="P798" s="8"/>
      <c r="Q798" s="8"/>
      <c r="R798" s="8"/>
    </row>
    <row r="799" spans="1:18" ht="12.75" customHeight="1">
      <c r="A799" s="8"/>
      <c r="B799" s="8"/>
      <c r="C799" s="30"/>
      <c r="D799" s="8"/>
      <c r="E799" s="8"/>
      <c r="F799" s="8"/>
      <c r="G799" s="8"/>
      <c r="H799" s="8"/>
      <c r="I799" s="8"/>
      <c r="J799" s="8"/>
      <c r="K799" s="8"/>
      <c r="L799" s="8"/>
      <c r="M799" s="8"/>
      <c r="N799" s="8"/>
      <c r="O799" s="8"/>
      <c r="P799" s="8"/>
      <c r="Q799" s="8"/>
      <c r="R799" s="8"/>
    </row>
    <row r="800" spans="1:18" ht="12.75" customHeight="1">
      <c r="A800" s="8"/>
      <c r="B800" s="8"/>
      <c r="C800" s="30"/>
      <c r="D800" s="8"/>
      <c r="E800" s="8"/>
      <c r="F800" s="8"/>
      <c r="G800" s="8"/>
      <c r="H800" s="8"/>
      <c r="I800" s="8"/>
      <c r="J800" s="8"/>
      <c r="K800" s="8"/>
      <c r="L800" s="8"/>
      <c r="M800" s="8"/>
      <c r="N800" s="8"/>
      <c r="O800" s="8"/>
      <c r="P800" s="8"/>
      <c r="Q800" s="8"/>
      <c r="R800" s="8"/>
    </row>
    <row r="801" spans="1:18" ht="12.75" customHeight="1">
      <c r="A801" s="8"/>
      <c r="B801" s="8"/>
      <c r="C801" s="30"/>
      <c r="D801" s="8"/>
      <c r="E801" s="8"/>
      <c r="F801" s="8"/>
      <c r="G801" s="8"/>
      <c r="H801" s="8"/>
      <c r="I801" s="8"/>
      <c r="J801" s="8"/>
      <c r="K801" s="8"/>
      <c r="L801" s="8"/>
      <c r="M801" s="8"/>
      <c r="N801" s="8"/>
      <c r="O801" s="8"/>
      <c r="P801" s="8"/>
      <c r="Q801" s="8"/>
      <c r="R801" s="8"/>
    </row>
    <row r="802" spans="1:18" ht="12.75" customHeight="1">
      <c r="A802" s="8"/>
      <c r="B802" s="8"/>
      <c r="C802" s="30"/>
      <c r="D802" s="8"/>
      <c r="E802" s="8"/>
      <c r="F802" s="8"/>
      <c r="G802" s="8"/>
      <c r="H802" s="8"/>
      <c r="I802" s="8"/>
      <c r="J802" s="8"/>
      <c r="K802" s="8"/>
      <c r="L802" s="8"/>
      <c r="M802" s="8"/>
      <c r="N802" s="8"/>
      <c r="O802" s="8"/>
      <c r="P802" s="8"/>
      <c r="Q802" s="8"/>
      <c r="R802" s="8"/>
    </row>
    <row r="803" spans="1:18" ht="12.75" customHeight="1">
      <c r="A803" s="8"/>
      <c r="B803" s="8"/>
      <c r="C803" s="30"/>
      <c r="D803" s="8"/>
      <c r="E803" s="8"/>
      <c r="F803" s="8"/>
      <c r="G803" s="8"/>
      <c r="H803" s="8"/>
      <c r="I803" s="8"/>
      <c r="J803" s="8"/>
      <c r="K803" s="8"/>
      <c r="L803" s="8"/>
      <c r="M803" s="8"/>
      <c r="N803" s="8"/>
      <c r="O803" s="8"/>
      <c r="P803" s="8"/>
      <c r="Q803" s="8"/>
      <c r="R803" s="8"/>
    </row>
    <row r="804" spans="1:18" ht="12.75" customHeight="1">
      <c r="A804" s="8"/>
      <c r="B804" s="8"/>
      <c r="C804" s="30"/>
      <c r="D804" s="8"/>
      <c r="E804" s="8"/>
      <c r="F804" s="8"/>
      <c r="G804" s="8"/>
      <c r="H804" s="8"/>
      <c r="I804" s="8"/>
      <c r="J804" s="8"/>
      <c r="K804" s="8"/>
      <c r="L804" s="8"/>
      <c r="M804" s="8"/>
      <c r="N804" s="8"/>
      <c r="O804" s="8"/>
      <c r="P804" s="8"/>
      <c r="Q804" s="8"/>
      <c r="R804" s="8"/>
    </row>
    <row r="805" spans="1:18" ht="12.75" customHeight="1">
      <c r="A805" s="8"/>
      <c r="B805" s="8"/>
      <c r="C805" s="30"/>
      <c r="D805" s="8"/>
      <c r="E805" s="8"/>
      <c r="F805" s="8"/>
      <c r="G805" s="8"/>
      <c r="H805" s="8"/>
      <c r="I805" s="8"/>
      <c r="J805" s="8"/>
      <c r="K805" s="8"/>
      <c r="L805" s="8"/>
      <c r="M805" s="8"/>
      <c r="N805" s="8"/>
      <c r="O805" s="8"/>
      <c r="P805" s="8"/>
      <c r="Q805" s="8"/>
      <c r="R805" s="8"/>
    </row>
    <row r="806" spans="1:18" ht="12.75" customHeight="1">
      <c r="A806" s="8"/>
      <c r="B806" s="8"/>
      <c r="C806" s="30"/>
      <c r="D806" s="8"/>
      <c r="E806" s="8"/>
      <c r="F806" s="8"/>
      <c r="G806" s="8"/>
      <c r="H806" s="8"/>
      <c r="I806" s="8"/>
      <c r="J806" s="8"/>
      <c r="K806" s="8"/>
      <c r="L806" s="8"/>
      <c r="M806" s="8"/>
      <c r="N806" s="8"/>
      <c r="O806" s="8"/>
      <c r="P806" s="8"/>
      <c r="Q806" s="8"/>
      <c r="R806" s="8"/>
    </row>
    <row r="807" spans="1:18" ht="12.75" customHeight="1">
      <c r="A807" s="8"/>
      <c r="B807" s="8"/>
      <c r="C807" s="30"/>
      <c r="D807" s="8"/>
      <c r="E807" s="8"/>
      <c r="F807" s="8"/>
      <c r="G807" s="8"/>
      <c r="H807" s="8"/>
      <c r="I807" s="8"/>
      <c r="J807" s="8"/>
      <c r="K807" s="8"/>
      <c r="L807" s="8"/>
      <c r="M807" s="8"/>
      <c r="N807" s="8"/>
      <c r="O807" s="8"/>
      <c r="P807" s="8"/>
      <c r="Q807" s="8"/>
      <c r="R807" s="8"/>
    </row>
    <row r="808" spans="1:18" ht="12.75" customHeight="1">
      <c r="A808" s="8"/>
      <c r="B808" s="8"/>
      <c r="C808" s="30"/>
      <c r="D808" s="8"/>
      <c r="E808" s="8"/>
      <c r="F808" s="8"/>
      <c r="G808" s="8"/>
      <c r="H808" s="8"/>
      <c r="I808" s="8"/>
      <c r="J808" s="8"/>
      <c r="K808" s="8"/>
      <c r="L808" s="8"/>
      <c r="M808" s="8"/>
      <c r="N808" s="8"/>
      <c r="O808" s="8"/>
      <c r="P808" s="8"/>
      <c r="Q808" s="8"/>
      <c r="R808" s="8"/>
    </row>
    <row r="809" spans="1:18" ht="12.75" customHeight="1">
      <c r="A809" s="8"/>
      <c r="B809" s="8"/>
      <c r="C809" s="30"/>
      <c r="D809" s="8"/>
      <c r="E809" s="8"/>
      <c r="F809" s="8"/>
      <c r="G809" s="8"/>
      <c r="H809" s="8"/>
      <c r="I809" s="8"/>
      <c r="J809" s="8"/>
      <c r="K809" s="8"/>
      <c r="L809" s="8"/>
      <c r="M809" s="8"/>
      <c r="N809" s="8"/>
      <c r="O809" s="8"/>
      <c r="P809" s="8"/>
      <c r="Q809" s="8"/>
      <c r="R809" s="8"/>
    </row>
    <row r="810" spans="1:18" ht="12.75" customHeight="1">
      <c r="A810" s="8"/>
      <c r="B810" s="8"/>
      <c r="C810" s="30"/>
      <c r="D810" s="8"/>
      <c r="E810" s="8"/>
      <c r="F810" s="8"/>
      <c r="G810" s="8"/>
      <c r="H810" s="8"/>
      <c r="I810" s="8"/>
      <c r="J810" s="8"/>
      <c r="K810" s="8"/>
      <c r="L810" s="8"/>
      <c r="M810" s="8"/>
      <c r="N810" s="8"/>
      <c r="O810" s="8"/>
      <c r="P810" s="8"/>
      <c r="Q810" s="8"/>
      <c r="R810" s="8"/>
    </row>
    <row r="811" spans="1:18" ht="12.75" customHeight="1">
      <c r="A811" s="8"/>
      <c r="B811" s="8"/>
      <c r="C811" s="30"/>
      <c r="D811" s="8"/>
      <c r="E811" s="8"/>
      <c r="F811" s="8"/>
      <c r="G811" s="8"/>
      <c r="H811" s="8"/>
      <c r="I811" s="8"/>
      <c r="J811" s="8"/>
      <c r="K811" s="8"/>
      <c r="L811" s="8"/>
      <c r="M811" s="8"/>
      <c r="N811" s="8"/>
      <c r="O811" s="8"/>
      <c r="P811" s="8"/>
      <c r="Q811" s="8"/>
      <c r="R811" s="8"/>
    </row>
    <row r="812" spans="1:18" ht="12.75" customHeight="1">
      <c r="A812" s="8"/>
      <c r="B812" s="8"/>
      <c r="C812" s="30"/>
      <c r="D812" s="8"/>
      <c r="E812" s="8"/>
      <c r="F812" s="8"/>
      <c r="G812" s="8"/>
      <c r="H812" s="8"/>
      <c r="I812" s="8"/>
      <c r="J812" s="8"/>
      <c r="K812" s="8"/>
      <c r="L812" s="8"/>
      <c r="M812" s="8"/>
      <c r="N812" s="8"/>
      <c r="O812" s="8"/>
      <c r="P812" s="8"/>
      <c r="Q812" s="8"/>
      <c r="R812" s="8"/>
    </row>
    <row r="813" spans="1:18" ht="12.75" customHeight="1">
      <c r="A813" s="8"/>
      <c r="B813" s="8"/>
      <c r="C813" s="30"/>
      <c r="D813" s="8"/>
      <c r="E813" s="8"/>
      <c r="F813" s="8"/>
      <c r="G813" s="8"/>
      <c r="H813" s="8"/>
      <c r="I813" s="8"/>
      <c r="J813" s="8"/>
      <c r="K813" s="8"/>
      <c r="L813" s="8"/>
      <c r="M813" s="8"/>
      <c r="N813" s="8"/>
      <c r="O813" s="8"/>
      <c r="P813" s="8"/>
      <c r="Q813" s="8"/>
      <c r="R813" s="8"/>
    </row>
    <row r="814" spans="1:18" ht="12.75" customHeight="1">
      <c r="A814" s="8"/>
      <c r="B814" s="8"/>
      <c r="C814" s="30"/>
      <c r="D814" s="8"/>
      <c r="E814" s="8"/>
      <c r="F814" s="8"/>
      <c r="G814" s="8"/>
      <c r="H814" s="8"/>
      <c r="I814" s="8"/>
      <c r="J814" s="8"/>
      <c r="K814" s="8"/>
      <c r="L814" s="8"/>
      <c r="M814" s="8"/>
      <c r="N814" s="8"/>
      <c r="O814" s="8"/>
      <c r="P814" s="8"/>
      <c r="Q814" s="8"/>
      <c r="R814" s="8"/>
    </row>
    <row r="815" spans="1:18" ht="12.75" customHeight="1">
      <c r="A815" s="8"/>
      <c r="B815" s="8"/>
      <c r="C815" s="30"/>
      <c r="D815" s="8"/>
      <c r="E815" s="8"/>
      <c r="F815" s="8"/>
      <c r="G815" s="8"/>
      <c r="H815" s="8"/>
      <c r="I815" s="8"/>
      <c r="J815" s="8"/>
      <c r="K815" s="8"/>
      <c r="L815" s="8"/>
      <c r="M815" s="8"/>
      <c r="N815" s="8"/>
      <c r="O815" s="8"/>
      <c r="P815" s="8"/>
      <c r="Q815" s="8"/>
      <c r="R815" s="8"/>
    </row>
    <row r="816" spans="1:18" ht="12.75" customHeight="1">
      <c r="A816" s="8"/>
      <c r="B816" s="8"/>
      <c r="C816" s="30"/>
      <c r="D816" s="8"/>
      <c r="E816" s="8"/>
      <c r="F816" s="8"/>
      <c r="G816" s="8"/>
      <c r="H816" s="8"/>
      <c r="I816" s="8"/>
      <c r="J816" s="8"/>
      <c r="K816" s="8"/>
      <c r="L816" s="8"/>
      <c r="M816" s="8"/>
      <c r="N816" s="8"/>
      <c r="O816" s="8"/>
      <c r="P816" s="8"/>
      <c r="Q816" s="8"/>
      <c r="R816" s="8"/>
    </row>
    <row r="817" spans="1:18" ht="12.75" customHeight="1">
      <c r="A817" s="8"/>
      <c r="B817" s="8"/>
      <c r="C817" s="30"/>
      <c r="D817" s="8"/>
      <c r="E817" s="8"/>
      <c r="F817" s="8"/>
      <c r="G817" s="8"/>
      <c r="H817" s="8"/>
      <c r="I817" s="8"/>
      <c r="J817" s="8"/>
      <c r="K817" s="8"/>
      <c r="L817" s="8"/>
      <c r="M817" s="8"/>
      <c r="N817" s="8"/>
      <c r="O817" s="8"/>
      <c r="P817" s="8"/>
      <c r="Q817" s="8"/>
      <c r="R817" s="8"/>
    </row>
    <row r="818" spans="1:18" ht="12.75" customHeight="1">
      <c r="A818" s="8"/>
      <c r="B818" s="8"/>
      <c r="C818" s="30"/>
      <c r="D818" s="8"/>
      <c r="E818" s="8"/>
      <c r="F818" s="8"/>
      <c r="G818" s="8"/>
      <c r="H818" s="8"/>
      <c r="I818" s="8"/>
      <c r="J818" s="8"/>
      <c r="K818" s="8"/>
      <c r="L818" s="8"/>
      <c r="M818" s="8"/>
      <c r="N818" s="8"/>
      <c r="O818" s="8"/>
      <c r="P818" s="8"/>
      <c r="Q818" s="8"/>
      <c r="R818" s="8"/>
    </row>
    <row r="819" spans="1:18" ht="12.75" customHeight="1">
      <c r="A819" s="8"/>
      <c r="B819" s="8"/>
      <c r="C819" s="30"/>
      <c r="D819" s="8"/>
      <c r="E819" s="8"/>
      <c r="F819" s="8"/>
      <c r="G819" s="8"/>
      <c r="H819" s="8"/>
      <c r="I819" s="8"/>
      <c r="J819" s="8"/>
      <c r="K819" s="8"/>
      <c r="L819" s="8"/>
      <c r="M819" s="8"/>
      <c r="N819" s="8"/>
      <c r="O819" s="8"/>
      <c r="P819" s="8"/>
      <c r="Q819" s="8"/>
      <c r="R819" s="8"/>
    </row>
    <row r="820" spans="1:18" ht="12.75" customHeight="1">
      <c r="A820" s="8"/>
      <c r="B820" s="8"/>
      <c r="C820" s="30"/>
      <c r="D820" s="8"/>
      <c r="E820" s="8"/>
      <c r="F820" s="8"/>
      <c r="G820" s="8"/>
      <c r="H820" s="8"/>
      <c r="I820" s="8"/>
      <c r="J820" s="8"/>
      <c r="K820" s="8"/>
      <c r="L820" s="8"/>
      <c r="M820" s="8"/>
      <c r="N820" s="8"/>
      <c r="O820" s="8"/>
      <c r="P820" s="8"/>
      <c r="Q820" s="8"/>
      <c r="R820" s="8"/>
    </row>
    <row r="821" spans="1:18" ht="12.75" customHeight="1">
      <c r="A821" s="8"/>
      <c r="B821" s="8"/>
      <c r="C821" s="30"/>
      <c r="D821" s="8"/>
      <c r="E821" s="8"/>
      <c r="F821" s="8"/>
      <c r="G821" s="8"/>
      <c r="H821" s="8"/>
      <c r="I821" s="8"/>
      <c r="J821" s="8"/>
      <c r="K821" s="8"/>
      <c r="L821" s="8"/>
      <c r="M821" s="8"/>
      <c r="N821" s="8"/>
      <c r="O821" s="8"/>
      <c r="P821" s="8"/>
      <c r="Q821" s="8"/>
      <c r="R821" s="8"/>
    </row>
    <row r="822" spans="1:18" ht="12.75" customHeight="1">
      <c r="A822" s="8"/>
      <c r="B822" s="8"/>
      <c r="C822" s="30"/>
      <c r="D822" s="8"/>
      <c r="E822" s="8"/>
      <c r="F822" s="8"/>
      <c r="G822" s="8"/>
      <c r="H822" s="8"/>
      <c r="I822" s="8"/>
      <c r="J822" s="8"/>
      <c r="K822" s="8"/>
      <c r="L822" s="8"/>
      <c r="M822" s="8"/>
      <c r="N822" s="8"/>
      <c r="O822" s="8"/>
      <c r="P822" s="8"/>
      <c r="Q822" s="8"/>
      <c r="R822" s="8"/>
    </row>
    <row r="823" spans="1:18" ht="12.75" customHeight="1">
      <c r="A823" s="8"/>
      <c r="B823" s="8"/>
      <c r="C823" s="30"/>
      <c r="D823" s="8"/>
      <c r="E823" s="8"/>
      <c r="F823" s="8"/>
      <c r="G823" s="8"/>
      <c r="H823" s="8"/>
      <c r="I823" s="8"/>
      <c r="J823" s="8"/>
      <c r="K823" s="8"/>
      <c r="L823" s="8"/>
      <c r="M823" s="8"/>
      <c r="N823" s="8"/>
      <c r="O823" s="8"/>
      <c r="P823" s="8"/>
      <c r="Q823" s="8"/>
      <c r="R823" s="8"/>
    </row>
    <row r="824" spans="1:18" ht="12.75" customHeight="1">
      <c r="A824" s="8"/>
      <c r="B824" s="8"/>
      <c r="C824" s="30"/>
      <c r="D824" s="8"/>
      <c r="E824" s="8"/>
      <c r="F824" s="8"/>
      <c r="G824" s="8"/>
      <c r="H824" s="8"/>
      <c r="I824" s="8"/>
      <c r="J824" s="8"/>
      <c r="K824" s="8"/>
      <c r="L824" s="8"/>
      <c r="M824" s="8"/>
      <c r="N824" s="8"/>
      <c r="O824" s="8"/>
      <c r="P824" s="8"/>
      <c r="Q824" s="8"/>
      <c r="R824" s="8"/>
    </row>
    <row r="825" spans="1:18" ht="12.75" customHeight="1">
      <c r="A825" s="8"/>
      <c r="B825" s="8"/>
      <c r="C825" s="30"/>
      <c r="D825" s="8"/>
      <c r="E825" s="8"/>
      <c r="F825" s="8"/>
      <c r="G825" s="8"/>
      <c r="H825" s="8"/>
      <c r="I825" s="8"/>
      <c r="J825" s="8"/>
      <c r="K825" s="8"/>
      <c r="L825" s="8"/>
      <c r="M825" s="8"/>
      <c r="N825" s="8"/>
      <c r="O825" s="8"/>
      <c r="P825" s="8"/>
      <c r="Q825" s="8"/>
      <c r="R825" s="8"/>
    </row>
    <row r="826" spans="1:18" ht="12.75" customHeight="1">
      <c r="A826" s="8"/>
      <c r="B826" s="8"/>
      <c r="C826" s="30"/>
      <c r="D826" s="8"/>
      <c r="E826" s="8"/>
      <c r="F826" s="8"/>
      <c r="G826" s="8"/>
      <c r="H826" s="8"/>
      <c r="I826" s="8"/>
      <c r="J826" s="8"/>
      <c r="K826" s="8"/>
      <c r="L826" s="8"/>
      <c r="M826" s="8"/>
      <c r="N826" s="8"/>
      <c r="O826" s="8"/>
      <c r="P826" s="8"/>
      <c r="Q826" s="8"/>
      <c r="R826" s="8"/>
    </row>
    <row r="827" spans="1:18" ht="12.75" customHeight="1">
      <c r="A827" s="8"/>
      <c r="B827" s="8"/>
      <c r="C827" s="30"/>
      <c r="D827" s="8"/>
      <c r="E827" s="8"/>
      <c r="F827" s="8"/>
      <c r="G827" s="8"/>
      <c r="H827" s="8"/>
      <c r="I827" s="8"/>
      <c r="J827" s="8"/>
      <c r="K827" s="8"/>
      <c r="L827" s="8"/>
      <c r="M827" s="8"/>
      <c r="N827" s="8"/>
      <c r="O827" s="8"/>
      <c r="P827" s="8"/>
      <c r="Q827" s="8"/>
      <c r="R827" s="8"/>
    </row>
    <row r="828" spans="1:18" ht="12.75" customHeight="1">
      <c r="A828" s="8"/>
      <c r="B828" s="8"/>
      <c r="C828" s="30"/>
      <c r="D828" s="8"/>
      <c r="E828" s="8"/>
      <c r="F828" s="8"/>
      <c r="G828" s="8"/>
      <c r="H828" s="8"/>
      <c r="I828" s="8"/>
      <c r="J828" s="8"/>
      <c r="K828" s="8"/>
      <c r="L828" s="8"/>
      <c r="M828" s="8"/>
      <c r="N828" s="8"/>
      <c r="O828" s="8"/>
      <c r="P828" s="8"/>
      <c r="Q828" s="8"/>
      <c r="R828" s="8"/>
    </row>
    <row r="829" spans="1:18" ht="12.75" customHeight="1">
      <c r="A829" s="8"/>
      <c r="B829" s="8"/>
      <c r="C829" s="30"/>
      <c r="D829" s="8"/>
      <c r="E829" s="8"/>
      <c r="F829" s="8"/>
      <c r="G829" s="8"/>
      <c r="H829" s="8"/>
      <c r="I829" s="8"/>
      <c r="J829" s="8"/>
      <c r="K829" s="8"/>
      <c r="L829" s="8"/>
      <c r="M829" s="8"/>
      <c r="N829" s="8"/>
      <c r="O829" s="8"/>
      <c r="P829" s="8"/>
      <c r="Q829" s="8"/>
      <c r="R829" s="8"/>
    </row>
    <row r="830" spans="1:18" ht="12.75" customHeight="1">
      <c r="A830" s="8"/>
      <c r="B830" s="8"/>
      <c r="C830" s="30"/>
      <c r="D830" s="8"/>
      <c r="E830" s="8"/>
      <c r="F830" s="8"/>
      <c r="G830" s="8"/>
      <c r="H830" s="8"/>
      <c r="I830" s="8"/>
      <c r="J830" s="8"/>
      <c r="K830" s="8"/>
      <c r="L830" s="8"/>
      <c r="M830" s="8"/>
      <c r="N830" s="8"/>
      <c r="O830" s="8"/>
      <c r="P830" s="8"/>
      <c r="Q830" s="8"/>
      <c r="R830" s="8"/>
    </row>
    <row r="831" spans="1:18" ht="12.75" customHeight="1">
      <c r="A831" s="8"/>
      <c r="B831" s="8"/>
      <c r="C831" s="30"/>
      <c r="D831" s="8"/>
      <c r="E831" s="8"/>
      <c r="F831" s="8"/>
      <c r="G831" s="8"/>
      <c r="H831" s="8"/>
      <c r="I831" s="8"/>
      <c r="J831" s="8"/>
      <c r="K831" s="8"/>
      <c r="L831" s="8"/>
      <c r="M831" s="8"/>
      <c r="N831" s="8"/>
      <c r="O831" s="8"/>
      <c r="P831" s="8"/>
      <c r="Q831" s="8"/>
      <c r="R831" s="8"/>
    </row>
    <row r="832" spans="1:18" ht="12.75" customHeight="1">
      <c r="A832" s="8"/>
      <c r="B832" s="8"/>
      <c r="C832" s="30"/>
      <c r="D832" s="8"/>
      <c r="E832" s="8"/>
      <c r="F832" s="8"/>
      <c r="G832" s="8"/>
      <c r="H832" s="8"/>
      <c r="I832" s="8"/>
      <c r="J832" s="8"/>
      <c r="K832" s="8"/>
      <c r="L832" s="8"/>
      <c r="M832" s="8"/>
      <c r="N832" s="8"/>
      <c r="O832" s="8"/>
      <c r="P832" s="8"/>
      <c r="Q832" s="8"/>
      <c r="R832" s="8"/>
    </row>
    <row r="833" spans="1:18" ht="12.75" customHeight="1">
      <c r="A833" s="8"/>
      <c r="B833" s="8"/>
      <c r="C833" s="30"/>
      <c r="D833" s="8"/>
      <c r="E833" s="8"/>
      <c r="F833" s="8"/>
      <c r="G833" s="8"/>
      <c r="H833" s="8"/>
      <c r="I833" s="8"/>
      <c r="J833" s="8"/>
      <c r="K833" s="8"/>
      <c r="L833" s="8"/>
      <c r="M833" s="8"/>
      <c r="N833" s="8"/>
      <c r="O833" s="8"/>
      <c r="P833" s="8"/>
      <c r="Q833" s="8"/>
      <c r="R833" s="8"/>
    </row>
    <row r="834" spans="1:18" ht="12.75" customHeight="1">
      <c r="A834" s="8"/>
      <c r="B834" s="8"/>
      <c r="C834" s="30"/>
      <c r="D834" s="8"/>
      <c r="E834" s="8"/>
      <c r="F834" s="8"/>
      <c r="G834" s="8"/>
      <c r="H834" s="8"/>
      <c r="I834" s="8"/>
      <c r="J834" s="8"/>
      <c r="K834" s="8"/>
      <c r="L834" s="8"/>
      <c r="M834" s="8"/>
      <c r="N834" s="8"/>
      <c r="O834" s="8"/>
      <c r="P834" s="8"/>
      <c r="Q834" s="8"/>
      <c r="R834" s="8"/>
    </row>
    <row r="835" spans="1:18" ht="12.75" customHeight="1">
      <c r="A835" s="8"/>
      <c r="B835" s="8"/>
      <c r="C835" s="30"/>
      <c r="D835" s="8"/>
      <c r="E835" s="8"/>
      <c r="F835" s="8"/>
      <c r="G835" s="8"/>
      <c r="H835" s="8"/>
      <c r="I835" s="8"/>
      <c r="J835" s="8"/>
      <c r="K835" s="8"/>
      <c r="L835" s="8"/>
      <c r="M835" s="8"/>
      <c r="N835" s="8"/>
      <c r="O835" s="8"/>
      <c r="P835" s="8"/>
      <c r="Q835" s="8"/>
      <c r="R835" s="8"/>
    </row>
    <row r="836" spans="1:18" ht="12.75" customHeight="1">
      <c r="A836" s="8"/>
      <c r="B836" s="8"/>
      <c r="C836" s="30"/>
      <c r="D836" s="8"/>
      <c r="E836" s="8"/>
      <c r="F836" s="8"/>
      <c r="G836" s="8"/>
      <c r="H836" s="8"/>
      <c r="I836" s="8"/>
      <c r="J836" s="8"/>
      <c r="K836" s="8"/>
      <c r="L836" s="8"/>
      <c r="M836" s="8"/>
      <c r="N836" s="8"/>
      <c r="O836" s="8"/>
      <c r="P836" s="8"/>
      <c r="Q836" s="8"/>
      <c r="R836" s="8"/>
    </row>
    <row r="837" spans="1:18" ht="12.75" customHeight="1">
      <c r="A837" s="8"/>
      <c r="B837" s="8"/>
      <c r="C837" s="30"/>
      <c r="D837" s="8"/>
      <c r="E837" s="8"/>
      <c r="F837" s="8"/>
      <c r="G837" s="8"/>
      <c r="H837" s="8"/>
      <c r="I837" s="8"/>
      <c r="J837" s="8"/>
      <c r="K837" s="8"/>
      <c r="L837" s="8"/>
      <c r="M837" s="8"/>
      <c r="N837" s="8"/>
      <c r="O837" s="8"/>
      <c r="P837" s="8"/>
      <c r="Q837" s="8"/>
      <c r="R837" s="8"/>
    </row>
    <row r="838" spans="1:18" ht="12.75" customHeight="1">
      <c r="A838" s="8"/>
      <c r="B838" s="8"/>
      <c r="C838" s="30"/>
      <c r="D838" s="8"/>
      <c r="E838" s="8"/>
      <c r="F838" s="8"/>
      <c r="G838" s="8"/>
      <c r="H838" s="8"/>
      <c r="I838" s="8"/>
      <c r="J838" s="8"/>
      <c r="K838" s="8"/>
      <c r="L838" s="8"/>
      <c r="M838" s="8"/>
      <c r="N838" s="8"/>
      <c r="O838" s="8"/>
      <c r="P838" s="8"/>
      <c r="Q838" s="8"/>
      <c r="R838" s="8"/>
    </row>
    <row r="839" spans="1:18" ht="12.75" customHeight="1">
      <c r="A839" s="8"/>
      <c r="B839" s="8"/>
      <c r="C839" s="30"/>
      <c r="D839" s="8"/>
      <c r="E839" s="8"/>
      <c r="F839" s="8"/>
      <c r="G839" s="8"/>
      <c r="H839" s="8"/>
      <c r="I839" s="8"/>
      <c r="J839" s="8"/>
      <c r="K839" s="8"/>
      <c r="L839" s="8"/>
      <c r="M839" s="8"/>
      <c r="N839" s="8"/>
      <c r="O839" s="8"/>
      <c r="P839" s="8"/>
      <c r="Q839" s="8"/>
      <c r="R839" s="8"/>
    </row>
    <row r="840" spans="1:18" ht="12.75" customHeight="1">
      <c r="A840" s="8"/>
      <c r="B840" s="8"/>
      <c r="C840" s="30"/>
      <c r="D840" s="8"/>
      <c r="E840" s="8"/>
      <c r="F840" s="8"/>
      <c r="G840" s="8"/>
      <c r="H840" s="8"/>
      <c r="I840" s="8"/>
      <c r="J840" s="8"/>
      <c r="K840" s="8"/>
      <c r="L840" s="8"/>
      <c r="M840" s="8"/>
      <c r="N840" s="8"/>
      <c r="O840" s="8"/>
      <c r="P840" s="8"/>
      <c r="Q840" s="8"/>
      <c r="R840" s="8"/>
    </row>
    <row r="841" spans="1:18" ht="12.75" customHeight="1">
      <c r="A841" s="8"/>
      <c r="B841" s="8"/>
      <c r="C841" s="30"/>
      <c r="D841" s="8"/>
      <c r="E841" s="8"/>
      <c r="F841" s="8"/>
      <c r="G841" s="8"/>
      <c r="H841" s="8"/>
      <c r="I841" s="8"/>
      <c r="J841" s="8"/>
      <c r="K841" s="8"/>
      <c r="L841" s="8"/>
      <c r="M841" s="8"/>
      <c r="N841" s="8"/>
      <c r="O841" s="8"/>
      <c r="P841" s="8"/>
      <c r="Q841" s="8"/>
      <c r="R841" s="8"/>
    </row>
    <row r="842" spans="1:18" ht="12.75" customHeight="1">
      <c r="A842" s="8"/>
      <c r="B842" s="8"/>
      <c r="C842" s="30"/>
      <c r="D842" s="8"/>
      <c r="E842" s="8"/>
      <c r="F842" s="8"/>
      <c r="G842" s="8"/>
      <c r="H842" s="8"/>
      <c r="I842" s="8"/>
      <c r="J842" s="8"/>
      <c r="K842" s="8"/>
      <c r="L842" s="8"/>
      <c r="M842" s="8"/>
      <c r="N842" s="8"/>
      <c r="O842" s="8"/>
      <c r="P842" s="8"/>
      <c r="Q842" s="8"/>
      <c r="R842" s="8"/>
    </row>
    <row r="843" spans="1:18" ht="12.75" customHeight="1">
      <c r="A843" s="8"/>
      <c r="B843" s="8"/>
      <c r="C843" s="30"/>
      <c r="D843" s="8"/>
      <c r="E843" s="8"/>
      <c r="F843" s="8"/>
      <c r="G843" s="8"/>
      <c r="H843" s="8"/>
      <c r="I843" s="8"/>
      <c r="J843" s="8"/>
      <c r="K843" s="8"/>
      <c r="L843" s="8"/>
      <c r="M843" s="8"/>
      <c r="N843" s="8"/>
      <c r="O843" s="8"/>
      <c r="P843" s="8"/>
      <c r="Q843" s="8"/>
      <c r="R843" s="8"/>
    </row>
    <row r="844" spans="1:18" ht="12.75" customHeight="1">
      <c r="A844" s="8"/>
      <c r="B844" s="8"/>
      <c r="C844" s="30"/>
      <c r="D844" s="8"/>
      <c r="E844" s="8"/>
      <c r="F844" s="8"/>
      <c r="G844" s="8"/>
      <c r="H844" s="8"/>
      <c r="I844" s="8"/>
      <c r="J844" s="8"/>
      <c r="K844" s="8"/>
      <c r="L844" s="8"/>
      <c r="M844" s="8"/>
      <c r="N844" s="8"/>
      <c r="O844" s="8"/>
      <c r="P844" s="8"/>
      <c r="Q844" s="8"/>
      <c r="R844" s="8"/>
    </row>
    <row r="845" spans="1:18" ht="12.75" customHeight="1">
      <c r="A845" s="8"/>
      <c r="B845" s="8"/>
      <c r="C845" s="30"/>
      <c r="D845" s="8"/>
      <c r="E845" s="8"/>
      <c r="F845" s="8"/>
      <c r="G845" s="8"/>
      <c r="H845" s="8"/>
      <c r="I845" s="8"/>
      <c r="J845" s="8"/>
      <c r="K845" s="8"/>
      <c r="L845" s="8"/>
      <c r="M845" s="8"/>
      <c r="N845" s="8"/>
      <c r="O845" s="8"/>
      <c r="P845" s="8"/>
      <c r="Q845" s="8"/>
      <c r="R845" s="8"/>
    </row>
    <row r="846" spans="1:18" ht="12.75" customHeight="1">
      <c r="A846" s="8"/>
      <c r="B846" s="8"/>
      <c r="C846" s="30"/>
      <c r="D846" s="8"/>
      <c r="E846" s="8"/>
      <c r="F846" s="8"/>
      <c r="G846" s="8"/>
      <c r="H846" s="8"/>
      <c r="I846" s="8"/>
      <c r="J846" s="8"/>
      <c r="K846" s="8"/>
      <c r="L846" s="8"/>
      <c r="M846" s="8"/>
      <c r="N846" s="8"/>
      <c r="O846" s="8"/>
      <c r="P846" s="8"/>
      <c r="Q846" s="8"/>
      <c r="R846" s="8"/>
    </row>
    <row r="847" spans="1:18" ht="12.75" customHeight="1">
      <c r="A847" s="8"/>
      <c r="B847" s="8"/>
      <c r="C847" s="30"/>
      <c r="D847" s="8"/>
      <c r="E847" s="8"/>
      <c r="F847" s="8"/>
      <c r="G847" s="8"/>
      <c r="H847" s="8"/>
      <c r="I847" s="8"/>
      <c r="J847" s="8"/>
      <c r="K847" s="8"/>
      <c r="L847" s="8"/>
      <c r="M847" s="8"/>
      <c r="N847" s="8"/>
      <c r="O847" s="8"/>
      <c r="P847" s="8"/>
      <c r="Q847" s="8"/>
      <c r="R847" s="8"/>
    </row>
    <row r="848" spans="1:18" ht="12.75" customHeight="1">
      <c r="A848" s="8"/>
      <c r="B848" s="8"/>
      <c r="C848" s="30"/>
      <c r="D848" s="8"/>
      <c r="E848" s="8"/>
      <c r="F848" s="8"/>
      <c r="G848" s="8"/>
      <c r="H848" s="8"/>
      <c r="I848" s="8"/>
      <c r="J848" s="8"/>
      <c r="K848" s="8"/>
      <c r="L848" s="8"/>
      <c r="M848" s="8"/>
      <c r="N848" s="8"/>
      <c r="O848" s="8"/>
      <c r="P848" s="8"/>
      <c r="Q848" s="8"/>
      <c r="R848" s="8"/>
    </row>
    <row r="849" spans="1:18" ht="12.75" customHeight="1">
      <c r="A849" s="8"/>
      <c r="B849" s="8"/>
      <c r="C849" s="30"/>
      <c r="D849" s="8"/>
      <c r="E849" s="8"/>
      <c r="F849" s="8"/>
      <c r="G849" s="8"/>
      <c r="H849" s="8"/>
      <c r="I849" s="8"/>
      <c r="J849" s="8"/>
      <c r="K849" s="8"/>
      <c r="L849" s="8"/>
      <c r="M849" s="8"/>
      <c r="N849" s="8"/>
      <c r="O849" s="8"/>
      <c r="P849" s="8"/>
      <c r="Q849" s="8"/>
      <c r="R849" s="8"/>
    </row>
    <row r="850" spans="1:18" ht="12.75" customHeight="1">
      <c r="A850" s="8"/>
      <c r="B850" s="8"/>
      <c r="C850" s="30"/>
      <c r="D850" s="8"/>
      <c r="E850" s="8"/>
      <c r="F850" s="8"/>
      <c r="G850" s="8"/>
      <c r="H850" s="8"/>
      <c r="I850" s="8"/>
      <c r="J850" s="8"/>
      <c r="K850" s="8"/>
      <c r="L850" s="8"/>
      <c r="M850" s="8"/>
      <c r="N850" s="8"/>
      <c r="O850" s="8"/>
      <c r="P850" s="8"/>
      <c r="Q850" s="8"/>
      <c r="R850" s="8"/>
    </row>
    <row r="851" spans="1:18" ht="12.75" customHeight="1">
      <c r="A851" s="8"/>
      <c r="B851" s="8"/>
      <c r="C851" s="30"/>
      <c r="D851" s="8"/>
      <c r="E851" s="8"/>
      <c r="F851" s="8"/>
      <c r="G851" s="8"/>
      <c r="H851" s="8"/>
      <c r="I851" s="8"/>
      <c r="J851" s="8"/>
      <c r="K851" s="8"/>
      <c r="L851" s="8"/>
      <c r="M851" s="8"/>
      <c r="N851" s="8"/>
      <c r="O851" s="8"/>
      <c r="P851" s="8"/>
      <c r="Q851" s="8"/>
      <c r="R851" s="8"/>
    </row>
    <row r="852" spans="1:18" ht="12.75" customHeight="1">
      <c r="A852" s="8"/>
      <c r="B852" s="8"/>
      <c r="C852" s="30"/>
      <c r="D852" s="8"/>
      <c r="E852" s="8"/>
      <c r="F852" s="8"/>
      <c r="G852" s="8"/>
      <c r="H852" s="8"/>
      <c r="I852" s="8"/>
      <c r="J852" s="8"/>
      <c r="K852" s="8"/>
      <c r="L852" s="8"/>
      <c r="M852" s="8"/>
      <c r="N852" s="8"/>
      <c r="O852" s="8"/>
      <c r="P852" s="8"/>
      <c r="Q852" s="8"/>
      <c r="R852" s="8"/>
    </row>
    <row r="853" spans="1:18" ht="12.75" customHeight="1">
      <c r="A853" s="8"/>
      <c r="B853" s="8"/>
      <c r="C853" s="30"/>
      <c r="D853" s="8"/>
      <c r="E853" s="8"/>
      <c r="F853" s="8"/>
      <c r="G853" s="8"/>
      <c r="H853" s="8"/>
      <c r="I853" s="8"/>
      <c r="J853" s="8"/>
      <c r="K853" s="8"/>
      <c r="L853" s="8"/>
      <c r="M853" s="8"/>
      <c r="N853" s="8"/>
      <c r="O853" s="8"/>
      <c r="P853" s="8"/>
      <c r="Q853" s="8"/>
      <c r="R853" s="8"/>
    </row>
    <row r="854" spans="1:18" ht="12.75" customHeight="1">
      <c r="A854" s="8"/>
      <c r="B854" s="8"/>
      <c r="C854" s="30"/>
      <c r="D854" s="8"/>
      <c r="E854" s="8"/>
      <c r="F854" s="8"/>
      <c r="G854" s="8"/>
      <c r="H854" s="8"/>
      <c r="I854" s="8"/>
      <c r="J854" s="8"/>
      <c r="K854" s="8"/>
      <c r="L854" s="8"/>
      <c r="M854" s="8"/>
      <c r="N854" s="8"/>
      <c r="O854" s="8"/>
      <c r="P854" s="8"/>
      <c r="Q854" s="8"/>
      <c r="R854" s="8"/>
    </row>
    <row r="855" spans="1:18" ht="12.75" customHeight="1">
      <c r="A855" s="8"/>
      <c r="B855" s="8"/>
      <c r="C855" s="30"/>
      <c r="D855" s="8"/>
      <c r="E855" s="8"/>
      <c r="F855" s="8"/>
      <c r="G855" s="8"/>
      <c r="H855" s="8"/>
      <c r="I855" s="8"/>
      <c r="J855" s="8"/>
      <c r="K855" s="8"/>
      <c r="L855" s="8"/>
      <c r="M855" s="8"/>
      <c r="N855" s="8"/>
      <c r="O855" s="8"/>
      <c r="P855" s="8"/>
      <c r="Q855" s="8"/>
      <c r="R855" s="8"/>
    </row>
    <row r="856" spans="1:18" ht="12.75" customHeight="1">
      <c r="A856" s="8"/>
      <c r="B856" s="8"/>
      <c r="C856" s="30"/>
      <c r="D856" s="8"/>
      <c r="E856" s="8"/>
      <c r="F856" s="8"/>
      <c r="G856" s="8"/>
      <c r="H856" s="8"/>
      <c r="I856" s="8"/>
      <c r="J856" s="8"/>
      <c r="K856" s="8"/>
      <c r="L856" s="8"/>
      <c r="M856" s="8"/>
      <c r="N856" s="8"/>
      <c r="O856" s="8"/>
      <c r="P856" s="8"/>
      <c r="Q856" s="8"/>
      <c r="R856" s="8"/>
    </row>
    <row r="857" spans="1:18" ht="12.75" customHeight="1">
      <c r="A857" s="8"/>
      <c r="B857" s="8"/>
      <c r="C857" s="30"/>
      <c r="D857" s="8"/>
      <c r="E857" s="8"/>
      <c r="F857" s="8"/>
      <c r="G857" s="8"/>
      <c r="H857" s="8"/>
      <c r="I857" s="8"/>
      <c r="J857" s="8"/>
      <c r="K857" s="8"/>
      <c r="L857" s="8"/>
      <c r="M857" s="8"/>
      <c r="N857" s="8"/>
      <c r="O857" s="8"/>
      <c r="P857" s="8"/>
      <c r="Q857" s="8"/>
      <c r="R857" s="8"/>
    </row>
    <row r="858" spans="1:18" ht="12.75" customHeight="1">
      <c r="A858" s="8"/>
      <c r="B858" s="8"/>
      <c r="C858" s="30"/>
      <c r="D858" s="8"/>
      <c r="E858" s="8"/>
      <c r="F858" s="8"/>
      <c r="G858" s="8"/>
      <c r="H858" s="8"/>
      <c r="I858" s="8"/>
      <c r="J858" s="8"/>
      <c r="K858" s="8"/>
      <c r="L858" s="8"/>
      <c r="M858" s="8"/>
      <c r="N858" s="8"/>
      <c r="O858" s="8"/>
      <c r="P858" s="8"/>
      <c r="Q858" s="8"/>
      <c r="R858" s="8"/>
    </row>
    <row r="859" spans="1:18" ht="12.75" customHeight="1">
      <c r="A859" s="8"/>
      <c r="B859" s="8"/>
      <c r="C859" s="30"/>
      <c r="D859" s="8"/>
      <c r="E859" s="8"/>
      <c r="F859" s="8"/>
      <c r="G859" s="8"/>
      <c r="H859" s="8"/>
      <c r="I859" s="8"/>
      <c r="J859" s="8"/>
      <c r="K859" s="8"/>
      <c r="L859" s="8"/>
      <c r="M859" s="8"/>
      <c r="N859" s="8"/>
      <c r="O859" s="8"/>
      <c r="P859" s="8"/>
      <c r="Q859" s="8"/>
      <c r="R859" s="8"/>
    </row>
    <row r="860" spans="1:18" ht="12.75" customHeight="1">
      <c r="A860" s="8"/>
      <c r="B860" s="8"/>
      <c r="C860" s="30"/>
      <c r="D860" s="8"/>
      <c r="E860" s="8"/>
      <c r="F860" s="8"/>
      <c r="G860" s="8"/>
      <c r="H860" s="8"/>
      <c r="I860" s="8"/>
      <c r="J860" s="8"/>
      <c r="K860" s="8"/>
      <c r="L860" s="8"/>
      <c r="M860" s="8"/>
      <c r="N860" s="8"/>
      <c r="O860" s="8"/>
      <c r="P860" s="8"/>
      <c r="Q860" s="8"/>
      <c r="R860" s="8"/>
    </row>
    <row r="861" spans="1:18" ht="12.75" customHeight="1">
      <c r="A861" s="8"/>
      <c r="B861" s="8"/>
      <c r="C861" s="30"/>
      <c r="D861" s="8"/>
      <c r="E861" s="8"/>
      <c r="F861" s="8"/>
      <c r="G861" s="8"/>
      <c r="H861" s="8"/>
      <c r="I861" s="8"/>
      <c r="J861" s="8"/>
      <c r="K861" s="8"/>
      <c r="L861" s="8"/>
      <c r="M861" s="8"/>
      <c r="N861" s="8"/>
      <c r="O861" s="8"/>
      <c r="P861" s="8"/>
      <c r="Q861" s="8"/>
      <c r="R861" s="8"/>
    </row>
    <row r="862" spans="1:18" ht="12.75" customHeight="1">
      <c r="A862" s="8"/>
      <c r="B862" s="8"/>
      <c r="C862" s="30"/>
      <c r="D862" s="8"/>
      <c r="E862" s="8"/>
      <c r="F862" s="8"/>
      <c r="G862" s="8"/>
      <c r="H862" s="8"/>
      <c r="I862" s="8"/>
      <c r="J862" s="8"/>
      <c r="K862" s="8"/>
      <c r="L862" s="8"/>
      <c r="M862" s="8"/>
      <c r="N862" s="8"/>
      <c r="O862" s="8"/>
      <c r="P862" s="8"/>
      <c r="Q862" s="8"/>
      <c r="R862" s="8"/>
    </row>
    <row r="863" spans="1:18" ht="12.75" customHeight="1">
      <c r="A863" s="8"/>
      <c r="B863" s="8"/>
      <c r="C863" s="30"/>
      <c r="D863" s="8"/>
      <c r="E863" s="8"/>
      <c r="F863" s="8"/>
      <c r="G863" s="8"/>
      <c r="H863" s="8"/>
      <c r="I863" s="8"/>
      <c r="J863" s="8"/>
      <c r="K863" s="8"/>
      <c r="L863" s="8"/>
      <c r="M863" s="8"/>
      <c r="N863" s="8"/>
      <c r="O863" s="8"/>
      <c r="P863" s="8"/>
      <c r="Q863" s="8"/>
      <c r="R863" s="8"/>
    </row>
    <row r="864" spans="1:18" ht="12.75" customHeight="1">
      <c r="A864" s="8"/>
      <c r="B864" s="8"/>
      <c r="C864" s="30"/>
      <c r="D864" s="8"/>
      <c r="E864" s="8"/>
      <c r="F864" s="8"/>
      <c r="G864" s="8"/>
      <c r="H864" s="8"/>
      <c r="I864" s="8"/>
      <c r="J864" s="8"/>
      <c r="K864" s="8"/>
      <c r="L864" s="8"/>
      <c r="M864" s="8"/>
      <c r="N864" s="8"/>
      <c r="O864" s="8"/>
      <c r="P864" s="8"/>
      <c r="Q864" s="8"/>
      <c r="R864" s="8"/>
    </row>
    <row r="865" spans="1:18" ht="12.75" customHeight="1">
      <c r="A865" s="8"/>
      <c r="B865" s="8"/>
      <c r="C865" s="30"/>
      <c r="D865" s="8"/>
      <c r="E865" s="8"/>
      <c r="F865" s="8"/>
      <c r="G865" s="8"/>
      <c r="H865" s="8"/>
      <c r="I865" s="8"/>
      <c r="J865" s="8"/>
      <c r="K865" s="8"/>
      <c r="L865" s="8"/>
      <c r="M865" s="8"/>
      <c r="N865" s="8"/>
      <c r="O865" s="8"/>
      <c r="P865" s="8"/>
      <c r="Q865" s="8"/>
      <c r="R865" s="8"/>
    </row>
    <row r="866" spans="1:18" ht="12.75" customHeight="1">
      <c r="A866" s="8"/>
      <c r="B866" s="8"/>
      <c r="C866" s="30"/>
      <c r="D866" s="8"/>
      <c r="E866" s="8"/>
      <c r="F866" s="8"/>
      <c r="G866" s="8"/>
      <c r="H866" s="8"/>
      <c r="I866" s="8"/>
      <c r="J866" s="8"/>
      <c r="K866" s="8"/>
      <c r="L866" s="8"/>
      <c r="M866" s="8"/>
      <c r="N866" s="8"/>
      <c r="O866" s="8"/>
      <c r="P866" s="8"/>
      <c r="Q866" s="8"/>
      <c r="R866" s="8"/>
    </row>
    <row r="867" spans="1:18" ht="12.75" customHeight="1">
      <c r="A867" s="8"/>
      <c r="B867" s="8"/>
      <c r="C867" s="30"/>
      <c r="D867" s="8"/>
      <c r="E867" s="8"/>
      <c r="F867" s="8"/>
      <c r="G867" s="8"/>
      <c r="H867" s="8"/>
      <c r="I867" s="8"/>
      <c r="J867" s="8"/>
      <c r="K867" s="8"/>
      <c r="L867" s="8"/>
      <c r="M867" s="8"/>
      <c r="N867" s="8"/>
      <c r="O867" s="8"/>
      <c r="P867" s="8"/>
      <c r="Q867" s="8"/>
      <c r="R867" s="8"/>
    </row>
    <row r="868" spans="1:18" ht="12.75" customHeight="1">
      <c r="A868" s="8"/>
      <c r="B868" s="8"/>
      <c r="C868" s="30"/>
      <c r="D868" s="8"/>
      <c r="E868" s="8"/>
      <c r="F868" s="8"/>
      <c r="G868" s="8"/>
      <c r="H868" s="8"/>
      <c r="I868" s="8"/>
      <c r="J868" s="8"/>
      <c r="K868" s="8"/>
      <c r="L868" s="8"/>
      <c r="M868" s="8"/>
      <c r="N868" s="8"/>
      <c r="O868" s="8"/>
      <c r="P868" s="8"/>
      <c r="Q868" s="8"/>
      <c r="R868" s="8"/>
    </row>
    <row r="869" spans="1:18" ht="12.75" customHeight="1">
      <c r="A869" s="8"/>
      <c r="B869" s="8"/>
      <c r="C869" s="30"/>
      <c r="D869" s="8"/>
      <c r="E869" s="8"/>
      <c r="F869" s="8"/>
      <c r="G869" s="8"/>
      <c r="H869" s="8"/>
      <c r="I869" s="8"/>
      <c r="J869" s="8"/>
      <c r="K869" s="8"/>
      <c r="L869" s="8"/>
      <c r="M869" s="8"/>
      <c r="N869" s="8"/>
      <c r="O869" s="8"/>
      <c r="P869" s="8"/>
      <c r="Q869" s="8"/>
      <c r="R869" s="8"/>
    </row>
    <row r="870" spans="1:18" ht="12.75" customHeight="1">
      <c r="A870" s="8"/>
      <c r="B870" s="8"/>
      <c r="C870" s="30"/>
      <c r="D870" s="8"/>
      <c r="E870" s="8"/>
      <c r="F870" s="8"/>
      <c r="G870" s="8"/>
      <c r="H870" s="8"/>
      <c r="I870" s="8"/>
      <c r="J870" s="8"/>
      <c r="K870" s="8"/>
      <c r="L870" s="8"/>
      <c r="M870" s="8"/>
      <c r="N870" s="8"/>
      <c r="O870" s="8"/>
      <c r="P870" s="8"/>
      <c r="Q870" s="8"/>
      <c r="R870" s="8"/>
    </row>
    <row r="871" spans="1:18" ht="12.75" customHeight="1">
      <c r="A871" s="8"/>
      <c r="B871" s="8"/>
      <c r="C871" s="30"/>
      <c r="D871" s="8"/>
      <c r="E871" s="8"/>
      <c r="F871" s="8"/>
      <c r="G871" s="8"/>
      <c r="H871" s="8"/>
      <c r="I871" s="8"/>
      <c r="J871" s="8"/>
      <c r="K871" s="8"/>
      <c r="L871" s="8"/>
      <c r="M871" s="8"/>
      <c r="N871" s="8"/>
      <c r="O871" s="8"/>
      <c r="P871" s="8"/>
      <c r="Q871" s="8"/>
      <c r="R871" s="8"/>
    </row>
    <row r="872" spans="1:18" ht="12.75" customHeight="1">
      <c r="A872" s="8"/>
      <c r="B872" s="8"/>
      <c r="C872" s="30"/>
      <c r="D872" s="8"/>
      <c r="E872" s="8"/>
      <c r="F872" s="8"/>
      <c r="G872" s="8"/>
      <c r="H872" s="8"/>
      <c r="I872" s="8"/>
      <c r="J872" s="8"/>
      <c r="K872" s="8"/>
      <c r="L872" s="8"/>
      <c r="M872" s="8"/>
      <c r="N872" s="8"/>
      <c r="O872" s="8"/>
      <c r="P872" s="8"/>
      <c r="Q872" s="8"/>
      <c r="R872" s="8"/>
    </row>
    <row r="873" spans="1:18" ht="12.75" customHeight="1">
      <c r="A873" s="8"/>
      <c r="B873" s="8"/>
      <c r="C873" s="30"/>
      <c r="D873" s="8"/>
      <c r="E873" s="8"/>
      <c r="F873" s="8"/>
      <c r="G873" s="8"/>
      <c r="H873" s="8"/>
      <c r="I873" s="8"/>
      <c r="J873" s="8"/>
      <c r="K873" s="8"/>
      <c r="L873" s="8"/>
      <c r="M873" s="8"/>
      <c r="N873" s="8"/>
      <c r="O873" s="8"/>
      <c r="P873" s="8"/>
      <c r="Q873" s="8"/>
      <c r="R873" s="8"/>
    </row>
    <row r="874" spans="1:18" ht="12.75" customHeight="1">
      <c r="A874" s="8"/>
      <c r="B874" s="8"/>
      <c r="C874" s="30"/>
      <c r="D874" s="8"/>
      <c r="E874" s="8"/>
      <c r="F874" s="8"/>
      <c r="G874" s="8"/>
      <c r="H874" s="8"/>
      <c r="I874" s="8"/>
      <c r="J874" s="8"/>
      <c r="K874" s="8"/>
      <c r="L874" s="8"/>
      <c r="M874" s="8"/>
      <c r="N874" s="8"/>
      <c r="O874" s="8"/>
      <c r="P874" s="8"/>
      <c r="Q874" s="8"/>
      <c r="R874" s="8"/>
    </row>
    <row r="875" spans="1:18" ht="12.75" customHeight="1">
      <c r="A875" s="8"/>
      <c r="B875" s="8"/>
      <c r="C875" s="30"/>
      <c r="D875" s="8"/>
      <c r="E875" s="8"/>
      <c r="F875" s="8"/>
      <c r="G875" s="8"/>
      <c r="H875" s="8"/>
      <c r="I875" s="8"/>
      <c r="J875" s="8"/>
      <c r="K875" s="8"/>
      <c r="L875" s="8"/>
      <c r="M875" s="8"/>
      <c r="N875" s="8"/>
      <c r="O875" s="8"/>
      <c r="P875" s="8"/>
      <c r="Q875" s="8"/>
      <c r="R875" s="8"/>
    </row>
    <row r="876" spans="1:18" ht="12.75" customHeight="1">
      <c r="A876" s="8"/>
      <c r="B876" s="8"/>
      <c r="C876" s="30"/>
      <c r="D876" s="8"/>
      <c r="E876" s="8"/>
      <c r="F876" s="8"/>
      <c r="G876" s="8"/>
      <c r="H876" s="8"/>
      <c r="I876" s="8"/>
      <c r="J876" s="8"/>
      <c r="K876" s="8"/>
      <c r="L876" s="8"/>
      <c r="M876" s="8"/>
      <c r="N876" s="8"/>
      <c r="O876" s="8"/>
      <c r="P876" s="8"/>
      <c r="Q876" s="8"/>
      <c r="R876" s="8"/>
    </row>
    <row r="877" spans="1:18" ht="12.75" customHeight="1">
      <c r="A877" s="8"/>
      <c r="B877" s="8"/>
      <c r="C877" s="30"/>
      <c r="D877" s="8"/>
      <c r="E877" s="8"/>
      <c r="F877" s="8"/>
      <c r="G877" s="8"/>
      <c r="H877" s="8"/>
      <c r="I877" s="8"/>
      <c r="J877" s="8"/>
      <c r="K877" s="8"/>
      <c r="L877" s="8"/>
      <c r="M877" s="8"/>
      <c r="N877" s="8"/>
      <c r="O877" s="8"/>
      <c r="P877" s="8"/>
      <c r="Q877" s="8"/>
      <c r="R877" s="8"/>
    </row>
    <row r="878" spans="1:18" ht="12.75" customHeight="1">
      <c r="A878" s="8"/>
      <c r="B878" s="8"/>
      <c r="C878" s="30"/>
      <c r="D878" s="8"/>
      <c r="E878" s="8"/>
      <c r="F878" s="8"/>
      <c r="G878" s="8"/>
      <c r="H878" s="8"/>
      <c r="I878" s="8"/>
      <c r="J878" s="8"/>
      <c r="K878" s="8"/>
      <c r="L878" s="8"/>
      <c r="M878" s="8"/>
      <c r="N878" s="8"/>
      <c r="O878" s="8"/>
      <c r="P878" s="8"/>
      <c r="Q878" s="8"/>
      <c r="R878" s="8"/>
    </row>
    <row r="879" spans="1:18" ht="12.75" customHeight="1">
      <c r="A879" s="8"/>
      <c r="B879" s="8"/>
      <c r="C879" s="30"/>
      <c r="D879" s="8"/>
      <c r="E879" s="8"/>
      <c r="F879" s="8"/>
      <c r="G879" s="8"/>
      <c r="H879" s="8"/>
      <c r="I879" s="8"/>
      <c r="J879" s="8"/>
      <c r="K879" s="8"/>
      <c r="L879" s="8"/>
      <c r="M879" s="8"/>
      <c r="N879" s="8"/>
      <c r="O879" s="8"/>
      <c r="P879" s="8"/>
      <c r="Q879" s="8"/>
      <c r="R879" s="8"/>
    </row>
    <row r="880" spans="1:18" ht="12.75" customHeight="1">
      <c r="A880" s="8"/>
      <c r="B880" s="8"/>
      <c r="C880" s="30"/>
      <c r="D880" s="8"/>
      <c r="E880" s="8"/>
      <c r="F880" s="8"/>
      <c r="G880" s="8"/>
      <c r="H880" s="8"/>
      <c r="I880" s="8"/>
      <c r="J880" s="8"/>
      <c r="K880" s="8"/>
      <c r="L880" s="8"/>
      <c r="M880" s="8"/>
      <c r="N880" s="8"/>
      <c r="O880" s="8"/>
      <c r="P880" s="8"/>
      <c r="Q880" s="8"/>
      <c r="R880" s="8"/>
    </row>
    <row r="881" spans="1:18" ht="12.75" customHeight="1">
      <c r="A881" s="8"/>
      <c r="B881" s="8"/>
      <c r="C881" s="30"/>
      <c r="D881" s="8"/>
      <c r="E881" s="8"/>
      <c r="F881" s="8"/>
      <c r="G881" s="8"/>
      <c r="H881" s="8"/>
      <c r="I881" s="8"/>
      <c r="J881" s="8"/>
      <c r="K881" s="8"/>
      <c r="L881" s="8"/>
      <c r="M881" s="8"/>
      <c r="N881" s="8"/>
      <c r="O881" s="8"/>
      <c r="P881" s="8"/>
      <c r="Q881" s="8"/>
      <c r="R881" s="8"/>
    </row>
    <row r="882" spans="1:18" ht="12.75" customHeight="1">
      <c r="A882" s="8"/>
      <c r="B882" s="8"/>
      <c r="C882" s="30"/>
      <c r="D882" s="8"/>
      <c r="E882" s="8"/>
      <c r="F882" s="8"/>
      <c r="G882" s="8"/>
      <c r="H882" s="8"/>
      <c r="I882" s="8"/>
      <c r="J882" s="8"/>
      <c r="K882" s="8"/>
      <c r="L882" s="8"/>
      <c r="M882" s="8"/>
      <c r="N882" s="8"/>
      <c r="O882" s="8"/>
      <c r="P882" s="8"/>
      <c r="Q882" s="8"/>
      <c r="R882" s="8"/>
    </row>
    <row r="883" spans="1:18" ht="12.75" customHeight="1">
      <c r="A883" s="8"/>
      <c r="B883" s="8"/>
      <c r="C883" s="30"/>
      <c r="D883" s="8"/>
      <c r="E883" s="8"/>
      <c r="F883" s="8"/>
      <c r="G883" s="8"/>
      <c r="H883" s="8"/>
      <c r="I883" s="8"/>
      <c r="J883" s="8"/>
      <c r="K883" s="8"/>
      <c r="L883" s="8"/>
      <c r="M883" s="8"/>
      <c r="N883" s="8"/>
      <c r="O883" s="8"/>
      <c r="P883" s="8"/>
      <c r="Q883" s="8"/>
      <c r="R883" s="8"/>
    </row>
    <row r="884" spans="1:18" ht="12.75" customHeight="1">
      <c r="A884" s="8"/>
      <c r="B884" s="8"/>
      <c r="C884" s="30"/>
      <c r="D884" s="8"/>
      <c r="E884" s="8"/>
      <c r="F884" s="8"/>
      <c r="G884" s="8"/>
      <c r="H884" s="8"/>
      <c r="I884" s="8"/>
      <c r="J884" s="8"/>
      <c r="K884" s="8"/>
      <c r="L884" s="8"/>
      <c r="M884" s="8"/>
      <c r="N884" s="8"/>
      <c r="O884" s="8"/>
      <c r="P884" s="8"/>
      <c r="Q884" s="8"/>
      <c r="R884" s="8"/>
    </row>
    <row r="885" spans="1:18" ht="12.75" customHeight="1">
      <c r="A885" s="8"/>
      <c r="B885" s="8"/>
      <c r="C885" s="30"/>
      <c r="D885" s="8"/>
      <c r="E885" s="8"/>
      <c r="F885" s="8"/>
      <c r="G885" s="8"/>
      <c r="H885" s="8"/>
      <c r="I885" s="8"/>
      <c r="J885" s="8"/>
      <c r="K885" s="8"/>
      <c r="L885" s="8"/>
      <c r="M885" s="8"/>
      <c r="N885" s="8"/>
      <c r="O885" s="8"/>
      <c r="P885" s="8"/>
      <c r="Q885" s="8"/>
      <c r="R885" s="8"/>
    </row>
    <row r="886" spans="1:18" ht="12.75" customHeight="1">
      <c r="A886" s="8"/>
      <c r="B886" s="8"/>
      <c r="C886" s="30"/>
      <c r="D886" s="8"/>
      <c r="E886" s="8"/>
      <c r="F886" s="8"/>
      <c r="G886" s="8"/>
      <c r="H886" s="8"/>
      <c r="I886" s="8"/>
      <c r="J886" s="8"/>
      <c r="K886" s="8"/>
      <c r="L886" s="8"/>
      <c r="M886" s="8"/>
      <c r="N886" s="8"/>
      <c r="O886" s="8"/>
      <c r="P886" s="8"/>
      <c r="Q886" s="8"/>
      <c r="R886" s="8"/>
    </row>
    <row r="887" spans="1:18" ht="12.75" customHeight="1">
      <c r="A887" s="8"/>
      <c r="B887" s="8"/>
      <c r="C887" s="30"/>
      <c r="D887" s="8"/>
      <c r="E887" s="8"/>
      <c r="F887" s="8"/>
      <c r="G887" s="8"/>
      <c r="H887" s="8"/>
      <c r="I887" s="8"/>
      <c r="J887" s="8"/>
      <c r="K887" s="8"/>
      <c r="L887" s="8"/>
      <c r="M887" s="8"/>
      <c r="N887" s="8"/>
      <c r="O887" s="8"/>
      <c r="P887" s="8"/>
      <c r="Q887" s="8"/>
      <c r="R887" s="8"/>
    </row>
    <row r="888" spans="1:18" ht="12.75" customHeight="1">
      <c r="A888" s="8"/>
      <c r="B888" s="8"/>
      <c r="C888" s="30"/>
      <c r="D888" s="8"/>
      <c r="E888" s="8"/>
      <c r="F888" s="8"/>
      <c r="G888" s="8"/>
      <c r="H888" s="8"/>
      <c r="I888" s="8"/>
      <c r="J888" s="8"/>
      <c r="K888" s="8"/>
      <c r="L888" s="8"/>
      <c r="M888" s="8"/>
      <c r="N888" s="8"/>
      <c r="O888" s="8"/>
      <c r="P888" s="8"/>
      <c r="Q888" s="8"/>
      <c r="R888" s="8"/>
    </row>
    <row r="889" spans="1:18" ht="12.75" customHeight="1">
      <c r="A889" s="8"/>
      <c r="B889" s="8"/>
      <c r="C889" s="30"/>
      <c r="D889" s="8"/>
      <c r="E889" s="8"/>
      <c r="F889" s="8"/>
      <c r="G889" s="8"/>
      <c r="H889" s="8"/>
      <c r="I889" s="8"/>
      <c r="J889" s="8"/>
      <c r="K889" s="8"/>
      <c r="L889" s="8"/>
      <c r="M889" s="8"/>
      <c r="N889" s="8"/>
      <c r="O889" s="8"/>
      <c r="P889" s="8"/>
      <c r="Q889" s="8"/>
      <c r="R889" s="8"/>
    </row>
    <row r="890" spans="1:18" ht="12.75" customHeight="1">
      <c r="A890" s="8"/>
      <c r="B890" s="8"/>
      <c r="C890" s="30"/>
      <c r="D890" s="8"/>
      <c r="E890" s="8"/>
      <c r="F890" s="8"/>
      <c r="G890" s="8"/>
      <c r="H890" s="8"/>
      <c r="I890" s="8"/>
      <c r="J890" s="8"/>
      <c r="K890" s="8"/>
      <c r="L890" s="8"/>
      <c r="M890" s="8"/>
      <c r="N890" s="8"/>
      <c r="O890" s="8"/>
      <c r="P890" s="8"/>
      <c r="Q890" s="8"/>
      <c r="R890" s="8"/>
    </row>
    <row r="891" spans="1:18" ht="12.75" customHeight="1">
      <c r="A891" s="8"/>
      <c r="B891" s="8"/>
      <c r="C891" s="30"/>
      <c r="D891" s="8"/>
      <c r="E891" s="8"/>
      <c r="F891" s="8"/>
      <c r="G891" s="8"/>
      <c r="H891" s="8"/>
      <c r="I891" s="8"/>
      <c r="J891" s="8"/>
      <c r="K891" s="8"/>
      <c r="L891" s="8"/>
      <c r="M891" s="8"/>
      <c r="N891" s="8"/>
      <c r="O891" s="8"/>
      <c r="P891" s="8"/>
      <c r="Q891" s="8"/>
      <c r="R891" s="8"/>
    </row>
    <row r="892" spans="1:18" ht="12.75" customHeight="1">
      <c r="A892" s="8"/>
      <c r="B892" s="8"/>
      <c r="C892" s="30"/>
      <c r="D892" s="8"/>
      <c r="E892" s="8"/>
      <c r="F892" s="8"/>
      <c r="G892" s="8"/>
      <c r="H892" s="8"/>
      <c r="I892" s="8"/>
      <c r="J892" s="8"/>
      <c r="K892" s="8"/>
      <c r="L892" s="8"/>
      <c r="M892" s="8"/>
      <c r="N892" s="8"/>
      <c r="O892" s="8"/>
      <c r="P892" s="8"/>
      <c r="Q892" s="8"/>
      <c r="R892" s="8"/>
    </row>
    <row r="893" spans="1:18" ht="12.75" customHeight="1">
      <c r="A893" s="8"/>
      <c r="B893" s="8"/>
      <c r="C893" s="30"/>
      <c r="D893" s="8"/>
      <c r="E893" s="8"/>
      <c r="F893" s="8"/>
      <c r="G893" s="8"/>
      <c r="H893" s="8"/>
      <c r="I893" s="8"/>
      <c r="J893" s="8"/>
      <c r="K893" s="8"/>
      <c r="L893" s="8"/>
      <c r="M893" s="8"/>
      <c r="N893" s="8"/>
      <c r="O893" s="8"/>
      <c r="P893" s="8"/>
      <c r="Q893" s="8"/>
      <c r="R893" s="8"/>
    </row>
    <row r="894" spans="1:18" ht="12.75" customHeight="1">
      <c r="A894" s="8"/>
      <c r="B894" s="8"/>
      <c r="C894" s="30"/>
      <c r="D894" s="8"/>
      <c r="E894" s="8"/>
      <c r="F894" s="8"/>
      <c r="G894" s="8"/>
      <c r="H894" s="8"/>
      <c r="I894" s="8"/>
      <c r="J894" s="8"/>
      <c r="K894" s="8"/>
      <c r="L894" s="8"/>
      <c r="M894" s="8"/>
      <c r="N894" s="8"/>
      <c r="O894" s="8"/>
      <c r="P894" s="8"/>
      <c r="Q894" s="8"/>
      <c r="R894" s="8"/>
    </row>
    <row r="895" spans="1:18" ht="12.75" customHeight="1">
      <c r="A895" s="8"/>
      <c r="B895" s="8"/>
      <c r="C895" s="30"/>
      <c r="D895" s="8"/>
      <c r="E895" s="8"/>
      <c r="F895" s="8"/>
      <c r="G895" s="8"/>
      <c r="H895" s="8"/>
      <c r="I895" s="8"/>
      <c r="J895" s="8"/>
      <c r="K895" s="8"/>
      <c r="L895" s="8"/>
      <c r="M895" s="8"/>
      <c r="N895" s="8"/>
      <c r="O895" s="8"/>
      <c r="P895" s="8"/>
      <c r="Q895" s="8"/>
      <c r="R895" s="8"/>
    </row>
    <row r="896" spans="1:18" ht="12.75" customHeight="1">
      <c r="A896" s="8"/>
      <c r="B896" s="8"/>
      <c r="C896" s="30"/>
      <c r="D896" s="8"/>
      <c r="E896" s="8"/>
      <c r="F896" s="8"/>
      <c r="G896" s="8"/>
      <c r="H896" s="8"/>
      <c r="I896" s="8"/>
      <c r="J896" s="8"/>
      <c r="K896" s="8"/>
      <c r="L896" s="8"/>
      <c r="M896" s="8"/>
      <c r="N896" s="8"/>
      <c r="O896" s="8"/>
      <c r="P896" s="8"/>
      <c r="Q896" s="8"/>
      <c r="R896" s="8"/>
    </row>
    <row r="897" spans="1:18" ht="12.75" customHeight="1">
      <c r="A897" s="8"/>
      <c r="B897" s="8"/>
      <c r="C897" s="30"/>
      <c r="D897" s="8"/>
      <c r="E897" s="8"/>
      <c r="F897" s="8"/>
      <c r="G897" s="8"/>
      <c r="H897" s="8"/>
      <c r="I897" s="8"/>
      <c r="J897" s="8"/>
      <c r="K897" s="8"/>
      <c r="L897" s="8"/>
      <c r="M897" s="8"/>
      <c r="N897" s="8"/>
      <c r="O897" s="8"/>
      <c r="P897" s="8"/>
      <c r="Q897" s="8"/>
      <c r="R897" s="8"/>
    </row>
    <row r="898" spans="1:18" ht="12.75" customHeight="1">
      <c r="A898" s="8"/>
      <c r="B898" s="8"/>
      <c r="C898" s="30"/>
      <c r="D898" s="8"/>
      <c r="E898" s="8"/>
      <c r="F898" s="8"/>
      <c r="G898" s="8"/>
      <c r="H898" s="8"/>
      <c r="I898" s="8"/>
      <c r="J898" s="8"/>
      <c r="K898" s="8"/>
      <c r="L898" s="8"/>
      <c r="M898" s="8"/>
      <c r="N898" s="8"/>
      <c r="O898" s="8"/>
      <c r="P898" s="8"/>
      <c r="Q898" s="8"/>
      <c r="R898" s="8"/>
    </row>
    <row r="899" spans="1:18" ht="12.75" customHeight="1">
      <c r="A899" s="8"/>
      <c r="B899" s="8"/>
      <c r="C899" s="30"/>
      <c r="D899" s="8"/>
      <c r="E899" s="8"/>
      <c r="F899" s="8"/>
      <c r="G899" s="8"/>
      <c r="H899" s="8"/>
      <c r="I899" s="8"/>
      <c r="J899" s="8"/>
      <c r="K899" s="8"/>
      <c r="L899" s="8"/>
      <c r="M899" s="8"/>
      <c r="N899" s="8"/>
      <c r="O899" s="8"/>
      <c r="P899" s="8"/>
      <c r="Q899" s="8"/>
      <c r="R899" s="8"/>
    </row>
    <row r="900" spans="1:18" ht="12.75" customHeight="1">
      <c r="A900" s="8"/>
      <c r="B900" s="8"/>
      <c r="C900" s="30"/>
      <c r="D900" s="8"/>
      <c r="E900" s="8"/>
      <c r="F900" s="8"/>
      <c r="G900" s="8"/>
      <c r="H900" s="8"/>
      <c r="I900" s="8"/>
      <c r="J900" s="8"/>
      <c r="K900" s="8"/>
      <c r="L900" s="8"/>
      <c r="M900" s="8"/>
      <c r="N900" s="8"/>
      <c r="O900" s="8"/>
      <c r="P900" s="8"/>
      <c r="Q900" s="8"/>
      <c r="R900" s="8"/>
    </row>
    <row r="901" spans="1:18" ht="12.75" customHeight="1">
      <c r="A901" s="8"/>
      <c r="B901" s="8"/>
      <c r="C901" s="30"/>
      <c r="D901" s="8"/>
      <c r="E901" s="8"/>
      <c r="F901" s="8"/>
      <c r="G901" s="8"/>
      <c r="H901" s="8"/>
      <c r="I901" s="8"/>
      <c r="J901" s="8"/>
      <c r="K901" s="8"/>
      <c r="L901" s="8"/>
      <c r="M901" s="8"/>
      <c r="N901" s="8"/>
      <c r="O901" s="8"/>
      <c r="P901" s="8"/>
      <c r="Q901" s="8"/>
      <c r="R901" s="8"/>
    </row>
    <row r="902" spans="1:18" ht="12.75" customHeight="1">
      <c r="A902" s="8"/>
      <c r="B902" s="8"/>
      <c r="C902" s="30"/>
      <c r="D902" s="8"/>
      <c r="E902" s="8"/>
      <c r="F902" s="8"/>
      <c r="G902" s="8"/>
      <c r="H902" s="8"/>
      <c r="I902" s="8"/>
      <c r="J902" s="8"/>
      <c r="K902" s="8"/>
      <c r="L902" s="8"/>
      <c r="M902" s="8"/>
      <c r="N902" s="8"/>
      <c r="O902" s="8"/>
      <c r="P902" s="8"/>
      <c r="Q902" s="8"/>
      <c r="R902" s="8"/>
    </row>
    <row r="903" spans="1:18" ht="12.75" customHeight="1">
      <c r="A903" s="8"/>
      <c r="B903" s="8"/>
      <c r="C903" s="30"/>
      <c r="D903" s="8"/>
      <c r="E903" s="8"/>
      <c r="F903" s="8"/>
      <c r="G903" s="8"/>
      <c r="H903" s="8"/>
      <c r="I903" s="8"/>
      <c r="J903" s="8"/>
      <c r="K903" s="8"/>
      <c r="L903" s="8"/>
      <c r="M903" s="8"/>
      <c r="N903" s="8"/>
      <c r="O903" s="8"/>
      <c r="P903" s="8"/>
      <c r="Q903" s="8"/>
      <c r="R903" s="8"/>
    </row>
    <row r="904" spans="1:18" ht="12.75" customHeight="1">
      <c r="A904" s="8"/>
      <c r="B904" s="8"/>
      <c r="C904" s="30"/>
      <c r="D904" s="8"/>
      <c r="E904" s="8"/>
      <c r="F904" s="8"/>
      <c r="G904" s="8"/>
      <c r="H904" s="8"/>
      <c r="I904" s="8"/>
      <c r="J904" s="8"/>
      <c r="K904" s="8"/>
      <c r="L904" s="8"/>
      <c r="M904" s="8"/>
      <c r="N904" s="8"/>
      <c r="O904" s="8"/>
      <c r="P904" s="8"/>
      <c r="Q904" s="8"/>
      <c r="R904" s="8"/>
    </row>
    <row r="905" spans="1:18" ht="12.75" customHeight="1">
      <c r="A905" s="8"/>
      <c r="B905" s="8"/>
      <c r="C905" s="30"/>
      <c r="D905" s="8"/>
      <c r="E905" s="8"/>
      <c r="F905" s="8"/>
      <c r="G905" s="8"/>
      <c r="H905" s="8"/>
      <c r="I905" s="8"/>
      <c r="J905" s="8"/>
      <c r="K905" s="8"/>
      <c r="L905" s="8"/>
      <c r="M905" s="8"/>
      <c r="N905" s="8"/>
      <c r="O905" s="8"/>
      <c r="P905" s="8"/>
      <c r="Q905" s="8"/>
      <c r="R905" s="8"/>
    </row>
    <row r="906" spans="1:18" ht="12.75" customHeight="1">
      <c r="A906" s="8"/>
      <c r="B906" s="8"/>
      <c r="C906" s="30"/>
      <c r="D906" s="8"/>
      <c r="E906" s="8"/>
      <c r="F906" s="8"/>
      <c r="G906" s="8"/>
      <c r="H906" s="8"/>
      <c r="I906" s="8"/>
      <c r="J906" s="8"/>
      <c r="K906" s="8"/>
      <c r="L906" s="8"/>
      <c r="M906" s="8"/>
      <c r="N906" s="8"/>
      <c r="O906" s="8"/>
      <c r="P906" s="8"/>
      <c r="Q906" s="8"/>
      <c r="R906" s="8"/>
    </row>
    <row r="907" spans="1:18" ht="12.75" customHeight="1">
      <c r="A907" s="8"/>
      <c r="B907" s="8"/>
      <c r="C907" s="30"/>
      <c r="D907" s="8"/>
      <c r="E907" s="8"/>
      <c r="F907" s="8"/>
      <c r="G907" s="8"/>
      <c r="H907" s="8"/>
      <c r="I907" s="8"/>
      <c r="J907" s="8"/>
      <c r="K907" s="8"/>
      <c r="L907" s="8"/>
      <c r="M907" s="8"/>
      <c r="N907" s="8"/>
      <c r="O907" s="8"/>
      <c r="P907" s="8"/>
      <c r="Q907" s="8"/>
      <c r="R907" s="8"/>
    </row>
    <row r="908" spans="1:18" ht="12.75" customHeight="1">
      <c r="A908" s="8"/>
      <c r="B908" s="8"/>
      <c r="C908" s="30"/>
      <c r="D908" s="8"/>
      <c r="E908" s="8"/>
      <c r="F908" s="8"/>
      <c r="G908" s="8"/>
      <c r="H908" s="8"/>
      <c r="I908" s="8"/>
      <c r="J908" s="8"/>
      <c r="K908" s="8"/>
      <c r="L908" s="8"/>
      <c r="M908" s="8"/>
      <c r="N908" s="8"/>
      <c r="O908" s="8"/>
      <c r="P908" s="8"/>
      <c r="Q908" s="8"/>
      <c r="R908" s="8"/>
    </row>
    <row r="909" spans="1:18" ht="12.75" customHeight="1">
      <c r="A909" s="8"/>
      <c r="B909" s="8"/>
      <c r="C909" s="30"/>
      <c r="D909" s="8"/>
      <c r="E909" s="8"/>
      <c r="F909" s="8"/>
      <c r="G909" s="8"/>
      <c r="H909" s="8"/>
      <c r="I909" s="8"/>
      <c r="J909" s="8"/>
      <c r="K909" s="8"/>
      <c r="L909" s="8"/>
      <c r="M909" s="8"/>
      <c r="N909" s="8"/>
      <c r="O909" s="8"/>
      <c r="P909" s="8"/>
      <c r="Q909" s="8"/>
      <c r="R909" s="8"/>
    </row>
    <row r="910" spans="1:18" ht="12.75" customHeight="1">
      <c r="A910" s="8"/>
      <c r="B910" s="8"/>
      <c r="C910" s="30"/>
      <c r="D910" s="8"/>
      <c r="E910" s="8"/>
      <c r="F910" s="8"/>
      <c r="G910" s="8"/>
      <c r="H910" s="8"/>
      <c r="I910" s="8"/>
      <c r="J910" s="8"/>
      <c r="K910" s="8"/>
      <c r="L910" s="8"/>
      <c r="M910" s="8"/>
      <c r="N910" s="8"/>
      <c r="O910" s="8"/>
      <c r="P910" s="8"/>
      <c r="Q910" s="8"/>
      <c r="R910" s="8"/>
    </row>
    <row r="911" spans="1:18" ht="12.75" customHeight="1">
      <c r="A911" s="8"/>
      <c r="B911" s="8"/>
      <c r="C911" s="30"/>
      <c r="D911" s="8"/>
      <c r="E911" s="8"/>
      <c r="F911" s="8"/>
      <c r="G911" s="8"/>
      <c r="H911" s="8"/>
      <c r="I911" s="8"/>
      <c r="J911" s="8"/>
      <c r="K911" s="8"/>
      <c r="L911" s="8"/>
      <c r="M911" s="8"/>
      <c r="N911" s="8"/>
      <c r="O911" s="8"/>
      <c r="P911" s="8"/>
      <c r="Q911" s="8"/>
      <c r="R911" s="8"/>
    </row>
    <row r="912" spans="1:18" ht="12.75" customHeight="1">
      <c r="A912" s="8"/>
      <c r="B912" s="8"/>
      <c r="C912" s="30"/>
      <c r="D912" s="8"/>
      <c r="E912" s="8"/>
      <c r="F912" s="8"/>
      <c r="G912" s="8"/>
      <c r="H912" s="8"/>
      <c r="I912" s="8"/>
      <c r="J912" s="8"/>
      <c r="K912" s="8"/>
      <c r="L912" s="8"/>
      <c r="M912" s="8"/>
      <c r="N912" s="8"/>
      <c r="O912" s="8"/>
      <c r="P912" s="8"/>
      <c r="Q912" s="8"/>
      <c r="R912" s="8"/>
    </row>
    <row r="913" spans="1:18" ht="12.75" customHeight="1">
      <c r="A913" s="8"/>
      <c r="B913" s="8"/>
      <c r="C913" s="30"/>
      <c r="D913" s="8"/>
      <c r="E913" s="8"/>
      <c r="F913" s="8"/>
      <c r="G913" s="8"/>
      <c r="H913" s="8"/>
      <c r="I913" s="8"/>
      <c r="J913" s="8"/>
      <c r="K913" s="8"/>
      <c r="L913" s="8"/>
      <c r="M913" s="8"/>
      <c r="N913" s="8"/>
      <c r="O913" s="8"/>
      <c r="P913" s="8"/>
      <c r="Q913" s="8"/>
      <c r="R913" s="8"/>
    </row>
    <row r="914" spans="1:18" ht="12.75" customHeight="1">
      <c r="A914" s="8"/>
      <c r="B914" s="8"/>
      <c r="C914" s="30"/>
      <c r="D914" s="8"/>
      <c r="E914" s="8"/>
      <c r="F914" s="8"/>
      <c r="G914" s="8"/>
      <c r="H914" s="8"/>
      <c r="I914" s="8"/>
      <c r="J914" s="8"/>
      <c r="K914" s="8"/>
      <c r="L914" s="8"/>
      <c r="M914" s="8"/>
      <c r="N914" s="8"/>
      <c r="O914" s="8"/>
      <c r="P914" s="8"/>
      <c r="Q914" s="8"/>
      <c r="R914" s="8"/>
    </row>
    <row r="915" spans="1:18" ht="12.75" customHeight="1">
      <c r="A915" s="8"/>
      <c r="B915" s="8"/>
      <c r="C915" s="30"/>
      <c r="D915" s="8"/>
      <c r="E915" s="8"/>
      <c r="F915" s="8"/>
      <c r="G915" s="8"/>
      <c r="H915" s="8"/>
      <c r="I915" s="8"/>
      <c r="J915" s="8"/>
      <c r="K915" s="8"/>
      <c r="L915" s="8"/>
      <c r="M915" s="8"/>
      <c r="N915" s="8"/>
      <c r="O915" s="8"/>
      <c r="P915" s="8"/>
      <c r="Q915" s="8"/>
      <c r="R915" s="8"/>
    </row>
    <row r="916" spans="1:18" ht="12.75" customHeight="1">
      <c r="A916" s="8"/>
      <c r="B916" s="8"/>
      <c r="C916" s="30"/>
      <c r="D916" s="8"/>
      <c r="E916" s="8"/>
      <c r="F916" s="8"/>
      <c r="G916" s="8"/>
      <c r="H916" s="8"/>
      <c r="I916" s="8"/>
      <c r="J916" s="8"/>
      <c r="K916" s="8"/>
      <c r="L916" s="8"/>
      <c r="M916" s="8"/>
      <c r="N916" s="8"/>
      <c r="O916" s="8"/>
      <c r="P916" s="8"/>
      <c r="Q916" s="8"/>
      <c r="R916" s="8"/>
    </row>
    <row r="917" spans="1:18" ht="12.75" customHeight="1">
      <c r="A917" s="8"/>
      <c r="B917" s="8"/>
      <c r="C917" s="30"/>
      <c r="D917" s="8"/>
      <c r="E917" s="8"/>
      <c r="F917" s="8"/>
      <c r="G917" s="8"/>
      <c r="H917" s="8"/>
      <c r="I917" s="8"/>
      <c r="J917" s="8"/>
      <c r="K917" s="8"/>
      <c r="L917" s="8"/>
      <c r="M917" s="8"/>
      <c r="N917" s="8"/>
      <c r="O917" s="8"/>
      <c r="P917" s="8"/>
      <c r="Q917" s="8"/>
      <c r="R917" s="8"/>
    </row>
    <row r="918" spans="1:18" ht="12.75" customHeight="1">
      <c r="A918" s="8"/>
      <c r="B918" s="8"/>
      <c r="C918" s="30"/>
      <c r="D918" s="8"/>
      <c r="E918" s="8"/>
      <c r="F918" s="8"/>
      <c r="G918" s="8"/>
      <c r="H918" s="8"/>
      <c r="I918" s="8"/>
      <c r="J918" s="8"/>
      <c r="K918" s="8"/>
      <c r="L918" s="8"/>
      <c r="M918" s="8"/>
      <c r="N918" s="8"/>
      <c r="O918" s="8"/>
      <c r="P918" s="8"/>
      <c r="Q918" s="8"/>
      <c r="R918" s="8"/>
    </row>
    <row r="919" spans="1:18" ht="12.75" customHeight="1">
      <c r="A919" s="8"/>
      <c r="B919" s="8"/>
      <c r="C919" s="30"/>
      <c r="D919" s="8"/>
      <c r="E919" s="8"/>
      <c r="F919" s="8"/>
      <c r="G919" s="8"/>
      <c r="H919" s="8"/>
      <c r="I919" s="8"/>
      <c r="J919" s="8"/>
      <c r="K919" s="8"/>
      <c r="L919" s="8"/>
      <c r="M919" s="8"/>
      <c r="N919" s="8"/>
      <c r="O919" s="8"/>
      <c r="P919" s="8"/>
      <c r="Q919" s="8"/>
      <c r="R919" s="8"/>
    </row>
    <row r="920" spans="1:18" ht="12.75" customHeight="1">
      <c r="A920" s="8"/>
      <c r="B920" s="8"/>
      <c r="C920" s="30"/>
      <c r="D920" s="8"/>
      <c r="E920" s="8"/>
      <c r="F920" s="8"/>
      <c r="G920" s="8"/>
      <c r="H920" s="8"/>
      <c r="I920" s="8"/>
      <c r="J920" s="8"/>
      <c r="K920" s="8"/>
      <c r="L920" s="8"/>
      <c r="M920" s="8"/>
      <c r="N920" s="8"/>
      <c r="O920" s="8"/>
      <c r="P920" s="8"/>
      <c r="Q920" s="8"/>
      <c r="R920" s="8"/>
    </row>
    <row r="921" spans="1:18" ht="12.75" customHeight="1">
      <c r="A921" s="8"/>
      <c r="B921" s="8"/>
      <c r="C921" s="30"/>
      <c r="D921" s="8"/>
      <c r="E921" s="8"/>
      <c r="F921" s="8"/>
      <c r="G921" s="8"/>
      <c r="H921" s="8"/>
      <c r="I921" s="8"/>
      <c r="J921" s="8"/>
      <c r="K921" s="8"/>
      <c r="L921" s="8"/>
      <c r="M921" s="8"/>
      <c r="N921" s="8"/>
      <c r="O921" s="8"/>
      <c r="P921" s="8"/>
      <c r="Q921" s="8"/>
      <c r="R921" s="8"/>
    </row>
    <row r="922" spans="1:18" ht="12.75" customHeight="1">
      <c r="A922" s="8"/>
      <c r="B922" s="8"/>
      <c r="C922" s="30"/>
      <c r="D922" s="8"/>
      <c r="E922" s="8"/>
      <c r="F922" s="8"/>
      <c r="G922" s="8"/>
      <c r="H922" s="8"/>
      <c r="I922" s="8"/>
      <c r="J922" s="8"/>
      <c r="K922" s="8"/>
      <c r="L922" s="8"/>
      <c r="M922" s="8"/>
      <c r="N922" s="8"/>
      <c r="O922" s="8"/>
      <c r="P922" s="8"/>
      <c r="Q922" s="8"/>
      <c r="R922" s="8"/>
    </row>
    <row r="923" spans="1:18" ht="12.75" customHeight="1">
      <c r="A923" s="8"/>
      <c r="B923" s="8"/>
      <c r="C923" s="30"/>
      <c r="D923" s="8"/>
      <c r="E923" s="8"/>
      <c r="F923" s="8"/>
      <c r="G923" s="8"/>
      <c r="H923" s="8"/>
      <c r="I923" s="8"/>
      <c r="J923" s="8"/>
      <c r="K923" s="8"/>
      <c r="L923" s="8"/>
      <c r="M923" s="8"/>
      <c r="N923" s="8"/>
      <c r="O923" s="8"/>
      <c r="P923" s="8"/>
      <c r="Q923" s="8"/>
      <c r="R923" s="8"/>
    </row>
    <row r="924" spans="1:18" ht="12.75" customHeight="1">
      <c r="A924" s="8"/>
      <c r="B924" s="8"/>
      <c r="C924" s="30"/>
      <c r="D924" s="8"/>
      <c r="E924" s="8"/>
      <c r="F924" s="8"/>
      <c r="G924" s="8"/>
      <c r="H924" s="8"/>
      <c r="I924" s="8"/>
      <c r="J924" s="8"/>
      <c r="K924" s="8"/>
      <c r="L924" s="8"/>
      <c r="M924" s="8"/>
      <c r="N924" s="8"/>
      <c r="O924" s="8"/>
      <c r="P924" s="8"/>
      <c r="Q924" s="8"/>
      <c r="R924" s="8"/>
    </row>
    <row r="925" spans="1:18" ht="12.75" customHeight="1">
      <c r="A925" s="8"/>
      <c r="B925" s="8"/>
      <c r="C925" s="30"/>
      <c r="D925" s="8"/>
      <c r="E925" s="8"/>
      <c r="F925" s="8"/>
      <c r="G925" s="8"/>
      <c r="H925" s="8"/>
      <c r="I925" s="8"/>
      <c r="J925" s="8"/>
      <c r="K925" s="8"/>
      <c r="L925" s="8"/>
      <c r="M925" s="8"/>
      <c r="N925" s="8"/>
      <c r="O925" s="8"/>
      <c r="P925" s="8"/>
      <c r="Q925" s="8"/>
      <c r="R925" s="8"/>
    </row>
    <row r="926" spans="1:18" ht="12.75" customHeight="1">
      <c r="A926" s="8"/>
      <c r="B926" s="8"/>
      <c r="C926" s="30"/>
      <c r="D926" s="8"/>
      <c r="E926" s="8"/>
      <c r="F926" s="8"/>
      <c r="G926" s="8"/>
      <c r="H926" s="8"/>
      <c r="I926" s="8"/>
      <c r="J926" s="8"/>
      <c r="K926" s="8"/>
      <c r="L926" s="8"/>
      <c r="M926" s="8"/>
      <c r="N926" s="8"/>
      <c r="O926" s="8"/>
      <c r="P926" s="8"/>
      <c r="Q926" s="8"/>
      <c r="R926" s="8"/>
    </row>
    <row r="927" spans="1:18" ht="12.75" customHeight="1">
      <c r="A927" s="8"/>
      <c r="B927" s="8"/>
      <c r="C927" s="30"/>
      <c r="D927" s="8"/>
      <c r="E927" s="8"/>
      <c r="F927" s="8"/>
      <c r="G927" s="8"/>
      <c r="H927" s="8"/>
      <c r="I927" s="8"/>
      <c r="J927" s="8"/>
      <c r="K927" s="8"/>
      <c r="L927" s="8"/>
      <c r="M927" s="8"/>
      <c r="N927" s="8"/>
      <c r="O927" s="8"/>
      <c r="P927" s="8"/>
      <c r="Q927" s="8"/>
      <c r="R927" s="8"/>
    </row>
    <row r="928" spans="1:18" ht="12.75" customHeight="1">
      <c r="A928" s="8"/>
      <c r="B928" s="8"/>
      <c r="C928" s="30"/>
      <c r="D928" s="8"/>
      <c r="E928" s="8"/>
      <c r="F928" s="8"/>
      <c r="G928" s="8"/>
      <c r="H928" s="8"/>
      <c r="I928" s="8"/>
      <c r="J928" s="8"/>
      <c r="K928" s="8"/>
      <c r="L928" s="8"/>
      <c r="M928" s="8"/>
      <c r="N928" s="8"/>
      <c r="O928" s="8"/>
      <c r="P928" s="8"/>
      <c r="Q928" s="8"/>
      <c r="R928" s="8"/>
    </row>
    <row r="929" spans="1:18" ht="12.75" customHeight="1">
      <c r="A929" s="8"/>
      <c r="B929" s="8"/>
      <c r="C929" s="30"/>
      <c r="D929" s="8"/>
      <c r="E929" s="8"/>
      <c r="F929" s="8"/>
      <c r="G929" s="8"/>
      <c r="H929" s="8"/>
      <c r="I929" s="8"/>
      <c r="J929" s="8"/>
      <c r="K929" s="8"/>
      <c r="L929" s="8"/>
      <c r="M929" s="8"/>
      <c r="N929" s="8"/>
      <c r="O929" s="8"/>
      <c r="P929" s="8"/>
      <c r="Q929" s="8"/>
      <c r="R929" s="8"/>
    </row>
    <row r="930" spans="1:18" ht="12.75" customHeight="1">
      <c r="A930" s="8"/>
      <c r="B930" s="8"/>
      <c r="C930" s="30"/>
      <c r="D930" s="8"/>
      <c r="E930" s="8"/>
      <c r="F930" s="8"/>
      <c r="G930" s="8"/>
      <c r="H930" s="8"/>
      <c r="I930" s="8"/>
      <c r="J930" s="8"/>
      <c r="K930" s="8"/>
      <c r="L930" s="8"/>
      <c r="M930" s="8"/>
      <c r="N930" s="8"/>
      <c r="O930" s="8"/>
      <c r="P930" s="8"/>
      <c r="Q930" s="8"/>
      <c r="R930" s="8"/>
    </row>
    <row r="931" spans="1:18" ht="12.75" customHeight="1">
      <c r="A931" s="8"/>
      <c r="B931" s="8"/>
      <c r="C931" s="30"/>
      <c r="D931" s="8"/>
      <c r="E931" s="8"/>
      <c r="F931" s="8"/>
      <c r="G931" s="8"/>
      <c r="H931" s="8"/>
      <c r="I931" s="8"/>
      <c r="J931" s="8"/>
      <c r="K931" s="8"/>
      <c r="L931" s="8"/>
      <c r="M931" s="8"/>
      <c r="N931" s="8"/>
      <c r="O931" s="8"/>
      <c r="P931" s="8"/>
      <c r="Q931" s="8"/>
      <c r="R931" s="8"/>
    </row>
    <row r="932" spans="1:18" ht="12.75" customHeight="1">
      <c r="A932" s="8"/>
      <c r="B932" s="8"/>
      <c r="C932" s="30"/>
      <c r="D932" s="8"/>
      <c r="E932" s="8"/>
      <c r="F932" s="8"/>
      <c r="G932" s="8"/>
      <c r="H932" s="8"/>
      <c r="I932" s="8"/>
      <c r="J932" s="8"/>
      <c r="K932" s="8"/>
      <c r="L932" s="8"/>
      <c r="M932" s="8"/>
      <c r="N932" s="8"/>
      <c r="O932" s="8"/>
      <c r="P932" s="8"/>
      <c r="Q932" s="8"/>
      <c r="R932" s="8"/>
    </row>
    <row r="933" spans="1:18" ht="12.75" customHeight="1">
      <c r="A933" s="8"/>
      <c r="B933" s="8"/>
      <c r="C933" s="30"/>
      <c r="D933" s="8"/>
      <c r="E933" s="8"/>
      <c r="F933" s="8"/>
      <c r="G933" s="8"/>
      <c r="H933" s="8"/>
      <c r="I933" s="8"/>
      <c r="J933" s="8"/>
      <c r="K933" s="8"/>
      <c r="L933" s="8"/>
      <c r="M933" s="8"/>
      <c r="N933" s="8"/>
      <c r="O933" s="8"/>
      <c r="P933" s="8"/>
      <c r="Q933" s="8"/>
      <c r="R933" s="8"/>
    </row>
    <row r="934" spans="1:18" ht="12.75" customHeight="1">
      <c r="A934" s="8"/>
      <c r="B934" s="8"/>
      <c r="C934" s="30"/>
      <c r="D934" s="8"/>
      <c r="E934" s="8"/>
      <c r="F934" s="8"/>
      <c r="G934" s="8"/>
      <c r="H934" s="8"/>
      <c r="I934" s="8"/>
      <c r="J934" s="8"/>
      <c r="K934" s="8"/>
      <c r="L934" s="8"/>
      <c r="M934" s="8"/>
      <c r="N934" s="8"/>
      <c r="O934" s="8"/>
      <c r="P934" s="8"/>
      <c r="Q934" s="8"/>
      <c r="R934" s="8"/>
    </row>
    <row r="935" spans="1:18" ht="12.75" customHeight="1">
      <c r="A935" s="8"/>
      <c r="B935" s="8"/>
      <c r="C935" s="30"/>
      <c r="D935" s="8"/>
      <c r="E935" s="8"/>
      <c r="F935" s="8"/>
      <c r="G935" s="8"/>
      <c r="H935" s="8"/>
      <c r="I935" s="8"/>
      <c r="J935" s="8"/>
      <c r="K935" s="8"/>
      <c r="L935" s="8"/>
      <c r="M935" s="8"/>
      <c r="N935" s="8"/>
      <c r="O935" s="8"/>
      <c r="P935" s="8"/>
      <c r="Q935" s="8"/>
      <c r="R935" s="8"/>
    </row>
    <row r="936" spans="1:18" ht="12.75" customHeight="1">
      <c r="A936" s="8"/>
      <c r="B936" s="8"/>
      <c r="C936" s="30"/>
      <c r="D936" s="8"/>
      <c r="E936" s="8"/>
      <c r="F936" s="8"/>
      <c r="G936" s="8"/>
      <c r="H936" s="8"/>
      <c r="I936" s="8"/>
      <c r="J936" s="8"/>
      <c r="K936" s="8"/>
      <c r="L936" s="8"/>
      <c r="M936" s="8"/>
      <c r="N936" s="8"/>
      <c r="O936" s="8"/>
      <c r="P936" s="8"/>
      <c r="Q936" s="8"/>
      <c r="R936" s="8"/>
    </row>
    <row r="937" spans="1:18" ht="12.75" customHeight="1">
      <c r="A937" s="8"/>
      <c r="B937" s="8"/>
      <c r="C937" s="30"/>
      <c r="D937" s="8"/>
      <c r="E937" s="8"/>
      <c r="F937" s="8"/>
      <c r="G937" s="8"/>
      <c r="H937" s="8"/>
      <c r="I937" s="8"/>
      <c r="J937" s="8"/>
      <c r="K937" s="8"/>
      <c r="L937" s="8"/>
      <c r="M937" s="8"/>
      <c r="N937" s="8"/>
      <c r="O937" s="8"/>
      <c r="P937" s="8"/>
      <c r="Q937" s="8"/>
      <c r="R937" s="8"/>
    </row>
    <row r="938" spans="1:18" ht="12.75" customHeight="1">
      <c r="A938" s="8"/>
      <c r="B938" s="8"/>
      <c r="C938" s="30"/>
      <c r="D938" s="8"/>
      <c r="E938" s="8"/>
      <c r="F938" s="8"/>
      <c r="G938" s="8"/>
      <c r="H938" s="8"/>
      <c r="I938" s="8"/>
      <c r="J938" s="8"/>
      <c r="K938" s="8"/>
      <c r="L938" s="8"/>
      <c r="M938" s="8"/>
      <c r="N938" s="8"/>
      <c r="O938" s="8"/>
      <c r="P938" s="8"/>
      <c r="Q938" s="8"/>
      <c r="R938" s="8"/>
    </row>
    <row r="939" spans="1:18" ht="12.75" customHeight="1">
      <c r="A939" s="8"/>
      <c r="B939" s="8"/>
      <c r="C939" s="30"/>
      <c r="D939" s="8"/>
      <c r="E939" s="8"/>
      <c r="F939" s="8"/>
      <c r="G939" s="8"/>
      <c r="H939" s="8"/>
      <c r="I939" s="8"/>
      <c r="J939" s="8"/>
      <c r="K939" s="8"/>
      <c r="L939" s="8"/>
      <c r="M939" s="8"/>
      <c r="N939" s="8"/>
      <c r="O939" s="8"/>
      <c r="P939" s="8"/>
      <c r="Q939" s="8"/>
      <c r="R939" s="8"/>
    </row>
    <row r="940" spans="1:18" ht="12.75" customHeight="1">
      <c r="A940" s="8"/>
      <c r="B940" s="8"/>
      <c r="C940" s="30"/>
      <c r="D940" s="8"/>
      <c r="E940" s="8"/>
      <c r="F940" s="8"/>
      <c r="G940" s="8"/>
      <c r="H940" s="8"/>
      <c r="I940" s="8"/>
      <c r="J940" s="8"/>
      <c r="K940" s="8"/>
      <c r="L940" s="8"/>
      <c r="M940" s="8"/>
      <c r="N940" s="8"/>
      <c r="O940" s="8"/>
      <c r="P940" s="8"/>
      <c r="Q940" s="8"/>
      <c r="R940" s="8"/>
    </row>
    <row r="941" spans="1:18" ht="12.75" customHeight="1">
      <c r="A941" s="8"/>
      <c r="B941" s="8"/>
      <c r="C941" s="30"/>
      <c r="D941" s="8"/>
      <c r="E941" s="8"/>
      <c r="F941" s="8"/>
      <c r="G941" s="8"/>
      <c r="H941" s="8"/>
      <c r="I941" s="8"/>
      <c r="J941" s="8"/>
      <c r="K941" s="8"/>
      <c r="L941" s="8"/>
      <c r="M941" s="8"/>
      <c r="N941" s="8"/>
      <c r="O941" s="8"/>
      <c r="P941" s="8"/>
      <c r="Q941" s="8"/>
      <c r="R941" s="8"/>
    </row>
    <row r="942" spans="1:18" ht="12.75" customHeight="1">
      <c r="A942" s="8"/>
      <c r="B942" s="8"/>
      <c r="C942" s="30"/>
      <c r="D942" s="8"/>
      <c r="E942" s="8"/>
      <c r="F942" s="8"/>
      <c r="G942" s="8"/>
      <c r="H942" s="8"/>
      <c r="I942" s="8"/>
      <c r="J942" s="8"/>
      <c r="K942" s="8"/>
      <c r="L942" s="8"/>
      <c r="M942" s="8"/>
      <c r="N942" s="8"/>
      <c r="O942" s="8"/>
      <c r="P942" s="8"/>
      <c r="Q942" s="8"/>
      <c r="R942" s="8"/>
    </row>
    <row r="943" spans="1:18" ht="12.75" customHeight="1">
      <c r="A943" s="8"/>
      <c r="B943" s="8"/>
      <c r="C943" s="30"/>
      <c r="D943" s="8"/>
      <c r="E943" s="8"/>
      <c r="F943" s="8"/>
      <c r="G943" s="8"/>
      <c r="H943" s="8"/>
      <c r="I943" s="8"/>
      <c r="J943" s="8"/>
      <c r="K943" s="8"/>
      <c r="L943" s="8"/>
      <c r="M943" s="8"/>
      <c r="N943" s="8"/>
      <c r="O943" s="8"/>
      <c r="P943" s="8"/>
      <c r="Q943" s="8"/>
      <c r="R943" s="8"/>
    </row>
    <row r="944" spans="1:18" ht="12.75" customHeight="1">
      <c r="A944" s="8"/>
      <c r="B944" s="8"/>
      <c r="C944" s="30"/>
      <c r="D944" s="8"/>
      <c r="E944" s="8"/>
      <c r="F944" s="8"/>
      <c r="G944" s="8"/>
      <c r="H944" s="8"/>
      <c r="I944" s="8"/>
      <c r="J944" s="8"/>
      <c r="K944" s="8"/>
      <c r="L944" s="8"/>
      <c r="M944" s="8"/>
      <c r="N944" s="8"/>
      <c r="O944" s="8"/>
      <c r="P944" s="8"/>
      <c r="Q944" s="8"/>
      <c r="R944" s="8"/>
    </row>
    <row r="945" spans="1:18" ht="12.75" customHeight="1">
      <c r="A945" s="8"/>
      <c r="B945" s="8"/>
      <c r="C945" s="30"/>
      <c r="D945" s="8"/>
      <c r="E945" s="8"/>
      <c r="F945" s="8"/>
      <c r="G945" s="8"/>
      <c r="H945" s="8"/>
      <c r="I945" s="8"/>
      <c r="J945" s="8"/>
      <c r="K945" s="8"/>
      <c r="L945" s="8"/>
      <c r="M945" s="8"/>
      <c r="N945" s="8"/>
      <c r="O945" s="8"/>
      <c r="P945" s="8"/>
      <c r="Q945" s="8"/>
      <c r="R945" s="8"/>
    </row>
    <row r="946" spans="1:18" ht="12.75" customHeight="1">
      <c r="A946" s="8"/>
      <c r="B946" s="8"/>
      <c r="C946" s="30"/>
      <c r="D946" s="8"/>
      <c r="E946" s="8"/>
      <c r="F946" s="8"/>
      <c r="G946" s="8"/>
      <c r="H946" s="8"/>
      <c r="I946" s="8"/>
      <c r="J946" s="8"/>
      <c r="K946" s="8"/>
      <c r="L946" s="8"/>
      <c r="M946" s="8"/>
      <c r="N946" s="8"/>
      <c r="O946" s="8"/>
      <c r="P946" s="8"/>
      <c r="Q946" s="8"/>
      <c r="R946" s="8"/>
    </row>
    <row r="947" spans="1:18" ht="12.75" customHeight="1">
      <c r="A947" s="8"/>
      <c r="B947" s="8"/>
      <c r="C947" s="30"/>
      <c r="D947" s="8"/>
      <c r="E947" s="8"/>
      <c r="F947" s="8"/>
      <c r="G947" s="8"/>
      <c r="H947" s="8"/>
      <c r="I947" s="8"/>
      <c r="J947" s="8"/>
      <c r="K947" s="8"/>
      <c r="L947" s="8"/>
      <c r="M947" s="8"/>
      <c r="N947" s="8"/>
      <c r="O947" s="8"/>
      <c r="P947" s="8"/>
      <c r="Q947" s="8"/>
      <c r="R947" s="8"/>
    </row>
    <row r="948" spans="1:18" ht="12.75" customHeight="1">
      <c r="A948" s="8"/>
      <c r="B948" s="8"/>
      <c r="C948" s="30"/>
      <c r="D948" s="8"/>
      <c r="E948" s="8"/>
      <c r="F948" s="8"/>
      <c r="G948" s="8"/>
      <c r="H948" s="8"/>
      <c r="I948" s="8"/>
      <c r="J948" s="8"/>
      <c r="K948" s="8"/>
      <c r="L948" s="8"/>
      <c r="M948" s="8"/>
      <c r="N948" s="8"/>
      <c r="O948" s="8"/>
      <c r="P948" s="8"/>
      <c r="Q948" s="8"/>
      <c r="R948" s="8"/>
    </row>
    <row r="949" spans="1:18" ht="12.75" customHeight="1">
      <c r="A949" s="8"/>
      <c r="B949" s="8"/>
      <c r="C949" s="30"/>
      <c r="D949" s="8"/>
      <c r="E949" s="8"/>
      <c r="F949" s="8"/>
      <c r="G949" s="8"/>
      <c r="H949" s="8"/>
      <c r="I949" s="8"/>
      <c r="J949" s="8"/>
      <c r="K949" s="8"/>
      <c r="L949" s="8"/>
      <c r="M949" s="8"/>
      <c r="N949" s="8"/>
      <c r="O949" s="8"/>
      <c r="P949" s="8"/>
      <c r="Q949" s="8"/>
      <c r="R949" s="8"/>
    </row>
    <row r="950" spans="1:18" ht="12.75" customHeight="1">
      <c r="A950" s="8"/>
      <c r="B950" s="8"/>
      <c r="C950" s="30"/>
      <c r="D950" s="8"/>
      <c r="E950" s="8"/>
      <c r="F950" s="8"/>
      <c r="G950" s="8"/>
      <c r="H950" s="8"/>
      <c r="I950" s="8"/>
      <c r="J950" s="8"/>
      <c r="K950" s="8"/>
      <c r="L950" s="8"/>
      <c r="M950" s="8"/>
      <c r="N950" s="8"/>
      <c r="O950" s="8"/>
      <c r="P950" s="8"/>
      <c r="Q950" s="8"/>
      <c r="R950" s="8"/>
    </row>
    <row r="951" spans="1:18" ht="12.75" customHeight="1">
      <c r="A951" s="8"/>
      <c r="B951" s="8"/>
      <c r="C951" s="30"/>
      <c r="D951" s="8"/>
      <c r="E951" s="8"/>
      <c r="F951" s="8"/>
      <c r="G951" s="8"/>
      <c r="H951" s="8"/>
      <c r="I951" s="8"/>
      <c r="J951" s="8"/>
      <c r="K951" s="8"/>
      <c r="L951" s="8"/>
      <c r="M951" s="8"/>
      <c r="N951" s="8"/>
      <c r="O951" s="8"/>
      <c r="P951" s="8"/>
      <c r="Q951" s="8"/>
      <c r="R951" s="8"/>
    </row>
    <row r="952" spans="1:18" ht="12.75" customHeight="1">
      <c r="A952" s="8"/>
      <c r="B952" s="8"/>
      <c r="C952" s="30"/>
      <c r="D952" s="8"/>
      <c r="E952" s="8"/>
      <c r="F952" s="8"/>
      <c r="G952" s="8"/>
      <c r="H952" s="8"/>
      <c r="I952" s="8"/>
      <c r="J952" s="8"/>
      <c r="K952" s="8"/>
      <c r="L952" s="8"/>
      <c r="M952" s="8"/>
      <c r="N952" s="8"/>
      <c r="O952" s="8"/>
      <c r="P952" s="8"/>
      <c r="Q952" s="8"/>
      <c r="R952" s="8"/>
    </row>
    <row r="953" spans="1:18" ht="12.75" customHeight="1">
      <c r="A953" s="8"/>
      <c r="B953" s="8"/>
      <c r="C953" s="30"/>
      <c r="D953" s="8"/>
      <c r="E953" s="8"/>
      <c r="F953" s="8"/>
      <c r="G953" s="8"/>
      <c r="H953" s="8"/>
      <c r="I953" s="8"/>
      <c r="J953" s="8"/>
      <c r="K953" s="8"/>
      <c r="L953" s="8"/>
      <c r="M953" s="8"/>
      <c r="N953" s="8"/>
      <c r="O953" s="8"/>
      <c r="P953" s="8"/>
      <c r="Q953" s="8"/>
      <c r="R953" s="8"/>
    </row>
    <row r="954" spans="1:18" ht="12.75" customHeight="1">
      <c r="A954" s="8"/>
      <c r="B954" s="8"/>
      <c r="C954" s="30"/>
      <c r="D954" s="8"/>
      <c r="E954" s="8"/>
      <c r="F954" s="8"/>
      <c r="G954" s="8"/>
      <c r="H954" s="8"/>
      <c r="I954" s="8"/>
      <c r="J954" s="8"/>
      <c r="K954" s="8"/>
      <c r="L954" s="8"/>
      <c r="M954" s="8"/>
      <c r="N954" s="8"/>
      <c r="O954" s="8"/>
      <c r="P954" s="8"/>
      <c r="Q954" s="8"/>
      <c r="R954" s="8"/>
    </row>
    <row r="955" spans="1:18" ht="12.75" customHeight="1">
      <c r="A955" s="8"/>
      <c r="B955" s="8"/>
      <c r="C955" s="30"/>
      <c r="D955" s="8"/>
      <c r="E955" s="8"/>
      <c r="F955" s="8"/>
      <c r="G955" s="8"/>
      <c r="H955" s="8"/>
      <c r="I955" s="8"/>
      <c r="J955" s="8"/>
      <c r="K955" s="8"/>
      <c r="L955" s="8"/>
      <c r="M955" s="8"/>
      <c r="N955" s="8"/>
      <c r="O955" s="8"/>
      <c r="P955" s="8"/>
      <c r="Q955" s="8"/>
      <c r="R955" s="8"/>
    </row>
    <row r="956" spans="1:18" ht="12.75" customHeight="1">
      <c r="A956" s="8"/>
      <c r="B956" s="8"/>
      <c r="C956" s="30"/>
      <c r="D956" s="8"/>
      <c r="E956" s="8"/>
      <c r="F956" s="8"/>
      <c r="G956" s="8"/>
      <c r="H956" s="8"/>
      <c r="I956" s="8"/>
      <c r="J956" s="8"/>
      <c r="K956" s="8"/>
      <c r="L956" s="8"/>
      <c r="M956" s="8"/>
      <c r="N956" s="8"/>
      <c r="O956" s="8"/>
      <c r="P956" s="8"/>
      <c r="Q956" s="8"/>
      <c r="R956" s="8"/>
    </row>
    <row r="957" spans="1:18" ht="12.75" customHeight="1">
      <c r="A957" s="8"/>
      <c r="B957" s="8"/>
      <c r="C957" s="30"/>
      <c r="D957" s="8"/>
      <c r="E957" s="8"/>
      <c r="F957" s="8"/>
      <c r="G957" s="8"/>
      <c r="H957" s="8"/>
      <c r="I957" s="8"/>
      <c r="J957" s="8"/>
      <c r="K957" s="8"/>
      <c r="L957" s="8"/>
      <c r="M957" s="8"/>
      <c r="N957" s="8"/>
      <c r="O957" s="8"/>
      <c r="P957" s="8"/>
      <c r="Q957" s="8"/>
      <c r="R957" s="8"/>
    </row>
    <row r="958" spans="1:18" ht="12.75" customHeight="1">
      <c r="A958" s="8"/>
      <c r="B958" s="8"/>
      <c r="C958" s="30"/>
      <c r="D958" s="8"/>
      <c r="E958" s="8"/>
      <c r="F958" s="8"/>
      <c r="G958" s="8"/>
      <c r="H958" s="8"/>
      <c r="I958" s="8"/>
      <c r="J958" s="8"/>
      <c r="K958" s="8"/>
      <c r="L958" s="8"/>
      <c r="M958" s="8"/>
      <c r="N958" s="8"/>
      <c r="O958" s="8"/>
      <c r="P958" s="8"/>
      <c r="Q958" s="8"/>
      <c r="R958" s="8"/>
    </row>
    <row r="959" spans="1:18" ht="12.75" customHeight="1">
      <c r="A959" s="8"/>
      <c r="B959" s="8"/>
      <c r="C959" s="30"/>
      <c r="D959" s="8"/>
      <c r="E959" s="8"/>
      <c r="F959" s="8"/>
      <c r="G959" s="8"/>
      <c r="H959" s="8"/>
      <c r="I959" s="8"/>
      <c r="J959" s="8"/>
      <c r="K959" s="8"/>
      <c r="L959" s="8"/>
      <c r="M959" s="8"/>
      <c r="N959" s="8"/>
      <c r="O959" s="8"/>
      <c r="P959" s="8"/>
      <c r="Q959" s="8"/>
      <c r="R959" s="8"/>
    </row>
    <row r="960" spans="1:18" ht="12.75" customHeight="1">
      <c r="A960" s="8"/>
      <c r="B960" s="8"/>
      <c r="C960" s="30"/>
      <c r="D960" s="8"/>
      <c r="E960" s="8"/>
      <c r="F960" s="8"/>
      <c r="G960" s="8"/>
      <c r="H960" s="8"/>
      <c r="I960" s="8"/>
      <c r="J960" s="8"/>
      <c r="K960" s="8"/>
      <c r="L960" s="8"/>
      <c r="M960" s="8"/>
      <c r="N960" s="8"/>
      <c r="O960" s="8"/>
      <c r="P960" s="8"/>
      <c r="Q960" s="8"/>
      <c r="R960" s="8"/>
    </row>
    <row r="961" spans="1:18" ht="12.75" customHeight="1">
      <c r="A961" s="8"/>
      <c r="B961" s="8"/>
      <c r="C961" s="30"/>
      <c r="D961" s="8"/>
      <c r="E961" s="8"/>
      <c r="F961" s="8"/>
      <c r="G961" s="8"/>
      <c r="H961" s="8"/>
      <c r="I961" s="8"/>
      <c r="J961" s="8"/>
      <c r="K961" s="8"/>
      <c r="L961" s="8"/>
      <c r="M961" s="8"/>
      <c r="N961" s="8"/>
      <c r="O961" s="8"/>
      <c r="P961" s="8"/>
      <c r="Q961" s="8"/>
      <c r="R961" s="8"/>
    </row>
    <row r="962" spans="1:18" ht="12.75" customHeight="1">
      <c r="A962" s="8"/>
      <c r="B962" s="8"/>
      <c r="C962" s="30"/>
      <c r="D962" s="8"/>
      <c r="E962" s="8"/>
      <c r="F962" s="8"/>
      <c r="G962" s="8"/>
      <c r="H962" s="8"/>
      <c r="I962" s="8"/>
      <c r="J962" s="8"/>
      <c r="K962" s="8"/>
      <c r="L962" s="8"/>
      <c r="M962" s="8"/>
      <c r="N962" s="8"/>
      <c r="O962" s="8"/>
      <c r="P962" s="8"/>
      <c r="Q962" s="8"/>
      <c r="R962" s="8"/>
    </row>
    <row r="963" spans="1:18" ht="12.75" customHeight="1">
      <c r="A963" s="8"/>
      <c r="B963" s="8"/>
      <c r="C963" s="30"/>
      <c r="D963" s="8"/>
      <c r="E963" s="8"/>
      <c r="F963" s="8"/>
      <c r="G963" s="8"/>
      <c r="H963" s="8"/>
      <c r="I963" s="8"/>
      <c r="J963" s="8"/>
      <c r="K963" s="8"/>
      <c r="L963" s="8"/>
      <c r="M963" s="8"/>
      <c r="N963" s="8"/>
      <c r="O963" s="8"/>
      <c r="P963" s="8"/>
      <c r="Q963" s="8"/>
      <c r="R963" s="8"/>
    </row>
    <row r="964" spans="1:18" ht="12.75" customHeight="1">
      <c r="A964" s="8"/>
      <c r="B964" s="8"/>
      <c r="C964" s="30"/>
      <c r="D964" s="8"/>
      <c r="E964" s="8"/>
      <c r="F964" s="8"/>
      <c r="G964" s="8"/>
      <c r="H964" s="8"/>
      <c r="I964" s="8"/>
      <c r="J964" s="8"/>
      <c r="K964" s="8"/>
      <c r="L964" s="8"/>
      <c r="M964" s="8"/>
      <c r="N964" s="8"/>
      <c r="O964" s="8"/>
      <c r="P964" s="8"/>
      <c r="Q964" s="8"/>
      <c r="R964" s="8"/>
    </row>
    <row r="965" spans="1:18" ht="12.75" customHeight="1">
      <c r="A965" s="8"/>
      <c r="B965" s="8"/>
      <c r="C965" s="30"/>
      <c r="D965" s="8"/>
      <c r="E965" s="8"/>
      <c r="F965" s="8"/>
      <c r="G965" s="8"/>
      <c r="H965" s="8"/>
      <c r="I965" s="8"/>
      <c r="J965" s="8"/>
      <c r="K965" s="8"/>
      <c r="L965" s="8"/>
      <c r="M965" s="8"/>
      <c r="N965" s="8"/>
      <c r="O965" s="8"/>
      <c r="P965" s="8"/>
      <c r="Q965" s="8"/>
      <c r="R965" s="8"/>
    </row>
    <row r="966" spans="1:18" ht="12.75" customHeight="1">
      <c r="A966" s="8"/>
      <c r="B966" s="8"/>
      <c r="C966" s="30"/>
      <c r="D966" s="8"/>
      <c r="E966" s="8"/>
      <c r="F966" s="8"/>
      <c r="G966" s="8"/>
      <c r="H966" s="8"/>
      <c r="I966" s="8"/>
      <c r="J966" s="8"/>
      <c r="K966" s="8"/>
      <c r="L966" s="8"/>
      <c r="M966" s="8"/>
      <c r="N966" s="8"/>
      <c r="O966" s="8"/>
      <c r="P966" s="8"/>
      <c r="Q966" s="8"/>
      <c r="R966" s="8"/>
    </row>
    <row r="967" spans="1:18" ht="12.75" customHeight="1">
      <c r="A967" s="8"/>
      <c r="B967" s="8"/>
      <c r="C967" s="30"/>
      <c r="D967" s="8"/>
      <c r="E967" s="8"/>
      <c r="F967" s="8"/>
      <c r="G967" s="8"/>
      <c r="H967" s="8"/>
      <c r="I967" s="8"/>
      <c r="J967" s="8"/>
      <c r="K967" s="8"/>
      <c r="L967" s="8"/>
      <c r="M967" s="8"/>
      <c r="N967" s="8"/>
      <c r="O967" s="8"/>
      <c r="P967" s="8"/>
      <c r="Q967" s="8"/>
      <c r="R967" s="8"/>
    </row>
    <row r="968" spans="1:18" ht="12.75" customHeight="1">
      <c r="A968" s="8"/>
      <c r="B968" s="8"/>
      <c r="C968" s="30"/>
      <c r="D968" s="8"/>
      <c r="E968" s="8"/>
      <c r="F968" s="8"/>
      <c r="G968" s="8"/>
      <c r="H968" s="8"/>
      <c r="I968" s="8"/>
      <c r="J968" s="8"/>
      <c r="K968" s="8"/>
      <c r="L968" s="8"/>
      <c r="M968" s="8"/>
      <c r="N968" s="8"/>
      <c r="O968" s="8"/>
      <c r="P968" s="8"/>
      <c r="Q968" s="8"/>
      <c r="R968" s="8"/>
    </row>
    <row r="969" spans="1:18" ht="12.75" customHeight="1">
      <c r="A969" s="8"/>
      <c r="B969" s="8"/>
      <c r="C969" s="30"/>
      <c r="D969" s="8"/>
      <c r="E969" s="8"/>
      <c r="F969" s="8"/>
      <c r="G969" s="8"/>
      <c r="H969" s="8"/>
      <c r="I969" s="8"/>
      <c r="J969" s="8"/>
      <c r="K969" s="8"/>
      <c r="L969" s="8"/>
      <c r="M969" s="8"/>
      <c r="N969" s="8"/>
      <c r="O969" s="8"/>
      <c r="P969" s="8"/>
      <c r="Q969" s="8"/>
      <c r="R969" s="8"/>
    </row>
    <row r="970" spans="1:18" ht="12.75" customHeight="1">
      <c r="A970" s="8"/>
      <c r="B970" s="8"/>
      <c r="C970" s="30"/>
      <c r="D970" s="8"/>
      <c r="E970" s="8"/>
      <c r="F970" s="8"/>
      <c r="G970" s="8"/>
      <c r="H970" s="8"/>
      <c r="I970" s="8"/>
      <c r="J970" s="8"/>
      <c r="K970" s="8"/>
      <c r="L970" s="8"/>
      <c r="M970" s="8"/>
      <c r="N970" s="8"/>
      <c r="O970" s="8"/>
      <c r="P970" s="8"/>
      <c r="Q970" s="8"/>
      <c r="R970" s="8"/>
    </row>
    <row r="971" spans="1:18" ht="12.75" customHeight="1">
      <c r="A971" s="8"/>
      <c r="B971" s="8"/>
      <c r="C971" s="30"/>
      <c r="D971" s="8"/>
      <c r="E971" s="8"/>
      <c r="F971" s="8"/>
      <c r="G971" s="8"/>
      <c r="H971" s="8"/>
      <c r="I971" s="8"/>
      <c r="J971" s="8"/>
      <c r="K971" s="8"/>
      <c r="L971" s="8"/>
      <c r="M971" s="8"/>
      <c r="N971" s="8"/>
      <c r="O971" s="8"/>
      <c r="P971" s="8"/>
      <c r="Q971" s="8"/>
      <c r="R971" s="8"/>
    </row>
    <row r="972" spans="1:18" ht="12.75" customHeight="1">
      <c r="A972" s="8"/>
      <c r="B972" s="8"/>
      <c r="C972" s="30"/>
      <c r="D972" s="8"/>
      <c r="E972" s="8"/>
      <c r="F972" s="8"/>
      <c r="G972" s="8"/>
      <c r="H972" s="8"/>
      <c r="I972" s="8"/>
      <c r="J972" s="8"/>
      <c r="K972" s="8"/>
      <c r="L972" s="8"/>
      <c r="M972" s="8"/>
      <c r="N972" s="8"/>
      <c r="O972" s="8"/>
      <c r="P972" s="8"/>
      <c r="Q972" s="8"/>
      <c r="R972" s="8"/>
    </row>
    <row r="973" spans="1:18" ht="12.75" customHeight="1">
      <c r="A973" s="8"/>
      <c r="B973" s="8"/>
      <c r="C973" s="30"/>
      <c r="D973" s="8"/>
      <c r="E973" s="8"/>
      <c r="F973" s="8"/>
      <c r="G973" s="8"/>
      <c r="H973" s="8"/>
      <c r="I973" s="8"/>
      <c r="J973" s="8"/>
      <c r="K973" s="8"/>
      <c r="L973" s="8"/>
      <c r="M973" s="8"/>
      <c r="N973" s="8"/>
      <c r="O973" s="8"/>
      <c r="P973" s="8"/>
      <c r="Q973" s="8"/>
      <c r="R973" s="8"/>
    </row>
    <row r="974" spans="1:18" ht="12.75" customHeight="1">
      <c r="A974" s="8"/>
      <c r="B974" s="8"/>
      <c r="C974" s="30"/>
      <c r="D974" s="8"/>
      <c r="E974" s="8"/>
      <c r="F974" s="8"/>
      <c r="G974" s="8"/>
      <c r="H974" s="8"/>
      <c r="I974" s="8"/>
      <c r="J974" s="8"/>
      <c r="K974" s="8"/>
      <c r="L974" s="8"/>
      <c r="M974" s="8"/>
      <c r="N974" s="8"/>
      <c r="O974" s="8"/>
      <c r="P974" s="8"/>
      <c r="Q974" s="8"/>
      <c r="R974" s="8"/>
    </row>
    <row r="975" spans="1:18" ht="12.75" customHeight="1">
      <c r="A975" s="8"/>
      <c r="B975" s="8"/>
      <c r="C975" s="30"/>
      <c r="D975" s="8"/>
      <c r="E975" s="8"/>
      <c r="F975" s="8"/>
      <c r="G975" s="8"/>
      <c r="H975" s="8"/>
      <c r="I975" s="8"/>
      <c r="J975" s="8"/>
      <c r="K975" s="8"/>
      <c r="L975" s="8"/>
      <c r="M975" s="8"/>
      <c r="N975" s="8"/>
      <c r="O975" s="8"/>
      <c r="P975" s="8"/>
      <c r="Q975" s="8"/>
      <c r="R975" s="8"/>
    </row>
    <row r="976" spans="1:18" ht="12.75" customHeight="1">
      <c r="A976" s="8"/>
      <c r="B976" s="8"/>
      <c r="C976" s="30"/>
      <c r="D976" s="8"/>
      <c r="E976" s="8"/>
      <c r="F976" s="8"/>
      <c r="G976" s="8"/>
      <c r="H976" s="8"/>
      <c r="I976" s="8"/>
      <c r="J976" s="8"/>
      <c r="K976" s="8"/>
      <c r="L976" s="8"/>
      <c r="M976" s="8"/>
      <c r="N976" s="8"/>
      <c r="O976" s="8"/>
      <c r="P976" s="8"/>
      <c r="Q976" s="8"/>
      <c r="R976" s="8"/>
    </row>
    <row r="977" spans="1:18" ht="12.75" customHeight="1">
      <c r="A977" s="8"/>
      <c r="B977" s="8"/>
      <c r="C977" s="30"/>
      <c r="D977" s="8"/>
      <c r="E977" s="8"/>
      <c r="F977" s="8"/>
      <c r="G977" s="8"/>
      <c r="H977" s="8"/>
      <c r="I977" s="8"/>
      <c r="J977" s="8"/>
      <c r="K977" s="8"/>
      <c r="L977" s="8"/>
      <c r="M977" s="8"/>
      <c r="N977" s="8"/>
      <c r="O977" s="8"/>
      <c r="P977" s="8"/>
      <c r="Q977" s="8"/>
      <c r="R977" s="8"/>
    </row>
    <row r="978" spans="1:18" ht="12.75" customHeight="1">
      <c r="A978" s="8"/>
      <c r="B978" s="8"/>
      <c r="C978" s="30"/>
      <c r="D978" s="8"/>
      <c r="E978" s="8"/>
      <c r="F978" s="8"/>
      <c r="G978" s="8"/>
      <c r="H978" s="8"/>
      <c r="I978" s="8"/>
      <c r="J978" s="8"/>
      <c r="K978" s="8"/>
      <c r="L978" s="8"/>
      <c r="M978" s="8"/>
      <c r="N978" s="8"/>
      <c r="O978" s="8"/>
      <c r="P978" s="8"/>
      <c r="Q978" s="8"/>
      <c r="R978" s="8"/>
    </row>
    <row r="979" spans="1:18" ht="12.75" customHeight="1">
      <c r="A979" s="8"/>
      <c r="B979" s="8"/>
      <c r="C979" s="30"/>
      <c r="D979" s="8"/>
      <c r="E979" s="8"/>
      <c r="F979" s="8"/>
      <c r="G979" s="8"/>
      <c r="H979" s="8"/>
      <c r="I979" s="8"/>
      <c r="J979" s="8"/>
      <c r="K979" s="8"/>
      <c r="L979" s="8"/>
      <c r="M979" s="8"/>
      <c r="N979" s="8"/>
      <c r="O979" s="8"/>
      <c r="P979" s="8"/>
      <c r="Q979" s="8"/>
      <c r="R979" s="8"/>
    </row>
    <row r="980" spans="1:18" ht="12.75" customHeight="1">
      <c r="A980" s="8"/>
      <c r="B980" s="8"/>
      <c r="C980" s="30"/>
      <c r="D980" s="8"/>
      <c r="E980" s="8"/>
      <c r="F980" s="8"/>
      <c r="G980" s="8"/>
      <c r="H980" s="8"/>
      <c r="I980" s="8"/>
      <c r="J980" s="8"/>
      <c r="K980" s="8"/>
      <c r="L980" s="8"/>
      <c r="M980" s="8"/>
      <c r="N980" s="8"/>
      <c r="O980" s="8"/>
      <c r="P980" s="8"/>
      <c r="Q980" s="8"/>
      <c r="R980" s="8"/>
    </row>
    <row r="981" spans="1:18" ht="12.75" customHeight="1">
      <c r="A981" s="8"/>
      <c r="B981" s="8"/>
      <c r="C981" s="30"/>
      <c r="D981" s="8"/>
      <c r="E981" s="8"/>
      <c r="F981" s="8"/>
      <c r="G981" s="8"/>
      <c r="H981" s="8"/>
      <c r="I981" s="8"/>
      <c r="J981" s="8"/>
      <c r="K981" s="8"/>
      <c r="L981" s="8"/>
      <c r="M981" s="8"/>
      <c r="N981" s="8"/>
      <c r="O981" s="8"/>
      <c r="P981" s="8"/>
      <c r="Q981" s="8"/>
      <c r="R981" s="8"/>
    </row>
    <row r="982" spans="1:18" ht="12.75" customHeight="1">
      <c r="A982" s="8"/>
      <c r="B982" s="8"/>
      <c r="C982" s="30"/>
      <c r="D982" s="8"/>
      <c r="E982" s="8"/>
      <c r="F982" s="8"/>
      <c r="G982" s="8"/>
      <c r="H982" s="8"/>
      <c r="I982" s="8"/>
      <c r="J982" s="8"/>
      <c r="K982" s="8"/>
      <c r="L982" s="8"/>
      <c r="M982" s="8"/>
      <c r="N982" s="8"/>
      <c r="O982" s="8"/>
      <c r="P982" s="8"/>
      <c r="Q982" s="8"/>
      <c r="R982" s="8"/>
    </row>
    <row r="983" spans="1:18" ht="12.75" customHeight="1">
      <c r="A983" s="8"/>
      <c r="B983" s="8"/>
      <c r="C983" s="30"/>
      <c r="D983" s="8"/>
      <c r="E983" s="8"/>
      <c r="F983" s="8"/>
      <c r="G983" s="8"/>
      <c r="H983" s="8"/>
      <c r="I983" s="8"/>
      <c r="J983" s="8"/>
      <c r="K983" s="8"/>
      <c r="L983" s="8"/>
      <c r="M983" s="8"/>
      <c r="N983" s="8"/>
      <c r="O983" s="8"/>
      <c r="P983" s="8"/>
      <c r="Q983" s="8"/>
      <c r="R983" s="8"/>
    </row>
    <row r="984" spans="1:18" ht="12.75" customHeight="1">
      <c r="A984" s="8"/>
      <c r="B984" s="8"/>
      <c r="C984" s="30"/>
      <c r="D984" s="8"/>
      <c r="E984" s="8"/>
      <c r="F984" s="8"/>
      <c r="G984" s="8"/>
      <c r="H984" s="8"/>
      <c r="I984" s="8"/>
      <c r="J984" s="8"/>
      <c r="K984" s="8"/>
      <c r="L984" s="8"/>
      <c r="M984" s="8"/>
      <c r="N984" s="8"/>
      <c r="O984" s="8"/>
      <c r="P984" s="8"/>
      <c r="Q984" s="8"/>
      <c r="R984" s="8"/>
    </row>
    <row r="985" spans="1:18" ht="12.75" customHeight="1">
      <c r="A985" s="8"/>
      <c r="B985" s="8"/>
      <c r="C985" s="30"/>
      <c r="D985" s="8"/>
      <c r="E985" s="8"/>
      <c r="F985" s="8"/>
      <c r="G985" s="8"/>
      <c r="H985" s="8"/>
      <c r="I985" s="8"/>
      <c r="J985" s="8"/>
      <c r="K985" s="8"/>
      <c r="L985" s="8"/>
      <c r="M985" s="8"/>
      <c r="N985" s="8"/>
      <c r="O985" s="8"/>
      <c r="P985" s="8"/>
      <c r="Q985" s="8"/>
      <c r="R985" s="8"/>
    </row>
    <row r="986" spans="1:18" ht="12.75" customHeight="1">
      <c r="A986" s="8"/>
      <c r="B986" s="8"/>
      <c r="C986" s="30"/>
      <c r="D986" s="8"/>
      <c r="E986" s="8"/>
      <c r="F986" s="8"/>
      <c r="G986" s="8"/>
      <c r="H986" s="8"/>
      <c r="I986" s="8"/>
      <c r="J986" s="8"/>
      <c r="K986" s="8"/>
      <c r="L986" s="8"/>
      <c r="M986" s="8"/>
      <c r="N986" s="8"/>
      <c r="O986" s="8"/>
      <c r="P986" s="8"/>
      <c r="Q986" s="8"/>
      <c r="R986" s="8"/>
    </row>
    <row r="987" spans="1:18" ht="12.75" customHeight="1">
      <c r="A987" s="8"/>
      <c r="B987" s="8"/>
      <c r="C987" s="30"/>
      <c r="D987" s="8"/>
      <c r="E987" s="8"/>
      <c r="F987" s="8"/>
      <c r="G987" s="8"/>
      <c r="H987" s="8"/>
      <c r="I987" s="8"/>
      <c r="J987" s="8"/>
      <c r="K987" s="8"/>
      <c r="L987" s="8"/>
      <c r="M987" s="8"/>
      <c r="N987" s="8"/>
      <c r="O987" s="8"/>
      <c r="P987" s="8"/>
      <c r="Q987" s="8"/>
      <c r="R987" s="8"/>
    </row>
    <row r="988" spans="1:18" ht="12.75" customHeight="1">
      <c r="A988" s="8"/>
      <c r="B988" s="8"/>
      <c r="C988" s="30"/>
      <c r="D988" s="8"/>
      <c r="E988" s="8"/>
      <c r="F988" s="8"/>
      <c r="G988" s="8"/>
      <c r="H988" s="8"/>
      <c r="I988" s="8"/>
      <c r="J988" s="8"/>
      <c r="K988" s="8"/>
      <c r="L988" s="8"/>
      <c r="M988" s="8"/>
      <c r="N988" s="8"/>
      <c r="O988" s="8"/>
      <c r="P988" s="8"/>
      <c r="Q988" s="8"/>
      <c r="R988" s="8"/>
    </row>
    <row r="989" spans="1:18" ht="12.75" customHeight="1">
      <c r="A989" s="8"/>
      <c r="B989" s="8"/>
      <c r="C989" s="30"/>
      <c r="D989" s="8"/>
      <c r="E989" s="8"/>
      <c r="F989" s="8"/>
      <c r="G989" s="8"/>
      <c r="H989" s="8"/>
      <c r="I989" s="8"/>
      <c r="J989" s="8"/>
      <c r="K989" s="8"/>
      <c r="L989" s="8"/>
      <c r="M989" s="8"/>
      <c r="N989" s="8"/>
      <c r="O989" s="8"/>
      <c r="P989" s="8"/>
      <c r="Q989" s="8"/>
      <c r="R989" s="8"/>
    </row>
    <row r="990" spans="1:18" ht="12.75" customHeight="1">
      <c r="A990" s="8"/>
      <c r="B990" s="8"/>
      <c r="C990" s="30"/>
      <c r="D990" s="8"/>
      <c r="E990" s="8"/>
      <c r="F990" s="8"/>
      <c r="G990" s="8"/>
      <c r="H990" s="8"/>
      <c r="I990" s="8"/>
      <c r="J990" s="8"/>
      <c r="K990" s="8"/>
      <c r="L990" s="8"/>
      <c r="M990" s="8"/>
      <c r="N990" s="8"/>
      <c r="O990" s="8"/>
      <c r="P990" s="8"/>
      <c r="Q990" s="8"/>
      <c r="R990" s="8"/>
    </row>
    <row r="991" spans="1:18" ht="12.75" customHeight="1">
      <c r="A991" s="8"/>
      <c r="B991" s="8"/>
      <c r="C991" s="30"/>
      <c r="D991" s="8"/>
      <c r="E991" s="8"/>
      <c r="F991" s="8"/>
      <c r="G991" s="8"/>
      <c r="H991" s="8"/>
      <c r="I991" s="8"/>
      <c r="J991" s="8"/>
      <c r="K991" s="8"/>
      <c r="L991" s="8"/>
      <c r="M991" s="8"/>
      <c r="N991" s="8"/>
      <c r="O991" s="8"/>
      <c r="P991" s="8"/>
      <c r="Q991" s="8"/>
      <c r="R991" s="8"/>
    </row>
    <row r="992" spans="1:18" ht="12.75" customHeight="1">
      <c r="A992" s="8"/>
      <c r="B992" s="8"/>
      <c r="C992" s="30"/>
      <c r="D992" s="8"/>
      <c r="E992" s="8"/>
      <c r="F992" s="8"/>
      <c r="G992" s="8"/>
      <c r="H992" s="8"/>
      <c r="I992" s="8"/>
      <c r="J992" s="8"/>
      <c r="K992" s="8"/>
      <c r="L992" s="8"/>
      <c r="M992" s="8"/>
      <c r="N992" s="8"/>
      <c r="O992" s="8"/>
      <c r="P992" s="8"/>
      <c r="Q992" s="8"/>
      <c r="R992" s="8"/>
    </row>
    <row r="993" spans="1:18" ht="12.75" customHeight="1">
      <c r="A993" s="8"/>
      <c r="B993" s="8"/>
      <c r="C993" s="30"/>
      <c r="D993" s="8"/>
      <c r="E993" s="8"/>
      <c r="F993" s="8"/>
      <c r="G993" s="8"/>
      <c r="H993" s="8"/>
      <c r="I993" s="8"/>
      <c r="J993" s="8"/>
      <c r="K993" s="8"/>
      <c r="L993" s="8"/>
      <c r="M993" s="8"/>
      <c r="N993" s="8"/>
      <c r="O993" s="8"/>
      <c r="P993" s="8"/>
      <c r="Q993" s="8"/>
      <c r="R993" s="8"/>
    </row>
    <row r="994" spans="1:18" ht="12.75" customHeight="1">
      <c r="A994" s="8"/>
      <c r="B994" s="8"/>
      <c r="C994" s="30"/>
      <c r="D994" s="8"/>
      <c r="E994" s="8"/>
      <c r="F994" s="8"/>
      <c r="G994" s="8"/>
      <c r="H994" s="8"/>
      <c r="I994" s="8"/>
      <c r="J994" s="8"/>
      <c r="K994" s="8"/>
      <c r="L994" s="8"/>
      <c r="M994" s="8"/>
      <c r="N994" s="8"/>
      <c r="O994" s="8"/>
      <c r="P994" s="8"/>
      <c r="Q994" s="8"/>
      <c r="R994" s="8"/>
    </row>
    <row r="995" spans="1:18" ht="12.75" customHeight="1">
      <c r="A995" s="8"/>
      <c r="B995" s="8"/>
      <c r="C995" s="30"/>
      <c r="D995" s="8"/>
      <c r="E995" s="8"/>
      <c r="F995" s="8"/>
      <c r="G995" s="8"/>
      <c r="H995" s="8"/>
      <c r="I995" s="8"/>
      <c r="J995" s="8"/>
      <c r="K995" s="8"/>
      <c r="L995" s="8"/>
      <c r="M995" s="8"/>
      <c r="N995" s="8"/>
      <c r="O995" s="8"/>
      <c r="P995" s="8"/>
      <c r="Q995" s="8"/>
      <c r="R995" s="8"/>
    </row>
  </sheetData>
  <mergeCells count="5">
    <mergeCell ref="A75:B75"/>
    <mergeCell ref="A5:C9"/>
    <mergeCell ref="A16:B16"/>
    <mergeCell ref="A39:B39"/>
    <mergeCell ref="A57:B57"/>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rowBreaks count="2" manualBreakCount="2">
    <brk id="86" man="1"/>
    <brk id="5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33"/>
  </sheetPr>
  <dimension ref="A1:Q990"/>
  <sheetViews>
    <sheetView zoomScaleNormal="100" workbookViewId="0">
      <selection activeCell="E19" sqref="E19"/>
    </sheetView>
  </sheetViews>
  <sheetFormatPr baseColWidth="10" defaultColWidth="14.42578125" defaultRowHeight="15" customHeight="1"/>
  <cols>
    <col min="1" max="1" width="10.7109375" customWidth="1"/>
    <col min="2" max="2" width="50.7109375" customWidth="1"/>
    <col min="3" max="3" width="15.7109375" customWidth="1"/>
    <col min="4" max="4" width="14.42578125" customWidth="1"/>
    <col min="5" max="5" width="13.42578125" customWidth="1"/>
    <col min="6" max="6" width="14.42578125" customWidth="1"/>
    <col min="7" max="7" width="10.7109375" customWidth="1"/>
    <col min="8" max="8" width="13" customWidth="1"/>
    <col min="9" max="17" width="10.7109375" customWidth="1"/>
  </cols>
  <sheetData>
    <row r="1" spans="1:17" ht="15" customHeight="1" thickBot="1">
      <c r="A1" s="1555" t="s">
        <v>984</v>
      </c>
      <c r="B1" s="1556"/>
      <c r="C1" s="1557"/>
    </row>
    <row r="2" spans="1:17" ht="12.75" customHeight="1" thickBot="1">
      <c r="A2" s="8"/>
      <c r="B2" s="8"/>
      <c r="C2" s="30"/>
      <c r="D2" s="8"/>
      <c r="E2" s="8"/>
      <c r="F2" s="8"/>
      <c r="G2" s="8"/>
      <c r="H2" s="8"/>
      <c r="I2" s="8"/>
      <c r="J2" s="8"/>
      <c r="K2" s="8"/>
      <c r="L2" s="8"/>
      <c r="M2" s="8"/>
      <c r="N2" s="8"/>
      <c r="O2" s="8"/>
      <c r="P2" s="8"/>
      <c r="Q2" s="8"/>
    </row>
    <row r="3" spans="1:17" ht="12.75" customHeight="1">
      <c r="A3" s="1116" t="s">
        <v>257</v>
      </c>
      <c r="B3" s="1135"/>
      <c r="C3" s="1146" t="s">
        <v>244</v>
      </c>
      <c r="D3" s="8"/>
      <c r="E3" s="8"/>
      <c r="F3" s="8"/>
      <c r="G3" s="8"/>
      <c r="H3" s="8"/>
      <c r="I3" s="8"/>
      <c r="J3" s="8"/>
      <c r="K3" s="8"/>
      <c r="L3" s="8"/>
      <c r="M3" s="8"/>
      <c r="N3" s="8"/>
      <c r="O3" s="8"/>
      <c r="P3" s="8"/>
      <c r="Q3" s="8"/>
    </row>
    <row r="4" spans="1:17" ht="12.75" customHeight="1" thickBot="1">
      <c r="A4" s="1148"/>
      <c r="B4" s="1113"/>
      <c r="C4" s="1147"/>
      <c r="D4" s="8"/>
      <c r="E4" s="8"/>
      <c r="F4" s="8"/>
      <c r="G4" s="8"/>
      <c r="H4" s="8"/>
      <c r="I4" s="8"/>
      <c r="J4" s="8"/>
      <c r="K4" s="8"/>
      <c r="L4" s="8"/>
      <c r="M4" s="8"/>
      <c r="N4" s="8"/>
      <c r="O4" s="8"/>
      <c r="P4" s="8"/>
      <c r="Q4" s="8"/>
    </row>
    <row r="5" spans="1:17" ht="13.5" customHeight="1">
      <c r="A5" s="1458" t="s">
        <v>453</v>
      </c>
      <c r="B5" s="1446"/>
      <c r="C5" s="1459"/>
      <c r="D5" s="13"/>
      <c r="E5" s="13"/>
      <c r="F5" s="13"/>
      <c r="G5" s="13"/>
      <c r="H5" s="13"/>
      <c r="I5" s="13"/>
      <c r="J5" s="13"/>
      <c r="K5" s="13"/>
      <c r="L5" s="13"/>
      <c r="M5" s="13"/>
      <c r="N5" s="13"/>
      <c r="O5" s="13"/>
      <c r="P5" s="13"/>
      <c r="Q5" s="13"/>
    </row>
    <row r="6" spans="1:17" ht="12.75" customHeight="1">
      <c r="A6" s="1460"/>
      <c r="B6" s="1461"/>
      <c r="C6" s="1462"/>
      <c r="D6" s="13"/>
      <c r="E6" s="13"/>
      <c r="F6" s="13"/>
      <c r="G6" s="13"/>
      <c r="H6" s="13"/>
      <c r="I6" s="13"/>
      <c r="J6" s="13"/>
      <c r="K6" s="13"/>
      <c r="L6" s="13"/>
      <c r="M6" s="13"/>
      <c r="N6" s="13"/>
      <c r="O6" s="13"/>
      <c r="P6" s="13"/>
      <c r="Q6" s="13"/>
    </row>
    <row r="7" spans="1:17" ht="12.75" customHeight="1">
      <c r="A7" s="1460"/>
      <c r="B7" s="1461"/>
      <c r="C7" s="1462"/>
      <c r="D7" s="13"/>
      <c r="E7" s="13"/>
      <c r="F7" s="13"/>
      <c r="G7" s="13"/>
      <c r="H7" s="13"/>
      <c r="I7" s="13"/>
      <c r="J7" s="13"/>
      <c r="K7" s="13"/>
      <c r="L7" s="13"/>
      <c r="M7" s="13"/>
      <c r="N7" s="13"/>
      <c r="O7" s="13"/>
      <c r="P7" s="13"/>
      <c r="Q7" s="13"/>
    </row>
    <row r="8" spans="1:17" ht="12.75" customHeight="1">
      <c r="A8" s="1460"/>
      <c r="B8" s="1461"/>
      <c r="C8" s="1462"/>
      <c r="D8" s="13"/>
      <c r="E8" s="13"/>
      <c r="F8" s="13"/>
      <c r="G8" s="13"/>
      <c r="H8" s="13"/>
      <c r="I8" s="13"/>
      <c r="J8" s="13"/>
      <c r="K8" s="13"/>
      <c r="L8" s="13"/>
      <c r="M8" s="13"/>
      <c r="N8" s="13"/>
      <c r="O8" s="13"/>
      <c r="P8" s="13"/>
      <c r="Q8" s="13"/>
    </row>
    <row r="9" spans="1:17" ht="12.75" customHeight="1">
      <c r="A9" s="1460"/>
      <c r="B9" s="1461"/>
      <c r="C9" s="1462"/>
      <c r="D9" s="13"/>
      <c r="E9" s="13"/>
      <c r="F9" s="13"/>
      <c r="G9" s="13"/>
      <c r="H9" s="13"/>
      <c r="I9" s="13"/>
      <c r="J9" s="13"/>
      <c r="K9" s="13"/>
      <c r="L9" s="13"/>
      <c r="M9" s="13"/>
      <c r="N9" s="13"/>
      <c r="O9" s="13"/>
      <c r="P9" s="13"/>
      <c r="Q9" s="13"/>
    </row>
    <row r="10" spans="1:17" ht="12.75" customHeight="1">
      <c r="A10" s="1460"/>
      <c r="B10" s="1461"/>
      <c r="C10" s="1462"/>
      <c r="D10" s="13"/>
      <c r="E10" s="13"/>
      <c r="F10" s="13"/>
      <c r="G10" s="13"/>
      <c r="H10" s="13"/>
      <c r="I10" s="13"/>
      <c r="J10" s="13"/>
      <c r="K10" s="13"/>
      <c r="L10" s="13"/>
      <c r="M10" s="13"/>
      <c r="N10" s="13"/>
      <c r="O10" s="13"/>
      <c r="P10" s="13"/>
      <c r="Q10" s="13"/>
    </row>
    <row r="11" spans="1:17" ht="12.75" customHeight="1">
      <c r="A11" s="1460"/>
      <c r="B11" s="1461"/>
      <c r="C11" s="1462"/>
      <c r="D11" s="13"/>
      <c r="E11" s="13"/>
      <c r="F11" s="13"/>
      <c r="G11" s="13"/>
      <c r="H11" s="13"/>
      <c r="I11" s="13"/>
      <c r="J11" s="13"/>
      <c r="K11" s="13"/>
      <c r="L11" s="13"/>
      <c r="M11" s="13"/>
      <c r="N11" s="13"/>
      <c r="O11" s="13"/>
      <c r="P11" s="13"/>
      <c r="Q11" s="13"/>
    </row>
    <row r="12" spans="1:17" ht="15" customHeight="1" thickBot="1">
      <c r="A12" s="1448"/>
      <c r="B12" s="1449"/>
      <c r="C12" s="1450"/>
      <c r="D12" s="13"/>
      <c r="E12" s="13"/>
      <c r="F12" s="13"/>
      <c r="G12" s="13"/>
      <c r="H12" s="13"/>
      <c r="I12" s="13"/>
      <c r="J12" s="13"/>
      <c r="K12" s="13"/>
      <c r="L12" s="13"/>
      <c r="M12" s="13"/>
      <c r="N12" s="13"/>
      <c r="O12" s="13"/>
      <c r="P12" s="13"/>
      <c r="Q12" s="13"/>
    </row>
    <row r="13" spans="1:17" ht="12.75" customHeight="1">
      <c r="A13" s="1097" t="s">
        <v>671</v>
      </c>
      <c r="B13" s="986"/>
      <c r="C13" s="1098"/>
      <c r="D13" s="13"/>
      <c r="E13" s="13"/>
      <c r="F13" s="13"/>
      <c r="G13" s="13"/>
      <c r="H13" s="13"/>
      <c r="I13" s="13"/>
      <c r="J13" s="13"/>
      <c r="K13" s="13"/>
      <c r="L13" s="13"/>
      <c r="M13" s="13"/>
      <c r="N13" s="13"/>
      <c r="O13" s="13"/>
      <c r="P13" s="13"/>
      <c r="Q13" s="13"/>
    </row>
    <row r="14" spans="1:17" ht="12.75" customHeight="1">
      <c r="A14" s="1097" t="s">
        <v>258</v>
      </c>
      <c r="B14" s="986"/>
      <c r="C14" s="1098"/>
      <c r="D14" s="13"/>
      <c r="E14" s="13"/>
      <c r="F14" s="13"/>
      <c r="G14" s="13"/>
      <c r="H14" s="13"/>
      <c r="I14" s="13"/>
      <c r="J14" s="13"/>
      <c r="K14" s="13"/>
      <c r="L14" s="13"/>
      <c r="M14" s="13"/>
      <c r="N14" s="13"/>
      <c r="O14" s="13"/>
      <c r="P14" s="13"/>
      <c r="Q14" s="13"/>
    </row>
    <row r="15" spans="1:17" ht="12.75" customHeight="1">
      <c r="A15" s="1097" t="s">
        <v>941</v>
      </c>
      <c r="B15" s="986"/>
      <c r="C15" s="1098"/>
      <c r="D15" s="13"/>
      <c r="E15" s="13"/>
      <c r="F15" s="13"/>
      <c r="G15" s="13"/>
      <c r="H15" s="13"/>
      <c r="I15" s="13"/>
      <c r="J15" s="13"/>
      <c r="K15" s="13"/>
      <c r="L15" s="13"/>
      <c r="M15" s="13"/>
      <c r="N15" s="13"/>
      <c r="O15" s="13"/>
      <c r="P15" s="13"/>
      <c r="Q15" s="13"/>
    </row>
    <row r="16" spans="1:17" ht="12.75" customHeight="1" thickBot="1">
      <c r="A16" s="1097" t="s">
        <v>0</v>
      </c>
      <c r="B16" s="986"/>
      <c r="C16" s="1098"/>
      <c r="D16" s="986"/>
      <c r="E16" s="986"/>
      <c r="F16" s="986"/>
      <c r="G16" s="986"/>
      <c r="H16" s="986"/>
      <c r="I16" s="13"/>
      <c r="J16" s="13"/>
      <c r="K16" s="13"/>
      <c r="L16" s="13"/>
      <c r="M16" s="13"/>
      <c r="N16" s="13"/>
      <c r="O16" s="13"/>
      <c r="P16" s="13"/>
      <c r="Q16" s="13"/>
    </row>
    <row r="17" spans="1:17" ht="12.75" customHeight="1" thickBot="1">
      <c r="A17" s="1132" t="s">
        <v>1</v>
      </c>
      <c r="B17" s="1133"/>
      <c r="C17" s="1134">
        <f>C19+C42+C62+C86</f>
        <v>56131790.900000006</v>
      </c>
      <c r="D17" s="987"/>
      <c r="E17" s="986"/>
      <c r="F17" s="986"/>
      <c r="G17" s="986"/>
      <c r="H17" s="986"/>
      <c r="I17" s="13"/>
      <c r="J17" s="13"/>
      <c r="K17" s="13"/>
      <c r="L17" s="13"/>
      <c r="M17" s="13"/>
      <c r="N17" s="13"/>
      <c r="O17" s="13"/>
      <c r="P17" s="13"/>
      <c r="Q17" s="13"/>
    </row>
    <row r="18" spans="1:17" ht="12.75" customHeight="1" thickBot="1">
      <c r="A18" s="15"/>
      <c r="B18" s="15"/>
      <c r="C18" s="16"/>
      <c r="D18" s="1106"/>
      <c r="E18" s="1106"/>
      <c r="F18" s="1106"/>
      <c r="G18" s="1106"/>
      <c r="H18" s="1106"/>
      <c r="I18" s="13"/>
      <c r="J18" s="13"/>
      <c r="K18" s="13"/>
      <c r="L18" s="13"/>
      <c r="M18" s="13"/>
      <c r="N18" s="13"/>
      <c r="O18" s="13"/>
      <c r="P18" s="13"/>
      <c r="Q18" s="13"/>
    </row>
    <row r="19" spans="1:17" ht="12.75" customHeight="1" thickBot="1">
      <c r="A19" s="1451" t="s">
        <v>2</v>
      </c>
      <c r="B19" s="1281"/>
      <c r="C19" s="601">
        <f>C20+C27+C34</f>
        <v>29823790.900000002</v>
      </c>
      <c r="D19" s="1107"/>
      <c r="E19" s="1107"/>
      <c r="F19" s="1107"/>
      <c r="G19" s="1107"/>
      <c r="H19" s="1107"/>
      <c r="I19" s="13"/>
      <c r="J19" s="13"/>
      <c r="K19" s="13"/>
      <c r="L19" s="13"/>
      <c r="M19" s="13"/>
      <c r="N19" s="13"/>
      <c r="O19" s="13"/>
      <c r="P19" s="13"/>
      <c r="Q19" s="13"/>
    </row>
    <row r="20" spans="1:17" ht="12.75" customHeight="1">
      <c r="A20" s="48">
        <v>211101</v>
      </c>
      <c r="B20" s="22" t="s">
        <v>667</v>
      </c>
      <c r="C20" s="26">
        <f>SUM(C21:C26)</f>
        <v>7284072.0650000004</v>
      </c>
      <c r="D20" s="1039"/>
      <c r="E20" s="1039"/>
      <c r="F20" s="1039"/>
      <c r="G20" s="1039"/>
      <c r="H20" s="1039"/>
      <c r="I20" s="13"/>
      <c r="J20" s="13"/>
      <c r="K20" s="13"/>
      <c r="L20" s="13"/>
      <c r="M20" s="13"/>
      <c r="N20" s="13"/>
      <c r="O20" s="13"/>
      <c r="P20" s="13"/>
      <c r="Q20" s="13"/>
    </row>
    <row r="21" spans="1:17" ht="12.75" customHeight="1">
      <c r="A21" s="33">
        <v>21110101</v>
      </c>
      <c r="B21" s="24" t="s">
        <v>810</v>
      </c>
      <c r="C21" s="24">
        <v>5763154.9950000001</v>
      </c>
      <c r="D21" s="1039"/>
      <c r="E21" s="1039"/>
      <c r="F21" s="1039"/>
      <c r="G21" s="1039"/>
      <c r="H21" s="1039"/>
      <c r="I21" s="13"/>
      <c r="J21" s="13"/>
      <c r="K21" s="13"/>
      <c r="L21" s="13"/>
      <c r="M21" s="13"/>
      <c r="N21" s="13"/>
      <c r="O21" s="13"/>
      <c r="P21" s="13"/>
      <c r="Q21" s="13"/>
    </row>
    <row r="22" spans="1:17" ht="12.75" customHeight="1">
      <c r="A22" s="33">
        <v>21110102</v>
      </c>
      <c r="B22" s="24" t="s">
        <v>811</v>
      </c>
      <c r="C22" s="24">
        <v>1278958.2</v>
      </c>
      <c r="D22" s="1039"/>
      <c r="E22" s="1039"/>
      <c r="F22" s="1109"/>
      <c r="G22" s="1039"/>
      <c r="H22" s="1039"/>
      <c r="I22" s="13"/>
      <c r="J22" s="13"/>
      <c r="K22" s="13"/>
      <c r="L22" s="13"/>
      <c r="M22" s="13"/>
      <c r="N22" s="13"/>
      <c r="O22" s="13"/>
      <c r="P22" s="13"/>
      <c r="Q22" s="13"/>
    </row>
    <row r="23" spans="1:17" ht="12.75" customHeight="1">
      <c r="A23" s="33">
        <v>21110103</v>
      </c>
      <c r="B23" s="24" t="s">
        <v>812</v>
      </c>
      <c r="C23" s="24">
        <v>241955.87000000002</v>
      </c>
      <c r="D23" s="994"/>
      <c r="E23" s="994"/>
      <c r="F23" s="994"/>
      <c r="G23" s="994"/>
      <c r="H23" s="994"/>
      <c r="I23" s="27"/>
      <c r="J23" s="27"/>
      <c r="K23" s="27"/>
      <c r="L23" s="27"/>
      <c r="M23" s="27"/>
      <c r="N23" s="27"/>
      <c r="O23" s="27"/>
      <c r="P23" s="27"/>
      <c r="Q23" s="27"/>
    </row>
    <row r="24" spans="1:17" ht="12.75" customHeight="1">
      <c r="A24" s="33">
        <v>21110104</v>
      </c>
      <c r="B24" s="24" t="s">
        <v>813</v>
      </c>
      <c r="C24" s="24">
        <v>1</v>
      </c>
      <c r="D24" s="27"/>
      <c r="E24" s="27"/>
      <c r="F24" s="27"/>
      <c r="G24" s="27"/>
      <c r="H24" s="27"/>
      <c r="I24" s="27"/>
      <c r="J24" s="27"/>
      <c r="K24" s="27"/>
      <c r="L24" s="27"/>
      <c r="M24" s="27"/>
      <c r="N24" s="27"/>
      <c r="O24" s="27"/>
      <c r="P24" s="27"/>
      <c r="Q24" s="27"/>
    </row>
    <row r="25" spans="1:17" ht="12.75" customHeight="1">
      <c r="A25" s="33">
        <v>21110105</v>
      </c>
      <c r="B25" s="24" t="s">
        <v>814</v>
      </c>
      <c r="C25" s="24">
        <v>1</v>
      </c>
      <c r="D25" s="27"/>
      <c r="E25" s="27"/>
      <c r="F25" s="27"/>
      <c r="G25" s="27"/>
      <c r="H25" s="27"/>
      <c r="I25" s="27"/>
      <c r="J25" s="27"/>
      <c r="K25" s="27"/>
      <c r="L25" s="27"/>
      <c r="M25" s="27"/>
      <c r="N25" s="27"/>
      <c r="O25" s="27"/>
      <c r="P25" s="27"/>
      <c r="Q25" s="27"/>
    </row>
    <row r="26" spans="1:17" ht="12.75" customHeight="1">
      <c r="A26" s="33">
        <v>21110106</v>
      </c>
      <c r="B26" s="24" t="s">
        <v>815</v>
      </c>
      <c r="C26" s="24">
        <v>1</v>
      </c>
      <c r="D26" s="27"/>
      <c r="E26" s="27"/>
      <c r="F26" s="27"/>
      <c r="G26" s="27"/>
      <c r="H26" s="27"/>
      <c r="I26" s="27"/>
      <c r="J26" s="27"/>
      <c r="K26" s="27"/>
      <c r="L26" s="27"/>
      <c r="M26" s="27"/>
      <c r="N26" s="27"/>
      <c r="O26" s="27"/>
      <c r="P26" s="27"/>
      <c r="Q26" s="27"/>
    </row>
    <row r="27" spans="1:17" ht="12.75" customHeight="1">
      <c r="A27" s="48">
        <v>211102</v>
      </c>
      <c r="B27" s="26" t="s">
        <v>668</v>
      </c>
      <c r="C27" s="26">
        <f>SUM(C28:C33)</f>
        <v>22539712.835000001</v>
      </c>
      <c r="D27" s="27"/>
      <c r="E27" s="27"/>
      <c r="F27" s="27"/>
      <c r="G27" s="27"/>
      <c r="H27" s="27"/>
      <c r="I27" s="27"/>
      <c r="J27" s="27"/>
      <c r="K27" s="27"/>
      <c r="L27" s="27"/>
      <c r="M27" s="27"/>
      <c r="N27" s="27"/>
      <c r="O27" s="27"/>
      <c r="P27" s="27"/>
      <c r="Q27" s="27"/>
    </row>
    <row r="28" spans="1:17" ht="12.75" customHeight="1">
      <c r="A28" s="33">
        <v>21110201</v>
      </c>
      <c r="B28" s="24" t="s">
        <v>816</v>
      </c>
      <c r="C28" s="24">
        <v>17568027.945</v>
      </c>
      <c r="D28" s="27"/>
      <c r="E28" s="27"/>
      <c r="F28" s="27"/>
      <c r="G28" s="27"/>
      <c r="H28" s="27"/>
      <c r="I28" s="27"/>
      <c r="J28" s="27"/>
      <c r="K28" s="27"/>
      <c r="L28" s="27"/>
      <c r="M28" s="27"/>
      <c r="N28" s="27"/>
      <c r="O28" s="27"/>
      <c r="P28" s="27"/>
      <c r="Q28" s="27"/>
    </row>
    <row r="29" spans="1:17" ht="12.75" customHeight="1">
      <c r="A29" s="33">
        <v>21110202</v>
      </c>
      <c r="B29" s="24" t="s">
        <v>817</v>
      </c>
      <c r="C29" s="24">
        <v>3880546.8</v>
      </c>
      <c r="D29" s="13"/>
      <c r="E29" s="13"/>
      <c r="F29" s="13"/>
      <c r="G29" s="13"/>
      <c r="H29" s="13"/>
      <c r="I29" s="13"/>
      <c r="J29" s="13"/>
      <c r="K29" s="13"/>
      <c r="L29" s="13"/>
      <c r="M29" s="13"/>
      <c r="N29" s="13"/>
      <c r="O29" s="13"/>
      <c r="P29" s="13"/>
      <c r="Q29" s="13"/>
    </row>
    <row r="30" spans="1:17" ht="12.75" customHeight="1">
      <c r="A30" s="33">
        <v>21110203</v>
      </c>
      <c r="B30" s="24" t="s">
        <v>818</v>
      </c>
      <c r="C30" s="24">
        <v>718392.09</v>
      </c>
      <c r="D30" s="13"/>
      <c r="E30" s="13"/>
      <c r="F30" s="13"/>
      <c r="G30" s="13"/>
      <c r="H30" s="13"/>
      <c r="I30" s="13"/>
      <c r="J30" s="13"/>
      <c r="K30" s="13"/>
      <c r="L30" s="13"/>
      <c r="M30" s="13"/>
      <c r="N30" s="13"/>
      <c r="O30" s="13"/>
      <c r="P30" s="13"/>
      <c r="Q30" s="13"/>
    </row>
    <row r="31" spans="1:17" ht="12.75" customHeight="1">
      <c r="A31" s="33">
        <v>21110204</v>
      </c>
      <c r="B31" s="24" t="s">
        <v>819</v>
      </c>
      <c r="C31" s="24">
        <v>1</v>
      </c>
      <c r="D31" s="27"/>
      <c r="E31" s="27"/>
      <c r="F31" s="27"/>
      <c r="G31" s="27"/>
      <c r="H31" s="27"/>
      <c r="I31" s="27"/>
      <c r="J31" s="27"/>
      <c r="K31" s="27"/>
      <c r="L31" s="27"/>
      <c r="M31" s="27"/>
      <c r="N31" s="27"/>
      <c r="O31" s="27"/>
      <c r="P31" s="27"/>
      <c r="Q31" s="27"/>
    </row>
    <row r="32" spans="1:17" ht="12.75" customHeight="1">
      <c r="A32" s="33">
        <v>21110205</v>
      </c>
      <c r="B32" s="24" t="s">
        <v>820</v>
      </c>
      <c r="C32" s="24">
        <v>372744</v>
      </c>
      <c r="D32" s="27"/>
      <c r="E32" s="27"/>
      <c r="F32" s="27"/>
      <c r="G32" s="27"/>
      <c r="H32" s="27"/>
      <c r="I32" s="27"/>
      <c r="J32" s="27"/>
      <c r="K32" s="27"/>
      <c r="L32" s="27"/>
      <c r="M32" s="27"/>
      <c r="N32" s="27"/>
      <c r="O32" s="27"/>
      <c r="P32" s="27"/>
      <c r="Q32" s="27"/>
    </row>
    <row r="33" spans="1:17" ht="12.75" customHeight="1">
      <c r="A33" s="33">
        <v>21110206</v>
      </c>
      <c r="B33" s="24" t="s">
        <v>821</v>
      </c>
      <c r="C33" s="24">
        <v>1</v>
      </c>
      <c r="D33" s="27"/>
      <c r="E33" s="27"/>
      <c r="F33" s="27"/>
      <c r="G33" s="27"/>
      <c r="H33" s="27"/>
      <c r="I33" s="27"/>
      <c r="J33" s="27"/>
      <c r="K33" s="27"/>
      <c r="L33" s="27"/>
      <c r="M33" s="27"/>
      <c r="N33" s="27"/>
      <c r="O33" s="27"/>
      <c r="P33" s="27"/>
      <c r="Q33" s="27"/>
    </row>
    <row r="34" spans="1:17" ht="12.75" customHeight="1">
      <c r="A34" s="48">
        <v>211103</v>
      </c>
      <c r="B34" s="26" t="s">
        <v>669</v>
      </c>
      <c r="C34" s="26">
        <f>SUM(C35:C40)</f>
        <v>6</v>
      </c>
      <c r="D34" s="27"/>
      <c r="E34" s="27"/>
      <c r="F34" s="27"/>
      <c r="G34" s="27"/>
      <c r="H34" s="27"/>
      <c r="I34" s="27"/>
      <c r="J34" s="27"/>
      <c r="K34" s="27"/>
      <c r="L34" s="27"/>
      <c r="M34" s="27"/>
      <c r="N34" s="27"/>
      <c r="O34" s="27"/>
      <c r="P34" s="27"/>
      <c r="Q34" s="27"/>
    </row>
    <row r="35" spans="1:17" ht="12.75" customHeight="1">
      <c r="A35" s="33">
        <v>21110301</v>
      </c>
      <c r="B35" s="24" t="s">
        <v>822</v>
      </c>
      <c r="C35" s="24">
        <v>1</v>
      </c>
      <c r="D35" s="13"/>
      <c r="E35" s="13"/>
      <c r="F35" s="13"/>
      <c r="G35" s="13"/>
      <c r="H35" s="13"/>
      <c r="I35" s="13"/>
      <c r="J35" s="13"/>
      <c r="K35" s="13"/>
      <c r="L35" s="13"/>
      <c r="M35" s="13"/>
      <c r="N35" s="13"/>
      <c r="O35" s="13"/>
      <c r="P35" s="13"/>
      <c r="Q35" s="13"/>
    </row>
    <row r="36" spans="1:17" ht="12.75" customHeight="1">
      <c r="A36" s="33">
        <v>21110302</v>
      </c>
      <c r="B36" s="24" t="s">
        <v>823</v>
      </c>
      <c r="C36" s="24">
        <v>1</v>
      </c>
      <c r="D36" s="13"/>
      <c r="E36" s="13"/>
      <c r="F36" s="13"/>
      <c r="G36" s="13"/>
      <c r="H36" s="13"/>
      <c r="I36" s="13"/>
      <c r="J36" s="13"/>
      <c r="K36" s="13"/>
      <c r="L36" s="13"/>
      <c r="M36" s="13"/>
      <c r="N36" s="13"/>
      <c r="O36" s="13"/>
      <c r="P36" s="13"/>
      <c r="Q36" s="13"/>
    </row>
    <row r="37" spans="1:17" ht="12.75" customHeight="1">
      <c r="A37" s="33">
        <v>21110303</v>
      </c>
      <c r="B37" s="24" t="s">
        <v>824</v>
      </c>
      <c r="C37" s="24">
        <v>1</v>
      </c>
      <c r="D37" s="27"/>
      <c r="E37" s="27"/>
      <c r="F37" s="27"/>
      <c r="G37" s="27"/>
      <c r="H37" s="27"/>
      <c r="I37" s="27"/>
      <c r="J37" s="27"/>
      <c r="K37" s="27"/>
      <c r="L37" s="27"/>
      <c r="M37" s="27"/>
      <c r="N37" s="27"/>
      <c r="O37" s="27"/>
      <c r="P37" s="27"/>
      <c r="Q37" s="27"/>
    </row>
    <row r="38" spans="1:17" ht="12.75" customHeight="1">
      <c r="A38" s="33">
        <v>21110304</v>
      </c>
      <c r="B38" s="24" t="s">
        <v>825</v>
      </c>
      <c r="C38" s="24">
        <v>1</v>
      </c>
      <c r="D38" s="27"/>
      <c r="E38" s="27"/>
      <c r="F38" s="27"/>
      <c r="G38" s="27"/>
      <c r="H38" s="27"/>
      <c r="I38" s="27"/>
      <c r="J38" s="27"/>
      <c r="K38" s="27"/>
      <c r="L38" s="27"/>
      <c r="M38" s="27"/>
      <c r="N38" s="27"/>
      <c r="O38" s="27"/>
      <c r="P38" s="27"/>
      <c r="Q38" s="27"/>
    </row>
    <row r="39" spans="1:17" ht="12.75" customHeight="1">
      <c r="A39" s="33">
        <v>21110305</v>
      </c>
      <c r="B39" s="24" t="s">
        <v>826</v>
      </c>
      <c r="C39" s="24">
        <v>1</v>
      </c>
      <c r="D39" s="27"/>
      <c r="E39" s="27"/>
      <c r="F39" s="27"/>
      <c r="G39" s="27"/>
      <c r="H39" s="27"/>
      <c r="I39" s="27"/>
      <c r="J39" s="27"/>
      <c r="K39" s="27"/>
      <c r="L39" s="27"/>
      <c r="M39" s="27"/>
      <c r="N39" s="27"/>
      <c r="O39" s="27"/>
      <c r="P39" s="27"/>
      <c r="Q39" s="27"/>
    </row>
    <row r="40" spans="1:17" ht="12.75" customHeight="1">
      <c r="A40" s="33">
        <v>21110306</v>
      </c>
      <c r="B40" s="24" t="s">
        <v>670</v>
      </c>
      <c r="C40" s="24">
        <v>1</v>
      </c>
      <c r="D40" s="27"/>
      <c r="E40" s="27"/>
      <c r="F40" s="27"/>
      <c r="G40" s="27"/>
      <c r="H40" s="27"/>
      <c r="I40" s="27"/>
      <c r="J40" s="27"/>
      <c r="K40" s="27"/>
      <c r="L40" s="27"/>
      <c r="M40" s="27"/>
      <c r="N40" s="27"/>
      <c r="O40" s="27"/>
      <c r="P40" s="27"/>
      <c r="Q40" s="27"/>
    </row>
    <row r="41" spans="1:17" ht="12.75" customHeight="1" thickBot="1">
      <c r="A41" s="23"/>
      <c r="B41" s="23"/>
      <c r="C41" s="14"/>
      <c r="D41" s="8"/>
      <c r="E41" s="8"/>
      <c r="F41" s="8"/>
      <c r="G41" s="8"/>
      <c r="H41" s="8"/>
      <c r="I41" s="8"/>
      <c r="J41" s="8"/>
      <c r="K41" s="8"/>
      <c r="L41" s="8"/>
      <c r="M41" s="8"/>
      <c r="N41" s="8"/>
      <c r="O41" s="8"/>
      <c r="P41" s="8"/>
      <c r="Q41" s="8"/>
    </row>
    <row r="42" spans="1:17" ht="12.75" customHeight="1" thickBot="1">
      <c r="A42" s="1280" t="s">
        <v>9</v>
      </c>
      <c r="B42" s="1281"/>
      <c r="C42" s="31">
        <f>C43+C45+C48+C50+C55+C57</f>
        <v>6795500</v>
      </c>
      <c r="D42" s="8"/>
      <c r="E42" s="8"/>
      <c r="F42" s="8"/>
      <c r="G42" s="8"/>
      <c r="H42" s="8"/>
      <c r="I42" s="8"/>
      <c r="J42" s="8"/>
      <c r="K42" s="8"/>
      <c r="L42" s="8"/>
      <c r="M42" s="8"/>
      <c r="N42" s="8"/>
      <c r="O42" s="8"/>
      <c r="P42" s="8"/>
      <c r="Q42" s="8"/>
    </row>
    <row r="43" spans="1:17" ht="12.75" customHeight="1">
      <c r="A43" s="48">
        <v>211201</v>
      </c>
      <c r="B43" s="22" t="s">
        <v>459</v>
      </c>
      <c r="C43" s="82">
        <f>SUM(C44)</f>
        <v>495500</v>
      </c>
      <c r="D43" s="84"/>
      <c r="E43" s="84"/>
      <c r="F43" s="84"/>
      <c r="G43" s="84"/>
      <c r="H43" s="84"/>
      <c r="I43" s="84"/>
      <c r="J43" s="84"/>
      <c r="K43" s="84"/>
      <c r="L43" s="84"/>
      <c r="M43" s="84"/>
      <c r="N43" s="84"/>
      <c r="O43" s="84"/>
      <c r="P43" s="84"/>
      <c r="Q43" s="84"/>
    </row>
    <row r="44" spans="1:17" ht="13.5" customHeight="1">
      <c r="A44" s="33">
        <v>21120101</v>
      </c>
      <c r="B44" s="13" t="s">
        <v>460</v>
      </c>
      <c r="C44" s="24">
        <v>495500</v>
      </c>
      <c r="D44" s="13"/>
      <c r="E44" s="13"/>
      <c r="F44" s="13"/>
      <c r="G44" s="13"/>
      <c r="H44" s="13"/>
      <c r="I44" s="13"/>
      <c r="J44" s="13"/>
      <c r="K44" s="13"/>
      <c r="L44" s="13"/>
      <c r="M44" s="13"/>
      <c r="N44" s="13"/>
      <c r="O44" s="13"/>
      <c r="P44" s="13"/>
      <c r="Q44" s="13"/>
    </row>
    <row r="45" spans="1:17" ht="13.5" customHeight="1">
      <c r="A45" s="48">
        <v>211203</v>
      </c>
      <c r="B45" s="15" t="s">
        <v>461</v>
      </c>
      <c r="C45" s="26">
        <f>+SUM(C46:C47)</f>
        <v>700000</v>
      </c>
      <c r="D45" s="13"/>
      <c r="E45" s="13"/>
      <c r="F45" s="13"/>
      <c r="G45" s="13"/>
      <c r="H45" s="13"/>
      <c r="I45" s="13"/>
      <c r="J45" s="13"/>
      <c r="K45" s="13"/>
      <c r="L45" s="13"/>
      <c r="M45" s="13"/>
      <c r="N45" s="13"/>
      <c r="O45" s="13"/>
      <c r="P45" s="13"/>
      <c r="Q45" s="13"/>
    </row>
    <row r="46" spans="1:17" ht="13.5" customHeight="1">
      <c r="A46" s="33">
        <v>21120301</v>
      </c>
      <c r="B46" s="13" t="s">
        <v>527</v>
      </c>
      <c r="C46" s="24">
        <v>200000</v>
      </c>
      <c r="D46" s="13"/>
      <c r="E46" s="13"/>
      <c r="F46" s="13"/>
      <c r="G46" s="13"/>
      <c r="H46" s="13"/>
      <c r="I46" s="13"/>
      <c r="J46" s="13"/>
      <c r="K46" s="13"/>
      <c r="L46" s="13"/>
      <c r="M46" s="13"/>
      <c r="N46" s="13"/>
      <c r="O46" s="13"/>
      <c r="P46" s="13"/>
      <c r="Q46" s="13"/>
    </row>
    <row r="47" spans="1:17" ht="13.5" customHeight="1">
      <c r="A47" s="33">
        <v>21120302</v>
      </c>
      <c r="B47" s="13" t="s">
        <v>462</v>
      </c>
      <c r="C47" s="24">
        <v>500000</v>
      </c>
      <c r="D47" s="13"/>
      <c r="E47" s="13"/>
      <c r="F47" s="13"/>
      <c r="G47" s="13"/>
      <c r="H47" s="13"/>
      <c r="I47" s="13"/>
      <c r="J47" s="13"/>
      <c r="K47" s="13"/>
      <c r="L47" s="13"/>
      <c r="M47" s="13"/>
      <c r="N47" s="13"/>
      <c r="O47" s="13"/>
      <c r="P47" s="13"/>
      <c r="Q47" s="13"/>
    </row>
    <row r="48" spans="1:17" ht="13.5" customHeight="1">
      <c r="A48" s="48">
        <v>211204</v>
      </c>
      <c r="B48" s="15" t="s">
        <v>463</v>
      </c>
      <c r="C48" s="26">
        <f>C49</f>
        <v>900000</v>
      </c>
      <c r="D48" s="13"/>
      <c r="E48" s="13"/>
      <c r="F48" s="13"/>
      <c r="G48" s="13"/>
      <c r="H48" s="13"/>
      <c r="I48" s="13"/>
      <c r="J48" s="13"/>
      <c r="K48" s="13"/>
      <c r="L48" s="13"/>
      <c r="M48" s="13"/>
      <c r="N48" s="13"/>
      <c r="O48" s="13"/>
      <c r="P48" s="13"/>
      <c r="Q48" s="13"/>
    </row>
    <row r="49" spans="1:17" ht="13.5" customHeight="1">
      <c r="A49" s="33">
        <v>21120401</v>
      </c>
      <c r="B49" s="24" t="s">
        <v>464</v>
      </c>
      <c r="C49" s="24">
        <v>900000</v>
      </c>
      <c r="D49" s="13"/>
      <c r="E49" s="13"/>
      <c r="F49" s="13"/>
      <c r="G49" s="13"/>
      <c r="H49" s="13"/>
      <c r="I49" s="13"/>
      <c r="J49" s="13"/>
      <c r="K49" s="13"/>
      <c r="L49" s="13"/>
      <c r="M49" s="13"/>
      <c r="N49" s="13"/>
      <c r="O49" s="13"/>
      <c r="P49" s="13"/>
      <c r="Q49" s="13"/>
    </row>
    <row r="50" spans="1:17" ht="13.5" customHeight="1">
      <c r="A50" s="48">
        <v>211207</v>
      </c>
      <c r="B50" s="265" t="s">
        <v>467</v>
      </c>
      <c r="C50" s="26">
        <f>+SUM(C51:C54)</f>
        <v>1150000</v>
      </c>
      <c r="D50" s="13"/>
      <c r="E50" s="13"/>
      <c r="F50" s="13"/>
      <c r="G50" s="13"/>
      <c r="H50" s="13"/>
      <c r="I50" s="13"/>
      <c r="J50" s="13"/>
      <c r="K50" s="13"/>
      <c r="L50" s="13"/>
      <c r="M50" s="13"/>
      <c r="N50" s="13"/>
      <c r="O50" s="13"/>
      <c r="P50" s="13"/>
      <c r="Q50" s="13"/>
    </row>
    <row r="51" spans="1:17" ht="13.5" customHeight="1">
      <c r="A51" s="33">
        <v>21120702</v>
      </c>
      <c r="B51" s="13" t="s">
        <v>468</v>
      </c>
      <c r="C51" s="24">
        <v>400000</v>
      </c>
      <c r="D51" s="13"/>
      <c r="E51" s="13"/>
      <c r="F51" s="13"/>
      <c r="G51" s="13"/>
      <c r="H51" s="13"/>
      <c r="I51" s="13"/>
      <c r="J51" s="13"/>
      <c r="K51" s="13"/>
      <c r="L51" s="13"/>
      <c r="M51" s="13"/>
      <c r="N51" s="13"/>
      <c r="O51" s="13"/>
      <c r="P51" s="13"/>
      <c r="Q51" s="13"/>
    </row>
    <row r="52" spans="1:17" ht="13.5" customHeight="1">
      <c r="A52" s="33">
        <v>21120708</v>
      </c>
      <c r="B52" s="13" t="s">
        <v>470</v>
      </c>
      <c r="C52" s="24">
        <v>250000</v>
      </c>
      <c r="D52" s="13"/>
      <c r="E52" s="13"/>
      <c r="F52" s="13"/>
      <c r="G52" s="13"/>
      <c r="H52" s="13"/>
      <c r="I52" s="13"/>
      <c r="J52" s="13"/>
      <c r="K52" s="13"/>
      <c r="L52" s="13"/>
      <c r="M52" s="13"/>
      <c r="N52" s="13"/>
      <c r="O52" s="13"/>
      <c r="P52" s="13"/>
      <c r="Q52" s="13"/>
    </row>
    <row r="53" spans="1:17" ht="12.75" customHeight="1">
      <c r="A53" s="33">
        <v>21120709</v>
      </c>
      <c r="B53" s="24" t="s">
        <v>471</v>
      </c>
      <c r="C53" s="24">
        <v>250000</v>
      </c>
      <c r="D53" s="8"/>
      <c r="E53" s="8"/>
      <c r="F53" s="8"/>
      <c r="G53" s="8"/>
      <c r="H53" s="8"/>
      <c r="I53" s="8"/>
      <c r="J53" s="8"/>
      <c r="K53" s="8"/>
      <c r="L53" s="8"/>
      <c r="M53" s="8"/>
      <c r="N53" s="8"/>
      <c r="O53" s="8"/>
      <c r="P53" s="8"/>
      <c r="Q53" s="8"/>
    </row>
    <row r="54" spans="1:17" ht="12.75" customHeight="1">
      <c r="A54" s="33">
        <v>21120711</v>
      </c>
      <c r="B54" s="24" t="s">
        <v>473</v>
      </c>
      <c r="C54" s="24">
        <v>250000</v>
      </c>
      <c r="D54" s="8"/>
      <c r="E54" s="8"/>
      <c r="F54" s="8"/>
      <c r="G54" s="8"/>
      <c r="H54" s="8"/>
      <c r="I54" s="8"/>
      <c r="J54" s="8"/>
      <c r="K54" s="8"/>
      <c r="L54" s="8"/>
      <c r="M54" s="8"/>
      <c r="N54" s="8"/>
      <c r="O54" s="8"/>
      <c r="P54" s="8"/>
      <c r="Q54" s="8"/>
    </row>
    <row r="55" spans="1:17" ht="12.75" customHeight="1">
      <c r="A55" s="48">
        <v>211208</v>
      </c>
      <c r="B55" s="15" t="s">
        <v>474</v>
      </c>
      <c r="C55" s="16">
        <f>C56</f>
        <v>1500000</v>
      </c>
      <c r="D55" s="8"/>
      <c r="E55" s="8"/>
      <c r="F55" s="8"/>
      <c r="G55" s="8"/>
      <c r="H55" s="8"/>
      <c r="I55" s="8"/>
      <c r="J55" s="8"/>
      <c r="K55" s="8"/>
      <c r="L55" s="8"/>
      <c r="M55" s="8"/>
      <c r="N55" s="8"/>
      <c r="O55" s="8"/>
      <c r="P55" s="8"/>
      <c r="Q55" s="8"/>
    </row>
    <row r="56" spans="1:17" ht="12.75" customHeight="1">
      <c r="A56" s="33">
        <v>21120805</v>
      </c>
      <c r="B56" s="24" t="s">
        <v>476</v>
      </c>
      <c r="C56" s="14">
        <v>1500000</v>
      </c>
      <c r="D56" s="8"/>
      <c r="E56" s="8"/>
      <c r="F56" s="8"/>
      <c r="G56" s="8"/>
      <c r="H56" s="8"/>
      <c r="I56" s="8"/>
      <c r="J56" s="8"/>
      <c r="K56" s="8"/>
      <c r="L56" s="8"/>
      <c r="M56" s="8"/>
      <c r="N56" s="8"/>
      <c r="O56" s="8"/>
      <c r="P56" s="8"/>
      <c r="Q56" s="8"/>
    </row>
    <row r="57" spans="1:17" ht="12.75" customHeight="1">
      <c r="A57" s="48">
        <v>211209</v>
      </c>
      <c r="B57" s="26" t="s">
        <v>477</v>
      </c>
      <c r="C57" s="16">
        <f>+SUM(C58:C60)</f>
        <v>2050000</v>
      </c>
      <c r="D57" s="8"/>
      <c r="E57" s="8"/>
      <c r="F57" s="8"/>
      <c r="G57" s="8"/>
      <c r="H57" s="8"/>
      <c r="I57" s="8"/>
      <c r="J57" s="8"/>
      <c r="K57" s="8"/>
      <c r="L57" s="8"/>
      <c r="M57" s="8"/>
      <c r="N57" s="8"/>
      <c r="O57" s="8"/>
      <c r="P57" s="8"/>
      <c r="Q57" s="8"/>
    </row>
    <row r="58" spans="1:17" ht="12.75" customHeight="1">
      <c r="A58" s="33">
        <v>21120901</v>
      </c>
      <c r="B58" s="24" t="s">
        <v>478</v>
      </c>
      <c r="C58" s="14">
        <v>800000</v>
      </c>
      <c r="D58" s="8"/>
      <c r="E58" s="8"/>
      <c r="F58" s="8"/>
      <c r="G58" s="8"/>
      <c r="H58" s="8"/>
      <c r="I58" s="8"/>
      <c r="J58" s="8"/>
      <c r="K58" s="8"/>
      <c r="L58" s="8"/>
      <c r="M58" s="8"/>
      <c r="N58" s="8"/>
      <c r="O58" s="8"/>
      <c r="P58" s="8"/>
      <c r="Q58" s="8"/>
    </row>
    <row r="59" spans="1:17" ht="13.5" customHeight="1">
      <c r="A59" s="33">
        <v>21120906</v>
      </c>
      <c r="B59" s="24" t="s">
        <v>479</v>
      </c>
      <c r="C59" s="24">
        <v>500000</v>
      </c>
      <c r="D59" s="13"/>
      <c r="E59" s="13"/>
      <c r="F59" s="13"/>
      <c r="G59" s="13"/>
      <c r="H59" s="13"/>
      <c r="I59" s="13"/>
      <c r="J59" s="13"/>
      <c r="K59" s="13"/>
      <c r="L59" s="13"/>
      <c r="M59" s="13"/>
      <c r="N59" s="13"/>
      <c r="O59" s="13"/>
      <c r="P59" s="13"/>
      <c r="Q59" s="13"/>
    </row>
    <row r="60" spans="1:17" ht="13.5" customHeight="1">
      <c r="A60" s="33">
        <v>21120907</v>
      </c>
      <c r="B60" s="13" t="s">
        <v>480</v>
      </c>
      <c r="C60" s="24">
        <v>750000</v>
      </c>
      <c r="D60" s="13"/>
      <c r="E60" s="13"/>
      <c r="F60" s="13"/>
      <c r="G60" s="13"/>
      <c r="H60" s="13"/>
      <c r="I60" s="13"/>
      <c r="J60" s="13"/>
      <c r="K60" s="13"/>
      <c r="L60" s="13"/>
      <c r="M60" s="13"/>
      <c r="N60" s="13"/>
      <c r="O60" s="13"/>
      <c r="P60" s="13"/>
      <c r="Q60" s="13"/>
    </row>
    <row r="61" spans="1:17" ht="12.75" customHeight="1" thickBot="1">
      <c r="A61" s="13"/>
      <c r="B61" s="13"/>
      <c r="C61" s="14"/>
      <c r="D61" s="8"/>
      <c r="E61" s="8"/>
      <c r="F61" s="8"/>
      <c r="G61" s="8"/>
      <c r="H61" s="8"/>
      <c r="I61" s="8"/>
      <c r="J61" s="8"/>
      <c r="K61" s="8"/>
      <c r="L61" s="8"/>
      <c r="M61" s="8"/>
      <c r="N61" s="8"/>
      <c r="O61" s="8"/>
      <c r="P61" s="8"/>
      <c r="Q61" s="8"/>
    </row>
    <row r="62" spans="1:17" ht="12.75" customHeight="1" thickBot="1">
      <c r="A62" s="1282" t="s">
        <v>4</v>
      </c>
      <c r="B62" s="1281"/>
      <c r="C62" s="41">
        <f>C63+C69+C72+C74+C76+C79+C81</f>
        <v>17412500</v>
      </c>
      <c r="D62" s="8"/>
      <c r="E62" s="8"/>
      <c r="F62" s="8"/>
      <c r="G62" s="8"/>
      <c r="H62" s="8"/>
      <c r="I62" s="8"/>
      <c r="J62" s="8"/>
      <c r="K62" s="8"/>
      <c r="L62" s="8"/>
      <c r="M62" s="8"/>
      <c r="N62" s="8"/>
      <c r="O62" s="8"/>
      <c r="P62" s="8"/>
      <c r="Q62" s="8"/>
    </row>
    <row r="63" spans="1:17" ht="12.75" customHeight="1">
      <c r="A63" s="48">
        <v>211301</v>
      </c>
      <c r="B63" s="22" t="s">
        <v>518</v>
      </c>
      <c r="C63" s="82">
        <f>+SUM(C64:C68)</f>
        <v>4915000</v>
      </c>
      <c r="D63" s="8"/>
      <c r="E63" s="8"/>
      <c r="F63" s="8"/>
      <c r="G63" s="8"/>
      <c r="H63" s="8"/>
      <c r="I63" s="8"/>
      <c r="J63" s="8"/>
      <c r="K63" s="8"/>
      <c r="L63" s="8"/>
      <c r="M63" s="8"/>
      <c r="N63" s="8"/>
      <c r="O63" s="8"/>
      <c r="P63" s="8"/>
      <c r="Q63" s="8"/>
    </row>
    <row r="64" spans="1:17" ht="13.5" customHeight="1">
      <c r="A64" s="33">
        <v>21130101</v>
      </c>
      <c r="B64" s="13" t="s">
        <v>606</v>
      </c>
      <c r="C64" s="24">
        <v>3500000</v>
      </c>
      <c r="D64" s="13"/>
      <c r="E64" s="13"/>
      <c r="F64" s="13"/>
      <c r="G64" s="13"/>
      <c r="H64" s="13"/>
      <c r="I64" s="13"/>
      <c r="J64" s="13"/>
      <c r="K64" s="13"/>
      <c r="L64" s="13"/>
      <c r="M64" s="13"/>
      <c r="N64" s="13"/>
      <c r="O64" s="13"/>
      <c r="P64" s="13"/>
      <c r="Q64" s="13"/>
    </row>
    <row r="65" spans="1:17" ht="13.5" customHeight="1">
      <c r="A65" s="33">
        <v>21130102</v>
      </c>
      <c r="B65" s="13" t="s">
        <v>607</v>
      </c>
      <c r="C65" s="24">
        <v>83000</v>
      </c>
      <c r="D65" s="13"/>
      <c r="E65" s="13"/>
      <c r="F65" s="13"/>
      <c r="G65" s="13"/>
      <c r="H65" s="13"/>
      <c r="I65" s="13"/>
      <c r="J65" s="13"/>
      <c r="K65" s="13"/>
      <c r="L65" s="13"/>
      <c r="M65" s="13"/>
      <c r="N65" s="13"/>
      <c r="O65" s="13"/>
      <c r="P65" s="13"/>
      <c r="Q65" s="13"/>
    </row>
    <row r="66" spans="1:17" ht="13.5" customHeight="1">
      <c r="A66" s="33">
        <v>21130103</v>
      </c>
      <c r="B66" s="13" t="s">
        <v>608</v>
      </c>
      <c r="C66" s="24">
        <v>350000</v>
      </c>
      <c r="D66" s="13"/>
      <c r="E66" s="13"/>
      <c r="F66" s="13"/>
      <c r="G66" s="13"/>
      <c r="H66" s="13"/>
      <c r="I66" s="13"/>
      <c r="J66" s="13"/>
      <c r="K66" s="13"/>
      <c r="L66" s="13"/>
      <c r="M66" s="13"/>
      <c r="N66" s="13"/>
      <c r="O66" s="13"/>
      <c r="P66" s="13"/>
      <c r="Q66" s="13"/>
    </row>
    <row r="67" spans="1:17" ht="13.5" customHeight="1">
      <c r="A67" s="33">
        <v>21130104</v>
      </c>
      <c r="B67" s="13" t="s">
        <v>519</v>
      </c>
      <c r="C67" s="24">
        <v>389000</v>
      </c>
      <c r="D67" s="13"/>
      <c r="E67" s="13"/>
      <c r="F67" s="13"/>
      <c r="G67" s="13"/>
      <c r="H67" s="13"/>
      <c r="I67" s="13"/>
      <c r="J67" s="13"/>
      <c r="K67" s="13"/>
      <c r="L67" s="13"/>
      <c r="M67" s="13"/>
      <c r="N67" s="13"/>
      <c r="O67" s="13"/>
      <c r="P67" s="13"/>
      <c r="Q67" s="13"/>
    </row>
    <row r="68" spans="1:17" ht="13.5" customHeight="1">
      <c r="A68" s="33">
        <v>21130105</v>
      </c>
      <c r="B68" s="13" t="s">
        <v>609</v>
      </c>
      <c r="C68" s="24">
        <v>593000</v>
      </c>
      <c r="D68" s="13"/>
      <c r="E68" s="13"/>
      <c r="F68" s="13"/>
      <c r="G68" s="13"/>
      <c r="H68" s="13"/>
      <c r="I68" s="13"/>
      <c r="J68" s="13"/>
      <c r="K68" s="13"/>
      <c r="L68" s="13"/>
      <c r="M68" s="13"/>
      <c r="N68" s="13"/>
      <c r="O68" s="13"/>
      <c r="P68" s="13"/>
      <c r="Q68" s="13"/>
    </row>
    <row r="69" spans="1:17" ht="12.75" customHeight="1">
      <c r="A69" s="48">
        <v>211302</v>
      </c>
      <c r="B69" s="15" t="s">
        <v>481</v>
      </c>
      <c r="C69" s="16">
        <f>SUM(C70:C71)</f>
        <v>2900000</v>
      </c>
      <c r="D69" s="8"/>
      <c r="E69" s="8"/>
      <c r="F69" s="8"/>
      <c r="G69" s="8"/>
      <c r="H69" s="8"/>
      <c r="I69" s="8"/>
      <c r="J69" s="8"/>
      <c r="K69" s="8"/>
      <c r="L69" s="8"/>
      <c r="M69" s="8"/>
      <c r="N69" s="8"/>
      <c r="O69" s="8"/>
      <c r="P69" s="8"/>
      <c r="Q69" s="8"/>
    </row>
    <row r="70" spans="1:17" ht="13.5" customHeight="1">
      <c r="A70" s="33">
        <v>21130201</v>
      </c>
      <c r="B70" s="13" t="s">
        <v>482</v>
      </c>
      <c r="C70" s="24">
        <v>2677000</v>
      </c>
      <c r="D70" s="13"/>
      <c r="E70" s="13"/>
      <c r="F70" s="13"/>
      <c r="G70" s="13"/>
      <c r="H70" s="13"/>
      <c r="I70" s="13"/>
      <c r="J70" s="13"/>
      <c r="K70" s="13"/>
      <c r="L70" s="13"/>
      <c r="M70" s="13"/>
      <c r="N70" s="13"/>
      <c r="O70" s="13"/>
      <c r="P70" s="13"/>
      <c r="Q70" s="13"/>
    </row>
    <row r="71" spans="1:17" ht="13.5" customHeight="1">
      <c r="A71" s="33">
        <v>21130204</v>
      </c>
      <c r="B71" s="24" t="s">
        <v>483</v>
      </c>
      <c r="C71" s="24">
        <v>223000</v>
      </c>
      <c r="D71" s="13"/>
      <c r="E71" s="13"/>
      <c r="F71" s="13"/>
      <c r="G71" s="13"/>
      <c r="H71" s="13"/>
      <c r="I71" s="13"/>
      <c r="J71" s="13"/>
      <c r="K71" s="13"/>
      <c r="L71" s="13"/>
      <c r="M71" s="13"/>
      <c r="N71" s="13"/>
      <c r="O71" s="13"/>
      <c r="P71" s="13"/>
      <c r="Q71" s="13"/>
    </row>
    <row r="72" spans="1:17" ht="13.5" customHeight="1">
      <c r="A72" s="22">
        <v>211303</v>
      </c>
      <c r="B72" s="26" t="s">
        <v>484</v>
      </c>
      <c r="C72" s="26">
        <f>SUM(C73)</f>
        <v>403000</v>
      </c>
      <c r="D72" s="13"/>
      <c r="E72" s="13"/>
      <c r="F72" s="13"/>
      <c r="G72" s="13"/>
      <c r="H72" s="13"/>
      <c r="I72" s="13"/>
      <c r="J72" s="13"/>
      <c r="K72" s="13"/>
      <c r="L72" s="13"/>
      <c r="M72" s="13"/>
      <c r="N72" s="13"/>
      <c r="O72" s="13"/>
      <c r="P72" s="13"/>
      <c r="Q72" s="13"/>
    </row>
    <row r="73" spans="1:17" ht="13.5" customHeight="1">
      <c r="A73" s="40">
        <v>21130307</v>
      </c>
      <c r="B73" s="13" t="s">
        <v>488</v>
      </c>
      <c r="C73" s="24">
        <v>403000</v>
      </c>
      <c r="D73" s="13"/>
      <c r="E73" s="13"/>
      <c r="F73" s="13"/>
      <c r="G73" s="13"/>
      <c r="H73" s="13"/>
      <c r="I73" s="13"/>
      <c r="J73" s="13"/>
      <c r="K73" s="13"/>
      <c r="L73" s="13"/>
      <c r="M73" s="13"/>
      <c r="N73" s="13"/>
      <c r="O73" s="13"/>
      <c r="P73" s="13"/>
      <c r="Q73" s="13"/>
    </row>
    <row r="74" spans="1:17" ht="13.5" customHeight="1">
      <c r="A74" s="48">
        <v>211305</v>
      </c>
      <c r="B74" s="15" t="s">
        <v>489</v>
      </c>
      <c r="C74" s="26">
        <f>SUM(C75)</f>
        <v>3949500</v>
      </c>
      <c r="D74" s="13"/>
      <c r="E74" s="13"/>
      <c r="F74" s="13"/>
      <c r="G74" s="13"/>
      <c r="H74" s="13"/>
      <c r="I74" s="13"/>
      <c r="J74" s="13"/>
      <c r="K74" s="13"/>
      <c r="L74" s="13"/>
      <c r="M74" s="13"/>
      <c r="N74" s="13"/>
      <c r="O74" s="13"/>
      <c r="P74" s="13"/>
      <c r="Q74" s="13"/>
    </row>
    <row r="75" spans="1:17" ht="13.5" customHeight="1">
      <c r="A75" s="33">
        <v>21130502</v>
      </c>
      <c r="B75" s="24" t="s">
        <v>491</v>
      </c>
      <c r="C75" s="24">
        <v>3949500</v>
      </c>
      <c r="D75" s="13"/>
      <c r="E75" s="13"/>
      <c r="F75" s="13"/>
      <c r="G75" s="13"/>
      <c r="H75" s="13"/>
      <c r="I75" s="13"/>
      <c r="J75" s="13"/>
      <c r="K75" s="13"/>
      <c r="L75" s="13"/>
      <c r="M75" s="13"/>
      <c r="N75" s="13"/>
      <c r="O75" s="13"/>
      <c r="P75" s="13"/>
      <c r="Q75" s="13"/>
    </row>
    <row r="76" spans="1:17" ht="13.5" customHeight="1">
      <c r="A76" s="48">
        <v>211306</v>
      </c>
      <c r="B76" s="26" t="s">
        <v>492</v>
      </c>
      <c r="C76" s="26">
        <f>SUM(C77:C78)</f>
        <v>170000</v>
      </c>
      <c r="D76" s="13"/>
      <c r="E76" s="13"/>
      <c r="F76" s="13"/>
      <c r="G76" s="13"/>
      <c r="H76" s="13"/>
      <c r="I76" s="13"/>
      <c r="J76" s="13"/>
      <c r="K76" s="13"/>
      <c r="L76" s="13"/>
      <c r="M76" s="13"/>
      <c r="N76" s="13"/>
      <c r="O76" s="13"/>
      <c r="P76" s="13"/>
      <c r="Q76" s="13"/>
    </row>
    <row r="77" spans="1:17" ht="13.5" customHeight="1">
      <c r="A77" s="33">
        <v>21130605</v>
      </c>
      <c r="B77" s="24" t="s">
        <v>611</v>
      </c>
      <c r="C77" s="24">
        <v>10000</v>
      </c>
      <c r="D77" s="13"/>
      <c r="E77" s="13"/>
      <c r="F77" s="13"/>
      <c r="G77" s="13"/>
      <c r="H77" s="13"/>
      <c r="I77" s="13"/>
      <c r="J77" s="13"/>
      <c r="K77" s="13"/>
      <c r="L77" s="13"/>
      <c r="M77" s="13"/>
      <c r="N77" s="13"/>
      <c r="O77" s="13"/>
      <c r="P77" s="13"/>
      <c r="Q77" s="13"/>
    </row>
    <row r="78" spans="1:17" ht="13.5" customHeight="1">
      <c r="A78" s="33">
        <v>21130607</v>
      </c>
      <c r="B78" s="24" t="s">
        <v>493</v>
      </c>
      <c r="C78" s="24">
        <v>160000</v>
      </c>
      <c r="D78" s="13"/>
      <c r="E78" s="13"/>
      <c r="F78" s="13"/>
      <c r="G78" s="13"/>
      <c r="H78" s="13"/>
      <c r="I78" s="13"/>
      <c r="J78" s="13"/>
      <c r="K78" s="13"/>
      <c r="L78" s="13"/>
      <c r="M78" s="13"/>
      <c r="N78" s="13"/>
      <c r="O78" s="13"/>
      <c r="P78" s="13"/>
      <c r="Q78" s="13"/>
    </row>
    <row r="79" spans="1:17" ht="13.5" customHeight="1">
      <c r="A79" s="22">
        <v>211307</v>
      </c>
      <c r="B79" s="15" t="s">
        <v>494</v>
      </c>
      <c r="C79" s="26">
        <f>SUM(C80)</f>
        <v>241500</v>
      </c>
      <c r="D79" s="13"/>
      <c r="E79" s="13"/>
      <c r="F79" s="13"/>
      <c r="G79" s="13"/>
      <c r="H79" s="13"/>
      <c r="I79" s="13"/>
      <c r="J79" s="13"/>
      <c r="K79" s="13"/>
      <c r="L79" s="13"/>
      <c r="M79" s="13"/>
      <c r="N79" s="13"/>
      <c r="O79" s="13"/>
      <c r="P79" s="13"/>
      <c r="Q79" s="13"/>
    </row>
    <row r="80" spans="1:17" ht="12.75" customHeight="1">
      <c r="A80" s="40">
        <v>21130701</v>
      </c>
      <c r="B80" s="13" t="s">
        <v>495</v>
      </c>
      <c r="C80" s="14">
        <v>241500</v>
      </c>
      <c r="D80" s="8"/>
      <c r="E80" s="8"/>
      <c r="F80" s="8"/>
      <c r="G80" s="8"/>
      <c r="H80" s="8"/>
      <c r="I80" s="8"/>
      <c r="J80" s="8"/>
      <c r="K80" s="8"/>
      <c r="L80" s="8"/>
      <c r="M80" s="8"/>
      <c r="N80" s="8"/>
      <c r="O80" s="8"/>
      <c r="P80" s="8"/>
      <c r="Q80" s="8"/>
    </row>
    <row r="81" spans="1:17" ht="12.75" customHeight="1">
      <c r="A81" s="48">
        <v>211309</v>
      </c>
      <c r="B81" s="26" t="s">
        <v>496</v>
      </c>
      <c r="C81" s="16">
        <f>+SUM(C82:C84)</f>
        <v>4833500</v>
      </c>
      <c r="D81" s="8"/>
      <c r="E81" s="8"/>
      <c r="F81" s="8"/>
      <c r="G81" s="8"/>
      <c r="H81" s="8"/>
      <c r="I81" s="8"/>
      <c r="J81" s="8"/>
      <c r="K81" s="8"/>
      <c r="L81" s="8"/>
      <c r="M81" s="8"/>
      <c r="N81" s="8"/>
      <c r="O81" s="8"/>
      <c r="P81" s="8"/>
      <c r="Q81" s="8"/>
    </row>
    <row r="82" spans="1:17" ht="12.75" customHeight="1">
      <c r="A82" s="33">
        <v>21130901</v>
      </c>
      <c r="B82" s="24" t="s">
        <v>497</v>
      </c>
      <c r="C82" s="14">
        <v>2133500</v>
      </c>
      <c r="D82" s="8"/>
      <c r="E82" s="8"/>
      <c r="F82" s="8"/>
      <c r="G82" s="8"/>
      <c r="H82" s="8"/>
      <c r="I82" s="8"/>
      <c r="J82" s="8"/>
      <c r="K82" s="8"/>
      <c r="L82" s="8"/>
      <c r="M82" s="8"/>
      <c r="N82" s="8"/>
      <c r="O82" s="8"/>
      <c r="P82" s="8"/>
      <c r="Q82" s="8"/>
    </row>
    <row r="83" spans="1:17" ht="12.75" customHeight="1">
      <c r="A83" s="33">
        <v>21130903</v>
      </c>
      <c r="B83" s="24" t="s">
        <v>498</v>
      </c>
      <c r="C83" s="14">
        <v>1500000</v>
      </c>
      <c r="D83" s="8"/>
      <c r="E83" s="8"/>
      <c r="F83" s="8"/>
      <c r="G83" s="8"/>
      <c r="H83" s="8"/>
      <c r="I83" s="8"/>
      <c r="J83" s="8"/>
      <c r="K83" s="8"/>
      <c r="L83" s="8"/>
      <c r="M83" s="8"/>
      <c r="N83" s="8"/>
      <c r="O83" s="8"/>
      <c r="P83" s="8"/>
      <c r="Q83" s="8"/>
    </row>
    <row r="84" spans="1:17" ht="12.75" customHeight="1">
      <c r="A84" s="33">
        <v>21130908</v>
      </c>
      <c r="B84" s="24" t="s">
        <v>500</v>
      </c>
      <c r="C84" s="14">
        <v>1200000</v>
      </c>
      <c r="D84" s="8"/>
      <c r="E84" s="8"/>
      <c r="F84" s="8"/>
      <c r="G84" s="8"/>
      <c r="H84" s="8"/>
      <c r="I84" s="8"/>
      <c r="J84" s="8"/>
      <c r="K84" s="8"/>
      <c r="L84" s="8"/>
      <c r="M84" s="8"/>
      <c r="N84" s="8"/>
      <c r="O84" s="8"/>
      <c r="P84" s="8"/>
      <c r="Q84" s="8"/>
    </row>
    <row r="85" spans="1:17" ht="12.75" customHeight="1" thickBot="1">
      <c r="A85" s="13"/>
      <c r="B85" s="13"/>
      <c r="C85" s="14"/>
      <c r="D85" s="8"/>
      <c r="E85" s="8"/>
      <c r="F85" s="8"/>
      <c r="G85" s="8"/>
      <c r="H85" s="8"/>
      <c r="I85" s="8"/>
      <c r="J85" s="8"/>
      <c r="K85" s="8"/>
      <c r="L85" s="8"/>
      <c r="M85" s="8"/>
      <c r="N85" s="8"/>
      <c r="O85" s="8"/>
      <c r="P85" s="8"/>
      <c r="Q85" s="8"/>
    </row>
    <row r="86" spans="1:17" ht="12.75" customHeight="1" thickBot="1">
      <c r="A86" s="1283" t="s">
        <v>48</v>
      </c>
      <c r="B86" s="1281"/>
      <c r="C86" s="52">
        <f>+C87+C93+C91</f>
        <v>2100000</v>
      </c>
      <c r="D86" s="8"/>
      <c r="E86" s="8"/>
      <c r="F86" s="8"/>
      <c r="G86" s="8"/>
      <c r="H86" s="8"/>
      <c r="I86" s="8"/>
      <c r="J86" s="8"/>
      <c r="K86" s="8"/>
      <c r="L86" s="8"/>
      <c r="M86" s="8"/>
      <c r="N86" s="8"/>
      <c r="O86" s="8"/>
      <c r="P86" s="8"/>
      <c r="Q86" s="8"/>
    </row>
    <row r="87" spans="1:17" ht="12.75" customHeight="1">
      <c r="A87" s="48">
        <v>221104</v>
      </c>
      <c r="B87" s="22" t="s">
        <v>510</v>
      </c>
      <c r="C87" s="82">
        <f>SUM(C88:C90)</f>
        <v>1350000</v>
      </c>
      <c r="D87" s="84"/>
      <c r="E87" s="84"/>
      <c r="F87" s="84"/>
      <c r="G87" s="84"/>
      <c r="H87" s="84"/>
      <c r="I87" s="84"/>
      <c r="J87" s="84"/>
      <c r="K87" s="84"/>
      <c r="L87" s="84"/>
      <c r="M87" s="84"/>
      <c r="N87" s="84"/>
      <c r="O87" s="84"/>
      <c r="P87" s="84"/>
      <c r="Q87" s="84"/>
    </row>
    <row r="88" spans="1:17" ht="12.75" customHeight="1">
      <c r="A88" s="33">
        <v>22110401</v>
      </c>
      <c r="B88" s="13" t="s">
        <v>511</v>
      </c>
      <c r="C88" s="14">
        <v>500000</v>
      </c>
      <c r="D88" s="8"/>
      <c r="E88" s="8"/>
      <c r="F88" s="8"/>
      <c r="G88" s="8"/>
      <c r="H88" s="8"/>
      <c r="I88" s="8"/>
      <c r="J88" s="8"/>
      <c r="K88" s="8"/>
      <c r="L88" s="8"/>
      <c r="M88" s="8"/>
      <c r="N88" s="8"/>
      <c r="O88" s="8"/>
      <c r="P88" s="8"/>
      <c r="Q88" s="8"/>
    </row>
    <row r="89" spans="1:17" ht="12.75" customHeight="1">
      <c r="A89" s="40">
        <v>22110404</v>
      </c>
      <c r="B89" s="13" t="s">
        <v>512</v>
      </c>
      <c r="C89" s="14">
        <v>500000</v>
      </c>
      <c r="D89" s="8"/>
      <c r="E89" s="8"/>
      <c r="F89" s="8"/>
      <c r="G89" s="8"/>
      <c r="H89" s="8"/>
      <c r="I89" s="8"/>
      <c r="J89" s="8"/>
      <c r="K89" s="8"/>
      <c r="L89" s="8"/>
      <c r="M89" s="8"/>
      <c r="N89" s="8"/>
      <c r="O89" s="8"/>
      <c r="P89" s="8"/>
      <c r="Q89" s="8"/>
    </row>
    <row r="90" spans="1:17" ht="13.5" customHeight="1">
      <c r="A90" s="33">
        <v>22110409</v>
      </c>
      <c r="B90" s="24" t="s">
        <v>513</v>
      </c>
      <c r="C90" s="24">
        <v>350000</v>
      </c>
      <c r="D90" s="13"/>
      <c r="E90" s="13"/>
      <c r="F90" s="13"/>
      <c r="G90" s="13"/>
      <c r="H90" s="13"/>
      <c r="I90" s="13"/>
      <c r="J90" s="13"/>
      <c r="K90" s="13"/>
      <c r="L90" s="13"/>
      <c r="M90" s="13"/>
      <c r="N90" s="13"/>
      <c r="O90" s="13"/>
      <c r="P90" s="13"/>
      <c r="Q90" s="13"/>
    </row>
    <row r="91" spans="1:17" ht="13.5" customHeight="1">
      <c r="A91" s="48">
        <v>221105</v>
      </c>
      <c r="B91" s="15" t="s">
        <v>523</v>
      </c>
      <c r="C91" s="26">
        <f>SUM(C92)</f>
        <v>500000</v>
      </c>
      <c r="D91" s="13"/>
      <c r="E91" s="13"/>
      <c r="F91" s="13"/>
      <c r="G91" s="13"/>
      <c r="H91" s="13"/>
      <c r="I91" s="13"/>
      <c r="J91" s="13"/>
      <c r="K91" s="13"/>
      <c r="L91" s="13"/>
      <c r="M91" s="13"/>
      <c r="N91" s="13"/>
      <c r="O91" s="13"/>
      <c r="P91" s="13"/>
      <c r="Q91" s="13"/>
    </row>
    <row r="92" spans="1:17" ht="13.5" customHeight="1">
      <c r="A92" s="33">
        <v>22110501</v>
      </c>
      <c r="B92" s="13" t="s">
        <v>524</v>
      </c>
      <c r="C92" s="24">
        <v>500000</v>
      </c>
      <c r="D92" s="13"/>
      <c r="E92" s="13"/>
      <c r="F92" s="13"/>
      <c r="G92" s="13"/>
      <c r="H92" s="13"/>
      <c r="I92" s="13"/>
      <c r="J92" s="13"/>
      <c r="K92" s="13"/>
      <c r="L92" s="13"/>
      <c r="M92" s="13"/>
      <c r="N92" s="13"/>
      <c r="O92" s="13"/>
      <c r="P92" s="13"/>
      <c r="Q92" s="13"/>
    </row>
    <row r="93" spans="1:17" ht="12.75" customHeight="1">
      <c r="A93" s="48">
        <v>221107</v>
      </c>
      <c r="B93" s="26" t="s">
        <v>514</v>
      </c>
      <c r="C93" s="16">
        <f>SUM(C94)</f>
        <v>250000</v>
      </c>
      <c r="D93" s="8"/>
      <c r="E93" s="8"/>
      <c r="F93" s="8"/>
      <c r="G93" s="8"/>
      <c r="H93" s="8"/>
      <c r="I93" s="8"/>
      <c r="J93" s="8"/>
      <c r="K93" s="8"/>
      <c r="L93" s="8"/>
      <c r="M93" s="8"/>
      <c r="N93" s="8"/>
      <c r="O93" s="8"/>
      <c r="P93" s="8"/>
      <c r="Q93" s="8"/>
    </row>
    <row r="94" spans="1:17" ht="13.5" customHeight="1">
      <c r="A94" s="33">
        <v>22110702</v>
      </c>
      <c r="B94" s="24" t="s">
        <v>515</v>
      </c>
      <c r="C94" s="24">
        <v>250000</v>
      </c>
      <c r="D94" s="13"/>
      <c r="E94" s="13"/>
      <c r="F94" s="13"/>
      <c r="G94" s="13"/>
      <c r="H94" s="13"/>
      <c r="I94" s="13"/>
      <c r="J94" s="13"/>
      <c r="K94" s="13"/>
      <c r="L94" s="13"/>
      <c r="M94" s="13"/>
      <c r="N94" s="13"/>
      <c r="O94" s="13"/>
      <c r="P94" s="13"/>
      <c r="Q94" s="13"/>
    </row>
    <row r="95" spans="1:17" ht="13.5" customHeight="1">
      <c r="A95" s="33"/>
      <c r="B95" s="24"/>
      <c r="C95" s="24"/>
      <c r="D95" s="13"/>
      <c r="E95" s="13"/>
      <c r="F95" s="13"/>
      <c r="G95" s="13"/>
      <c r="H95" s="13"/>
      <c r="I95" s="13"/>
      <c r="J95" s="13"/>
      <c r="K95" s="13"/>
      <c r="L95" s="13"/>
      <c r="M95" s="13"/>
      <c r="N95" s="13"/>
      <c r="O95" s="13"/>
      <c r="P95" s="13"/>
      <c r="Q95" s="13"/>
    </row>
    <row r="96" spans="1:17" ht="12.75" customHeight="1" thickBot="1">
      <c r="A96" s="13"/>
      <c r="B96" s="13"/>
      <c r="C96" s="14"/>
      <c r="D96" s="8"/>
      <c r="E96" s="8"/>
      <c r="F96" s="8"/>
      <c r="G96" s="8"/>
      <c r="H96" s="8"/>
      <c r="I96" s="8"/>
      <c r="J96" s="8"/>
      <c r="K96" s="8"/>
      <c r="L96" s="8"/>
      <c r="M96" s="8"/>
      <c r="N96" s="8"/>
      <c r="O96" s="8"/>
      <c r="P96" s="8"/>
      <c r="Q96" s="8"/>
    </row>
    <row r="97" spans="1:17" ht="12.75" customHeight="1">
      <c r="A97" s="1576" t="s">
        <v>259</v>
      </c>
      <c r="B97" s="1577"/>
      <c r="C97" s="1129">
        <v>5002</v>
      </c>
      <c r="D97" s="8"/>
      <c r="E97" s="8"/>
      <c r="F97" s="8"/>
      <c r="G97" s="8"/>
      <c r="H97" s="8"/>
      <c r="I97" s="8"/>
      <c r="J97" s="8"/>
      <c r="K97" s="8"/>
      <c r="L97" s="8"/>
      <c r="M97" s="8"/>
      <c r="N97" s="8"/>
      <c r="O97" s="8"/>
      <c r="P97" s="8"/>
      <c r="Q97" s="8"/>
    </row>
    <row r="98" spans="1:17" ht="12.75" customHeight="1" thickBot="1">
      <c r="A98" s="1578"/>
      <c r="B98" s="1467"/>
      <c r="C98" s="1140"/>
      <c r="D98" s="8"/>
      <c r="E98" s="8"/>
      <c r="F98" s="8"/>
      <c r="G98" s="8"/>
      <c r="H98" s="8"/>
      <c r="I98" s="8"/>
      <c r="J98" s="8"/>
      <c r="K98" s="8"/>
      <c r="L98" s="8"/>
      <c r="M98" s="8"/>
      <c r="N98" s="8"/>
      <c r="O98" s="8"/>
      <c r="P98" s="8"/>
      <c r="Q98" s="8"/>
    </row>
    <row r="99" spans="1:17" ht="12.75" customHeight="1">
      <c r="A99" s="1458" t="s">
        <v>454</v>
      </c>
      <c r="B99" s="1446"/>
      <c r="C99" s="1459"/>
      <c r="D99" s="8"/>
      <c r="E99" s="8"/>
      <c r="F99" s="8"/>
      <c r="G99" s="8"/>
      <c r="H99" s="8"/>
      <c r="I99" s="8"/>
      <c r="J99" s="8"/>
      <c r="K99" s="8"/>
      <c r="L99" s="8"/>
      <c r="M99" s="8"/>
      <c r="N99" s="8"/>
      <c r="O99" s="8"/>
      <c r="P99" s="8"/>
      <c r="Q99" s="8"/>
    </row>
    <row r="100" spans="1:17" ht="12.75" customHeight="1">
      <c r="A100" s="1460"/>
      <c r="B100" s="1461"/>
      <c r="C100" s="1462"/>
      <c r="D100" s="8"/>
      <c r="E100" s="8"/>
      <c r="F100" s="8"/>
      <c r="G100" s="8"/>
      <c r="H100" s="8"/>
      <c r="I100" s="8"/>
      <c r="J100" s="8"/>
      <c r="K100" s="8"/>
      <c r="L100" s="8"/>
      <c r="M100" s="8"/>
      <c r="N100" s="8"/>
      <c r="O100" s="8"/>
      <c r="P100" s="8"/>
      <c r="Q100" s="8"/>
    </row>
    <row r="101" spans="1:17" ht="12.75" customHeight="1">
      <c r="A101" s="1460"/>
      <c r="B101" s="1461"/>
      <c r="C101" s="1462"/>
      <c r="D101" s="8"/>
      <c r="E101" s="8"/>
      <c r="F101" s="8"/>
      <c r="G101" s="8"/>
      <c r="H101" s="8"/>
      <c r="I101" s="8"/>
      <c r="J101" s="8"/>
      <c r="K101" s="8"/>
      <c r="L101" s="8"/>
      <c r="M101" s="8"/>
      <c r="N101" s="8"/>
      <c r="O101" s="8"/>
      <c r="P101" s="8"/>
      <c r="Q101" s="8"/>
    </row>
    <row r="102" spans="1:17" ht="12.75" customHeight="1">
      <c r="A102" s="1460"/>
      <c r="B102" s="1461"/>
      <c r="C102" s="1462"/>
      <c r="D102" s="8"/>
      <c r="E102" s="8"/>
      <c r="F102" s="8"/>
      <c r="G102" s="8"/>
      <c r="H102" s="8"/>
      <c r="I102" s="8"/>
      <c r="J102" s="8"/>
      <c r="K102" s="8"/>
      <c r="L102" s="8"/>
      <c r="M102" s="8"/>
      <c r="N102" s="8"/>
      <c r="O102" s="8"/>
      <c r="P102" s="8"/>
      <c r="Q102" s="8"/>
    </row>
    <row r="103" spans="1:17" ht="12.75" customHeight="1">
      <c r="A103" s="1460"/>
      <c r="B103" s="1461"/>
      <c r="C103" s="1462"/>
      <c r="D103" s="8"/>
      <c r="E103" s="8"/>
      <c r="F103" s="8"/>
      <c r="G103" s="8"/>
      <c r="H103" s="8"/>
      <c r="I103" s="8"/>
      <c r="J103" s="8"/>
      <c r="K103" s="8"/>
      <c r="L103" s="8"/>
      <c r="M103" s="8"/>
      <c r="N103" s="8"/>
      <c r="O103" s="8"/>
      <c r="P103" s="8"/>
      <c r="Q103" s="8"/>
    </row>
    <row r="104" spans="1:17" ht="12.75" customHeight="1">
      <c r="A104" s="1460"/>
      <c r="B104" s="1461"/>
      <c r="C104" s="1462"/>
      <c r="D104" s="8"/>
      <c r="E104" s="8"/>
      <c r="F104" s="8"/>
      <c r="G104" s="8"/>
      <c r="H104" s="8"/>
      <c r="I104" s="8"/>
      <c r="J104" s="8"/>
      <c r="K104" s="8"/>
      <c r="L104" s="8"/>
      <c r="M104" s="8"/>
      <c r="N104" s="8"/>
      <c r="O104" s="8"/>
      <c r="P104" s="8"/>
      <c r="Q104" s="8"/>
    </row>
    <row r="105" spans="1:17" ht="29.25" customHeight="1" thickBot="1">
      <c r="A105" s="1448"/>
      <c r="B105" s="1449"/>
      <c r="C105" s="1450"/>
      <c r="D105" s="8"/>
      <c r="E105" s="8"/>
      <c r="F105" s="8"/>
      <c r="G105" s="8"/>
      <c r="H105" s="8"/>
      <c r="I105" s="8"/>
      <c r="J105" s="8"/>
      <c r="K105" s="8"/>
      <c r="L105" s="8"/>
      <c r="M105" s="8"/>
      <c r="N105" s="8"/>
      <c r="O105" s="8"/>
      <c r="P105" s="8"/>
      <c r="Q105" s="8"/>
    </row>
    <row r="106" spans="1:17" ht="12.75" customHeight="1">
      <c r="A106" s="1097" t="s">
        <v>671</v>
      </c>
      <c r="B106" s="986"/>
      <c r="C106" s="1098"/>
      <c r="D106" s="8"/>
      <c r="E106" s="8"/>
      <c r="F106" s="8"/>
      <c r="G106" s="8"/>
      <c r="H106" s="8"/>
      <c r="I106" s="8"/>
      <c r="J106" s="8"/>
      <c r="K106" s="8"/>
      <c r="L106" s="8"/>
      <c r="M106" s="8"/>
      <c r="N106" s="8"/>
      <c r="O106" s="8"/>
      <c r="P106" s="8"/>
      <c r="Q106" s="8"/>
    </row>
    <row r="107" spans="1:17" ht="12.75" customHeight="1">
      <c r="A107" s="1097" t="s">
        <v>258</v>
      </c>
      <c r="B107" s="986"/>
      <c r="C107" s="1098"/>
      <c r="D107" s="8"/>
      <c r="E107" s="8"/>
      <c r="F107" s="8"/>
      <c r="G107" s="8"/>
      <c r="H107" s="8"/>
      <c r="I107" s="8"/>
      <c r="J107" s="8"/>
      <c r="K107" s="8"/>
      <c r="L107" s="8"/>
      <c r="M107" s="8"/>
      <c r="N107" s="8"/>
      <c r="O107" s="8"/>
      <c r="P107" s="8"/>
      <c r="Q107" s="8"/>
    </row>
    <row r="108" spans="1:17" ht="12.75" customHeight="1">
      <c r="A108" s="1097" t="s">
        <v>941</v>
      </c>
      <c r="B108" s="986"/>
      <c r="C108" s="1098"/>
      <c r="D108" s="8"/>
      <c r="E108" s="8"/>
      <c r="F108" s="8"/>
      <c r="G108" s="8"/>
      <c r="H108" s="8"/>
      <c r="I108" s="8"/>
      <c r="J108" s="8"/>
      <c r="K108" s="8"/>
      <c r="L108" s="8"/>
      <c r="M108" s="8"/>
      <c r="N108" s="8"/>
      <c r="O108" s="8"/>
      <c r="P108" s="8"/>
      <c r="Q108" s="8"/>
    </row>
    <row r="109" spans="1:17" ht="12.75" customHeight="1" thickBot="1">
      <c r="A109" s="1097" t="s">
        <v>0</v>
      </c>
      <c r="B109" s="986"/>
      <c r="C109" s="1098"/>
      <c r="D109" s="8"/>
      <c r="E109" s="8"/>
      <c r="F109" s="8"/>
      <c r="G109" s="8"/>
      <c r="H109" s="8"/>
      <c r="I109" s="8"/>
      <c r="J109" s="8"/>
      <c r="K109" s="8"/>
      <c r="L109" s="8"/>
      <c r="M109" s="8"/>
      <c r="N109" s="8"/>
      <c r="O109" s="8"/>
      <c r="P109" s="8"/>
      <c r="Q109" s="8"/>
    </row>
    <row r="110" spans="1:17" ht="12.75" customHeight="1" thickBot="1">
      <c r="A110" s="1132" t="s">
        <v>1</v>
      </c>
      <c r="B110" s="1133"/>
      <c r="C110" s="1134">
        <f>C112+C127+C144</f>
        <v>9431960</v>
      </c>
      <c r="D110" s="8"/>
      <c r="E110" s="8"/>
      <c r="F110" s="8"/>
      <c r="G110" s="8"/>
      <c r="H110" s="8"/>
      <c r="I110" s="8"/>
      <c r="J110" s="8"/>
      <c r="K110" s="8"/>
      <c r="L110" s="8"/>
      <c r="M110" s="8"/>
      <c r="N110" s="8"/>
      <c r="O110" s="8"/>
      <c r="P110" s="8"/>
      <c r="Q110" s="8"/>
    </row>
    <row r="111" spans="1:17" ht="12.75" customHeight="1" thickBot="1">
      <c r="A111" s="8"/>
      <c r="B111" s="8"/>
      <c r="C111" s="30"/>
      <c r="D111" s="8"/>
      <c r="E111" s="8"/>
      <c r="F111" s="8"/>
      <c r="G111" s="8"/>
      <c r="H111" s="8"/>
      <c r="I111" s="8"/>
      <c r="J111" s="8"/>
      <c r="K111" s="8"/>
      <c r="L111" s="8"/>
      <c r="M111" s="8"/>
      <c r="N111" s="8"/>
      <c r="O111" s="8"/>
      <c r="P111" s="8"/>
      <c r="Q111" s="8"/>
    </row>
    <row r="112" spans="1:17" ht="12.75" customHeight="1" thickBot="1">
      <c r="A112" s="1280" t="s">
        <v>9</v>
      </c>
      <c r="B112" s="1281"/>
      <c r="C112" s="31">
        <f>C113+C115+C117+C121+C123+C119</f>
        <v>2778560</v>
      </c>
      <c r="D112" s="8"/>
      <c r="E112" s="8"/>
      <c r="F112" s="8"/>
      <c r="G112" s="8"/>
      <c r="H112" s="8"/>
      <c r="I112" s="8"/>
      <c r="J112" s="8"/>
      <c r="K112" s="8"/>
      <c r="L112" s="8"/>
      <c r="M112" s="8"/>
      <c r="N112" s="8"/>
      <c r="O112" s="8"/>
      <c r="P112" s="8"/>
      <c r="Q112" s="8"/>
    </row>
    <row r="113" spans="1:17" ht="12.75" customHeight="1">
      <c r="A113" s="48">
        <v>211201</v>
      </c>
      <c r="B113" s="22" t="s">
        <v>459</v>
      </c>
      <c r="C113" s="82">
        <f>SUM(C114)</f>
        <v>350000</v>
      </c>
      <c r="D113" s="8"/>
      <c r="E113" s="8"/>
      <c r="F113" s="8"/>
      <c r="G113" s="8"/>
      <c r="H113" s="8"/>
      <c r="I113" s="8"/>
      <c r="J113" s="8"/>
      <c r="K113" s="8"/>
      <c r="L113" s="8"/>
      <c r="M113" s="8"/>
      <c r="N113" s="8"/>
      <c r="O113" s="8"/>
      <c r="P113" s="8"/>
      <c r="Q113" s="8"/>
    </row>
    <row r="114" spans="1:17" ht="12.75" customHeight="1">
      <c r="A114" s="33">
        <v>21120101</v>
      </c>
      <c r="B114" s="13" t="s">
        <v>460</v>
      </c>
      <c r="C114" s="24">
        <v>350000</v>
      </c>
      <c r="D114" s="8"/>
      <c r="E114" s="8"/>
      <c r="F114" s="8"/>
      <c r="G114" s="8"/>
      <c r="H114" s="8"/>
      <c r="I114" s="8"/>
      <c r="J114" s="8"/>
      <c r="K114" s="8"/>
      <c r="L114" s="8"/>
      <c r="M114" s="8"/>
      <c r="N114" s="8"/>
      <c r="O114" s="8"/>
      <c r="P114" s="8"/>
      <c r="Q114" s="8"/>
    </row>
    <row r="115" spans="1:17" ht="12.75" customHeight="1">
      <c r="A115" s="48">
        <v>211203</v>
      </c>
      <c r="B115" s="15" t="s">
        <v>461</v>
      </c>
      <c r="C115" s="26">
        <f>SUM(C116:C116)</f>
        <v>300000</v>
      </c>
      <c r="D115" s="8"/>
      <c r="E115" s="8"/>
      <c r="F115" s="8"/>
      <c r="G115" s="8"/>
      <c r="H115" s="8"/>
      <c r="I115" s="8"/>
      <c r="J115" s="8"/>
      <c r="K115" s="8"/>
      <c r="L115" s="8"/>
      <c r="M115" s="8"/>
      <c r="N115" s="8"/>
      <c r="O115" s="8"/>
      <c r="P115" s="8"/>
      <c r="Q115" s="8"/>
    </row>
    <row r="116" spans="1:17" ht="12.75" customHeight="1">
      <c r="A116" s="33">
        <v>21120302</v>
      </c>
      <c r="B116" s="13" t="s">
        <v>462</v>
      </c>
      <c r="C116" s="24">
        <v>300000</v>
      </c>
      <c r="D116" s="8"/>
      <c r="E116" s="8"/>
      <c r="F116" s="8"/>
      <c r="G116" s="8"/>
      <c r="H116" s="8"/>
      <c r="I116" s="8"/>
      <c r="J116" s="8"/>
      <c r="K116" s="8"/>
      <c r="L116" s="8"/>
      <c r="M116" s="8"/>
      <c r="N116" s="8"/>
      <c r="O116" s="8"/>
      <c r="P116" s="8"/>
      <c r="Q116" s="8"/>
    </row>
    <row r="117" spans="1:17" ht="12.75" customHeight="1">
      <c r="A117" s="48">
        <v>211204</v>
      </c>
      <c r="B117" s="15" t="s">
        <v>463</v>
      </c>
      <c r="C117" s="26">
        <f>SUM(C118)</f>
        <v>300000</v>
      </c>
      <c r="D117" s="8"/>
      <c r="E117" s="8"/>
      <c r="F117" s="8"/>
      <c r="G117" s="8"/>
      <c r="H117" s="8"/>
      <c r="I117" s="8"/>
      <c r="J117" s="8"/>
      <c r="K117" s="8"/>
      <c r="L117" s="8"/>
      <c r="M117" s="8"/>
      <c r="N117" s="8"/>
      <c r="O117" s="8"/>
      <c r="P117" s="8"/>
      <c r="Q117" s="8"/>
    </row>
    <row r="118" spans="1:17" ht="12.75" customHeight="1">
      <c r="A118" s="33">
        <v>21120401</v>
      </c>
      <c r="B118" s="24" t="s">
        <v>464</v>
      </c>
      <c r="C118" s="24">
        <v>300000</v>
      </c>
      <c r="D118" s="8"/>
      <c r="E118" s="8"/>
      <c r="F118" s="8"/>
      <c r="G118" s="8"/>
      <c r="H118" s="8"/>
      <c r="I118" s="8"/>
      <c r="J118" s="8"/>
      <c r="K118" s="8"/>
      <c r="L118" s="8"/>
      <c r="M118" s="8"/>
      <c r="N118" s="8"/>
      <c r="O118" s="8"/>
      <c r="P118" s="8"/>
      <c r="Q118" s="8"/>
    </row>
    <row r="119" spans="1:17" ht="12.75" customHeight="1">
      <c r="A119" s="48">
        <v>211205</v>
      </c>
      <c r="B119" s="15" t="s">
        <v>465</v>
      </c>
      <c r="C119" s="26">
        <f>SUM(C120)</f>
        <v>900000</v>
      </c>
      <c r="D119" s="8"/>
      <c r="E119" s="8"/>
      <c r="F119" s="8"/>
      <c r="G119" s="8"/>
      <c r="H119" s="8"/>
      <c r="I119" s="8"/>
      <c r="J119" s="8"/>
      <c r="K119" s="8"/>
      <c r="L119" s="8"/>
      <c r="M119" s="8"/>
      <c r="N119" s="8"/>
      <c r="O119" s="8"/>
      <c r="P119" s="8"/>
      <c r="Q119" s="8"/>
    </row>
    <row r="120" spans="1:17" ht="12.75" customHeight="1">
      <c r="A120" s="33">
        <v>21120501</v>
      </c>
      <c r="B120" s="13" t="s">
        <v>466</v>
      </c>
      <c r="C120" s="24">
        <v>900000</v>
      </c>
      <c r="D120" s="8"/>
      <c r="E120" s="8"/>
      <c r="F120" s="8"/>
      <c r="G120" s="8"/>
      <c r="H120" s="8"/>
      <c r="I120" s="8"/>
      <c r="J120" s="8"/>
      <c r="K120" s="8"/>
      <c r="L120" s="8"/>
      <c r="M120" s="8"/>
      <c r="N120" s="8"/>
      <c r="O120" s="8"/>
      <c r="P120" s="8"/>
      <c r="Q120" s="8"/>
    </row>
    <row r="121" spans="1:17" ht="12.75" customHeight="1">
      <c r="A121" s="48">
        <v>211208</v>
      </c>
      <c r="B121" s="15" t="s">
        <v>474</v>
      </c>
      <c r="C121" s="16">
        <f>SUM(C122)</f>
        <v>800000</v>
      </c>
      <c r="D121" s="8"/>
      <c r="E121" s="8"/>
      <c r="F121" s="8"/>
      <c r="G121" s="8"/>
      <c r="H121" s="8"/>
      <c r="I121" s="8"/>
      <c r="J121" s="8"/>
      <c r="K121" s="8"/>
      <c r="L121" s="8"/>
      <c r="M121" s="8"/>
      <c r="N121" s="8"/>
      <c r="O121" s="8"/>
      <c r="P121" s="8"/>
      <c r="Q121" s="8"/>
    </row>
    <row r="122" spans="1:17" ht="12.75" customHeight="1">
      <c r="A122" s="33">
        <v>21120805</v>
      </c>
      <c r="B122" s="24" t="s">
        <v>476</v>
      </c>
      <c r="C122" s="14">
        <v>800000</v>
      </c>
      <c r="D122" s="8"/>
      <c r="E122" s="8"/>
      <c r="F122" s="8"/>
      <c r="G122" s="8"/>
      <c r="H122" s="8"/>
      <c r="I122" s="8"/>
      <c r="J122" s="8"/>
      <c r="K122" s="8"/>
      <c r="L122" s="8"/>
      <c r="M122" s="8"/>
      <c r="N122" s="8"/>
      <c r="O122" s="8"/>
      <c r="P122" s="8"/>
      <c r="Q122" s="8"/>
    </row>
    <row r="123" spans="1:17" ht="12.75" customHeight="1">
      <c r="A123" s="48">
        <v>211209</v>
      </c>
      <c r="B123" s="26" t="s">
        <v>477</v>
      </c>
      <c r="C123" s="16">
        <f>SUM(C124:C125)</f>
        <v>128560</v>
      </c>
      <c r="D123" s="8"/>
      <c r="E123" s="8"/>
      <c r="F123" s="8"/>
      <c r="G123" s="8"/>
      <c r="H123" s="8"/>
      <c r="I123" s="8"/>
      <c r="J123" s="8"/>
      <c r="K123" s="8"/>
      <c r="L123" s="8"/>
      <c r="M123" s="8"/>
      <c r="N123" s="8"/>
      <c r="O123" s="8"/>
      <c r="P123" s="8"/>
      <c r="Q123" s="8"/>
    </row>
    <row r="124" spans="1:17" ht="12.75" customHeight="1">
      <c r="A124" s="33">
        <v>21120906</v>
      </c>
      <c r="B124" s="24" t="s">
        <v>479</v>
      </c>
      <c r="C124" s="24">
        <v>50000</v>
      </c>
      <c r="D124" s="8"/>
      <c r="E124" s="8"/>
      <c r="F124" s="8"/>
      <c r="G124" s="8"/>
      <c r="H124" s="8"/>
      <c r="I124" s="8"/>
      <c r="J124" s="8"/>
      <c r="K124" s="8"/>
      <c r="L124" s="8"/>
      <c r="M124" s="8"/>
      <c r="N124" s="8"/>
      <c r="O124" s="8"/>
      <c r="P124" s="8"/>
      <c r="Q124" s="8"/>
    </row>
    <row r="125" spans="1:17" ht="12.75" customHeight="1">
      <c r="A125" s="33">
        <v>21120907</v>
      </c>
      <c r="B125" s="13" t="s">
        <v>480</v>
      </c>
      <c r="C125" s="14">
        <v>78560</v>
      </c>
      <c r="D125" s="8"/>
      <c r="E125" s="8"/>
      <c r="F125" s="8"/>
      <c r="G125" s="8"/>
      <c r="H125" s="8"/>
      <c r="I125" s="8"/>
      <c r="J125" s="8"/>
      <c r="K125" s="8"/>
      <c r="L125" s="8"/>
      <c r="M125" s="8"/>
      <c r="N125" s="8"/>
      <c r="O125" s="8"/>
      <c r="P125" s="8"/>
      <c r="Q125" s="8"/>
    </row>
    <row r="126" spans="1:17" ht="12.75" customHeight="1" thickBot="1">
      <c r="A126" s="13"/>
      <c r="B126" s="8"/>
      <c r="C126" s="14"/>
      <c r="D126" s="8"/>
      <c r="E126" s="8"/>
      <c r="F126" s="8"/>
      <c r="G126" s="8"/>
      <c r="H126" s="8"/>
      <c r="I126" s="8"/>
      <c r="J126" s="8"/>
      <c r="K126" s="8"/>
      <c r="L126" s="8"/>
      <c r="M126" s="8"/>
      <c r="N126" s="8"/>
      <c r="O126" s="8"/>
      <c r="P126" s="8"/>
      <c r="Q126" s="8"/>
    </row>
    <row r="127" spans="1:17" ht="14.25" thickBot="1">
      <c r="A127" s="1282" t="s">
        <v>4</v>
      </c>
      <c r="B127" s="1281"/>
      <c r="C127" s="41">
        <f>+C128+C130+C132+C134+C136+C138</f>
        <v>6053400</v>
      </c>
      <c r="D127" s="8"/>
      <c r="E127" s="8"/>
      <c r="F127" s="8"/>
      <c r="G127" s="8"/>
      <c r="H127" s="8"/>
      <c r="I127" s="8"/>
      <c r="J127" s="8"/>
      <c r="K127" s="8"/>
      <c r="L127" s="8"/>
      <c r="M127" s="8"/>
      <c r="N127" s="8"/>
      <c r="O127" s="8"/>
      <c r="P127" s="8"/>
      <c r="Q127" s="8"/>
    </row>
    <row r="128" spans="1:17" ht="12.75" customHeight="1">
      <c r="A128" s="48">
        <v>211302</v>
      </c>
      <c r="B128" s="15" t="s">
        <v>481</v>
      </c>
      <c r="C128" s="16">
        <f>SUM(C129:C129)</f>
        <v>750000</v>
      </c>
      <c r="D128" s="8"/>
      <c r="E128" s="8"/>
      <c r="F128" s="8"/>
      <c r="G128" s="8"/>
      <c r="H128" s="8"/>
      <c r="I128" s="8"/>
      <c r="J128" s="8"/>
      <c r="K128" s="8"/>
      <c r="L128" s="8"/>
      <c r="M128" s="8"/>
      <c r="N128" s="8"/>
      <c r="O128" s="8"/>
      <c r="P128" s="8"/>
      <c r="Q128" s="8"/>
    </row>
    <row r="129" spans="1:17" ht="12.75" customHeight="1">
      <c r="A129" s="33">
        <v>21130204</v>
      </c>
      <c r="B129" s="24" t="s">
        <v>483</v>
      </c>
      <c r="C129" s="24">
        <v>750000</v>
      </c>
      <c r="D129" s="8"/>
      <c r="E129" s="8"/>
      <c r="F129" s="8"/>
      <c r="G129" s="8"/>
      <c r="H129" s="8"/>
      <c r="I129" s="8"/>
      <c r="J129" s="8"/>
      <c r="K129" s="8"/>
      <c r="L129" s="8"/>
      <c r="M129" s="8"/>
      <c r="N129" s="8"/>
      <c r="O129" s="8"/>
      <c r="P129" s="8"/>
      <c r="Q129" s="8"/>
    </row>
    <row r="130" spans="1:17" ht="12.75" customHeight="1">
      <c r="A130" s="22">
        <v>211303</v>
      </c>
      <c r="B130" s="26" t="s">
        <v>484</v>
      </c>
      <c r="C130" s="26">
        <f>SUM(C131)</f>
        <v>800000</v>
      </c>
      <c r="D130" s="8"/>
      <c r="E130" s="8"/>
      <c r="F130" s="8"/>
      <c r="G130" s="8"/>
      <c r="H130" s="8"/>
      <c r="I130" s="8"/>
      <c r="J130" s="8"/>
      <c r="K130" s="8"/>
      <c r="L130" s="8"/>
      <c r="M130" s="8"/>
      <c r="N130" s="8"/>
      <c r="O130" s="8"/>
      <c r="P130" s="8"/>
      <c r="Q130" s="8"/>
    </row>
    <row r="131" spans="1:17" ht="12.75" customHeight="1">
      <c r="A131" s="40">
        <v>21130307</v>
      </c>
      <c r="B131" s="13" t="s">
        <v>488</v>
      </c>
      <c r="C131" s="24">
        <v>800000</v>
      </c>
      <c r="D131" s="8"/>
      <c r="E131" s="8"/>
      <c r="F131" s="8"/>
      <c r="G131" s="8"/>
      <c r="H131" s="8"/>
      <c r="I131" s="8"/>
      <c r="J131" s="8"/>
      <c r="K131" s="8"/>
      <c r="L131" s="8"/>
      <c r="M131" s="8"/>
      <c r="N131" s="8"/>
      <c r="O131" s="8"/>
      <c r="P131" s="8"/>
      <c r="Q131" s="8"/>
    </row>
    <row r="132" spans="1:17" ht="12.75" customHeight="1">
      <c r="A132" s="48">
        <v>211305</v>
      </c>
      <c r="B132" s="15" t="s">
        <v>489</v>
      </c>
      <c r="C132" s="26">
        <f>SUM(C133)</f>
        <v>1920000</v>
      </c>
      <c r="D132" s="8"/>
      <c r="E132" s="8"/>
      <c r="F132" s="8"/>
      <c r="G132" s="8"/>
      <c r="H132" s="8"/>
      <c r="I132" s="8"/>
      <c r="J132" s="8"/>
      <c r="K132" s="8"/>
      <c r="L132" s="8"/>
      <c r="M132" s="8"/>
      <c r="N132" s="8"/>
      <c r="O132" s="8"/>
      <c r="P132" s="8"/>
      <c r="Q132" s="8"/>
    </row>
    <row r="133" spans="1:17" ht="12.75" customHeight="1">
      <c r="A133" s="33">
        <v>21130502</v>
      </c>
      <c r="B133" s="24" t="s">
        <v>491</v>
      </c>
      <c r="C133" s="24">
        <v>1920000</v>
      </c>
      <c r="D133" s="8"/>
      <c r="E133" s="8"/>
      <c r="F133" s="8"/>
      <c r="G133" s="8"/>
      <c r="H133" s="8"/>
      <c r="I133" s="8"/>
      <c r="J133" s="8"/>
      <c r="K133" s="8"/>
      <c r="L133" s="8"/>
      <c r="M133" s="8"/>
      <c r="N133" s="8"/>
      <c r="O133" s="8"/>
      <c r="P133" s="8"/>
      <c r="Q133" s="8"/>
    </row>
    <row r="134" spans="1:17" ht="12.75" customHeight="1">
      <c r="A134" s="48">
        <v>211306</v>
      </c>
      <c r="B134" s="26" t="s">
        <v>492</v>
      </c>
      <c r="C134" s="26">
        <f>SUM(C135:C135)</f>
        <v>90000</v>
      </c>
      <c r="D134" s="8"/>
      <c r="E134" s="8"/>
      <c r="F134" s="8"/>
      <c r="G134" s="8"/>
      <c r="H134" s="8"/>
      <c r="I134" s="8"/>
      <c r="J134" s="8"/>
      <c r="K134" s="8"/>
      <c r="L134" s="8"/>
      <c r="M134" s="8"/>
      <c r="N134" s="8"/>
      <c r="O134" s="8"/>
      <c r="P134" s="8"/>
      <c r="Q134" s="8"/>
    </row>
    <row r="135" spans="1:17" ht="12.75" customHeight="1">
      <c r="A135" s="33">
        <v>21130607</v>
      </c>
      <c r="B135" s="24" t="s">
        <v>493</v>
      </c>
      <c r="C135" s="24">
        <v>90000</v>
      </c>
      <c r="D135" s="8"/>
      <c r="E135" s="8"/>
      <c r="F135" s="8"/>
      <c r="G135" s="8"/>
      <c r="H135" s="8"/>
      <c r="I135" s="8"/>
      <c r="J135" s="8"/>
      <c r="K135" s="8"/>
      <c r="L135" s="8"/>
      <c r="M135" s="8"/>
      <c r="N135" s="8"/>
      <c r="O135" s="8"/>
      <c r="P135" s="8"/>
      <c r="Q135" s="8"/>
    </row>
    <row r="136" spans="1:17" ht="12.75" customHeight="1">
      <c r="A136" s="22">
        <v>211307</v>
      </c>
      <c r="B136" s="15" t="s">
        <v>494</v>
      </c>
      <c r="C136" s="26">
        <f>SUM(C137)</f>
        <v>800000</v>
      </c>
      <c r="D136" s="8"/>
      <c r="E136" s="8"/>
      <c r="F136" s="8"/>
      <c r="G136" s="8"/>
      <c r="H136" s="8"/>
      <c r="I136" s="8"/>
      <c r="J136" s="8"/>
      <c r="K136" s="8"/>
      <c r="L136" s="8"/>
      <c r="M136" s="8"/>
      <c r="N136" s="8"/>
      <c r="O136" s="8"/>
      <c r="P136" s="8"/>
      <c r="Q136" s="8"/>
    </row>
    <row r="137" spans="1:17" ht="12.75" customHeight="1">
      <c r="A137" s="40">
        <v>21130701</v>
      </c>
      <c r="B137" s="13" t="s">
        <v>495</v>
      </c>
      <c r="C137" s="14">
        <v>800000</v>
      </c>
      <c r="D137" s="8"/>
      <c r="E137" s="8"/>
      <c r="F137" s="8"/>
      <c r="G137" s="8"/>
      <c r="H137" s="8"/>
      <c r="I137" s="8"/>
      <c r="J137" s="8"/>
      <c r="K137" s="8"/>
      <c r="L137" s="8"/>
      <c r="M137" s="8"/>
      <c r="N137" s="8"/>
      <c r="O137" s="8"/>
      <c r="P137" s="8"/>
      <c r="Q137" s="8"/>
    </row>
    <row r="138" spans="1:17" ht="12.75" customHeight="1">
      <c r="A138" s="48">
        <v>211309</v>
      </c>
      <c r="B138" s="26" t="s">
        <v>496</v>
      </c>
      <c r="C138" s="16">
        <f>SUM(C139:C142)</f>
        <v>1693400</v>
      </c>
      <c r="D138" s="8"/>
      <c r="E138" s="8"/>
      <c r="F138" s="8"/>
      <c r="G138" s="8"/>
      <c r="H138" s="8"/>
      <c r="I138" s="8"/>
      <c r="J138" s="8"/>
      <c r="K138" s="8"/>
      <c r="L138" s="8"/>
      <c r="M138" s="8"/>
      <c r="N138" s="8"/>
      <c r="O138" s="8"/>
      <c r="P138" s="8"/>
      <c r="Q138" s="8"/>
    </row>
    <row r="139" spans="1:17" ht="12.75" customHeight="1">
      <c r="A139" s="33">
        <v>21130901</v>
      </c>
      <c r="B139" s="24" t="s">
        <v>497</v>
      </c>
      <c r="C139" s="14">
        <v>1450000</v>
      </c>
      <c r="D139" s="8"/>
      <c r="E139" s="8"/>
      <c r="F139" s="8"/>
      <c r="G139" s="8"/>
      <c r="H139" s="8"/>
      <c r="I139" s="8"/>
      <c r="J139" s="8"/>
      <c r="K139" s="8"/>
      <c r="L139" s="8"/>
      <c r="M139" s="8"/>
      <c r="N139" s="8"/>
      <c r="O139" s="8"/>
      <c r="P139" s="8"/>
      <c r="Q139" s="8"/>
    </row>
    <row r="140" spans="1:17" ht="12.75" customHeight="1">
      <c r="A140" s="33">
        <v>21130903</v>
      </c>
      <c r="B140" s="24" t="s">
        <v>498</v>
      </c>
      <c r="C140" s="14">
        <v>53400</v>
      </c>
      <c r="D140" s="8"/>
      <c r="E140" s="8"/>
      <c r="F140" s="8"/>
      <c r="G140" s="8"/>
      <c r="H140" s="8"/>
      <c r="I140" s="8"/>
      <c r="J140" s="8"/>
      <c r="K140" s="8"/>
      <c r="L140" s="8"/>
      <c r="M140" s="8"/>
      <c r="N140" s="8"/>
      <c r="O140" s="8"/>
      <c r="P140" s="8"/>
      <c r="Q140" s="8"/>
    </row>
    <row r="141" spans="1:17" ht="12.75" customHeight="1">
      <c r="A141" s="33">
        <v>21130906</v>
      </c>
      <c r="B141" s="13" t="s">
        <v>499</v>
      </c>
      <c r="C141" s="14">
        <v>150000</v>
      </c>
      <c r="D141" s="8"/>
      <c r="E141" s="8"/>
      <c r="F141" s="8"/>
      <c r="G141" s="8"/>
      <c r="H141" s="8"/>
      <c r="I141" s="8"/>
      <c r="J141" s="8"/>
      <c r="K141" s="8"/>
      <c r="L141" s="8"/>
      <c r="M141" s="8"/>
      <c r="N141" s="8"/>
      <c r="O141" s="8"/>
      <c r="P141" s="8"/>
      <c r="Q141" s="8"/>
    </row>
    <row r="142" spans="1:17" ht="12.75" customHeight="1">
      <c r="A142" s="33">
        <v>21130908</v>
      </c>
      <c r="B142" s="24" t="s">
        <v>500</v>
      </c>
      <c r="C142" s="14">
        <v>40000</v>
      </c>
      <c r="D142" s="8"/>
      <c r="E142" s="8"/>
      <c r="F142" s="8"/>
      <c r="G142" s="8"/>
      <c r="H142" s="8"/>
      <c r="I142" s="8"/>
      <c r="J142" s="8"/>
      <c r="K142" s="8"/>
      <c r="L142" s="8"/>
      <c r="M142" s="8"/>
      <c r="N142" s="8"/>
      <c r="O142" s="8"/>
      <c r="P142" s="8"/>
      <c r="Q142" s="8"/>
    </row>
    <row r="143" spans="1:17" ht="12.75" customHeight="1" thickBot="1">
      <c r="A143" s="13"/>
      <c r="B143" s="13"/>
      <c r="C143" s="14"/>
      <c r="D143" s="8"/>
      <c r="E143" s="8"/>
      <c r="F143" s="8"/>
      <c r="G143" s="8"/>
      <c r="H143" s="8"/>
      <c r="I143" s="8"/>
      <c r="J143" s="8"/>
      <c r="K143" s="8"/>
      <c r="L143" s="8"/>
      <c r="M143" s="8"/>
      <c r="N143" s="8"/>
      <c r="O143" s="8"/>
      <c r="P143" s="8"/>
      <c r="Q143" s="8"/>
    </row>
    <row r="144" spans="1:17" ht="12.75" customHeight="1" thickBot="1">
      <c r="A144" s="1283" t="s">
        <v>48</v>
      </c>
      <c r="B144" s="1281"/>
      <c r="C144" s="52">
        <f>+C145</f>
        <v>600000</v>
      </c>
      <c r="D144" s="8"/>
      <c r="E144" s="8"/>
      <c r="F144" s="8"/>
      <c r="G144" s="8"/>
      <c r="H144" s="8"/>
      <c r="I144" s="8"/>
      <c r="J144" s="8"/>
      <c r="K144" s="8"/>
      <c r="L144" s="8"/>
      <c r="M144" s="8"/>
      <c r="N144" s="8"/>
      <c r="O144" s="8"/>
      <c r="P144" s="8"/>
      <c r="Q144" s="8"/>
    </row>
    <row r="145" spans="1:17" ht="12.75" customHeight="1">
      <c r="A145" s="48">
        <v>221107</v>
      </c>
      <c r="B145" s="26" t="s">
        <v>514</v>
      </c>
      <c r="C145" s="16">
        <f>SUM(C146)</f>
        <v>600000</v>
      </c>
      <c r="D145" s="8"/>
      <c r="E145" s="8"/>
      <c r="F145" s="8"/>
      <c r="G145" s="8"/>
      <c r="H145" s="8"/>
      <c r="I145" s="8"/>
      <c r="J145" s="8"/>
      <c r="K145" s="8"/>
      <c r="L145" s="8"/>
      <c r="M145" s="8"/>
      <c r="N145" s="8"/>
      <c r="O145" s="8"/>
      <c r="P145" s="8"/>
      <c r="Q145" s="8"/>
    </row>
    <row r="146" spans="1:17" ht="12.75" customHeight="1">
      <c r="A146" s="33">
        <v>22110702</v>
      </c>
      <c r="B146" s="24" t="s">
        <v>515</v>
      </c>
      <c r="C146" s="24">
        <v>600000</v>
      </c>
      <c r="D146" s="8"/>
      <c r="E146" s="8"/>
      <c r="F146" s="8"/>
      <c r="G146" s="8"/>
      <c r="H146" s="8"/>
      <c r="I146" s="8"/>
      <c r="J146" s="8"/>
      <c r="K146" s="8"/>
      <c r="L146" s="8"/>
      <c r="M146" s="8"/>
      <c r="N146" s="8"/>
      <c r="O146" s="8"/>
      <c r="P146" s="8"/>
      <c r="Q146" s="8"/>
    </row>
    <row r="147" spans="1:17" ht="12.75" customHeight="1">
      <c r="A147" s="84"/>
      <c r="B147" s="8"/>
      <c r="C147" s="30"/>
      <c r="D147" s="8"/>
      <c r="E147" s="8"/>
      <c r="F147" s="8"/>
      <c r="G147" s="8"/>
      <c r="H147" s="8"/>
      <c r="I147" s="8"/>
      <c r="J147" s="8"/>
      <c r="K147" s="8"/>
      <c r="L147" s="8"/>
      <c r="M147" s="8"/>
      <c r="N147" s="8"/>
      <c r="O147" s="8"/>
      <c r="P147" s="8"/>
      <c r="Q147" s="8"/>
    </row>
    <row r="148" spans="1:17" ht="12.75" customHeight="1">
      <c r="A148" s="8"/>
      <c r="B148" s="8"/>
      <c r="C148" s="30"/>
      <c r="D148" s="8"/>
      <c r="E148" s="8"/>
      <c r="F148" s="8"/>
      <c r="G148" s="8"/>
      <c r="H148" s="8"/>
      <c r="I148" s="8"/>
      <c r="J148" s="8"/>
      <c r="K148" s="8"/>
      <c r="L148" s="8"/>
      <c r="M148" s="8"/>
      <c r="N148" s="8"/>
      <c r="O148" s="8"/>
      <c r="P148" s="8"/>
      <c r="Q148" s="8"/>
    </row>
    <row r="149" spans="1:17" ht="12.75" customHeight="1">
      <c r="A149" s="8"/>
      <c r="B149" s="8"/>
      <c r="C149" s="30"/>
      <c r="D149" s="8"/>
      <c r="E149" s="8"/>
      <c r="F149" s="8"/>
      <c r="G149" s="8"/>
      <c r="H149" s="8"/>
      <c r="I149" s="8"/>
      <c r="J149" s="8"/>
      <c r="K149" s="8"/>
      <c r="L149" s="8"/>
      <c r="M149" s="8"/>
      <c r="N149" s="8"/>
      <c r="O149" s="8"/>
      <c r="P149" s="8"/>
      <c r="Q149" s="8"/>
    </row>
    <row r="150" spans="1:17" ht="12.75" customHeight="1">
      <c r="A150" s="8"/>
      <c r="B150" s="8"/>
      <c r="C150" s="30"/>
      <c r="D150" s="8"/>
      <c r="E150" s="8"/>
      <c r="F150" s="8"/>
      <c r="G150" s="8"/>
      <c r="H150" s="8"/>
      <c r="I150" s="8"/>
      <c r="J150" s="8"/>
      <c r="K150" s="8"/>
      <c r="L150" s="8"/>
      <c r="M150" s="8"/>
      <c r="N150" s="8"/>
      <c r="O150" s="8"/>
      <c r="P150" s="8"/>
      <c r="Q150" s="8"/>
    </row>
    <row r="151" spans="1:17" ht="12.75" customHeight="1">
      <c r="A151" s="8"/>
      <c r="B151" s="8"/>
      <c r="C151" s="30"/>
      <c r="D151" s="8"/>
      <c r="E151" s="8"/>
      <c r="F151" s="8"/>
      <c r="G151" s="8"/>
      <c r="H151" s="8"/>
      <c r="I151" s="8"/>
      <c r="J151" s="8"/>
      <c r="K151" s="8"/>
      <c r="L151" s="8"/>
      <c r="M151" s="8"/>
      <c r="N151" s="8"/>
      <c r="O151" s="8"/>
      <c r="P151" s="8"/>
      <c r="Q151" s="8"/>
    </row>
    <row r="152" spans="1:17" ht="12.75" customHeight="1">
      <c r="A152" s="8"/>
      <c r="B152" s="8"/>
      <c r="C152" s="30"/>
      <c r="D152" s="8"/>
      <c r="E152" s="8"/>
      <c r="F152" s="8"/>
      <c r="G152" s="8"/>
      <c r="H152" s="8"/>
      <c r="I152" s="8"/>
      <c r="J152" s="8"/>
      <c r="K152" s="8"/>
      <c r="L152" s="8"/>
      <c r="M152" s="8"/>
      <c r="N152" s="8"/>
      <c r="O152" s="8"/>
      <c r="P152" s="8"/>
      <c r="Q152" s="8"/>
    </row>
    <row r="153" spans="1:17" ht="12.75" customHeight="1">
      <c r="A153" s="8"/>
      <c r="B153" s="8"/>
      <c r="C153" s="30"/>
      <c r="D153" s="8"/>
      <c r="E153" s="8"/>
      <c r="F153" s="8"/>
      <c r="G153" s="8"/>
      <c r="H153" s="8"/>
      <c r="I153" s="8"/>
      <c r="J153" s="8"/>
      <c r="K153" s="8"/>
      <c r="L153" s="8"/>
      <c r="M153" s="8"/>
      <c r="N153" s="8"/>
      <c r="O153" s="8"/>
      <c r="P153" s="8"/>
      <c r="Q153" s="8"/>
    </row>
    <row r="154" spans="1:17" ht="12.75" customHeight="1">
      <c r="A154" s="8"/>
      <c r="B154" s="8"/>
      <c r="C154" s="30"/>
      <c r="D154" s="8"/>
      <c r="E154" s="8"/>
      <c r="F154" s="8"/>
      <c r="G154" s="8"/>
      <c r="H154" s="8"/>
      <c r="I154" s="8"/>
      <c r="J154" s="8"/>
      <c r="K154" s="8"/>
      <c r="L154" s="8"/>
      <c r="M154" s="8"/>
      <c r="N154" s="8"/>
      <c r="O154" s="8"/>
      <c r="P154" s="8"/>
      <c r="Q154" s="8"/>
    </row>
    <row r="155" spans="1:17" ht="12.75" customHeight="1">
      <c r="A155" s="8"/>
      <c r="B155" s="8"/>
      <c r="C155" s="30"/>
      <c r="D155" s="8"/>
      <c r="E155" s="8"/>
      <c r="F155" s="8"/>
      <c r="G155" s="8"/>
      <c r="H155" s="8"/>
      <c r="I155" s="8"/>
      <c r="J155" s="8"/>
      <c r="K155" s="8"/>
      <c r="L155" s="8"/>
      <c r="M155" s="8"/>
      <c r="N155" s="8"/>
      <c r="O155" s="8"/>
      <c r="P155" s="8"/>
      <c r="Q155" s="8"/>
    </row>
    <row r="156" spans="1:17" ht="12.75" customHeight="1">
      <c r="A156" s="8"/>
      <c r="B156" s="8"/>
      <c r="C156" s="30"/>
      <c r="D156" s="8"/>
      <c r="E156" s="8"/>
      <c r="F156" s="8"/>
      <c r="G156" s="8"/>
      <c r="H156" s="8"/>
      <c r="I156" s="8"/>
      <c r="J156" s="8"/>
      <c r="K156" s="8"/>
      <c r="L156" s="8"/>
      <c r="M156" s="8"/>
      <c r="N156" s="8"/>
      <c r="O156" s="8"/>
      <c r="P156" s="8"/>
      <c r="Q156" s="8"/>
    </row>
    <row r="157" spans="1:17" ht="12.75" customHeight="1">
      <c r="A157" s="8"/>
      <c r="B157" s="8"/>
      <c r="C157" s="30"/>
      <c r="D157" s="8"/>
      <c r="E157" s="8"/>
      <c r="F157" s="8"/>
      <c r="G157" s="8"/>
      <c r="H157" s="8"/>
      <c r="I157" s="8"/>
      <c r="J157" s="8"/>
      <c r="K157" s="8"/>
      <c r="L157" s="8"/>
      <c r="M157" s="8"/>
      <c r="N157" s="8"/>
      <c r="O157" s="8"/>
      <c r="P157" s="8"/>
      <c r="Q157" s="8"/>
    </row>
    <row r="158" spans="1:17" ht="12.75" customHeight="1">
      <c r="A158" s="8"/>
      <c r="B158" s="8"/>
      <c r="C158" s="30"/>
      <c r="D158" s="8"/>
      <c r="E158" s="8"/>
      <c r="F158" s="8"/>
      <c r="G158" s="8"/>
      <c r="H158" s="8"/>
      <c r="I158" s="8"/>
      <c r="J158" s="8"/>
      <c r="K158" s="8"/>
      <c r="L158" s="8"/>
      <c r="M158" s="8"/>
      <c r="N158" s="8"/>
      <c r="O158" s="8"/>
      <c r="P158" s="8"/>
      <c r="Q158" s="8"/>
    </row>
    <row r="159" spans="1:17" ht="12.75" customHeight="1">
      <c r="A159" s="8"/>
      <c r="B159" s="8"/>
      <c r="C159" s="30"/>
      <c r="D159" s="8"/>
      <c r="E159" s="8"/>
      <c r="F159" s="8"/>
      <c r="G159" s="8"/>
      <c r="H159" s="8"/>
      <c r="I159" s="8"/>
      <c r="J159" s="8"/>
      <c r="K159" s="8"/>
      <c r="L159" s="8"/>
      <c r="M159" s="8"/>
      <c r="N159" s="8"/>
      <c r="O159" s="8"/>
      <c r="P159" s="8"/>
      <c r="Q159" s="8"/>
    </row>
    <row r="160" spans="1:17" ht="12.75" customHeight="1">
      <c r="A160" s="8"/>
      <c r="B160" s="8"/>
      <c r="C160" s="30"/>
      <c r="D160" s="8"/>
      <c r="E160" s="8"/>
      <c r="F160" s="8"/>
      <c r="G160" s="8"/>
      <c r="H160" s="8"/>
      <c r="I160" s="8"/>
      <c r="J160" s="8"/>
      <c r="K160" s="8"/>
      <c r="L160" s="8"/>
      <c r="M160" s="8"/>
      <c r="N160" s="8"/>
      <c r="O160" s="8"/>
      <c r="P160" s="8"/>
      <c r="Q160" s="8"/>
    </row>
    <row r="161" spans="1:17" ht="12.75" customHeight="1">
      <c r="A161" s="8"/>
      <c r="B161" s="8"/>
      <c r="C161" s="30"/>
      <c r="D161" s="8"/>
      <c r="E161" s="8"/>
      <c r="F161" s="8"/>
      <c r="G161" s="8"/>
      <c r="H161" s="8"/>
      <c r="I161" s="8"/>
      <c r="J161" s="8"/>
      <c r="K161" s="8"/>
      <c r="L161" s="8"/>
      <c r="M161" s="8"/>
      <c r="N161" s="8"/>
      <c r="O161" s="8"/>
      <c r="P161" s="8"/>
      <c r="Q161" s="8"/>
    </row>
    <row r="162" spans="1:17" ht="12.75" customHeight="1">
      <c r="A162" s="8"/>
      <c r="B162" s="8"/>
      <c r="C162" s="30"/>
      <c r="D162" s="8"/>
      <c r="E162" s="8"/>
      <c r="F162" s="8"/>
      <c r="G162" s="8"/>
      <c r="H162" s="8"/>
      <c r="I162" s="8"/>
      <c r="J162" s="8"/>
      <c r="K162" s="8"/>
      <c r="L162" s="8"/>
      <c r="M162" s="8"/>
      <c r="N162" s="8"/>
      <c r="O162" s="8"/>
      <c r="P162" s="8"/>
      <c r="Q162" s="8"/>
    </row>
    <row r="163" spans="1:17" ht="12.75" customHeight="1">
      <c r="A163" s="8"/>
      <c r="B163" s="8"/>
      <c r="C163" s="30"/>
      <c r="D163" s="8"/>
      <c r="E163" s="8"/>
      <c r="F163" s="8"/>
      <c r="G163" s="8"/>
      <c r="H163" s="8"/>
      <c r="I163" s="8"/>
      <c r="J163" s="8"/>
      <c r="K163" s="8"/>
      <c r="L163" s="8"/>
      <c r="M163" s="8"/>
      <c r="N163" s="8"/>
      <c r="O163" s="8"/>
      <c r="P163" s="8"/>
      <c r="Q163" s="8"/>
    </row>
    <row r="164" spans="1:17" ht="12.75" customHeight="1">
      <c r="A164" s="8"/>
      <c r="B164" s="8"/>
      <c r="C164" s="30"/>
      <c r="D164" s="8"/>
      <c r="E164" s="8"/>
      <c r="F164" s="8"/>
      <c r="G164" s="8"/>
      <c r="H164" s="8"/>
      <c r="I164" s="8"/>
      <c r="J164" s="8"/>
      <c r="K164" s="8"/>
      <c r="L164" s="8"/>
      <c r="M164" s="8"/>
      <c r="N164" s="8"/>
      <c r="O164" s="8"/>
      <c r="P164" s="8"/>
      <c r="Q164" s="8"/>
    </row>
    <row r="165" spans="1:17" ht="12.75" customHeight="1">
      <c r="A165" s="8"/>
      <c r="B165" s="8"/>
      <c r="C165" s="30"/>
      <c r="D165" s="8"/>
      <c r="E165" s="8"/>
      <c r="F165" s="8"/>
      <c r="G165" s="8"/>
      <c r="H165" s="8"/>
      <c r="I165" s="8"/>
      <c r="J165" s="8"/>
      <c r="K165" s="8"/>
      <c r="L165" s="8"/>
      <c r="M165" s="8"/>
      <c r="N165" s="8"/>
      <c r="O165" s="8"/>
      <c r="P165" s="8"/>
      <c r="Q165" s="8"/>
    </row>
    <row r="166" spans="1:17" ht="12.75" customHeight="1">
      <c r="A166" s="8"/>
      <c r="B166" s="8"/>
      <c r="C166" s="30"/>
      <c r="D166" s="8"/>
      <c r="E166" s="8"/>
      <c r="F166" s="8"/>
      <c r="G166" s="8"/>
      <c r="H166" s="8"/>
      <c r="I166" s="8"/>
      <c r="J166" s="8"/>
      <c r="K166" s="8"/>
      <c r="L166" s="8"/>
      <c r="M166" s="8"/>
      <c r="N166" s="8"/>
      <c r="O166" s="8"/>
      <c r="P166" s="8"/>
      <c r="Q166" s="8"/>
    </row>
    <row r="167" spans="1:17" ht="12.75" customHeight="1">
      <c r="A167" s="8"/>
      <c r="B167" s="8"/>
      <c r="C167" s="30"/>
      <c r="D167" s="8"/>
      <c r="E167" s="8"/>
      <c r="F167" s="8"/>
      <c r="G167" s="8"/>
      <c r="H167" s="8"/>
      <c r="I167" s="8"/>
      <c r="J167" s="8"/>
      <c r="K167" s="8"/>
      <c r="L167" s="8"/>
      <c r="M167" s="8"/>
      <c r="N167" s="8"/>
      <c r="O167" s="8"/>
      <c r="P167" s="8"/>
      <c r="Q167" s="8"/>
    </row>
    <row r="168" spans="1:17" ht="12.75" customHeight="1">
      <c r="A168" s="8"/>
      <c r="B168" s="8"/>
      <c r="C168" s="30"/>
      <c r="D168" s="8"/>
      <c r="E168" s="8"/>
      <c r="F168" s="8"/>
      <c r="G168" s="8"/>
      <c r="H168" s="8"/>
      <c r="I168" s="8"/>
      <c r="J168" s="8"/>
      <c r="K168" s="8"/>
      <c r="L168" s="8"/>
      <c r="M168" s="8"/>
      <c r="N168" s="8"/>
      <c r="O168" s="8"/>
      <c r="P168" s="8"/>
      <c r="Q168" s="8"/>
    </row>
    <row r="169" spans="1:17" ht="12.75" customHeight="1">
      <c r="A169" s="8"/>
      <c r="B169" s="8"/>
      <c r="C169" s="30"/>
      <c r="D169" s="8"/>
      <c r="E169" s="8"/>
      <c r="F169" s="8"/>
      <c r="G169" s="8"/>
      <c r="H169" s="8"/>
      <c r="I169" s="8"/>
      <c r="J169" s="8"/>
      <c r="K169" s="8"/>
      <c r="L169" s="8"/>
      <c r="M169" s="8"/>
      <c r="N169" s="8"/>
      <c r="O169" s="8"/>
      <c r="P169" s="8"/>
      <c r="Q169" s="8"/>
    </row>
    <row r="170" spans="1:17" ht="12.75" customHeight="1">
      <c r="A170" s="8"/>
      <c r="B170" s="8"/>
      <c r="C170" s="30"/>
      <c r="D170" s="8"/>
      <c r="E170" s="8"/>
      <c r="F170" s="8"/>
      <c r="G170" s="8"/>
      <c r="H170" s="8"/>
      <c r="I170" s="8"/>
      <c r="J170" s="8"/>
      <c r="K170" s="8"/>
      <c r="L170" s="8"/>
      <c r="M170" s="8"/>
      <c r="N170" s="8"/>
      <c r="O170" s="8"/>
      <c r="P170" s="8"/>
      <c r="Q170" s="8"/>
    </row>
    <row r="171" spans="1:17" ht="12.75" customHeight="1">
      <c r="A171" s="8"/>
      <c r="B171" s="8"/>
      <c r="C171" s="30"/>
      <c r="D171" s="8"/>
      <c r="E171" s="8"/>
      <c r="F171" s="8"/>
      <c r="G171" s="8"/>
      <c r="H171" s="8"/>
      <c r="I171" s="8"/>
      <c r="J171" s="8"/>
      <c r="K171" s="8"/>
      <c r="L171" s="8"/>
      <c r="M171" s="8"/>
      <c r="N171" s="8"/>
      <c r="O171" s="8"/>
      <c r="P171" s="8"/>
      <c r="Q171" s="8"/>
    </row>
    <row r="172" spans="1:17" ht="12.75" customHeight="1">
      <c r="A172" s="8"/>
      <c r="B172" s="8"/>
      <c r="C172" s="30"/>
      <c r="D172" s="8"/>
      <c r="E172" s="8"/>
      <c r="F172" s="8"/>
      <c r="G172" s="8"/>
      <c r="H172" s="8"/>
      <c r="I172" s="8"/>
      <c r="J172" s="8"/>
      <c r="K172" s="8"/>
      <c r="L172" s="8"/>
      <c r="M172" s="8"/>
      <c r="N172" s="8"/>
      <c r="O172" s="8"/>
      <c r="P172" s="8"/>
      <c r="Q172" s="8"/>
    </row>
    <row r="173" spans="1:17" ht="12.75" customHeight="1">
      <c r="A173" s="8"/>
      <c r="B173" s="8"/>
      <c r="C173" s="30"/>
      <c r="D173" s="8"/>
      <c r="E173" s="8"/>
      <c r="F173" s="8"/>
      <c r="G173" s="8"/>
      <c r="H173" s="8"/>
      <c r="I173" s="8"/>
      <c r="J173" s="8"/>
      <c r="K173" s="8"/>
      <c r="L173" s="8"/>
      <c r="M173" s="8"/>
      <c r="N173" s="8"/>
      <c r="O173" s="8"/>
      <c r="P173" s="8"/>
      <c r="Q173" s="8"/>
    </row>
    <row r="174" spans="1:17" ht="12.75" customHeight="1">
      <c r="A174" s="8"/>
      <c r="B174" s="8"/>
      <c r="C174" s="30"/>
      <c r="D174" s="8"/>
      <c r="E174" s="8"/>
      <c r="F174" s="8"/>
      <c r="G174" s="8"/>
      <c r="H174" s="8"/>
      <c r="I174" s="8"/>
      <c r="J174" s="8"/>
      <c r="K174" s="8"/>
      <c r="L174" s="8"/>
      <c r="M174" s="8"/>
      <c r="N174" s="8"/>
      <c r="O174" s="8"/>
      <c r="P174" s="8"/>
      <c r="Q174" s="8"/>
    </row>
    <row r="175" spans="1:17" ht="12.75" customHeight="1">
      <c r="A175" s="8"/>
      <c r="B175" s="8"/>
      <c r="C175" s="30"/>
      <c r="D175" s="8"/>
      <c r="E175" s="8"/>
      <c r="F175" s="8"/>
      <c r="G175" s="8"/>
      <c r="H175" s="8"/>
      <c r="I175" s="8"/>
      <c r="J175" s="8"/>
      <c r="K175" s="8"/>
      <c r="L175" s="8"/>
      <c r="M175" s="8"/>
      <c r="N175" s="8"/>
      <c r="O175" s="8"/>
      <c r="P175" s="8"/>
      <c r="Q175" s="8"/>
    </row>
    <row r="176" spans="1:17" ht="12.75" customHeight="1">
      <c r="A176" s="8"/>
      <c r="B176" s="8"/>
      <c r="C176" s="30"/>
      <c r="D176" s="8"/>
      <c r="E176" s="8"/>
      <c r="F176" s="8"/>
      <c r="G176" s="8"/>
      <c r="H176" s="8"/>
      <c r="I176" s="8"/>
      <c r="J176" s="8"/>
      <c r="K176" s="8"/>
      <c r="L176" s="8"/>
      <c r="M176" s="8"/>
      <c r="N176" s="8"/>
      <c r="O176" s="8"/>
      <c r="P176" s="8"/>
      <c r="Q176" s="8"/>
    </row>
    <row r="177" spans="1:17" ht="12.75" customHeight="1">
      <c r="A177" s="8"/>
      <c r="B177" s="8"/>
      <c r="C177" s="30"/>
      <c r="D177" s="8"/>
      <c r="E177" s="8"/>
      <c r="F177" s="8"/>
      <c r="G177" s="8"/>
      <c r="H177" s="8"/>
      <c r="I177" s="8"/>
      <c r="J177" s="8"/>
      <c r="K177" s="8"/>
      <c r="L177" s="8"/>
      <c r="M177" s="8"/>
      <c r="N177" s="8"/>
      <c r="O177" s="8"/>
      <c r="P177" s="8"/>
      <c r="Q177" s="8"/>
    </row>
    <row r="178" spans="1:17" ht="12.75" customHeight="1">
      <c r="A178" s="8"/>
      <c r="B178" s="8"/>
      <c r="C178" s="30"/>
      <c r="D178" s="8"/>
      <c r="E178" s="8"/>
      <c r="F178" s="8"/>
      <c r="G178" s="8"/>
      <c r="H178" s="8"/>
      <c r="I178" s="8"/>
      <c r="J178" s="8"/>
      <c r="K178" s="8"/>
      <c r="L178" s="8"/>
      <c r="M178" s="8"/>
      <c r="N178" s="8"/>
      <c r="O178" s="8"/>
      <c r="P178" s="8"/>
      <c r="Q178" s="8"/>
    </row>
    <row r="179" spans="1:17" ht="12.75" customHeight="1">
      <c r="A179" s="8"/>
      <c r="B179" s="8"/>
      <c r="C179" s="30"/>
      <c r="D179" s="8"/>
      <c r="E179" s="8"/>
      <c r="F179" s="8"/>
      <c r="G179" s="8"/>
      <c r="H179" s="8"/>
      <c r="I179" s="8"/>
      <c r="J179" s="8"/>
      <c r="K179" s="8"/>
      <c r="L179" s="8"/>
      <c r="M179" s="8"/>
      <c r="N179" s="8"/>
      <c r="O179" s="8"/>
      <c r="P179" s="8"/>
      <c r="Q179" s="8"/>
    </row>
    <row r="180" spans="1:17" ht="12.75" customHeight="1">
      <c r="A180" s="8"/>
      <c r="B180" s="8"/>
      <c r="C180" s="30"/>
      <c r="D180" s="8"/>
      <c r="E180" s="8"/>
      <c r="F180" s="8"/>
      <c r="G180" s="8"/>
      <c r="H180" s="8"/>
      <c r="I180" s="8"/>
      <c r="J180" s="8"/>
      <c r="K180" s="8"/>
      <c r="L180" s="8"/>
      <c r="M180" s="8"/>
      <c r="N180" s="8"/>
      <c r="O180" s="8"/>
      <c r="P180" s="8"/>
      <c r="Q180" s="8"/>
    </row>
    <row r="181" spans="1:17" ht="12.75" customHeight="1">
      <c r="A181" s="8"/>
      <c r="B181" s="8"/>
      <c r="C181" s="30"/>
      <c r="D181" s="8"/>
      <c r="E181" s="8"/>
      <c r="F181" s="8"/>
      <c r="G181" s="8"/>
      <c r="H181" s="8"/>
      <c r="I181" s="8"/>
      <c r="J181" s="8"/>
      <c r="K181" s="8"/>
      <c r="L181" s="8"/>
      <c r="M181" s="8"/>
      <c r="N181" s="8"/>
      <c r="O181" s="8"/>
      <c r="P181" s="8"/>
      <c r="Q181" s="8"/>
    </row>
    <row r="182" spans="1:17" ht="12.75" customHeight="1">
      <c r="A182" s="8"/>
      <c r="B182" s="8"/>
      <c r="C182" s="30"/>
      <c r="D182" s="8"/>
      <c r="E182" s="8"/>
      <c r="F182" s="8"/>
      <c r="G182" s="8"/>
      <c r="H182" s="8"/>
      <c r="I182" s="8"/>
      <c r="J182" s="8"/>
      <c r="K182" s="8"/>
      <c r="L182" s="8"/>
      <c r="M182" s="8"/>
      <c r="N182" s="8"/>
      <c r="O182" s="8"/>
      <c r="P182" s="8"/>
      <c r="Q182" s="8"/>
    </row>
    <row r="183" spans="1:17" ht="12.75" customHeight="1">
      <c r="A183" s="8"/>
      <c r="B183" s="8"/>
      <c r="C183" s="30"/>
      <c r="D183" s="8"/>
      <c r="E183" s="8"/>
      <c r="F183" s="8"/>
      <c r="G183" s="8"/>
      <c r="H183" s="8"/>
      <c r="I183" s="8"/>
      <c r="J183" s="8"/>
      <c r="K183" s="8"/>
      <c r="L183" s="8"/>
      <c r="M183" s="8"/>
      <c r="N183" s="8"/>
      <c r="O183" s="8"/>
      <c r="P183" s="8"/>
      <c r="Q183" s="8"/>
    </row>
    <row r="184" spans="1:17" ht="12.75" customHeight="1">
      <c r="A184" s="8"/>
      <c r="B184" s="8"/>
      <c r="C184" s="30"/>
      <c r="D184" s="8"/>
      <c r="E184" s="8"/>
      <c r="F184" s="8"/>
      <c r="G184" s="8"/>
      <c r="H184" s="8"/>
      <c r="I184" s="8"/>
      <c r="J184" s="8"/>
      <c r="K184" s="8"/>
      <c r="L184" s="8"/>
      <c r="M184" s="8"/>
      <c r="N184" s="8"/>
      <c r="O184" s="8"/>
      <c r="P184" s="8"/>
      <c r="Q184" s="8"/>
    </row>
    <row r="185" spans="1:17" ht="12.75" customHeight="1">
      <c r="A185" s="8"/>
      <c r="B185" s="8"/>
      <c r="C185" s="30"/>
      <c r="D185" s="8"/>
      <c r="E185" s="8"/>
      <c r="F185" s="8"/>
      <c r="G185" s="8"/>
      <c r="H185" s="8"/>
      <c r="I185" s="8"/>
      <c r="J185" s="8"/>
      <c r="K185" s="8"/>
      <c r="L185" s="8"/>
      <c r="M185" s="8"/>
      <c r="N185" s="8"/>
      <c r="O185" s="8"/>
      <c r="P185" s="8"/>
      <c r="Q185" s="8"/>
    </row>
    <row r="186" spans="1:17" ht="12.75" customHeight="1">
      <c r="A186" s="8"/>
      <c r="B186" s="8"/>
      <c r="C186" s="30"/>
      <c r="D186" s="8"/>
      <c r="E186" s="8"/>
      <c r="F186" s="8"/>
      <c r="G186" s="8"/>
      <c r="H186" s="8"/>
      <c r="I186" s="8"/>
      <c r="J186" s="8"/>
      <c r="K186" s="8"/>
      <c r="L186" s="8"/>
      <c r="M186" s="8"/>
      <c r="N186" s="8"/>
      <c r="O186" s="8"/>
      <c r="P186" s="8"/>
      <c r="Q186" s="8"/>
    </row>
    <row r="187" spans="1:17" ht="12.75" customHeight="1">
      <c r="A187" s="8"/>
      <c r="B187" s="8"/>
      <c r="C187" s="30"/>
      <c r="D187" s="8"/>
      <c r="E187" s="8"/>
      <c r="F187" s="8"/>
      <c r="G187" s="8"/>
      <c r="H187" s="8"/>
      <c r="I187" s="8"/>
      <c r="J187" s="8"/>
      <c r="K187" s="8"/>
      <c r="L187" s="8"/>
      <c r="M187" s="8"/>
      <c r="N187" s="8"/>
      <c r="O187" s="8"/>
      <c r="P187" s="8"/>
      <c r="Q187" s="8"/>
    </row>
    <row r="188" spans="1:17" ht="12.75" customHeight="1">
      <c r="A188" s="8"/>
      <c r="B188" s="8"/>
      <c r="C188" s="30"/>
      <c r="D188" s="8"/>
      <c r="E188" s="8"/>
      <c r="F188" s="8"/>
      <c r="G188" s="8"/>
      <c r="H188" s="8"/>
      <c r="I188" s="8"/>
      <c r="J188" s="8"/>
      <c r="K188" s="8"/>
      <c r="L188" s="8"/>
      <c r="M188" s="8"/>
      <c r="N188" s="8"/>
      <c r="O188" s="8"/>
      <c r="P188" s="8"/>
      <c r="Q188" s="8"/>
    </row>
    <row r="189" spans="1:17" ht="12.75" customHeight="1">
      <c r="A189" s="8"/>
      <c r="B189" s="8"/>
      <c r="C189" s="30"/>
      <c r="D189" s="8"/>
      <c r="E189" s="8"/>
      <c r="F189" s="8"/>
      <c r="G189" s="8"/>
      <c r="H189" s="8"/>
      <c r="I189" s="8"/>
      <c r="J189" s="8"/>
      <c r="K189" s="8"/>
      <c r="L189" s="8"/>
      <c r="M189" s="8"/>
      <c r="N189" s="8"/>
      <c r="O189" s="8"/>
      <c r="P189" s="8"/>
      <c r="Q189" s="8"/>
    </row>
    <row r="190" spans="1:17" ht="12.75" customHeight="1">
      <c r="A190" s="8"/>
      <c r="B190" s="8"/>
      <c r="C190" s="30"/>
      <c r="D190" s="8"/>
      <c r="E190" s="8"/>
      <c r="F190" s="8"/>
      <c r="G190" s="8"/>
      <c r="H190" s="8"/>
      <c r="I190" s="8"/>
      <c r="J190" s="8"/>
      <c r="K190" s="8"/>
      <c r="L190" s="8"/>
      <c r="M190" s="8"/>
      <c r="N190" s="8"/>
      <c r="O190" s="8"/>
      <c r="P190" s="8"/>
      <c r="Q190" s="8"/>
    </row>
    <row r="191" spans="1:17" ht="12.75" customHeight="1">
      <c r="A191" s="8"/>
      <c r="B191" s="8"/>
      <c r="C191" s="30"/>
      <c r="D191" s="8"/>
      <c r="E191" s="8"/>
      <c r="F191" s="8"/>
      <c r="G191" s="8"/>
      <c r="H191" s="8"/>
      <c r="I191" s="8"/>
      <c r="J191" s="8"/>
      <c r="K191" s="8"/>
      <c r="L191" s="8"/>
      <c r="M191" s="8"/>
      <c r="N191" s="8"/>
      <c r="O191" s="8"/>
      <c r="P191" s="8"/>
      <c r="Q191" s="8"/>
    </row>
    <row r="192" spans="1:17" ht="12.75" customHeight="1">
      <c r="A192" s="8"/>
      <c r="B192" s="8"/>
      <c r="C192" s="30"/>
      <c r="D192" s="8"/>
      <c r="E192" s="8"/>
      <c r="F192" s="8"/>
      <c r="G192" s="8"/>
      <c r="H192" s="8"/>
      <c r="I192" s="8"/>
      <c r="J192" s="8"/>
      <c r="K192" s="8"/>
      <c r="L192" s="8"/>
      <c r="M192" s="8"/>
      <c r="N192" s="8"/>
      <c r="O192" s="8"/>
      <c r="P192" s="8"/>
      <c r="Q192" s="8"/>
    </row>
    <row r="193" spans="1:17" ht="12.75" customHeight="1">
      <c r="A193" s="8"/>
      <c r="B193" s="8"/>
      <c r="C193" s="30"/>
      <c r="D193" s="8"/>
      <c r="E193" s="8"/>
      <c r="F193" s="8"/>
      <c r="G193" s="8"/>
      <c r="H193" s="8"/>
      <c r="I193" s="8"/>
      <c r="J193" s="8"/>
      <c r="K193" s="8"/>
      <c r="L193" s="8"/>
      <c r="M193" s="8"/>
      <c r="N193" s="8"/>
      <c r="O193" s="8"/>
      <c r="P193" s="8"/>
      <c r="Q193" s="8"/>
    </row>
    <row r="194" spans="1:17" ht="12.75" customHeight="1">
      <c r="A194" s="8"/>
      <c r="B194" s="8"/>
      <c r="C194" s="30"/>
      <c r="D194" s="8"/>
      <c r="E194" s="8"/>
      <c r="F194" s="8"/>
      <c r="G194" s="8"/>
      <c r="H194" s="8"/>
      <c r="I194" s="8"/>
      <c r="J194" s="8"/>
      <c r="K194" s="8"/>
      <c r="L194" s="8"/>
      <c r="M194" s="8"/>
      <c r="N194" s="8"/>
      <c r="O194" s="8"/>
      <c r="P194" s="8"/>
      <c r="Q194" s="8"/>
    </row>
    <row r="195" spans="1:17" ht="12.75" customHeight="1">
      <c r="A195" s="8"/>
      <c r="B195" s="8"/>
      <c r="C195" s="30"/>
      <c r="D195" s="8"/>
      <c r="E195" s="8"/>
      <c r="F195" s="8"/>
      <c r="G195" s="8"/>
      <c r="H195" s="8"/>
      <c r="I195" s="8"/>
      <c r="J195" s="8"/>
      <c r="K195" s="8"/>
      <c r="L195" s="8"/>
      <c r="M195" s="8"/>
      <c r="N195" s="8"/>
      <c r="O195" s="8"/>
      <c r="P195" s="8"/>
      <c r="Q195" s="8"/>
    </row>
    <row r="196" spans="1:17" ht="12.75" customHeight="1">
      <c r="A196" s="8"/>
      <c r="B196" s="8"/>
      <c r="C196" s="30"/>
      <c r="D196" s="8"/>
      <c r="E196" s="8"/>
      <c r="F196" s="8"/>
      <c r="G196" s="8"/>
      <c r="H196" s="8"/>
      <c r="I196" s="8"/>
      <c r="J196" s="8"/>
      <c r="K196" s="8"/>
      <c r="L196" s="8"/>
      <c r="M196" s="8"/>
      <c r="N196" s="8"/>
      <c r="O196" s="8"/>
      <c r="P196" s="8"/>
      <c r="Q196" s="8"/>
    </row>
    <row r="197" spans="1:17" ht="12.75" customHeight="1">
      <c r="A197" s="8"/>
      <c r="B197" s="8"/>
      <c r="C197" s="30"/>
      <c r="D197" s="8"/>
      <c r="E197" s="8"/>
      <c r="F197" s="8"/>
      <c r="G197" s="8"/>
      <c r="H197" s="8"/>
      <c r="I197" s="8"/>
      <c r="J197" s="8"/>
      <c r="K197" s="8"/>
      <c r="L197" s="8"/>
      <c r="M197" s="8"/>
      <c r="N197" s="8"/>
      <c r="O197" s="8"/>
      <c r="P197" s="8"/>
      <c r="Q197" s="8"/>
    </row>
    <row r="198" spans="1:17" ht="12.75" customHeight="1">
      <c r="A198" s="8"/>
      <c r="B198" s="8"/>
      <c r="C198" s="30"/>
      <c r="D198" s="8"/>
      <c r="E198" s="8"/>
      <c r="F198" s="8"/>
      <c r="G198" s="8"/>
      <c r="H198" s="8"/>
      <c r="I198" s="8"/>
      <c r="J198" s="8"/>
      <c r="K198" s="8"/>
      <c r="L198" s="8"/>
      <c r="M198" s="8"/>
      <c r="N198" s="8"/>
      <c r="O198" s="8"/>
      <c r="P198" s="8"/>
      <c r="Q198" s="8"/>
    </row>
    <row r="199" spans="1:17" ht="12.75" customHeight="1">
      <c r="A199" s="8"/>
      <c r="B199" s="8"/>
      <c r="C199" s="30"/>
      <c r="D199" s="8"/>
      <c r="E199" s="8"/>
      <c r="F199" s="8"/>
      <c r="G199" s="8"/>
      <c r="H199" s="8"/>
      <c r="I199" s="8"/>
      <c r="J199" s="8"/>
      <c r="K199" s="8"/>
      <c r="L199" s="8"/>
      <c r="M199" s="8"/>
      <c r="N199" s="8"/>
      <c r="O199" s="8"/>
      <c r="P199" s="8"/>
      <c r="Q199" s="8"/>
    </row>
    <row r="200" spans="1:17" ht="12.75" customHeight="1">
      <c r="A200" s="8"/>
      <c r="B200" s="8"/>
      <c r="C200" s="30"/>
      <c r="D200" s="8"/>
      <c r="E200" s="8"/>
      <c r="F200" s="8"/>
      <c r="G200" s="8"/>
      <c r="H200" s="8"/>
      <c r="I200" s="8"/>
      <c r="J200" s="8"/>
      <c r="K200" s="8"/>
      <c r="L200" s="8"/>
      <c r="M200" s="8"/>
      <c r="N200" s="8"/>
      <c r="O200" s="8"/>
      <c r="P200" s="8"/>
      <c r="Q200" s="8"/>
    </row>
    <row r="201" spans="1:17" ht="12.75" customHeight="1">
      <c r="A201" s="8"/>
      <c r="B201" s="8"/>
      <c r="C201" s="30"/>
      <c r="D201" s="8"/>
      <c r="E201" s="8"/>
      <c r="F201" s="8"/>
      <c r="G201" s="8"/>
      <c r="H201" s="8"/>
      <c r="I201" s="8"/>
      <c r="J201" s="8"/>
      <c r="K201" s="8"/>
      <c r="L201" s="8"/>
      <c r="M201" s="8"/>
      <c r="N201" s="8"/>
      <c r="O201" s="8"/>
      <c r="P201" s="8"/>
      <c r="Q201" s="8"/>
    </row>
    <row r="202" spans="1:17" ht="12.75" customHeight="1">
      <c r="A202" s="8"/>
      <c r="B202" s="8"/>
      <c r="C202" s="30"/>
      <c r="D202" s="8"/>
      <c r="E202" s="8"/>
      <c r="F202" s="8"/>
      <c r="G202" s="8"/>
      <c r="H202" s="8"/>
      <c r="I202" s="8"/>
      <c r="J202" s="8"/>
      <c r="K202" s="8"/>
      <c r="L202" s="8"/>
      <c r="M202" s="8"/>
      <c r="N202" s="8"/>
      <c r="O202" s="8"/>
      <c r="P202" s="8"/>
      <c r="Q202" s="8"/>
    </row>
    <row r="203" spans="1:17" ht="12.75" customHeight="1">
      <c r="A203" s="8"/>
      <c r="B203" s="8"/>
      <c r="C203" s="30"/>
      <c r="D203" s="8"/>
      <c r="E203" s="8"/>
      <c r="F203" s="8"/>
      <c r="G203" s="8"/>
      <c r="H203" s="8"/>
      <c r="I203" s="8"/>
      <c r="J203" s="8"/>
      <c r="K203" s="8"/>
      <c r="L203" s="8"/>
      <c r="M203" s="8"/>
      <c r="N203" s="8"/>
      <c r="O203" s="8"/>
      <c r="P203" s="8"/>
      <c r="Q203" s="8"/>
    </row>
    <row r="204" spans="1:17" ht="12.75" customHeight="1">
      <c r="A204" s="8"/>
      <c r="B204" s="8"/>
      <c r="C204" s="30"/>
      <c r="D204" s="8"/>
      <c r="E204" s="8"/>
      <c r="F204" s="8"/>
      <c r="G204" s="8"/>
      <c r="H204" s="8"/>
      <c r="I204" s="8"/>
      <c r="J204" s="8"/>
      <c r="K204" s="8"/>
      <c r="L204" s="8"/>
      <c r="M204" s="8"/>
      <c r="N204" s="8"/>
      <c r="O204" s="8"/>
      <c r="P204" s="8"/>
      <c r="Q204" s="8"/>
    </row>
    <row r="205" spans="1:17" ht="12.75" customHeight="1">
      <c r="A205" s="8"/>
      <c r="B205" s="8"/>
      <c r="C205" s="30"/>
      <c r="D205" s="8"/>
      <c r="E205" s="8"/>
      <c r="F205" s="8"/>
      <c r="G205" s="8"/>
      <c r="H205" s="8"/>
      <c r="I205" s="8"/>
      <c r="J205" s="8"/>
      <c r="K205" s="8"/>
      <c r="L205" s="8"/>
      <c r="M205" s="8"/>
      <c r="N205" s="8"/>
      <c r="O205" s="8"/>
      <c r="P205" s="8"/>
      <c r="Q205" s="8"/>
    </row>
    <row r="206" spans="1:17" ht="12.75" customHeight="1">
      <c r="A206" s="8"/>
      <c r="B206" s="8"/>
      <c r="C206" s="30"/>
      <c r="D206" s="8"/>
      <c r="E206" s="8"/>
      <c r="F206" s="8"/>
      <c r="G206" s="8"/>
      <c r="H206" s="8"/>
      <c r="I206" s="8"/>
      <c r="J206" s="8"/>
      <c r="K206" s="8"/>
      <c r="L206" s="8"/>
      <c r="M206" s="8"/>
      <c r="N206" s="8"/>
      <c r="O206" s="8"/>
      <c r="P206" s="8"/>
      <c r="Q206" s="8"/>
    </row>
    <row r="207" spans="1:17" ht="12.75" customHeight="1">
      <c r="A207" s="8"/>
      <c r="B207" s="8"/>
      <c r="C207" s="30"/>
      <c r="D207" s="8"/>
      <c r="E207" s="8"/>
      <c r="F207" s="8"/>
      <c r="G207" s="8"/>
      <c r="H207" s="8"/>
      <c r="I207" s="8"/>
      <c r="J207" s="8"/>
      <c r="K207" s="8"/>
      <c r="L207" s="8"/>
      <c r="M207" s="8"/>
      <c r="N207" s="8"/>
      <c r="O207" s="8"/>
      <c r="P207" s="8"/>
      <c r="Q207" s="8"/>
    </row>
    <row r="208" spans="1:17" ht="12.75" customHeight="1">
      <c r="A208" s="8"/>
      <c r="B208" s="8"/>
      <c r="C208" s="30"/>
      <c r="D208" s="8"/>
      <c r="E208" s="8"/>
      <c r="F208" s="8"/>
      <c r="G208" s="8"/>
      <c r="H208" s="8"/>
      <c r="I208" s="8"/>
      <c r="J208" s="8"/>
      <c r="K208" s="8"/>
      <c r="L208" s="8"/>
      <c r="M208" s="8"/>
      <c r="N208" s="8"/>
      <c r="O208" s="8"/>
      <c r="P208" s="8"/>
      <c r="Q208" s="8"/>
    </row>
    <row r="209" spans="1:17" ht="12.75" customHeight="1">
      <c r="A209" s="8"/>
      <c r="B209" s="8"/>
      <c r="C209" s="30"/>
      <c r="D209" s="8"/>
      <c r="E209" s="8"/>
      <c r="F209" s="8"/>
      <c r="G209" s="8"/>
      <c r="H209" s="8"/>
      <c r="I209" s="8"/>
      <c r="J209" s="8"/>
      <c r="K209" s="8"/>
      <c r="L209" s="8"/>
      <c r="M209" s="8"/>
      <c r="N209" s="8"/>
      <c r="O209" s="8"/>
      <c r="P209" s="8"/>
      <c r="Q209" s="8"/>
    </row>
    <row r="210" spans="1:17" ht="12.75" customHeight="1">
      <c r="A210" s="8"/>
      <c r="B210" s="8"/>
      <c r="C210" s="30"/>
      <c r="D210" s="8"/>
      <c r="E210" s="8"/>
      <c r="F210" s="8"/>
      <c r="G210" s="8"/>
      <c r="H210" s="8"/>
      <c r="I210" s="8"/>
      <c r="J210" s="8"/>
      <c r="K210" s="8"/>
      <c r="L210" s="8"/>
      <c r="M210" s="8"/>
      <c r="N210" s="8"/>
      <c r="O210" s="8"/>
      <c r="P210" s="8"/>
      <c r="Q210" s="8"/>
    </row>
    <row r="211" spans="1:17" ht="12.75" customHeight="1">
      <c r="A211" s="8"/>
      <c r="B211" s="8"/>
      <c r="C211" s="30"/>
      <c r="D211" s="8"/>
      <c r="E211" s="8"/>
      <c r="F211" s="8"/>
      <c r="G211" s="8"/>
      <c r="H211" s="8"/>
      <c r="I211" s="8"/>
      <c r="J211" s="8"/>
      <c r="K211" s="8"/>
      <c r="L211" s="8"/>
      <c r="M211" s="8"/>
      <c r="N211" s="8"/>
      <c r="O211" s="8"/>
      <c r="P211" s="8"/>
      <c r="Q211" s="8"/>
    </row>
    <row r="212" spans="1:17" ht="12.75" customHeight="1">
      <c r="A212" s="8"/>
      <c r="B212" s="8"/>
      <c r="C212" s="30"/>
      <c r="D212" s="8"/>
      <c r="E212" s="8"/>
      <c r="F212" s="8"/>
      <c r="G212" s="8"/>
      <c r="H212" s="8"/>
      <c r="I212" s="8"/>
      <c r="J212" s="8"/>
      <c r="K212" s="8"/>
      <c r="L212" s="8"/>
      <c r="M212" s="8"/>
      <c r="N212" s="8"/>
      <c r="O212" s="8"/>
      <c r="P212" s="8"/>
      <c r="Q212" s="8"/>
    </row>
    <row r="213" spans="1:17" ht="12.75" customHeight="1">
      <c r="A213" s="8"/>
      <c r="B213" s="8"/>
      <c r="C213" s="30"/>
      <c r="D213" s="8"/>
      <c r="E213" s="8"/>
      <c r="F213" s="8"/>
      <c r="G213" s="8"/>
      <c r="H213" s="8"/>
      <c r="I213" s="8"/>
      <c r="J213" s="8"/>
      <c r="K213" s="8"/>
      <c r="L213" s="8"/>
      <c r="M213" s="8"/>
      <c r="N213" s="8"/>
      <c r="O213" s="8"/>
      <c r="P213" s="8"/>
      <c r="Q213" s="8"/>
    </row>
    <row r="214" spans="1:17" ht="12.75" customHeight="1">
      <c r="A214" s="8"/>
      <c r="B214" s="8"/>
      <c r="C214" s="30"/>
      <c r="D214" s="8"/>
      <c r="E214" s="8"/>
      <c r="F214" s="8"/>
      <c r="G214" s="8"/>
      <c r="H214" s="8"/>
      <c r="I214" s="8"/>
      <c r="J214" s="8"/>
      <c r="K214" s="8"/>
      <c r="L214" s="8"/>
      <c r="M214" s="8"/>
      <c r="N214" s="8"/>
      <c r="O214" s="8"/>
      <c r="P214" s="8"/>
      <c r="Q214" s="8"/>
    </row>
    <row r="215" spans="1:17" ht="12.75" customHeight="1">
      <c r="A215" s="8"/>
      <c r="B215" s="8"/>
      <c r="C215" s="30"/>
      <c r="D215" s="8"/>
      <c r="E215" s="8"/>
      <c r="F215" s="8"/>
      <c r="G215" s="8"/>
      <c r="H215" s="8"/>
      <c r="I215" s="8"/>
      <c r="J215" s="8"/>
      <c r="K215" s="8"/>
      <c r="L215" s="8"/>
      <c r="M215" s="8"/>
      <c r="N215" s="8"/>
      <c r="O215" s="8"/>
      <c r="P215" s="8"/>
      <c r="Q215" s="8"/>
    </row>
    <row r="216" spans="1:17" ht="12.75" customHeight="1">
      <c r="A216" s="8"/>
      <c r="B216" s="8"/>
      <c r="C216" s="30"/>
      <c r="D216" s="8"/>
      <c r="E216" s="8"/>
      <c r="F216" s="8"/>
      <c r="G216" s="8"/>
      <c r="H216" s="8"/>
      <c r="I216" s="8"/>
      <c r="J216" s="8"/>
      <c r="K216" s="8"/>
      <c r="L216" s="8"/>
      <c r="M216" s="8"/>
      <c r="N216" s="8"/>
      <c r="O216" s="8"/>
      <c r="P216" s="8"/>
      <c r="Q216" s="8"/>
    </row>
    <row r="217" spans="1:17" ht="12.75" customHeight="1">
      <c r="A217" s="8"/>
      <c r="B217" s="8"/>
      <c r="C217" s="30"/>
      <c r="D217" s="8"/>
      <c r="E217" s="8"/>
      <c r="F217" s="8"/>
      <c r="G217" s="8"/>
      <c r="H217" s="8"/>
      <c r="I217" s="8"/>
      <c r="J217" s="8"/>
      <c r="K217" s="8"/>
      <c r="L217" s="8"/>
      <c r="M217" s="8"/>
      <c r="N217" s="8"/>
      <c r="O217" s="8"/>
      <c r="P217" s="8"/>
      <c r="Q217" s="8"/>
    </row>
    <row r="218" spans="1:17" ht="12.75" customHeight="1">
      <c r="A218" s="8"/>
      <c r="B218" s="8"/>
      <c r="C218" s="30"/>
      <c r="D218" s="8"/>
      <c r="E218" s="8"/>
      <c r="F218" s="8"/>
      <c r="G218" s="8"/>
      <c r="H218" s="8"/>
      <c r="I218" s="8"/>
      <c r="J218" s="8"/>
      <c r="K218" s="8"/>
      <c r="L218" s="8"/>
      <c r="M218" s="8"/>
      <c r="N218" s="8"/>
      <c r="O218" s="8"/>
      <c r="P218" s="8"/>
      <c r="Q218" s="8"/>
    </row>
    <row r="219" spans="1:17" ht="12.75" customHeight="1">
      <c r="A219" s="8"/>
      <c r="B219" s="8"/>
      <c r="C219" s="30"/>
      <c r="D219" s="8"/>
      <c r="E219" s="8"/>
      <c r="F219" s="8"/>
      <c r="G219" s="8"/>
      <c r="H219" s="8"/>
      <c r="I219" s="8"/>
      <c r="J219" s="8"/>
      <c r="K219" s="8"/>
      <c r="L219" s="8"/>
      <c r="M219" s="8"/>
      <c r="N219" s="8"/>
      <c r="O219" s="8"/>
      <c r="P219" s="8"/>
      <c r="Q219" s="8"/>
    </row>
    <row r="220" spans="1:17" ht="12.75" customHeight="1">
      <c r="A220" s="8"/>
      <c r="B220" s="8"/>
      <c r="C220" s="30"/>
      <c r="D220" s="8"/>
      <c r="E220" s="8"/>
      <c r="F220" s="8"/>
      <c r="G220" s="8"/>
      <c r="H220" s="8"/>
      <c r="I220" s="8"/>
      <c r="J220" s="8"/>
      <c r="K220" s="8"/>
      <c r="L220" s="8"/>
      <c r="M220" s="8"/>
      <c r="N220" s="8"/>
      <c r="O220" s="8"/>
      <c r="P220" s="8"/>
      <c r="Q220" s="8"/>
    </row>
    <row r="221" spans="1:17" ht="12.75" customHeight="1">
      <c r="A221" s="8"/>
      <c r="B221" s="8"/>
      <c r="C221" s="30"/>
      <c r="D221" s="8"/>
      <c r="E221" s="8"/>
      <c r="F221" s="8"/>
      <c r="G221" s="8"/>
      <c r="H221" s="8"/>
      <c r="I221" s="8"/>
      <c r="J221" s="8"/>
      <c r="K221" s="8"/>
      <c r="L221" s="8"/>
      <c r="M221" s="8"/>
      <c r="N221" s="8"/>
      <c r="O221" s="8"/>
      <c r="P221" s="8"/>
      <c r="Q221" s="8"/>
    </row>
    <row r="222" spans="1:17" ht="12.75" customHeight="1">
      <c r="A222" s="8"/>
      <c r="B222" s="8"/>
      <c r="C222" s="30"/>
      <c r="D222" s="8"/>
      <c r="E222" s="8"/>
      <c r="F222" s="8"/>
      <c r="G222" s="8"/>
      <c r="H222" s="8"/>
      <c r="I222" s="8"/>
      <c r="J222" s="8"/>
      <c r="K222" s="8"/>
      <c r="L222" s="8"/>
      <c r="M222" s="8"/>
      <c r="N222" s="8"/>
      <c r="O222" s="8"/>
      <c r="P222" s="8"/>
      <c r="Q222" s="8"/>
    </row>
    <row r="223" spans="1:17" ht="12.75" customHeight="1">
      <c r="A223" s="8"/>
      <c r="B223" s="8"/>
      <c r="C223" s="30"/>
      <c r="D223" s="8"/>
      <c r="E223" s="8"/>
      <c r="F223" s="8"/>
      <c r="G223" s="8"/>
      <c r="H223" s="8"/>
      <c r="I223" s="8"/>
      <c r="J223" s="8"/>
      <c r="K223" s="8"/>
      <c r="L223" s="8"/>
      <c r="M223" s="8"/>
      <c r="N223" s="8"/>
      <c r="O223" s="8"/>
      <c r="P223" s="8"/>
      <c r="Q223" s="8"/>
    </row>
    <row r="224" spans="1:17" ht="12.75" customHeight="1">
      <c r="A224" s="8"/>
      <c r="B224" s="8"/>
      <c r="C224" s="30"/>
      <c r="D224" s="8"/>
      <c r="E224" s="8"/>
      <c r="F224" s="8"/>
      <c r="G224" s="8"/>
      <c r="H224" s="8"/>
      <c r="I224" s="8"/>
      <c r="J224" s="8"/>
      <c r="K224" s="8"/>
      <c r="L224" s="8"/>
      <c r="M224" s="8"/>
      <c r="N224" s="8"/>
      <c r="O224" s="8"/>
      <c r="P224" s="8"/>
      <c r="Q224" s="8"/>
    </row>
    <row r="225" spans="1:17" ht="12.75" customHeight="1">
      <c r="A225" s="8"/>
      <c r="B225" s="8"/>
      <c r="C225" s="30"/>
      <c r="D225" s="8"/>
      <c r="E225" s="8"/>
      <c r="F225" s="8"/>
      <c r="G225" s="8"/>
      <c r="H225" s="8"/>
      <c r="I225" s="8"/>
      <c r="J225" s="8"/>
      <c r="K225" s="8"/>
      <c r="L225" s="8"/>
      <c r="M225" s="8"/>
      <c r="N225" s="8"/>
      <c r="O225" s="8"/>
      <c r="P225" s="8"/>
      <c r="Q225" s="8"/>
    </row>
    <row r="226" spans="1:17" ht="12.75" customHeight="1">
      <c r="A226" s="8"/>
      <c r="B226" s="8"/>
      <c r="C226" s="30"/>
      <c r="D226" s="8"/>
      <c r="E226" s="8"/>
      <c r="F226" s="8"/>
      <c r="G226" s="8"/>
      <c r="H226" s="8"/>
      <c r="I226" s="8"/>
      <c r="J226" s="8"/>
      <c r="K226" s="8"/>
      <c r="L226" s="8"/>
      <c r="M226" s="8"/>
      <c r="N226" s="8"/>
      <c r="O226" s="8"/>
      <c r="P226" s="8"/>
      <c r="Q226" s="8"/>
    </row>
    <row r="227" spans="1:17" ht="12.75" customHeight="1">
      <c r="A227" s="8"/>
      <c r="B227" s="8"/>
      <c r="C227" s="30"/>
      <c r="D227" s="8"/>
      <c r="E227" s="8"/>
      <c r="F227" s="8"/>
      <c r="G227" s="8"/>
      <c r="H227" s="8"/>
      <c r="I227" s="8"/>
      <c r="J227" s="8"/>
      <c r="K227" s="8"/>
      <c r="L227" s="8"/>
      <c r="M227" s="8"/>
      <c r="N227" s="8"/>
      <c r="O227" s="8"/>
      <c r="P227" s="8"/>
      <c r="Q227" s="8"/>
    </row>
    <row r="228" spans="1:17" ht="12.75" customHeight="1">
      <c r="A228" s="8"/>
      <c r="B228" s="8"/>
      <c r="C228" s="30"/>
      <c r="D228" s="8"/>
      <c r="E228" s="8"/>
      <c r="F228" s="8"/>
      <c r="G228" s="8"/>
      <c r="H228" s="8"/>
      <c r="I228" s="8"/>
      <c r="J228" s="8"/>
      <c r="K228" s="8"/>
      <c r="L228" s="8"/>
      <c r="M228" s="8"/>
      <c r="N228" s="8"/>
      <c r="O228" s="8"/>
      <c r="P228" s="8"/>
      <c r="Q228" s="8"/>
    </row>
    <row r="229" spans="1:17" ht="12.75" customHeight="1">
      <c r="A229" s="8"/>
      <c r="B229" s="8"/>
      <c r="C229" s="30"/>
      <c r="D229" s="8"/>
      <c r="E229" s="8"/>
      <c r="F229" s="8"/>
      <c r="G229" s="8"/>
      <c r="H229" s="8"/>
      <c r="I229" s="8"/>
      <c r="J229" s="8"/>
      <c r="K229" s="8"/>
      <c r="L229" s="8"/>
      <c r="M229" s="8"/>
      <c r="N229" s="8"/>
      <c r="O229" s="8"/>
      <c r="P229" s="8"/>
      <c r="Q229" s="8"/>
    </row>
    <row r="230" spans="1:17" ht="12.75" customHeight="1">
      <c r="A230" s="8"/>
      <c r="B230" s="8"/>
      <c r="C230" s="30"/>
      <c r="D230" s="8"/>
      <c r="E230" s="8"/>
      <c r="F230" s="8"/>
      <c r="G230" s="8"/>
      <c r="H230" s="8"/>
      <c r="I230" s="8"/>
      <c r="J230" s="8"/>
      <c r="K230" s="8"/>
      <c r="L230" s="8"/>
      <c r="M230" s="8"/>
      <c r="N230" s="8"/>
      <c r="O230" s="8"/>
      <c r="P230" s="8"/>
      <c r="Q230" s="8"/>
    </row>
    <row r="231" spans="1:17" ht="12.75" customHeight="1">
      <c r="A231" s="8"/>
      <c r="B231" s="8"/>
      <c r="C231" s="30"/>
      <c r="D231" s="8"/>
      <c r="E231" s="8"/>
      <c r="F231" s="8"/>
      <c r="G231" s="8"/>
      <c r="H231" s="8"/>
      <c r="I231" s="8"/>
      <c r="J231" s="8"/>
      <c r="K231" s="8"/>
      <c r="L231" s="8"/>
      <c r="M231" s="8"/>
      <c r="N231" s="8"/>
      <c r="O231" s="8"/>
      <c r="P231" s="8"/>
      <c r="Q231" s="8"/>
    </row>
    <row r="232" spans="1:17" ht="12.75" customHeight="1">
      <c r="A232" s="8"/>
      <c r="B232" s="8"/>
      <c r="C232" s="30"/>
      <c r="D232" s="8"/>
      <c r="E232" s="8"/>
      <c r="F232" s="8"/>
      <c r="G232" s="8"/>
      <c r="H232" s="8"/>
      <c r="I232" s="8"/>
      <c r="J232" s="8"/>
      <c r="K232" s="8"/>
      <c r="L232" s="8"/>
      <c r="M232" s="8"/>
      <c r="N232" s="8"/>
      <c r="O232" s="8"/>
      <c r="P232" s="8"/>
      <c r="Q232" s="8"/>
    </row>
    <row r="233" spans="1:17" ht="12.75" customHeight="1">
      <c r="A233" s="8"/>
      <c r="B233" s="8"/>
      <c r="C233" s="30"/>
      <c r="D233" s="8"/>
      <c r="E233" s="8"/>
      <c r="F233" s="8"/>
      <c r="G233" s="8"/>
      <c r="H233" s="8"/>
      <c r="I233" s="8"/>
      <c r="J233" s="8"/>
      <c r="K233" s="8"/>
      <c r="L233" s="8"/>
      <c r="M233" s="8"/>
      <c r="N233" s="8"/>
      <c r="O233" s="8"/>
      <c r="P233" s="8"/>
      <c r="Q233" s="8"/>
    </row>
    <row r="234" spans="1:17" ht="12.75" customHeight="1">
      <c r="A234" s="8"/>
      <c r="B234" s="8"/>
      <c r="C234" s="30"/>
      <c r="D234" s="8"/>
      <c r="E234" s="8"/>
      <c r="F234" s="8"/>
      <c r="G234" s="8"/>
      <c r="H234" s="8"/>
      <c r="I234" s="8"/>
      <c r="J234" s="8"/>
      <c r="K234" s="8"/>
      <c r="L234" s="8"/>
      <c r="M234" s="8"/>
      <c r="N234" s="8"/>
      <c r="O234" s="8"/>
      <c r="P234" s="8"/>
      <c r="Q234" s="8"/>
    </row>
    <row r="235" spans="1:17" ht="12.75" customHeight="1">
      <c r="A235" s="8"/>
      <c r="B235" s="8"/>
      <c r="C235" s="30"/>
      <c r="D235" s="8"/>
      <c r="E235" s="8"/>
      <c r="F235" s="8"/>
      <c r="G235" s="8"/>
      <c r="H235" s="8"/>
      <c r="I235" s="8"/>
      <c r="J235" s="8"/>
      <c r="K235" s="8"/>
      <c r="L235" s="8"/>
      <c r="M235" s="8"/>
      <c r="N235" s="8"/>
      <c r="O235" s="8"/>
      <c r="P235" s="8"/>
      <c r="Q235" s="8"/>
    </row>
    <row r="236" spans="1:17" ht="12.75" customHeight="1">
      <c r="A236" s="8"/>
      <c r="B236" s="8"/>
      <c r="C236" s="30"/>
      <c r="D236" s="8"/>
      <c r="E236" s="8"/>
      <c r="F236" s="8"/>
      <c r="G236" s="8"/>
      <c r="H236" s="8"/>
      <c r="I236" s="8"/>
      <c r="J236" s="8"/>
      <c r="K236" s="8"/>
      <c r="L236" s="8"/>
      <c r="M236" s="8"/>
      <c r="N236" s="8"/>
      <c r="O236" s="8"/>
      <c r="P236" s="8"/>
      <c r="Q236" s="8"/>
    </row>
    <row r="237" spans="1:17" ht="12.75" customHeight="1">
      <c r="A237" s="8"/>
      <c r="B237" s="8"/>
      <c r="C237" s="30"/>
      <c r="D237" s="8"/>
      <c r="E237" s="8"/>
      <c r="F237" s="8"/>
      <c r="G237" s="8"/>
      <c r="H237" s="8"/>
      <c r="I237" s="8"/>
      <c r="J237" s="8"/>
      <c r="K237" s="8"/>
      <c r="L237" s="8"/>
      <c r="M237" s="8"/>
      <c r="N237" s="8"/>
      <c r="O237" s="8"/>
      <c r="P237" s="8"/>
      <c r="Q237" s="8"/>
    </row>
    <row r="238" spans="1:17" ht="12.75" customHeight="1">
      <c r="A238" s="8"/>
      <c r="B238" s="8"/>
      <c r="C238" s="30"/>
      <c r="D238" s="8"/>
      <c r="E238" s="8"/>
      <c r="F238" s="8"/>
      <c r="G238" s="8"/>
      <c r="H238" s="8"/>
      <c r="I238" s="8"/>
      <c r="J238" s="8"/>
      <c r="K238" s="8"/>
      <c r="L238" s="8"/>
      <c r="M238" s="8"/>
      <c r="N238" s="8"/>
      <c r="O238" s="8"/>
      <c r="P238" s="8"/>
      <c r="Q238" s="8"/>
    </row>
    <row r="239" spans="1:17" ht="12.75" customHeight="1">
      <c r="A239" s="8"/>
      <c r="B239" s="8"/>
      <c r="C239" s="30"/>
      <c r="D239" s="8"/>
      <c r="E239" s="8"/>
      <c r="F239" s="8"/>
      <c r="G239" s="8"/>
      <c r="H239" s="8"/>
      <c r="I239" s="8"/>
      <c r="J239" s="8"/>
      <c r="K239" s="8"/>
      <c r="L239" s="8"/>
      <c r="M239" s="8"/>
      <c r="N239" s="8"/>
      <c r="O239" s="8"/>
      <c r="P239" s="8"/>
      <c r="Q239" s="8"/>
    </row>
    <row r="240" spans="1:17" ht="12.75" customHeight="1">
      <c r="A240" s="8"/>
      <c r="B240" s="8"/>
      <c r="C240" s="30"/>
      <c r="D240" s="8"/>
      <c r="E240" s="8"/>
      <c r="F240" s="8"/>
      <c r="G240" s="8"/>
      <c r="H240" s="8"/>
      <c r="I240" s="8"/>
      <c r="J240" s="8"/>
      <c r="K240" s="8"/>
      <c r="L240" s="8"/>
      <c r="M240" s="8"/>
      <c r="N240" s="8"/>
      <c r="O240" s="8"/>
      <c r="P240" s="8"/>
      <c r="Q240" s="8"/>
    </row>
    <row r="241" spans="1:17" ht="12.75" customHeight="1">
      <c r="A241" s="8"/>
      <c r="B241" s="8"/>
      <c r="C241" s="30"/>
      <c r="D241" s="8"/>
      <c r="E241" s="8"/>
      <c r="F241" s="8"/>
      <c r="G241" s="8"/>
      <c r="H241" s="8"/>
      <c r="I241" s="8"/>
      <c r="J241" s="8"/>
      <c r="K241" s="8"/>
      <c r="L241" s="8"/>
      <c r="M241" s="8"/>
      <c r="N241" s="8"/>
      <c r="O241" s="8"/>
      <c r="P241" s="8"/>
      <c r="Q241" s="8"/>
    </row>
    <row r="242" spans="1:17" ht="12.75" customHeight="1">
      <c r="A242" s="8"/>
      <c r="B242" s="8"/>
      <c r="C242" s="30"/>
      <c r="D242" s="8"/>
      <c r="E242" s="8"/>
      <c r="F242" s="8"/>
      <c r="G242" s="8"/>
      <c r="H242" s="8"/>
      <c r="I242" s="8"/>
      <c r="J242" s="8"/>
      <c r="K242" s="8"/>
      <c r="L242" s="8"/>
      <c r="M242" s="8"/>
      <c r="N242" s="8"/>
      <c r="O242" s="8"/>
      <c r="P242" s="8"/>
      <c r="Q242" s="8"/>
    </row>
    <row r="243" spans="1:17" ht="12.75" customHeight="1">
      <c r="A243" s="8"/>
      <c r="B243" s="8"/>
      <c r="C243" s="30"/>
      <c r="D243" s="8"/>
      <c r="E243" s="8"/>
      <c r="F243" s="8"/>
      <c r="G243" s="8"/>
      <c r="H243" s="8"/>
      <c r="I243" s="8"/>
      <c r="J243" s="8"/>
      <c r="K243" s="8"/>
      <c r="L243" s="8"/>
      <c r="M243" s="8"/>
      <c r="N243" s="8"/>
      <c r="O243" s="8"/>
      <c r="P243" s="8"/>
      <c r="Q243" s="8"/>
    </row>
    <row r="244" spans="1:17" ht="12.75" customHeight="1">
      <c r="A244" s="8"/>
      <c r="B244" s="8"/>
      <c r="C244" s="30"/>
      <c r="D244" s="8"/>
      <c r="E244" s="8"/>
      <c r="F244" s="8"/>
      <c r="G244" s="8"/>
      <c r="H244" s="8"/>
      <c r="I244" s="8"/>
      <c r="J244" s="8"/>
      <c r="K244" s="8"/>
      <c r="L244" s="8"/>
      <c r="M244" s="8"/>
      <c r="N244" s="8"/>
      <c r="O244" s="8"/>
      <c r="P244" s="8"/>
      <c r="Q244" s="8"/>
    </row>
    <row r="245" spans="1:17" ht="12.75" customHeight="1">
      <c r="A245" s="8"/>
      <c r="B245" s="8"/>
      <c r="C245" s="30"/>
      <c r="D245" s="8"/>
      <c r="E245" s="8"/>
      <c r="F245" s="8"/>
      <c r="G245" s="8"/>
      <c r="H245" s="8"/>
      <c r="I245" s="8"/>
      <c r="J245" s="8"/>
      <c r="K245" s="8"/>
      <c r="L245" s="8"/>
      <c r="M245" s="8"/>
      <c r="N245" s="8"/>
      <c r="O245" s="8"/>
      <c r="P245" s="8"/>
      <c r="Q245" s="8"/>
    </row>
    <row r="246" spans="1:17" ht="12.75" customHeight="1">
      <c r="A246" s="8"/>
      <c r="B246" s="8"/>
      <c r="C246" s="30"/>
      <c r="D246" s="8"/>
      <c r="E246" s="8"/>
      <c r="F246" s="8"/>
      <c r="G246" s="8"/>
      <c r="H246" s="8"/>
      <c r="I246" s="8"/>
      <c r="J246" s="8"/>
      <c r="K246" s="8"/>
      <c r="L246" s="8"/>
      <c r="M246" s="8"/>
      <c r="N246" s="8"/>
      <c r="O246" s="8"/>
      <c r="P246" s="8"/>
      <c r="Q246" s="8"/>
    </row>
    <row r="247" spans="1:17" ht="12.75" customHeight="1">
      <c r="A247" s="8"/>
      <c r="B247" s="8"/>
      <c r="C247" s="30"/>
      <c r="D247" s="8"/>
      <c r="E247" s="8"/>
      <c r="F247" s="8"/>
      <c r="G247" s="8"/>
      <c r="H247" s="8"/>
      <c r="I247" s="8"/>
      <c r="J247" s="8"/>
      <c r="K247" s="8"/>
      <c r="L247" s="8"/>
      <c r="M247" s="8"/>
      <c r="N247" s="8"/>
      <c r="O247" s="8"/>
      <c r="P247" s="8"/>
      <c r="Q247" s="8"/>
    </row>
    <row r="248" spans="1:17" ht="12.75" customHeight="1">
      <c r="A248" s="8"/>
      <c r="B248" s="8"/>
      <c r="C248" s="30"/>
      <c r="D248" s="8"/>
      <c r="E248" s="8"/>
      <c r="F248" s="8"/>
      <c r="G248" s="8"/>
      <c r="H248" s="8"/>
      <c r="I248" s="8"/>
      <c r="J248" s="8"/>
      <c r="K248" s="8"/>
      <c r="L248" s="8"/>
      <c r="M248" s="8"/>
      <c r="N248" s="8"/>
      <c r="O248" s="8"/>
      <c r="P248" s="8"/>
      <c r="Q248" s="8"/>
    </row>
    <row r="249" spans="1:17" ht="12.75" customHeight="1">
      <c r="A249" s="8"/>
      <c r="B249" s="8"/>
      <c r="C249" s="30"/>
      <c r="D249" s="8"/>
      <c r="E249" s="8"/>
      <c r="F249" s="8"/>
      <c r="G249" s="8"/>
      <c r="H249" s="8"/>
      <c r="I249" s="8"/>
      <c r="J249" s="8"/>
      <c r="K249" s="8"/>
      <c r="L249" s="8"/>
      <c r="M249" s="8"/>
      <c r="N249" s="8"/>
      <c r="O249" s="8"/>
      <c r="P249" s="8"/>
      <c r="Q249" s="8"/>
    </row>
    <row r="250" spans="1:17" ht="12.75" customHeight="1">
      <c r="A250" s="8"/>
      <c r="B250" s="8"/>
      <c r="C250" s="30"/>
      <c r="D250" s="8"/>
      <c r="E250" s="8"/>
      <c r="F250" s="8"/>
      <c r="G250" s="8"/>
      <c r="H250" s="8"/>
      <c r="I250" s="8"/>
      <c r="J250" s="8"/>
      <c r="K250" s="8"/>
      <c r="L250" s="8"/>
      <c r="M250" s="8"/>
      <c r="N250" s="8"/>
      <c r="O250" s="8"/>
      <c r="P250" s="8"/>
      <c r="Q250" s="8"/>
    </row>
    <row r="251" spans="1:17" ht="12.75" customHeight="1">
      <c r="A251" s="8"/>
      <c r="B251" s="8"/>
      <c r="C251" s="30"/>
      <c r="D251" s="8"/>
      <c r="E251" s="8"/>
      <c r="F251" s="8"/>
      <c r="G251" s="8"/>
      <c r="H251" s="8"/>
      <c r="I251" s="8"/>
      <c r="J251" s="8"/>
      <c r="K251" s="8"/>
      <c r="L251" s="8"/>
      <c r="M251" s="8"/>
      <c r="N251" s="8"/>
      <c r="O251" s="8"/>
      <c r="P251" s="8"/>
      <c r="Q251" s="8"/>
    </row>
    <row r="252" spans="1:17" ht="12.75" customHeight="1">
      <c r="A252" s="8"/>
      <c r="B252" s="8"/>
      <c r="C252" s="30"/>
      <c r="D252" s="8"/>
      <c r="E252" s="8"/>
      <c r="F252" s="8"/>
      <c r="G252" s="8"/>
      <c r="H252" s="8"/>
      <c r="I252" s="8"/>
      <c r="J252" s="8"/>
      <c r="K252" s="8"/>
      <c r="L252" s="8"/>
      <c r="M252" s="8"/>
      <c r="N252" s="8"/>
      <c r="O252" s="8"/>
      <c r="P252" s="8"/>
      <c r="Q252" s="8"/>
    </row>
    <row r="253" spans="1:17" ht="12.75" customHeight="1">
      <c r="A253" s="8"/>
      <c r="B253" s="8"/>
      <c r="C253" s="30"/>
      <c r="D253" s="8"/>
      <c r="E253" s="8"/>
      <c r="F253" s="8"/>
      <c r="G253" s="8"/>
      <c r="H253" s="8"/>
      <c r="I253" s="8"/>
      <c r="J253" s="8"/>
      <c r="K253" s="8"/>
      <c r="L253" s="8"/>
      <c r="M253" s="8"/>
      <c r="N253" s="8"/>
      <c r="O253" s="8"/>
      <c r="P253" s="8"/>
      <c r="Q253" s="8"/>
    </row>
    <row r="254" spans="1:17" ht="12.75" customHeight="1">
      <c r="A254" s="8"/>
      <c r="B254" s="8"/>
      <c r="C254" s="30"/>
      <c r="D254" s="8"/>
      <c r="E254" s="8"/>
      <c r="F254" s="8"/>
      <c r="G254" s="8"/>
      <c r="H254" s="8"/>
      <c r="I254" s="8"/>
      <c r="J254" s="8"/>
      <c r="K254" s="8"/>
      <c r="L254" s="8"/>
      <c r="M254" s="8"/>
      <c r="N254" s="8"/>
      <c r="O254" s="8"/>
      <c r="P254" s="8"/>
      <c r="Q254" s="8"/>
    </row>
    <row r="255" spans="1:17" ht="12.75" customHeight="1">
      <c r="A255" s="8"/>
      <c r="B255" s="8"/>
      <c r="C255" s="30"/>
      <c r="D255" s="8"/>
      <c r="E255" s="8"/>
      <c r="F255" s="8"/>
      <c r="G255" s="8"/>
      <c r="H255" s="8"/>
      <c r="I255" s="8"/>
      <c r="J255" s="8"/>
      <c r="K255" s="8"/>
      <c r="L255" s="8"/>
      <c r="M255" s="8"/>
      <c r="N255" s="8"/>
      <c r="O255" s="8"/>
      <c r="P255" s="8"/>
      <c r="Q255" s="8"/>
    </row>
    <row r="256" spans="1:17" ht="12.75" customHeight="1">
      <c r="A256" s="8"/>
      <c r="B256" s="8"/>
      <c r="C256" s="30"/>
      <c r="D256" s="8"/>
      <c r="E256" s="8"/>
      <c r="F256" s="8"/>
      <c r="G256" s="8"/>
      <c r="H256" s="8"/>
      <c r="I256" s="8"/>
      <c r="J256" s="8"/>
      <c r="K256" s="8"/>
      <c r="L256" s="8"/>
      <c r="M256" s="8"/>
      <c r="N256" s="8"/>
      <c r="O256" s="8"/>
      <c r="P256" s="8"/>
      <c r="Q256" s="8"/>
    </row>
    <row r="257" spans="1:17" ht="12.75" customHeight="1">
      <c r="A257" s="8"/>
      <c r="B257" s="8"/>
      <c r="C257" s="30"/>
      <c r="D257" s="8"/>
      <c r="E257" s="8"/>
      <c r="F257" s="8"/>
      <c r="G257" s="8"/>
      <c r="H257" s="8"/>
      <c r="I257" s="8"/>
      <c r="J257" s="8"/>
      <c r="K257" s="8"/>
      <c r="L257" s="8"/>
      <c r="M257" s="8"/>
      <c r="N257" s="8"/>
      <c r="O257" s="8"/>
      <c r="P257" s="8"/>
      <c r="Q257" s="8"/>
    </row>
    <row r="258" spans="1:17" ht="12.75" customHeight="1">
      <c r="A258" s="8"/>
      <c r="B258" s="8"/>
      <c r="C258" s="30"/>
      <c r="D258" s="8"/>
      <c r="E258" s="8"/>
      <c r="F258" s="8"/>
      <c r="G258" s="8"/>
      <c r="H258" s="8"/>
      <c r="I258" s="8"/>
      <c r="J258" s="8"/>
      <c r="K258" s="8"/>
      <c r="L258" s="8"/>
      <c r="M258" s="8"/>
      <c r="N258" s="8"/>
      <c r="O258" s="8"/>
      <c r="P258" s="8"/>
      <c r="Q258" s="8"/>
    </row>
    <row r="259" spans="1:17" ht="12.75" customHeight="1">
      <c r="A259" s="8"/>
      <c r="B259" s="8"/>
      <c r="C259" s="30"/>
      <c r="D259" s="8"/>
      <c r="E259" s="8"/>
      <c r="F259" s="8"/>
      <c r="G259" s="8"/>
      <c r="H259" s="8"/>
      <c r="I259" s="8"/>
      <c r="J259" s="8"/>
      <c r="K259" s="8"/>
      <c r="L259" s="8"/>
      <c r="M259" s="8"/>
      <c r="N259" s="8"/>
      <c r="O259" s="8"/>
      <c r="P259" s="8"/>
      <c r="Q259" s="8"/>
    </row>
    <row r="260" spans="1:17" ht="12.75" customHeight="1">
      <c r="A260" s="8"/>
      <c r="B260" s="8"/>
      <c r="C260" s="30"/>
      <c r="D260" s="8"/>
      <c r="E260" s="8"/>
      <c r="F260" s="8"/>
      <c r="G260" s="8"/>
      <c r="H260" s="8"/>
      <c r="I260" s="8"/>
      <c r="J260" s="8"/>
      <c r="K260" s="8"/>
      <c r="L260" s="8"/>
      <c r="M260" s="8"/>
      <c r="N260" s="8"/>
      <c r="O260" s="8"/>
      <c r="P260" s="8"/>
      <c r="Q260" s="8"/>
    </row>
    <row r="261" spans="1:17" ht="12.75" customHeight="1">
      <c r="A261" s="8"/>
      <c r="B261" s="8"/>
      <c r="C261" s="30"/>
      <c r="D261" s="8"/>
      <c r="E261" s="8"/>
      <c r="F261" s="8"/>
      <c r="G261" s="8"/>
      <c r="H261" s="8"/>
      <c r="I261" s="8"/>
      <c r="J261" s="8"/>
      <c r="K261" s="8"/>
      <c r="L261" s="8"/>
      <c r="M261" s="8"/>
      <c r="N261" s="8"/>
      <c r="O261" s="8"/>
      <c r="P261" s="8"/>
      <c r="Q261" s="8"/>
    </row>
    <row r="262" spans="1:17" ht="12.75" customHeight="1">
      <c r="A262" s="8"/>
      <c r="B262" s="8"/>
      <c r="C262" s="30"/>
      <c r="D262" s="8"/>
      <c r="E262" s="8"/>
      <c r="F262" s="8"/>
      <c r="G262" s="8"/>
      <c r="H262" s="8"/>
      <c r="I262" s="8"/>
      <c r="J262" s="8"/>
      <c r="K262" s="8"/>
      <c r="L262" s="8"/>
      <c r="M262" s="8"/>
      <c r="N262" s="8"/>
      <c r="O262" s="8"/>
      <c r="P262" s="8"/>
      <c r="Q262" s="8"/>
    </row>
    <row r="263" spans="1:17" ht="12.75" customHeight="1">
      <c r="A263" s="8"/>
      <c r="B263" s="8"/>
      <c r="C263" s="30"/>
      <c r="D263" s="8"/>
      <c r="E263" s="8"/>
      <c r="F263" s="8"/>
      <c r="G263" s="8"/>
      <c r="H263" s="8"/>
      <c r="I263" s="8"/>
      <c r="J263" s="8"/>
      <c r="K263" s="8"/>
      <c r="L263" s="8"/>
      <c r="M263" s="8"/>
      <c r="N263" s="8"/>
      <c r="O263" s="8"/>
      <c r="P263" s="8"/>
      <c r="Q263" s="8"/>
    </row>
    <row r="264" spans="1:17" ht="12.75" customHeight="1">
      <c r="A264" s="8"/>
      <c r="B264" s="8"/>
      <c r="C264" s="30"/>
      <c r="D264" s="8"/>
      <c r="E264" s="8"/>
      <c r="F264" s="8"/>
      <c r="G264" s="8"/>
      <c r="H264" s="8"/>
      <c r="I264" s="8"/>
      <c r="J264" s="8"/>
      <c r="K264" s="8"/>
      <c r="L264" s="8"/>
      <c r="M264" s="8"/>
      <c r="N264" s="8"/>
      <c r="O264" s="8"/>
      <c r="P264" s="8"/>
      <c r="Q264" s="8"/>
    </row>
    <row r="265" spans="1:17" ht="12.75" customHeight="1">
      <c r="A265" s="8"/>
      <c r="B265" s="8"/>
      <c r="C265" s="30"/>
      <c r="D265" s="8"/>
      <c r="E265" s="8"/>
      <c r="F265" s="8"/>
      <c r="G265" s="8"/>
      <c r="H265" s="8"/>
      <c r="I265" s="8"/>
      <c r="J265" s="8"/>
      <c r="K265" s="8"/>
      <c r="L265" s="8"/>
      <c r="M265" s="8"/>
      <c r="N265" s="8"/>
      <c r="O265" s="8"/>
      <c r="P265" s="8"/>
      <c r="Q265" s="8"/>
    </row>
    <row r="266" spans="1:17" ht="12.75" customHeight="1">
      <c r="A266" s="8"/>
      <c r="B266" s="8"/>
      <c r="C266" s="30"/>
      <c r="D266" s="8"/>
      <c r="E266" s="8"/>
      <c r="F266" s="8"/>
      <c r="G266" s="8"/>
      <c r="H266" s="8"/>
      <c r="I266" s="8"/>
      <c r="J266" s="8"/>
      <c r="K266" s="8"/>
      <c r="L266" s="8"/>
      <c r="M266" s="8"/>
      <c r="N266" s="8"/>
      <c r="O266" s="8"/>
      <c r="P266" s="8"/>
      <c r="Q266" s="8"/>
    </row>
    <row r="267" spans="1:17" ht="12.75" customHeight="1">
      <c r="A267" s="8"/>
      <c r="B267" s="8"/>
      <c r="C267" s="30"/>
      <c r="D267" s="8"/>
      <c r="E267" s="8"/>
      <c r="F267" s="8"/>
      <c r="G267" s="8"/>
      <c r="H267" s="8"/>
      <c r="I267" s="8"/>
      <c r="J267" s="8"/>
      <c r="K267" s="8"/>
      <c r="L267" s="8"/>
      <c r="M267" s="8"/>
      <c r="N267" s="8"/>
      <c r="O267" s="8"/>
      <c r="P267" s="8"/>
      <c r="Q267" s="8"/>
    </row>
    <row r="268" spans="1:17" ht="12.75" customHeight="1">
      <c r="A268" s="8"/>
      <c r="B268" s="8"/>
      <c r="C268" s="30"/>
      <c r="D268" s="8"/>
      <c r="E268" s="8"/>
      <c r="F268" s="8"/>
      <c r="G268" s="8"/>
      <c r="H268" s="8"/>
      <c r="I268" s="8"/>
      <c r="J268" s="8"/>
      <c r="K268" s="8"/>
      <c r="L268" s="8"/>
      <c r="M268" s="8"/>
      <c r="N268" s="8"/>
      <c r="O268" s="8"/>
      <c r="P268" s="8"/>
      <c r="Q268" s="8"/>
    </row>
    <row r="269" spans="1:17" ht="12.75" customHeight="1">
      <c r="A269" s="8"/>
      <c r="B269" s="8"/>
      <c r="C269" s="30"/>
      <c r="D269" s="8"/>
      <c r="E269" s="8"/>
      <c r="F269" s="8"/>
      <c r="G269" s="8"/>
      <c r="H269" s="8"/>
      <c r="I269" s="8"/>
      <c r="J269" s="8"/>
      <c r="K269" s="8"/>
      <c r="L269" s="8"/>
      <c r="M269" s="8"/>
      <c r="N269" s="8"/>
      <c r="O269" s="8"/>
      <c r="P269" s="8"/>
      <c r="Q269" s="8"/>
    </row>
    <row r="270" spans="1:17" ht="12.75" customHeight="1">
      <c r="A270" s="8"/>
      <c r="B270" s="8"/>
      <c r="C270" s="30"/>
      <c r="D270" s="8"/>
      <c r="E270" s="8"/>
      <c r="F270" s="8"/>
      <c r="G270" s="8"/>
      <c r="H270" s="8"/>
      <c r="I270" s="8"/>
      <c r="J270" s="8"/>
      <c r="K270" s="8"/>
      <c r="L270" s="8"/>
      <c r="M270" s="8"/>
      <c r="N270" s="8"/>
      <c r="O270" s="8"/>
      <c r="P270" s="8"/>
      <c r="Q270" s="8"/>
    </row>
    <row r="271" spans="1:17" ht="12.75" customHeight="1">
      <c r="A271" s="8"/>
      <c r="B271" s="8"/>
      <c r="C271" s="30"/>
      <c r="D271" s="8"/>
      <c r="E271" s="8"/>
      <c r="F271" s="8"/>
      <c r="G271" s="8"/>
      <c r="H271" s="8"/>
      <c r="I271" s="8"/>
      <c r="J271" s="8"/>
      <c r="K271" s="8"/>
      <c r="L271" s="8"/>
      <c r="M271" s="8"/>
      <c r="N271" s="8"/>
      <c r="O271" s="8"/>
      <c r="P271" s="8"/>
      <c r="Q271" s="8"/>
    </row>
    <row r="272" spans="1:17" ht="12.75" customHeight="1">
      <c r="A272" s="8"/>
      <c r="B272" s="8"/>
      <c r="C272" s="30"/>
      <c r="D272" s="8"/>
      <c r="E272" s="8"/>
      <c r="F272" s="8"/>
      <c r="G272" s="8"/>
      <c r="H272" s="8"/>
      <c r="I272" s="8"/>
      <c r="J272" s="8"/>
      <c r="K272" s="8"/>
      <c r="L272" s="8"/>
      <c r="M272" s="8"/>
      <c r="N272" s="8"/>
      <c r="O272" s="8"/>
      <c r="P272" s="8"/>
      <c r="Q272" s="8"/>
    </row>
    <row r="273" spans="1:17" ht="12.75" customHeight="1">
      <c r="A273" s="8"/>
      <c r="B273" s="8"/>
      <c r="C273" s="30"/>
      <c r="D273" s="8"/>
      <c r="E273" s="8"/>
      <c r="F273" s="8"/>
      <c r="G273" s="8"/>
      <c r="H273" s="8"/>
      <c r="I273" s="8"/>
      <c r="J273" s="8"/>
      <c r="K273" s="8"/>
      <c r="L273" s="8"/>
      <c r="M273" s="8"/>
      <c r="N273" s="8"/>
      <c r="O273" s="8"/>
      <c r="P273" s="8"/>
      <c r="Q273" s="8"/>
    </row>
    <row r="274" spans="1:17" ht="12.75" customHeight="1">
      <c r="A274" s="8"/>
      <c r="B274" s="8"/>
      <c r="C274" s="30"/>
      <c r="D274" s="8"/>
      <c r="E274" s="8"/>
      <c r="F274" s="8"/>
      <c r="G274" s="8"/>
      <c r="H274" s="8"/>
      <c r="I274" s="8"/>
      <c r="J274" s="8"/>
      <c r="K274" s="8"/>
      <c r="L274" s="8"/>
      <c r="M274" s="8"/>
      <c r="N274" s="8"/>
      <c r="O274" s="8"/>
      <c r="P274" s="8"/>
      <c r="Q274" s="8"/>
    </row>
    <row r="275" spans="1:17" ht="12.75" customHeight="1">
      <c r="A275" s="8"/>
      <c r="B275" s="8"/>
      <c r="C275" s="30"/>
      <c r="D275" s="8"/>
      <c r="E275" s="8"/>
      <c r="F275" s="8"/>
      <c r="G275" s="8"/>
      <c r="H275" s="8"/>
      <c r="I275" s="8"/>
      <c r="J275" s="8"/>
      <c r="K275" s="8"/>
      <c r="L275" s="8"/>
      <c r="M275" s="8"/>
      <c r="N275" s="8"/>
      <c r="O275" s="8"/>
      <c r="P275" s="8"/>
      <c r="Q275" s="8"/>
    </row>
    <row r="276" spans="1:17" ht="12.75" customHeight="1">
      <c r="A276" s="8"/>
      <c r="B276" s="8"/>
      <c r="C276" s="30"/>
      <c r="D276" s="8"/>
      <c r="E276" s="8"/>
      <c r="F276" s="8"/>
      <c r="G276" s="8"/>
      <c r="H276" s="8"/>
      <c r="I276" s="8"/>
      <c r="J276" s="8"/>
      <c r="K276" s="8"/>
      <c r="L276" s="8"/>
      <c r="M276" s="8"/>
      <c r="N276" s="8"/>
      <c r="O276" s="8"/>
      <c r="P276" s="8"/>
      <c r="Q276" s="8"/>
    </row>
    <row r="277" spans="1:17" ht="12.75" customHeight="1">
      <c r="A277" s="8"/>
      <c r="B277" s="8"/>
      <c r="C277" s="30"/>
      <c r="D277" s="8"/>
      <c r="E277" s="8"/>
      <c r="F277" s="8"/>
      <c r="G277" s="8"/>
      <c r="H277" s="8"/>
      <c r="I277" s="8"/>
      <c r="J277" s="8"/>
      <c r="K277" s="8"/>
      <c r="L277" s="8"/>
      <c r="M277" s="8"/>
      <c r="N277" s="8"/>
      <c r="O277" s="8"/>
      <c r="P277" s="8"/>
      <c r="Q277" s="8"/>
    </row>
    <row r="278" spans="1:17" ht="12.75" customHeight="1">
      <c r="A278" s="8"/>
      <c r="B278" s="8"/>
      <c r="C278" s="30"/>
      <c r="D278" s="8"/>
      <c r="E278" s="8"/>
      <c r="F278" s="8"/>
      <c r="G278" s="8"/>
      <c r="H278" s="8"/>
      <c r="I278" s="8"/>
      <c r="J278" s="8"/>
      <c r="K278" s="8"/>
      <c r="L278" s="8"/>
      <c r="M278" s="8"/>
      <c r="N278" s="8"/>
      <c r="O278" s="8"/>
      <c r="P278" s="8"/>
      <c r="Q278" s="8"/>
    </row>
    <row r="279" spans="1:17" ht="12.75" customHeight="1">
      <c r="A279" s="8"/>
      <c r="B279" s="8"/>
      <c r="C279" s="30"/>
      <c r="D279" s="8"/>
      <c r="E279" s="8"/>
      <c r="F279" s="8"/>
      <c r="G279" s="8"/>
      <c r="H279" s="8"/>
      <c r="I279" s="8"/>
      <c r="J279" s="8"/>
      <c r="K279" s="8"/>
      <c r="L279" s="8"/>
      <c r="M279" s="8"/>
      <c r="N279" s="8"/>
      <c r="O279" s="8"/>
      <c r="P279" s="8"/>
      <c r="Q279" s="8"/>
    </row>
    <row r="280" spans="1:17" ht="12.75" customHeight="1">
      <c r="A280" s="8"/>
      <c r="B280" s="8"/>
      <c r="C280" s="30"/>
      <c r="D280" s="8"/>
      <c r="E280" s="8"/>
      <c r="F280" s="8"/>
      <c r="G280" s="8"/>
      <c r="H280" s="8"/>
      <c r="I280" s="8"/>
      <c r="J280" s="8"/>
      <c r="K280" s="8"/>
      <c r="L280" s="8"/>
      <c r="M280" s="8"/>
      <c r="N280" s="8"/>
      <c r="O280" s="8"/>
      <c r="P280" s="8"/>
      <c r="Q280" s="8"/>
    </row>
    <row r="281" spans="1:17" ht="12.75" customHeight="1">
      <c r="A281" s="8"/>
      <c r="B281" s="8"/>
      <c r="C281" s="30"/>
      <c r="D281" s="8"/>
      <c r="E281" s="8"/>
      <c r="F281" s="8"/>
      <c r="G281" s="8"/>
      <c r="H281" s="8"/>
      <c r="I281" s="8"/>
      <c r="J281" s="8"/>
      <c r="K281" s="8"/>
      <c r="L281" s="8"/>
      <c r="M281" s="8"/>
      <c r="N281" s="8"/>
      <c r="O281" s="8"/>
      <c r="P281" s="8"/>
      <c r="Q281" s="8"/>
    </row>
    <row r="282" spans="1:17" ht="12.75" customHeight="1">
      <c r="A282" s="8"/>
      <c r="B282" s="8"/>
      <c r="C282" s="30"/>
      <c r="D282" s="8"/>
      <c r="E282" s="8"/>
      <c r="F282" s="8"/>
      <c r="G282" s="8"/>
      <c r="H282" s="8"/>
      <c r="I282" s="8"/>
      <c r="J282" s="8"/>
      <c r="K282" s="8"/>
      <c r="L282" s="8"/>
      <c r="M282" s="8"/>
      <c r="N282" s="8"/>
      <c r="O282" s="8"/>
      <c r="P282" s="8"/>
      <c r="Q282" s="8"/>
    </row>
    <row r="283" spans="1:17" ht="12.75" customHeight="1">
      <c r="A283" s="8"/>
      <c r="B283" s="8"/>
      <c r="C283" s="30"/>
      <c r="D283" s="8"/>
      <c r="E283" s="8"/>
      <c r="F283" s="8"/>
      <c r="G283" s="8"/>
      <c r="H283" s="8"/>
      <c r="I283" s="8"/>
      <c r="J283" s="8"/>
      <c r="K283" s="8"/>
      <c r="L283" s="8"/>
      <c r="M283" s="8"/>
      <c r="N283" s="8"/>
      <c r="O283" s="8"/>
      <c r="P283" s="8"/>
      <c r="Q283" s="8"/>
    </row>
    <row r="284" spans="1:17" ht="12.75" customHeight="1">
      <c r="A284" s="8"/>
      <c r="B284" s="8"/>
      <c r="C284" s="30"/>
      <c r="D284" s="8"/>
      <c r="E284" s="8"/>
      <c r="F284" s="8"/>
      <c r="G284" s="8"/>
      <c r="H284" s="8"/>
      <c r="I284" s="8"/>
      <c r="J284" s="8"/>
      <c r="K284" s="8"/>
      <c r="L284" s="8"/>
      <c r="M284" s="8"/>
      <c r="N284" s="8"/>
      <c r="O284" s="8"/>
      <c r="P284" s="8"/>
      <c r="Q284" s="8"/>
    </row>
    <row r="285" spans="1:17" ht="12.75" customHeight="1">
      <c r="A285" s="8"/>
      <c r="B285" s="8"/>
      <c r="C285" s="30"/>
      <c r="D285" s="8"/>
      <c r="E285" s="8"/>
      <c r="F285" s="8"/>
      <c r="G285" s="8"/>
      <c r="H285" s="8"/>
      <c r="I285" s="8"/>
      <c r="J285" s="8"/>
      <c r="K285" s="8"/>
      <c r="L285" s="8"/>
      <c r="M285" s="8"/>
      <c r="N285" s="8"/>
      <c r="O285" s="8"/>
      <c r="P285" s="8"/>
      <c r="Q285" s="8"/>
    </row>
    <row r="286" spans="1:17" ht="12.75" customHeight="1">
      <c r="A286" s="8"/>
      <c r="B286" s="8"/>
      <c r="C286" s="30"/>
      <c r="D286" s="8"/>
      <c r="E286" s="8"/>
      <c r="F286" s="8"/>
      <c r="G286" s="8"/>
      <c r="H286" s="8"/>
      <c r="I286" s="8"/>
      <c r="J286" s="8"/>
      <c r="K286" s="8"/>
      <c r="L286" s="8"/>
      <c r="M286" s="8"/>
      <c r="N286" s="8"/>
      <c r="O286" s="8"/>
      <c r="P286" s="8"/>
      <c r="Q286" s="8"/>
    </row>
    <row r="287" spans="1:17" ht="12.75" customHeight="1">
      <c r="A287" s="8"/>
      <c r="B287" s="8"/>
      <c r="C287" s="30"/>
      <c r="D287" s="8"/>
      <c r="E287" s="8"/>
      <c r="F287" s="8"/>
      <c r="G287" s="8"/>
      <c r="H287" s="8"/>
      <c r="I287" s="8"/>
      <c r="J287" s="8"/>
      <c r="K287" s="8"/>
      <c r="L287" s="8"/>
      <c r="M287" s="8"/>
      <c r="N287" s="8"/>
      <c r="O287" s="8"/>
      <c r="P287" s="8"/>
      <c r="Q287" s="8"/>
    </row>
    <row r="288" spans="1:17" ht="12.75" customHeight="1">
      <c r="A288" s="8"/>
      <c r="B288" s="8"/>
      <c r="C288" s="30"/>
      <c r="D288" s="8"/>
      <c r="E288" s="8"/>
      <c r="F288" s="8"/>
      <c r="G288" s="8"/>
      <c r="H288" s="8"/>
      <c r="I288" s="8"/>
      <c r="J288" s="8"/>
      <c r="K288" s="8"/>
      <c r="L288" s="8"/>
      <c r="M288" s="8"/>
      <c r="N288" s="8"/>
      <c r="O288" s="8"/>
      <c r="P288" s="8"/>
      <c r="Q288" s="8"/>
    </row>
    <row r="289" spans="1:17" ht="12.75" customHeight="1">
      <c r="A289" s="8"/>
      <c r="B289" s="8"/>
      <c r="C289" s="30"/>
      <c r="D289" s="8"/>
      <c r="E289" s="8"/>
      <c r="F289" s="8"/>
      <c r="G289" s="8"/>
      <c r="H289" s="8"/>
      <c r="I289" s="8"/>
      <c r="J289" s="8"/>
      <c r="K289" s="8"/>
      <c r="L289" s="8"/>
      <c r="M289" s="8"/>
      <c r="N289" s="8"/>
      <c r="O289" s="8"/>
      <c r="P289" s="8"/>
      <c r="Q289" s="8"/>
    </row>
    <row r="290" spans="1:17" ht="12.75" customHeight="1">
      <c r="A290" s="8"/>
      <c r="B290" s="8"/>
      <c r="C290" s="30"/>
      <c r="D290" s="8"/>
      <c r="E290" s="8"/>
      <c r="F290" s="8"/>
      <c r="G290" s="8"/>
      <c r="H290" s="8"/>
      <c r="I290" s="8"/>
      <c r="J290" s="8"/>
      <c r="K290" s="8"/>
      <c r="L290" s="8"/>
      <c r="M290" s="8"/>
      <c r="N290" s="8"/>
      <c r="O290" s="8"/>
      <c r="P290" s="8"/>
      <c r="Q290" s="8"/>
    </row>
    <row r="291" spans="1:17" ht="12.75" customHeight="1">
      <c r="A291" s="8"/>
      <c r="B291" s="8"/>
      <c r="C291" s="30"/>
      <c r="D291" s="8"/>
      <c r="E291" s="8"/>
      <c r="F291" s="8"/>
      <c r="G291" s="8"/>
      <c r="H291" s="8"/>
      <c r="I291" s="8"/>
      <c r="J291" s="8"/>
      <c r="K291" s="8"/>
      <c r="L291" s="8"/>
      <c r="M291" s="8"/>
      <c r="N291" s="8"/>
      <c r="O291" s="8"/>
      <c r="P291" s="8"/>
      <c r="Q291" s="8"/>
    </row>
    <row r="292" spans="1:17" ht="12.75" customHeight="1">
      <c r="A292" s="8"/>
      <c r="B292" s="8"/>
      <c r="C292" s="30"/>
      <c r="D292" s="8"/>
      <c r="E292" s="8"/>
      <c r="F292" s="8"/>
      <c r="G292" s="8"/>
      <c r="H292" s="8"/>
      <c r="I292" s="8"/>
      <c r="J292" s="8"/>
      <c r="K292" s="8"/>
      <c r="L292" s="8"/>
      <c r="M292" s="8"/>
      <c r="N292" s="8"/>
      <c r="O292" s="8"/>
      <c r="P292" s="8"/>
      <c r="Q292" s="8"/>
    </row>
    <row r="293" spans="1:17" ht="12.75" customHeight="1">
      <c r="A293" s="8"/>
      <c r="B293" s="8"/>
      <c r="C293" s="30"/>
      <c r="D293" s="8"/>
      <c r="E293" s="8"/>
      <c r="F293" s="8"/>
      <c r="G293" s="8"/>
      <c r="H293" s="8"/>
      <c r="I293" s="8"/>
      <c r="J293" s="8"/>
      <c r="K293" s="8"/>
      <c r="L293" s="8"/>
      <c r="M293" s="8"/>
      <c r="N293" s="8"/>
      <c r="O293" s="8"/>
      <c r="P293" s="8"/>
      <c r="Q293" s="8"/>
    </row>
    <row r="294" spans="1:17" ht="12.75" customHeight="1">
      <c r="A294" s="8"/>
      <c r="B294" s="8"/>
      <c r="C294" s="30"/>
      <c r="D294" s="8"/>
      <c r="E294" s="8"/>
      <c r="F294" s="8"/>
      <c r="G294" s="8"/>
      <c r="H294" s="8"/>
      <c r="I294" s="8"/>
      <c r="J294" s="8"/>
      <c r="K294" s="8"/>
      <c r="L294" s="8"/>
      <c r="M294" s="8"/>
      <c r="N294" s="8"/>
      <c r="O294" s="8"/>
      <c r="P294" s="8"/>
      <c r="Q294" s="8"/>
    </row>
    <row r="295" spans="1:17" ht="12.75" customHeight="1">
      <c r="A295" s="8"/>
      <c r="B295" s="8"/>
      <c r="C295" s="30"/>
      <c r="D295" s="8"/>
      <c r="E295" s="8"/>
      <c r="F295" s="8"/>
      <c r="G295" s="8"/>
      <c r="H295" s="8"/>
      <c r="I295" s="8"/>
      <c r="J295" s="8"/>
      <c r="K295" s="8"/>
      <c r="L295" s="8"/>
      <c r="M295" s="8"/>
      <c r="N295" s="8"/>
      <c r="O295" s="8"/>
      <c r="P295" s="8"/>
      <c r="Q295" s="8"/>
    </row>
    <row r="296" spans="1:17" ht="12.75" customHeight="1">
      <c r="A296" s="8"/>
      <c r="B296" s="8"/>
      <c r="C296" s="30"/>
      <c r="D296" s="8"/>
      <c r="E296" s="8"/>
      <c r="F296" s="8"/>
      <c r="G296" s="8"/>
      <c r="H296" s="8"/>
      <c r="I296" s="8"/>
      <c r="J296" s="8"/>
      <c r="K296" s="8"/>
      <c r="L296" s="8"/>
      <c r="M296" s="8"/>
      <c r="N296" s="8"/>
      <c r="O296" s="8"/>
      <c r="P296" s="8"/>
      <c r="Q296" s="8"/>
    </row>
    <row r="297" spans="1:17" ht="12.75" customHeight="1">
      <c r="A297" s="8"/>
      <c r="B297" s="8"/>
      <c r="C297" s="30"/>
      <c r="D297" s="8"/>
      <c r="E297" s="8"/>
      <c r="F297" s="8"/>
      <c r="G297" s="8"/>
      <c r="H297" s="8"/>
      <c r="I297" s="8"/>
      <c r="J297" s="8"/>
      <c r="K297" s="8"/>
      <c r="L297" s="8"/>
      <c r="M297" s="8"/>
      <c r="N297" s="8"/>
      <c r="O297" s="8"/>
      <c r="P297" s="8"/>
      <c r="Q297" s="8"/>
    </row>
    <row r="298" spans="1:17" ht="12.75" customHeight="1">
      <c r="A298" s="8"/>
      <c r="B298" s="8"/>
      <c r="C298" s="30"/>
      <c r="D298" s="8"/>
      <c r="E298" s="8"/>
      <c r="F298" s="8"/>
      <c r="G298" s="8"/>
      <c r="H298" s="8"/>
      <c r="I298" s="8"/>
      <c r="J298" s="8"/>
      <c r="K298" s="8"/>
      <c r="L298" s="8"/>
      <c r="M298" s="8"/>
      <c r="N298" s="8"/>
      <c r="O298" s="8"/>
      <c r="P298" s="8"/>
      <c r="Q298" s="8"/>
    </row>
    <row r="299" spans="1:17" ht="12.75" customHeight="1">
      <c r="A299" s="8"/>
      <c r="B299" s="8"/>
      <c r="C299" s="30"/>
      <c r="D299" s="8"/>
      <c r="E299" s="8"/>
      <c r="F299" s="8"/>
      <c r="G299" s="8"/>
      <c r="H299" s="8"/>
      <c r="I299" s="8"/>
      <c r="J299" s="8"/>
      <c r="K299" s="8"/>
      <c r="L299" s="8"/>
      <c r="M299" s="8"/>
      <c r="N299" s="8"/>
      <c r="O299" s="8"/>
      <c r="P299" s="8"/>
      <c r="Q299" s="8"/>
    </row>
    <row r="300" spans="1:17" ht="12.75" customHeight="1">
      <c r="A300" s="8"/>
      <c r="B300" s="8"/>
      <c r="C300" s="30"/>
      <c r="D300" s="8"/>
      <c r="E300" s="8"/>
      <c r="F300" s="8"/>
      <c r="G300" s="8"/>
      <c r="H300" s="8"/>
      <c r="I300" s="8"/>
      <c r="J300" s="8"/>
      <c r="K300" s="8"/>
      <c r="L300" s="8"/>
      <c r="M300" s="8"/>
      <c r="N300" s="8"/>
      <c r="O300" s="8"/>
      <c r="P300" s="8"/>
      <c r="Q300" s="8"/>
    </row>
    <row r="301" spans="1:17" ht="12.75" customHeight="1">
      <c r="A301" s="8"/>
      <c r="B301" s="8"/>
      <c r="C301" s="30"/>
      <c r="D301" s="8"/>
      <c r="E301" s="8"/>
      <c r="F301" s="8"/>
      <c r="G301" s="8"/>
      <c r="H301" s="8"/>
      <c r="I301" s="8"/>
      <c r="J301" s="8"/>
      <c r="K301" s="8"/>
      <c r="L301" s="8"/>
      <c r="M301" s="8"/>
      <c r="N301" s="8"/>
      <c r="O301" s="8"/>
      <c r="P301" s="8"/>
      <c r="Q301" s="8"/>
    </row>
    <row r="302" spans="1:17" ht="12.75" customHeight="1">
      <c r="A302" s="8"/>
      <c r="B302" s="8"/>
      <c r="C302" s="30"/>
      <c r="D302" s="8"/>
      <c r="E302" s="8"/>
      <c r="F302" s="8"/>
      <c r="G302" s="8"/>
      <c r="H302" s="8"/>
      <c r="I302" s="8"/>
      <c r="J302" s="8"/>
      <c r="K302" s="8"/>
      <c r="L302" s="8"/>
      <c r="M302" s="8"/>
      <c r="N302" s="8"/>
      <c r="O302" s="8"/>
      <c r="P302" s="8"/>
      <c r="Q302" s="8"/>
    </row>
    <row r="303" spans="1:17" ht="12.75" customHeight="1">
      <c r="A303" s="8"/>
      <c r="B303" s="8"/>
      <c r="C303" s="30"/>
      <c r="D303" s="8"/>
      <c r="E303" s="8"/>
      <c r="F303" s="8"/>
      <c r="G303" s="8"/>
      <c r="H303" s="8"/>
      <c r="I303" s="8"/>
      <c r="J303" s="8"/>
      <c r="K303" s="8"/>
      <c r="L303" s="8"/>
      <c r="M303" s="8"/>
      <c r="N303" s="8"/>
      <c r="O303" s="8"/>
      <c r="P303" s="8"/>
      <c r="Q303" s="8"/>
    </row>
    <row r="304" spans="1:17" ht="12.75" customHeight="1">
      <c r="A304" s="8"/>
      <c r="B304" s="8"/>
      <c r="C304" s="30"/>
      <c r="D304" s="8"/>
      <c r="E304" s="8"/>
      <c r="F304" s="8"/>
      <c r="G304" s="8"/>
      <c r="H304" s="8"/>
      <c r="I304" s="8"/>
      <c r="J304" s="8"/>
      <c r="K304" s="8"/>
      <c r="L304" s="8"/>
      <c r="M304" s="8"/>
      <c r="N304" s="8"/>
      <c r="O304" s="8"/>
      <c r="P304" s="8"/>
      <c r="Q304" s="8"/>
    </row>
    <row r="305" spans="1:17" ht="12.75" customHeight="1">
      <c r="A305" s="8"/>
      <c r="B305" s="8"/>
      <c r="C305" s="30"/>
      <c r="D305" s="8"/>
      <c r="E305" s="8"/>
      <c r="F305" s="8"/>
      <c r="G305" s="8"/>
      <c r="H305" s="8"/>
      <c r="I305" s="8"/>
      <c r="J305" s="8"/>
      <c r="K305" s="8"/>
      <c r="L305" s="8"/>
      <c r="M305" s="8"/>
      <c r="N305" s="8"/>
      <c r="O305" s="8"/>
      <c r="P305" s="8"/>
      <c r="Q305" s="8"/>
    </row>
    <row r="306" spans="1:17" ht="12.75" customHeight="1">
      <c r="A306" s="8"/>
      <c r="B306" s="8"/>
      <c r="C306" s="30"/>
      <c r="D306" s="8"/>
      <c r="E306" s="8"/>
      <c r="F306" s="8"/>
      <c r="G306" s="8"/>
      <c r="H306" s="8"/>
      <c r="I306" s="8"/>
      <c r="J306" s="8"/>
      <c r="K306" s="8"/>
      <c r="L306" s="8"/>
      <c r="M306" s="8"/>
      <c r="N306" s="8"/>
      <c r="O306" s="8"/>
      <c r="P306" s="8"/>
      <c r="Q306" s="8"/>
    </row>
    <row r="307" spans="1:17" ht="12.75" customHeight="1">
      <c r="A307" s="8"/>
      <c r="B307" s="8"/>
      <c r="C307" s="30"/>
      <c r="D307" s="8"/>
      <c r="E307" s="8"/>
      <c r="F307" s="8"/>
      <c r="G307" s="8"/>
      <c r="H307" s="8"/>
      <c r="I307" s="8"/>
      <c r="J307" s="8"/>
      <c r="K307" s="8"/>
      <c r="L307" s="8"/>
      <c r="M307" s="8"/>
      <c r="N307" s="8"/>
      <c r="O307" s="8"/>
      <c r="P307" s="8"/>
      <c r="Q307" s="8"/>
    </row>
    <row r="308" spans="1:17" ht="12.75" customHeight="1">
      <c r="A308" s="8"/>
      <c r="B308" s="8"/>
      <c r="C308" s="30"/>
      <c r="D308" s="8"/>
      <c r="E308" s="8"/>
      <c r="F308" s="8"/>
      <c r="G308" s="8"/>
      <c r="H308" s="8"/>
      <c r="I308" s="8"/>
      <c r="J308" s="8"/>
      <c r="K308" s="8"/>
      <c r="L308" s="8"/>
      <c r="M308" s="8"/>
      <c r="N308" s="8"/>
      <c r="O308" s="8"/>
      <c r="P308" s="8"/>
      <c r="Q308" s="8"/>
    </row>
    <row r="309" spans="1:17" ht="12.75" customHeight="1">
      <c r="A309" s="8"/>
      <c r="B309" s="8"/>
      <c r="C309" s="30"/>
      <c r="D309" s="8"/>
      <c r="E309" s="8"/>
      <c r="F309" s="8"/>
      <c r="G309" s="8"/>
      <c r="H309" s="8"/>
      <c r="I309" s="8"/>
      <c r="J309" s="8"/>
      <c r="K309" s="8"/>
      <c r="L309" s="8"/>
      <c r="M309" s="8"/>
      <c r="N309" s="8"/>
      <c r="O309" s="8"/>
      <c r="P309" s="8"/>
      <c r="Q309" s="8"/>
    </row>
    <row r="310" spans="1:17" ht="12.75" customHeight="1">
      <c r="A310" s="8"/>
      <c r="B310" s="8"/>
      <c r="C310" s="30"/>
      <c r="D310" s="8"/>
      <c r="E310" s="8"/>
      <c r="F310" s="8"/>
      <c r="G310" s="8"/>
      <c r="H310" s="8"/>
      <c r="I310" s="8"/>
      <c r="J310" s="8"/>
      <c r="K310" s="8"/>
      <c r="L310" s="8"/>
      <c r="M310" s="8"/>
      <c r="N310" s="8"/>
      <c r="O310" s="8"/>
      <c r="P310" s="8"/>
      <c r="Q310" s="8"/>
    </row>
    <row r="311" spans="1:17" ht="12.75" customHeight="1">
      <c r="A311" s="8"/>
      <c r="B311" s="8"/>
      <c r="C311" s="30"/>
      <c r="D311" s="8"/>
      <c r="E311" s="8"/>
      <c r="F311" s="8"/>
      <c r="G311" s="8"/>
      <c r="H311" s="8"/>
      <c r="I311" s="8"/>
      <c r="J311" s="8"/>
      <c r="K311" s="8"/>
      <c r="L311" s="8"/>
      <c r="M311" s="8"/>
      <c r="N311" s="8"/>
      <c r="O311" s="8"/>
      <c r="P311" s="8"/>
      <c r="Q311" s="8"/>
    </row>
    <row r="312" spans="1:17" ht="12.75" customHeight="1">
      <c r="A312" s="8"/>
      <c r="B312" s="8"/>
      <c r="C312" s="30"/>
      <c r="D312" s="8"/>
      <c r="E312" s="8"/>
      <c r="F312" s="8"/>
      <c r="G312" s="8"/>
      <c r="H312" s="8"/>
      <c r="I312" s="8"/>
      <c r="J312" s="8"/>
      <c r="K312" s="8"/>
      <c r="L312" s="8"/>
      <c r="M312" s="8"/>
      <c r="N312" s="8"/>
      <c r="O312" s="8"/>
      <c r="P312" s="8"/>
      <c r="Q312" s="8"/>
    </row>
    <row r="313" spans="1:17" ht="12.75" customHeight="1">
      <c r="A313" s="8"/>
      <c r="B313" s="8"/>
      <c r="C313" s="30"/>
      <c r="D313" s="8"/>
      <c r="E313" s="8"/>
      <c r="F313" s="8"/>
      <c r="G313" s="8"/>
      <c r="H313" s="8"/>
      <c r="I313" s="8"/>
      <c r="J313" s="8"/>
      <c r="K313" s="8"/>
      <c r="L313" s="8"/>
      <c r="M313" s="8"/>
      <c r="N313" s="8"/>
      <c r="O313" s="8"/>
      <c r="P313" s="8"/>
      <c r="Q313" s="8"/>
    </row>
    <row r="314" spans="1:17" ht="12.75" customHeight="1">
      <c r="A314" s="8"/>
      <c r="B314" s="8"/>
      <c r="C314" s="30"/>
      <c r="D314" s="8"/>
      <c r="E314" s="8"/>
      <c r="F314" s="8"/>
      <c r="G314" s="8"/>
      <c r="H314" s="8"/>
      <c r="I314" s="8"/>
      <c r="J314" s="8"/>
      <c r="K314" s="8"/>
      <c r="L314" s="8"/>
      <c r="M314" s="8"/>
      <c r="N314" s="8"/>
      <c r="O314" s="8"/>
      <c r="P314" s="8"/>
      <c r="Q314" s="8"/>
    </row>
    <row r="315" spans="1:17" ht="12.75" customHeight="1">
      <c r="A315" s="8"/>
      <c r="B315" s="8"/>
      <c r="C315" s="30"/>
      <c r="D315" s="8"/>
      <c r="E315" s="8"/>
      <c r="F315" s="8"/>
      <c r="G315" s="8"/>
      <c r="H315" s="8"/>
      <c r="I315" s="8"/>
      <c r="J315" s="8"/>
      <c r="K315" s="8"/>
      <c r="L315" s="8"/>
      <c r="M315" s="8"/>
      <c r="N315" s="8"/>
      <c r="O315" s="8"/>
      <c r="P315" s="8"/>
      <c r="Q315" s="8"/>
    </row>
    <row r="316" spans="1:17" ht="12.75" customHeight="1">
      <c r="A316" s="8"/>
      <c r="B316" s="8"/>
      <c r="C316" s="30"/>
      <c r="D316" s="8"/>
      <c r="E316" s="8"/>
      <c r="F316" s="8"/>
      <c r="G316" s="8"/>
      <c r="H316" s="8"/>
      <c r="I316" s="8"/>
      <c r="J316" s="8"/>
      <c r="K316" s="8"/>
      <c r="L316" s="8"/>
      <c r="M316" s="8"/>
      <c r="N316" s="8"/>
      <c r="O316" s="8"/>
      <c r="P316" s="8"/>
      <c r="Q316" s="8"/>
    </row>
    <row r="317" spans="1:17" ht="12.75" customHeight="1">
      <c r="A317" s="8"/>
      <c r="B317" s="8"/>
      <c r="C317" s="30"/>
      <c r="D317" s="8"/>
      <c r="E317" s="8"/>
      <c r="F317" s="8"/>
      <c r="G317" s="8"/>
      <c r="H317" s="8"/>
      <c r="I317" s="8"/>
      <c r="J317" s="8"/>
      <c r="K317" s="8"/>
      <c r="L317" s="8"/>
      <c r="M317" s="8"/>
      <c r="N317" s="8"/>
      <c r="O317" s="8"/>
      <c r="P317" s="8"/>
      <c r="Q317" s="8"/>
    </row>
    <row r="318" spans="1:17" ht="12.75" customHeight="1">
      <c r="A318" s="8"/>
      <c r="B318" s="8"/>
      <c r="C318" s="30"/>
      <c r="D318" s="8"/>
      <c r="E318" s="8"/>
      <c r="F318" s="8"/>
      <c r="G318" s="8"/>
      <c r="H318" s="8"/>
      <c r="I318" s="8"/>
      <c r="J318" s="8"/>
      <c r="K318" s="8"/>
      <c r="L318" s="8"/>
      <c r="M318" s="8"/>
      <c r="N318" s="8"/>
      <c r="O318" s="8"/>
      <c r="P318" s="8"/>
      <c r="Q318" s="8"/>
    </row>
    <row r="319" spans="1:17" ht="12.75" customHeight="1">
      <c r="A319" s="8"/>
      <c r="B319" s="8"/>
      <c r="C319" s="30"/>
      <c r="D319" s="8"/>
      <c r="E319" s="8"/>
      <c r="F319" s="8"/>
      <c r="G319" s="8"/>
      <c r="H319" s="8"/>
      <c r="I319" s="8"/>
      <c r="J319" s="8"/>
      <c r="K319" s="8"/>
      <c r="L319" s="8"/>
      <c r="M319" s="8"/>
      <c r="N319" s="8"/>
      <c r="O319" s="8"/>
      <c r="P319" s="8"/>
      <c r="Q319" s="8"/>
    </row>
    <row r="320" spans="1:17" ht="12.75" customHeight="1">
      <c r="A320" s="8"/>
      <c r="B320" s="8"/>
      <c r="C320" s="30"/>
      <c r="D320" s="8"/>
      <c r="E320" s="8"/>
      <c r="F320" s="8"/>
      <c r="G320" s="8"/>
      <c r="H320" s="8"/>
      <c r="I320" s="8"/>
      <c r="J320" s="8"/>
      <c r="K320" s="8"/>
      <c r="L320" s="8"/>
      <c r="M320" s="8"/>
      <c r="N320" s="8"/>
      <c r="O320" s="8"/>
      <c r="P320" s="8"/>
      <c r="Q320" s="8"/>
    </row>
    <row r="321" spans="1:17" ht="12.75" customHeight="1">
      <c r="A321" s="8"/>
      <c r="B321" s="8"/>
      <c r="C321" s="30"/>
      <c r="D321" s="8"/>
      <c r="E321" s="8"/>
      <c r="F321" s="8"/>
      <c r="G321" s="8"/>
      <c r="H321" s="8"/>
      <c r="I321" s="8"/>
      <c r="J321" s="8"/>
      <c r="K321" s="8"/>
      <c r="L321" s="8"/>
      <c r="M321" s="8"/>
      <c r="N321" s="8"/>
      <c r="O321" s="8"/>
      <c r="P321" s="8"/>
      <c r="Q321" s="8"/>
    </row>
    <row r="322" spans="1:17" ht="12.75" customHeight="1">
      <c r="A322" s="8"/>
      <c r="B322" s="8"/>
      <c r="C322" s="30"/>
      <c r="D322" s="8"/>
      <c r="E322" s="8"/>
      <c r="F322" s="8"/>
      <c r="G322" s="8"/>
      <c r="H322" s="8"/>
      <c r="I322" s="8"/>
      <c r="J322" s="8"/>
      <c r="K322" s="8"/>
      <c r="L322" s="8"/>
      <c r="M322" s="8"/>
      <c r="N322" s="8"/>
      <c r="O322" s="8"/>
      <c r="P322" s="8"/>
      <c r="Q322" s="8"/>
    </row>
    <row r="323" spans="1:17" ht="12.75" customHeight="1">
      <c r="A323" s="8"/>
      <c r="B323" s="8"/>
      <c r="C323" s="30"/>
      <c r="D323" s="8"/>
      <c r="E323" s="8"/>
      <c r="F323" s="8"/>
      <c r="G323" s="8"/>
      <c r="H323" s="8"/>
      <c r="I323" s="8"/>
      <c r="J323" s="8"/>
      <c r="K323" s="8"/>
      <c r="L323" s="8"/>
      <c r="M323" s="8"/>
      <c r="N323" s="8"/>
      <c r="O323" s="8"/>
      <c r="P323" s="8"/>
      <c r="Q323" s="8"/>
    </row>
    <row r="324" spans="1:17" ht="12.75" customHeight="1">
      <c r="A324" s="8"/>
      <c r="B324" s="8"/>
      <c r="C324" s="30"/>
      <c r="D324" s="8"/>
      <c r="E324" s="8"/>
      <c r="F324" s="8"/>
      <c r="G324" s="8"/>
      <c r="H324" s="8"/>
      <c r="I324" s="8"/>
      <c r="J324" s="8"/>
      <c r="K324" s="8"/>
      <c r="L324" s="8"/>
      <c r="M324" s="8"/>
      <c r="N324" s="8"/>
      <c r="O324" s="8"/>
      <c r="P324" s="8"/>
      <c r="Q324" s="8"/>
    </row>
    <row r="325" spans="1:17" ht="12.75" customHeight="1">
      <c r="A325" s="8"/>
      <c r="B325" s="8"/>
      <c r="C325" s="30"/>
      <c r="D325" s="8"/>
      <c r="E325" s="8"/>
      <c r="F325" s="8"/>
      <c r="G325" s="8"/>
      <c r="H325" s="8"/>
      <c r="I325" s="8"/>
      <c r="J325" s="8"/>
      <c r="K325" s="8"/>
      <c r="L325" s="8"/>
      <c r="M325" s="8"/>
      <c r="N325" s="8"/>
      <c r="O325" s="8"/>
      <c r="P325" s="8"/>
      <c r="Q325" s="8"/>
    </row>
    <row r="326" spans="1:17" ht="12.75" customHeight="1">
      <c r="A326" s="8"/>
      <c r="B326" s="8"/>
      <c r="C326" s="30"/>
      <c r="D326" s="8"/>
      <c r="E326" s="8"/>
      <c r="F326" s="8"/>
      <c r="G326" s="8"/>
      <c r="H326" s="8"/>
      <c r="I326" s="8"/>
      <c r="J326" s="8"/>
      <c r="K326" s="8"/>
      <c r="L326" s="8"/>
      <c r="M326" s="8"/>
      <c r="N326" s="8"/>
      <c r="O326" s="8"/>
      <c r="P326" s="8"/>
      <c r="Q326" s="8"/>
    </row>
    <row r="327" spans="1:17" ht="12.75" customHeight="1">
      <c r="A327" s="8"/>
      <c r="B327" s="8"/>
      <c r="C327" s="30"/>
      <c r="D327" s="8"/>
      <c r="E327" s="8"/>
      <c r="F327" s="8"/>
      <c r="G327" s="8"/>
      <c r="H327" s="8"/>
      <c r="I327" s="8"/>
      <c r="J327" s="8"/>
      <c r="K327" s="8"/>
      <c r="L327" s="8"/>
      <c r="M327" s="8"/>
      <c r="N327" s="8"/>
      <c r="O327" s="8"/>
      <c r="P327" s="8"/>
      <c r="Q327" s="8"/>
    </row>
    <row r="328" spans="1:17" ht="12.75" customHeight="1">
      <c r="A328" s="8"/>
      <c r="B328" s="8"/>
      <c r="C328" s="30"/>
      <c r="D328" s="8"/>
      <c r="E328" s="8"/>
      <c r="F328" s="8"/>
      <c r="G328" s="8"/>
      <c r="H328" s="8"/>
      <c r="I328" s="8"/>
      <c r="J328" s="8"/>
      <c r="K328" s="8"/>
      <c r="L328" s="8"/>
      <c r="M328" s="8"/>
      <c r="N328" s="8"/>
      <c r="O328" s="8"/>
      <c r="P328" s="8"/>
      <c r="Q328" s="8"/>
    </row>
    <row r="329" spans="1:17" ht="12.75" customHeight="1">
      <c r="A329" s="8"/>
      <c r="B329" s="8"/>
      <c r="C329" s="30"/>
      <c r="D329" s="8"/>
      <c r="E329" s="8"/>
      <c r="F329" s="8"/>
      <c r="G329" s="8"/>
      <c r="H329" s="8"/>
      <c r="I329" s="8"/>
      <c r="J329" s="8"/>
      <c r="K329" s="8"/>
      <c r="L329" s="8"/>
      <c r="M329" s="8"/>
      <c r="N329" s="8"/>
      <c r="O329" s="8"/>
      <c r="P329" s="8"/>
      <c r="Q329" s="8"/>
    </row>
    <row r="330" spans="1:17" ht="12.75" customHeight="1">
      <c r="A330" s="8"/>
      <c r="B330" s="8"/>
      <c r="C330" s="30"/>
      <c r="D330" s="8"/>
      <c r="E330" s="8"/>
      <c r="F330" s="8"/>
      <c r="G330" s="8"/>
      <c r="H330" s="8"/>
      <c r="I330" s="8"/>
      <c r="J330" s="8"/>
      <c r="K330" s="8"/>
      <c r="L330" s="8"/>
      <c r="M330" s="8"/>
      <c r="N330" s="8"/>
      <c r="O330" s="8"/>
      <c r="P330" s="8"/>
      <c r="Q330" s="8"/>
    </row>
    <row r="331" spans="1:17" ht="12.75" customHeight="1">
      <c r="A331" s="8"/>
      <c r="B331" s="8"/>
      <c r="C331" s="30"/>
      <c r="D331" s="8"/>
      <c r="E331" s="8"/>
      <c r="F331" s="8"/>
      <c r="G331" s="8"/>
      <c r="H331" s="8"/>
      <c r="I331" s="8"/>
      <c r="J331" s="8"/>
      <c r="K331" s="8"/>
      <c r="L331" s="8"/>
      <c r="M331" s="8"/>
      <c r="N331" s="8"/>
      <c r="O331" s="8"/>
      <c r="P331" s="8"/>
      <c r="Q331" s="8"/>
    </row>
    <row r="332" spans="1:17" ht="12.75" customHeight="1">
      <c r="A332" s="8"/>
      <c r="B332" s="8"/>
      <c r="C332" s="30"/>
      <c r="D332" s="8"/>
      <c r="E332" s="8"/>
      <c r="F332" s="8"/>
      <c r="G332" s="8"/>
      <c r="H332" s="8"/>
      <c r="I332" s="8"/>
      <c r="J332" s="8"/>
      <c r="K332" s="8"/>
      <c r="L332" s="8"/>
      <c r="M332" s="8"/>
      <c r="N332" s="8"/>
      <c r="O332" s="8"/>
      <c r="P332" s="8"/>
      <c r="Q332" s="8"/>
    </row>
    <row r="333" spans="1:17" ht="12.75" customHeight="1">
      <c r="A333" s="8"/>
      <c r="B333" s="8"/>
      <c r="C333" s="30"/>
      <c r="D333" s="8"/>
      <c r="E333" s="8"/>
      <c r="F333" s="8"/>
      <c r="G333" s="8"/>
      <c r="H333" s="8"/>
      <c r="I333" s="8"/>
      <c r="J333" s="8"/>
      <c r="K333" s="8"/>
      <c r="L333" s="8"/>
      <c r="M333" s="8"/>
      <c r="N333" s="8"/>
      <c r="O333" s="8"/>
      <c r="P333" s="8"/>
      <c r="Q333" s="8"/>
    </row>
    <row r="334" spans="1:17" ht="12.75" customHeight="1">
      <c r="A334" s="8"/>
      <c r="B334" s="8"/>
      <c r="C334" s="30"/>
      <c r="D334" s="8"/>
      <c r="E334" s="8"/>
      <c r="F334" s="8"/>
      <c r="G334" s="8"/>
      <c r="H334" s="8"/>
      <c r="I334" s="8"/>
      <c r="J334" s="8"/>
      <c r="K334" s="8"/>
      <c r="L334" s="8"/>
      <c r="M334" s="8"/>
      <c r="N334" s="8"/>
      <c r="O334" s="8"/>
      <c r="P334" s="8"/>
      <c r="Q334" s="8"/>
    </row>
    <row r="335" spans="1:17" ht="12.75" customHeight="1">
      <c r="A335" s="8"/>
      <c r="B335" s="8"/>
      <c r="C335" s="30"/>
      <c r="D335" s="8"/>
      <c r="E335" s="8"/>
      <c r="F335" s="8"/>
      <c r="G335" s="8"/>
      <c r="H335" s="8"/>
      <c r="I335" s="8"/>
      <c r="J335" s="8"/>
      <c r="K335" s="8"/>
      <c r="L335" s="8"/>
      <c r="M335" s="8"/>
      <c r="N335" s="8"/>
      <c r="O335" s="8"/>
      <c r="P335" s="8"/>
      <c r="Q335" s="8"/>
    </row>
    <row r="336" spans="1:17" ht="12.75" customHeight="1">
      <c r="A336" s="8"/>
      <c r="B336" s="8"/>
      <c r="C336" s="30"/>
      <c r="D336" s="8"/>
      <c r="E336" s="8"/>
      <c r="F336" s="8"/>
      <c r="G336" s="8"/>
      <c r="H336" s="8"/>
      <c r="I336" s="8"/>
      <c r="J336" s="8"/>
      <c r="K336" s="8"/>
      <c r="L336" s="8"/>
      <c r="M336" s="8"/>
      <c r="N336" s="8"/>
      <c r="O336" s="8"/>
      <c r="P336" s="8"/>
      <c r="Q336" s="8"/>
    </row>
    <row r="337" spans="1:17" ht="12.75" customHeight="1">
      <c r="A337" s="8"/>
      <c r="B337" s="8"/>
      <c r="C337" s="30"/>
      <c r="D337" s="8"/>
      <c r="E337" s="8"/>
      <c r="F337" s="8"/>
      <c r="G337" s="8"/>
      <c r="H337" s="8"/>
      <c r="I337" s="8"/>
      <c r="J337" s="8"/>
      <c r="K337" s="8"/>
      <c r="L337" s="8"/>
      <c r="M337" s="8"/>
      <c r="N337" s="8"/>
      <c r="O337" s="8"/>
      <c r="P337" s="8"/>
      <c r="Q337" s="8"/>
    </row>
    <row r="338" spans="1:17" ht="12.75" customHeight="1">
      <c r="A338" s="8"/>
      <c r="B338" s="8"/>
      <c r="C338" s="30"/>
      <c r="D338" s="8"/>
      <c r="E338" s="8"/>
      <c r="F338" s="8"/>
      <c r="G338" s="8"/>
      <c r="H338" s="8"/>
      <c r="I338" s="8"/>
      <c r="J338" s="8"/>
      <c r="K338" s="8"/>
      <c r="L338" s="8"/>
      <c r="M338" s="8"/>
      <c r="N338" s="8"/>
      <c r="O338" s="8"/>
      <c r="P338" s="8"/>
      <c r="Q338" s="8"/>
    </row>
    <row r="339" spans="1:17" ht="12.75" customHeight="1">
      <c r="A339" s="8"/>
      <c r="B339" s="8"/>
      <c r="C339" s="30"/>
      <c r="D339" s="8"/>
      <c r="E339" s="8"/>
      <c r="F339" s="8"/>
      <c r="G339" s="8"/>
      <c r="H339" s="8"/>
      <c r="I339" s="8"/>
      <c r="J339" s="8"/>
      <c r="K339" s="8"/>
      <c r="L339" s="8"/>
      <c r="M339" s="8"/>
      <c r="N339" s="8"/>
      <c r="O339" s="8"/>
      <c r="P339" s="8"/>
      <c r="Q339" s="8"/>
    </row>
    <row r="340" spans="1:17" ht="12.75" customHeight="1">
      <c r="A340" s="8"/>
      <c r="B340" s="8"/>
      <c r="C340" s="30"/>
      <c r="D340" s="8"/>
      <c r="E340" s="8"/>
      <c r="F340" s="8"/>
      <c r="G340" s="8"/>
      <c r="H340" s="8"/>
      <c r="I340" s="8"/>
      <c r="J340" s="8"/>
      <c r="K340" s="8"/>
      <c r="L340" s="8"/>
      <c r="M340" s="8"/>
      <c r="N340" s="8"/>
      <c r="O340" s="8"/>
      <c r="P340" s="8"/>
      <c r="Q340" s="8"/>
    </row>
    <row r="341" spans="1:17" ht="12.75" customHeight="1">
      <c r="A341" s="8"/>
      <c r="B341" s="8"/>
      <c r="C341" s="30"/>
      <c r="D341" s="8"/>
      <c r="E341" s="8"/>
      <c r="F341" s="8"/>
      <c r="G341" s="8"/>
      <c r="H341" s="8"/>
      <c r="I341" s="8"/>
      <c r="J341" s="8"/>
      <c r="K341" s="8"/>
      <c r="L341" s="8"/>
      <c r="M341" s="8"/>
      <c r="N341" s="8"/>
      <c r="O341" s="8"/>
      <c r="P341" s="8"/>
      <c r="Q341" s="8"/>
    </row>
    <row r="342" spans="1:17" ht="12.75" customHeight="1">
      <c r="A342" s="8"/>
      <c r="B342" s="8"/>
      <c r="C342" s="30"/>
      <c r="D342" s="8"/>
      <c r="E342" s="8"/>
      <c r="F342" s="8"/>
      <c r="G342" s="8"/>
      <c r="H342" s="8"/>
      <c r="I342" s="8"/>
      <c r="J342" s="8"/>
      <c r="K342" s="8"/>
      <c r="L342" s="8"/>
      <c r="M342" s="8"/>
      <c r="N342" s="8"/>
      <c r="O342" s="8"/>
      <c r="P342" s="8"/>
      <c r="Q342" s="8"/>
    </row>
    <row r="343" spans="1:17" ht="12.75" customHeight="1">
      <c r="A343" s="8"/>
      <c r="B343" s="8"/>
      <c r="C343" s="30"/>
      <c r="D343" s="8"/>
      <c r="E343" s="8"/>
      <c r="F343" s="8"/>
      <c r="G343" s="8"/>
      <c r="H343" s="8"/>
      <c r="I343" s="8"/>
      <c r="J343" s="8"/>
      <c r="K343" s="8"/>
      <c r="L343" s="8"/>
      <c r="M343" s="8"/>
      <c r="N343" s="8"/>
      <c r="O343" s="8"/>
      <c r="P343" s="8"/>
      <c r="Q343" s="8"/>
    </row>
    <row r="344" spans="1:17" ht="12.75" customHeight="1">
      <c r="A344" s="8"/>
      <c r="B344" s="8"/>
      <c r="C344" s="30"/>
      <c r="D344" s="8"/>
      <c r="E344" s="8"/>
      <c r="F344" s="8"/>
      <c r="G344" s="8"/>
      <c r="H344" s="8"/>
      <c r="I344" s="8"/>
      <c r="J344" s="8"/>
      <c r="K344" s="8"/>
      <c r="L344" s="8"/>
      <c r="M344" s="8"/>
      <c r="N344" s="8"/>
      <c r="O344" s="8"/>
      <c r="P344" s="8"/>
      <c r="Q344" s="8"/>
    </row>
    <row r="345" spans="1:17" ht="12.75" customHeight="1">
      <c r="A345" s="8"/>
      <c r="B345" s="8"/>
      <c r="C345" s="30"/>
      <c r="D345" s="8"/>
      <c r="E345" s="8"/>
      <c r="F345" s="8"/>
      <c r="G345" s="8"/>
      <c r="H345" s="8"/>
      <c r="I345" s="8"/>
      <c r="J345" s="8"/>
      <c r="K345" s="8"/>
      <c r="L345" s="8"/>
      <c r="M345" s="8"/>
      <c r="N345" s="8"/>
      <c r="O345" s="8"/>
      <c r="P345" s="8"/>
      <c r="Q345" s="8"/>
    </row>
    <row r="346" spans="1:17" ht="12.75" customHeight="1">
      <c r="A346" s="8"/>
      <c r="B346" s="8"/>
      <c r="C346" s="30"/>
      <c r="D346" s="8"/>
      <c r="E346" s="8"/>
      <c r="F346" s="8"/>
      <c r="G346" s="8"/>
      <c r="H346" s="8"/>
      <c r="I346" s="8"/>
      <c r="J346" s="8"/>
      <c r="K346" s="8"/>
      <c r="L346" s="8"/>
      <c r="M346" s="8"/>
      <c r="N346" s="8"/>
      <c r="O346" s="8"/>
      <c r="P346" s="8"/>
      <c r="Q346" s="8"/>
    </row>
    <row r="347" spans="1:17" ht="12.75" customHeight="1">
      <c r="A347" s="8"/>
      <c r="B347" s="8"/>
      <c r="C347" s="30"/>
      <c r="D347" s="8"/>
      <c r="E347" s="8"/>
      <c r="F347" s="8"/>
      <c r="G347" s="8"/>
      <c r="H347" s="8"/>
      <c r="I347" s="8"/>
      <c r="J347" s="8"/>
      <c r="K347" s="8"/>
      <c r="L347" s="8"/>
      <c r="M347" s="8"/>
      <c r="N347" s="8"/>
      <c r="O347" s="8"/>
      <c r="P347" s="8"/>
      <c r="Q347" s="8"/>
    </row>
    <row r="348" spans="1:17" ht="12.75" customHeight="1">
      <c r="A348" s="8"/>
      <c r="B348" s="8"/>
      <c r="C348" s="30"/>
      <c r="D348" s="8"/>
      <c r="E348" s="8"/>
      <c r="F348" s="8"/>
      <c r="G348" s="8"/>
      <c r="H348" s="8"/>
      <c r="I348" s="8"/>
      <c r="J348" s="8"/>
      <c r="K348" s="8"/>
      <c r="L348" s="8"/>
      <c r="M348" s="8"/>
      <c r="N348" s="8"/>
      <c r="O348" s="8"/>
      <c r="P348" s="8"/>
      <c r="Q348" s="8"/>
    </row>
    <row r="349" spans="1:17" ht="12.75" customHeight="1">
      <c r="A349" s="8"/>
      <c r="B349" s="8"/>
      <c r="C349" s="30"/>
      <c r="D349" s="8"/>
      <c r="E349" s="8"/>
      <c r="F349" s="8"/>
      <c r="G349" s="8"/>
      <c r="H349" s="8"/>
      <c r="I349" s="8"/>
      <c r="J349" s="8"/>
      <c r="K349" s="8"/>
      <c r="L349" s="8"/>
      <c r="M349" s="8"/>
      <c r="N349" s="8"/>
      <c r="O349" s="8"/>
      <c r="P349" s="8"/>
      <c r="Q349" s="8"/>
    </row>
    <row r="350" spans="1:17" ht="12.75" customHeight="1">
      <c r="A350" s="8"/>
      <c r="B350" s="8"/>
      <c r="C350" s="30"/>
      <c r="D350" s="8"/>
      <c r="E350" s="8"/>
      <c r="F350" s="8"/>
      <c r="G350" s="8"/>
      <c r="H350" s="8"/>
      <c r="I350" s="8"/>
      <c r="J350" s="8"/>
      <c r="K350" s="8"/>
      <c r="L350" s="8"/>
      <c r="M350" s="8"/>
      <c r="N350" s="8"/>
      <c r="O350" s="8"/>
      <c r="P350" s="8"/>
      <c r="Q350" s="8"/>
    </row>
    <row r="351" spans="1:17" ht="12.75" customHeight="1">
      <c r="A351" s="8"/>
      <c r="B351" s="8"/>
      <c r="C351" s="30"/>
      <c r="D351" s="8"/>
      <c r="E351" s="8"/>
      <c r="F351" s="8"/>
      <c r="G351" s="8"/>
      <c r="H351" s="8"/>
      <c r="I351" s="8"/>
      <c r="J351" s="8"/>
      <c r="K351" s="8"/>
      <c r="L351" s="8"/>
      <c r="M351" s="8"/>
      <c r="N351" s="8"/>
      <c r="O351" s="8"/>
      <c r="P351" s="8"/>
      <c r="Q351" s="8"/>
    </row>
    <row r="352" spans="1:17" ht="12.75" customHeight="1">
      <c r="A352" s="8"/>
      <c r="B352" s="8"/>
      <c r="C352" s="30"/>
      <c r="D352" s="8"/>
      <c r="E352" s="8"/>
      <c r="F352" s="8"/>
      <c r="G352" s="8"/>
      <c r="H352" s="8"/>
      <c r="I352" s="8"/>
      <c r="J352" s="8"/>
      <c r="K352" s="8"/>
      <c r="L352" s="8"/>
      <c r="M352" s="8"/>
      <c r="N352" s="8"/>
      <c r="O352" s="8"/>
      <c r="P352" s="8"/>
      <c r="Q352" s="8"/>
    </row>
    <row r="353" spans="1:17" ht="12.75" customHeight="1">
      <c r="A353" s="8"/>
      <c r="B353" s="8"/>
      <c r="C353" s="30"/>
      <c r="D353" s="8"/>
      <c r="E353" s="8"/>
      <c r="F353" s="8"/>
      <c r="G353" s="8"/>
      <c r="H353" s="8"/>
      <c r="I353" s="8"/>
      <c r="J353" s="8"/>
      <c r="K353" s="8"/>
      <c r="L353" s="8"/>
      <c r="M353" s="8"/>
      <c r="N353" s="8"/>
      <c r="O353" s="8"/>
      <c r="P353" s="8"/>
      <c r="Q353" s="8"/>
    </row>
    <row r="354" spans="1:17" ht="12.75" customHeight="1">
      <c r="A354" s="8"/>
      <c r="B354" s="8"/>
      <c r="C354" s="30"/>
      <c r="D354" s="8"/>
      <c r="E354" s="8"/>
      <c r="F354" s="8"/>
      <c r="G354" s="8"/>
      <c r="H354" s="8"/>
      <c r="I354" s="8"/>
      <c r="J354" s="8"/>
      <c r="K354" s="8"/>
      <c r="L354" s="8"/>
      <c r="M354" s="8"/>
      <c r="N354" s="8"/>
      <c r="O354" s="8"/>
      <c r="P354" s="8"/>
      <c r="Q354" s="8"/>
    </row>
    <row r="355" spans="1:17" ht="12.75" customHeight="1">
      <c r="A355" s="8"/>
      <c r="B355" s="8"/>
      <c r="C355" s="30"/>
      <c r="D355" s="8"/>
      <c r="E355" s="8"/>
      <c r="F355" s="8"/>
      <c r="G355" s="8"/>
      <c r="H355" s="8"/>
      <c r="I355" s="8"/>
      <c r="J355" s="8"/>
      <c r="K355" s="8"/>
      <c r="L355" s="8"/>
      <c r="M355" s="8"/>
      <c r="N355" s="8"/>
      <c r="O355" s="8"/>
      <c r="P355" s="8"/>
      <c r="Q355" s="8"/>
    </row>
    <row r="356" spans="1:17" ht="12.75" customHeight="1">
      <c r="A356" s="8"/>
      <c r="B356" s="8"/>
      <c r="C356" s="30"/>
      <c r="D356" s="8"/>
      <c r="E356" s="8"/>
      <c r="F356" s="8"/>
      <c r="G356" s="8"/>
      <c r="H356" s="8"/>
      <c r="I356" s="8"/>
      <c r="J356" s="8"/>
      <c r="K356" s="8"/>
      <c r="L356" s="8"/>
      <c r="M356" s="8"/>
      <c r="N356" s="8"/>
      <c r="O356" s="8"/>
      <c r="P356" s="8"/>
      <c r="Q356" s="8"/>
    </row>
    <row r="357" spans="1:17" ht="12.75" customHeight="1">
      <c r="A357" s="8"/>
      <c r="B357" s="8"/>
      <c r="C357" s="30"/>
      <c r="D357" s="8"/>
      <c r="E357" s="8"/>
      <c r="F357" s="8"/>
      <c r="G357" s="8"/>
      <c r="H357" s="8"/>
      <c r="I357" s="8"/>
      <c r="J357" s="8"/>
      <c r="K357" s="8"/>
      <c r="L357" s="8"/>
      <c r="M357" s="8"/>
      <c r="N357" s="8"/>
      <c r="O357" s="8"/>
      <c r="P357" s="8"/>
      <c r="Q357" s="8"/>
    </row>
    <row r="358" spans="1:17" ht="12.75" customHeight="1">
      <c r="A358" s="8"/>
      <c r="B358" s="8"/>
      <c r="C358" s="30"/>
      <c r="D358" s="8"/>
      <c r="E358" s="8"/>
      <c r="F358" s="8"/>
      <c r="G358" s="8"/>
      <c r="H358" s="8"/>
      <c r="I358" s="8"/>
      <c r="J358" s="8"/>
      <c r="K358" s="8"/>
      <c r="L358" s="8"/>
      <c r="M358" s="8"/>
      <c r="N358" s="8"/>
      <c r="O358" s="8"/>
      <c r="P358" s="8"/>
      <c r="Q358" s="8"/>
    </row>
    <row r="359" spans="1:17" ht="12.75" customHeight="1">
      <c r="A359" s="8"/>
      <c r="B359" s="8"/>
      <c r="C359" s="30"/>
      <c r="D359" s="8"/>
      <c r="E359" s="8"/>
      <c r="F359" s="8"/>
      <c r="G359" s="8"/>
      <c r="H359" s="8"/>
      <c r="I359" s="8"/>
      <c r="J359" s="8"/>
      <c r="K359" s="8"/>
      <c r="L359" s="8"/>
      <c r="M359" s="8"/>
      <c r="N359" s="8"/>
      <c r="O359" s="8"/>
      <c r="P359" s="8"/>
      <c r="Q359" s="8"/>
    </row>
    <row r="360" spans="1:17" ht="12.75" customHeight="1">
      <c r="A360" s="8"/>
      <c r="B360" s="8"/>
      <c r="C360" s="30"/>
      <c r="D360" s="8"/>
      <c r="E360" s="8"/>
      <c r="F360" s="8"/>
      <c r="G360" s="8"/>
      <c r="H360" s="8"/>
      <c r="I360" s="8"/>
      <c r="J360" s="8"/>
      <c r="K360" s="8"/>
      <c r="L360" s="8"/>
      <c r="M360" s="8"/>
      <c r="N360" s="8"/>
      <c r="O360" s="8"/>
      <c r="P360" s="8"/>
      <c r="Q360" s="8"/>
    </row>
    <row r="361" spans="1:17" ht="12.75" customHeight="1">
      <c r="A361" s="8"/>
      <c r="B361" s="8"/>
      <c r="C361" s="30"/>
      <c r="D361" s="8"/>
      <c r="E361" s="8"/>
      <c r="F361" s="8"/>
      <c r="G361" s="8"/>
      <c r="H361" s="8"/>
      <c r="I361" s="8"/>
      <c r="J361" s="8"/>
      <c r="K361" s="8"/>
      <c r="L361" s="8"/>
      <c r="M361" s="8"/>
      <c r="N361" s="8"/>
      <c r="O361" s="8"/>
      <c r="P361" s="8"/>
      <c r="Q361" s="8"/>
    </row>
    <row r="362" spans="1:17" ht="12.75" customHeight="1">
      <c r="A362" s="8"/>
      <c r="B362" s="8"/>
      <c r="C362" s="30"/>
      <c r="D362" s="8"/>
      <c r="E362" s="8"/>
      <c r="F362" s="8"/>
      <c r="G362" s="8"/>
      <c r="H362" s="8"/>
      <c r="I362" s="8"/>
      <c r="J362" s="8"/>
      <c r="K362" s="8"/>
      <c r="L362" s="8"/>
      <c r="M362" s="8"/>
      <c r="N362" s="8"/>
      <c r="O362" s="8"/>
      <c r="P362" s="8"/>
      <c r="Q362" s="8"/>
    </row>
    <row r="363" spans="1:17" ht="12.75" customHeight="1">
      <c r="A363" s="8"/>
      <c r="B363" s="8"/>
      <c r="C363" s="30"/>
      <c r="D363" s="8"/>
      <c r="E363" s="8"/>
      <c r="F363" s="8"/>
      <c r="G363" s="8"/>
      <c r="H363" s="8"/>
      <c r="I363" s="8"/>
      <c r="J363" s="8"/>
      <c r="K363" s="8"/>
      <c r="L363" s="8"/>
      <c r="M363" s="8"/>
      <c r="N363" s="8"/>
      <c r="O363" s="8"/>
      <c r="P363" s="8"/>
      <c r="Q363" s="8"/>
    </row>
    <row r="364" spans="1:17" ht="12.75" customHeight="1">
      <c r="A364" s="8"/>
      <c r="B364" s="8"/>
      <c r="C364" s="30"/>
      <c r="D364" s="8"/>
      <c r="E364" s="8"/>
      <c r="F364" s="8"/>
      <c r="G364" s="8"/>
      <c r="H364" s="8"/>
      <c r="I364" s="8"/>
      <c r="J364" s="8"/>
      <c r="K364" s="8"/>
      <c r="L364" s="8"/>
      <c r="M364" s="8"/>
      <c r="N364" s="8"/>
      <c r="O364" s="8"/>
      <c r="P364" s="8"/>
      <c r="Q364" s="8"/>
    </row>
    <row r="365" spans="1:17" ht="12.75" customHeight="1">
      <c r="A365" s="8"/>
      <c r="B365" s="8"/>
      <c r="C365" s="30"/>
      <c r="D365" s="8"/>
      <c r="E365" s="8"/>
      <c r="F365" s="8"/>
      <c r="G365" s="8"/>
      <c r="H365" s="8"/>
      <c r="I365" s="8"/>
      <c r="J365" s="8"/>
      <c r="K365" s="8"/>
      <c r="L365" s="8"/>
      <c r="M365" s="8"/>
      <c r="N365" s="8"/>
      <c r="O365" s="8"/>
      <c r="P365" s="8"/>
      <c r="Q365" s="8"/>
    </row>
    <row r="366" spans="1:17" ht="12.75" customHeight="1">
      <c r="A366" s="8"/>
      <c r="B366" s="8"/>
      <c r="C366" s="30"/>
      <c r="D366" s="8"/>
      <c r="E366" s="8"/>
      <c r="F366" s="8"/>
      <c r="G366" s="8"/>
      <c r="H366" s="8"/>
      <c r="I366" s="8"/>
      <c r="J366" s="8"/>
      <c r="K366" s="8"/>
      <c r="L366" s="8"/>
      <c r="M366" s="8"/>
      <c r="N366" s="8"/>
      <c r="O366" s="8"/>
      <c r="P366" s="8"/>
      <c r="Q366" s="8"/>
    </row>
    <row r="367" spans="1:17" ht="12.75" customHeight="1">
      <c r="A367" s="8"/>
      <c r="B367" s="8"/>
      <c r="C367" s="30"/>
      <c r="D367" s="8"/>
      <c r="E367" s="8"/>
      <c r="F367" s="8"/>
      <c r="G367" s="8"/>
      <c r="H367" s="8"/>
      <c r="I367" s="8"/>
      <c r="J367" s="8"/>
      <c r="K367" s="8"/>
      <c r="L367" s="8"/>
      <c r="M367" s="8"/>
      <c r="N367" s="8"/>
      <c r="O367" s="8"/>
      <c r="P367" s="8"/>
      <c r="Q367" s="8"/>
    </row>
    <row r="368" spans="1:17" ht="12.75" customHeight="1">
      <c r="A368" s="8"/>
      <c r="B368" s="8"/>
      <c r="C368" s="30"/>
      <c r="D368" s="8"/>
      <c r="E368" s="8"/>
      <c r="F368" s="8"/>
      <c r="G368" s="8"/>
      <c r="H368" s="8"/>
      <c r="I368" s="8"/>
      <c r="J368" s="8"/>
      <c r="K368" s="8"/>
      <c r="L368" s="8"/>
      <c r="M368" s="8"/>
      <c r="N368" s="8"/>
      <c r="O368" s="8"/>
      <c r="P368" s="8"/>
      <c r="Q368" s="8"/>
    </row>
    <row r="369" spans="1:17" ht="12.75" customHeight="1">
      <c r="A369" s="8"/>
      <c r="B369" s="8"/>
      <c r="C369" s="30"/>
      <c r="D369" s="8"/>
      <c r="E369" s="8"/>
      <c r="F369" s="8"/>
      <c r="G369" s="8"/>
      <c r="H369" s="8"/>
      <c r="I369" s="8"/>
      <c r="J369" s="8"/>
      <c r="K369" s="8"/>
      <c r="L369" s="8"/>
      <c r="M369" s="8"/>
      <c r="N369" s="8"/>
      <c r="O369" s="8"/>
      <c r="P369" s="8"/>
      <c r="Q369" s="8"/>
    </row>
    <row r="370" spans="1:17" ht="12.75" customHeight="1">
      <c r="A370" s="8"/>
      <c r="B370" s="8"/>
      <c r="C370" s="30"/>
      <c r="D370" s="8"/>
      <c r="E370" s="8"/>
      <c r="F370" s="8"/>
      <c r="G370" s="8"/>
      <c r="H370" s="8"/>
      <c r="I370" s="8"/>
      <c r="J370" s="8"/>
      <c r="K370" s="8"/>
      <c r="L370" s="8"/>
      <c r="M370" s="8"/>
      <c r="N370" s="8"/>
      <c r="O370" s="8"/>
      <c r="P370" s="8"/>
      <c r="Q370" s="8"/>
    </row>
    <row r="371" spans="1:17" ht="12.75" customHeight="1">
      <c r="A371" s="8"/>
      <c r="B371" s="8"/>
      <c r="C371" s="30"/>
      <c r="D371" s="8"/>
      <c r="E371" s="8"/>
      <c r="F371" s="8"/>
      <c r="G371" s="8"/>
      <c r="H371" s="8"/>
      <c r="I371" s="8"/>
      <c r="J371" s="8"/>
      <c r="K371" s="8"/>
      <c r="L371" s="8"/>
      <c r="M371" s="8"/>
      <c r="N371" s="8"/>
      <c r="O371" s="8"/>
      <c r="P371" s="8"/>
      <c r="Q371" s="8"/>
    </row>
    <row r="372" spans="1:17" ht="12.75" customHeight="1">
      <c r="A372" s="8"/>
      <c r="B372" s="8"/>
      <c r="C372" s="30"/>
      <c r="D372" s="8"/>
      <c r="E372" s="8"/>
      <c r="F372" s="8"/>
      <c r="G372" s="8"/>
      <c r="H372" s="8"/>
      <c r="I372" s="8"/>
      <c r="J372" s="8"/>
      <c r="K372" s="8"/>
      <c r="L372" s="8"/>
      <c r="M372" s="8"/>
      <c r="N372" s="8"/>
      <c r="O372" s="8"/>
      <c r="P372" s="8"/>
      <c r="Q372" s="8"/>
    </row>
    <row r="373" spans="1:17" ht="12.75" customHeight="1">
      <c r="A373" s="8"/>
      <c r="B373" s="8"/>
      <c r="C373" s="30"/>
      <c r="D373" s="8"/>
      <c r="E373" s="8"/>
      <c r="F373" s="8"/>
      <c r="G373" s="8"/>
      <c r="H373" s="8"/>
      <c r="I373" s="8"/>
      <c r="J373" s="8"/>
      <c r="K373" s="8"/>
      <c r="L373" s="8"/>
      <c r="M373" s="8"/>
      <c r="N373" s="8"/>
      <c r="O373" s="8"/>
      <c r="P373" s="8"/>
      <c r="Q373" s="8"/>
    </row>
    <row r="374" spans="1:17" ht="12.75" customHeight="1">
      <c r="A374" s="8"/>
      <c r="B374" s="8"/>
      <c r="C374" s="30"/>
      <c r="D374" s="8"/>
      <c r="E374" s="8"/>
      <c r="F374" s="8"/>
      <c r="G374" s="8"/>
      <c r="H374" s="8"/>
      <c r="I374" s="8"/>
      <c r="J374" s="8"/>
      <c r="K374" s="8"/>
      <c r="L374" s="8"/>
      <c r="M374" s="8"/>
      <c r="N374" s="8"/>
      <c r="O374" s="8"/>
      <c r="P374" s="8"/>
      <c r="Q374" s="8"/>
    </row>
    <row r="375" spans="1:17" ht="12.75" customHeight="1">
      <c r="A375" s="8"/>
      <c r="B375" s="8"/>
      <c r="C375" s="30"/>
      <c r="D375" s="8"/>
      <c r="E375" s="8"/>
      <c r="F375" s="8"/>
      <c r="G375" s="8"/>
      <c r="H375" s="8"/>
      <c r="I375" s="8"/>
      <c r="J375" s="8"/>
      <c r="K375" s="8"/>
      <c r="L375" s="8"/>
      <c r="M375" s="8"/>
      <c r="N375" s="8"/>
      <c r="O375" s="8"/>
      <c r="P375" s="8"/>
      <c r="Q375" s="8"/>
    </row>
    <row r="376" spans="1:17" ht="12.75" customHeight="1">
      <c r="A376" s="8"/>
      <c r="B376" s="8"/>
      <c r="C376" s="30"/>
      <c r="D376" s="8"/>
      <c r="E376" s="8"/>
      <c r="F376" s="8"/>
      <c r="G376" s="8"/>
      <c r="H376" s="8"/>
      <c r="I376" s="8"/>
      <c r="J376" s="8"/>
      <c r="K376" s="8"/>
      <c r="L376" s="8"/>
      <c r="M376" s="8"/>
      <c r="N376" s="8"/>
      <c r="O376" s="8"/>
      <c r="P376" s="8"/>
      <c r="Q376" s="8"/>
    </row>
    <row r="377" spans="1:17" ht="12.75" customHeight="1">
      <c r="A377" s="8"/>
      <c r="B377" s="8"/>
      <c r="C377" s="30"/>
      <c r="D377" s="8"/>
      <c r="E377" s="8"/>
      <c r="F377" s="8"/>
      <c r="G377" s="8"/>
      <c r="H377" s="8"/>
      <c r="I377" s="8"/>
      <c r="J377" s="8"/>
      <c r="K377" s="8"/>
      <c r="L377" s="8"/>
      <c r="M377" s="8"/>
      <c r="N377" s="8"/>
      <c r="O377" s="8"/>
      <c r="P377" s="8"/>
      <c r="Q377" s="8"/>
    </row>
    <row r="378" spans="1:17" ht="12.75" customHeight="1">
      <c r="A378" s="8"/>
      <c r="B378" s="8"/>
      <c r="C378" s="30"/>
      <c r="D378" s="8"/>
      <c r="E378" s="8"/>
      <c r="F378" s="8"/>
      <c r="G378" s="8"/>
      <c r="H378" s="8"/>
      <c r="I378" s="8"/>
      <c r="J378" s="8"/>
      <c r="K378" s="8"/>
      <c r="L378" s="8"/>
      <c r="M378" s="8"/>
      <c r="N378" s="8"/>
      <c r="O378" s="8"/>
      <c r="P378" s="8"/>
      <c r="Q378" s="8"/>
    </row>
    <row r="379" spans="1:17" ht="12.75" customHeight="1">
      <c r="A379" s="8"/>
      <c r="B379" s="8"/>
      <c r="C379" s="30"/>
      <c r="D379" s="8"/>
      <c r="E379" s="8"/>
      <c r="F379" s="8"/>
      <c r="G379" s="8"/>
      <c r="H379" s="8"/>
      <c r="I379" s="8"/>
      <c r="J379" s="8"/>
      <c r="K379" s="8"/>
      <c r="L379" s="8"/>
      <c r="M379" s="8"/>
      <c r="N379" s="8"/>
      <c r="O379" s="8"/>
      <c r="P379" s="8"/>
      <c r="Q379" s="8"/>
    </row>
    <row r="380" spans="1:17" ht="12.75" customHeight="1">
      <c r="A380" s="8"/>
      <c r="B380" s="8"/>
      <c r="C380" s="30"/>
      <c r="D380" s="8"/>
      <c r="E380" s="8"/>
      <c r="F380" s="8"/>
      <c r="G380" s="8"/>
      <c r="H380" s="8"/>
      <c r="I380" s="8"/>
      <c r="J380" s="8"/>
      <c r="K380" s="8"/>
      <c r="L380" s="8"/>
      <c r="M380" s="8"/>
      <c r="N380" s="8"/>
      <c r="O380" s="8"/>
      <c r="P380" s="8"/>
      <c r="Q380" s="8"/>
    </row>
    <row r="381" spans="1:17" ht="12.75" customHeight="1">
      <c r="A381" s="8"/>
      <c r="B381" s="8"/>
      <c r="C381" s="30"/>
      <c r="D381" s="8"/>
      <c r="E381" s="8"/>
      <c r="F381" s="8"/>
      <c r="G381" s="8"/>
      <c r="H381" s="8"/>
      <c r="I381" s="8"/>
      <c r="J381" s="8"/>
      <c r="K381" s="8"/>
      <c r="L381" s="8"/>
      <c r="M381" s="8"/>
      <c r="N381" s="8"/>
      <c r="O381" s="8"/>
      <c r="P381" s="8"/>
      <c r="Q381" s="8"/>
    </row>
    <row r="382" spans="1:17" ht="12.75" customHeight="1">
      <c r="A382" s="8"/>
      <c r="B382" s="8"/>
      <c r="C382" s="30"/>
      <c r="D382" s="8"/>
      <c r="E382" s="8"/>
      <c r="F382" s="8"/>
      <c r="G382" s="8"/>
      <c r="H382" s="8"/>
      <c r="I382" s="8"/>
      <c r="J382" s="8"/>
      <c r="K382" s="8"/>
      <c r="L382" s="8"/>
      <c r="M382" s="8"/>
      <c r="N382" s="8"/>
      <c r="O382" s="8"/>
      <c r="P382" s="8"/>
      <c r="Q382" s="8"/>
    </row>
    <row r="383" spans="1:17" ht="12.75" customHeight="1">
      <c r="A383" s="8"/>
      <c r="B383" s="8"/>
      <c r="C383" s="30"/>
      <c r="D383" s="8"/>
      <c r="E383" s="8"/>
      <c r="F383" s="8"/>
      <c r="G383" s="8"/>
      <c r="H383" s="8"/>
      <c r="I383" s="8"/>
      <c r="J383" s="8"/>
      <c r="K383" s="8"/>
      <c r="L383" s="8"/>
      <c r="M383" s="8"/>
      <c r="N383" s="8"/>
      <c r="O383" s="8"/>
      <c r="P383" s="8"/>
      <c r="Q383" s="8"/>
    </row>
    <row r="384" spans="1:17" ht="12.75" customHeight="1">
      <c r="A384" s="8"/>
      <c r="B384" s="8"/>
      <c r="C384" s="30"/>
      <c r="D384" s="8"/>
      <c r="E384" s="8"/>
      <c r="F384" s="8"/>
      <c r="G384" s="8"/>
      <c r="H384" s="8"/>
      <c r="I384" s="8"/>
      <c r="J384" s="8"/>
      <c r="K384" s="8"/>
      <c r="L384" s="8"/>
      <c r="M384" s="8"/>
      <c r="N384" s="8"/>
      <c r="O384" s="8"/>
      <c r="P384" s="8"/>
      <c r="Q384" s="8"/>
    </row>
    <row r="385" spans="1:17" ht="12.75" customHeight="1">
      <c r="A385" s="8"/>
      <c r="B385" s="8"/>
      <c r="C385" s="30"/>
      <c r="D385" s="8"/>
      <c r="E385" s="8"/>
      <c r="F385" s="8"/>
      <c r="G385" s="8"/>
      <c r="H385" s="8"/>
      <c r="I385" s="8"/>
      <c r="J385" s="8"/>
      <c r="K385" s="8"/>
      <c r="L385" s="8"/>
      <c r="M385" s="8"/>
      <c r="N385" s="8"/>
      <c r="O385" s="8"/>
      <c r="P385" s="8"/>
      <c r="Q385" s="8"/>
    </row>
    <row r="386" spans="1:17" ht="12.75" customHeight="1">
      <c r="A386" s="8"/>
      <c r="B386" s="8"/>
      <c r="C386" s="30"/>
      <c r="D386" s="8"/>
      <c r="E386" s="8"/>
      <c r="F386" s="8"/>
      <c r="G386" s="8"/>
      <c r="H386" s="8"/>
      <c r="I386" s="8"/>
      <c r="J386" s="8"/>
      <c r="K386" s="8"/>
      <c r="L386" s="8"/>
      <c r="M386" s="8"/>
      <c r="N386" s="8"/>
      <c r="O386" s="8"/>
      <c r="P386" s="8"/>
      <c r="Q386" s="8"/>
    </row>
    <row r="387" spans="1:17" ht="12.75" customHeight="1">
      <c r="A387" s="8"/>
      <c r="B387" s="8"/>
      <c r="C387" s="30"/>
      <c r="D387" s="8"/>
      <c r="E387" s="8"/>
      <c r="F387" s="8"/>
      <c r="G387" s="8"/>
      <c r="H387" s="8"/>
      <c r="I387" s="8"/>
      <c r="J387" s="8"/>
      <c r="K387" s="8"/>
      <c r="L387" s="8"/>
      <c r="M387" s="8"/>
      <c r="N387" s="8"/>
      <c r="O387" s="8"/>
      <c r="P387" s="8"/>
      <c r="Q387" s="8"/>
    </row>
    <row r="388" spans="1:17" ht="12.75" customHeight="1">
      <c r="A388" s="8"/>
      <c r="B388" s="8"/>
      <c r="C388" s="30"/>
      <c r="D388" s="8"/>
      <c r="E388" s="8"/>
      <c r="F388" s="8"/>
      <c r="G388" s="8"/>
      <c r="H388" s="8"/>
      <c r="I388" s="8"/>
      <c r="J388" s="8"/>
      <c r="K388" s="8"/>
      <c r="L388" s="8"/>
      <c r="M388" s="8"/>
      <c r="N388" s="8"/>
      <c r="O388" s="8"/>
      <c r="P388" s="8"/>
      <c r="Q388" s="8"/>
    </row>
    <row r="389" spans="1:17" ht="12.75" customHeight="1">
      <c r="A389" s="8"/>
      <c r="B389" s="8"/>
      <c r="C389" s="30"/>
      <c r="D389" s="8"/>
      <c r="E389" s="8"/>
      <c r="F389" s="8"/>
      <c r="G389" s="8"/>
      <c r="H389" s="8"/>
      <c r="I389" s="8"/>
      <c r="J389" s="8"/>
      <c r="K389" s="8"/>
      <c r="L389" s="8"/>
      <c r="M389" s="8"/>
      <c r="N389" s="8"/>
      <c r="O389" s="8"/>
      <c r="P389" s="8"/>
      <c r="Q389" s="8"/>
    </row>
    <row r="390" spans="1:17" ht="12.75" customHeight="1">
      <c r="A390" s="8"/>
      <c r="B390" s="8"/>
      <c r="C390" s="30"/>
      <c r="D390" s="8"/>
      <c r="E390" s="8"/>
      <c r="F390" s="8"/>
      <c r="G390" s="8"/>
      <c r="H390" s="8"/>
      <c r="I390" s="8"/>
      <c r="J390" s="8"/>
      <c r="K390" s="8"/>
      <c r="L390" s="8"/>
      <c r="M390" s="8"/>
      <c r="N390" s="8"/>
      <c r="O390" s="8"/>
      <c r="P390" s="8"/>
      <c r="Q390" s="8"/>
    </row>
    <row r="391" spans="1:17" ht="12.75" customHeight="1">
      <c r="A391" s="8"/>
      <c r="B391" s="8"/>
      <c r="C391" s="30"/>
      <c r="D391" s="8"/>
      <c r="E391" s="8"/>
      <c r="F391" s="8"/>
      <c r="G391" s="8"/>
      <c r="H391" s="8"/>
      <c r="I391" s="8"/>
      <c r="J391" s="8"/>
      <c r="K391" s="8"/>
      <c r="L391" s="8"/>
      <c r="M391" s="8"/>
      <c r="N391" s="8"/>
      <c r="O391" s="8"/>
      <c r="P391" s="8"/>
      <c r="Q391" s="8"/>
    </row>
    <row r="392" spans="1:17" ht="12.75" customHeight="1">
      <c r="A392" s="8"/>
      <c r="B392" s="8"/>
      <c r="C392" s="30"/>
      <c r="D392" s="8"/>
      <c r="E392" s="8"/>
      <c r="F392" s="8"/>
      <c r="G392" s="8"/>
      <c r="H392" s="8"/>
      <c r="I392" s="8"/>
      <c r="J392" s="8"/>
      <c r="K392" s="8"/>
      <c r="L392" s="8"/>
      <c r="M392" s="8"/>
      <c r="N392" s="8"/>
      <c r="O392" s="8"/>
      <c r="P392" s="8"/>
      <c r="Q392" s="8"/>
    </row>
    <row r="393" spans="1:17" ht="12.75" customHeight="1">
      <c r="A393" s="8"/>
      <c r="B393" s="8"/>
      <c r="C393" s="30"/>
      <c r="D393" s="8"/>
      <c r="E393" s="8"/>
      <c r="F393" s="8"/>
      <c r="G393" s="8"/>
      <c r="H393" s="8"/>
      <c r="I393" s="8"/>
      <c r="J393" s="8"/>
      <c r="K393" s="8"/>
      <c r="L393" s="8"/>
      <c r="M393" s="8"/>
      <c r="N393" s="8"/>
      <c r="O393" s="8"/>
      <c r="P393" s="8"/>
      <c r="Q393" s="8"/>
    </row>
    <row r="394" spans="1:17" ht="12.75" customHeight="1">
      <c r="A394" s="8"/>
      <c r="B394" s="8"/>
      <c r="C394" s="30"/>
      <c r="D394" s="8"/>
      <c r="E394" s="8"/>
      <c r="F394" s="8"/>
      <c r="G394" s="8"/>
      <c r="H394" s="8"/>
      <c r="I394" s="8"/>
      <c r="J394" s="8"/>
      <c r="K394" s="8"/>
      <c r="L394" s="8"/>
      <c r="M394" s="8"/>
      <c r="N394" s="8"/>
      <c r="O394" s="8"/>
      <c r="P394" s="8"/>
      <c r="Q394" s="8"/>
    </row>
    <row r="395" spans="1:17" ht="12.75" customHeight="1">
      <c r="A395" s="8"/>
      <c r="B395" s="8"/>
      <c r="C395" s="30"/>
      <c r="D395" s="8"/>
      <c r="E395" s="8"/>
      <c r="F395" s="8"/>
      <c r="G395" s="8"/>
      <c r="H395" s="8"/>
      <c r="I395" s="8"/>
      <c r="J395" s="8"/>
      <c r="K395" s="8"/>
      <c r="L395" s="8"/>
      <c r="M395" s="8"/>
      <c r="N395" s="8"/>
      <c r="O395" s="8"/>
      <c r="P395" s="8"/>
      <c r="Q395" s="8"/>
    </row>
    <row r="396" spans="1:17" ht="12.75" customHeight="1">
      <c r="A396" s="8"/>
      <c r="B396" s="8"/>
      <c r="C396" s="30"/>
      <c r="D396" s="8"/>
      <c r="E396" s="8"/>
      <c r="F396" s="8"/>
      <c r="G396" s="8"/>
      <c r="H396" s="8"/>
      <c r="I396" s="8"/>
      <c r="J396" s="8"/>
      <c r="K396" s="8"/>
      <c r="L396" s="8"/>
      <c r="M396" s="8"/>
      <c r="N396" s="8"/>
      <c r="O396" s="8"/>
      <c r="P396" s="8"/>
      <c r="Q396" s="8"/>
    </row>
    <row r="397" spans="1:17" ht="12.75" customHeight="1">
      <c r="A397" s="8"/>
      <c r="B397" s="8"/>
      <c r="C397" s="30"/>
      <c r="D397" s="8"/>
      <c r="E397" s="8"/>
      <c r="F397" s="8"/>
      <c r="G397" s="8"/>
      <c r="H397" s="8"/>
      <c r="I397" s="8"/>
      <c r="J397" s="8"/>
      <c r="K397" s="8"/>
      <c r="L397" s="8"/>
      <c r="M397" s="8"/>
      <c r="N397" s="8"/>
      <c r="O397" s="8"/>
      <c r="P397" s="8"/>
      <c r="Q397" s="8"/>
    </row>
    <row r="398" spans="1:17" ht="12.75" customHeight="1">
      <c r="A398" s="8"/>
      <c r="B398" s="8"/>
      <c r="C398" s="30"/>
      <c r="D398" s="8"/>
      <c r="E398" s="8"/>
      <c r="F398" s="8"/>
      <c r="G398" s="8"/>
      <c r="H398" s="8"/>
      <c r="I398" s="8"/>
      <c r="J398" s="8"/>
      <c r="K398" s="8"/>
      <c r="L398" s="8"/>
      <c r="M398" s="8"/>
      <c r="N398" s="8"/>
      <c r="O398" s="8"/>
      <c r="P398" s="8"/>
      <c r="Q398" s="8"/>
    </row>
    <row r="399" spans="1:17" ht="12.75" customHeight="1">
      <c r="A399" s="8"/>
      <c r="B399" s="8"/>
      <c r="C399" s="30"/>
      <c r="D399" s="8"/>
      <c r="E399" s="8"/>
      <c r="F399" s="8"/>
      <c r="G399" s="8"/>
      <c r="H399" s="8"/>
      <c r="I399" s="8"/>
      <c r="J399" s="8"/>
      <c r="K399" s="8"/>
      <c r="L399" s="8"/>
      <c r="M399" s="8"/>
      <c r="N399" s="8"/>
      <c r="O399" s="8"/>
      <c r="P399" s="8"/>
      <c r="Q399" s="8"/>
    </row>
    <row r="400" spans="1:17" ht="12.75" customHeight="1">
      <c r="A400" s="8"/>
      <c r="B400" s="8"/>
      <c r="C400" s="30"/>
      <c r="D400" s="8"/>
      <c r="E400" s="8"/>
      <c r="F400" s="8"/>
      <c r="G400" s="8"/>
      <c r="H400" s="8"/>
      <c r="I400" s="8"/>
      <c r="J400" s="8"/>
      <c r="K400" s="8"/>
      <c r="L400" s="8"/>
      <c r="M400" s="8"/>
      <c r="N400" s="8"/>
      <c r="O400" s="8"/>
      <c r="P400" s="8"/>
      <c r="Q400" s="8"/>
    </row>
    <row r="401" spans="1:17" ht="12.75" customHeight="1">
      <c r="A401" s="8"/>
      <c r="B401" s="8"/>
      <c r="C401" s="30"/>
      <c r="D401" s="8"/>
      <c r="E401" s="8"/>
      <c r="F401" s="8"/>
      <c r="G401" s="8"/>
      <c r="H401" s="8"/>
      <c r="I401" s="8"/>
      <c r="J401" s="8"/>
      <c r="K401" s="8"/>
      <c r="L401" s="8"/>
      <c r="M401" s="8"/>
      <c r="N401" s="8"/>
      <c r="O401" s="8"/>
      <c r="P401" s="8"/>
      <c r="Q401" s="8"/>
    </row>
    <row r="402" spans="1:17" ht="12.75" customHeight="1">
      <c r="A402" s="8"/>
      <c r="B402" s="8"/>
      <c r="C402" s="30"/>
      <c r="D402" s="8"/>
      <c r="E402" s="8"/>
      <c r="F402" s="8"/>
      <c r="G402" s="8"/>
      <c r="H402" s="8"/>
      <c r="I402" s="8"/>
      <c r="J402" s="8"/>
      <c r="K402" s="8"/>
      <c r="L402" s="8"/>
      <c r="M402" s="8"/>
      <c r="N402" s="8"/>
      <c r="O402" s="8"/>
      <c r="P402" s="8"/>
      <c r="Q402" s="8"/>
    </row>
    <row r="403" spans="1:17" ht="12.75" customHeight="1">
      <c r="A403" s="8"/>
      <c r="B403" s="8"/>
      <c r="C403" s="30"/>
      <c r="D403" s="8"/>
      <c r="E403" s="8"/>
      <c r="F403" s="8"/>
      <c r="G403" s="8"/>
      <c r="H403" s="8"/>
      <c r="I403" s="8"/>
      <c r="J403" s="8"/>
      <c r="K403" s="8"/>
      <c r="L403" s="8"/>
      <c r="M403" s="8"/>
      <c r="N403" s="8"/>
      <c r="O403" s="8"/>
      <c r="P403" s="8"/>
      <c r="Q403" s="8"/>
    </row>
    <row r="404" spans="1:17" ht="12.75" customHeight="1">
      <c r="A404" s="8"/>
      <c r="B404" s="8"/>
      <c r="C404" s="30"/>
      <c r="D404" s="8"/>
      <c r="E404" s="8"/>
      <c r="F404" s="8"/>
      <c r="G404" s="8"/>
      <c r="H404" s="8"/>
      <c r="I404" s="8"/>
      <c r="J404" s="8"/>
      <c r="K404" s="8"/>
      <c r="L404" s="8"/>
      <c r="M404" s="8"/>
      <c r="N404" s="8"/>
      <c r="O404" s="8"/>
      <c r="P404" s="8"/>
      <c r="Q404" s="8"/>
    </row>
    <row r="405" spans="1:17" ht="12.75" customHeight="1">
      <c r="A405" s="8"/>
      <c r="B405" s="8"/>
      <c r="C405" s="30"/>
      <c r="D405" s="8"/>
      <c r="E405" s="8"/>
      <c r="F405" s="8"/>
      <c r="G405" s="8"/>
      <c r="H405" s="8"/>
      <c r="I405" s="8"/>
      <c r="J405" s="8"/>
      <c r="K405" s="8"/>
      <c r="L405" s="8"/>
      <c r="M405" s="8"/>
      <c r="N405" s="8"/>
      <c r="O405" s="8"/>
      <c r="P405" s="8"/>
      <c r="Q405" s="8"/>
    </row>
    <row r="406" spans="1:17" ht="12.75" customHeight="1">
      <c r="A406" s="8"/>
      <c r="B406" s="8"/>
      <c r="C406" s="30"/>
      <c r="D406" s="8"/>
      <c r="E406" s="8"/>
      <c r="F406" s="8"/>
      <c r="G406" s="8"/>
      <c r="H406" s="8"/>
      <c r="I406" s="8"/>
      <c r="J406" s="8"/>
      <c r="K406" s="8"/>
      <c r="L406" s="8"/>
      <c r="M406" s="8"/>
      <c r="N406" s="8"/>
      <c r="O406" s="8"/>
      <c r="P406" s="8"/>
      <c r="Q406" s="8"/>
    </row>
    <row r="407" spans="1:17" ht="12.75" customHeight="1">
      <c r="A407" s="8"/>
      <c r="B407" s="8"/>
      <c r="C407" s="30"/>
      <c r="D407" s="8"/>
      <c r="E407" s="8"/>
      <c r="F407" s="8"/>
      <c r="G407" s="8"/>
      <c r="H407" s="8"/>
      <c r="I407" s="8"/>
      <c r="J407" s="8"/>
      <c r="K407" s="8"/>
      <c r="L407" s="8"/>
      <c r="M407" s="8"/>
      <c r="N407" s="8"/>
      <c r="O407" s="8"/>
      <c r="P407" s="8"/>
      <c r="Q407" s="8"/>
    </row>
    <row r="408" spans="1:17" ht="12.75" customHeight="1">
      <c r="A408" s="8"/>
      <c r="B408" s="8"/>
      <c r="C408" s="30"/>
      <c r="D408" s="8"/>
      <c r="E408" s="8"/>
      <c r="F408" s="8"/>
      <c r="G408" s="8"/>
      <c r="H408" s="8"/>
      <c r="I408" s="8"/>
      <c r="J408" s="8"/>
      <c r="K408" s="8"/>
      <c r="L408" s="8"/>
      <c r="M408" s="8"/>
      <c r="N408" s="8"/>
      <c r="O408" s="8"/>
      <c r="P408" s="8"/>
      <c r="Q408" s="8"/>
    </row>
    <row r="409" spans="1:17" ht="12.75" customHeight="1">
      <c r="A409" s="8"/>
      <c r="B409" s="8"/>
      <c r="C409" s="30"/>
      <c r="D409" s="8"/>
      <c r="E409" s="8"/>
      <c r="F409" s="8"/>
      <c r="G409" s="8"/>
      <c r="H409" s="8"/>
      <c r="I409" s="8"/>
      <c r="J409" s="8"/>
      <c r="K409" s="8"/>
      <c r="L409" s="8"/>
      <c r="M409" s="8"/>
      <c r="N409" s="8"/>
      <c r="O409" s="8"/>
      <c r="P409" s="8"/>
      <c r="Q409" s="8"/>
    </row>
    <row r="410" spans="1:17" ht="12.75" customHeight="1">
      <c r="A410" s="8"/>
      <c r="B410" s="8"/>
      <c r="C410" s="30"/>
      <c r="D410" s="8"/>
      <c r="E410" s="8"/>
      <c r="F410" s="8"/>
      <c r="G410" s="8"/>
      <c r="H410" s="8"/>
      <c r="I410" s="8"/>
      <c r="J410" s="8"/>
      <c r="K410" s="8"/>
      <c r="L410" s="8"/>
      <c r="M410" s="8"/>
      <c r="N410" s="8"/>
      <c r="O410" s="8"/>
      <c r="P410" s="8"/>
      <c r="Q410" s="8"/>
    </row>
    <row r="411" spans="1:17" ht="12.75" customHeight="1">
      <c r="A411" s="8"/>
      <c r="B411" s="8"/>
      <c r="C411" s="30"/>
      <c r="D411" s="8"/>
      <c r="E411" s="8"/>
      <c r="F411" s="8"/>
      <c r="G411" s="8"/>
      <c r="H411" s="8"/>
      <c r="I411" s="8"/>
      <c r="J411" s="8"/>
      <c r="K411" s="8"/>
      <c r="L411" s="8"/>
      <c r="M411" s="8"/>
      <c r="N411" s="8"/>
      <c r="O411" s="8"/>
      <c r="P411" s="8"/>
      <c r="Q411" s="8"/>
    </row>
    <row r="412" spans="1:17" ht="12.75" customHeight="1">
      <c r="A412" s="8"/>
      <c r="B412" s="8"/>
      <c r="C412" s="30"/>
      <c r="D412" s="8"/>
      <c r="E412" s="8"/>
      <c r="F412" s="8"/>
      <c r="G412" s="8"/>
      <c r="H412" s="8"/>
      <c r="I412" s="8"/>
      <c r="J412" s="8"/>
      <c r="K412" s="8"/>
      <c r="L412" s="8"/>
      <c r="M412" s="8"/>
      <c r="N412" s="8"/>
      <c r="O412" s="8"/>
      <c r="P412" s="8"/>
      <c r="Q412" s="8"/>
    </row>
    <row r="413" spans="1:17" ht="12.75" customHeight="1">
      <c r="A413" s="8"/>
      <c r="B413" s="8"/>
      <c r="C413" s="30"/>
      <c r="D413" s="8"/>
      <c r="E413" s="8"/>
      <c r="F413" s="8"/>
      <c r="G413" s="8"/>
      <c r="H413" s="8"/>
      <c r="I413" s="8"/>
      <c r="J413" s="8"/>
      <c r="K413" s="8"/>
      <c r="L413" s="8"/>
      <c r="M413" s="8"/>
      <c r="N413" s="8"/>
      <c r="O413" s="8"/>
      <c r="P413" s="8"/>
      <c r="Q413" s="8"/>
    </row>
    <row r="414" spans="1:17" ht="12.75" customHeight="1">
      <c r="A414" s="8"/>
      <c r="B414" s="8"/>
      <c r="C414" s="30"/>
      <c r="D414" s="8"/>
      <c r="E414" s="8"/>
      <c r="F414" s="8"/>
      <c r="G414" s="8"/>
      <c r="H414" s="8"/>
      <c r="I414" s="8"/>
      <c r="J414" s="8"/>
      <c r="K414" s="8"/>
      <c r="L414" s="8"/>
      <c r="M414" s="8"/>
      <c r="N414" s="8"/>
      <c r="O414" s="8"/>
      <c r="P414" s="8"/>
      <c r="Q414" s="8"/>
    </row>
    <row r="415" spans="1:17" ht="12.75" customHeight="1">
      <c r="A415" s="8"/>
      <c r="B415" s="8"/>
      <c r="C415" s="30"/>
      <c r="D415" s="8"/>
      <c r="E415" s="8"/>
      <c r="F415" s="8"/>
      <c r="G415" s="8"/>
      <c r="H415" s="8"/>
      <c r="I415" s="8"/>
      <c r="J415" s="8"/>
      <c r="K415" s="8"/>
      <c r="L415" s="8"/>
      <c r="M415" s="8"/>
      <c r="N415" s="8"/>
      <c r="O415" s="8"/>
      <c r="P415" s="8"/>
      <c r="Q415" s="8"/>
    </row>
    <row r="416" spans="1:17" ht="12.75" customHeight="1">
      <c r="A416" s="8"/>
      <c r="B416" s="8"/>
      <c r="C416" s="30"/>
      <c r="D416" s="8"/>
      <c r="E416" s="8"/>
      <c r="F416" s="8"/>
      <c r="G416" s="8"/>
      <c r="H416" s="8"/>
      <c r="I416" s="8"/>
      <c r="J416" s="8"/>
      <c r="K416" s="8"/>
      <c r="L416" s="8"/>
      <c r="M416" s="8"/>
      <c r="N416" s="8"/>
      <c r="O416" s="8"/>
      <c r="P416" s="8"/>
      <c r="Q416" s="8"/>
    </row>
    <row r="417" spans="1:17" ht="12.75" customHeight="1">
      <c r="A417" s="8"/>
      <c r="B417" s="8"/>
      <c r="C417" s="30"/>
      <c r="D417" s="8"/>
      <c r="E417" s="8"/>
      <c r="F417" s="8"/>
      <c r="G417" s="8"/>
      <c r="H417" s="8"/>
      <c r="I417" s="8"/>
      <c r="J417" s="8"/>
      <c r="K417" s="8"/>
      <c r="L417" s="8"/>
      <c r="M417" s="8"/>
      <c r="N417" s="8"/>
      <c r="O417" s="8"/>
      <c r="P417" s="8"/>
      <c r="Q417" s="8"/>
    </row>
    <row r="418" spans="1:17" ht="12.75" customHeight="1">
      <c r="A418" s="8"/>
      <c r="B418" s="8"/>
      <c r="C418" s="30"/>
      <c r="D418" s="8"/>
      <c r="E418" s="8"/>
      <c r="F418" s="8"/>
      <c r="G418" s="8"/>
      <c r="H418" s="8"/>
      <c r="I418" s="8"/>
      <c r="J418" s="8"/>
      <c r="K418" s="8"/>
      <c r="L418" s="8"/>
      <c r="M418" s="8"/>
      <c r="N418" s="8"/>
      <c r="O418" s="8"/>
      <c r="P418" s="8"/>
      <c r="Q418" s="8"/>
    </row>
    <row r="419" spans="1:17" ht="12.75" customHeight="1">
      <c r="A419" s="8"/>
      <c r="B419" s="8"/>
      <c r="C419" s="30"/>
      <c r="D419" s="8"/>
      <c r="E419" s="8"/>
      <c r="F419" s="8"/>
      <c r="G419" s="8"/>
      <c r="H419" s="8"/>
      <c r="I419" s="8"/>
      <c r="J419" s="8"/>
      <c r="K419" s="8"/>
      <c r="L419" s="8"/>
      <c r="M419" s="8"/>
      <c r="N419" s="8"/>
      <c r="O419" s="8"/>
      <c r="P419" s="8"/>
      <c r="Q419" s="8"/>
    </row>
    <row r="420" spans="1:17" ht="12.75" customHeight="1">
      <c r="A420" s="8"/>
      <c r="B420" s="8"/>
      <c r="C420" s="30"/>
      <c r="D420" s="8"/>
      <c r="E420" s="8"/>
      <c r="F420" s="8"/>
      <c r="G420" s="8"/>
      <c r="H420" s="8"/>
      <c r="I420" s="8"/>
      <c r="J420" s="8"/>
      <c r="K420" s="8"/>
      <c r="L420" s="8"/>
      <c r="M420" s="8"/>
      <c r="N420" s="8"/>
      <c r="O420" s="8"/>
      <c r="P420" s="8"/>
      <c r="Q420" s="8"/>
    </row>
    <row r="421" spans="1:17" ht="12.75" customHeight="1">
      <c r="A421" s="8"/>
      <c r="B421" s="8"/>
      <c r="C421" s="30"/>
      <c r="D421" s="8"/>
      <c r="E421" s="8"/>
      <c r="F421" s="8"/>
      <c r="G421" s="8"/>
      <c r="H421" s="8"/>
      <c r="I421" s="8"/>
      <c r="J421" s="8"/>
      <c r="K421" s="8"/>
      <c r="L421" s="8"/>
      <c r="M421" s="8"/>
      <c r="N421" s="8"/>
      <c r="O421" s="8"/>
      <c r="P421" s="8"/>
      <c r="Q421" s="8"/>
    </row>
    <row r="422" spans="1:17" ht="12.75" customHeight="1">
      <c r="A422" s="8"/>
      <c r="B422" s="8"/>
      <c r="C422" s="30"/>
      <c r="D422" s="8"/>
      <c r="E422" s="8"/>
      <c r="F422" s="8"/>
      <c r="G422" s="8"/>
      <c r="H422" s="8"/>
      <c r="I422" s="8"/>
      <c r="J422" s="8"/>
      <c r="K422" s="8"/>
      <c r="L422" s="8"/>
      <c r="M422" s="8"/>
      <c r="N422" s="8"/>
      <c r="O422" s="8"/>
      <c r="P422" s="8"/>
      <c r="Q422" s="8"/>
    </row>
    <row r="423" spans="1:17" ht="12.75" customHeight="1">
      <c r="A423" s="8"/>
      <c r="B423" s="8"/>
      <c r="C423" s="30"/>
      <c r="D423" s="8"/>
      <c r="E423" s="8"/>
      <c r="F423" s="8"/>
      <c r="G423" s="8"/>
      <c r="H423" s="8"/>
      <c r="I423" s="8"/>
      <c r="J423" s="8"/>
      <c r="K423" s="8"/>
      <c r="L423" s="8"/>
      <c r="M423" s="8"/>
      <c r="N423" s="8"/>
      <c r="O423" s="8"/>
      <c r="P423" s="8"/>
      <c r="Q423" s="8"/>
    </row>
    <row r="424" spans="1:17" ht="12.75" customHeight="1">
      <c r="A424" s="8"/>
      <c r="B424" s="8"/>
      <c r="C424" s="30"/>
      <c r="D424" s="8"/>
      <c r="E424" s="8"/>
      <c r="F424" s="8"/>
      <c r="G424" s="8"/>
      <c r="H424" s="8"/>
      <c r="I424" s="8"/>
      <c r="J424" s="8"/>
      <c r="K424" s="8"/>
      <c r="L424" s="8"/>
      <c r="M424" s="8"/>
      <c r="N424" s="8"/>
      <c r="O424" s="8"/>
      <c r="P424" s="8"/>
      <c r="Q424" s="8"/>
    </row>
    <row r="425" spans="1:17" ht="12.75" customHeight="1">
      <c r="A425" s="8"/>
      <c r="B425" s="8"/>
      <c r="C425" s="30"/>
      <c r="D425" s="8"/>
      <c r="E425" s="8"/>
      <c r="F425" s="8"/>
      <c r="G425" s="8"/>
      <c r="H425" s="8"/>
      <c r="I425" s="8"/>
      <c r="J425" s="8"/>
      <c r="K425" s="8"/>
      <c r="L425" s="8"/>
      <c r="M425" s="8"/>
      <c r="N425" s="8"/>
      <c r="O425" s="8"/>
      <c r="P425" s="8"/>
      <c r="Q425" s="8"/>
    </row>
    <row r="426" spans="1:17" ht="12.75" customHeight="1">
      <c r="A426" s="8"/>
      <c r="B426" s="8"/>
      <c r="C426" s="30"/>
      <c r="D426" s="8"/>
      <c r="E426" s="8"/>
      <c r="F426" s="8"/>
      <c r="G426" s="8"/>
      <c r="H426" s="8"/>
      <c r="I426" s="8"/>
      <c r="J426" s="8"/>
      <c r="K426" s="8"/>
      <c r="L426" s="8"/>
      <c r="M426" s="8"/>
      <c r="N426" s="8"/>
      <c r="O426" s="8"/>
      <c r="P426" s="8"/>
      <c r="Q426" s="8"/>
    </row>
    <row r="427" spans="1:17" ht="12.75" customHeight="1">
      <c r="A427" s="8"/>
      <c r="B427" s="8"/>
      <c r="C427" s="30"/>
      <c r="D427" s="8"/>
      <c r="E427" s="8"/>
      <c r="F427" s="8"/>
      <c r="G427" s="8"/>
      <c r="H427" s="8"/>
      <c r="I427" s="8"/>
      <c r="J427" s="8"/>
      <c r="K427" s="8"/>
      <c r="L427" s="8"/>
      <c r="M427" s="8"/>
      <c r="N427" s="8"/>
      <c r="O427" s="8"/>
      <c r="P427" s="8"/>
      <c r="Q427" s="8"/>
    </row>
    <row r="428" spans="1:17" ht="12.75" customHeight="1">
      <c r="A428" s="8"/>
      <c r="B428" s="8"/>
      <c r="C428" s="30"/>
      <c r="D428" s="8"/>
      <c r="E428" s="8"/>
      <c r="F428" s="8"/>
      <c r="G428" s="8"/>
      <c r="H428" s="8"/>
      <c r="I428" s="8"/>
      <c r="J428" s="8"/>
      <c r="K428" s="8"/>
      <c r="L428" s="8"/>
      <c r="M428" s="8"/>
      <c r="N428" s="8"/>
      <c r="O428" s="8"/>
      <c r="P428" s="8"/>
      <c r="Q428" s="8"/>
    </row>
    <row r="429" spans="1:17" ht="12.75" customHeight="1">
      <c r="A429" s="8"/>
      <c r="B429" s="8"/>
      <c r="C429" s="30"/>
      <c r="D429" s="8"/>
      <c r="E429" s="8"/>
      <c r="F429" s="8"/>
      <c r="G429" s="8"/>
      <c r="H429" s="8"/>
      <c r="I429" s="8"/>
      <c r="J429" s="8"/>
      <c r="K429" s="8"/>
      <c r="L429" s="8"/>
      <c r="M429" s="8"/>
      <c r="N429" s="8"/>
      <c r="O429" s="8"/>
      <c r="P429" s="8"/>
      <c r="Q429" s="8"/>
    </row>
    <row r="430" spans="1:17" ht="12.75" customHeight="1">
      <c r="A430" s="8"/>
      <c r="B430" s="8"/>
      <c r="C430" s="30"/>
      <c r="D430" s="8"/>
      <c r="E430" s="8"/>
      <c r="F430" s="8"/>
      <c r="G430" s="8"/>
      <c r="H430" s="8"/>
      <c r="I430" s="8"/>
      <c r="J430" s="8"/>
      <c r="K430" s="8"/>
      <c r="L430" s="8"/>
      <c r="M430" s="8"/>
      <c r="N430" s="8"/>
      <c r="O430" s="8"/>
      <c r="P430" s="8"/>
      <c r="Q430" s="8"/>
    </row>
    <row r="431" spans="1:17" ht="12.75" customHeight="1">
      <c r="A431" s="8"/>
      <c r="B431" s="8"/>
      <c r="C431" s="30"/>
      <c r="D431" s="8"/>
      <c r="E431" s="8"/>
      <c r="F431" s="8"/>
      <c r="G431" s="8"/>
      <c r="H431" s="8"/>
      <c r="I431" s="8"/>
      <c r="J431" s="8"/>
      <c r="K431" s="8"/>
      <c r="L431" s="8"/>
      <c r="M431" s="8"/>
      <c r="N431" s="8"/>
      <c r="O431" s="8"/>
      <c r="P431" s="8"/>
      <c r="Q431" s="8"/>
    </row>
    <row r="432" spans="1:17" ht="12.75" customHeight="1">
      <c r="A432" s="8"/>
      <c r="B432" s="8"/>
      <c r="C432" s="30"/>
      <c r="D432" s="8"/>
      <c r="E432" s="8"/>
      <c r="F432" s="8"/>
      <c r="G432" s="8"/>
      <c r="H432" s="8"/>
      <c r="I432" s="8"/>
      <c r="J432" s="8"/>
      <c r="K432" s="8"/>
      <c r="L432" s="8"/>
      <c r="M432" s="8"/>
      <c r="N432" s="8"/>
      <c r="O432" s="8"/>
      <c r="P432" s="8"/>
      <c r="Q432" s="8"/>
    </row>
    <row r="433" spans="1:17" ht="12.75" customHeight="1">
      <c r="A433" s="8"/>
      <c r="B433" s="8"/>
      <c r="C433" s="30"/>
      <c r="D433" s="8"/>
      <c r="E433" s="8"/>
      <c r="F433" s="8"/>
      <c r="G433" s="8"/>
      <c r="H433" s="8"/>
      <c r="I433" s="8"/>
      <c r="J433" s="8"/>
      <c r="K433" s="8"/>
      <c r="L433" s="8"/>
      <c r="M433" s="8"/>
      <c r="N433" s="8"/>
      <c r="O433" s="8"/>
      <c r="P433" s="8"/>
      <c r="Q433" s="8"/>
    </row>
    <row r="434" spans="1:17" ht="12.75" customHeight="1">
      <c r="A434" s="8"/>
      <c r="B434" s="8"/>
      <c r="C434" s="30"/>
      <c r="D434" s="8"/>
      <c r="E434" s="8"/>
      <c r="F434" s="8"/>
      <c r="G434" s="8"/>
      <c r="H434" s="8"/>
      <c r="I434" s="8"/>
      <c r="J434" s="8"/>
      <c r="K434" s="8"/>
      <c r="L434" s="8"/>
      <c r="M434" s="8"/>
      <c r="N434" s="8"/>
      <c r="O434" s="8"/>
      <c r="P434" s="8"/>
      <c r="Q434" s="8"/>
    </row>
    <row r="435" spans="1:17" ht="12.75" customHeight="1">
      <c r="A435" s="8"/>
      <c r="B435" s="8"/>
      <c r="C435" s="30"/>
      <c r="D435" s="8"/>
      <c r="E435" s="8"/>
      <c r="F435" s="8"/>
      <c r="G435" s="8"/>
      <c r="H435" s="8"/>
      <c r="I435" s="8"/>
      <c r="J435" s="8"/>
      <c r="K435" s="8"/>
      <c r="L435" s="8"/>
      <c r="M435" s="8"/>
      <c r="N435" s="8"/>
      <c r="O435" s="8"/>
      <c r="P435" s="8"/>
      <c r="Q435" s="8"/>
    </row>
    <row r="436" spans="1:17" ht="12.75" customHeight="1">
      <c r="A436" s="8"/>
      <c r="B436" s="8"/>
      <c r="C436" s="30"/>
      <c r="D436" s="8"/>
      <c r="E436" s="8"/>
      <c r="F436" s="8"/>
      <c r="G436" s="8"/>
      <c r="H436" s="8"/>
      <c r="I436" s="8"/>
      <c r="J436" s="8"/>
      <c r="K436" s="8"/>
      <c r="L436" s="8"/>
      <c r="M436" s="8"/>
      <c r="N436" s="8"/>
      <c r="O436" s="8"/>
      <c r="P436" s="8"/>
      <c r="Q436" s="8"/>
    </row>
    <row r="437" spans="1:17" ht="12.75" customHeight="1">
      <c r="A437" s="8"/>
      <c r="B437" s="8"/>
      <c r="C437" s="30"/>
      <c r="D437" s="8"/>
      <c r="E437" s="8"/>
      <c r="F437" s="8"/>
      <c r="G437" s="8"/>
      <c r="H437" s="8"/>
      <c r="I437" s="8"/>
      <c r="J437" s="8"/>
      <c r="K437" s="8"/>
      <c r="L437" s="8"/>
      <c r="M437" s="8"/>
      <c r="N437" s="8"/>
      <c r="O437" s="8"/>
      <c r="P437" s="8"/>
      <c r="Q437" s="8"/>
    </row>
    <row r="438" spans="1:17" ht="12.75" customHeight="1">
      <c r="A438" s="8"/>
      <c r="B438" s="8"/>
      <c r="C438" s="30"/>
      <c r="D438" s="8"/>
      <c r="E438" s="8"/>
      <c r="F438" s="8"/>
      <c r="G438" s="8"/>
      <c r="H438" s="8"/>
      <c r="I438" s="8"/>
      <c r="J438" s="8"/>
      <c r="K438" s="8"/>
      <c r="L438" s="8"/>
      <c r="M438" s="8"/>
      <c r="N438" s="8"/>
      <c r="O438" s="8"/>
      <c r="P438" s="8"/>
      <c r="Q438" s="8"/>
    </row>
    <row r="439" spans="1:17" ht="12.75" customHeight="1">
      <c r="A439" s="8"/>
      <c r="B439" s="8"/>
      <c r="C439" s="30"/>
      <c r="D439" s="8"/>
      <c r="E439" s="8"/>
      <c r="F439" s="8"/>
      <c r="G439" s="8"/>
      <c r="H439" s="8"/>
      <c r="I439" s="8"/>
      <c r="J439" s="8"/>
      <c r="K439" s="8"/>
      <c r="L439" s="8"/>
      <c r="M439" s="8"/>
      <c r="N439" s="8"/>
      <c r="O439" s="8"/>
      <c r="P439" s="8"/>
      <c r="Q439" s="8"/>
    </row>
    <row r="440" spans="1:17" ht="12.75" customHeight="1">
      <c r="A440" s="8"/>
      <c r="B440" s="8"/>
      <c r="C440" s="30"/>
      <c r="D440" s="8"/>
      <c r="E440" s="8"/>
      <c r="F440" s="8"/>
      <c r="G440" s="8"/>
      <c r="H440" s="8"/>
      <c r="I440" s="8"/>
      <c r="J440" s="8"/>
      <c r="K440" s="8"/>
      <c r="L440" s="8"/>
      <c r="M440" s="8"/>
      <c r="N440" s="8"/>
      <c r="O440" s="8"/>
      <c r="P440" s="8"/>
      <c r="Q440" s="8"/>
    </row>
    <row r="441" spans="1:17" ht="12.75" customHeight="1">
      <c r="A441" s="8"/>
      <c r="B441" s="8"/>
      <c r="C441" s="30"/>
      <c r="D441" s="8"/>
      <c r="E441" s="8"/>
      <c r="F441" s="8"/>
      <c r="G441" s="8"/>
      <c r="H441" s="8"/>
      <c r="I441" s="8"/>
      <c r="J441" s="8"/>
      <c r="K441" s="8"/>
      <c r="L441" s="8"/>
      <c r="M441" s="8"/>
      <c r="N441" s="8"/>
      <c r="O441" s="8"/>
      <c r="P441" s="8"/>
      <c r="Q441" s="8"/>
    </row>
    <row r="442" spans="1:17" ht="12.75" customHeight="1">
      <c r="A442" s="8"/>
      <c r="B442" s="8"/>
      <c r="C442" s="30"/>
      <c r="D442" s="8"/>
      <c r="E442" s="8"/>
      <c r="F442" s="8"/>
      <c r="G442" s="8"/>
      <c r="H442" s="8"/>
      <c r="I442" s="8"/>
      <c r="J442" s="8"/>
      <c r="K442" s="8"/>
      <c r="L442" s="8"/>
      <c r="M442" s="8"/>
      <c r="N442" s="8"/>
      <c r="O442" s="8"/>
      <c r="P442" s="8"/>
      <c r="Q442" s="8"/>
    </row>
    <row r="443" spans="1:17" ht="12.75" customHeight="1">
      <c r="A443" s="8"/>
      <c r="B443" s="8"/>
      <c r="C443" s="30"/>
      <c r="D443" s="8"/>
      <c r="E443" s="8"/>
      <c r="F443" s="8"/>
      <c r="G443" s="8"/>
      <c r="H443" s="8"/>
      <c r="I443" s="8"/>
      <c r="J443" s="8"/>
      <c r="K443" s="8"/>
      <c r="L443" s="8"/>
      <c r="M443" s="8"/>
      <c r="N443" s="8"/>
      <c r="O443" s="8"/>
      <c r="P443" s="8"/>
      <c r="Q443" s="8"/>
    </row>
    <row r="444" spans="1:17" ht="12.75" customHeight="1">
      <c r="A444" s="8"/>
      <c r="B444" s="8"/>
      <c r="C444" s="30"/>
      <c r="D444" s="8"/>
      <c r="E444" s="8"/>
      <c r="F444" s="8"/>
      <c r="G444" s="8"/>
      <c r="H444" s="8"/>
      <c r="I444" s="8"/>
      <c r="J444" s="8"/>
      <c r="K444" s="8"/>
      <c r="L444" s="8"/>
      <c r="M444" s="8"/>
      <c r="N444" s="8"/>
      <c r="O444" s="8"/>
      <c r="P444" s="8"/>
      <c r="Q444" s="8"/>
    </row>
    <row r="445" spans="1:17" ht="12.75" customHeight="1">
      <c r="A445" s="8"/>
      <c r="B445" s="8"/>
      <c r="C445" s="30"/>
      <c r="D445" s="8"/>
      <c r="E445" s="8"/>
      <c r="F445" s="8"/>
      <c r="G445" s="8"/>
      <c r="H445" s="8"/>
      <c r="I445" s="8"/>
      <c r="J445" s="8"/>
      <c r="K445" s="8"/>
      <c r="L445" s="8"/>
      <c r="M445" s="8"/>
      <c r="N445" s="8"/>
      <c r="O445" s="8"/>
      <c r="P445" s="8"/>
      <c r="Q445" s="8"/>
    </row>
    <row r="446" spans="1:17" ht="12.75" customHeight="1">
      <c r="A446" s="8"/>
      <c r="B446" s="8"/>
      <c r="C446" s="30"/>
      <c r="D446" s="8"/>
      <c r="E446" s="8"/>
      <c r="F446" s="8"/>
      <c r="G446" s="8"/>
      <c r="H446" s="8"/>
      <c r="I446" s="8"/>
      <c r="J446" s="8"/>
      <c r="K446" s="8"/>
      <c r="L446" s="8"/>
      <c r="M446" s="8"/>
      <c r="N446" s="8"/>
      <c r="O446" s="8"/>
      <c r="P446" s="8"/>
      <c r="Q446" s="8"/>
    </row>
    <row r="447" spans="1:17" ht="12.75" customHeight="1">
      <c r="A447" s="8"/>
      <c r="B447" s="8"/>
      <c r="C447" s="30"/>
      <c r="D447" s="8"/>
      <c r="E447" s="8"/>
      <c r="F447" s="8"/>
      <c r="G447" s="8"/>
      <c r="H447" s="8"/>
      <c r="I447" s="8"/>
      <c r="J447" s="8"/>
      <c r="K447" s="8"/>
      <c r="L447" s="8"/>
      <c r="M447" s="8"/>
      <c r="N447" s="8"/>
      <c r="O447" s="8"/>
      <c r="P447" s="8"/>
      <c r="Q447" s="8"/>
    </row>
    <row r="448" spans="1:17" ht="12.75" customHeight="1">
      <c r="A448" s="8"/>
      <c r="B448" s="8"/>
      <c r="C448" s="30"/>
      <c r="D448" s="8"/>
      <c r="E448" s="8"/>
      <c r="F448" s="8"/>
      <c r="G448" s="8"/>
      <c r="H448" s="8"/>
      <c r="I448" s="8"/>
      <c r="J448" s="8"/>
      <c r="K448" s="8"/>
      <c r="L448" s="8"/>
      <c r="M448" s="8"/>
      <c r="N448" s="8"/>
      <c r="O448" s="8"/>
      <c r="P448" s="8"/>
      <c r="Q448" s="8"/>
    </row>
    <row r="449" spans="1:17" ht="12.75" customHeight="1">
      <c r="A449" s="8"/>
      <c r="B449" s="8"/>
      <c r="C449" s="30"/>
      <c r="D449" s="8"/>
      <c r="E449" s="8"/>
      <c r="F449" s="8"/>
      <c r="G449" s="8"/>
      <c r="H449" s="8"/>
      <c r="I449" s="8"/>
      <c r="J449" s="8"/>
      <c r="K449" s="8"/>
      <c r="L449" s="8"/>
      <c r="M449" s="8"/>
      <c r="N449" s="8"/>
      <c r="O449" s="8"/>
      <c r="P449" s="8"/>
      <c r="Q449" s="8"/>
    </row>
    <row r="450" spans="1:17" ht="12.75" customHeight="1">
      <c r="A450" s="8"/>
      <c r="B450" s="8"/>
      <c r="C450" s="30"/>
      <c r="D450" s="8"/>
      <c r="E450" s="8"/>
      <c r="F450" s="8"/>
      <c r="G450" s="8"/>
      <c r="H450" s="8"/>
      <c r="I450" s="8"/>
      <c r="J450" s="8"/>
      <c r="K450" s="8"/>
      <c r="L450" s="8"/>
      <c r="M450" s="8"/>
      <c r="N450" s="8"/>
      <c r="O450" s="8"/>
      <c r="P450" s="8"/>
      <c r="Q450" s="8"/>
    </row>
    <row r="451" spans="1:17" ht="12.75" customHeight="1">
      <c r="A451" s="8"/>
      <c r="B451" s="8"/>
      <c r="C451" s="30"/>
      <c r="D451" s="8"/>
      <c r="E451" s="8"/>
      <c r="F451" s="8"/>
      <c r="G451" s="8"/>
      <c r="H451" s="8"/>
      <c r="I451" s="8"/>
      <c r="J451" s="8"/>
      <c r="K451" s="8"/>
      <c r="L451" s="8"/>
      <c r="M451" s="8"/>
      <c r="N451" s="8"/>
      <c r="O451" s="8"/>
      <c r="P451" s="8"/>
      <c r="Q451" s="8"/>
    </row>
    <row r="452" spans="1:17" ht="12.75" customHeight="1">
      <c r="A452" s="8"/>
      <c r="B452" s="8"/>
      <c r="C452" s="30"/>
      <c r="D452" s="8"/>
      <c r="E452" s="8"/>
      <c r="F452" s="8"/>
      <c r="G452" s="8"/>
      <c r="H452" s="8"/>
      <c r="I452" s="8"/>
      <c r="J452" s="8"/>
      <c r="K452" s="8"/>
      <c r="L452" s="8"/>
      <c r="M452" s="8"/>
      <c r="N452" s="8"/>
      <c r="O452" s="8"/>
      <c r="P452" s="8"/>
      <c r="Q452" s="8"/>
    </row>
    <row r="453" spans="1:17" ht="12.75" customHeight="1">
      <c r="A453" s="8"/>
      <c r="B453" s="8"/>
      <c r="C453" s="30"/>
      <c r="D453" s="8"/>
      <c r="E453" s="8"/>
      <c r="F453" s="8"/>
      <c r="G453" s="8"/>
      <c r="H453" s="8"/>
      <c r="I453" s="8"/>
      <c r="J453" s="8"/>
      <c r="K453" s="8"/>
      <c r="L453" s="8"/>
      <c r="M453" s="8"/>
      <c r="N453" s="8"/>
      <c r="O453" s="8"/>
      <c r="P453" s="8"/>
      <c r="Q453" s="8"/>
    </row>
    <row r="454" spans="1:17" ht="12.75" customHeight="1">
      <c r="A454" s="8"/>
      <c r="B454" s="8"/>
      <c r="C454" s="30"/>
      <c r="D454" s="8"/>
      <c r="E454" s="8"/>
      <c r="F454" s="8"/>
      <c r="G454" s="8"/>
      <c r="H454" s="8"/>
      <c r="I454" s="8"/>
      <c r="J454" s="8"/>
      <c r="K454" s="8"/>
      <c r="L454" s="8"/>
      <c r="M454" s="8"/>
      <c r="N454" s="8"/>
      <c r="O454" s="8"/>
      <c r="P454" s="8"/>
      <c r="Q454" s="8"/>
    </row>
    <row r="455" spans="1:17" ht="12.75" customHeight="1">
      <c r="A455" s="8"/>
      <c r="B455" s="8"/>
      <c r="C455" s="30"/>
      <c r="D455" s="8"/>
      <c r="E455" s="8"/>
      <c r="F455" s="8"/>
      <c r="G455" s="8"/>
      <c r="H455" s="8"/>
      <c r="I455" s="8"/>
      <c r="J455" s="8"/>
      <c r="K455" s="8"/>
      <c r="L455" s="8"/>
      <c r="M455" s="8"/>
      <c r="N455" s="8"/>
      <c r="O455" s="8"/>
      <c r="P455" s="8"/>
      <c r="Q455" s="8"/>
    </row>
    <row r="456" spans="1:17" ht="12.75" customHeight="1">
      <c r="A456" s="8"/>
      <c r="B456" s="8"/>
      <c r="C456" s="30"/>
      <c r="D456" s="8"/>
      <c r="E456" s="8"/>
      <c r="F456" s="8"/>
      <c r="G456" s="8"/>
      <c r="H456" s="8"/>
      <c r="I456" s="8"/>
      <c r="J456" s="8"/>
      <c r="K456" s="8"/>
      <c r="L456" s="8"/>
      <c r="M456" s="8"/>
      <c r="N456" s="8"/>
      <c r="O456" s="8"/>
      <c r="P456" s="8"/>
      <c r="Q456" s="8"/>
    </row>
    <row r="457" spans="1:17" ht="12.75" customHeight="1">
      <c r="A457" s="8"/>
      <c r="B457" s="8"/>
      <c r="C457" s="30"/>
      <c r="D457" s="8"/>
      <c r="E457" s="8"/>
      <c r="F457" s="8"/>
      <c r="G457" s="8"/>
      <c r="H457" s="8"/>
      <c r="I457" s="8"/>
      <c r="J457" s="8"/>
      <c r="K457" s="8"/>
      <c r="L457" s="8"/>
      <c r="M457" s="8"/>
      <c r="N457" s="8"/>
      <c r="O457" s="8"/>
      <c r="P457" s="8"/>
      <c r="Q457" s="8"/>
    </row>
    <row r="458" spans="1:17" ht="12.75" customHeight="1">
      <c r="A458" s="8"/>
      <c r="B458" s="8"/>
      <c r="C458" s="30"/>
      <c r="D458" s="8"/>
      <c r="E458" s="8"/>
      <c r="F458" s="8"/>
      <c r="G458" s="8"/>
      <c r="H458" s="8"/>
      <c r="I458" s="8"/>
      <c r="J458" s="8"/>
      <c r="K458" s="8"/>
      <c r="L458" s="8"/>
      <c r="M458" s="8"/>
      <c r="N458" s="8"/>
      <c r="O458" s="8"/>
      <c r="P458" s="8"/>
      <c r="Q458" s="8"/>
    </row>
    <row r="459" spans="1:17" ht="12.75" customHeight="1">
      <c r="A459" s="8"/>
      <c r="B459" s="8"/>
      <c r="C459" s="30"/>
      <c r="D459" s="8"/>
      <c r="E459" s="8"/>
      <c r="F459" s="8"/>
      <c r="G459" s="8"/>
      <c r="H459" s="8"/>
      <c r="I459" s="8"/>
      <c r="J459" s="8"/>
      <c r="K459" s="8"/>
      <c r="L459" s="8"/>
      <c r="M459" s="8"/>
      <c r="N459" s="8"/>
      <c r="O459" s="8"/>
      <c r="P459" s="8"/>
      <c r="Q459" s="8"/>
    </row>
    <row r="460" spans="1:17" ht="12.75" customHeight="1">
      <c r="A460" s="8"/>
      <c r="B460" s="8"/>
      <c r="C460" s="30"/>
      <c r="D460" s="8"/>
      <c r="E460" s="8"/>
      <c r="F460" s="8"/>
      <c r="G460" s="8"/>
      <c r="H460" s="8"/>
      <c r="I460" s="8"/>
      <c r="J460" s="8"/>
      <c r="K460" s="8"/>
      <c r="L460" s="8"/>
      <c r="M460" s="8"/>
      <c r="N460" s="8"/>
      <c r="O460" s="8"/>
      <c r="P460" s="8"/>
      <c r="Q460" s="8"/>
    </row>
    <row r="461" spans="1:17" ht="12.75" customHeight="1">
      <c r="A461" s="8"/>
      <c r="B461" s="8"/>
      <c r="C461" s="30"/>
      <c r="D461" s="8"/>
      <c r="E461" s="8"/>
      <c r="F461" s="8"/>
      <c r="G461" s="8"/>
      <c r="H461" s="8"/>
      <c r="I461" s="8"/>
      <c r="J461" s="8"/>
      <c r="K461" s="8"/>
      <c r="L461" s="8"/>
      <c r="M461" s="8"/>
      <c r="N461" s="8"/>
      <c r="O461" s="8"/>
      <c r="P461" s="8"/>
      <c r="Q461" s="8"/>
    </row>
    <row r="462" spans="1:17" ht="12.75" customHeight="1">
      <c r="A462" s="8"/>
      <c r="B462" s="8"/>
      <c r="C462" s="30"/>
      <c r="D462" s="8"/>
      <c r="E462" s="8"/>
      <c r="F462" s="8"/>
      <c r="G462" s="8"/>
      <c r="H462" s="8"/>
      <c r="I462" s="8"/>
      <c r="J462" s="8"/>
      <c r="K462" s="8"/>
      <c r="L462" s="8"/>
      <c r="M462" s="8"/>
      <c r="N462" s="8"/>
      <c r="O462" s="8"/>
      <c r="P462" s="8"/>
      <c r="Q462" s="8"/>
    </row>
    <row r="463" spans="1:17" ht="12.75" customHeight="1">
      <c r="A463" s="8"/>
      <c r="B463" s="8"/>
      <c r="C463" s="30"/>
      <c r="D463" s="8"/>
      <c r="E463" s="8"/>
      <c r="F463" s="8"/>
      <c r="G463" s="8"/>
      <c r="H463" s="8"/>
      <c r="I463" s="8"/>
      <c r="J463" s="8"/>
      <c r="K463" s="8"/>
      <c r="L463" s="8"/>
      <c r="M463" s="8"/>
      <c r="N463" s="8"/>
      <c r="O463" s="8"/>
      <c r="P463" s="8"/>
      <c r="Q463" s="8"/>
    </row>
    <row r="464" spans="1:17" ht="12.75" customHeight="1">
      <c r="A464" s="8"/>
      <c r="B464" s="8"/>
      <c r="C464" s="30"/>
      <c r="D464" s="8"/>
      <c r="E464" s="8"/>
      <c r="F464" s="8"/>
      <c r="G464" s="8"/>
      <c r="H464" s="8"/>
      <c r="I464" s="8"/>
      <c r="J464" s="8"/>
      <c r="K464" s="8"/>
      <c r="L464" s="8"/>
      <c r="M464" s="8"/>
      <c r="N464" s="8"/>
      <c r="O464" s="8"/>
      <c r="P464" s="8"/>
      <c r="Q464" s="8"/>
    </row>
    <row r="465" spans="1:17" ht="12.75" customHeight="1">
      <c r="A465" s="8"/>
      <c r="B465" s="8"/>
      <c r="C465" s="30"/>
      <c r="D465" s="8"/>
      <c r="E465" s="8"/>
      <c r="F465" s="8"/>
      <c r="G465" s="8"/>
      <c r="H465" s="8"/>
      <c r="I465" s="8"/>
      <c r="J465" s="8"/>
      <c r="K465" s="8"/>
      <c r="L465" s="8"/>
      <c r="M465" s="8"/>
      <c r="N465" s="8"/>
      <c r="O465" s="8"/>
      <c r="P465" s="8"/>
      <c r="Q465" s="8"/>
    </row>
    <row r="466" spans="1:17" ht="12.75" customHeight="1">
      <c r="A466" s="8"/>
      <c r="B466" s="8"/>
      <c r="C466" s="30"/>
      <c r="D466" s="8"/>
      <c r="E466" s="8"/>
      <c r="F466" s="8"/>
      <c r="G466" s="8"/>
      <c r="H466" s="8"/>
      <c r="I466" s="8"/>
      <c r="J466" s="8"/>
      <c r="K466" s="8"/>
      <c r="L466" s="8"/>
      <c r="M466" s="8"/>
      <c r="N466" s="8"/>
      <c r="O466" s="8"/>
      <c r="P466" s="8"/>
      <c r="Q466" s="8"/>
    </row>
    <row r="467" spans="1:17" ht="12.75" customHeight="1">
      <c r="A467" s="8"/>
      <c r="B467" s="8"/>
      <c r="C467" s="30"/>
      <c r="D467" s="8"/>
      <c r="E467" s="8"/>
      <c r="F467" s="8"/>
      <c r="G467" s="8"/>
      <c r="H467" s="8"/>
      <c r="I467" s="8"/>
      <c r="J467" s="8"/>
      <c r="K467" s="8"/>
      <c r="L467" s="8"/>
      <c r="M467" s="8"/>
      <c r="N467" s="8"/>
      <c r="O467" s="8"/>
      <c r="P467" s="8"/>
      <c r="Q467" s="8"/>
    </row>
    <row r="468" spans="1:17" ht="12.75" customHeight="1">
      <c r="A468" s="8"/>
      <c r="B468" s="8"/>
      <c r="C468" s="30"/>
      <c r="D468" s="8"/>
      <c r="E468" s="8"/>
      <c r="F468" s="8"/>
      <c r="G468" s="8"/>
      <c r="H468" s="8"/>
      <c r="I468" s="8"/>
      <c r="J468" s="8"/>
      <c r="K468" s="8"/>
      <c r="L468" s="8"/>
      <c r="M468" s="8"/>
      <c r="N468" s="8"/>
      <c r="O468" s="8"/>
      <c r="P468" s="8"/>
      <c r="Q468" s="8"/>
    </row>
    <row r="469" spans="1:17" ht="12.75" customHeight="1">
      <c r="A469" s="8"/>
      <c r="B469" s="8"/>
      <c r="C469" s="30"/>
      <c r="D469" s="8"/>
      <c r="E469" s="8"/>
      <c r="F469" s="8"/>
      <c r="G469" s="8"/>
      <c r="H469" s="8"/>
      <c r="I469" s="8"/>
      <c r="J469" s="8"/>
      <c r="K469" s="8"/>
      <c r="L469" s="8"/>
      <c r="M469" s="8"/>
      <c r="N469" s="8"/>
      <c r="O469" s="8"/>
      <c r="P469" s="8"/>
      <c r="Q469" s="8"/>
    </row>
    <row r="470" spans="1:17" ht="12.75" customHeight="1">
      <c r="A470" s="8"/>
      <c r="B470" s="8"/>
      <c r="C470" s="30"/>
      <c r="D470" s="8"/>
      <c r="E470" s="8"/>
      <c r="F470" s="8"/>
      <c r="G470" s="8"/>
      <c r="H470" s="8"/>
      <c r="I470" s="8"/>
      <c r="J470" s="8"/>
      <c r="K470" s="8"/>
      <c r="L470" s="8"/>
      <c r="M470" s="8"/>
      <c r="N470" s="8"/>
      <c r="O470" s="8"/>
      <c r="P470" s="8"/>
      <c r="Q470" s="8"/>
    </row>
    <row r="471" spans="1:17" ht="12.75" customHeight="1">
      <c r="A471" s="8"/>
      <c r="B471" s="8"/>
      <c r="C471" s="30"/>
      <c r="D471" s="8"/>
      <c r="E471" s="8"/>
      <c r="F471" s="8"/>
      <c r="G471" s="8"/>
      <c r="H471" s="8"/>
      <c r="I471" s="8"/>
      <c r="J471" s="8"/>
      <c r="K471" s="8"/>
      <c r="L471" s="8"/>
      <c r="M471" s="8"/>
      <c r="N471" s="8"/>
      <c r="O471" s="8"/>
      <c r="P471" s="8"/>
      <c r="Q471" s="8"/>
    </row>
    <row r="472" spans="1:17" ht="12.75" customHeight="1">
      <c r="A472" s="8"/>
      <c r="B472" s="8"/>
      <c r="C472" s="30"/>
      <c r="D472" s="8"/>
      <c r="E472" s="8"/>
      <c r="F472" s="8"/>
      <c r="G472" s="8"/>
      <c r="H472" s="8"/>
      <c r="I472" s="8"/>
      <c r="J472" s="8"/>
      <c r="K472" s="8"/>
      <c r="L472" s="8"/>
      <c r="M472" s="8"/>
      <c r="N472" s="8"/>
      <c r="O472" s="8"/>
      <c r="P472" s="8"/>
      <c r="Q472" s="8"/>
    </row>
    <row r="473" spans="1:17" ht="12.75" customHeight="1">
      <c r="A473" s="8"/>
      <c r="B473" s="8"/>
      <c r="C473" s="30"/>
      <c r="D473" s="8"/>
      <c r="E473" s="8"/>
      <c r="F473" s="8"/>
      <c r="G473" s="8"/>
      <c r="H473" s="8"/>
      <c r="I473" s="8"/>
      <c r="J473" s="8"/>
      <c r="K473" s="8"/>
      <c r="L473" s="8"/>
      <c r="M473" s="8"/>
      <c r="N473" s="8"/>
      <c r="O473" s="8"/>
      <c r="P473" s="8"/>
      <c r="Q473" s="8"/>
    </row>
    <row r="474" spans="1:17" ht="12.75" customHeight="1">
      <c r="A474" s="8"/>
      <c r="B474" s="8"/>
      <c r="C474" s="30"/>
      <c r="D474" s="8"/>
      <c r="E474" s="8"/>
      <c r="F474" s="8"/>
      <c r="G474" s="8"/>
      <c r="H474" s="8"/>
      <c r="I474" s="8"/>
      <c r="J474" s="8"/>
      <c r="K474" s="8"/>
      <c r="L474" s="8"/>
      <c r="M474" s="8"/>
      <c r="N474" s="8"/>
      <c r="O474" s="8"/>
      <c r="P474" s="8"/>
      <c r="Q474" s="8"/>
    </row>
    <row r="475" spans="1:17" ht="12.75" customHeight="1">
      <c r="A475" s="8"/>
      <c r="B475" s="8"/>
      <c r="C475" s="30"/>
      <c r="D475" s="8"/>
      <c r="E475" s="8"/>
      <c r="F475" s="8"/>
      <c r="G475" s="8"/>
      <c r="H475" s="8"/>
      <c r="I475" s="8"/>
      <c r="J475" s="8"/>
      <c r="K475" s="8"/>
      <c r="L475" s="8"/>
      <c r="M475" s="8"/>
      <c r="N475" s="8"/>
      <c r="O475" s="8"/>
      <c r="P475" s="8"/>
      <c r="Q475" s="8"/>
    </row>
    <row r="476" spans="1:17" ht="12.75" customHeight="1">
      <c r="A476" s="8"/>
      <c r="B476" s="8"/>
      <c r="C476" s="30"/>
      <c r="D476" s="8"/>
      <c r="E476" s="8"/>
      <c r="F476" s="8"/>
      <c r="G476" s="8"/>
      <c r="H476" s="8"/>
      <c r="I476" s="8"/>
      <c r="J476" s="8"/>
      <c r="K476" s="8"/>
      <c r="L476" s="8"/>
      <c r="M476" s="8"/>
      <c r="N476" s="8"/>
      <c r="O476" s="8"/>
      <c r="P476" s="8"/>
      <c r="Q476" s="8"/>
    </row>
    <row r="477" spans="1:17" ht="12.75" customHeight="1">
      <c r="A477" s="8"/>
      <c r="B477" s="8"/>
      <c r="C477" s="30"/>
      <c r="D477" s="8"/>
      <c r="E477" s="8"/>
      <c r="F477" s="8"/>
      <c r="G477" s="8"/>
      <c r="H477" s="8"/>
      <c r="I477" s="8"/>
      <c r="J477" s="8"/>
      <c r="K477" s="8"/>
      <c r="L477" s="8"/>
      <c r="M477" s="8"/>
      <c r="N477" s="8"/>
      <c r="O477" s="8"/>
      <c r="P477" s="8"/>
      <c r="Q477" s="8"/>
    </row>
    <row r="478" spans="1:17" ht="12.75" customHeight="1">
      <c r="A478" s="8"/>
      <c r="B478" s="8"/>
      <c r="C478" s="30"/>
      <c r="D478" s="8"/>
      <c r="E478" s="8"/>
      <c r="F478" s="8"/>
      <c r="G478" s="8"/>
      <c r="H478" s="8"/>
      <c r="I478" s="8"/>
      <c r="J478" s="8"/>
      <c r="K478" s="8"/>
      <c r="L478" s="8"/>
      <c r="M478" s="8"/>
      <c r="N478" s="8"/>
      <c r="O478" s="8"/>
      <c r="P478" s="8"/>
      <c r="Q478" s="8"/>
    </row>
    <row r="479" spans="1:17" ht="12.75" customHeight="1">
      <c r="A479" s="8"/>
      <c r="B479" s="8"/>
      <c r="C479" s="30"/>
      <c r="D479" s="8"/>
      <c r="E479" s="8"/>
      <c r="F479" s="8"/>
      <c r="G479" s="8"/>
      <c r="H479" s="8"/>
      <c r="I479" s="8"/>
      <c r="J479" s="8"/>
      <c r="K479" s="8"/>
      <c r="L479" s="8"/>
      <c r="M479" s="8"/>
      <c r="N479" s="8"/>
      <c r="O479" s="8"/>
      <c r="P479" s="8"/>
      <c r="Q479" s="8"/>
    </row>
    <row r="480" spans="1:17" ht="12.75" customHeight="1">
      <c r="A480" s="8"/>
      <c r="B480" s="8"/>
      <c r="C480" s="30"/>
      <c r="D480" s="8"/>
      <c r="E480" s="8"/>
      <c r="F480" s="8"/>
      <c r="G480" s="8"/>
      <c r="H480" s="8"/>
      <c r="I480" s="8"/>
      <c r="J480" s="8"/>
      <c r="K480" s="8"/>
      <c r="L480" s="8"/>
      <c r="M480" s="8"/>
      <c r="N480" s="8"/>
      <c r="O480" s="8"/>
      <c r="P480" s="8"/>
      <c r="Q480" s="8"/>
    </row>
    <row r="481" spans="1:17" ht="12.75" customHeight="1">
      <c r="A481" s="8"/>
      <c r="B481" s="8"/>
      <c r="C481" s="30"/>
      <c r="D481" s="8"/>
      <c r="E481" s="8"/>
      <c r="F481" s="8"/>
      <c r="G481" s="8"/>
      <c r="H481" s="8"/>
      <c r="I481" s="8"/>
      <c r="J481" s="8"/>
      <c r="K481" s="8"/>
      <c r="L481" s="8"/>
      <c r="M481" s="8"/>
      <c r="N481" s="8"/>
      <c r="O481" s="8"/>
      <c r="P481" s="8"/>
      <c r="Q481" s="8"/>
    </row>
    <row r="482" spans="1:17" ht="12.75" customHeight="1">
      <c r="A482" s="8"/>
      <c r="B482" s="8"/>
      <c r="C482" s="30"/>
      <c r="D482" s="8"/>
      <c r="E482" s="8"/>
      <c r="F482" s="8"/>
      <c r="G482" s="8"/>
      <c r="H482" s="8"/>
      <c r="I482" s="8"/>
      <c r="J482" s="8"/>
      <c r="K482" s="8"/>
      <c r="L482" s="8"/>
      <c r="M482" s="8"/>
      <c r="N482" s="8"/>
      <c r="O482" s="8"/>
      <c r="P482" s="8"/>
      <c r="Q482" s="8"/>
    </row>
    <row r="483" spans="1:17" ht="12.75" customHeight="1">
      <c r="A483" s="8"/>
      <c r="B483" s="8"/>
      <c r="C483" s="30"/>
      <c r="D483" s="8"/>
      <c r="E483" s="8"/>
      <c r="F483" s="8"/>
      <c r="G483" s="8"/>
      <c r="H483" s="8"/>
      <c r="I483" s="8"/>
      <c r="J483" s="8"/>
      <c r="K483" s="8"/>
      <c r="L483" s="8"/>
      <c r="M483" s="8"/>
      <c r="N483" s="8"/>
      <c r="O483" s="8"/>
      <c r="P483" s="8"/>
      <c r="Q483" s="8"/>
    </row>
    <row r="484" spans="1:17" ht="12.75" customHeight="1">
      <c r="A484" s="8"/>
      <c r="B484" s="8"/>
      <c r="C484" s="30"/>
      <c r="D484" s="8"/>
      <c r="E484" s="8"/>
      <c r="F484" s="8"/>
      <c r="G484" s="8"/>
      <c r="H484" s="8"/>
      <c r="I484" s="8"/>
      <c r="J484" s="8"/>
      <c r="K484" s="8"/>
      <c r="L484" s="8"/>
      <c r="M484" s="8"/>
      <c r="N484" s="8"/>
      <c r="O484" s="8"/>
      <c r="P484" s="8"/>
      <c r="Q484" s="8"/>
    </row>
    <row r="485" spans="1:17" ht="12.75" customHeight="1">
      <c r="A485" s="8"/>
      <c r="B485" s="8"/>
      <c r="C485" s="30"/>
      <c r="D485" s="8"/>
      <c r="E485" s="8"/>
      <c r="F485" s="8"/>
      <c r="G485" s="8"/>
      <c r="H485" s="8"/>
      <c r="I485" s="8"/>
      <c r="J485" s="8"/>
      <c r="K485" s="8"/>
      <c r="L485" s="8"/>
      <c r="M485" s="8"/>
      <c r="N485" s="8"/>
      <c r="O485" s="8"/>
      <c r="P485" s="8"/>
      <c r="Q485" s="8"/>
    </row>
    <row r="486" spans="1:17" ht="12.75" customHeight="1">
      <c r="A486" s="8"/>
      <c r="B486" s="8"/>
      <c r="C486" s="30"/>
      <c r="D486" s="8"/>
      <c r="E486" s="8"/>
      <c r="F486" s="8"/>
      <c r="G486" s="8"/>
      <c r="H486" s="8"/>
      <c r="I486" s="8"/>
      <c r="J486" s="8"/>
      <c r="K486" s="8"/>
      <c r="L486" s="8"/>
      <c r="M486" s="8"/>
      <c r="N486" s="8"/>
      <c r="O486" s="8"/>
      <c r="P486" s="8"/>
      <c r="Q486" s="8"/>
    </row>
    <row r="487" spans="1:17" ht="12.75" customHeight="1">
      <c r="A487" s="8"/>
      <c r="B487" s="8"/>
      <c r="C487" s="30"/>
      <c r="D487" s="8"/>
      <c r="E487" s="8"/>
      <c r="F487" s="8"/>
      <c r="G487" s="8"/>
      <c r="H487" s="8"/>
      <c r="I487" s="8"/>
      <c r="J487" s="8"/>
      <c r="K487" s="8"/>
      <c r="L487" s="8"/>
      <c r="M487" s="8"/>
      <c r="N487" s="8"/>
      <c r="O487" s="8"/>
      <c r="P487" s="8"/>
      <c r="Q487" s="8"/>
    </row>
    <row r="488" spans="1:17" ht="12.75" customHeight="1">
      <c r="A488" s="8"/>
      <c r="B488" s="8"/>
      <c r="C488" s="30"/>
      <c r="D488" s="8"/>
      <c r="E488" s="8"/>
      <c r="F488" s="8"/>
      <c r="G488" s="8"/>
      <c r="H488" s="8"/>
      <c r="I488" s="8"/>
      <c r="J488" s="8"/>
      <c r="K488" s="8"/>
      <c r="L488" s="8"/>
      <c r="M488" s="8"/>
      <c r="N488" s="8"/>
      <c r="O488" s="8"/>
      <c r="P488" s="8"/>
      <c r="Q488" s="8"/>
    </row>
    <row r="489" spans="1:17" ht="12.75" customHeight="1">
      <c r="A489" s="8"/>
      <c r="B489" s="8"/>
      <c r="C489" s="30"/>
      <c r="D489" s="8"/>
      <c r="E489" s="8"/>
      <c r="F489" s="8"/>
      <c r="G489" s="8"/>
      <c r="H489" s="8"/>
      <c r="I489" s="8"/>
      <c r="J489" s="8"/>
      <c r="K489" s="8"/>
      <c r="L489" s="8"/>
      <c r="M489" s="8"/>
      <c r="N489" s="8"/>
      <c r="O489" s="8"/>
      <c r="P489" s="8"/>
      <c r="Q489" s="8"/>
    </row>
    <row r="490" spans="1:17" ht="12.75" customHeight="1">
      <c r="A490" s="8"/>
      <c r="B490" s="8"/>
      <c r="C490" s="30"/>
      <c r="D490" s="8"/>
      <c r="E490" s="8"/>
      <c r="F490" s="8"/>
      <c r="G490" s="8"/>
      <c r="H490" s="8"/>
      <c r="I490" s="8"/>
      <c r="J490" s="8"/>
      <c r="K490" s="8"/>
      <c r="L490" s="8"/>
      <c r="M490" s="8"/>
      <c r="N490" s="8"/>
      <c r="O490" s="8"/>
      <c r="P490" s="8"/>
      <c r="Q490" s="8"/>
    </row>
    <row r="491" spans="1:17" ht="12.75" customHeight="1">
      <c r="A491" s="8"/>
      <c r="B491" s="8"/>
      <c r="C491" s="30"/>
      <c r="D491" s="8"/>
      <c r="E491" s="8"/>
      <c r="F491" s="8"/>
      <c r="G491" s="8"/>
      <c r="H491" s="8"/>
      <c r="I491" s="8"/>
      <c r="J491" s="8"/>
      <c r="K491" s="8"/>
      <c r="L491" s="8"/>
      <c r="M491" s="8"/>
      <c r="N491" s="8"/>
      <c r="O491" s="8"/>
      <c r="P491" s="8"/>
      <c r="Q491" s="8"/>
    </row>
    <row r="492" spans="1:17" ht="12.75" customHeight="1">
      <c r="A492" s="8"/>
      <c r="B492" s="8"/>
      <c r="C492" s="30"/>
      <c r="D492" s="8"/>
      <c r="E492" s="8"/>
      <c r="F492" s="8"/>
      <c r="G492" s="8"/>
      <c r="H492" s="8"/>
      <c r="I492" s="8"/>
      <c r="J492" s="8"/>
      <c r="K492" s="8"/>
      <c r="L492" s="8"/>
      <c r="M492" s="8"/>
      <c r="N492" s="8"/>
      <c r="O492" s="8"/>
      <c r="P492" s="8"/>
      <c r="Q492" s="8"/>
    </row>
    <row r="493" spans="1:17" ht="12.75" customHeight="1">
      <c r="A493" s="8"/>
      <c r="B493" s="8"/>
      <c r="C493" s="30"/>
      <c r="D493" s="8"/>
      <c r="E493" s="8"/>
      <c r="F493" s="8"/>
      <c r="G493" s="8"/>
      <c r="H493" s="8"/>
      <c r="I493" s="8"/>
      <c r="J493" s="8"/>
      <c r="K493" s="8"/>
      <c r="L493" s="8"/>
      <c r="M493" s="8"/>
      <c r="N493" s="8"/>
      <c r="O493" s="8"/>
      <c r="P493" s="8"/>
      <c r="Q493" s="8"/>
    </row>
    <row r="494" spans="1:17" ht="12.75" customHeight="1">
      <c r="A494" s="8"/>
      <c r="B494" s="8"/>
      <c r="C494" s="30"/>
      <c r="D494" s="8"/>
      <c r="E494" s="8"/>
      <c r="F494" s="8"/>
      <c r="G494" s="8"/>
      <c r="H494" s="8"/>
      <c r="I494" s="8"/>
      <c r="J494" s="8"/>
      <c r="K494" s="8"/>
      <c r="L494" s="8"/>
      <c r="M494" s="8"/>
      <c r="N494" s="8"/>
      <c r="O494" s="8"/>
      <c r="P494" s="8"/>
      <c r="Q494" s="8"/>
    </row>
    <row r="495" spans="1:17" ht="12.75" customHeight="1">
      <c r="A495" s="8"/>
      <c r="B495" s="8"/>
      <c r="C495" s="30"/>
      <c r="D495" s="8"/>
      <c r="E495" s="8"/>
      <c r="F495" s="8"/>
      <c r="G495" s="8"/>
      <c r="H495" s="8"/>
      <c r="I495" s="8"/>
      <c r="J495" s="8"/>
      <c r="K495" s="8"/>
      <c r="L495" s="8"/>
      <c r="M495" s="8"/>
      <c r="N495" s="8"/>
      <c r="O495" s="8"/>
      <c r="P495" s="8"/>
      <c r="Q495" s="8"/>
    </row>
    <row r="496" spans="1:17" ht="12.75" customHeight="1">
      <c r="A496" s="8"/>
      <c r="B496" s="8"/>
      <c r="C496" s="30"/>
      <c r="D496" s="8"/>
      <c r="E496" s="8"/>
      <c r="F496" s="8"/>
      <c r="G496" s="8"/>
      <c r="H496" s="8"/>
      <c r="I496" s="8"/>
      <c r="J496" s="8"/>
      <c r="K496" s="8"/>
      <c r="L496" s="8"/>
      <c r="M496" s="8"/>
      <c r="N496" s="8"/>
      <c r="O496" s="8"/>
      <c r="P496" s="8"/>
      <c r="Q496" s="8"/>
    </row>
    <row r="497" spans="1:17" ht="12.75" customHeight="1">
      <c r="A497" s="8"/>
      <c r="B497" s="8"/>
      <c r="C497" s="30"/>
      <c r="D497" s="8"/>
      <c r="E497" s="8"/>
      <c r="F497" s="8"/>
      <c r="G497" s="8"/>
      <c r="H497" s="8"/>
      <c r="I497" s="8"/>
      <c r="J497" s="8"/>
      <c r="K497" s="8"/>
      <c r="L497" s="8"/>
      <c r="M497" s="8"/>
      <c r="N497" s="8"/>
      <c r="O497" s="8"/>
      <c r="P497" s="8"/>
      <c r="Q497" s="8"/>
    </row>
    <row r="498" spans="1:17" ht="12.75" customHeight="1">
      <c r="A498" s="8"/>
      <c r="B498" s="8"/>
      <c r="C498" s="30"/>
      <c r="D498" s="8"/>
      <c r="E498" s="8"/>
      <c r="F498" s="8"/>
      <c r="G498" s="8"/>
      <c r="H498" s="8"/>
      <c r="I498" s="8"/>
      <c r="J498" s="8"/>
      <c r="K498" s="8"/>
      <c r="L498" s="8"/>
      <c r="M498" s="8"/>
      <c r="N498" s="8"/>
      <c r="O498" s="8"/>
      <c r="P498" s="8"/>
      <c r="Q498" s="8"/>
    </row>
    <row r="499" spans="1:17" ht="12.75" customHeight="1">
      <c r="A499" s="8"/>
      <c r="B499" s="8"/>
      <c r="C499" s="30"/>
      <c r="D499" s="8"/>
      <c r="E499" s="8"/>
      <c r="F499" s="8"/>
      <c r="G499" s="8"/>
      <c r="H499" s="8"/>
      <c r="I499" s="8"/>
      <c r="J499" s="8"/>
      <c r="K499" s="8"/>
      <c r="L499" s="8"/>
      <c r="M499" s="8"/>
      <c r="N499" s="8"/>
      <c r="O499" s="8"/>
      <c r="P499" s="8"/>
      <c r="Q499" s="8"/>
    </row>
    <row r="500" spans="1:17" ht="12.75" customHeight="1">
      <c r="A500" s="8"/>
      <c r="B500" s="8"/>
      <c r="C500" s="30"/>
      <c r="D500" s="8"/>
      <c r="E500" s="8"/>
      <c r="F500" s="8"/>
      <c r="G500" s="8"/>
      <c r="H500" s="8"/>
      <c r="I500" s="8"/>
      <c r="J500" s="8"/>
      <c r="K500" s="8"/>
      <c r="L500" s="8"/>
      <c r="M500" s="8"/>
      <c r="N500" s="8"/>
      <c r="O500" s="8"/>
      <c r="P500" s="8"/>
      <c r="Q500" s="8"/>
    </row>
    <row r="501" spans="1:17" ht="12.75" customHeight="1">
      <c r="A501" s="8"/>
      <c r="B501" s="8"/>
      <c r="C501" s="30"/>
      <c r="D501" s="8"/>
      <c r="E501" s="8"/>
      <c r="F501" s="8"/>
      <c r="G501" s="8"/>
      <c r="H501" s="8"/>
      <c r="I501" s="8"/>
      <c r="J501" s="8"/>
      <c r="K501" s="8"/>
      <c r="L501" s="8"/>
      <c r="M501" s="8"/>
      <c r="N501" s="8"/>
      <c r="O501" s="8"/>
      <c r="P501" s="8"/>
      <c r="Q501" s="8"/>
    </row>
    <row r="502" spans="1:17" ht="12.75" customHeight="1">
      <c r="A502" s="8"/>
      <c r="B502" s="8"/>
      <c r="C502" s="30"/>
      <c r="D502" s="8"/>
      <c r="E502" s="8"/>
      <c r="F502" s="8"/>
      <c r="G502" s="8"/>
      <c r="H502" s="8"/>
      <c r="I502" s="8"/>
      <c r="J502" s="8"/>
      <c r="K502" s="8"/>
      <c r="L502" s="8"/>
      <c r="M502" s="8"/>
      <c r="N502" s="8"/>
      <c r="O502" s="8"/>
      <c r="P502" s="8"/>
      <c r="Q502" s="8"/>
    </row>
    <row r="503" spans="1:17" ht="12.75" customHeight="1">
      <c r="A503" s="8"/>
      <c r="B503" s="8"/>
      <c r="C503" s="30"/>
      <c r="D503" s="8"/>
      <c r="E503" s="8"/>
      <c r="F503" s="8"/>
      <c r="G503" s="8"/>
      <c r="H503" s="8"/>
      <c r="I503" s="8"/>
      <c r="J503" s="8"/>
      <c r="K503" s="8"/>
      <c r="L503" s="8"/>
      <c r="M503" s="8"/>
      <c r="N503" s="8"/>
      <c r="O503" s="8"/>
      <c r="P503" s="8"/>
      <c r="Q503" s="8"/>
    </row>
    <row r="504" spans="1:17" ht="12.75" customHeight="1">
      <c r="A504" s="8"/>
      <c r="B504" s="8"/>
      <c r="C504" s="30"/>
      <c r="D504" s="8"/>
      <c r="E504" s="8"/>
      <c r="F504" s="8"/>
      <c r="G504" s="8"/>
      <c r="H504" s="8"/>
      <c r="I504" s="8"/>
      <c r="J504" s="8"/>
      <c r="K504" s="8"/>
      <c r="L504" s="8"/>
      <c r="M504" s="8"/>
      <c r="N504" s="8"/>
      <c r="O504" s="8"/>
      <c r="P504" s="8"/>
      <c r="Q504" s="8"/>
    </row>
    <row r="505" spans="1:17" ht="12.75" customHeight="1">
      <c r="A505" s="8"/>
      <c r="B505" s="8"/>
      <c r="C505" s="30"/>
      <c r="D505" s="8"/>
      <c r="E505" s="8"/>
      <c r="F505" s="8"/>
      <c r="G505" s="8"/>
      <c r="H505" s="8"/>
      <c r="I505" s="8"/>
      <c r="J505" s="8"/>
      <c r="K505" s="8"/>
      <c r="L505" s="8"/>
      <c r="M505" s="8"/>
      <c r="N505" s="8"/>
      <c r="O505" s="8"/>
      <c r="P505" s="8"/>
      <c r="Q505" s="8"/>
    </row>
    <row r="506" spans="1:17" ht="12.75" customHeight="1">
      <c r="A506" s="8"/>
      <c r="B506" s="8"/>
      <c r="C506" s="30"/>
      <c r="D506" s="8"/>
      <c r="E506" s="8"/>
      <c r="F506" s="8"/>
      <c r="G506" s="8"/>
      <c r="H506" s="8"/>
      <c r="I506" s="8"/>
      <c r="J506" s="8"/>
      <c r="K506" s="8"/>
      <c r="L506" s="8"/>
      <c r="M506" s="8"/>
      <c r="N506" s="8"/>
      <c r="O506" s="8"/>
      <c r="P506" s="8"/>
      <c r="Q506" s="8"/>
    </row>
    <row r="507" spans="1:17" ht="12.75" customHeight="1">
      <c r="A507" s="8"/>
      <c r="B507" s="8"/>
      <c r="C507" s="30"/>
      <c r="D507" s="8"/>
      <c r="E507" s="8"/>
      <c r="F507" s="8"/>
      <c r="G507" s="8"/>
      <c r="H507" s="8"/>
      <c r="I507" s="8"/>
      <c r="J507" s="8"/>
      <c r="K507" s="8"/>
      <c r="L507" s="8"/>
      <c r="M507" s="8"/>
      <c r="N507" s="8"/>
      <c r="O507" s="8"/>
      <c r="P507" s="8"/>
      <c r="Q507" s="8"/>
    </row>
    <row r="508" spans="1:17" ht="12.75" customHeight="1">
      <c r="A508" s="8"/>
      <c r="B508" s="8"/>
      <c r="C508" s="30"/>
      <c r="D508" s="8"/>
      <c r="E508" s="8"/>
      <c r="F508" s="8"/>
      <c r="G508" s="8"/>
      <c r="H508" s="8"/>
      <c r="I508" s="8"/>
      <c r="J508" s="8"/>
      <c r="K508" s="8"/>
      <c r="L508" s="8"/>
      <c r="M508" s="8"/>
      <c r="N508" s="8"/>
      <c r="O508" s="8"/>
      <c r="P508" s="8"/>
      <c r="Q508" s="8"/>
    </row>
    <row r="509" spans="1:17" ht="12.75" customHeight="1">
      <c r="A509" s="8"/>
      <c r="B509" s="8"/>
      <c r="C509" s="30"/>
      <c r="D509" s="8"/>
      <c r="E509" s="8"/>
      <c r="F509" s="8"/>
      <c r="G509" s="8"/>
      <c r="H509" s="8"/>
      <c r="I509" s="8"/>
      <c r="J509" s="8"/>
      <c r="K509" s="8"/>
      <c r="L509" s="8"/>
      <c r="M509" s="8"/>
      <c r="N509" s="8"/>
      <c r="O509" s="8"/>
      <c r="P509" s="8"/>
      <c r="Q509" s="8"/>
    </row>
    <row r="510" spans="1:17" ht="12.75" customHeight="1">
      <c r="A510" s="8"/>
      <c r="B510" s="8"/>
      <c r="C510" s="30"/>
      <c r="D510" s="8"/>
      <c r="E510" s="8"/>
      <c r="F510" s="8"/>
      <c r="G510" s="8"/>
      <c r="H510" s="8"/>
      <c r="I510" s="8"/>
      <c r="J510" s="8"/>
      <c r="K510" s="8"/>
      <c r="L510" s="8"/>
      <c r="M510" s="8"/>
      <c r="N510" s="8"/>
      <c r="O510" s="8"/>
      <c r="P510" s="8"/>
      <c r="Q510" s="8"/>
    </row>
    <row r="511" spans="1:17" ht="12.75" customHeight="1">
      <c r="A511" s="8"/>
      <c r="B511" s="8"/>
      <c r="C511" s="30"/>
      <c r="D511" s="8"/>
      <c r="E511" s="8"/>
      <c r="F511" s="8"/>
      <c r="G511" s="8"/>
      <c r="H511" s="8"/>
      <c r="I511" s="8"/>
      <c r="J511" s="8"/>
      <c r="K511" s="8"/>
      <c r="L511" s="8"/>
      <c r="M511" s="8"/>
      <c r="N511" s="8"/>
      <c r="O511" s="8"/>
      <c r="P511" s="8"/>
      <c r="Q511" s="8"/>
    </row>
    <row r="512" spans="1:17" ht="12.75" customHeight="1">
      <c r="A512" s="8"/>
      <c r="B512" s="8"/>
      <c r="C512" s="30"/>
      <c r="D512" s="8"/>
      <c r="E512" s="8"/>
      <c r="F512" s="8"/>
      <c r="G512" s="8"/>
      <c r="H512" s="8"/>
      <c r="I512" s="8"/>
      <c r="J512" s="8"/>
      <c r="K512" s="8"/>
      <c r="L512" s="8"/>
      <c r="M512" s="8"/>
      <c r="N512" s="8"/>
      <c r="O512" s="8"/>
      <c r="P512" s="8"/>
      <c r="Q512" s="8"/>
    </row>
    <row r="513" spans="1:17" ht="12.75" customHeight="1">
      <c r="A513" s="8"/>
      <c r="B513" s="8"/>
      <c r="C513" s="30"/>
      <c r="D513" s="8"/>
      <c r="E513" s="8"/>
      <c r="F513" s="8"/>
      <c r="G513" s="8"/>
      <c r="H513" s="8"/>
      <c r="I513" s="8"/>
      <c r="J513" s="8"/>
      <c r="K513" s="8"/>
      <c r="L513" s="8"/>
      <c r="M513" s="8"/>
      <c r="N513" s="8"/>
      <c r="O513" s="8"/>
      <c r="P513" s="8"/>
      <c r="Q513" s="8"/>
    </row>
    <row r="514" spans="1:17" ht="12.75" customHeight="1">
      <c r="A514" s="8"/>
      <c r="B514" s="8"/>
      <c r="C514" s="30"/>
      <c r="D514" s="8"/>
      <c r="E514" s="8"/>
      <c r="F514" s="8"/>
      <c r="G514" s="8"/>
      <c r="H514" s="8"/>
      <c r="I514" s="8"/>
      <c r="J514" s="8"/>
      <c r="K514" s="8"/>
      <c r="L514" s="8"/>
      <c r="M514" s="8"/>
      <c r="N514" s="8"/>
      <c r="O514" s="8"/>
      <c r="P514" s="8"/>
      <c r="Q514" s="8"/>
    </row>
    <row r="515" spans="1:17" ht="12.75" customHeight="1">
      <c r="A515" s="8"/>
      <c r="B515" s="8"/>
      <c r="C515" s="30"/>
      <c r="D515" s="8"/>
      <c r="E515" s="8"/>
      <c r="F515" s="8"/>
      <c r="G515" s="8"/>
      <c r="H515" s="8"/>
      <c r="I515" s="8"/>
      <c r="J515" s="8"/>
      <c r="K515" s="8"/>
      <c r="L515" s="8"/>
      <c r="M515" s="8"/>
      <c r="N515" s="8"/>
      <c r="O515" s="8"/>
      <c r="P515" s="8"/>
      <c r="Q515" s="8"/>
    </row>
    <row r="516" spans="1:17" ht="12.75" customHeight="1">
      <c r="A516" s="8"/>
      <c r="B516" s="8"/>
      <c r="C516" s="30"/>
      <c r="D516" s="8"/>
      <c r="E516" s="8"/>
      <c r="F516" s="8"/>
      <c r="G516" s="8"/>
      <c r="H516" s="8"/>
      <c r="I516" s="8"/>
      <c r="J516" s="8"/>
      <c r="K516" s="8"/>
      <c r="L516" s="8"/>
      <c r="M516" s="8"/>
      <c r="N516" s="8"/>
      <c r="O516" s="8"/>
      <c r="P516" s="8"/>
      <c r="Q516" s="8"/>
    </row>
    <row r="517" spans="1:17" ht="12.75" customHeight="1">
      <c r="A517" s="8"/>
      <c r="B517" s="8"/>
      <c r="C517" s="30"/>
      <c r="D517" s="8"/>
      <c r="E517" s="8"/>
      <c r="F517" s="8"/>
      <c r="G517" s="8"/>
      <c r="H517" s="8"/>
      <c r="I517" s="8"/>
      <c r="J517" s="8"/>
      <c r="K517" s="8"/>
      <c r="L517" s="8"/>
      <c r="M517" s="8"/>
      <c r="N517" s="8"/>
      <c r="O517" s="8"/>
      <c r="P517" s="8"/>
      <c r="Q517" s="8"/>
    </row>
    <row r="518" spans="1:17" ht="12.75" customHeight="1">
      <c r="A518" s="8"/>
      <c r="B518" s="8"/>
      <c r="C518" s="30"/>
      <c r="D518" s="8"/>
      <c r="E518" s="8"/>
      <c r="F518" s="8"/>
      <c r="G518" s="8"/>
      <c r="H518" s="8"/>
      <c r="I518" s="8"/>
      <c r="J518" s="8"/>
      <c r="K518" s="8"/>
      <c r="L518" s="8"/>
      <c r="M518" s="8"/>
      <c r="N518" s="8"/>
      <c r="O518" s="8"/>
      <c r="P518" s="8"/>
      <c r="Q518" s="8"/>
    </row>
    <row r="519" spans="1:17" ht="12.75" customHeight="1">
      <c r="A519" s="8"/>
      <c r="B519" s="8"/>
      <c r="C519" s="30"/>
      <c r="D519" s="8"/>
      <c r="E519" s="8"/>
      <c r="F519" s="8"/>
      <c r="G519" s="8"/>
      <c r="H519" s="8"/>
      <c r="I519" s="8"/>
      <c r="J519" s="8"/>
      <c r="K519" s="8"/>
      <c r="L519" s="8"/>
      <c r="M519" s="8"/>
      <c r="N519" s="8"/>
      <c r="O519" s="8"/>
      <c r="P519" s="8"/>
      <c r="Q519" s="8"/>
    </row>
    <row r="520" spans="1:17" ht="12.75" customHeight="1">
      <c r="A520" s="8"/>
      <c r="B520" s="8"/>
      <c r="C520" s="30"/>
      <c r="D520" s="8"/>
      <c r="E520" s="8"/>
      <c r="F520" s="8"/>
      <c r="G520" s="8"/>
      <c r="H520" s="8"/>
      <c r="I520" s="8"/>
      <c r="J520" s="8"/>
      <c r="K520" s="8"/>
      <c r="L520" s="8"/>
      <c r="M520" s="8"/>
      <c r="N520" s="8"/>
      <c r="O520" s="8"/>
      <c r="P520" s="8"/>
      <c r="Q520" s="8"/>
    </row>
    <row r="521" spans="1:17" ht="12.75" customHeight="1">
      <c r="A521" s="8"/>
      <c r="B521" s="8"/>
      <c r="C521" s="30"/>
      <c r="D521" s="8"/>
      <c r="E521" s="8"/>
      <c r="F521" s="8"/>
      <c r="G521" s="8"/>
      <c r="H521" s="8"/>
      <c r="I521" s="8"/>
      <c r="J521" s="8"/>
      <c r="K521" s="8"/>
      <c r="L521" s="8"/>
      <c r="M521" s="8"/>
      <c r="N521" s="8"/>
      <c r="O521" s="8"/>
      <c r="P521" s="8"/>
      <c r="Q521" s="8"/>
    </row>
    <row r="522" spans="1:17" ht="12.75" customHeight="1">
      <c r="A522" s="8"/>
      <c r="B522" s="8"/>
      <c r="C522" s="30"/>
      <c r="D522" s="8"/>
      <c r="E522" s="8"/>
      <c r="F522" s="8"/>
      <c r="G522" s="8"/>
      <c r="H522" s="8"/>
      <c r="I522" s="8"/>
      <c r="J522" s="8"/>
      <c r="K522" s="8"/>
      <c r="L522" s="8"/>
      <c r="M522" s="8"/>
      <c r="N522" s="8"/>
      <c r="O522" s="8"/>
      <c r="P522" s="8"/>
      <c r="Q522" s="8"/>
    </row>
    <row r="523" spans="1:17" ht="12.75" customHeight="1">
      <c r="A523" s="8"/>
      <c r="B523" s="8"/>
      <c r="C523" s="30"/>
      <c r="D523" s="8"/>
      <c r="E523" s="8"/>
      <c r="F523" s="8"/>
      <c r="G523" s="8"/>
      <c r="H523" s="8"/>
      <c r="I523" s="8"/>
      <c r="J523" s="8"/>
      <c r="K523" s="8"/>
      <c r="L523" s="8"/>
      <c r="M523" s="8"/>
      <c r="N523" s="8"/>
      <c r="O523" s="8"/>
      <c r="P523" s="8"/>
      <c r="Q523" s="8"/>
    </row>
    <row r="524" spans="1:17" ht="12.75" customHeight="1">
      <c r="A524" s="8"/>
      <c r="B524" s="8"/>
      <c r="C524" s="30"/>
      <c r="D524" s="8"/>
      <c r="E524" s="8"/>
      <c r="F524" s="8"/>
      <c r="G524" s="8"/>
      <c r="H524" s="8"/>
      <c r="I524" s="8"/>
      <c r="J524" s="8"/>
      <c r="K524" s="8"/>
      <c r="L524" s="8"/>
      <c r="M524" s="8"/>
      <c r="N524" s="8"/>
      <c r="O524" s="8"/>
      <c r="P524" s="8"/>
      <c r="Q524" s="8"/>
    </row>
    <row r="525" spans="1:17" ht="12.75" customHeight="1">
      <c r="A525" s="8"/>
      <c r="B525" s="8"/>
      <c r="C525" s="30"/>
      <c r="D525" s="8"/>
      <c r="E525" s="8"/>
      <c r="F525" s="8"/>
      <c r="G525" s="8"/>
      <c r="H525" s="8"/>
      <c r="I525" s="8"/>
      <c r="J525" s="8"/>
      <c r="K525" s="8"/>
      <c r="L525" s="8"/>
      <c r="M525" s="8"/>
      <c r="N525" s="8"/>
      <c r="O525" s="8"/>
      <c r="P525" s="8"/>
      <c r="Q525" s="8"/>
    </row>
    <row r="526" spans="1:17" ht="12.75" customHeight="1">
      <c r="A526" s="8"/>
      <c r="B526" s="8"/>
      <c r="C526" s="30"/>
      <c r="D526" s="8"/>
      <c r="E526" s="8"/>
      <c r="F526" s="8"/>
      <c r="G526" s="8"/>
      <c r="H526" s="8"/>
      <c r="I526" s="8"/>
      <c r="J526" s="8"/>
      <c r="K526" s="8"/>
      <c r="L526" s="8"/>
      <c r="M526" s="8"/>
      <c r="N526" s="8"/>
      <c r="O526" s="8"/>
      <c r="P526" s="8"/>
      <c r="Q526" s="8"/>
    </row>
    <row r="527" spans="1:17" ht="12.75" customHeight="1">
      <c r="A527" s="8"/>
      <c r="B527" s="8"/>
      <c r="C527" s="30"/>
      <c r="D527" s="8"/>
      <c r="E527" s="8"/>
      <c r="F527" s="8"/>
      <c r="G527" s="8"/>
      <c r="H527" s="8"/>
      <c r="I527" s="8"/>
      <c r="J527" s="8"/>
      <c r="K527" s="8"/>
      <c r="L527" s="8"/>
      <c r="M527" s="8"/>
      <c r="N527" s="8"/>
      <c r="O527" s="8"/>
      <c r="P527" s="8"/>
      <c r="Q527" s="8"/>
    </row>
    <row r="528" spans="1:17" ht="12.75" customHeight="1">
      <c r="A528" s="8"/>
      <c r="B528" s="8"/>
      <c r="C528" s="30"/>
      <c r="D528" s="8"/>
      <c r="E528" s="8"/>
      <c r="F528" s="8"/>
      <c r="G528" s="8"/>
      <c r="H528" s="8"/>
      <c r="I528" s="8"/>
      <c r="J528" s="8"/>
      <c r="K528" s="8"/>
      <c r="L528" s="8"/>
      <c r="M528" s="8"/>
      <c r="N528" s="8"/>
      <c r="O528" s="8"/>
      <c r="P528" s="8"/>
      <c r="Q528" s="8"/>
    </row>
    <row r="529" spans="1:17" ht="12.75" customHeight="1">
      <c r="A529" s="8"/>
      <c r="B529" s="8"/>
      <c r="C529" s="30"/>
      <c r="D529" s="8"/>
      <c r="E529" s="8"/>
      <c r="F529" s="8"/>
      <c r="G529" s="8"/>
      <c r="H529" s="8"/>
      <c r="I529" s="8"/>
      <c r="J529" s="8"/>
      <c r="K529" s="8"/>
      <c r="L529" s="8"/>
      <c r="M529" s="8"/>
      <c r="N529" s="8"/>
      <c r="O529" s="8"/>
      <c r="P529" s="8"/>
      <c r="Q529" s="8"/>
    </row>
    <row r="530" spans="1:17" ht="12.75" customHeight="1">
      <c r="A530" s="8"/>
      <c r="B530" s="8"/>
      <c r="C530" s="30"/>
      <c r="D530" s="8"/>
      <c r="E530" s="8"/>
      <c r="F530" s="8"/>
      <c r="G530" s="8"/>
      <c r="H530" s="8"/>
      <c r="I530" s="8"/>
      <c r="J530" s="8"/>
      <c r="K530" s="8"/>
      <c r="L530" s="8"/>
      <c r="M530" s="8"/>
      <c r="N530" s="8"/>
      <c r="O530" s="8"/>
      <c r="P530" s="8"/>
      <c r="Q530" s="8"/>
    </row>
    <row r="531" spans="1:17" ht="12.75" customHeight="1">
      <c r="A531" s="8"/>
      <c r="B531" s="8"/>
      <c r="C531" s="30"/>
      <c r="D531" s="8"/>
      <c r="E531" s="8"/>
      <c r="F531" s="8"/>
      <c r="G531" s="8"/>
      <c r="H531" s="8"/>
      <c r="I531" s="8"/>
      <c r="J531" s="8"/>
      <c r="K531" s="8"/>
      <c r="L531" s="8"/>
      <c r="M531" s="8"/>
      <c r="N531" s="8"/>
      <c r="O531" s="8"/>
      <c r="P531" s="8"/>
      <c r="Q531" s="8"/>
    </row>
    <row r="532" spans="1:17" ht="12.75" customHeight="1">
      <c r="A532" s="8"/>
      <c r="B532" s="8"/>
      <c r="C532" s="30"/>
      <c r="D532" s="8"/>
      <c r="E532" s="8"/>
      <c r="F532" s="8"/>
      <c r="G532" s="8"/>
      <c r="H532" s="8"/>
      <c r="I532" s="8"/>
      <c r="J532" s="8"/>
      <c r="K532" s="8"/>
      <c r="L532" s="8"/>
      <c r="M532" s="8"/>
      <c r="N532" s="8"/>
      <c r="O532" s="8"/>
      <c r="P532" s="8"/>
      <c r="Q532" s="8"/>
    </row>
    <row r="533" spans="1:17" ht="12.75" customHeight="1">
      <c r="A533" s="8"/>
      <c r="B533" s="8"/>
      <c r="C533" s="30"/>
      <c r="D533" s="8"/>
      <c r="E533" s="8"/>
      <c r="F533" s="8"/>
      <c r="G533" s="8"/>
      <c r="H533" s="8"/>
      <c r="I533" s="8"/>
      <c r="J533" s="8"/>
      <c r="K533" s="8"/>
      <c r="L533" s="8"/>
      <c r="M533" s="8"/>
      <c r="N533" s="8"/>
      <c r="O533" s="8"/>
      <c r="P533" s="8"/>
      <c r="Q533" s="8"/>
    </row>
    <row r="534" spans="1:17" ht="12.75" customHeight="1">
      <c r="A534" s="8"/>
      <c r="B534" s="8"/>
      <c r="C534" s="30"/>
      <c r="D534" s="8"/>
      <c r="E534" s="8"/>
      <c r="F534" s="8"/>
      <c r="G534" s="8"/>
      <c r="H534" s="8"/>
      <c r="I534" s="8"/>
      <c r="J534" s="8"/>
      <c r="K534" s="8"/>
      <c r="L534" s="8"/>
      <c r="M534" s="8"/>
      <c r="N534" s="8"/>
      <c r="O534" s="8"/>
      <c r="P534" s="8"/>
      <c r="Q534" s="8"/>
    </row>
    <row r="535" spans="1:17" ht="12.75" customHeight="1">
      <c r="A535" s="8"/>
      <c r="B535" s="8"/>
      <c r="C535" s="30"/>
      <c r="D535" s="8"/>
      <c r="E535" s="8"/>
      <c r="F535" s="8"/>
      <c r="G535" s="8"/>
      <c r="H535" s="8"/>
      <c r="I535" s="8"/>
      <c r="J535" s="8"/>
      <c r="K535" s="8"/>
      <c r="L535" s="8"/>
      <c r="M535" s="8"/>
      <c r="N535" s="8"/>
      <c r="O535" s="8"/>
      <c r="P535" s="8"/>
      <c r="Q535" s="8"/>
    </row>
    <row r="536" spans="1:17" ht="12.75" customHeight="1">
      <c r="A536" s="8"/>
      <c r="B536" s="8"/>
      <c r="C536" s="30"/>
      <c r="D536" s="8"/>
      <c r="E536" s="8"/>
      <c r="F536" s="8"/>
      <c r="G536" s="8"/>
      <c r="H536" s="8"/>
      <c r="I536" s="8"/>
      <c r="J536" s="8"/>
      <c r="K536" s="8"/>
      <c r="L536" s="8"/>
      <c r="M536" s="8"/>
      <c r="N536" s="8"/>
      <c r="O536" s="8"/>
      <c r="P536" s="8"/>
      <c r="Q536" s="8"/>
    </row>
    <row r="537" spans="1:17" ht="12.75" customHeight="1">
      <c r="A537" s="8"/>
      <c r="B537" s="8"/>
      <c r="C537" s="30"/>
      <c r="D537" s="8"/>
      <c r="E537" s="8"/>
      <c r="F537" s="8"/>
      <c r="G537" s="8"/>
      <c r="H537" s="8"/>
      <c r="I537" s="8"/>
      <c r="J537" s="8"/>
      <c r="K537" s="8"/>
      <c r="L537" s="8"/>
      <c r="M537" s="8"/>
      <c r="N537" s="8"/>
      <c r="O537" s="8"/>
      <c r="P537" s="8"/>
      <c r="Q537" s="8"/>
    </row>
    <row r="538" spans="1:17" ht="12.75" customHeight="1">
      <c r="A538" s="8"/>
      <c r="B538" s="8"/>
      <c r="C538" s="30"/>
      <c r="D538" s="8"/>
      <c r="E538" s="8"/>
      <c r="F538" s="8"/>
      <c r="G538" s="8"/>
      <c r="H538" s="8"/>
      <c r="I538" s="8"/>
      <c r="J538" s="8"/>
      <c r="K538" s="8"/>
      <c r="L538" s="8"/>
      <c r="M538" s="8"/>
      <c r="N538" s="8"/>
      <c r="O538" s="8"/>
      <c r="P538" s="8"/>
      <c r="Q538" s="8"/>
    </row>
    <row r="539" spans="1:17" ht="12.75" customHeight="1">
      <c r="A539" s="8"/>
      <c r="B539" s="8"/>
      <c r="C539" s="30"/>
      <c r="D539" s="8"/>
      <c r="E539" s="8"/>
      <c r="F539" s="8"/>
      <c r="G539" s="8"/>
      <c r="H539" s="8"/>
      <c r="I539" s="8"/>
      <c r="J539" s="8"/>
      <c r="K539" s="8"/>
      <c r="L539" s="8"/>
      <c r="M539" s="8"/>
      <c r="N539" s="8"/>
      <c r="O539" s="8"/>
      <c r="P539" s="8"/>
      <c r="Q539" s="8"/>
    </row>
    <row r="540" spans="1:17" ht="12.75" customHeight="1">
      <c r="A540" s="8"/>
      <c r="B540" s="8"/>
      <c r="C540" s="30"/>
      <c r="D540" s="8"/>
      <c r="E540" s="8"/>
      <c r="F540" s="8"/>
      <c r="G540" s="8"/>
      <c r="H540" s="8"/>
      <c r="I540" s="8"/>
      <c r="J540" s="8"/>
      <c r="K540" s="8"/>
      <c r="L540" s="8"/>
      <c r="M540" s="8"/>
      <c r="N540" s="8"/>
      <c r="O540" s="8"/>
      <c r="P540" s="8"/>
      <c r="Q540" s="8"/>
    </row>
    <row r="541" spans="1:17" ht="12.75" customHeight="1">
      <c r="A541" s="8"/>
      <c r="B541" s="8"/>
      <c r="C541" s="30"/>
      <c r="D541" s="8"/>
      <c r="E541" s="8"/>
      <c r="F541" s="8"/>
      <c r="G541" s="8"/>
      <c r="H541" s="8"/>
      <c r="I541" s="8"/>
      <c r="J541" s="8"/>
      <c r="K541" s="8"/>
      <c r="L541" s="8"/>
      <c r="M541" s="8"/>
      <c r="N541" s="8"/>
      <c r="O541" s="8"/>
      <c r="P541" s="8"/>
      <c r="Q541" s="8"/>
    </row>
    <row r="542" spans="1:17" ht="12.75" customHeight="1">
      <c r="A542" s="8"/>
      <c r="B542" s="8"/>
      <c r="C542" s="30"/>
      <c r="D542" s="8"/>
      <c r="E542" s="8"/>
      <c r="F542" s="8"/>
      <c r="G542" s="8"/>
      <c r="H542" s="8"/>
      <c r="I542" s="8"/>
      <c r="J542" s="8"/>
      <c r="K542" s="8"/>
      <c r="L542" s="8"/>
      <c r="M542" s="8"/>
      <c r="N542" s="8"/>
      <c r="O542" s="8"/>
      <c r="P542" s="8"/>
      <c r="Q542" s="8"/>
    </row>
    <row r="543" spans="1:17" ht="12.75" customHeight="1">
      <c r="A543" s="8"/>
      <c r="B543" s="8"/>
      <c r="C543" s="30"/>
      <c r="D543" s="8"/>
      <c r="E543" s="8"/>
      <c r="F543" s="8"/>
      <c r="G543" s="8"/>
      <c r="H543" s="8"/>
      <c r="I543" s="8"/>
      <c r="J543" s="8"/>
      <c r="K543" s="8"/>
      <c r="L543" s="8"/>
      <c r="M543" s="8"/>
      <c r="N543" s="8"/>
      <c r="O543" s="8"/>
      <c r="P543" s="8"/>
      <c r="Q543" s="8"/>
    </row>
    <row r="544" spans="1:17" ht="12.75" customHeight="1">
      <c r="A544" s="8"/>
      <c r="B544" s="8"/>
      <c r="C544" s="30"/>
      <c r="D544" s="8"/>
      <c r="E544" s="8"/>
      <c r="F544" s="8"/>
      <c r="G544" s="8"/>
      <c r="H544" s="8"/>
      <c r="I544" s="8"/>
      <c r="J544" s="8"/>
      <c r="K544" s="8"/>
      <c r="L544" s="8"/>
      <c r="M544" s="8"/>
      <c r="N544" s="8"/>
      <c r="O544" s="8"/>
      <c r="P544" s="8"/>
      <c r="Q544" s="8"/>
    </row>
    <row r="545" spans="1:17" ht="12.75" customHeight="1">
      <c r="A545" s="8"/>
      <c r="B545" s="8"/>
      <c r="C545" s="30"/>
      <c r="D545" s="8"/>
      <c r="E545" s="8"/>
      <c r="F545" s="8"/>
      <c r="G545" s="8"/>
      <c r="H545" s="8"/>
      <c r="I545" s="8"/>
      <c r="J545" s="8"/>
      <c r="K545" s="8"/>
      <c r="L545" s="8"/>
      <c r="M545" s="8"/>
      <c r="N545" s="8"/>
      <c r="O545" s="8"/>
      <c r="P545" s="8"/>
      <c r="Q545" s="8"/>
    </row>
    <row r="546" spans="1:17" ht="12.75" customHeight="1">
      <c r="A546" s="8"/>
      <c r="B546" s="8"/>
      <c r="C546" s="30"/>
      <c r="D546" s="8"/>
      <c r="E546" s="8"/>
      <c r="F546" s="8"/>
      <c r="G546" s="8"/>
      <c r="H546" s="8"/>
      <c r="I546" s="8"/>
      <c r="J546" s="8"/>
      <c r="K546" s="8"/>
      <c r="L546" s="8"/>
      <c r="M546" s="8"/>
      <c r="N546" s="8"/>
      <c r="O546" s="8"/>
      <c r="P546" s="8"/>
      <c r="Q546" s="8"/>
    </row>
    <row r="547" spans="1:17" ht="12.75" customHeight="1">
      <c r="A547" s="8"/>
      <c r="B547" s="8"/>
      <c r="C547" s="30"/>
      <c r="D547" s="8"/>
      <c r="E547" s="8"/>
      <c r="F547" s="8"/>
      <c r="G547" s="8"/>
      <c r="H547" s="8"/>
      <c r="I547" s="8"/>
      <c r="J547" s="8"/>
      <c r="K547" s="8"/>
      <c r="L547" s="8"/>
      <c r="M547" s="8"/>
      <c r="N547" s="8"/>
      <c r="O547" s="8"/>
      <c r="P547" s="8"/>
      <c r="Q547" s="8"/>
    </row>
    <row r="548" spans="1:17" ht="12.75" customHeight="1">
      <c r="A548" s="8"/>
      <c r="B548" s="8"/>
      <c r="C548" s="30"/>
      <c r="D548" s="8"/>
      <c r="E548" s="8"/>
      <c r="F548" s="8"/>
      <c r="G548" s="8"/>
      <c r="H548" s="8"/>
      <c r="I548" s="8"/>
      <c r="J548" s="8"/>
      <c r="K548" s="8"/>
      <c r="L548" s="8"/>
      <c r="M548" s="8"/>
      <c r="N548" s="8"/>
      <c r="O548" s="8"/>
      <c r="P548" s="8"/>
      <c r="Q548" s="8"/>
    </row>
    <row r="549" spans="1:17" ht="12.75" customHeight="1">
      <c r="A549" s="8"/>
      <c r="B549" s="8"/>
      <c r="C549" s="30"/>
      <c r="D549" s="8"/>
      <c r="E549" s="8"/>
      <c r="F549" s="8"/>
      <c r="G549" s="8"/>
      <c r="H549" s="8"/>
      <c r="I549" s="8"/>
      <c r="J549" s="8"/>
      <c r="K549" s="8"/>
      <c r="L549" s="8"/>
      <c r="M549" s="8"/>
      <c r="N549" s="8"/>
      <c r="O549" s="8"/>
      <c r="P549" s="8"/>
      <c r="Q549" s="8"/>
    </row>
    <row r="550" spans="1:17" ht="12.75" customHeight="1">
      <c r="A550" s="8"/>
      <c r="B550" s="8"/>
      <c r="C550" s="30"/>
      <c r="D550" s="8"/>
      <c r="E550" s="8"/>
      <c r="F550" s="8"/>
      <c r="G550" s="8"/>
      <c r="H550" s="8"/>
      <c r="I550" s="8"/>
      <c r="J550" s="8"/>
      <c r="K550" s="8"/>
      <c r="L550" s="8"/>
      <c r="M550" s="8"/>
      <c r="N550" s="8"/>
      <c r="O550" s="8"/>
      <c r="P550" s="8"/>
      <c r="Q550" s="8"/>
    </row>
    <row r="551" spans="1:17" ht="12.75" customHeight="1">
      <c r="A551" s="8"/>
      <c r="B551" s="8"/>
      <c r="C551" s="30"/>
      <c r="D551" s="8"/>
      <c r="E551" s="8"/>
      <c r="F551" s="8"/>
      <c r="G551" s="8"/>
      <c r="H551" s="8"/>
      <c r="I551" s="8"/>
      <c r="J551" s="8"/>
      <c r="K551" s="8"/>
      <c r="L551" s="8"/>
      <c r="M551" s="8"/>
      <c r="N551" s="8"/>
      <c r="O551" s="8"/>
      <c r="P551" s="8"/>
      <c r="Q551" s="8"/>
    </row>
    <row r="552" spans="1:17" ht="12.75" customHeight="1">
      <c r="A552" s="8"/>
      <c r="B552" s="8"/>
      <c r="C552" s="30"/>
      <c r="D552" s="8"/>
      <c r="E552" s="8"/>
      <c r="F552" s="8"/>
      <c r="G552" s="8"/>
      <c r="H552" s="8"/>
      <c r="I552" s="8"/>
      <c r="J552" s="8"/>
      <c r="K552" s="8"/>
      <c r="L552" s="8"/>
      <c r="M552" s="8"/>
      <c r="N552" s="8"/>
      <c r="O552" s="8"/>
      <c r="P552" s="8"/>
      <c r="Q552" s="8"/>
    </row>
    <row r="553" spans="1:17" ht="12.75" customHeight="1">
      <c r="A553" s="8"/>
      <c r="B553" s="8"/>
      <c r="C553" s="30"/>
      <c r="D553" s="8"/>
      <c r="E553" s="8"/>
      <c r="F553" s="8"/>
      <c r="G553" s="8"/>
      <c r="H553" s="8"/>
      <c r="I553" s="8"/>
      <c r="J553" s="8"/>
      <c r="K553" s="8"/>
      <c r="L553" s="8"/>
      <c r="M553" s="8"/>
      <c r="N553" s="8"/>
      <c r="O553" s="8"/>
      <c r="P553" s="8"/>
      <c r="Q553" s="8"/>
    </row>
    <row r="554" spans="1:17" ht="12.75" customHeight="1">
      <c r="A554" s="8"/>
      <c r="B554" s="8"/>
      <c r="C554" s="30"/>
      <c r="D554" s="8"/>
      <c r="E554" s="8"/>
      <c r="F554" s="8"/>
      <c r="G554" s="8"/>
      <c r="H554" s="8"/>
      <c r="I554" s="8"/>
      <c r="J554" s="8"/>
      <c r="K554" s="8"/>
      <c r="L554" s="8"/>
      <c r="M554" s="8"/>
      <c r="N554" s="8"/>
      <c r="O554" s="8"/>
      <c r="P554" s="8"/>
      <c r="Q554" s="8"/>
    </row>
    <row r="555" spans="1:17" ht="12.75" customHeight="1">
      <c r="A555" s="8"/>
      <c r="B555" s="8"/>
      <c r="C555" s="30"/>
      <c r="D555" s="8"/>
      <c r="E555" s="8"/>
      <c r="F555" s="8"/>
      <c r="G555" s="8"/>
      <c r="H555" s="8"/>
      <c r="I555" s="8"/>
      <c r="J555" s="8"/>
      <c r="K555" s="8"/>
      <c r="L555" s="8"/>
      <c r="M555" s="8"/>
      <c r="N555" s="8"/>
      <c r="O555" s="8"/>
      <c r="P555" s="8"/>
      <c r="Q555" s="8"/>
    </row>
    <row r="556" spans="1:17" ht="12.75" customHeight="1">
      <c r="A556" s="8"/>
      <c r="B556" s="8"/>
      <c r="C556" s="30"/>
      <c r="D556" s="8"/>
      <c r="E556" s="8"/>
      <c r="F556" s="8"/>
      <c r="G556" s="8"/>
      <c r="H556" s="8"/>
      <c r="I556" s="8"/>
      <c r="J556" s="8"/>
      <c r="K556" s="8"/>
      <c r="L556" s="8"/>
      <c r="M556" s="8"/>
      <c r="N556" s="8"/>
      <c r="O556" s="8"/>
      <c r="P556" s="8"/>
      <c r="Q556" s="8"/>
    </row>
    <row r="557" spans="1:17" ht="12.75" customHeight="1">
      <c r="A557" s="8"/>
      <c r="B557" s="8"/>
      <c r="C557" s="30"/>
      <c r="D557" s="8"/>
      <c r="E557" s="8"/>
      <c r="F557" s="8"/>
      <c r="G557" s="8"/>
      <c r="H557" s="8"/>
      <c r="I557" s="8"/>
      <c r="J557" s="8"/>
      <c r="K557" s="8"/>
      <c r="L557" s="8"/>
      <c r="M557" s="8"/>
      <c r="N557" s="8"/>
      <c r="O557" s="8"/>
      <c r="P557" s="8"/>
      <c r="Q557" s="8"/>
    </row>
    <row r="558" spans="1:17" ht="12.75" customHeight="1">
      <c r="A558" s="8"/>
      <c r="B558" s="8"/>
      <c r="C558" s="30"/>
      <c r="D558" s="8"/>
      <c r="E558" s="8"/>
      <c r="F558" s="8"/>
      <c r="G558" s="8"/>
      <c r="H558" s="8"/>
      <c r="I558" s="8"/>
      <c r="J558" s="8"/>
      <c r="K558" s="8"/>
      <c r="L558" s="8"/>
      <c r="M558" s="8"/>
      <c r="N558" s="8"/>
      <c r="O558" s="8"/>
      <c r="P558" s="8"/>
      <c r="Q558" s="8"/>
    </row>
    <row r="559" spans="1:17" ht="12.75" customHeight="1">
      <c r="A559" s="8"/>
      <c r="B559" s="8"/>
      <c r="C559" s="30"/>
      <c r="D559" s="8"/>
      <c r="E559" s="8"/>
      <c r="F559" s="8"/>
      <c r="G559" s="8"/>
      <c r="H559" s="8"/>
      <c r="I559" s="8"/>
      <c r="J559" s="8"/>
      <c r="K559" s="8"/>
      <c r="L559" s="8"/>
      <c r="M559" s="8"/>
      <c r="N559" s="8"/>
      <c r="O559" s="8"/>
      <c r="P559" s="8"/>
      <c r="Q559" s="8"/>
    </row>
    <row r="560" spans="1:17" ht="12.75" customHeight="1">
      <c r="A560" s="8"/>
      <c r="B560" s="8"/>
      <c r="C560" s="30"/>
      <c r="D560" s="8"/>
      <c r="E560" s="8"/>
      <c r="F560" s="8"/>
      <c r="G560" s="8"/>
      <c r="H560" s="8"/>
      <c r="I560" s="8"/>
      <c r="J560" s="8"/>
      <c r="K560" s="8"/>
      <c r="L560" s="8"/>
      <c r="M560" s="8"/>
      <c r="N560" s="8"/>
      <c r="O560" s="8"/>
      <c r="P560" s="8"/>
      <c r="Q560" s="8"/>
    </row>
    <row r="561" spans="1:17" ht="12.75" customHeight="1">
      <c r="A561" s="8"/>
      <c r="B561" s="8"/>
      <c r="C561" s="30"/>
      <c r="D561" s="8"/>
      <c r="E561" s="8"/>
      <c r="F561" s="8"/>
      <c r="G561" s="8"/>
      <c r="H561" s="8"/>
      <c r="I561" s="8"/>
      <c r="J561" s="8"/>
      <c r="K561" s="8"/>
      <c r="L561" s="8"/>
      <c r="M561" s="8"/>
      <c r="N561" s="8"/>
      <c r="O561" s="8"/>
      <c r="P561" s="8"/>
      <c r="Q561" s="8"/>
    </row>
    <row r="562" spans="1:17" ht="12.75" customHeight="1">
      <c r="A562" s="8"/>
      <c r="B562" s="8"/>
      <c r="C562" s="30"/>
      <c r="D562" s="8"/>
      <c r="E562" s="8"/>
      <c r="F562" s="8"/>
      <c r="G562" s="8"/>
      <c r="H562" s="8"/>
      <c r="I562" s="8"/>
      <c r="J562" s="8"/>
      <c r="K562" s="8"/>
      <c r="L562" s="8"/>
      <c r="M562" s="8"/>
      <c r="N562" s="8"/>
      <c r="O562" s="8"/>
      <c r="P562" s="8"/>
      <c r="Q562" s="8"/>
    </row>
    <row r="563" spans="1:17" ht="12.75" customHeight="1">
      <c r="A563" s="8"/>
      <c r="B563" s="8"/>
      <c r="C563" s="30"/>
      <c r="D563" s="8"/>
      <c r="E563" s="8"/>
      <c r="F563" s="8"/>
      <c r="G563" s="8"/>
      <c r="H563" s="8"/>
      <c r="I563" s="8"/>
      <c r="J563" s="8"/>
      <c r="K563" s="8"/>
      <c r="L563" s="8"/>
      <c r="M563" s="8"/>
      <c r="N563" s="8"/>
      <c r="O563" s="8"/>
      <c r="P563" s="8"/>
      <c r="Q563" s="8"/>
    </row>
    <row r="564" spans="1:17" ht="12.75" customHeight="1">
      <c r="A564" s="8"/>
      <c r="B564" s="8"/>
      <c r="C564" s="30"/>
      <c r="D564" s="8"/>
      <c r="E564" s="8"/>
      <c r="F564" s="8"/>
      <c r="G564" s="8"/>
      <c r="H564" s="8"/>
      <c r="I564" s="8"/>
      <c r="J564" s="8"/>
      <c r="K564" s="8"/>
      <c r="L564" s="8"/>
      <c r="M564" s="8"/>
      <c r="N564" s="8"/>
      <c r="O564" s="8"/>
      <c r="P564" s="8"/>
      <c r="Q564" s="8"/>
    </row>
    <row r="565" spans="1:17" ht="12.75" customHeight="1">
      <c r="A565" s="8"/>
      <c r="B565" s="8"/>
      <c r="C565" s="30"/>
      <c r="D565" s="8"/>
      <c r="E565" s="8"/>
      <c r="F565" s="8"/>
      <c r="G565" s="8"/>
      <c r="H565" s="8"/>
      <c r="I565" s="8"/>
      <c r="J565" s="8"/>
      <c r="K565" s="8"/>
      <c r="L565" s="8"/>
      <c r="M565" s="8"/>
      <c r="N565" s="8"/>
      <c r="O565" s="8"/>
      <c r="P565" s="8"/>
      <c r="Q565" s="8"/>
    </row>
    <row r="566" spans="1:17" ht="12.75" customHeight="1">
      <c r="A566" s="8"/>
      <c r="B566" s="8"/>
      <c r="C566" s="30"/>
      <c r="D566" s="8"/>
      <c r="E566" s="8"/>
      <c r="F566" s="8"/>
      <c r="G566" s="8"/>
      <c r="H566" s="8"/>
      <c r="I566" s="8"/>
      <c r="J566" s="8"/>
      <c r="K566" s="8"/>
      <c r="L566" s="8"/>
      <c r="M566" s="8"/>
      <c r="N566" s="8"/>
      <c r="O566" s="8"/>
      <c r="P566" s="8"/>
      <c r="Q566" s="8"/>
    </row>
    <row r="567" spans="1:17" ht="12.75" customHeight="1">
      <c r="A567" s="8"/>
      <c r="B567" s="8"/>
      <c r="C567" s="30"/>
      <c r="D567" s="8"/>
      <c r="E567" s="8"/>
      <c r="F567" s="8"/>
      <c r="G567" s="8"/>
      <c r="H567" s="8"/>
      <c r="I567" s="8"/>
      <c r="J567" s="8"/>
      <c r="K567" s="8"/>
      <c r="L567" s="8"/>
      <c r="M567" s="8"/>
      <c r="N567" s="8"/>
      <c r="O567" s="8"/>
      <c r="P567" s="8"/>
      <c r="Q567" s="8"/>
    </row>
    <row r="568" spans="1:17" ht="12.75" customHeight="1">
      <c r="A568" s="8"/>
      <c r="B568" s="8"/>
      <c r="C568" s="30"/>
      <c r="D568" s="8"/>
      <c r="E568" s="8"/>
      <c r="F568" s="8"/>
      <c r="G568" s="8"/>
      <c r="H568" s="8"/>
      <c r="I568" s="8"/>
      <c r="J568" s="8"/>
      <c r="K568" s="8"/>
      <c r="L568" s="8"/>
      <c r="M568" s="8"/>
      <c r="N568" s="8"/>
      <c r="O568" s="8"/>
      <c r="P568" s="8"/>
      <c r="Q568" s="8"/>
    </row>
    <row r="569" spans="1:17" ht="12.75" customHeight="1">
      <c r="A569" s="8"/>
      <c r="B569" s="8"/>
      <c r="C569" s="30"/>
      <c r="D569" s="8"/>
      <c r="E569" s="8"/>
      <c r="F569" s="8"/>
      <c r="G569" s="8"/>
      <c r="H569" s="8"/>
      <c r="I569" s="8"/>
      <c r="J569" s="8"/>
      <c r="K569" s="8"/>
      <c r="L569" s="8"/>
      <c r="M569" s="8"/>
      <c r="N569" s="8"/>
      <c r="O569" s="8"/>
      <c r="P569" s="8"/>
      <c r="Q569" s="8"/>
    </row>
    <row r="570" spans="1:17" ht="12.75" customHeight="1">
      <c r="A570" s="8"/>
      <c r="B570" s="8"/>
      <c r="C570" s="30"/>
      <c r="D570" s="8"/>
      <c r="E570" s="8"/>
      <c r="F570" s="8"/>
      <c r="G570" s="8"/>
      <c r="H570" s="8"/>
      <c r="I570" s="8"/>
      <c r="J570" s="8"/>
      <c r="K570" s="8"/>
      <c r="L570" s="8"/>
      <c r="M570" s="8"/>
      <c r="N570" s="8"/>
      <c r="O570" s="8"/>
      <c r="P570" s="8"/>
      <c r="Q570" s="8"/>
    </row>
    <row r="571" spans="1:17" ht="12.75" customHeight="1">
      <c r="A571" s="8"/>
      <c r="B571" s="8"/>
      <c r="C571" s="30"/>
      <c r="D571" s="8"/>
      <c r="E571" s="8"/>
      <c r="F571" s="8"/>
      <c r="G571" s="8"/>
      <c r="H571" s="8"/>
      <c r="I571" s="8"/>
      <c r="J571" s="8"/>
      <c r="K571" s="8"/>
      <c r="L571" s="8"/>
      <c r="M571" s="8"/>
      <c r="N571" s="8"/>
      <c r="O571" s="8"/>
      <c r="P571" s="8"/>
      <c r="Q571" s="8"/>
    </row>
    <row r="572" spans="1:17" ht="12.75" customHeight="1">
      <c r="A572" s="8"/>
      <c r="B572" s="8"/>
      <c r="C572" s="30"/>
      <c r="D572" s="8"/>
      <c r="E572" s="8"/>
      <c r="F572" s="8"/>
      <c r="G572" s="8"/>
      <c r="H572" s="8"/>
      <c r="I572" s="8"/>
      <c r="J572" s="8"/>
      <c r="K572" s="8"/>
      <c r="L572" s="8"/>
      <c r="M572" s="8"/>
      <c r="N572" s="8"/>
      <c r="O572" s="8"/>
      <c r="P572" s="8"/>
      <c r="Q572" s="8"/>
    </row>
    <row r="573" spans="1:17" ht="12.75" customHeight="1">
      <c r="A573" s="8"/>
      <c r="B573" s="8"/>
      <c r="C573" s="30"/>
      <c r="D573" s="8"/>
      <c r="E573" s="8"/>
      <c r="F573" s="8"/>
      <c r="G573" s="8"/>
      <c r="H573" s="8"/>
      <c r="I573" s="8"/>
      <c r="J573" s="8"/>
      <c r="K573" s="8"/>
      <c r="L573" s="8"/>
      <c r="M573" s="8"/>
      <c r="N573" s="8"/>
      <c r="O573" s="8"/>
      <c r="P573" s="8"/>
      <c r="Q573" s="8"/>
    </row>
    <row r="574" spans="1:17" ht="12.75" customHeight="1">
      <c r="A574" s="8"/>
      <c r="B574" s="8"/>
      <c r="C574" s="30"/>
      <c r="D574" s="8"/>
      <c r="E574" s="8"/>
      <c r="F574" s="8"/>
      <c r="G574" s="8"/>
      <c r="H574" s="8"/>
      <c r="I574" s="8"/>
      <c r="J574" s="8"/>
      <c r="K574" s="8"/>
      <c r="L574" s="8"/>
      <c r="M574" s="8"/>
      <c r="N574" s="8"/>
      <c r="O574" s="8"/>
      <c r="P574" s="8"/>
      <c r="Q574" s="8"/>
    </row>
    <row r="575" spans="1:17" ht="12.75" customHeight="1">
      <c r="A575" s="8"/>
      <c r="B575" s="8"/>
      <c r="C575" s="30"/>
      <c r="D575" s="8"/>
      <c r="E575" s="8"/>
      <c r="F575" s="8"/>
      <c r="G575" s="8"/>
      <c r="H575" s="8"/>
      <c r="I575" s="8"/>
      <c r="J575" s="8"/>
      <c r="K575" s="8"/>
      <c r="L575" s="8"/>
      <c r="M575" s="8"/>
      <c r="N575" s="8"/>
      <c r="O575" s="8"/>
      <c r="P575" s="8"/>
      <c r="Q575" s="8"/>
    </row>
    <row r="576" spans="1:17" ht="12.75" customHeight="1">
      <c r="A576" s="8"/>
      <c r="B576" s="8"/>
      <c r="C576" s="30"/>
      <c r="D576" s="8"/>
      <c r="E576" s="8"/>
      <c r="F576" s="8"/>
      <c r="G576" s="8"/>
      <c r="H576" s="8"/>
      <c r="I576" s="8"/>
      <c r="J576" s="8"/>
      <c r="K576" s="8"/>
      <c r="L576" s="8"/>
      <c r="M576" s="8"/>
      <c r="N576" s="8"/>
      <c r="O576" s="8"/>
      <c r="P576" s="8"/>
      <c r="Q576" s="8"/>
    </row>
    <row r="577" spans="1:17" ht="12.75" customHeight="1">
      <c r="A577" s="8"/>
      <c r="B577" s="8"/>
      <c r="C577" s="30"/>
      <c r="D577" s="8"/>
      <c r="E577" s="8"/>
      <c r="F577" s="8"/>
      <c r="G577" s="8"/>
      <c r="H577" s="8"/>
      <c r="I577" s="8"/>
      <c r="J577" s="8"/>
      <c r="K577" s="8"/>
      <c r="L577" s="8"/>
      <c r="M577" s="8"/>
      <c r="N577" s="8"/>
      <c r="O577" s="8"/>
      <c r="P577" s="8"/>
      <c r="Q577" s="8"/>
    </row>
    <row r="578" spans="1:17" ht="12.75" customHeight="1">
      <c r="A578" s="8"/>
      <c r="B578" s="8"/>
      <c r="C578" s="30"/>
      <c r="D578" s="8"/>
      <c r="E578" s="8"/>
      <c r="F578" s="8"/>
      <c r="G578" s="8"/>
      <c r="H578" s="8"/>
      <c r="I578" s="8"/>
      <c r="J578" s="8"/>
      <c r="K578" s="8"/>
      <c r="L578" s="8"/>
      <c r="M578" s="8"/>
      <c r="N578" s="8"/>
      <c r="O578" s="8"/>
      <c r="P578" s="8"/>
      <c r="Q578" s="8"/>
    </row>
    <row r="579" spans="1:17" ht="12.75" customHeight="1">
      <c r="A579" s="8"/>
      <c r="B579" s="8"/>
      <c r="C579" s="30"/>
      <c r="D579" s="8"/>
      <c r="E579" s="8"/>
      <c r="F579" s="8"/>
      <c r="G579" s="8"/>
      <c r="H579" s="8"/>
      <c r="I579" s="8"/>
      <c r="J579" s="8"/>
      <c r="K579" s="8"/>
      <c r="L579" s="8"/>
      <c r="M579" s="8"/>
      <c r="N579" s="8"/>
      <c r="O579" s="8"/>
      <c r="P579" s="8"/>
      <c r="Q579" s="8"/>
    </row>
    <row r="580" spans="1:17" ht="12.75" customHeight="1">
      <c r="A580" s="8"/>
      <c r="B580" s="8"/>
      <c r="C580" s="30"/>
      <c r="D580" s="8"/>
      <c r="E580" s="8"/>
      <c r="F580" s="8"/>
      <c r="G580" s="8"/>
      <c r="H580" s="8"/>
      <c r="I580" s="8"/>
      <c r="J580" s="8"/>
      <c r="K580" s="8"/>
      <c r="L580" s="8"/>
      <c r="M580" s="8"/>
      <c r="N580" s="8"/>
      <c r="O580" s="8"/>
      <c r="P580" s="8"/>
      <c r="Q580" s="8"/>
    </row>
    <row r="581" spans="1:17" ht="12.75" customHeight="1">
      <c r="A581" s="8"/>
      <c r="B581" s="8"/>
      <c r="C581" s="30"/>
      <c r="D581" s="8"/>
      <c r="E581" s="8"/>
      <c r="F581" s="8"/>
      <c r="G581" s="8"/>
      <c r="H581" s="8"/>
      <c r="I581" s="8"/>
      <c r="J581" s="8"/>
      <c r="K581" s="8"/>
      <c r="L581" s="8"/>
      <c r="M581" s="8"/>
      <c r="N581" s="8"/>
      <c r="O581" s="8"/>
      <c r="P581" s="8"/>
      <c r="Q581" s="8"/>
    </row>
    <row r="582" spans="1:17" ht="12.75" customHeight="1">
      <c r="A582" s="8"/>
      <c r="B582" s="8"/>
      <c r="C582" s="30"/>
      <c r="D582" s="8"/>
      <c r="E582" s="8"/>
      <c r="F582" s="8"/>
      <c r="G582" s="8"/>
      <c r="H582" s="8"/>
      <c r="I582" s="8"/>
      <c r="J582" s="8"/>
      <c r="K582" s="8"/>
      <c r="L582" s="8"/>
      <c r="M582" s="8"/>
      <c r="N582" s="8"/>
      <c r="O582" s="8"/>
      <c r="P582" s="8"/>
      <c r="Q582" s="8"/>
    </row>
    <row r="583" spans="1:17" ht="12.75" customHeight="1">
      <c r="A583" s="8"/>
      <c r="B583" s="8"/>
      <c r="C583" s="30"/>
      <c r="D583" s="8"/>
      <c r="E583" s="8"/>
      <c r="F583" s="8"/>
      <c r="G583" s="8"/>
      <c r="H583" s="8"/>
      <c r="I583" s="8"/>
      <c r="J583" s="8"/>
      <c r="K583" s="8"/>
      <c r="L583" s="8"/>
      <c r="M583" s="8"/>
      <c r="N583" s="8"/>
      <c r="O583" s="8"/>
      <c r="P583" s="8"/>
      <c r="Q583" s="8"/>
    </row>
    <row r="584" spans="1:17" ht="12.75" customHeight="1">
      <c r="A584" s="8"/>
      <c r="B584" s="8"/>
      <c r="C584" s="30"/>
      <c r="D584" s="8"/>
      <c r="E584" s="8"/>
      <c r="F584" s="8"/>
      <c r="G584" s="8"/>
      <c r="H584" s="8"/>
      <c r="I584" s="8"/>
      <c r="J584" s="8"/>
      <c r="K584" s="8"/>
      <c r="L584" s="8"/>
      <c r="M584" s="8"/>
      <c r="N584" s="8"/>
      <c r="O584" s="8"/>
      <c r="P584" s="8"/>
      <c r="Q584" s="8"/>
    </row>
    <row r="585" spans="1:17" ht="12.75" customHeight="1">
      <c r="A585" s="8"/>
      <c r="B585" s="8"/>
      <c r="C585" s="30"/>
      <c r="D585" s="8"/>
      <c r="E585" s="8"/>
      <c r="F585" s="8"/>
      <c r="G585" s="8"/>
      <c r="H585" s="8"/>
      <c r="I585" s="8"/>
      <c r="J585" s="8"/>
      <c r="K585" s="8"/>
      <c r="L585" s="8"/>
      <c r="M585" s="8"/>
      <c r="N585" s="8"/>
      <c r="O585" s="8"/>
      <c r="P585" s="8"/>
      <c r="Q585" s="8"/>
    </row>
    <row r="586" spans="1:17" ht="12.75" customHeight="1">
      <c r="A586" s="8"/>
      <c r="B586" s="8"/>
      <c r="C586" s="30"/>
      <c r="D586" s="8"/>
      <c r="E586" s="8"/>
      <c r="F586" s="8"/>
      <c r="G586" s="8"/>
      <c r="H586" s="8"/>
      <c r="I586" s="8"/>
      <c r="J586" s="8"/>
      <c r="K586" s="8"/>
      <c r="L586" s="8"/>
      <c r="M586" s="8"/>
      <c r="N586" s="8"/>
      <c r="O586" s="8"/>
      <c r="P586" s="8"/>
      <c r="Q586" s="8"/>
    </row>
    <row r="587" spans="1:17" ht="12.75" customHeight="1">
      <c r="A587" s="8"/>
      <c r="B587" s="8"/>
      <c r="C587" s="30"/>
      <c r="D587" s="8"/>
      <c r="E587" s="8"/>
      <c r="F587" s="8"/>
      <c r="G587" s="8"/>
      <c r="H587" s="8"/>
      <c r="I587" s="8"/>
      <c r="J587" s="8"/>
      <c r="K587" s="8"/>
      <c r="L587" s="8"/>
      <c r="M587" s="8"/>
      <c r="N587" s="8"/>
      <c r="O587" s="8"/>
      <c r="P587" s="8"/>
      <c r="Q587" s="8"/>
    </row>
    <row r="588" spans="1:17" ht="12.75" customHeight="1">
      <c r="A588" s="8"/>
      <c r="B588" s="8"/>
      <c r="C588" s="30"/>
      <c r="D588" s="8"/>
      <c r="E588" s="8"/>
      <c r="F588" s="8"/>
      <c r="G588" s="8"/>
      <c r="H588" s="8"/>
      <c r="I588" s="8"/>
      <c r="J588" s="8"/>
      <c r="K588" s="8"/>
      <c r="L588" s="8"/>
      <c r="M588" s="8"/>
      <c r="N588" s="8"/>
      <c r="O588" s="8"/>
      <c r="P588" s="8"/>
      <c r="Q588" s="8"/>
    </row>
    <row r="589" spans="1:17" ht="12.75" customHeight="1">
      <c r="A589" s="8"/>
      <c r="B589" s="8"/>
      <c r="C589" s="30"/>
      <c r="D589" s="8"/>
      <c r="E589" s="8"/>
      <c r="F589" s="8"/>
      <c r="G589" s="8"/>
      <c r="H589" s="8"/>
      <c r="I589" s="8"/>
      <c r="J589" s="8"/>
      <c r="K589" s="8"/>
      <c r="L589" s="8"/>
      <c r="M589" s="8"/>
      <c r="N589" s="8"/>
      <c r="O589" s="8"/>
      <c r="P589" s="8"/>
      <c r="Q589" s="8"/>
    </row>
    <row r="590" spans="1:17" ht="12.75" customHeight="1">
      <c r="A590" s="8"/>
      <c r="B590" s="8"/>
      <c r="C590" s="30"/>
      <c r="D590" s="8"/>
      <c r="E590" s="8"/>
      <c r="F590" s="8"/>
      <c r="G590" s="8"/>
      <c r="H590" s="8"/>
      <c r="I590" s="8"/>
      <c r="J590" s="8"/>
      <c r="K590" s="8"/>
      <c r="L590" s="8"/>
      <c r="M590" s="8"/>
      <c r="N590" s="8"/>
      <c r="O590" s="8"/>
      <c r="P590" s="8"/>
      <c r="Q590" s="8"/>
    </row>
    <row r="591" spans="1:17" ht="12.75" customHeight="1">
      <c r="A591" s="8"/>
      <c r="B591" s="8"/>
      <c r="C591" s="30"/>
      <c r="D591" s="8"/>
      <c r="E591" s="8"/>
      <c r="F591" s="8"/>
      <c r="G591" s="8"/>
      <c r="H591" s="8"/>
      <c r="I591" s="8"/>
      <c r="J591" s="8"/>
      <c r="K591" s="8"/>
      <c r="L591" s="8"/>
      <c r="M591" s="8"/>
      <c r="N591" s="8"/>
      <c r="O591" s="8"/>
      <c r="P591" s="8"/>
      <c r="Q591" s="8"/>
    </row>
    <row r="592" spans="1:17" ht="12.75" customHeight="1">
      <c r="A592" s="8"/>
      <c r="B592" s="8"/>
      <c r="C592" s="30"/>
      <c r="D592" s="8"/>
      <c r="E592" s="8"/>
      <c r="F592" s="8"/>
      <c r="G592" s="8"/>
      <c r="H592" s="8"/>
      <c r="I592" s="8"/>
      <c r="J592" s="8"/>
      <c r="K592" s="8"/>
      <c r="L592" s="8"/>
      <c r="M592" s="8"/>
      <c r="N592" s="8"/>
      <c r="O592" s="8"/>
      <c r="P592" s="8"/>
      <c r="Q592" s="8"/>
    </row>
    <row r="593" spans="1:17" ht="12.75" customHeight="1">
      <c r="A593" s="8"/>
      <c r="B593" s="8"/>
      <c r="C593" s="30"/>
      <c r="D593" s="8"/>
      <c r="E593" s="8"/>
      <c r="F593" s="8"/>
      <c r="G593" s="8"/>
      <c r="H593" s="8"/>
      <c r="I593" s="8"/>
      <c r="J593" s="8"/>
      <c r="K593" s="8"/>
      <c r="L593" s="8"/>
      <c r="M593" s="8"/>
      <c r="N593" s="8"/>
      <c r="O593" s="8"/>
      <c r="P593" s="8"/>
      <c r="Q593" s="8"/>
    </row>
    <row r="594" spans="1:17" ht="12.75" customHeight="1">
      <c r="A594" s="8"/>
      <c r="B594" s="8"/>
      <c r="C594" s="30"/>
      <c r="D594" s="8"/>
      <c r="E594" s="8"/>
      <c r="F594" s="8"/>
      <c r="G594" s="8"/>
      <c r="H594" s="8"/>
      <c r="I594" s="8"/>
      <c r="J594" s="8"/>
      <c r="K594" s="8"/>
      <c r="L594" s="8"/>
      <c r="M594" s="8"/>
      <c r="N594" s="8"/>
      <c r="O594" s="8"/>
      <c r="P594" s="8"/>
      <c r="Q594" s="8"/>
    </row>
    <row r="595" spans="1:17" ht="12.75" customHeight="1">
      <c r="A595" s="8"/>
      <c r="B595" s="8"/>
      <c r="C595" s="30"/>
      <c r="D595" s="8"/>
      <c r="E595" s="8"/>
      <c r="F595" s="8"/>
      <c r="G595" s="8"/>
      <c r="H595" s="8"/>
      <c r="I595" s="8"/>
      <c r="J595" s="8"/>
      <c r="K595" s="8"/>
      <c r="L595" s="8"/>
      <c r="M595" s="8"/>
      <c r="N595" s="8"/>
      <c r="O595" s="8"/>
      <c r="P595" s="8"/>
      <c r="Q595" s="8"/>
    </row>
    <row r="596" spans="1:17" ht="12.75" customHeight="1">
      <c r="A596" s="8"/>
      <c r="B596" s="8"/>
      <c r="C596" s="30"/>
      <c r="D596" s="8"/>
      <c r="E596" s="8"/>
      <c r="F596" s="8"/>
      <c r="G596" s="8"/>
      <c r="H596" s="8"/>
      <c r="I596" s="8"/>
      <c r="J596" s="8"/>
      <c r="K596" s="8"/>
      <c r="L596" s="8"/>
      <c r="M596" s="8"/>
      <c r="N596" s="8"/>
      <c r="O596" s="8"/>
      <c r="P596" s="8"/>
      <c r="Q596" s="8"/>
    </row>
    <row r="597" spans="1:17" ht="12.75" customHeight="1">
      <c r="A597" s="8"/>
      <c r="B597" s="8"/>
      <c r="C597" s="30"/>
      <c r="D597" s="8"/>
      <c r="E597" s="8"/>
      <c r="F597" s="8"/>
      <c r="G597" s="8"/>
      <c r="H597" s="8"/>
      <c r="I597" s="8"/>
      <c r="J597" s="8"/>
      <c r="K597" s="8"/>
      <c r="L597" s="8"/>
      <c r="M597" s="8"/>
      <c r="N597" s="8"/>
      <c r="O597" s="8"/>
      <c r="P597" s="8"/>
      <c r="Q597" s="8"/>
    </row>
    <row r="598" spans="1:17" ht="12.75" customHeight="1">
      <c r="A598" s="8"/>
      <c r="B598" s="8"/>
      <c r="C598" s="30"/>
      <c r="D598" s="8"/>
      <c r="E598" s="8"/>
      <c r="F598" s="8"/>
      <c r="G598" s="8"/>
      <c r="H598" s="8"/>
      <c r="I598" s="8"/>
      <c r="J598" s="8"/>
      <c r="K598" s="8"/>
      <c r="L598" s="8"/>
      <c r="M598" s="8"/>
      <c r="N598" s="8"/>
      <c r="O598" s="8"/>
      <c r="P598" s="8"/>
      <c r="Q598" s="8"/>
    </row>
    <row r="599" spans="1:17" ht="12.75" customHeight="1">
      <c r="A599" s="8"/>
      <c r="B599" s="8"/>
      <c r="C599" s="30"/>
      <c r="D599" s="8"/>
      <c r="E599" s="8"/>
      <c r="F599" s="8"/>
      <c r="G599" s="8"/>
      <c r="H599" s="8"/>
      <c r="I599" s="8"/>
      <c r="J599" s="8"/>
      <c r="K599" s="8"/>
      <c r="L599" s="8"/>
      <c r="M599" s="8"/>
      <c r="N599" s="8"/>
      <c r="O599" s="8"/>
      <c r="P599" s="8"/>
      <c r="Q599" s="8"/>
    </row>
    <row r="600" spans="1:17" ht="12.75" customHeight="1">
      <c r="A600" s="8"/>
      <c r="B600" s="8"/>
      <c r="C600" s="30"/>
      <c r="D600" s="8"/>
      <c r="E600" s="8"/>
      <c r="F600" s="8"/>
      <c r="G600" s="8"/>
      <c r="H600" s="8"/>
      <c r="I600" s="8"/>
      <c r="J600" s="8"/>
      <c r="K600" s="8"/>
      <c r="L600" s="8"/>
      <c r="M600" s="8"/>
      <c r="N600" s="8"/>
      <c r="O600" s="8"/>
      <c r="P600" s="8"/>
      <c r="Q600" s="8"/>
    </row>
    <row r="601" spans="1:17" ht="12.75" customHeight="1">
      <c r="A601" s="8"/>
      <c r="B601" s="8"/>
      <c r="C601" s="30"/>
      <c r="D601" s="8"/>
      <c r="E601" s="8"/>
      <c r="F601" s="8"/>
      <c r="G601" s="8"/>
      <c r="H601" s="8"/>
      <c r="I601" s="8"/>
      <c r="J601" s="8"/>
      <c r="K601" s="8"/>
      <c r="L601" s="8"/>
      <c r="M601" s="8"/>
      <c r="N601" s="8"/>
      <c r="O601" s="8"/>
      <c r="P601" s="8"/>
      <c r="Q601" s="8"/>
    </row>
    <row r="602" spans="1:17" ht="12.75" customHeight="1">
      <c r="A602" s="8"/>
      <c r="B602" s="8"/>
      <c r="C602" s="30"/>
      <c r="D602" s="8"/>
      <c r="E602" s="8"/>
      <c r="F602" s="8"/>
      <c r="G602" s="8"/>
      <c r="H602" s="8"/>
      <c r="I602" s="8"/>
      <c r="J602" s="8"/>
      <c r="K602" s="8"/>
      <c r="L602" s="8"/>
      <c r="M602" s="8"/>
      <c r="N602" s="8"/>
      <c r="O602" s="8"/>
      <c r="P602" s="8"/>
      <c r="Q602" s="8"/>
    </row>
    <row r="603" spans="1:17" ht="12.75" customHeight="1">
      <c r="A603" s="8"/>
      <c r="B603" s="8"/>
      <c r="C603" s="30"/>
      <c r="D603" s="8"/>
      <c r="E603" s="8"/>
      <c r="F603" s="8"/>
      <c r="G603" s="8"/>
      <c r="H603" s="8"/>
      <c r="I603" s="8"/>
      <c r="J603" s="8"/>
      <c r="K603" s="8"/>
      <c r="L603" s="8"/>
      <c r="M603" s="8"/>
      <c r="N603" s="8"/>
      <c r="O603" s="8"/>
      <c r="P603" s="8"/>
      <c r="Q603" s="8"/>
    </row>
    <row r="604" spans="1:17" ht="12.75" customHeight="1">
      <c r="A604" s="8"/>
      <c r="B604" s="8"/>
      <c r="C604" s="30"/>
      <c r="D604" s="8"/>
      <c r="E604" s="8"/>
      <c r="F604" s="8"/>
      <c r="G604" s="8"/>
      <c r="H604" s="8"/>
      <c r="I604" s="8"/>
      <c r="J604" s="8"/>
      <c r="K604" s="8"/>
      <c r="L604" s="8"/>
      <c r="M604" s="8"/>
      <c r="N604" s="8"/>
      <c r="O604" s="8"/>
      <c r="P604" s="8"/>
      <c r="Q604" s="8"/>
    </row>
    <row r="605" spans="1:17" ht="12.75" customHeight="1">
      <c r="A605" s="8"/>
      <c r="B605" s="8"/>
      <c r="C605" s="30"/>
      <c r="D605" s="8"/>
      <c r="E605" s="8"/>
      <c r="F605" s="8"/>
      <c r="G605" s="8"/>
      <c r="H605" s="8"/>
      <c r="I605" s="8"/>
      <c r="J605" s="8"/>
      <c r="K605" s="8"/>
      <c r="L605" s="8"/>
      <c r="M605" s="8"/>
      <c r="N605" s="8"/>
      <c r="O605" s="8"/>
      <c r="P605" s="8"/>
      <c r="Q605" s="8"/>
    </row>
    <row r="606" spans="1:17" ht="12.75" customHeight="1">
      <c r="A606" s="8"/>
      <c r="B606" s="8"/>
      <c r="C606" s="30"/>
      <c r="D606" s="8"/>
      <c r="E606" s="8"/>
      <c r="F606" s="8"/>
      <c r="G606" s="8"/>
      <c r="H606" s="8"/>
      <c r="I606" s="8"/>
      <c r="J606" s="8"/>
      <c r="K606" s="8"/>
      <c r="L606" s="8"/>
      <c r="M606" s="8"/>
      <c r="N606" s="8"/>
      <c r="O606" s="8"/>
      <c r="P606" s="8"/>
      <c r="Q606" s="8"/>
    </row>
    <row r="607" spans="1:17" ht="12.75" customHeight="1">
      <c r="A607" s="8"/>
      <c r="B607" s="8"/>
      <c r="C607" s="30"/>
      <c r="D607" s="8"/>
      <c r="E607" s="8"/>
      <c r="F607" s="8"/>
      <c r="G607" s="8"/>
      <c r="H607" s="8"/>
      <c r="I607" s="8"/>
      <c r="J607" s="8"/>
      <c r="K607" s="8"/>
      <c r="L607" s="8"/>
      <c r="M607" s="8"/>
      <c r="N607" s="8"/>
      <c r="O607" s="8"/>
      <c r="P607" s="8"/>
      <c r="Q607" s="8"/>
    </row>
    <row r="608" spans="1:17" ht="12.75" customHeight="1">
      <c r="A608" s="8"/>
      <c r="B608" s="8"/>
      <c r="C608" s="30"/>
      <c r="D608" s="8"/>
      <c r="E608" s="8"/>
      <c r="F608" s="8"/>
      <c r="G608" s="8"/>
      <c r="H608" s="8"/>
      <c r="I608" s="8"/>
      <c r="J608" s="8"/>
      <c r="K608" s="8"/>
      <c r="L608" s="8"/>
      <c r="M608" s="8"/>
      <c r="N608" s="8"/>
      <c r="O608" s="8"/>
      <c r="P608" s="8"/>
      <c r="Q608" s="8"/>
    </row>
    <row r="609" spans="1:17" ht="12.75" customHeight="1">
      <c r="A609" s="8"/>
      <c r="B609" s="8"/>
      <c r="C609" s="30"/>
      <c r="D609" s="8"/>
      <c r="E609" s="8"/>
      <c r="F609" s="8"/>
      <c r="G609" s="8"/>
      <c r="H609" s="8"/>
      <c r="I609" s="8"/>
      <c r="J609" s="8"/>
      <c r="K609" s="8"/>
      <c r="L609" s="8"/>
      <c r="M609" s="8"/>
      <c r="N609" s="8"/>
      <c r="O609" s="8"/>
      <c r="P609" s="8"/>
      <c r="Q609" s="8"/>
    </row>
    <row r="610" spans="1:17" ht="12.75" customHeight="1">
      <c r="A610" s="8"/>
      <c r="B610" s="8"/>
      <c r="C610" s="30"/>
      <c r="D610" s="8"/>
      <c r="E610" s="8"/>
      <c r="F610" s="8"/>
      <c r="G610" s="8"/>
      <c r="H610" s="8"/>
      <c r="I610" s="8"/>
      <c r="J610" s="8"/>
      <c r="K610" s="8"/>
      <c r="L610" s="8"/>
      <c r="M610" s="8"/>
      <c r="N610" s="8"/>
      <c r="O610" s="8"/>
      <c r="P610" s="8"/>
      <c r="Q610" s="8"/>
    </row>
    <row r="611" spans="1:17" ht="12.75" customHeight="1">
      <c r="A611" s="8"/>
      <c r="B611" s="8"/>
      <c r="C611" s="30"/>
      <c r="D611" s="8"/>
      <c r="E611" s="8"/>
      <c r="F611" s="8"/>
      <c r="G611" s="8"/>
      <c r="H611" s="8"/>
      <c r="I611" s="8"/>
      <c r="J611" s="8"/>
      <c r="K611" s="8"/>
      <c r="L611" s="8"/>
      <c r="M611" s="8"/>
      <c r="N611" s="8"/>
      <c r="O611" s="8"/>
      <c r="P611" s="8"/>
      <c r="Q611" s="8"/>
    </row>
    <row r="612" spans="1:17" ht="12.75" customHeight="1">
      <c r="A612" s="8"/>
      <c r="B612" s="8"/>
      <c r="C612" s="30"/>
      <c r="D612" s="8"/>
      <c r="E612" s="8"/>
      <c r="F612" s="8"/>
      <c r="G612" s="8"/>
      <c r="H612" s="8"/>
      <c r="I612" s="8"/>
      <c r="J612" s="8"/>
      <c r="K612" s="8"/>
      <c r="L612" s="8"/>
      <c r="M612" s="8"/>
      <c r="N612" s="8"/>
      <c r="O612" s="8"/>
      <c r="P612" s="8"/>
      <c r="Q612" s="8"/>
    </row>
    <row r="613" spans="1:17" ht="12.75" customHeight="1">
      <c r="A613" s="8"/>
      <c r="B613" s="8"/>
      <c r="C613" s="30"/>
      <c r="D613" s="8"/>
      <c r="E613" s="8"/>
      <c r="F613" s="8"/>
      <c r="G613" s="8"/>
      <c r="H613" s="8"/>
      <c r="I613" s="8"/>
      <c r="J613" s="8"/>
      <c r="K613" s="8"/>
      <c r="L613" s="8"/>
      <c r="M613" s="8"/>
      <c r="N613" s="8"/>
      <c r="O613" s="8"/>
      <c r="P613" s="8"/>
      <c r="Q613" s="8"/>
    </row>
    <row r="614" spans="1:17" ht="12.75" customHeight="1">
      <c r="A614" s="8"/>
      <c r="B614" s="8"/>
      <c r="C614" s="30"/>
      <c r="D614" s="8"/>
      <c r="E614" s="8"/>
      <c r="F614" s="8"/>
      <c r="G614" s="8"/>
      <c r="H614" s="8"/>
      <c r="I614" s="8"/>
      <c r="J614" s="8"/>
      <c r="K614" s="8"/>
      <c r="L614" s="8"/>
      <c r="M614" s="8"/>
      <c r="N614" s="8"/>
      <c r="O614" s="8"/>
      <c r="P614" s="8"/>
      <c r="Q614" s="8"/>
    </row>
    <row r="615" spans="1:17" ht="12.75" customHeight="1">
      <c r="A615" s="8"/>
      <c r="B615" s="8"/>
      <c r="C615" s="30"/>
      <c r="D615" s="8"/>
      <c r="E615" s="8"/>
      <c r="F615" s="8"/>
      <c r="G615" s="8"/>
      <c r="H615" s="8"/>
      <c r="I615" s="8"/>
      <c r="J615" s="8"/>
      <c r="K615" s="8"/>
      <c r="L615" s="8"/>
      <c r="M615" s="8"/>
      <c r="N615" s="8"/>
      <c r="O615" s="8"/>
      <c r="P615" s="8"/>
      <c r="Q615" s="8"/>
    </row>
    <row r="616" spans="1:17" ht="12.75" customHeight="1">
      <c r="A616" s="8"/>
      <c r="B616" s="8"/>
      <c r="C616" s="30"/>
      <c r="D616" s="8"/>
      <c r="E616" s="8"/>
      <c r="F616" s="8"/>
      <c r="G616" s="8"/>
      <c r="H616" s="8"/>
      <c r="I616" s="8"/>
      <c r="J616" s="8"/>
      <c r="K616" s="8"/>
      <c r="L616" s="8"/>
      <c r="M616" s="8"/>
      <c r="N616" s="8"/>
      <c r="O616" s="8"/>
      <c r="P616" s="8"/>
      <c r="Q616" s="8"/>
    </row>
    <row r="617" spans="1:17" ht="12.75" customHeight="1">
      <c r="A617" s="8"/>
      <c r="B617" s="8"/>
      <c r="C617" s="30"/>
      <c r="D617" s="8"/>
      <c r="E617" s="8"/>
      <c r="F617" s="8"/>
      <c r="G617" s="8"/>
      <c r="H617" s="8"/>
      <c r="I617" s="8"/>
      <c r="J617" s="8"/>
      <c r="K617" s="8"/>
      <c r="L617" s="8"/>
      <c r="M617" s="8"/>
      <c r="N617" s="8"/>
      <c r="O617" s="8"/>
      <c r="P617" s="8"/>
      <c r="Q617" s="8"/>
    </row>
    <row r="618" spans="1:17" ht="12.75" customHeight="1">
      <c r="A618" s="8"/>
      <c r="B618" s="8"/>
      <c r="C618" s="30"/>
      <c r="D618" s="8"/>
      <c r="E618" s="8"/>
      <c r="F618" s="8"/>
      <c r="G618" s="8"/>
      <c r="H618" s="8"/>
      <c r="I618" s="8"/>
      <c r="J618" s="8"/>
      <c r="K618" s="8"/>
      <c r="L618" s="8"/>
      <c r="M618" s="8"/>
      <c r="N618" s="8"/>
      <c r="O618" s="8"/>
      <c r="P618" s="8"/>
      <c r="Q618" s="8"/>
    </row>
    <row r="619" spans="1:17" ht="12.75" customHeight="1">
      <c r="A619" s="8"/>
      <c r="B619" s="8"/>
      <c r="C619" s="30"/>
      <c r="D619" s="8"/>
      <c r="E619" s="8"/>
      <c r="F619" s="8"/>
      <c r="G619" s="8"/>
      <c r="H619" s="8"/>
      <c r="I619" s="8"/>
      <c r="J619" s="8"/>
      <c r="K619" s="8"/>
      <c r="L619" s="8"/>
      <c r="M619" s="8"/>
      <c r="N619" s="8"/>
      <c r="O619" s="8"/>
      <c r="P619" s="8"/>
      <c r="Q619" s="8"/>
    </row>
    <row r="620" spans="1:17" ht="12.75" customHeight="1">
      <c r="A620" s="8"/>
      <c r="B620" s="8"/>
      <c r="C620" s="30"/>
      <c r="D620" s="8"/>
      <c r="E620" s="8"/>
      <c r="F620" s="8"/>
      <c r="G620" s="8"/>
      <c r="H620" s="8"/>
      <c r="I620" s="8"/>
      <c r="J620" s="8"/>
      <c r="K620" s="8"/>
      <c r="L620" s="8"/>
      <c r="M620" s="8"/>
      <c r="N620" s="8"/>
      <c r="O620" s="8"/>
      <c r="P620" s="8"/>
      <c r="Q620" s="8"/>
    </row>
    <row r="621" spans="1:17" ht="12.75" customHeight="1">
      <c r="A621" s="8"/>
      <c r="B621" s="8"/>
      <c r="C621" s="30"/>
      <c r="D621" s="8"/>
      <c r="E621" s="8"/>
      <c r="F621" s="8"/>
      <c r="G621" s="8"/>
      <c r="H621" s="8"/>
      <c r="I621" s="8"/>
      <c r="J621" s="8"/>
      <c r="K621" s="8"/>
      <c r="L621" s="8"/>
      <c r="M621" s="8"/>
      <c r="N621" s="8"/>
      <c r="O621" s="8"/>
      <c r="P621" s="8"/>
      <c r="Q621" s="8"/>
    </row>
    <row r="622" spans="1:17" ht="12.75" customHeight="1">
      <c r="A622" s="8"/>
      <c r="B622" s="8"/>
      <c r="C622" s="30"/>
      <c r="D622" s="8"/>
      <c r="E622" s="8"/>
      <c r="F622" s="8"/>
      <c r="G622" s="8"/>
      <c r="H622" s="8"/>
      <c r="I622" s="8"/>
      <c r="J622" s="8"/>
      <c r="K622" s="8"/>
      <c r="L622" s="8"/>
      <c r="M622" s="8"/>
      <c r="N622" s="8"/>
      <c r="O622" s="8"/>
      <c r="P622" s="8"/>
      <c r="Q622" s="8"/>
    </row>
    <row r="623" spans="1:17" ht="12.75" customHeight="1">
      <c r="A623" s="8"/>
      <c r="B623" s="8"/>
      <c r="C623" s="30"/>
      <c r="D623" s="8"/>
      <c r="E623" s="8"/>
      <c r="F623" s="8"/>
      <c r="G623" s="8"/>
      <c r="H623" s="8"/>
      <c r="I623" s="8"/>
      <c r="J623" s="8"/>
      <c r="K623" s="8"/>
      <c r="L623" s="8"/>
      <c r="M623" s="8"/>
      <c r="N623" s="8"/>
      <c r="O623" s="8"/>
      <c r="P623" s="8"/>
      <c r="Q623" s="8"/>
    </row>
    <row r="624" spans="1:17" ht="12.75" customHeight="1">
      <c r="A624" s="8"/>
      <c r="B624" s="8"/>
      <c r="C624" s="30"/>
      <c r="D624" s="8"/>
      <c r="E624" s="8"/>
      <c r="F624" s="8"/>
      <c r="G624" s="8"/>
      <c r="H624" s="8"/>
      <c r="I624" s="8"/>
      <c r="J624" s="8"/>
      <c r="K624" s="8"/>
      <c r="L624" s="8"/>
      <c r="M624" s="8"/>
      <c r="N624" s="8"/>
      <c r="O624" s="8"/>
      <c r="P624" s="8"/>
      <c r="Q624" s="8"/>
    </row>
    <row r="625" spans="1:17" ht="12.75" customHeight="1">
      <c r="A625" s="8"/>
      <c r="B625" s="8"/>
      <c r="C625" s="30"/>
      <c r="D625" s="8"/>
      <c r="E625" s="8"/>
      <c r="F625" s="8"/>
      <c r="G625" s="8"/>
      <c r="H625" s="8"/>
      <c r="I625" s="8"/>
      <c r="J625" s="8"/>
      <c r="K625" s="8"/>
      <c r="L625" s="8"/>
      <c r="M625" s="8"/>
      <c r="N625" s="8"/>
      <c r="O625" s="8"/>
      <c r="P625" s="8"/>
      <c r="Q625" s="8"/>
    </row>
    <row r="626" spans="1:17" ht="12.75" customHeight="1">
      <c r="A626" s="8"/>
      <c r="B626" s="8"/>
      <c r="C626" s="30"/>
      <c r="D626" s="8"/>
      <c r="E626" s="8"/>
      <c r="F626" s="8"/>
      <c r="G626" s="8"/>
      <c r="H626" s="8"/>
      <c r="I626" s="8"/>
      <c r="J626" s="8"/>
      <c r="K626" s="8"/>
      <c r="L626" s="8"/>
      <c r="M626" s="8"/>
      <c r="N626" s="8"/>
      <c r="O626" s="8"/>
      <c r="P626" s="8"/>
      <c r="Q626" s="8"/>
    </row>
    <row r="627" spans="1:17" ht="12.75" customHeight="1">
      <c r="A627" s="8"/>
      <c r="B627" s="8"/>
      <c r="C627" s="30"/>
      <c r="D627" s="8"/>
      <c r="E627" s="8"/>
      <c r="F627" s="8"/>
      <c r="G627" s="8"/>
      <c r="H627" s="8"/>
      <c r="I627" s="8"/>
      <c r="J627" s="8"/>
      <c r="K627" s="8"/>
      <c r="L627" s="8"/>
      <c r="M627" s="8"/>
      <c r="N627" s="8"/>
      <c r="O627" s="8"/>
      <c r="P627" s="8"/>
      <c r="Q627" s="8"/>
    </row>
    <row r="628" spans="1:17" ht="12.75" customHeight="1">
      <c r="A628" s="8"/>
      <c r="B628" s="8"/>
      <c r="C628" s="30"/>
      <c r="D628" s="8"/>
      <c r="E628" s="8"/>
      <c r="F628" s="8"/>
      <c r="G628" s="8"/>
      <c r="H628" s="8"/>
      <c r="I628" s="8"/>
      <c r="J628" s="8"/>
      <c r="K628" s="8"/>
      <c r="L628" s="8"/>
      <c r="M628" s="8"/>
      <c r="N628" s="8"/>
      <c r="O628" s="8"/>
      <c r="P628" s="8"/>
      <c r="Q628" s="8"/>
    </row>
    <row r="629" spans="1:17" ht="12.75" customHeight="1">
      <c r="A629" s="8"/>
      <c r="B629" s="8"/>
      <c r="C629" s="30"/>
      <c r="D629" s="8"/>
      <c r="E629" s="8"/>
      <c r="F629" s="8"/>
      <c r="G629" s="8"/>
      <c r="H629" s="8"/>
      <c r="I629" s="8"/>
      <c r="J629" s="8"/>
      <c r="K629" s="8"/>
      <c r="L629" s="8"/>
      <c r="M629" s="8"/>
      <c r="N629" s="8"/>
      <c r="O629" s="8"/>
      <c r="P629" s="8"/>
      <c r="Q629" s="8"/>
    </row>
    <row r="630" spans="1:17" ht="12.75" customHeight="1">
      <c r="A630" s="8"/>
      <c r="B630" s="8"/>
      <c r="C630" s="30"/>
      <c r="D630" s="8"/>
      <c r="E630" s="8"/>
      <c r="F630" s="8"/>
      <c r="G630" s="8"/>
      <c r="H630" s="8"/>
      <c r="I630" s="8"/>
      <c r="J630" s="8"/>
      <c r="K630" s="8"/>
      <c r="L630" s="8"/>
      <c r="M630" s="8"/>
      <c r="N630" s="8"/>
      <c r="O630" s="8"/>
      <c r="P630" s="8"/>
      <c r="Q630" s="8"/>
    </row>
    <row r="631" spans="1:17" ht="12.75" customHeight="1">
      <c r="A631" s="8"/>
      <c r="B631" s="8"/>
      <c r="C631" s="30"/>
      <c r="D631" s="8"/>
      <c r="E631" s="8"/>
      <c r="F631" s="8"/>
      <c r="G631" s="8"/>
      <c r="H631" s="8"/>
      <c r="I631" s="8"/>
      <c r="J631" s="8"/>
      <c r="K631" s="8"/>
      <c r="L631" s="8"/>
      <c r="M631" s="8"/>
      <c r="N631" s="8"/>
      <c r="O631" s="8"/>
      <c r="P631" s="8"/>
      <c r="Q631" s="8"/>
    </row>
    <row r="632" spans="1:17" ht="12.75" customHeight="1">
      <c r="A632" s="8"/>
      <c r="B632" s="8"/>
      <c r="C632" s="30"/>
      <c r="D632" s="8"/>
      <c r="E632" s="8"/>
      <c r="F632" s="8"/>
      <c r="G632" s="8"/>
      <c r="H632" s="8"/>
      <c r="I632" s="8"/>
      <c r="J632" s="8"/>
      <c r="K632" s="8"/>
      <c r="L632" s="8"/>
      <c r="M632" s="8"/>
      <c r="N632" s="8"/>
      <c r="O632" s="8"/>
      <c r="P632" s="8"/>
      <c r="Q632" s="8"/>
    </row>
    <row r="633" spans="1:17" ht="12.75" customHeight="1">
      <c r="A633" s="8"/>
      <c r="B633" s="8"/>
      <c r="C633" s="30"/>
      <c r="D633" s="8"/>
      <c r="E633" s="8"/>
      <c r="F633" s="8"/>
      <c r="G633" s="8"/>
      <c r="H633" s="8"/>
      <c r="I633" s="8"/>
      <c r="J633" s="8"/>
      <c r="K633" s="8"/>
      <c r="L633" s="8"/>
      <c r="M633" s="8"/>
      <c r="N633" s="8"/>
      <c r="O633" s="8"/>
      <c r="P633" s="8"/>
      <c r="Q633" s="8"/>
    </row>
    <row r="634" spans="1:17" ht="12.75" customHeight="1">
      <c r="A634" s="8"/>
      <c r="B634" s="8"/>
      <c r="C634" s="30"/>
      <c r="D634" s="8"/>
      <c r="E634" s="8"/>
      <c r="F634" s="8"/>
      <c r="G634" s="8"/>
      <c r="H634" s="8"/>
      <c r="I634" s="8"/>
      <c r="J634" s="8"/>
      <c r="K634" s="8"/>
      <c r="L634" s="8"/>
      <c r="M634" s="8"/>
      <c r="N634" s="8"/>
      <c r="O634" s="8"/>
      <c r="P634" s="8"/>
      <c r="Q634" s="8"/>
    </row>
    <row r="635" spans="1:17" ht="12.75" customHeight="1">
      <c r="A635" s="8"/>
      <c r="B635" s="8"/>
      <c r="C635" s="30"/>
      <c r="D635" s="8"/>
      <c r="E635" s="8"/>
      <c r="F635" s="8"/>
      <c r="G635" s="8"/>
      <c r="H635" s="8"/>
      <c r="I635" s="8"/>
      <c r="J635" s="8"/>
      <c r="K635" s="8"/>
      <c r="L635" s="8"/>
      <c r="M635" s="8"/>
      <c r="N635" s="8"/>
      <c r="O635" s="8"/>
      <c r="P635" s="8"/>
      <c r="Q635" s="8"/>
    </row>
    <row r="636" spans="1:17" ht="12.75" customHeight="1">
      <c r="A636" s="8"/>
      <c r="B636" s="8"/>
      <c r="C636" s="30"/>
      <c r="D636" s="8"/>
      <c r="E636" s="8"/>
      <c r="F636" s="8"/>
      <c r="G636" s="8"/>
      <c r="H636" s="8"/>
      <c r="I636" s="8"/>
      <c r="J636" s="8"/>
      <c r="K636" s="8"/>
      <c r="L636" s="8"/>
      <c r="M636" s="8"/>
      <c r="N636" s="8"/>
      <c r="O636" s="8"/>
      <c r="P636" s="8"/>
      <c r="Q636" s="8"/>
    </row>
    <row r="637" spans="1:17" ht="12.75" customHeight="1">
      <c r="A637" s="8"/>
      <c r="B637" s="8"/>
      <c r="C637" s="30"/>
      <c r="D637" s="8"/>
      <c r="E637" s="8"/>
      <c r="F637" s="8"/>
      <c r="G637" s="8"/>
      <c r="H637" s="8"/>
      <c r="I637" s="8"/>
      <c r="J637" s="8"/>
      <c r="K637" s="8"/>
      <c r="L637" s="8"/>
      <c r="M637" s="8"/>
      <c r="N637" s="8"/>
      <c r="O637" s="8"/>
      <c r="P637" s="8"/>
      <c r="Q637" s="8"/>
    </row>
    <row r="638" spans="1:17" ht="12.75" customHeight="1">
      <c r="A638" s="8"/>
      <c r="B638" s="8"/>
      <c r="C638" s="30"/>
      <c r="D638" s="8"/>
      <c r="E638" s="8"/>
      <c r="F638" s="8"/>
      <c r="G638" s="8"/>
      <c r="H638" s="8"/>
      <c r="I638" s="8"/>
      <c r="J638" s="8"/>
      <c r="K638" s="8"/>
      <c r="L638" s="8"/>
      <c r="M638" s="8"/>
      <c r="N638" s="8"/>
      <c r="O638" s="8"/>
      <c r="P638" s="8"/>
      <c r="Q638" s="8"/>
    </row>
    <row r="639" spans="1:17" ht="12.75" customHeight="1">
      <c r="A639" s="8"/>
      <c r="B639" s="8"/>
      <c r="C639" s="30"/>
      <c r="D639" s="8"/>
      <c r="E639" s="8"/>
      <c r="F639" s="8"/>
      <c r="G639" s="8"/>
      <c r="H639" s="8"/>
      <c r="I639" s="8"/>
      <c r="J639" s="8"/>
      <c r="K639" s="8"/>
      <c r="L639" s="8"/>
      <c r="M639" s="8"/>
      <c r="N639" s="8"/>
      <c r="O639" s="8"/>
      <c r="P639" s="8"/>
      <c r="Q639" s="8"/>
    </row>
    <row r="640" spans="1:17" ht="12.75" customHeight="1">
      <c r="A640" s="8"/>
      <c r="B640" s="8"/>
      <c r="C640" s="30"/>
      <c r="D640" s="8"/>
      <c r="E640" s="8"/>
      <c r="F640" s="8"/>
      <c r="G640" s="8"/>
      <c r="H640" s="8"/>
      <c r="I640" s="8"/>
      <c r="J640" s="8"/>
      <c r="K640" s="8"/>
      <c r="L640" s="8"/>
      <c r="M640" s="8"/>
      <c r="N640" s="8"/>
      <c r="O640" s="8"/>
      <c r="P640" s="8"/>
      <c r="Q640" s="8"/>
    </row>
    <row r="641" spans="1:17" ht="12.75" customHeight="1">
      <c r="A641" s="8"/>
      <c r="B641" s="8"/>
      <c r="C641" s="30"/>
      <c r="D641" s="8"/>
      <c r="E641" s="8"/>
      <c r="F641" s="8"/>
      <c r="G641" s="8"/>
      <c r="H641" s="8"/>
      <c r="I641" s="8"/>
      <c r="J641" s="8"/>
      <c r="K641" s="8"/>
      <c r="L641" s="8"/>
      <c r="M641" s="8"/>
      <c r="N641" s="8"/>
      <c r="O641" s="8"/>
      <c r="P641" s="8"/>
      <c r="Q641" s="8"/>
    </row>
    <row r="642" spans="1:17" ht="12.75" customHeight="1">
      <c r="A642" s="8"/>
      <c r="B642" s="8"/>
      <c r="C642" s="30"/>
      <c r="D642" s="8"/>
      <c r="E642" s="8"/>
      <c r="F642" s="8"/>
      <c r="G642" s="8"/>
      <c r="H642" s="8"/>
      <c r="I642" s="8"/>
      <c r="J642" s="8"/>
      <c r="K642" s="8"/>
      <c r="L642" s="8"/>
      <c r="M642" s="8"/>
      <c r="N642" s="8"/>
      <c r="O642" s="8"/>
      <c r="P642" s="8"/>
      <c r="Q642" s="8"/>
    </row>
    <row r="643" spans="1:17" ht="12.75" customHeight="1">
      <c r="A643" s="8"/>
      <c r="B643" s="8"/>
      <c r="C643" s="30"/>
      <c r="D643" s="8"/>
      <c r="E643" s="8"/>
      <c r="F643" s="8"/>
      <c r="G643" s="8"/>
      <c r="H643" s="8"/>
      <c r="I643" s="8"/>
      <c r="J643" s="8"/>
      <c r="K643" s="8"/>
      <c r="L643" s="8"/>
      <c r="M643" s="8"/>
      <c r="N643" s="8"/>
      <c r="O643" s="8"/>
      <c r="P643" s="8"/>
      <c r="Q643" s="8"/>
    </row>
    <row r="644" spans="1:17" ht="12.75" customHeight="1">
      <c r="A644" s="8"/>
      <c r="B644" s="8"/>
      <c r="C644" s="30"/>
      <c r="D644" s="8"/>
      <c r="E644" s="8"/>
      <c r="F644" s="8"/>
      <c r="G644" s="8"/>
      <c r="H644" s="8"/>
      <c r="I644" s="8"/>
      <c r="J644" s="8"/>
      <c r="K644" s="8"/>
      <c r="L644" s="8"/>
      <c r="M644" s="8"/>
      <c r="N644" s="8"/>
      <c r="O644" s="8"/>
      <c r="P644" s="8"/>
      <c r="Q644" s="8"/>
    </row>
    <row r="645" spans="1:17" ht="12.75" customHeight="1">
      <c r="A645" s="8"/>
      <c r="B645" s="8"/>
      <c r="C645" s="30"/>
      <c r="D645" s="8"/>
      <c r="E645" s="8"/>
      <c r="F645" s="8"/>
      <c r="G645" s="8"/>
      <c r="H645" s="8"/>
      <c r="I645" s="8"/>
      <c r="J645" s="8"/>
      <c r="K645" s="8"/>
      <c r="L645" s="8"/>
      <c r="M645" s="8"/>
      <c r="N645" s="8"/>
      <c r="O645" s="8"/>
      <c r="P645" s="8"/>
      <c r="Q645" s="8"/>
    </row>
    <row r="646" spans="1:17" ht="12.75" customHeight="1">
      <c r="A646" s="8"/>
      <c r="B646" s="8"/>
      <c r="C646" s="30"/>
      <c r="D646" s="8"/>
      <c r="E646" s="8"/>
      <c r="F646" s="8"/>
      <c r="G646" s="8"/>
      <c r="H646" s="8"/>
      <c r="I646" s="8"/>
      <c r="J646" s="8"/>
      <c r="K646" s="8"/>
      <c r="L646" s="8"/>
      <c r="M646" s="8"/>
      <c r="N646" s="8"/>
      <c r="O646" s="8"/>
      <c r="P646" s="8"/>
      <c r="Q646" s="8"/>
    </row>
    <row r="647" spans="1:17" ht="12.75" customHeight="1">
      <c r="A647" s="8"/>
      <c r="B647" s="8"/>
      <c r="C647" s="30"/>
      <c r="D647" s="8"/>
      <c r="E647" s="8"/>
      <c r="F647" s="8"/>
      <c r="G647" s="8"/>
      <c r="H647" s="8"/>
      <c r="I647" s="8"/>
      <c r="J647" s="8"/>
      <c r="K647" s="8"/>
      <c r="L647" s="8"/>
      <c r="M647" s="8"/>
      <c r="N647" s="8"/>
      <c r="O647" s="8"/>
      <c r="P647" s="8"/>
      <c r="Q647" s="8"/>
    </row>
    <row r="648" spans="1:17" ht="12.75" customHeight="1">
      <c r="A648" s="8"/>
      <c r="B648" s="8"/>
      <c r="C648" s="30"/>
      <c r="D648" s="8"/>
      <c r="E648" s="8"/>
      <c r="F648" s="8"/>
      <c r="G648" s="8"/>
      <c r="H648" s="8"/>
      <c r="I648" s="8"/>
      <c r="J648" s="8"/>
      <c r="K648" s="8"/>
      <c r="L648" s="8"/>
      <c r="M648" s="8"/>
      <c r="N648" s="8"/>
      <c r="O648" s="8"/>
      <c r="P648" s="8"/>
      <c r="Q648" s="8"/>
    </row>
    <row r="649" spans="1:17" ht="12.75" customHeight="1">
      <c r="A649" s="8"/>
      <c r="B649" s="8"/>
      <c r="C649" s="30"/>
      <c r="D649" s="8"/>
      <c r="E649" s="8"/>
      <c r="F649" s="8"/>
      <c r="G649" s="8"/>
      <c r="H649" s="8"/>
      <c r="I649" s="8"/>
      <c r="J649" s="8"/>
      <c r="K649" s="8"/>
      <c r="L649" s="8"/>
      <c r="M649" s="8"/>
      <c r="N649" s="8"/>
      <c r="O649" s="8"/>
      <c r="P649" s="8"/>
      <c r="Q649" s="8"/>
    </row>
    <row r="650" spans="1:17" ht="12.75" customHeight="1">
      <c r="A650" s="8"/>
      <c r="B650" s="8"/>
      <c r="C650" s="30"/>
      <c r="D650" s="8"/>
      <c r="E650" s="8"/>
      <c r="F650" s="8"/>
      <c r="G650" s="8"/>
      <c r="H650" s="8"/>
      <c r="I650" s="8"/>
      <c r="J650" s="8"/>
      <c r="K650" s="8"/>
      <c r="L650" s="8"/>
      <c r="M650" s="8"/>
      <c r="N650" s="8"/>
      <c r="O650" s="8"/>
      <c r="P650" s="8"/>
      <c r="Q650" s="8"/>
    </row>
    <row r="651" spans="1:17" ht="12.75" customHeight="1">
      <c r="A651" s="8"/>
      <c r="B651" s="8"/>
      <c r="C651" s="30"/>
      <c r="D651" s="8"/>
      <c r="E651" s="8"/>
      <c r="F651" s="8"/>
      <c r="G651" s="8"/>
      <c r="H651" s="8"/>
      <c r="I651" s="8"/>
      <c r="J651" s="8"/>
      <c r="K651" s="8"/>
      <c r="L651" s="8"/>
      <c r="M651" s="8"/>
      <c r="N651" s="8"/>
      <c r="O651" s="8"/>
      <c r="P651" s="8"/>
      <c r="Q651" s="8"/>
    </row>
    <row r="652" spans="1:17" ht="12.75" customHeight="1">
      <c r="A652" s="8"/>
      <c r="B652" s="8"/>
      <c r="C652" s="30"/>
      <c r="D652" s="8"/>
      <c r="E652" s="8"/>
      <c r="F652" s="8"/>
      <c r="G652" s="8"/>
      <c r="H652" s="8"/>
      <c r="I652" s="8"/>
      <c r="J652" s="8"/>
      <c r="K652" s="8"/>
      <c r="L652" s="8"/>
      <c r="M652" s="8"/>
      <c r="N652" s="8"/>
      <c r="O652" s="8"/>
      <c r="P652" s="8"/>
      <c r="Q652" s="8"/>
    </row>
    <row r="653" spans="1:17" ht="12.75" customHeight="1">
      <c r="A653" s="8"/>
      <c r="B653" s="8"/>
      <c r="C653" s="30"/>
      <c r="D653" s="8"/>
      <c r="E653" s="8"/>
      <c r="F653" s="8"/>
      <c r="G653" s="8"/>
      <c r="H653" s="8"/>
      <c r="I653" s="8"/>
      <c r="J653" s="8"/>
      <c r="K653" s="8"/>
      <c r="L653" s="8"/>
      <c r="M653" s="8"/>
      <c r="N653" s="8"/>
      <c r="O653" s="8"/>
      <c r="P653" s="8"/>
      <c r="Q653" s="8"/>
    </row>
    <row r="654" spans="1:17" ht="12.75" customHeight="1">
      <c r="A654" s="8"/>
      <c r="B654" s="8"/>
      <c r="C654" s="30"/>
      <c r="D654" s="8"/>
      <c r="E654" s="8"/>
      <c r="F654" s="8"/>
      <c r="G654" s="8"/>
      <c r="H654" s="8"/>
      <c r="I654" s="8"/>
      <c r="J654" s="8"/>
      <c r="K654" s="8"/>
      <c r="L654" s="8"/>
      <c r="M654" s="8"/>
      <c r="N654" s="8"/>
      <c r="O654" s="8"/>
      <c r="P654" s="8"/>
      <c r="Q654" s="8"/>
    </row>
    <row r="655" spans="1:17" ht="12.75" customHeight="1">
      <c r="A655" s="8"/>
      <c r="B655" s="8"/>
      <c r="C655" s="30"/>
      <c r="D655" s="8"/>
      <c r="E655" s="8"/>
      <c r="F655" s="8"/>
      <c r="G655" s="8"/>
      <c r="H655" s="8"/>
      <c r="I655" s="8"/>
      <c r="J655" s="8"/>
      <c r="K655" s="8"/>
      <c r="L655" s="8"/>
      <c r="M655" s="8"/>
      <c r="N655" s="8"/>
      <c r="O655" s="8"/>
      <c r="P655" s="8"/>
      <c r="Q655" s="8"/>
    </row>
    <row r="656" spans="1:17" ht="12.75" customHeight="1">
      <c r="A656" s="8"/>
      <c r="B656" s="8"/>
      <c r="C656" s="30"/>
      <c r="D656" s="8"/>
      <c r="E656" s="8"/>
      <c r="F656" s="8"/>
      <c r="G656" s="8"/>
      <c r="H656" s="8"/>
      <c r="I656" s="8"/>
      <c r="J656" s="8"/>
      <c r="K656" s="8"/>
      <c r="L656" s="8"/>
      <c r="M656" s="8"/>
      <c r="N656" s="8"/>
      <c r="O656" s="8"/>
      <c r="P656" s="8"/>
      <c r="Q656" s="8"/>
    </row>
    <row r="657" spans="1:17" ht="12.75" customHeight="1">
      <c r="A657" s="8"/>
      <c r="B657" s="8"/>
      <c r="C657" s="30"/>
      <c r="D657" s="8"/>
      <c r="E657" s="8"/>
      <c r="F657" s="8"/>
      <c r="G657" s="8"/>
      <c r="H657" s="8"/>
      <c r="I657" s="8"/>
      <c r="J657" s="8"/>
      <c r="K657" s="8"/>
      <c r="L657" s="8"/>
      <c r="M657" s="8"/>
      <c r="N657" s="8"/>
      <c r="O657" s="8"/>
      <c r="P657" s="8"/>
      <c r="Q657" s="8"/>
    </row>
    <row r="658" spans="1:17" ht="12.75" customHeight="1">
      <c r="A658" s="8"/>
      <c r="B658" s="8"/>
      <c r="C658" s="30"/>
      <c r="D658" s="8"/>
      <c r="E658" s="8"/>
      <c r="F658" s="8"/>
      <c r="G658" s="8"/>
      <c r="H658" s="8"/>
      <c r="I658" s="8"/>
      <c r="J658" s="8"/>
      <c r="K658" s="8"/>
      <c r="L658" s="8"/>
      <c r="M658" s="8"/>
      <c r="N658" s="8"/>
      <c r="O658" s="8"/>
      <c r="P658" s="8"/>
      <c r="Q658" s="8"/>
    </row>
    <row r="659" spans="1:17" ht="12.75" customHeight="1">
      <c r="A659" s="8"/>
      <c r="B659" s="8"/>
      <c r="C659" s="30"/>
      <c r="D659" s="8"/>
      <c r="E659" s="8"/>
      <c r="F659" s="8"/>
      <c r="G659" s="8"/>
      <c r="H659" s="8"/>
      <c r="I659" s="8"/>
      <c r="J659" s="8"/>
      <c r="K659" s="8"/>
      <c r="L659" s="8"/>
      <c r="M659" s="8"/>
      <c r="N659" s="8"/>
      <c r="O659" s="8"/>
      <c r="P659" s="8"/>
      <c r="Q659" s="8"/>
    </row>
    <row r="660" spans="1:17" ht="12.75" customHeight="1">
      <c r="A660" s="8"/>
      <c r="B660" s="8"/>
      <c r="C660" s="30"/>
      <c r="D660" s="8"/>
      <c r="E660" s="8"/>
      <c r="F660" s="8"/>
      <c r="G660" s="8"/>
      <c r="H660" s="8"/>
      <c r="I660" s="8"/>
      <c r="J660" s="8"/>
      <c r="K660" s="8"/>
      <c r="L660" s="8"/>
      <c r="M660" s="8"/>
      <c r="N660" s="8"/>
      <c r="O660" s="8"/>
      <c r="P660" s="8"/>
      <c r="Q660" s="8"/>
    </row>
    <row r="661" spans="1:17" ht="12.75" customHeight="1">
      <c r="A661" s="8"/>
      <c r="B661" s="8"/>
      <c r="C661" s="30"/>
      <c r="D661" s="8"/>
      <c r="E661" s="8"/>
      <c r="F661" s="8"/>
      <c r="G661" s="8"/>
      <c r="H661" s="8"/>
      <c r="I661" s="8"/>
      <c r="J661" s="8"/>
      <c r="K661" s="8"/>
      <c r="L661" s="8"/>
      <c r="M661" s="8"/>
      <c r="N661" s="8"/>
      <c r="O661" s="8"/>
      <c r="P661" s="8"/>
      <c r="Q661" s="8"/>
    </row>
    <row r="662" spans="1:17" ht="12.75" customHeight="1">
      <c r="A662" s="8"/>
      <c r="B662" s="8"/>
      <c r="C662" s="30"/>
      <c r="D662" s="8"/>
      <c r="E662" s="8"/>
      <c r="F662" s="8"/>
      <c r="G662" s="8"/>
      <c r="H662" s="8"/>
      <c r="I662" s="8"/>
      <c r="J662" s="8"/>
      <c r="K662" s="8"/>
      <c r="L662" s="8"/>
      <c r="M662" s="8"/>
      <c r="N662" s="8"/>
      <c r="O662" s="8"/>
      <c r="P662" s="8"/>
      <c r="Q662" s="8"/>
    </row>
    <row r="663" spans="1:17" ht="12.75" customHeight="1">
      <c r="A663" s="8"/>
      <c r="B663" s="8"/>
      <c r="C663" s="30"/>
      <c r="D663" s="8"/>
      <c r="E663" s="8"/>
      <c r="F663" s="8"/>
      <c r="G663" s="8"/>
      <c r="H663" s="8"/>
      <c r="I663" s="8"/>
      <c r="J663" s="8"/>
      <c r="K663" s="8"/>
      <c r="L663" s="8"/>
      <c r="M663" s="8"/>
      <c r="N663" s="8"/>
      <c r="O663" s="8"/>
      <c r="P663" s="8"/>
      <c r="Q663" s="8"/>
    </row>
    <row r="664" spans="1:17" ht="12.75" customHeight="1">
      <c r="A664" s="8"/>
      <c r="B664" s="8"/>
      <c r="C664" s="30"/>
      <c r="D664" s="8"/>
      <c r="E664" s="8"/>
      <c r="F664" s="8"/>
      <c r="G664" s="8"/>
      <c r="H664" s="8"/>
      <c r="I664" s="8"/>
      <c r="J664" s="8"/>
      <c r="K664" s="8"/>
      <c r="L664" s="8"/>
      <c r="M664" s="8"/>
      <c r="N664" s="8"/>
      <c r="O664" s="8"/>
      <c r="P664" s="8"/>
      <c r="Q664" s="8"/>
    </row>
    <row r="665" spans="1:17" ht="12.75" customHeight="1">
      <c r="A665" s="8"/>
      <c r="B665" s="8"/>
      <c r="C665" s="30"/>
      <c r="D665" s="8"/>
      <c r="E665" s="8"/>
      <c r="F665" s="8"/>
      <c r="G665" s="8"/>
      <c r="H665" s="8"/>
      <c r="I665" s="8"/>
      <c r="J665" s="8"/>
      <c r="K665" s="8"/>
      <c r="L665" s="8"/>
      <c r="M665" s="8"/>
      <c r="N665" s="8"/>
      <c r="O665" s="8"/>
      <c r="P665" s="8"/>
      <c r="Q665" s="8"/>
    </row>
    <row r="666" spans="1:17" ht="12.75" customHeight="1">
      <c r="A666" s="8"/>
      <c r="B666" s="8"/>
      <c r="C666" s="30"/>
      <c r="D666" s="8"/>
      <c r="E666" s="8"/>
      <c r="F666" s="8"/>
      <c r="G666" s="8"/>
      <c r="H666" s="8"/>
      <c r="I666" s="8"/>
      <c r="J666" s="8"/>
      <c r="K666" s="8"/>
      <c r="L666" s="8"/>
      <c r="M666" s="8"/>
      <c r="N666" s="8"/>
      <c r="O666" s="8"/>
      <c r="P666" s="8"/>
      <c r="Q666" s="8"/>
    </row>
    <row r="667" spans="1:17" ht="12.75" customHeight="1">
      <c r="A667" s="8"/>
      <c r="B667" s="8"/>
      <c r="C667" s="30"/>
      <c r="D667" s="8"/>
      <c r="E667" s="8"/>
      <c r="F667" s="8"/>
      <c r="G667" s="8"/>
      <c r="H667" s="8"/>
      <c r="I667" s="8"/>
      <c r="J667" s="8"/>
      <c r="K667" s="8"/>
      <c r="L667" s="8"/>
      <c r="M667" s="8"/>
      <c r="N667" s="8"/>
      <c r="O667" s="8"/>
      <c r="P667" s="8"/>
      <c r="Q667" s="8"/>
    </row>
    <row r="668" spans="1:17" ht="12.75" customHeight="1">
      <c r="A668" s="8"/>
      <c r="B668" s="8"/>
      <c r="C668" s="30"/>
      <c r="D668" s="8"/>
      <c r="E668" s="8"/>
      <c r="F668" s="8"/>
      <c r="G668" s="8"/>
      <c r="H668" s="8"/>
      <c r="I668" s="8"/>
      <c r="J668" s="8"/>
      <c r="K668" s="8"/>
      <c r="L668" s="8"/>
      <c r="M668" s="8"/>
      <c r="N668" s="8"/>
      <c r="O668" s="8"/>
      <c r="P668" s="8"/>
      <c r="Q668" s="8"/>
    </row>
    <row r="669" spans="1:17" ht="12.75" customHeight="1">
      <c r="A669" s="8"/>
      <c r="B669" s="8"/>
      <c r="C669" s="30"/>
      <c r="D669" s="8"/>
      <c r="E669" s="8"/>
      <c r="F669" s="8"/>
      <c r="G669" s="8"/>
      <c r="H669" s="8"/>
      <c r="I669" s="8"/>
      <c r="J669" s="8"/>
      <c r="K669" s="8"/>
      <c r="L669" s="8"/>
      <c r="M669" s="8"/>
      <c r="N669" s="8"/>
      <c r="O669" s="8"/>
      <c r="P669" s="8"/>
      <c r="Q669" s="8"/>
    </row>
    <row r="670" spans="1:17" ht="12.75" customHeight="1">
      <c r="A670" s="8"/>
      <c r="B670" s="8"/>
      <c r="C670" s="30"/>
      <c r="D670" s="8"/>
      <c r="E670" s="8"/>
      <c r="F670" s="8"/>
      <c r="G670" s="8"/>
      <c r="H670" s="8"/>
      <c r="I670" s="8"/>
      <c r="J670" s="8"/>
      <c r="K670" s="8"/>
      <c r="L670" s="8"/>
      <c r="M670" s="8"/>
      <c r="N670" s="8"/>
      <c r="O670" s="8"/>
      <c r="P670" s="8"/>
      <c r="Q670" s="8"/>
    </row>
    <row r="671" spans="1:17" ht="12.75" customHeight="1">
      <c r="A671" s="8"/>
      <c r="B671" s="8"/>
      <c r="C671" s="30"/>
      <c r="D671" s="8"/>
      <c r="E671" s="8"/>
      <c r="F671" s="8"/>
      <c r="G671" s="8"/>
      <c r="H671" s="8"/>
      <c r="I671" s="8"/>
      <c r="J671" s="8"/>
      <c r="K671" s="8"/>
      <c r="L671" s="8"/>
      <c r="M671" s="8"/>
      <c r="N671" s="8"/>
      <c r="O671" s="8"/>
      <c r="P671" s="8"/>
      <c r="Q671" s="8"/>
    </row>
    <row r="672" spans="1:17" ht="12.75" customHeight="1">
      <c r="A672" s="8"/>
      <c r="B672" s="8"/>
      <c r="C672" s="30"/>
      <c r="D672" s="8"/>
      <c r="E672" s="8"/>
      <c r="F672" s="8"/>
      <c r="G672" s="8"/>
      <c r="H672" s="8"/>
      <c r="I672" s="8"/>
      <c r="J672" s="8"/>
      <c r="K672" s="8"/>
      <c r="L672" s="8"/>
      <c r="M672" s="8"/>
      <c r="N672" s="8"/>
      <c r="O672" s="8"/>
      <c r="P672" s="8"/>
      <c r="Q672" s="8"/>
    </row>
    <row r="673" spans="1:17" ht="12.75" customHeight="1">
      <c r="A673" s="8"/>
      <c r="B673" s="8"/>
      <c r="C673" s="30"/>
      <c r="D673" s="8"/>
      <c r="E673" s="8"/>
      <c r="F673" s="8"/>
      <c r="G673" s="8"/>
      <c r="H673" s="8"/>
      <c r="I673" s="8"/>
      <c r="J673" s="8"/>
      <c r="K673" s="8"/>
      <c r="L673" s="8"/>
      <c r="M673" s="8"/>
      <c r="N673" s="8"/>
      <c r="O673" s="8"/>
      <c r="P673" s="8"/>
      <c r="Q673" s="8"/>
    </row>
    <row r="674" spans="1:17" ht="12.75" customHeight="1">
      <c r="A674" s="8"/>
      <c r="B674" s="8"/>
      <c r="C674" s="30"/>
      <c r="D674" s="8"/>
      <c r="E674" s="8"/>
      <c r="F674" s="8"/>
      <c r="G674" s="8"/>
      <c r="H674" s="8"/>
      <c r="I674" s="8"/>
      <c r="J674" s="8"/>
      <c r="K674" s="8"/>
      <c r="L674" s="8"/>
      <c r="M674" s="8"/>
      <c r="N674" s="8"/>
      <c r="O674" s="8"/>
      <c r="P674" s="8"/>
      <c r="Q674" s="8"/>
    </row>
    <row r="675" spans="1:17" ht="12.75" customHeight="1">
      <c r="A675" s="8"/>
      <c r="B675" s="8"/>
      <c r="C675" s="30"/>
      <c r="D675" s="8"/>
      <c r="E675" s="8"/>
      <c r="F675" s="8"/>
      <c r="G675" s="8"/>
      <c r="H675" s="8"/>
      <c r="I675" s="8"/>
      <c r="J675" s="8"/>
      <c r="K675" s="8"/>
      <c r="L675" s="8"/>
      <c r="M675" s="8"/>
      <c r="N675" s="8"/>
      <c r="O675" s="8"/>
      <c r="P675" s="8"/>
      <c r="Q675" s="8"/>
    </row>
    <row r="676" spans="1:17" ht="12.75" customHeight="1">
      <c r="A676" s="8"/>
      <c r="B676" s="8"/>
      <c r="C676" s="30"/>
      <c r="D676" s="8"/>
      <c r="E676" s="8"/>
      <c r="F676" s="8"/>
      <c r="G676" s="8"/>
      <c r="H676" s="8"/>
      <c r="I676" s="8"/>
      <c r="J676" s="8"/>
      <c r="K676" s="8"/>
      <c r="L676" s="8"/>
      <c r="M676" s="8"/>
      <c r="N676" s="8"/>
      <c r="O676" s="8"/>
      <c r="P676" s="8"/>
      <c r="Q676" s="8"/>
    </row>
    <row r="677" spans="1:17" ht="12.75" customHeight="1">
      <c r="A677" s="8"/>
      <c r="B677" s="8"/>
      <c r="C677" s="30"/>
      <c r="D677" s="8"/>
      <c r="E677" s="8"/>
      <c r="F677" s="8"/>
      <c r="G677" s="8"/>
      <c r="H677" s="8"/>
      <c r="I677" s="8"/>
      <c r="J677" s="8"/>
      <c r="K677" s="8"/>
      <c r="L677" s="8"/>
      <c r="M677" s="8"/>
      <c r="N677" s="8"/>
      <c r="O677" s="8"/>
      <c r="P677" s="8"/>
      <c r="Q677" s="8"/>
    </row>
    <row r="678" spans="1:17" ht="12.75" customHeight="1">
      <c r="A678" s="8"/>
      <c r="B678" s="8"/>
      <c r="C678" s="30"/>
      <c r="D678" s="8"/>
      <c r="E678" s="8"/>
      <c r="F678" s="8"/>
      <c r="G678" s="8"/>
      <c r="H678" s="8"/>
      <c r="I678" s="8"/>
      <c r="J678" s="8"/>
      <c r="K678" s="8"/>
      <c r="L678" s="8"/>
      <c r="M678" s="8"/>
      <c r="N678" s="8"/>
      <c r="O678" s="8"/>
      <c r="P678" s="8"/>
      <c r="Q678" s="8"/>
    </row>
    <row r="679" spans="1:17" ht="12.75" customHeight="1">
      <c r="A679" s="8"/>
      <c r="B679" s="8"/>
      <c r="C679" s="30"/>
      <c r="D679" s="8"/>
      <c r="E679" s="8"/>
      <c r="F679" s="8"/>
      <c r="G679" s="8"/>
      <c r="H679" s="8"/>
      <c r="I679" s="8"/>
      <c r="J679" s="8"/>
      <c r="K679" s="8"/>
      <c r="L679" s="8"/>
      <c r="M679" s="8"/>
      <c r="N679" s="8"/>
      <c r="O679" s="8"/>
      <c r="P679" s="8"/>
      <c r="Q679" s="8"/>
    </row>
    <row r="680" spans="1:17" ht="12.75" customHeight="1">
      <c r="A680" s="8"/>
      <c r="B680" s="8"/>
      <c r="C680" s="30"/>
      <c r="D680" s="8"/>
      <c r="E680" s="8"/>
      <c r="F680" s="8"/>
      <c r="G680" s="8"/>
      <c r="H680" s="8"/>
      <c r="I680" s="8"/>
      <c r="J680" s="8"/>
      <c r="K680" s="8"/>
      <c r="L680" s="8"/>
      <c r="M680" s="8"/>
      <c r="N680" s="8"/>
      <c r="O680" s="8"/>
      <c r="P680" s="8"/>
      <c r="Q680" s="8"/>
    </row>
    <row r="681" spans="1:17" ht="12.75" customHeight="1">
      <c r="A681" s="8"/>
      <c r="B681" s="8"/>
      <c r="C681" s="30"/>
      <c r="D681" s="8"/>
      <c r="E681" s="8"/>
      <c r="F681" s="8"/>
      <c r="G681" s="8"/>
      <c r="H681" s="8"/>
      <c r="I681" s="8"/>
      <c r="J681" s="8"/>
      <c r="K681" s="8"/>
      <c r="L681" s="8"/>
      <c r="M681" s="8"/>
      <c r="N681" s="8"/>
      <c r="O681" s="8"/>
      <c r="P681" s="8"/>
      <c r="Q681" s="8"/>
    </row>
    <row r="682" spans="1:17" ht="12.75" customHeight="1">
      <c r="A682" s="8"/>
      <c r="B682" s="8"/>
      <c r="C682" s="30"/>
      <c r="D682" s="8"/>
      <c r="E682" s="8"/>
      <c r="F682" s="8"/>
      <c r="G682" s="8"/>
      <c r="H682" s="8"/>
      <c r="I682" s="8"/>
      <c r="J682" s="8"/>
      <c r="K682" s="8"/>
      <c r="L682" s="8"/>
      <c r="M682" s="8"/>
      <c r="N682" s="8"/>
      <c r="O682" s="8"/>
      <c r="P682" s="8"/>
      <c r="Q682" s="8"/>
    </row>
    <row r="683" spans="1:17" ht="12.75" customHeight="1">
      <c r="A683" s="8"/>
      <c r="B683" s="8"/>
      <c r="C683" s="30"/>
      <c r="D683" s="8"/>
      <c r="E683" s="8"/>
      <c r="F683" s="8"/>
      <c r="G683" s="8"/>
      <c r="H683" s="8"/>
      <c r="I683" s="8"/>
      <c r="J683" s="8"/>
      <c r="K683" s="8"/>
      <c r="L683" s="8"/>
      <c r="M683" s="8"/>
      <c r="N683" s="8"/>
      <c r="O683" s="8"/>
      <c r="P683" s="8"/>
      <c r="Q683" s="8"/>
    </row>
    <row r="684" spans="1:17" ht="12.75" customHeight="1">
      <c r="A684" s="8"/>
      <c r="B684" s="8"/>
      <c r="C684" s="30"/>
      <c r="D684" s="8"/>
      <c r="E684" s="8"/>
      <c r="F684" s="8"/>
      <c r="G684" s="8"/>
      <c r="H684" s="8"/>
      <c r="I684" s="8"/>
      <c r="J684" s="8"/>
      <c r="K684" s="8"/>
      <c r="L684" s="8"/>
      <c r="M684" s="8"/>
      <c r="N684" s="8"/>
      <c r="O684" s="8"/>
      <c r="P684" s="8"/>
      <c r="Q684" s="8"/>
    </row>
    <row r="685" spans="1:17" ht="12.75" customHeight="1">
      <c r="A685" s="8"/>
      <c r="B685" s="8"/>
      <c r="C685" s="30"/>
      <c r="D685" s="8"/>
      <c r="E685" s="8"/>
      <c r="F685" s="8"/>
      <c r="G685" s="8"/>
      <c r="H685" s="8"/>
      <c r="I685" s="8"/>
      <c r="J685" s="8"/>
      <c r="K685" s="8"/>
      <c r="L685" s="8"/>
      <c r="M685" s="8"/>
      <c r="N685" s="8"/>
      <c r="O685" s="8"/>
      <c r="P685" s="8"/>
      <c r="Q685" s="8"/>
    </row>
    <row r="686" spans="1:17" ht="12.75" customHeight="1">
      <c r="A686" s="8"/>
      <c r="B686" s="8"/>
      <c r="C686" s="30"/>
      <c r="D686" s="8"/>
      <c r="E686" s="8"/>
      <c r="F686" s="8"/>
      <c r="G686" s="8"/>
      <c r="H686" s="8"/>
      <c r="I686" s="8"/>
      <c r="J686" s="8"/>
      <c r="K686" s="8"/>
      <c r="L686" s="8"/>
      <c r="M686" s="8"/>
      <c r="N686" s="8"/>
      <c r="O686" s="8"/>
      <c r="P686" s="8"/>
      <c r="Q686" s="8"/>
    </row>
    <row r="687" spans="1:17" ht="12.75" customHeight="1">
      <c r="A687" s="8"/>
      <c r="B687" s="8"/>
      <c r="C687" s="30"/>
      <c r="D687" s="8"/>
      <c r="E687" s="8"/>
      <c r="F687" s="8"/>
      <c r="G687" s="8"/>
      <c r="H687" s="8"/>
      <c r="I687" s="8"/>
      <c r="J687" s="8"/>
      <c r="K687" s="8"/>
      <c r="L687" s="8"/>
      <c r="M687" s="8"/>
      <c r="N687" s="8"/>
      <c r="O687" s="8"/>
      <c r="P687" s="8"/>
      <c r="Q687" s="8"/>
    </row>
    <row r="688" spans="1:17" ht="12.75" customHeight="1">
      <c r="A688" s="8"/>
      <c r="B688" s="8"/>
      <c r="C688" s="30"/>
      <c r="D688" s="8"/>
      <c r="E688" s="8"/>
      <c r="F688" s="8"/>
      <c r="G688" s="8"/>
      <c r="H688" s="8"/>
      <c r="I688" s="8"/>
      <c r="J688" s="8"/>
      <c r="K688" s="8"/>
      <c r="L688" s="8"/>
      <c r="M688" s="8"/>
      <c r="N688" s="8"/>
      <c r="O688" s="8"/>
      <c r="P688" s="8"/>
      <c r="Q688" s="8"/>
    </row>
    <row r="689" spans="1:17" ht="12.75" customHeight="1">
      <c r="A689" s="8"/>
      <c r="B689" s="8"/>
      <c r="C689" s="30"/>
      <c r="D689" s="8"/>
      <c r="E689" s="8"/>
      <c r="F689" s="8"/>
      <c r="G689" s="8"/>
      <c r="H689" s="8"/>
      <c r="I689" s="8"/>
      <c r="J689" s="8"/>
      <c r="K689" s="8"/>
      <c r="L689" s="8"/>
      <c r="M689" s="8"/>
      <c r="N689" s="8"/>
      <c r="O689" s="8"/>
      <c r="P689" s="8"/>
      <c r="Q689" s="8"/>
    </row>
    <row r="690" spans="1:17" ht="12.75" customHeight="1">
      <c r="A690" s="8"/>
      <c r="B690" s="8"/>
      <c r="C690" s="30"/>
      <c r="D690" s="8"/>
      <c r="E690" s="8"/>
      <c r="F690" s="8"/>
      <c r="G690" s="8"/>
      <c r="H690" s="8"/>
      <c r="I690" s="8"/>
      <c r="J690" s="8"/>
      <c r="K690" s="8"/>
      <c r="L690" s="8"/>
      <c r="M690" s="8"/>
      <c r="N690" s="8"/>
      <c r="O690" s="8"/>
      <c r="P690" s="8"/>
      <c r="Q690" s="8"/>
    </row>
    <row r="691" spans="1:17" ht="12.75" customHeight="1">
      <c r="A691" s="8"/>
      <c r="B691" s="8"/>
      <c r="C691" s="30"/>
      <c r="D691" s="8"/>
      <c r="E691" s="8"/>
      <c r="F691" s="8"/>
      <c r="G691" s="8"/>
      <c r="H691" s="8"/>
      <c r="I691" s="8"/>
      <c r="J691" s="8"/>
      <c r="K691" s="8"/>
      <c r="L691" s="8"/>
      <c r="M691" s="8"/>
      <c r="N691" s="8"/>
      <c r="O691" s="8"/>
      <c r="P691" s="8"/>
      <c r="Q691" s="8"/>
    </row>
    <row r="692" spans="1:17" ht="12.75" customHeight="1">
      <c r="A692" s="8"/>
      <c r="B692" s="8"/>
      <c r="C692" s="30"/>
      <c r="D692" s="8"/>
      <c r="E692" s="8"/>
      <c r="F692" s="8"/>
      <c r="G692" s="8"/>
      <c r="H692" s="8"/>
      <c r="I692" s="8"/>
      <c r="J692" s="8"/>
      <c r="K692" s="8"/>
      <c r="L692" s="8"/>
      <c r="M692" s="8"/>
      <c r="N692" s="8"/>
      <c r="O692" s="8"/>
      <c r="P692" s="8"/>
      <c r="Q692" s="8"/>
    </row>
    <row r="693" spans="1:17" ht="12.75" customHeight="1">
      <c r="A693" s="8"/>
      <c r="B693" s="8"/>
      <c r="C693" s="30"/>
      <c r="D693" s="8"/>
      <c r="E693" s="8"/>
      <c r="F693" s="8"/>
      <c r="G693" s="8"/>
      <c r="H693" s="8"/>
      <c r="I693" s="8"/>
      <c r="J693" s="8"/>
      <c r="K693" s="8"/>
      <c r="L693" s="8"/>
      <c r="M693" s="8"/>
      <c r="N693" s="8"/>
      <c r="O693" s="8"/>
      <c r="P693" s="8"/>
      <c r="Q693" s="8"/>
    </row>
    <row r="694" spans="1:17" ht="12.75" customHeight="1">
      <c r="A694" s="8"/>
      <c r="B694" s="8"/>
      <c r="C694" s="30"/>
      <c r="D694" s="8"/>
      <c r="E694" s="8"/>
      <c r="F694" s="8"/>
      <c r="G694" s="8"/>
      <c r="H694" s="8"/>
      <c r="I694" s="8"/>
      <c r="J694" s="8"/>
      <c r="K694" s="8"/>
      <c r="L694" s="8"/>
      <c r="M694" s="8"/>
      <c r="N694" s="8"/>
      <c r="O694" s="8"/>
      <c r="P694" s="8"/>
      <c r="Q694" s="8"/>
    </row>
    <row r="695" spans="1:17" ht="12.75" customHeight="1">
      <c r="A695" s="8"/>
      <c r="B695" s="8"/>
      <c r="C695" s="30"/>
      <c r="D695" s="8"/>
      <c r="E695" s="8"/>
      <c r="F695" s="8"/>
      <c r="G695" s="8"/>
      <c r="H695" s="8"/>
      <c r="I695" s="8"/>
      <c r="J695" s="8"/>
      <c r="K695" s="8"/>
      <c r="L695" s="8"/>
      <c r="M695" s="8"/>
      <c r="N695" s="8"/>
      <c r="O695" s="8"/>
      <c r="P695" s="8"/>
      <c r="Q695" s="8"/>
    </row>
    <row r="696" spans="1:17" ht="12.75" customHeight="1">
      <c r="A696" s="8"/>
      <c r="B696" s="8"/>
      <c r="C696" s="30"/>
      <c r="D696" s="8"/>
      <c r="E696" s="8"/>
      <c r="F696" s="8"/>
      <c r="G696" s="8"/>
      <c r="H696" s="8"/>
      <c r="I696" s="8"/>
      <c r="J696" s="8"/>
      <c r="K696" s="8"/>
      <c r="L696" s="8"/>
      <c r="M696" s="8"/>
      <c r="N696" s="8"/>
      <c r="O696" s="8"/>
      <c r="P696" s="8"/>
      <c r="Q696" s="8"/>
    </row>
    <row r="697" spans="1:17" ht="12.75" customHeight="1">
      <c r="A697" s="8"/>
      <c r="B697" s="8"/>
      <c r="C697" s="30"/>
      <c r="D697" s="8"/>
      <c r="E697" s="8"/>
      <c r="F697" s="8"/>
      <c r="G697" s="8"/>
      <c r="H697" s="8"/>
      <c r="I697" s="8"/>
      <c r="J697" s="8"/>
      <c r="K697" s="8"/>
      <c r="L697" s="8"/>
      <c r="M697" s="8"/>
      <c r="N697" s="8"/>
      <c r="O697" s="8"/>
      <c r="P697" s="8"/>
      <c r="Q697" s="8"/>
    </row>
    <row r="698" spans="1:17" ht="12.75" customHeight="1">
      <c r="A698" s="8"/>
      <c r="B698" s="8"/>
      <c r="C698" s="30"/>
      <c r="D698" s="8"/>
      <c r="E698" s="8"/>
      <c r="F698" s="8"/>
      <c r="G698" s="8"/>
      <c r="H698" s="8"/>
      <c r="I698" s="8"/>
      <c r="J698" s="8"/>
      <c r="K698" s="8"/>
      <c r="L698" s="8"/>
      <c r="M698" s="8"/>
      <c r="N698" s="8"/>
      <c r="O698" s="8"/>
      <c r="P698" s="8"/>
      <c r="Q698" s="8"/>
    </row>
    <row r="699" spans="1:17" ht="12.75" customHeight="1">
      <c r="A699" s="8"/>
      <c r="B699" s="8"/>
      <c r="C699" s="30"/>
      <c r="D699" s="8"/>
      <c r="E699" s="8"/>
      <c r="F699" s="8"/>
      <c r="G699" s="8"/>
      <c r="H699" s="8"/>
      <c r="I699" s="8"/>
      <c r="J699" s="8"/>
      <c r="K699" s="8"/>
      <c r="L699" s="8"/>
      <c r="M699" s="8"/>
      <c r="N699" s="8"/>
      <c r="O699" s="8"/>
      <c r="P699" s="8"/>
      <c r="Q699" s="8"/>
    </row>
    <row r="700" spans="1:17" ht="12.75" customHeight="1">
      <c r="A700" s="8"/>
      <c r="B700" s="8"/>
      <c r="C700" s="30"/>
      <c r="D700" s="8"/>
      <c r="E700" s="8"/>
      <c r="F700" s="8"/>
      <c r="G700" s="8"/>
      <c r="H700" s="8"/>
      <c r="I700" s="8"/>
      <c r="J700" s="8"/>
      <c r="K700" s="8"/>
      <c r="L700" s="8"/>
      <c r="M700" s="8"/>
      <c r="N700" s="8"/>
      <c r="O700" s="8"/>
      <c r="P700" s="8"/>
      <c r="Q700" s="8"/>
    </row>
    <row r="701" spans="1:17" ht="12.75" customHeight="1">
      <c r="A701" s="8"/>
      <c r="B701" s="8"/>
      <c r="C701" s="30"/>
      <c r="D701" s="8"/>
      <c r="E701" s="8"/>
      <c r="F701" s="8"/>
      <c r="G701" s="8"/>
      <c r="H701" s="8"/>
      <c r="I701" s="8"/>
      <c r="J701" s="8"/>
      <c r="K701" s="8"/>
      <c r="L701" s="8"/>
      <c r="M701" s="8"/>
      <c r="N701" s="8"/>
      <c r="O701" s="8"/>
      <c r="P701" s="8"/>
      <c r="Q701" s="8"/>
    </row>
    <row r="702" spans="1:17" ht="12.75" customHeight="1">
      <c r="A702" s="8"/>
      <c r="B702" s="8"/>
      <c r="C702" s="30"/>
      <c r="D702" s="8"/>
      <c r="E702" s="8"/>
      <c r="F702" s="8"/>
      <c r="G702" s="8"/>
      <c r="H702" s="8"/>
      <c r="I702" s="8"/>
      <c r="J702" s="8"/>
      <c r="K702" s="8"/>
      <c r="L702" s="8"/>
      <c r="M702" s="8"/>
      <c r="N702" s="8"/>
      <c r="O702" s="8"/>
      <c r="P702" s="8"/>
      <c r="Q702" s="8"/>
    </row>
    <row r="703" spans="1:17" ht="12.75" customHeight="1">
      <c r="A703" s="8"/>
      <c r="B703" s="8"/>
      <c r="C703" s="30"/>
      <c r="D703" s="8"/>
      <c r="E703" s="8"/>
      <c r="F703" s="8"/>
      <c r="G703" s="8"/>
      <c r="H703" s="8"/>
      <c r="I703" s="8"/>
      <c r="J703" s="8"/>
      <c r="K703" s="8"/>
      <c r="L703" s="8"/>
      <c r="M703" s="8"/>
      <c r="N703" s="8"/>
      <c r="O703" s="8"/>
      <c r="P703" s="8"/>
      <c r="Q703" s="8"/>
    </row>
    <row r="704" spans="1:17" ht="12.75" customHeight="1">
      <c r="A704" s="8"/>
      <c r="B704" s="8"/>
      <c r="C704" s="30"/>
      <c r="D704" s="8"/>
      <c r="E704" s="8"/>
      <c r="F704" s="8"/>
      <c r="G704" s="8"/>
      <c r="H704" s="8"/>
      <c r="I704" s="8"/>
      <c r="J704" s="8"/>
      <c r="K704" s="8"/>
      <c r="L704" s="8"/>
      <c r="M704" s="8"/>
      <c r="N704" s="8"/>
      <c r="O704" s="8"/>
      <c r="P704" s="8"/>
      <c r="Q704" s="8"/>
    </row>
    <row r="705" spans="1:17" ht="12.75" customHeight="1">
      <c r="A705" s="8"/>
      <c r="B705" s="8"/>
      <c r="C705" s="30"/>
      <c r="D705" s="8"/>
      <c r="E705" s="8"/>
      <c r="F705" s="8"/>
      <c r="G705" s="8"/>
      <c r="H705" s="8"/>
      <c r="I705" s="8"/>
      <c r="J705" s="8"/>
      <c r="K705" s="8"/>
      <c r="L705" s="8"/>
      <c r="M705" s="8"/>
      <c r="N705" s="8"/>
      <c r="O705" s="8"/>
      <c r="P705" s="8"/>
      <c r="Q705" s="8"/>
    </row>
    <row r="706" spans="1:17" ht="12.75" customHeight="1">
      <c r="A706" s="8"/>
      <c r="B706" s="8"/>
      <c r="C706" s="30"/>
      <c r="D706" s="8"/>
      <c r="E706" s="8"/>
      <c r="F706" s="8"/>
      <c r="G706" s="8"/>
      <c r="H706" s="8"/>
      <c r="I706" s="8"/>
      <c r="J706" s="8"/>
      <c r="K706" s="8"/>
      <c r="L706" s="8"/>
      <c r="M706" s="8"/>
      <c r="N706" s="8"/>
      <c r="O706" s="8"/>
      <c r="P706" s="8"/>
      <c r="Q706" s="8"/>
    </row>
    <row r="707" spans="1:17" ht="12.75" customHeight="1">
      <c r="A707" s="8"/>
      <c r="B707" s="8"/>
      <c r="C707" s="30"/>
      <c r="D707" s="8"/>
      <c r="E707" s="8"/>
      <c r="F707" s="8"/>
      <c r="G707" s="8"/>
      <c r="H707" s="8"/>
      <c r="I707" s="8"/>
      <c r="J707" s="8"/>
      <c r="K707" s="8"/>
      <c r="L707" s="8"/>
      <c r="M707" s="8"/>
      <c r="N707" s="8"/>
      <c r="O707" s="8"/>
      <c r="P707" s="8"/>
      <c r="Q707" s="8"/>
    </row>
    <row r="708" spans="1:17" ht="12.75" customHeight="1">
      <c r="A708" s="8"/>
      <c r="B708" s="8"/>
      <c r="C708" s="30"/>
      <c r="D708" s="8"/>
      <c r="E708" s="8"/>
      <c r="F708" s="8"/>
      <c r="G708" s="8"/>
      <c r="H708" s="8"/>
      <c r="I708" s="8"/>
      <c r="J708" s="8"/>
      <c r="K708" s="8"/>
      <c r="L708" s="8"/>
      <c r="M708" s="8"/>
      <c r="N708" s="8"/>
      <c r="O708" s="8"/>
      <c r="P708" s="8"/>
      <c r="Q708" s="8"/>
    </row>
    <row r="709" spans="1:17" ht="12.75" customHeight="1">
      <c r="A709" s="8"/>
      <c r="B709" s="8"/>
      <c r="C709" s="30"/>
      <c r="D709" s="8"/>
      <c r="E709" s="8"/>
      <c r="F709" s="8"/>
      <c r="G709" s="8"/>
      <c r="H709" s="8"/>
      <c r="I709" s="8"/>
      <c r="J709" s="8"/>
      <c r="K709" s="8"/>
      <c r="L709" s="8"/>
      <c r="M709" s="8"/>
      <c r="N709" s="8"/>
      <c r="O709" s="8"/>
      <c r="P709" s="8"/>
      <c r="Q709" s="8"/>
    </row>
    <row r="710" spans="1:17" ht="12.75" customHeight="1">
      <c r="A710" s="8"/>
      <c r="B710" s="8"/>
      <c r="C710" s="30"/>
      <c r="D710" s="8"/>
      <c r="E710" s="8"/>
      <c r="F710" s="8"/>
      <c r="G710" s="8"/>
      <c r="H710" s="8"/>
      <c r="I710" s="8"/>
      <c r="J710" s="8"/>
      <c r="K710" s="8"/>
      <c r="L710" s="8"/>
      <c r="M710" s="8"/>
      <c r="N710" s="8"/>
      <c r="O710" s="8"/>
      <c r="P710" s="8"/>
      <c r="Q710" s="8"/>
    </row>
    <row r="711" spans="1:17" ht="12.75" customHeight="1">
      <c r="A711" s="8"/>
      <c r="B711" s="8"/>
      <c r="C711" s="30"/>
      <c r="D711" s="8"/>
      <c r="E711" s="8"/>
      <c r="F711" s="8"/>
      <c r="G711" s="8"/>
      <c r="H711" s="8"/>
      <c r="I711" s="8"/>
      <c r="J711" s="8"/>
      <c r="K711" s="8"/>
      <c r="L711" s="8"/>
      <c r="M711" s="8"/>
      <c r="N711" s="8"/>
      <c r="O711" s="8"/>
      <c r="P711" s="8"/>
      <c r="Q711" s="8"/>
    </row>
    <row r="712" spans="1:17" ht="12.75" customHeight="1">
      <c r="A712" s="8"/>
      <c r="B712" s="8"/>
      <c r="C712" s="30"/>
      <c r="D712" s="8"/>
      <c r="E712" s="8"/>
      <c r="F712" s="8"/>
      <c r="G712" s="8"/>
      <c r="H712" s="8"/>
      <c r="I712" s="8"/>
      <c r="J712" s="8"/>
      <c r="K712" s="8"/>
      <c r="L712" s="8"/>
      <c r="M712" s="8"/>
      <c r="N712" s="8"/>
      <c r="O712" s="8"/>
      <c r="P712" s="8"/>
      <c r="Q712" s="8"/>
    </row>
    <row r="713" spans="1:17" ht="12.75" customHeight="1">
      <c r="A713" s="8"/>
      <c r="B713" s="8"/>
      <c r="C713" s="30"/>
      <c r="D713" s="8"/>
      <c r="E713" s="8"/>
      <c r="F713" s="8"/>
      <c r="G713" s="8"/>
      <c r="H713" s="8"/>
      <c r="I713" s="8"/>
      <c r="J713" s="8"/>
      <c r="K713" s="8"/>
      <c r="L713" s="8"/>
      <c r="M713" s="8"/>
      <c r="N713" s="8"/>
      <c r="O713" s="8"/>
      <c r="P713" s="8"/>
      <c r="Q713" s="8"/>
    </row>
    <row r="714" spans="1:17" ht="12.75" customHeight="1">
      <c r="A714" s="8"/>
      <c r="B714" s="8"/>
      <c r="C714" s="30"/>
      <c r="D714" s="8"/>
      <c r="E714" s="8"/>
      <c r="F714" s="8"/>
      <c r="G714" s="8"/>
      <c r="H714" s="8"/>
      <c r="I714" s="8"/>
      <c r="J714" s="8"/>
      <c r="K714" s="8"/>
      <c r="L714" s="8"/>
      <c r="M714" s="8"/>
      <c r="N714" s="8"/>
      <c r="O714" s="8"/>
      <c r="P714" s="8"/>
      <c r="Q714" s="8"/>
    </row>
    <row r="715" spans="1:17" ht="12.75" customHeight="1">
      <c r="A715" s="8"/>
      <c r="B715" s="8"/>
      <c r="C715" s="30"/>
      <c r="D715" s="8"/>
      <c r="E715" s="8"/>
      <c r="F715" s="8"/>
      <c r="G715" s="8"/>
      <c r="H715" s="8"/>
      <c r="I715" s="8"/>
      <c r="J715" s="8"/>
      <c r="K715" s="8"/>
      <c r="L715" s="8"/>
      <c r="M715" s="8"/>
      <c r="N715" s="8"/>
      <c r="O715" s="8"/>
      <c r="P715" s="8"/>
      <c r="Q715" s="8"/>
    </row>
    <row r="716" spans="1:17" ht="12.75" customHeight="1">
      <c r="A716" s="8"/>
      <c r="B716" s="8"/>
      <c r="C716" s="30"/>
      <c r="D716" s="8"/>
      <c r="E716" s="8"/>
      <c r="F716" s="8"/>
      <c r="G716" s="8"/>
      <c r="H716" s="8"/>
      <c r="I716" s="8"/>
      <c r="J716" s="8"/>
      <c r="K716" s="8"/>
      <c r="L716" s="8"/>
      <c r="M716" s="8"/>
      <c r="N716" s="8"/>
      <c r="O716" s="8"/>
      <c r="P716" s="8"/>
      <c r="Q716" s="8"/>
    </row>
    <row r="717" spans="1:17" ht="12.75" customHeight="1">
      <c r="A717" s="8"/>
      <c r="B717" s="8"/>
      <c r="C717" s="30"/>
      <c r="D717" s="8"/>
      <c r="E717" s="8"/>
      <c r="F717" s="8"/>
      <c r="G717" s="8"/>
      <c r="H717" s="8"/>
      <c r="I717" s="8"/>
      <c r="J717" s="8"/>
      <c r="K717" s="8"/>
      <c r="L717" s="8"/>
      <c r="M717" s="8"/>
      <c r="N717" s="8"/>
      <c r="O717" s="8"/>
      <c r="P717" s="8"/>
      <c r="Q717" s="8"/>
    </row>
    <row r="718" spans="1:17" ht="12.75" customHeight="1">
      <c r="A718" s="8"/>
      <c r="B718" s="8"/>
      <c r="C718" s="30"/>
      <c r="D718" s="8"/>
      <c r="E718" s="8"/>
      <c r="F718" s="8"/>
      <c r="G718" s="8"/>
      <c r="H718" s="8"/>
      <c r="I718" s="8"/>
      <c r="J718" s="8"/>
      <c r="K718" s="8"/>
      <c r="L718" s="8"/>
      <c r="M718" s="8"/>
      <c r="N718" s="8"/>
      <c r="O718" s="8"/>
      <c r="P718" s="8"/>
      <c r="Q718" s="8"/>
    </row>
    <row r="719" spans="1:17" ht="12.75" customHeight="1">
      <c r="A719" s="8"/>
      <c r="B719" s="8"/>
      <c r="C719" s="30"/>
      <c r="D719" s="8"/>
      <c r="E719" s="8"/>
      <c r="F719" s="8"/>
      <c r="G719" s="8"/>
      <c r="H719" s="8"/>
      <c r="I719" s="8"/>
      <c r="J719" s="8"/>
      <c r="K719" s="8"/>
      <c r="L719" s="8"/>
      <c r="M719" s="8"/>
      <c r="N719" s="8"/>
      <c r="O719" s="8"/>
      <c r="P719" s="8"/>
      <c r="Q719" s="8"/>
    </row>
    <row r="720" spans="1:17" ht="12.75" customHeight="1">
      <c r="A720" s="8"/>
      <c r="B720" s="8"/>
      <c r="C720" s="30"/>
      <c r="D720" s="8"/>
      <c r="E720" s="8"/>
      <c r="F720" s="8"/>
      <c r="G720" s="8"/>
      <c r="H720" s="8"/>
      <c r="I720" s="8"/>
      <c r="J720" s="8"/>
      <c r="K720" s="8"/>
      <c r="L720" s="8"/>
      <c r="M720" s="8"/>
      <c r="N720" s="8"/>
      <c r="O720" s="8"/>
      <c r="P720" s="8"/>
      <c r="Q720" s="8"/>
    </row>
    <row r="721" spans="1:17" ht="12.75" customHeight="1">
      <c r="A721" s="8"/>
      <c r="B721" s="8"/>
      <c r="C721" s="30"/>
      <c r="D721" s="8"/>
      <c r="E721" s="8"/>
      <c r="F721" s="8"/>
      <c r="G721" s="8"/>
      <c r="H721" s="8"/>
      <c r="I721" s="8"/>
      <c r="J721" s="8"/>
      <c r="K721" s="8"/>
      <c r="L721" s="8"/>
      <c r="M721" s="8"/>
      <c r="N721" s="8"/>
      <c r="O721" s="8"/>
      <c r="P721" s="8"/>
      <c r="Q721" s="8"/>
    </row>
    <row r="722" spans="1:17" ht="12.75" customHeight="1">
      <c r="A722" s="8"/>
      <c r="B722" s="8"/>
      <c r="C722" s="30"/>
      <c r="D722" s="8"/>
      <c r="E722" s="8"/>
      <c r="F722" s="8"/>
      <c r="G722" s="8"/>
      <c r="H722" s="8"/>
      <c r="I722" s="8"/>
      <c r="J722" s="8"/>
      <c r="K722" s="8"/>
      <c r="L722" s="8"/>
      <c r="M722" s="8"/>
      <c r="N722" s="8"/>
      <c r="O722" s="8"/>
      <c r="P722" s="8"/>
      <c r="Q722" s="8"/>
    </row>
    <row r="723" spans="1:17" ht="12.75" customHeight="1">
      <c r="A723" s="8"/>
      <c r="B723" s="8"/>
      <c r="C723" s="30"/>
      <c r="D723" s="8"/>
      <c r="E723" s="8"/>
      <c r="F723" s="8"/>
      <c r="G723" s="8"/>
      <c r="H723" s="8"/>
      <c r="I723" s="8"/>
      <c r="J723" s="8"/>
      <c r="K723" s="8"/>
      <c r="L723" s="8"/>
      <c r="M723" s="8"/>
      <c r="N723" s="8"/>
      <c r="O723" s="8"/>
      <c r="P723" s="8"/>
      <c r="Q723" s="8"/>
    </row>
    <row r="724" spans="1:17" ht="12.75" customHeight="1">
      <c r="A724" s="8"/>
      <c r="B724" s="8"/>
      <c r="C724" s="30"/>
      <c r="D724" s="8"/>
      <c r="E724" s="8"/>
      <c r="F724" s="8"/>
      <c r="G724" s="8"/>
      <c r="H724" s="8"/>
      <c r="I724" s="8"/>
      <c r="J724" s="8"/>
      <c r="K724" s="8"/>
      <c r="L724" s="8"/>
      <c r="M724" s="8"/>
      <c r="N724" s="8"/>
      <c r="O724" s="8"/>
      <c r="P724" s="8"/>
      <c r="Q724" s="8"/>
    </row>
    <row r="725" spans="1:17" ht="12.75" customHeight="1">
      <c r="A725" s="8"/>
      <c r="B725" s="8"/>
      <c r="C725" s="30"/>
      <c r="D725" s="8"/>
      <c r="E725" s="8"/>
      <c r="F725" s="8"/>
      <c r="G725" s="8"/>
      <c r="H725" s="8"/>
      <c r="I725" s="8"/>
      <c r="J725" s="8"/>
      <c r="K725" s="8"/>
      <c r="L725" s="8"/>
      <c r="M725" s="8"/>
      <c r="N725" s="8"/>
      <c r="O725" s="8"/>
      <c r="P725" s="8"/>
      <c r="Q725" s="8"/>
    </row>
    <row r="726" spans="1:17" ht="12.75" customHeight="1">
      <c r="A726" s="8"/>
      <c r="B726" s="8"/>
      <c r="C726" s="30"/>
      <c r="D726" s="8"/>
      <c r="E726" s="8"/>
      <c r="F726" s="8"/>
      <c r="G726" s="8"/>
      <c r="H726" s="8"/>
      <c r="I726" s="8"/>
      <c r="J726" s="8"/>
      <c r="K726" s="8"/>
      <c r="L726" s="8"/>
      <c r="M726" s="8"/>
      <c r="N726" s="8"/>
      <c r="O726" s="8"/>
      <c r="P726" s="8"/>
      <c r="Q726" s="8"/>
    </row>
    <row r="727" spans="1:17" ht="12.75" customHeight="1">
      <c r="A727" s="8"/>
      <c r="B727" s="8"/>
      <c r="C727" s="30"/>
      <c r="D727" s="8"/>
      <c r="E727" s="8"/>
      <c r="F727" s="8"/>
      <c r="G727" s="8"/>
      <c r="H727" s="8"/>
      <c r="I727" s="8"/>
      <c r="J727" s="8"/>
      <c r="K727" s="8"/>
      <c r="L727" s="8"/>
      <c r="M727" s="8"/>
      <c r="N727" s="8"/>
      <c r="O727" s="8"/>
      <c r="P727" s="8"/>
      <c r="Q727" s="8"/>
    </row>
    <row r="728" spans="1:17" ht="12.75" customHeight="1">
      <c r="A728" s="8"/>
      <c r="B728" s="8"/>
      <c r="C728" s="30"/>
      <c r="D728" s="8"/>
      <c r="E728" s="8"/>
      <c r="F728" s="8"/>
      <c r="G728" s="8"/>
      <c r="H728" s="8"/>
      <c r="I728" s="8"/>
      <c r="J728" s="8"/>
      <c r="K728" s="8"/>
      <c r="L728" s="8"/>
      <c r="M728" s="8"/>
      <c r="N728" s="8"/>
      <c r="O728" s="8"/>
      <c r="P728" s="8"/>
      <c r="Q728" s="8"/>
    </row>
    <row r="729" spans="1:17" ht="12.75" customHeight="1">
      <c r="A729" s="8"/>
      <c r="B729" s="8"/>
      <c r="C729" s="30"/>
      <c r="D729" s="8"/>
      <c r="E729" s="8"/>
      <c r="F729" s="8"/>
      <c r="G729" s="8"/>
      <c r="H729" s="8"/>
      <c r="I729" s="8"/>
      <c r="J729" s="8"/>
      <c r="K729" s="8"/>
      <c r="L729" s="8"/>
      <c r="M729" s="8"/>
      <c r="N729" s="8"/>
      <c r="O729" s="8"/>
      <c r="P729" s="8"/>
      <c r="Q729" s="8"/>
    </row>
    <row r="730" spans="1:17" ht="12.75" customHeight="1">
      <c r="A730" s="8"/>
      <c r="B730" s="8"/>
      <c r="C730" s="30"/>
      <c r="D730" s="8"/>
      <c r="E730" s="8"/>
      <c r="F730" s="8"/>
      <c r="G730" s="8"/>
      <c r="H730" s="8"/>
      <c r="I730" s="8"/>
      <c r="J730" s="8"/>
      <c r="K730" s="8"/>
      <c r="L730" s="8"/>
      <c r="M730" s="8"/>
      <c r="N730" s="8"/>
      <c r="O730" s="8"/>
      <c r="P730" s="8"/>
      <c r="Q730" s="8"/>
    </row>
    <row r="731" spans="1:17" ht="12.75" customHeight="1">
      <c r="A731" s="8"/>
      <c r="B731" s="8"/>
      <c r="C731" s="30"/>
      <c r="D731" s="8"/>
      <c r="E731" s="8"/>
      <c r="F731" s="8"/>
      <c r="G731" s="8"/>
      <c r="H731" s="8"/>
      <c r="I731" s="8"/>
      <c r="J731" s="8"/>
      <c r="K731" s="8"/>
      <c r="L731" s="8"/>
      <c r="M731" s="8"/>
      <c r="N731" s="8"/>
      <c r="O731" s="8"/>
      <c r="P731" s="8"/>
      <c r="Q731" s="8"/>
    </row>
    <row r="732" spans="1:17" ht="12.75" customHeight="1">
      <c r="A732" s="8"/>
      <c r="B732" s="8"/>
      <c r="C732" s="30"/>
      <c r="D732" s="8"/>
      <c r="E732" s="8"/>
      <c r="F732" s="8"/>
      <c r="G732" s="8"/>
      <c r="H732" s="8"/>
      <c r="I732" s="8"/>
      <c r="J732" s="8"/>
      <c r="K732" s="8"/>
      <c r="L732" s="8"/>
      <c r="M732" s="8"/>
      <c r="N732" s="8"/>
      <c r="O732" s="8"/>
      <c r="P732" s="8"/>
      <c r="Q732" s="8"/>
    </row>
    <row r="733" spans="1:17" ht="12.75" customHeight="1">
      <c r="A733" s="8"/>
      <c r="B733" s="8"/>
      <c r="C733" s="30"/>
      <c r="D733" s="8"/>
      <c r="E733" s="8"/>
      <c r="F733" s="8"/>
      <c r="G733" s="8"/>
      <c r="H733" s="8"/>
      <c r="I733" s="8"/>
      <c r="J733" s="8"/>
      <c r="K733" s="8"/>
      <c r="L733" s="8"/>
      <c r="M733" s="8"/>
      <c r="N733" s="8"/>
      <c r="O733" s="8"/>
      <c r="P733" s="8"/>
      <c r="Q733" s="8"/>
    </row>
    <row r="734" spans="1:17" ht="12.75" customHeight="1">
      <c r="A734" s="8"/>
      <c r="B734" s="8"/>
      <c r="C734" s="30"/>
      <c r="D734" s="8"/>
      <c r="E734" s="8"/>
      <c r="F734" s="8"/>
      <c r="G734" s="8"/>
      <c r="H734" s="8"/>
      <c r="I734" s="8"/>
      <c r="J734" s="8"/>
      <c r="K734" s="8"/>
      <c r="L734" s="8"/>
      <c r="M734" s="8"/>
      <c r="N734" s="8"/>
      <c r="O734" s="8"/>
      <c r="P734" s="8"/>
      <c r="Q734" s="8"/>
    </row>
    <row r="735" spans="1:17" ht="12.75" customHeight="1">
      <c r="A735" s="8"/>
      <c r="B735" s="8"/>
      <c r="C735" s="30"/>
      <c r="D735" s="8"/>
      <c r="E735" s="8"/>
      <c r="F735" s="8"/>
      <c r="G735" s="8"/>
      <c r="H735" s="8"/>
      <c r="I735" s="8"/>
      <c r="J735" s="8"/>
      <c r="K735" s="8"/>
      <c r="L735" s="8"/>
      <c r="M735" s="8"/>
      <c r="N735" s="8"/>
      <c r="O735" s="8"/>
      <c r="P735" s="8"/>
      <c r="Q735" s="8"/>
    </row>
    <row r="736" spans="1:17" ht="12.75" customHeight="1">
      <c r="A736" s="8"/>
      <c r="B736" s="8"/>
      <c r="C736" s="30"/>
      <c r="D736" s="8"/>
      <c r="E736" s="8"/>
      <c r="F736" s="8"/>
      <c r="G736" s="8"/>
      <c r="H736" s="8"/>
      <c r="I736" s="8"/>
      <c r="J736" s="8"/>
      <c r="K736" s="8"/>
      <c r="L736" s="8"/>
      <c r="M736" s="8"/>
      <c r="N736" s="8"/>
      <c r="O736" s="8"/>
      <c r="P736" s="8"/>
      <c r="Q736" s="8"/>
    </row>
    <row r="737" spans="1:17" ht="12.75" customHeight="1">
      <c r="A737" s="8"/>
      <c r="B737" s="8"/>
      <c r="C737" s="30"/>
      <c r="D737" s="8"/>
      <c r="E737" s="8"/>
      <c r="F737" s="8"/>
      <c r="G737" s="8"/>
      <c r="H737" s="8"/>
      <c r="I737" s="8"/>
      <c r="J737" s="8"/>
      <c r="K737" s="8"/>
      <c r="L737" s="8"/>
      <c r="M737" s="8"/>
      <c r="N737" s="8"/>
      <c r="O737" s="8"/>
      <c r="P737" s="8"/>
      <c r="Q737" s="8"/>
    </row>
    <row r="738" spans="1:17" ht="12.75" customHeight="1">
      <c r="A738" s="8"/>
      <c r="B738" s="8"/>
      <c r="C738" s="30"/>
      <c r="D738" s="8"/>
      <c r="E738" s="8"/>
      <c r="F738" s="8"/>
      <c r="G738" s="8"/>
      <c r="H738" s="8"/>
      <c r="I738" s="8"/>
      <c r="J738" s="8"/>
      <c r="K738" s="8"/>
      <c r="L738" s="8"/>
      <c r="M738" s="8"/>
      <c r="N738" s="8"/>
      <c r="O738" s="8"/>
      <c r="P738" s="8"/>
      <c r="Q738" s="8"/>
    </row>
    <row r="739" spans="1:17" ht="12.75" customHeight="1">
      <c r="A739" s="8"/>
      <c r="B739" s="8"/>
      <c r="C739" s="30"/>
      <c r="D739" s="8"/>
      <c r="E739" s="8"/>
      <c r="F739" s="8"/>
      <c r="G739" s="8"/>
      <c r="H739" s="8"/>
      <c r="I739" s="8"/>
      <c r="J739" s="8"/>
      <c r="K739" s="8"/>
      <c r="L739" s="8"/>
      <c r="M739" s="8"/>
      <c r="N739" s="8"/>
      <c r="O739" s="8"/>
      <c r="P739" s="8"/>
      <c r="Q739" s="8"/>
    </row>
    <row r="740" spans="1:17" ht="12.75" customHeight="1">
      <c r="A740" s="8"/>
      <c r="B740" s="8"/>
      <c r="C740" s="30"/>
      <c r="D740" s="8"/>
      <c r="E740" s="8"/>
      <c r="F740" s="8"/>
      <c r="G740" s="8"/>
      <c r="H740" s="8"/>
      <c r="I740" s="8"/>
      <c r="J740" s="8"/>
      <c r="K740" s="8"/>
      <c r="L740" s="8"/>
      <c r="M740" s="8"/>
      <c r="N740" s="8"/>
      <c r="O740" s="8"/>
      <c r="P740" s="8"/>
      <c r="Q740" s="8"/>
    </row>
    <row r="741" spans="1:17" ht="12.75" customHeight="1">
      <c r="A741" s="8"/>
      <c r="B741" s="8"/>
      <c r="C741" s="30"/>
      <c r="D741" s="8"/>
      <c r="E741" s="8"/>
      <c r="F741" s="8"/>
      <c r="G741" s="8"/>
      <c r="H741" s="8"/>
      <c r="I741" s="8"/>
      <c r="J741" s="8"/>
      <c r="K741" s="8"/>
      <c r="L741" s="8"/>
      <c r="M741" s="8"/>
      <c r="N741" s="8"/>
      <c r="O741" s="8"/>
      <c r="P741" s="8"/>
      <c r="Q741" s="8"/>
    </row>
    <row r="742" spans="1:17" ht="12.75" customHeight="1">
      <c r="A742" s="8"/>
      <c r="B742" s="8"/>
      <c r="C742" s="30"/>
      <c r="D742" s="8"/>
      <c r="E742" s="8"/>
      <c r="F742" s="8"/>
      <c r="G742" s="8"/>
      <c r="H742" s="8"/>
      <c r="I742" s="8"/>
      <c r="J742" s="8"/>
      <c r="K742" s="8"/>
      <c r="L742" s="8"/>
      <c r="M742" s="8"/>
      <c r="N742" s="8"/>
      <c r="O742" s="8"/>
      <c r="P742" s="8"/>
      <c r="Q742" s="8"/>
    </row>
    <row r="743" spans="1:17" ht="12.75" customHeight="1">
      <c r="A743" s="8"/>
      <c r="B743" s="8"/>
      <c r="C743" s="30"/>
      <c r="D743" s="8"/>
      <c r="E743" s="8"/>
      <c r="F743" s="8"/>
      <c r="G743" s="8"/>
      <c r="H743" s="8"/>
      <c r="I743" s="8"/>
      <c r="J743" s="8"/>
      <c r="K743" s="8"/>
      <c r="L743" s="8"/>
      <c r="M743" s="8"/>
      <c r="N743" s="8"/>
      <c r="O743" s="8"/>
      <c r="P743" s="8"/>
      <c r="Q743" s="8"/>
    </row>
    <row r="744" spans="1:17" ht="12.75" customHeight="1">
      <c r="A744" s="8"/>
      <c r="B744" s="8"/>
      <c r="C744" s="30"/>
      <c r="D744" s="8"/>
      <c r="E744" s="8"/>
      <c r="F744" s="8"/>
      <c r="G744" s="8"/>
      <c r="H744" s="8"/>
      <c r="I744" s="8"/>
      <c r="J744" s="8"/>
      <c r="K744" s="8"/>
      <c r="L744" s="8"/>
      <c r="M744" s="8"/>
      <c r="N744" s="8"/>
      <c r="O744" s="8"/>
      <c r="P744" s="8"/>
      <c r="Q744" s="8"/>
    </row>
    <row r="745" spans="1:17" ht="12.75" customHeight="1">
      <c r="A745" s="8"/>
      <c r="B745" s="8"/>
      <c r="C745" s="30"/>
      <c r="D745" s="8"/>
      <c r="E745" s="8"/>
      <c r="F745" s="8"/>
      <c r="G745" s="8"/>
      <c r="H745" s="8"/>
      <c r="I745" s="8"/>
      <c r="J745" s="8"/>
      <c r="K745" s="8"/>
      <c r="L745" s="8"/>
      <c r="M745" s="8"/>
      <c r="N745" s="8"/>
      <c r="O745" s="8"/>
      <c r="P745" s="8"/>
      <c r="Q745" s="8"/>
    </row>
    <row r="746" spans="1:17" ht="12.75" customHeight="1">
      <c r="A746" s="8"/>
      <c r="B746" s="8"/>
      <c r="C746" s="30"/>
      <c r="D746" s="8"/>
      <c r="E746" s="8"/>
      <c r="F746" s="8"/>
      <c r="G746" s="8"/>
      <c r="H746" s="8"/>
      <c r="I746" s="8"/>
      <c r="J746" s="8"/>
      <c r="K746" s="8"/>
      <c r="L746" s="8"/>
      <c r="M746" s="8"/>
      <c r="N746" s="8"/>
      <c r="O746" s="8"/>
      <c r="P746" s="8"/>
      <c r="Q746" s="8"/>
    </row>
    <row r="747" spans="1:17" ht="12.75" customHeight="1">
      <c r="A747" s="8"/>
      <c r="B747" s="8"/>
      <c r="C747" s="30"/>
      <c r="D747" s="8"/>
      <c r="E747" s="8"/>
      <c r="F747" s="8"/>
      <c r="G747" s="8"/>
      <c r="H747" s="8"/>
      <c r="I747" s="8"/>
      <c r="J747" s="8"/>
      <c r="K747" s="8"/>
      <c r="L747" s="8"/>
      <c r="M747" s="8"/>
      <c r="N747" s="8"/>
      <c r="O747" s="8"/>
      <c r="P747" s="8"/>
      <c r="Q747" s="8"/>
    </row>
    <row r="748" spans="1:17" ht="12.75" customHeight="1">
      <c r="A748" s="8"/>
      <c r="B748" s="8"/>
      <c r="C748" s="30"/>
      <c r="D748" s="8"/>
      <c r="E748" s="8"/>
      <c r="F748" s="8"/>
      <c r="G748" s="8"/>
      <c r="H748" s="8"/>
      <c r="I748" s="8"/>
      <c r="J748" s="8"/>
      <c r="K748" s="8"/>
      <c r="L748" s="8"/>
      <c r="M748" s="8"/>
      <c r="N748" s="8"/>
      <c r="O748" s="8"/>
      <c r="P748" s="8"/>
      <c r="Q748" s="8"/>
    </row>
    <row r="749" spans="1:17" ht="12.75" customHeight="1">
      <c r="A749" s="8"/>
      <c r="B749" s="8"/>
      <c r="C749" s="30"/>
      <c r="D749" s="8"/>
      <c r="E749" s="8"/>
      <c r="F749" s="8"/>
      <c r="G749" s="8"/>
      <c r="H749" s="8"/>
      <c r="I749" s="8"/>
      <c r="J749" s="8"/>
      <c r="K749" s="8"/>
      <c r="L749" s="8"/>
      <c r="M749" s="8"/>
      <c r="N749" s="8"/>
      <c r="O749" s="8"/>
      <c r="P749" s="8"/>
      <c r="Q749" s="8"/>
    </row>
    <row r="750" spans="1:17" ht="12.75" customHeight="1">
      <c r="A750" s="8"/>
      <c r="B750" s="8"/>
      <c r="C750" s="30"/>
      <c r="D750" s="8"/>
      <c r="E750" s="8"/>
      <c r="F750" s="8"/>
      <c r="G750" s="8"/>
      <c r="H750" s="8"/>
      <c r="I750" s="8"/>
      <c r="J750" s="8"/>
      <c r="K750" s="8"/>
      <c r="L750" s="8"/>
      <c r="M750" s="8"/>
      <c r="N750" s="8"/>
      <c r="O750" s="8"/>
      <c r="P750" s="8"/>
      <c r="Q750" s="8"/>
    </row>
    <row r="751" spans="1:17" ht="12.75" customHeight="1">
      <c r="A751" s="8"/>
      <c r="B751" s="8"/>
      <c r="C751" s="30"/>
      <c r="D751" s="8"/>
      <c r="E751" s="8"/>
      <c r="F751" s="8"/>
      <c r="G751" s="8"/>
      <c r="H751" s="8"/>
      <c r="I751" s="8"/>
      <c r="J751" s="8"/>
      <c r="K751" s="8"/>
      <c r="L751" s="8"/>
      <c r="M751" s="8"/>
      <c r="N751" s="8"/>
      <c r="O751" s="8"/>
      <c r="P751" s="8"/>
      <c r="Q751" s="8"/>
    </row>
    <row r="752" spans="1:17" ht="12.75" customHeight="1">
      <c r="A752" s="8"/>
      <c r="B752" s="8"/>
      <c r="C752" s="30"/>
      <c r="D752" s="8"/>
      <c r="E752" s="8"/>
      <c r="F752" s="8"/>
      <c r="G752" s="8"/>
      <c r="H752" s="8"/>
      <c r="I752" s="8"/>
      <c r="J752" s="8"/>
      <c r="K752" s="8"/>
      <c r="L752" s="8"/>
      <c r="M752" s="8"/>
      <c r="N752" s="8"/>
      <c r="O752" s="8"/>
      <c r="P752" s="8"/>
      <c r="Q752" s="8"/>
    </row>
    <row r="753" spans="1:17" ht="12.75" customHeight="1">
      <c r="A753" s="8"/>
      <c r="B753" s="8"/>
      <c r="C753" s="30"/>
      <c r="D753" s="8"/>
      <c r="E753" s="8"/>
      <c r="F753" s="8"/>
      <c r="G753" s="8"/>
      <c r="H753" s="8"/>
      <c r="I753" s="8"/>
      <c r="J753" s="8"/>
      <c r="K753" s="8"/>
      <c r="L753" s="8"/>
      <c r="M753" s="8"/>
      <c r="N753" s="8"/>
      <c r="O753" s="8"/>
      <c r="P753" s="8"/>
      <c r="Q753" s="8"/>
    </row>
    <row r="754" spans="1:17" ht="12.75" customHeight="1">
      <c r="A754" s="8"/>
      <c r="B754" s="8"/>
      <c r="C754" s="30"/>
      <c r="D754" s="8"/>
      <c r="E754" s="8"/>
      <c r="F754" s="8"/>
      <c r="G754" s="8"/>
      <c r="H754" s="8"/>
      <c r="I754" s="8"/>
      <c r="J754" s="8"/>
      <c r="K754" s="8"/>
      <c r="L754" s="8"/>
      <c r="M754" s="8"/>
      <c r="N754" s="8"/>
      <c r="O754" s="8"/>
      <c r="P754" s="8"/>
      <c r="Q754" s="8"/>
    </row>
    <row r="755" spans="1:17" ht="12.75" customHeight="1">
      <c r="A755" s="8"/>
      <c r="B755" s="8"/>
      <c r="C755" s="30"/>
      <c r="D755" s="8"/>
      <c r="E755" s="8"/>
      <c r="F755" s="8"/>
      <c r="G755" s="8"/>
      <c r="H755" s="8"/>
      <c r="I755" s="8"/>
      <c r="J755" s="8"/>
      <c r="K755" s="8"/>
      <c r="L755" s="8"/>
      <c r="M755" s="8"/>
      <c r="N755" s="8"/>
      <c r="O755" s="8"/>
      <c r="P755" s="8"/>
      <c r="Q755" s="8"/>
    </row>
    <row r="756" spans="1:17" ht="12.75" customHeight="1">
      <c r="A756" s="8"/>
      <c r="B756" s="8"/>
      <c r="C756" s="30"/>
      <c r="D756" s="8"/>
      <c r="E756" s="8"/>
      <c r="F756" s="8"/>
      <c r="G756" s="8"/>
      <c r="H756" s="8"/>
      <c r="I756" s="8"/>
      <c r="J756" s="8"/>
      <c r="K756" s="8"/>
      <c r="L756" s="8"/>
      <c r="M756" s="8"/>
      <c r="N756" s="8"/>
      <c r="O756" s="8"/>
      <c r="P756" s="8"/>
      <c r="Q756" s="8"/>
    </row>
    <row r="757" spans="1:17" ht="12.75" customHeight="1">
      <c r="A757" s="8"/>
      <c r="B757" s="8"/>
      <c r="C757" s="30"/>
      <c r="D757" s="8"/>
      <c r="E757" s="8"/>
      <c r="F757" s="8"/>
      <c r="G757" s="8"/>
      <c r="H757" s="8"/>
      <c r="I757" s="8"/>
      <c r="J757" s="8"/>
      <c r="K757" s="8"/>
      <c r="L757" s="8"/>
      <c r="M757" s="8"/>
      <c r="N757" s="8"/>
      <c r="O757" s="8"/>
      <c r="P757" s="8"/>
      <c r="Q757" s="8"/>
    </row>
    <row r="758" spans="1:17" ht="12.75" customHeight="1">
      <c r="A758" s="8"/>
      <c r="B758" s="8"/>
      <c r="C758" s="30"/>
      <c r="D758" s="8"/>
      <c r="E758" s="8"/>
      <c r="F758" s="8"/>
      <c r="G758" s="8"/>
      <c r="H758" s="8"/>
      <c r="I758" s="8"/>
      <c r="J758" s="8"/>
      <c r="K758" s="8"/>
      <c r="L758" s="8"/>
      <c r="M758" s="8"/>
      <c r="N758" s="8"/>
      <c r="O758" s="8"/>
      <c r="P758" s="8"/>
      <c r="Q758" s="8"/>
    </row>
    <row r="759" spans="1:17" ht="12.75" customHeight="1">
      <c r="A759" s="8"/>
      <c r="B759" s="8"/>
      <c r="C759" s="30"/>
      <c r="D759" s="8"/>
      <c r="E759" s="8"/>
      <c r="F759" s="8"/>
      <c r="G759" s="8"/>
      <c r="H759" s="8"/>
      <c r="I759" s="8"/>
      <c r="J759" s="8"/>
      <c r="K759" s="8"/>
      <c r="L759" s="8"/>
      <c r="M759" s="8"/>
      <c r="N759" s="8"/>
      <c r="O759" s="8"/>
      <c r="P759" s="8"/>
      <c r="Q759" s="8"/>
    </row>
    <row r="760" spans="1:17" ht="12.75" customHeight="1">
      <c r="A760" s="8"/>
      <c r="B760" s="8"/>
      <c r="C760" s="30"/>
      <c r="D760" s="8"/>
      <c r="E760" s="8"/>
      <c r="F760" s="8"/>
      <c r="G760" s="8"/>
      <c r="H760" s="8"/>
      <c r="I760" s="8"/>
      <c r="J760" s="8"/>
      <c r="K760" s="8"/>
      <c r="L760" s="8"/>
      <c r="M760" s="8"/>
      <c r="N760" s="8"/>
      <c r="O760" s="8"/>
      <c r="P760" s="8"/>
      <c r="Q760" s="8"/>
    </row>
    <row r="761" spans="1:17" ht="12.75" customHeight="1">
      <c r="A761" s="8"/>
      <c r="B761" s="8"/>
      <c r="C761" s="30"/>
      <c r="D761" s="8"/>
      <c r="E761" s="8"/>
      <c r="F761" s="8"/>
      <c r="G761" s="8"/>
      <c r="H761" s="8"/>
      <c r="I761" s="8"/>
      <c r="J761" s="8"/>
      <c r="K761" s="8"/>
      <c r="L761" s="8"/>
      <c r="M761" s="8"/>
      <c r="N761" s="8"/>
      <c r="O761" s="8"/>
      <c r="P761" s="8"/>
      <c r="Q761" s="8"/>
    </row>
    <row r="762" spans="1:17" ht="12.75" customHeight="1">
      <c r="A762" s="8"/>
      <c r="B762" s="8"/>
      <c r="C762" s="30"/>
      <c r="D762" s="8"/>
      <c r="E762" s="8"/>
      <c r="F762" s="8"/>
      <c r="G762" s="8"/>
      <c r="H762" s="8"/>
      <c r="I762" s="8"/>
      <c r="J762" s="8"/>
      <c r="K762" s="8"/>
      <c r="L762" s="8"/>
      <c r="M762" s="8"/>
      <c r="N762" s="8"/>
      <c r="O762" s="8"/>
      <c r="P762" s="8"/>
      <c r="Q762" s="8"/>
    </row>
    <row r="763" spans="1:17" ht="12.75" customHeight="1">
      <c r="A763" s="8"/>
      <c r="B763" s="8"/>
      <c r="C763" s="30"/>
      <c r="D763" s="8"/>
      <c r="E763" s="8"/>
      <c r="F763" s="8"/>
      <c r="G763" s="8"/>
      <c r="H763" s="8"/>
      <c r="I763" s="8"/>
      <c r="J763" s="8"/>
      <c r="K763" s="8"/>
      <c r="L763" s="8"/>
      <c r="M763" s="8"/>
      <c r="N763" s="8"/>
      <c r="O763" s="8"/>
      <c r="P763" s="8"/>
      <c r="Q763" s="8"/>
    </row>
    <row r="764" spans="1:17" ht="12.75" customHeight="1">
      <c r="A764" s="8"/>
      <c r="B764" s="8"/>
      <c r="C764" s="30"/>
      <c r="D764" s="8"/>
      <c r="E764" s="8"/>
      <c r="F764" s="8"/>
      <c r="G764" s="8"/>
      <c r="H764" s="8"/>
      <c r="I764" s="8"/>
      <c r="J764" s="8"/>
      <c r="K764" s="8"/>
      <c r="L764" s="8"/>
      <c r="M764" s="8"/>
      <c r="N764" s="8"/>
      <c r="O764" s="8"/>
      <c r="P764" s="8"/>
      <c r="Q764" s="8"/>
    </row>
    <row r="765" spans="1:17" ht="12.75" customHeight="1">
      <c r="A765" s="8"/>
      <c r="B765" s="8"/>
      <c r="C765" s="30"/>
      <c r="D765" s="8"/>
      <c r="E765" s="8"/>
      <c r="F765" s="8"/>
      <c r="G765" s="8"/>
      <c r="H765" s="8"/>
      <c r="I765" s="8"/>
      <c r="J765" s="8"/>
      <c r="K765" s="8"/>
      <c r="L765" s="8"/>
      <c r="M765" s="8"/>
      <c r="N765" s="8"/>
      <c r="O765" s="8"/>
      <c r="P765" s="8"/>
      <c r="Q765" s="8"/>
    </row>
    <row r="766" spans="1:17" ht="12.75" customHeight="1">
      <c r="A766" s="8"/>
      <c r="B766" s="8"/>
      <c r="C766" s="30"/>
      <c r="D766" s="8"/>
      <c r="E766" s="8"/>
      <c r="F766" s="8"/>
      <c r="G766" s="8"/>
      <c r="H766" s="8"/>
      <c r="I766" s="8"/>
      <c r="J766" s="8"/>
      <c r="K766" s="8"/>
      <c r="L766" s="8"/>
      <c r="M766" s="8"/>
      <c r="N766" s="8"/>
      <c r="O766" s="8"/>
      <c r="P766" s="8"/>
      <c r="Q766" s="8"/>
    </row>
    <row r="767" spans="1:17" ht="12.75" customHeight="1">
      <c r="A767" s="8"/>
      <c r="B767" s="8"/>
      <c r="C767" s="30"/>
      <c r="D767" s="8"/>
      <c r="E767" s="8"/>
      <c r="F767" s="8"/>
      <c r="G767" s="8"/>
      <c r="H767" s="8"/>
      <c r="I767" s="8"/>
      <c r="J767" s="8"/>
      <c r="K767" s="8"/>
      <c r="L767" s="8"/>
      <c r="M767" s="8"/>
      <c r="N767" s="8"/>
      <c r="O767" s="8"/>
      <c r="P767" s="8"/>
      <c r="Q767" s="8"/>
    </row>
    <row r="768" spans="1:17" ht="12.75" customHeight="1">
      <c r="A768" s="8"/>
      <c r="B768" s="8"/>
      <c r="C768" s="30"/>
      <c r="D768" s="8"/>
      <c r="E768" s="8"/>
      <c r="F768" s="8"/>
      <c r="G768" s="8"/>
      <c r="H768" s="8"/>
      <c r="I768" s="8"/>
      <c r="J768" s="8"/>
      <c r="K768" s="8"/>
      <c r="L768" s="8"/>
      <c r="M768" s="8"/>
      <c r="N768" s="8"/>
      <c r="O768" s="8"/>
      <c r="P768" s="8"/>
      <c r="Q768" s="8"/>
    </row>
    <row r="769" spans="1:17" ht="12.75" customHeight="1">
      <c r="A769" s="8"/>
      <c r="B769" s="8"/>
      <c r="C769" s="30"/>
      <c r="D769" s="8"/>
      <c r="E769" s="8"/>
      <c r="F769" s="8"/>
      <c r="G769" s="8"/>
      <c r="H769" s="8"/>
      <c r="I769" s="8"/>
      <c r="J769" s="8"/>
      <c r="K769" s="8"/>
      <c r="L769" s="8"/>
      <c r="M769" s="8"/>
      <c r="N769" s="8"/>
      <c r="O769" s="8"/>
      <c r="P769" s="8"/>
      <c r="Q769" s="8"/>
    </row>
    <row r="770" spans="1:17" ht="12.75" customHeight="1">
      <c r="A770" s="8"/>
      <c r="B770" s="8"/>
      <c r="C770" s="30"/>
      <c r="D770" s="8"/>
      <c r="E770" s="8"/>
      <c r="F770" s="8"/>
      <c r="G770" s="8"/>
      <c r="H770" s="8"/>
      <c r="I770" s="8"/>
      <c r="J770" s="8"/>
      <c r="K770" s="8"/>
      <c r="L770" s="8"/>
      <c r="M770" s="8"/>
      <c r="N770" s="8"/>
      <c r="O770" s="8"/>
      <c r="P770" s="8"/>
      <c r="Q770" s="8"/>
    </row>
    <row r="771" spans="1:17" ht="12.75" customHeight="1">
      <c r="A771" s="8"/>
      <c r="B771" s="8"/>
      <c r="C771" s="30"/>
      <c r="D771" s="8"/>
      <c r="E771" s="8"/>
      <c r="F771" s="8"/>
      <c r="G771" s="8"/>
      <c r="H771" s="8"/>
      <c r="I771" s="8"/>
      <c r="J771" s="8"/>
      <c r="K771" s="8"/>
      <c r="L771" s="8"/>
      <c r="M771" s="8"/>
      <c r="N771" s="8"/>
      <c r="O771" s="8"/>
      <c r="P771" s="8"/>
      <c r="Q771" s="8"/>
    </row>
    <row r="772" spans="1:17" ht="12.75" customHeight="1">
      <c r="A772" s="8"/>
      <c r="B772" s="8"/>
      <c r="C772" s="30"/>
      <c r="D772" s="8"/>
      <c r="E772" s="8"/>
      <c r="F772" s="8"/>
      <c r="G772" s="8"/>
      <c r="H772" s="8"/>
      <c r="I772" s="8"/>
      <c r="J772" s="8"/>
      <c r="K772" s="8"/>
      <c r="L772" s="8"/>
      <c r="M772" s="8"/>
      <c r="N772" s="8"/>
      <c r="O772" s="8"/>
      <c r="P772" s="8"/>
      <c r="Q772" s="8"/>
    </row>
    <row r="773" spans="1:17" ht="12.75" customHeight="1">
      <c r="A773" s="8"/>
      <c r="B773" s="8"/>
      <c r="C773" s="30"/>
      <c r="D773" s="8"/>
      <c r="E773" s="8"/>
      <c r="F773" s="8"/>
      <c r="G773" s="8"/>
      <c r="H773" s="8"/>
      <c r="I773" s="8"/>
      <c r="J773" s="8"/>
      <c r="K773" s="8"/>
      <c r="L773" s="8"/>
      <c r="M773" s="8"/>
      <c r="N773" s="8"/>
      <c r="O773" s="8"/>
      <c r="P773" s="8"/>
      <c r="Q773" s="8"/>
    </row>
    <row r="774" spans="1:17" ht="12.75" customHeight="1">
      <c r="A774" s="8"/>
      <c r="B774" s="8"/>
      <c r="C774" s="30"/>
      <c r="D774" s="8"/>
      <c r="E774" s="8"/>
      <c r="F774" s="8"/>
      <c r="G774" s="8"/>
      <c r="H774" s="8"/>
      <c r="I774" s="8"/>
      <c r="J774" s="8"/>
      <c r="K774" s="8"/>
      <c r="L774" s="8"/>
      <c r="M774" s="8"/>
      <c r="N774" s="8"/>
      <c r="O774" s="8"/>
      <c r="P774" s="8"/>
      <c r="Q774" s="8"/>
    </row>
    <row r="775" spans="1:17" ht="12.75" customHeight="1">
      <c r="A775" s="8"/>
      <c r="B775" s="8"/>
      <c r="C775" s="30"/>
      <c r="D775" s="8"/>
      <c r="E775" s="8"/>
      <c r="F775" s="8"/>
      <c r="G775" s="8"/>
      <c r="H775" s="8"/>
      <c r="I775" s="8"/>
      <c r="J775" s="8"/>
      <c r="K775" s="8"/>
      <c r="L775" s="8"/>
      <c r="M775" s="8"/>
      <c r="N775" s="8"/>
      <c r="O775" s="8"/>
      <c r="P775" s="8"/>
      <c r="Q775" s="8"/>
    </row>
    <row r="776" spans="1:17" ht="12.75" customHeight="1">
      <c r="A776" s="8"/>
      <c r="B776" s="8"/>
      <c r="C776" s="30"/>
      <c r="D776" s="8"/>
      <c r="E776" s="8"/>
      <c r="F776" s="8"/>
      <c r="G776" s="8"/>
      <c r="H776" s="8"/>
      <c r="I776" s="8"/>
      <c r="J776" s="8"/>
      <c r="K776" s="8"/>
      <c r="L776" s="8"/>
      <c r="M776" s="8"/>
      <c r="N776" s="8"/>
      <c r="O776" s="8"/>
      <c r="P776" s="8"/>
      <c r="Q776" s="8"/>
    </row>
    <row r="777" spans="1:17" ht="12.75" customHeight="1">
      <c r="A777" s="8"/>
      <c r="B777" s="8"/>
      <c r="C777" s="30"/>
      <c r="D777" s="8"/>
      <c r="E777" s="8"/>
      <c r="F777" s="8"/>
      <c r="G777" s="8"/>
      <c r="H777" s="8"/>
      <c r="I777" s="8"/>
      <c r="J777" s="8"/>
      <c r="K777" s="8"/>
      <c r="L777" s="8"/>
      <c r="M777" s="8"/>
      <c r="N777" s="8"/>
      <c r="O777" s="8"/>
      <c r="P777" s="8"/>
      <c r="Q777" s="8"/>
    </row>
    <row r="778" spans="1:17" ht="12.75" customHeight="1">
      <c r="A778" s="8"/>
      <c r="B778" s="8"/>
      <c r="C778" s="30"/>
      <c r="D778" s="8"/>
      <c r="E778" s="8"/>
      <c r="F778" s="8"/>
      <c r="G778" s="8"/>
      <c r="H778" s="8"/>
      <c r="I778" s="8"/>
      <c r="J778" s="8"/>
      <c r="K778" s="8"/>
      <c r="L778" s="8"/>
      <c r="M778" s="8"/>
      <c r="N778" s="8"/>
      <c r="O778" s="8"/>
      <c r="P778" s="8"/>
      <c r="Q778" s="8"/>
    </row>
    <row r="779" spans="1:17" ht="12.75" customHeight="1">
      <c r="A779" s="8"/>
      <c r="B779" s="8"/>
      <c r="C779" s="30"/>
      <c r="D779" s="8"/>
      <c r="E779" s="8"/>
      <c r="F779" s="8"/>
      <c r="G779" s="8"/>
      <c r="H779" s="8"/>
      <c r="I779" s="8"/>
      <c r="J779" s="8"/>
      <c r="K779" s="8"/>
      <c r="L779" s="8"/>
      <c r="M779" s="8"/>
      <c r="N779" s="8"/>
      <c r="O779" s="8"/>
      <c r="P779" s="8"/>
      <c r="Q779" s="8"/>
    </row>
    <row r="780" spans="1:17" ht="12.75" customHeight="1">
      <c r="A780" s="8"/>
      <c r="B780" s="8"/>
      <c r="C780" s="30"/>
      <c r="D780" s="8"/>
      <c r="E780" s="8"/>
      <c r="F780" s="8"/>
      <c r="G780" s="8"/>
      <c r="H780" s="8"/>
      <c r="I780" s="8"/>
      <c r="J780" s="8"/>
      <c r="K780" s="8"/>
      <c r="L780" s="8"/>
      <c r="M780" s="8"/>
      <c r="N780" s="8"/>
      <c r="O780" s="8"/>
      <c r="P780" s="8"/>
      <c r="Q780" s="8"/>
    </row>
    <row r="781" spans="1:17" ht="12.75" customHeight="1">
      <c r="A781" s="8"/>
      <c r="B781" s="8"/>
      <c r="C781" s="30"/>
      <c r="D781" s="8"/>
      <c r="E781" s="8"/>
      <c r="F781" s="8"/>
      <c r="G781" s="8"/>
      <c r="H781" s="8"/>
      <c r="I781" s="8"/>
      <c r="J781" s="8"/>
      <c r="K781" s="8"/>
      <c r="L781" s="8"/>
      <c r="M781" s="8"/>
      <c r="N781" s="8"/>
      <c r="O781" s="8"/>
      <c r="P781" s="8"/>
      <c r="Q781" s="8"/>
    </row>
    <row r="782" spans="1:17" ht="12.75" customHeight="1">
      <c r="A782" s="8"/>
      <c r="B782" s="8"/>
      <c r="C782" s="30"/>
      <c r="D782" s="8"/>
      <c r="E782" s="8"/>
      <c r="F782" s="8"/>
      <c r="G782" s="8"/>
      <c r="H782" s="8"/>
      <c r="I782" s="8"/>
      <c r="J782" s="8"/>
      <c r="K782" s="8"/>
      <c r="L782" s="8"/>
      <c r="M782" s="8"/>
      <c r="N782" s="8"/>
      <c r="O782" s="8"/>
      <c r="P782" s="8"/>
      <c r="Q782" s="8"/>
    </row>
    <row r="783" spans="1:17" ht="12.75" customHeight="1">
      <c r="A783" s="8"/>
      <c r="B783" s="8"/>
      <c r="C783" s="30"/>
      <c r="D783" s="8"/>
      <c r="E783" s="8"/>
      <c r="F783" s="8"/>
      <c r="G783" s="8"/>
      <c r="H783" s="8"/>
      <c r="I783" s="8"/>
      <c r="J783" s="8"/>
      <c r="K783" s="8"/>
      <c r="L783" s="8"/>
      <c r="M783" s="8"/>
      <c r="N783" s="8"/>
      <c r="O783" s="8"/>
      <c r="P783" s="8"/>
      <c r="Q783" s="8"/>
    </row>
    <row r="784" spans="1:17" ht="12.75" customHeight="1">
      <c r="A784" s="8"/>
      <c r="B784" s="8"/>
      <c r="C784" s="30"/>
      <c r="D784" s="8"/>
      <c r="E784" s="8"/>
      <c r="F784" s="8"/>
      <c r="G784" s="8"/>
      <c r="H784" s="8"/>
      <c r="I784" s="8"/>
      <c r="J784" s="8"/>
      <c r="K784" s="8"/>
      <c r="L784" s="8"/>
      <c r="M784" s="8"/>
      <c r="N784" s="8"/>
      <c r="O784" s="8"/>
      <c r="P784" s="8"/>
      <c r="Q784" s="8"/>
    </row>
    <row r="785" spans="1:17" ht="12.75" customHeight="1">
      <c r="A785" s="8"/>
      <c r="B785" s="8"/>
      <c r="C785" s="30"/>
      <c r="D785" s="8"/>
      <c r="E785" s="8"/>
      <c r="F785" s="8"/>
      <c r="G785" s="8"/>
      <c r="H785" s="8"/>
      <c r="I785" s="8"/>
      <c r="J785" s="8"/>
      <c r="K785" s="8"/>
      <c r="L785" s="8"/>
      <c r="M785" s="8"/>
      <c r="N785" s="8"/>
      <c r="O785" s="8"/>
      <c r="P785" s="8"/>
      <c r="Q785" s="8"/>
    </row>
    <row r="786" spans="1:17" ht="12.75" customHeight="1">
      <c r="A786" s="8"/>
      <c r="B786" s="8"/>
      <c r="C786" s="30"/>
      <c r="D786" s="8"/>
      <c r="E786" s="8"/>
      <c r="F786" s="8"/>
      <c r="G786" s="8"/>
      <c r="H786" s="8"/>
      <c r="I786" s="8"/>
      <c r="J786" s="8"/>
      <c r="K786" s="8"/>
      <c r="L786" s="8"/>
      <c r="M786" s="8"/>
      <c r="N786" s="8"/>
      <c r="O786" s="8"/>
      <c r="P786" s="8"/>
      <c r="Q786" s="8"/>
    </row>
    <row r="787" spans="1:17" ht="12.75" customHeight="1">
      <c r="A787" s="8"/>
      <c r="B787" s="8"/>
      <c r="C787" s="30"/>
      <c r="D787" s="8"/>
      <c r="E787" s="8"/>
      <c r="F787" s="8"/>
      <c r="G787" s="8"/>
      <c r="H787" s="8"/>
      <c r="I787" s="8"/>
      <c r="J787" s="8"/>
      <c r="K787" s="8"/>
      <c r="L787" s="8"/>
      <c r="M787" s="8"/>
      <c r="N787" s="8"/>
      <c r="O787" s="8"/>
      <c r="P787" s="8"/>
      <c r="Q787" s="8"/>
    </row>
    <row r="788" spans="1:17" ht="12.75" customHeight="1">
      <c r="A788" s="8"/>
      <c r="B788" s="8"/>
      <c r="C788" s="30"/>
      <c r="D788" s="8"/>
      <c r="E788" s="8"/>
      <c r="F788" s="8"/>
      <c r="G788" s="8"/>
      <c r="H788" s="8"/>
      <c r="I788" s="8"/>
      <c r="J788" s="8"/>
      <c r="K788" s="8"/>
      <c r="L788" s="8"/>
      <c r="M788" s="8"/>
      <c r="N788" s="8"/>
      <c r="O788" s="8"/>
      <c r="P788" s="8"/>
      <c r="Q788" s="8"/>
    </row>
    <row r="789" spans="1:17" ht="12.75" customHeight="1">
      <c r="A789" s="8"/>
      <c r="B789" s="8"/>
      <c r="C789" s="30"/>
      <c r="D789" s="8"/>
      <c r="E789" s="8"/>
      <c r="F789" s="8"/>
      <c r="G789" s="8"/>
      <c r="H789" s="8"/>
      <c r="I789" s="8"/>
      <c r="J789" s="8"/>
      <c r="K789" s="8"/>
      <c r="L789" s="8"/>
      <c r="M789" s="8"/>
      <c r="N789" s="8"/>
      <c r="O789" s="8"/>
      <c r="P789" s="8"/>
      <c r="Q789" s="8"/>
    </row>
    <row r="790" spans="1:17" ht="12.75" customHeight="1">
      <c r="A790" s="8"/>
      <c r="B790" s="8"/>
      <c r="C790" s="30"/>
      <c r="D790" s="8"/>
      <c r="E790" s="8"/>
      <c r="F790" s="8"/>
      <c r="G790" s="8"/>
      <c r="H790" s="8"/>
      <c r="I790" s="8"/>
      <c r="J790" s="8"/>
      <c r="K790" s="8"/>
      <c r="L790" s="8"/>
      <c r="M790" s="8"/>
      <c r="N790" s="8"/>
      <c r="O790" s="8"/>
      <c r="P790" s="8"/>
      <c r="Q790" s="8"/>
    </row>
    <row r="791" spans="1:17" ht="12.75" customHeight="1">
      <c r="A791" s="8"/>
      <c r="B791" s="8"/>
      <c r="C791" s="30"/>
      <c r="D791" s="8"/>
      <c r="E791" s="8"/>
      <c r="F791" s="8"/>
      <c r="G791" s="8"/>
      <c r="H791" s="8"/>
      <c r="I791" s="8"/>
      <c r="J791" s="8"/>
      <c r="K791" s="8"/>
      <c r="L791" s="8"/>
      <c r="M791" s="8"/>
      <c r="N791" s="8"/>
      <c r="O791" s="8"/>
      <c r="P791" s="8"/>
      <c r="Q791" s="8"/>
    </row>
    <row r="792" spans="1:17" ht="12.75" customHeight="1">
      <c r="A792" s="8"/>
      <c r="B792" s="8"/>
      <c r="C792" s="30"/>
      <c r="D792" s="8"/>
      <c r="E792" s="8"/>
      <c r="F792" s="8"/>
      <c r="G792" s="8"/>
      <c r="H792" s="8"/>
      <c r="I792" s="8"/>
      <c r="J792" s="8"/>
      <c r="K792" s="8"/>
      <c r="L792" s="8"/>
      <c r="M792" s="8"/>
      <c r="N792" s="8"/>
      <c r="O792" s="8"/>
      <c r="P792" s="8"/>
      <c r="Q792" s="8"/>
    </row>
    <row r="793" spans="1:17" ht="12.75" customHeight="1">
      <c r="A793" s="8"/>
      <c r="B793" s="8"/>
      <c r="C793" s="30"/>
      <c r="D793" s="8"/>
      <c r="E793" s="8"/>
      <c r="F793" s="8"/>
      <c r="G793" s="8"/>
      <c r="H793" s="8"/>
      <c r="I793" s="8"/>
      <c r="J793" s="8"/>
      <c r="K793" s="8"/>
      <c r="L793" s="8"/>
      <c r="M793" s="8"/>
      <c r="N793" s="8"/>
      <c r="O793" s="8"/>
      <c r="P793" s="8"/>
      <c r="Q793" s="8"/>
    </row>
    <row r="794" spans="1:17" ht="12.75" customHeight="1">
      <c r="A794" s="8"/>
      <c r="B794" s="8"/>
      <c r="C794" s="30"/>
      <c r="D794" s="8"/>
      <c r="E794" s="8"/>
      <c r="F794" s="8"/>
      <c r="G794" s="8"/>
      <c r="H794" s="8"/>
      <c r="I794" s="8"/>
      <c r="J794" s="8"/>
      <c r="K794" s="8"/>
      <c r="L794" s="8"/>
      <c r="M794" s="8"/>
      <c r="N794" s="8"/>
      <c r="O794" s="8"/>
      <c r="P794" s="8"/>
      <c r="Q794" s="8"/>
    </row>
    <row r="795" spans="1:17" ht="12.75" customHeight="1">
      <c r="A795" s="8"/>
      <c r="B795" s="8"/>
      <c r="C795" s="30"/>
      <c r="D795" s="8"/>
      <c r="E795" s="8"/>
      <c r="F795" s="8"/>
      <c r="G795" s="8"/>
      <c r="H795" s="8"/>
      <c r="I795" s="8"/>
      <c r="J795" s="8"/>
      <c r="K795" s="8"/>
      <c r="L795" s="8"/>
      <c r="M795" s="8"/>
      <c r="N795" s="8"/>
      <c r="O795" s="8"/>
      <c r="P795" s="8"/>
      <c r="Q795" s="8"/>
    </row>
    <row r="796" spans="1:17" ht="12.75" customHeight="1">
      <c r="A796" s="8"/>
      <c r="B796" s="8"/>
      <c r="C796" s="30"/>
      <c r="D796" s="8"/>
      <c r="E796" s="8"/>
      <c r="F796" s="8"/>
      <c r="G796" s="8"/>
      <c r="H796" s="8"/>
      <c r="I796" s="8"/>
      <c r="J796" s="8"/>
      <c r="K796" s="8"/>
      <c r="L796" s="8"/>
      <c r="M796" s="8"/>
      <c r="N796" s="8"/>
      <c r="O796" s="8"/>
      <c r="P796" s="8"/>
      <c r="Q796" s="8"/>
    </row>
    <row r="797" spans="1:17" ht="12.75" customHeight="1">
      <c r="A797" s="8"/>
      <c r="B797" s="8"/>
      <c r="C797" s="30"/>
      <c r="D797" s="8"/>
      <c r="E797" s="8"/>
      <c r="F797" s="8"/>
      <c r="G797" s="8"/>
      <c r="H797" s="8"/>
      <c r="I797" s="8"/>
      <c r="J797" s="8"/>
      <c r="K797" s="8"/>
      <c r="L797" s="8"/>
      <c r="M797" s="8"/>
      <c r="N797" s="8"/>
      <c r="O797" s="8"/>
      <c r="P797" s="8"/>
      <c r="Q797" s="8"/>
    </row>
    <row r="798" spans="1:17" ht="12.75" customHeight="1">
      <c r="A798" s="8"/>
      <c r="B798" s="8"/>
      <c r="C798" s="30"/>
      <c r="D798" s="8"/>
      <c r="E798" s="8"/>
      <c r="F798" s="8"/>
      <c r="G798" s="8"/>
      <c r="H798" s="8"/>
      <c r="I798" s="8"/>
      <c r="J798" s="8"/>
      <c r="K798" s="8"/>
      <c r="L798" s="8"/>
      <c r="M798" s="8"/>
      <c r="N798" s="8"/>
      <c r="O798" s="8"/>
      <c r="P798" s="8"/>
      <c r="Q798" s="8"/>
    </row>
    <row r="799" spans="1:17" ht="12.75" customHeight="1">
      <c r="A799" s="8"/>
      <c r="B799" s="8"/>
      <c r="C799" s="30"/>
      <c r="D799" s="8"/>
      <c r="E799" s="8"/>
      <c r="F799" s="8"/>
      <c r="G799" s="8"/>
      <c r="H799" s="8"/>
      <c r="I799" s="8"/>
      <c r="J799" s="8"/>
      <c r="K799" s="8"/>
      <c r="L799" s="8"/>
      <c r="M799" s="8"/>
      <c r="N799" s="8"/>
      <c r="O799" s="8"/>
      <c r="P799" s="8"/>
      <c r="Q799" s="8"/>
    </row>
    <row r="800" spans="1:17" ht="12.75" customHeight="1">
      <c r="A800" s="8"/>
      <c r="B800" s="8"/>
      <c r="C800" s="30"/>
      <c r="D800" s="8"/>
      <c r="E800" s="8"/>
      <c r="F800" s="8"/>
      <c r="G800" s="8"/>
      <c r="H800" s="8"/>
      <c r="I800" s="8"/>
      <c r="J800" s="8"/>
      <c r="K800" s="8"/>
      <c r="L800" s="8"/>
      <c r="M800" s="8"/>
      <c r="N800" s="8"/>
      <c r="O800" s="8"/>
      <c r="P800" s="8"/>
      <c r="Q800" s="8"/>
    </row>
    <row r="801" spans="1:17" ht="12.75" customHeight="1">
      <c r="A801" s="8"/>
      <c r="B801" s="8"/>
      <c r="C801" s="30"/>
      <c r="D801" s="8"/>
      <c r="E801" s="8"/>
      <c r="F801" s="8"/>
      <c r="G801" s="8"/>
      <c r="H801" s="8"/>
      <c r="I801" s="8"/>
      <c r="J801" s="8"/>
      <c r="K801" s="8"/>
      <c r="L801" s="8"/>
      <c r="M801" s="8"/>
      <c r="N801" s="8"/>
      <c r="O801" s="8"/>
      <c r="P801" s="8"/>
      <c r="Q801" s="8"/>
    </row>
    <row r="802" spans="1:17" ht="12.75" customHeight="1">
      <c r="A802" s="8"/>
      <c r="B802" s="8"/>
      <c r="C802" s="30"/>
      <c r="D802" s="8"/>
      <c r="E802" s="8"/>
      <c r="F802" s="8"/>
      <c r="G802" s="8"/>
      <c r="H802" s="8"/>
      <c r="I802" s="8"/>
      <c r="J802" s="8"/>
      <c r="K802" s="8"/>
      <c r="L802" s="8"/>
      <c r="M802" s="8"/>
      <c r="N802" s="8"/>
      <c r="O802" s="8"/>
      <c r="P802" s="8"/>
      <c r="Q802" s="8"/>
    </row>
    <row r="803" spans="1:17" ht="12.75" customHeight="1">
      <c r="A803" s="8"/>
      <c r="B803" s="8"/>
      <c r="C803" s="30"/>
      <c r="D803" s="8"/>
      <c r="E803" s="8"/>
      <c r="F803" s="8"/>
      <c r="G803" s="8"/>
      <c r="H803" s="8"/>
      <c r="I803" s="8"/>
      <c r="J803" s="8"/>
      <c r="K803" s="8"/>
      <c r="L803" s="8"/>
      <c r="M803" s="8"/>
      <c r="N803" s="8"/>
      <c r="O803" s="8"/>
      <c r="P803" s="8"/>
      <c r="Q803" s="8"/>
    </row>
    <row r="804" spans="1:17" ht="12.75" customHeight="1">
      <c r="A804" s="8"/>
      <c r="B804" s="8"/>
      <c r="C804" s="30"/>
      <c r="D804" s="8"/>
      <c r="E804" s="8"/>
      <c r="F804" s="8"/>
      <c r="G804" s="8"/>
      <c r="H804" s="8"/>
      <c r="I804" s="8"/>
      <c r="J804" s="8"/>
      <c r="K804" s="8"/>
      <c r="L804" s="8"/>
      <c r="M804" s="8"/>
      <c r="N804" s="8"/>
      <c r="O804" s="8"/>
      <c r="P804" s="8"/>
      <c r="Q804" s="8"/>
    </row>
    <row r="805" spans="1:17" ht="12.75" customHeight="1">
      <c r="A805" s="8"/>
      <c r="B805" s="8"/>
      <c r="C805" s="30"/>
      <c r="D805" s="8"/>
      <c r="E805" s="8"/>
      <c r="F805" s="8"/>
      <c r="G805" s="8"/>
      <c r="H805" s="8"/>
      <c r="I805" s="8"/>
      <c r="J805" s="8"/>
      <c r="K805" s="8"/>
      <c r="L805" s="8"/>
      <c r="M805" s="8"/>
      <c r="N805" s="8"/>
      <c r="O805" s="8"/>
      <c r="P805" s="8"/>
      <c r="Q805" s="8"/>
    </row>
    <row r="806" spans="1:17" ht="12.75" customHeight="1">
      <c r="A806" s="8"/>
      <c r="B806" s="8"/>
      <c r="C806" s="30"/>
      <c r="D806" s="8"/>
      <c r="E806" s="8"/>
      <c r="F806" s="8"/>
      <c r="G806" s="8"/>
      <c r="H806" s="8"/>
      <c r="I806" s="8"/>
      <c r="J806" s="8"/>
      <c r="K806" s="8"/>
      <c r="L806" s="8"/>
      <c r="M806" s="8"/>
      <c r="N806" s="8"/>
      <c r="O806" s="8"/>
      <c r="P806" s="8"/>
      <c r="Q806" s="8"/>
    </row>
    <row r="807" spans="1:17" ht="12.75" customHeight="1">
      <c r="A807" s="8"/>
      <c r="B807" s="8"/>
      <c r="C807" s="30"/>
      <c r="D807" s="8"/>
      <c r="E807" s="8"/>
      <c r="F807" s="8"/>
      <c r="G807" s="8"/>
      <c r="H807" s="8"/>
      <c r="I807" s="8"/>
      <c r="J807" s="8"/>
      <c r="K807" s="8"/>
      <c r="L807" s="8"/>
      <c r="M807" s="8"/>
      <c r="N807" s="8"/>
      <c r="O807" s="8"/>
      <c r="P807" s="8"/>
      <c r="Q807" s="8"/>
    </row>
    <row r="808" spans="1:17" ht="12.75" customHeight="1">
      <c r="A808" s="8"/>
      <c r="B808" s="8"/>
      <c r="C808" s="30"/>
      <c r="D808" s="8"/>
      <c r="E808" s="8"/>
      <c r="F808" s="8"/>
      <c r="G808" s="8"/>
      <c r="H808" s="8"/>
      <c r="I808" s="8"/>
      <c r="J808" s="8"/>
      <c r="K808" s="8"/>
      <c r="L808" s="8"/>
      <c r="M808" s="8"/>
      <c r="N808" s="8"/>
      <c r="O808" s="8"/>
      <c r="P808" s="8"/>
      <c r="Q808" s="8"/>
    </row>
    <row r="809" spans="1:17" ht="12.75" customHeight="1">
      <c r="A809" s="8"/>
      <c r="B809" s="8"/>
      <c r="C809" s="30"/>
      <c r="D809" s="8"/>
      <c r="E809" s="8"/>
      <c r="F809" s="8"/>
      <c r="G809" s="8"/>
      <c r="H809" s="8"/>
      <c r="I809" s="8"/>
      <c r="J809" s="8"/>
      <c r="K809" s="8"/>
      <c r="L809" s="8"/>
      <c r="M809" s="8"/>
      <c r="N809" s="8"/>
      <c r="O809" s="8"/>
      <c r="P809" s="8"/>
      <c r="Q809" s="8"/>
    </row>
    <row r="810" spans="1:17" ht="12.75" customHeight="1">
      <c r="A810" s="8"/>
      <c r="B810" s="8"/>
      <c r="C810" s="30"/>
      <c r="D810" s="8"/>
      <c r="E810" s="8"/>
      <c r="F810" s="8"/>
      <c r="G810" s="8"/>
      <c r="H810" s="8"/>
      <c r="I810" s="8"/>
      <c r="J810" s="8"/>
      <c r="K810" s="8"/>
      <c r="L810" s="8"/>
      <c r="M810" s="8"/>
      <c r="N810" s="8"/>
      <c r="O810" s="8"/>
      <c r="P810" s="8"/>
      <c r="Q810" s="8"/>
    </row>
    <row r="811" spans="1:17" ht="12.75" customHeight="1">
      <c r="A811" s="8"/>
      <c r="B811" s="8"/>
      <c r="C811" s="30"/>
      <c r="D811" s="8"/>
      <c r="E811" s="8"/>
      <c r="F811" s="8"/>
      <c r="G811" s="8"/>
      <c r="H811" s="8"/>
      <c r="I811" s="8"/>
      <c r="J811" s="8"/>
      <c r="K811" s="8"/>
      <c r="L811" s="8"/>
      <c r="M811" s="8"/>
      <c r="N811" s="8"/>
      <c r="O811" s="8"/>
      <c r="P811" s="8"/>
      <c r="Q811" s="8"/>
    </row>
    <row r="812" spans="1:17" ht="12.75" customHeight="1">
      <c r="A812" s="8"/>
      <c r="B812" s="8"/>
      <c r="C812" s="30"/>
      <c r="D812" s="8"/>
      <c r="E812" s="8"/>
      <c r="F812" s="8"/>
      <c r="G812" s="8"/>
      <c r="H812" s="8"/>
      <c r="I812" s="8"/>
      <c r="J812" s="8"/>
      <c r="K812" s="8"/>
      <c r="L812" s="8"/>
      <c r="M812" s="8"/>
      <c r="N812" s="8"/>
      <c r="O812" s="8"/>
      <c r="P812" s="8"/>
      <c r="Q812" s="8"/>
    </row>
    <row r="813" spans="1:17" ht="12.75" customHeight="1">
      <c r="A813" s="8"/>
      <c r="B813" s="8"/>
      <c r="C813" s="30"/>
      <c r="D813" s="8"/>
      <c r="E813" s="8"/>
      <c r="F813" s="8"/>
      <c r="G813" s="8"/>
      <c r="H813" s="8"/>
      <c r="I813" s="8"/>
      <c r="J813" s="8"/>
      <c r="K813" s="8"/>
      <c r="L813" s="8"/>
      <c r="M813" s="8"/>
      <c r="N813" s="8"/>
      <c r="O813" s="8"/>
      <c r="P813" s="8"/>
      <c r="Q813" s="8"/>
    </row>
    <row r="814" spans="1:17" ht="12.75" customHeight="1">
      <c r="A814" s="8"/>
      <c r="B814" s="8"/>
      <c r="C814" s="30"/>
      <c r="D814" s="8"/>
      <c r="E814" s="8"/>
      <c r="F814" s="8"/>
      <c r="G814" s="8"/>
      <c r="H814" s="8"/>
      <c r="I814" s="8"/>
      <c r="J814" s="8"/>
      <c r="K814" s="8"/>
      <c r="L814" s="8"/>
      <c r="M814" s="8"/>
      <c r="N814" s="8"/>
      <c r="O814" s="8"/>
      <c r="P814" s="8"/>
      <c r="Q814" s="8"/>
    </row>
    <row r="815" spans="1:17" ht="12.75" customHeight="1">
      <c r="A815" s="8"/>
      <c r="B815" s="8"/>
      <c r="C815" s="30"/>
      <c r="D815" s="8"/>
      <c r="E815" s="8"/>
      <c r="F815" s="8"/>
      <c r="G815" s="8"/>
      <c r="H815" s="8"/>
      <c r="I815" s="8"/>
      <c r="J815" s="8"/>
      <c r="K815" s="8"/>
      <c r="L815" s="8"/>
      <c r="M815" s="8"/>
      <c r="N815" s="8"/>
      <c r="O815" s="8"/>
      <c r="P815" s="8"/>
      <c r="Q815" s="8"/>
    </row>
    <row r="816" spans="1:17" ht="12.75" customHeight="1">
      <c r="A816" s="8"/>
      <c r="B816" s="8"/>
      <c r="C816" s="30"/>
      <c r="D816" s="8"/>
      <c r="E816" s="8"/>
      <c r="F816" s="8"/>
      <c r="G816" s="8"/>
      <c r="H816" s="8"/>
      <c r="I816" s="8"/>
      <c r="J816" s="8"/>
      <c r="K816" s="8"/>
      <c r="L816" s="8"/>
      <c r="M816" s="8"/>
      <c r="N816" s="8"/>
      <c r="O816" s="8"/>
      <c r="P816" s="8"/>
      <c r="Q816" s="8"/>
    </row>
    <row r="817" spans="1:17" ht="12.75" customHeight="1">
      <c r="A817" s="8"/>
      <c r="B817" s="8"/>
      <c r="C817" s="30"/>
      <c r="D817" s="8"/>
      <c r="E817" s="8"/>
      <c r="F817" s="8"/>
      <c r="G817" s="8"/>
      <c r="H817" s="8"/>
      <c r="I817" s="8"/>
      <c r="J817" s="8"/>
      <c r="K817" s="8"/>
      <c r="L817" s="8"/>
      <c r="M817" s="8"/>
      <c r="N817" s="8"/>
      <c r="O817" s="8"/>
      <c r="P817" s="8"/>
      <c r="Q817" s="8"/>
    </row>
    <row r="818" spans="1:17" ht="12.75" customHeight="1">
      <c r="A818" s="8"/>
      <c r="B818" s="8"/>
      <c r="C818" s="30"/>
      <c r="D818" s="8"/>
      <c r="E818" s="8"/>
      <c r="F818" s="8"/>
      <c r="G818" s="8"/>
      <c r="H818" s="8"/>
      <c r="I818" s="8"/>
      <c r="J818" s="8"/>
      <c r="K818" s="8"/>
      <c r="L818" s="8"/>
      <c r="M818" s="8"/>
      <c r="N818" s="8"/>
      <c r="O818" s="8"/>
      <c r="P818" s="8"/>
      <c r="Q818" s="8"/>
    </row>
    <row r="819" spans="1:17" ht="12.75" customHeight="1">
      <c r="A819" s="8"/>
      <c r="B819" s="8"/>
      <c r="C819" s="30"/>
      <c r="D819" s="8"/>
      <c r="E819" s="8"/>
      <c r="F819" s="8"/>
      <c r="G819" s="8"/>
      <c r="H819" s="8"/>
      <c r="I819" s="8"/>
      <c r="J819" s="8"/>
      <c r="K819" s="8"/>
      <c r="L819" s="8"/>
      <c r="M819" s="8"/>
      <c r="N819" s="8"/>
      <c r="O819" s="8"/>
      <c r="P819" s="8"/>
      <c r="Q819" s="8"/>
    </row>
    <row r="820" spans="1:17" ht="12.75" customHeight="1">
      <c r="A820" s="8"/>
      <c r="B820" s="8"/>
      <c r="C820" s="30"/>
      <c r="D820" s="8"/>
      <c r="E820" s="8"/>
      <c r="F820" s="8"/>
      <c r="G820" s="8"/>
      <c r="H820" s="8"/>
      <c r="I820" s="8"/>
      <c r="J820" s="8"/>
      <c r="K820" s="8"/>
      <c r="L820" s="8"/>
      <c r="M820" s="8"/>
      <c r="N820" s="8"/>
      <c r="O820" s="8"/>
      <c r="P820" s="8"/>
      <c r="Q820" s="8"/>
    </row>
    <row r="821" spans="1:17" ht="12.75" customHeight="1">
      <c r="A821" s="8"/>
      <c r="B821" s="8"/>
      <c r="C821" s="30"/>
      <c r="D821" s="8"/>
      <c r="E821" s="8"/>
      <c r="F821" s="8"/>
      <c r="G821" s="8"/>
      <c r="H821" s="8"/>
      <c r="I821" s="8"/>
      <c r="J821" s="8"/>
      <c r="K821" s="8"/>
      <c r="L821" s="8"/>
      <c r="M821" s="8"/>
      <c r="N821" s="8"/>
      <c r="O821" s="8"/>
      <c r="P821" s="8"/>
      <c r="Q821" s="8"/>
    </row>
    <row r="822" spans="1:17" ht="12.75" customHeight="1">
      <c r="A822" s="8"/>
      <c r="B822" s="8"/>
      <c r="C822" s="30"/>
      <c r="D822" s="8"/>
      <c r="E822" s="8"/>
      <c r="F822" s="8"/>
      <c r="G822" s="8"/>
      <c r="H822" s="8"/>
      <c r="I822" s="8"/>
      <c r="J822" s="8"/>
      <c r="K822" s="8"/>
      <c r="L822" s="8"/>
      <c r="M822" s="8"/>
      <c r="N822" s="8"/>
      <c r="O822" s="8"/>
      <c r="P822" s="8"/>
      <c r="Q822" s="8"/>
    </row>
    <row r="823" spans="1:17" ht="12.75" customHeight="1">
      <c r="A823" s="8"/>
      <c r="B823" s="8"/>
      <c r="C823" s="30"/>
      <c r="D823" s="8"/>
      <c r="E823" s="8"/>
      <c r="F823" s="8"/>
      <c r="G823" s="8"/>
      <c r="H823" s="8"/>
      <c r="I823" s="8"/>
      <c r="J823" s="8"/>
      <c r="K823" s="8"/>
      <c r="L823" s="8"/>
      <c r="M823" s="8"/>
      <c r="N823" s="8"/>
      <c r="O823" s="8"/>
      <c r="P823" s="8"/>
      <c r="Q823" s="8"/>
    </row>
    <row r="824" spans="1:17" ht="12.75" customHeight="1">
      <c r="A824" s="8"/>
      <c r="B824" s="8"/>
      <c r="C824" s="30"/>
      <c r="D824" s="8"/>
      <c r="E824" s="8"/>
      <c r="F824" s="8"/>
      <c r="G824" s="8"/>
      <c r="H824" s="8"/>
      <c r="I824" s="8"/>
      <c r="J824" s="8"/>
      <c r="K824" s="8"/>
      <c r="L824" s="8"/>
      <c r="M824" s="8"/>
      <c r="N824" s="8"/>
      <c r="O824" s="8"/>
      <c r="P824" s="8"/>
      <c r="Q824" s="8"/>
    </row>
    <row r="825" spans="1:17" ht="12.75" customHeight="1">
      <c r="A825" s="8"/>
      <c r="B825" s="8"/>
      <c r="C825" s="30"/>
      <c r="D825" s="8"/>
      <c r="E825" s="8"/>
      <c r="F825" s="8"/>
      <c r="G825" s="8"/>
      <c r="H825" s="8"/>
      <c r="I825" s="8"/>
      <c r="J825" s="8"/>
      <c r="K825" s="8"/>
      <c r="L825" s="8"/>
      <c r="M825" s="8"/>
      <c r="N825" s="8"/>
      <c r="O825" s="8"/>
      <c r="P825" s="8"/>
      <c r="Q825" s="8"/>
    </row>
    <row r="826" spans="1:17" ht="12.75" customHeight="1">
      <c r="A826" s="8"/>
      <c r="B826" s="8"/>
      <c r="C826" s="30"/>
      <c r="D826" s="8"/>
      <c r="E826" s="8"/>
      <c r="F826" s="8"/>
      <c r="G826" s="8"/>
      <c r="H826" s="8"/>
      <c r="I826" s="8"/>
      <c r="J826" s="8"/>
      <c r="K826" s="8"/>
      <c r="L826" s="8"/>
      <c r="M826" s="8"/>
      <c r="N826" s="8"/>
      <c r="O826" s="8"/>
      <c r="P826" s="8"/>
      <c r="Q826" s="8"/>
    </row>
    <row r="827" spans="1:17" ht="12.75" customHeight="1">
      <c r="A827" s="8"/>
      <c r="B827" s="8"/>
      <c r="C827" s="30"/>
      <c r="D827" s="8"/>
      <c r="E827" s="8"/>
      <c r="F827" s="8"/>
      <c r="G827" s="8"/>
      <c r="H827" s="8"/>
      <c r="I827" s="8"/>
      <c r="J827" s="8"/>
      <c r="K827" s="8"/>
      <c r="L827" s="8"/>
      <c r="M827" s="8"/>
      <c r="N827" s="8"/>
      <c r="O827" s="8"/>
      <c r="P827" s="8"/>
      <c r="Q827" s="8"/>
    </row>
    <row r="828" spans="1:17" ht="12.75" customHeight="1">
      <c r="A828" s="8"/>
      <c r="B828" s="8"/>
      <c r="C828" s="30"/>
      <c r="D828" s="8"/>
      <c r="E828" s="8"/>
      <c r="F828" s="8"/>
      <c r="G828" s="8"/>
      <c r="H828" s="8"/>
      <c r="I828" s="8"/>
      <c r="J828" s="8"/>
      <c r="K828" s="8"/>
      <c r="L828" s="8"/>
      <c r="M828" s="8"/>
      <c r="N828" s="8"/>
      <c r="O828" s="8"/>
      <c r="P828" s="8"/>
      <c r="Q828" s="8"/>
    </row>
    <row r="829" spans="1:17" ht="12.75" customHeight="1">
      <c r="A829" s="8"/>
      <c r="B829" s="8"/>
      <c r="C829" s="30"/>
      <c r="D829" s="8"/>
      <c r="E829" s="8"/>
      <c r="F829" s="8"/>
      <c r="G829" s="8"/>
      <c r="H829" s="8"/>
      <c r="I829" s="8"/>
      <c r="J829" s="8"/>
      <c r="K829" s="8"/>
      <c r="L829" s="8"/>
      <c r="M829" s="8"/>
      <c r="N829" s="8"/>
      <c r="O829" s="8"/>
      <c r="P829" s="8"/>
      <c r="Q829" s="8"/>
    </row>
    <row r="830" spans="1:17" ht="12.75" customHeight="1">
      <c r="A830" s="8"/>
      <c r="B830" s="8"/>
      <c r="C830" s="30"/>
      <c r="D830" s="8"/>
      <c r="E830" s="8"/>
      <c r="F830" s="8"/>
      <c r="G830" s="8"/>
      <c r="H830" s="8"/>
      <c r="I830" s="8"/>
      <c r="J830" s="8"/>
      <c r="K830" s="8"/>
      <c r="L830" s="8"/>
      <c r="M830" s="8"/>
      <c r="N830" s="8"/>
      <c r="O830" s="8"/>
      <c r="P830" s="8"/>
      <c r="Q830" s="8"/>
    </row>
    <row r="831" spans="1:17" ht="12.75" customHeight="1">
      <c r="A831" s="8"/>
      <c r="B831" s="8"/>
      <c r="C831" s="30"/>
      <c r="D831" s="8"/>
      <c r="E831" s="8"/>
      <c r="F831" s="8"/>
      <c r="G831" s="8"/>
      <c r="H831" s="8"/>
      <c r="I831" s="8"/>
      <c r="J831" s="8"/>
      <c r="K831" s="8"/>
      <c r="L831" s="8"/>
      <c r="M831" s="8"/>
      <c r="N831" s="8"/>
      <c r="O831" s="8"/>
      <c r="P831" s="8"/>
      <c r="Q831" s="8"/>
    </row>
    <row r="832" spans="1:17" ht="12.75" customHeight="1">
      <c r="A832" s="8"/>
      <c r="B832" s="8"/>
      <c r="C832" s="30"/>
      <c r="D832" s="8"/>
      <c r="E832" s="8"/>
      <c r="F832" s="8"/>
      <c r="G832" s="8"/>
      <c r="H832" s="8"/>
      <c r="I832" s="8"/>
      <c r="J832" s="8"/>
      <c r="K832" s="8"/>
      <c r="L832" s="8"/>
      <c r="M832" s="8"/>
      <c r="N832" s="8"/>
      <c r="O832" s="8"/>
      <c r="P832" s="8"/>
      <c r="Q832" s="8"/>
    </row>
    <row r="833" spans="1:17" ht="12.75" customHeight="1">
      <c r="A833" s="8"/>
      <c r="B833" s="8"/>
      <c r="C833" s="30"/>
      <c r="D833" s="8"/>
      <c r="E833" s="8"/>
      <c r="F833" s="8"/>
      <c r="G833" s="8"/>
      <c r="H833" s="8"/>
      <c r="I833" s="8"/>
      <c r="J833" s="8"/>
      <c r="K833" s="8"/>
      <c r="L833" s="8"/>
      <c r="M833" s="8"/>
      <c r="N833" s="8"/>
      <c r="O833" s="8"/>
      <c r="P833" s="8"/>
      <c r="Q833" s="8"/>
    </row>
    <row r="834" spans="1:17" ht="12.75" customHeight="1">
      <c r="A834" s="8"/>
      <c r="B834" s="8"/>
      <c r="C834" s="30"/>
      <c r="D834" s="8"/>
      <c r="E834" s="8"/>
      <c r="F834" s="8"/>
      <c r="G834" s="8"/>
      <c r="H834" s="8"/>
      <c r="I834" s="8"/>
      <c r="J834" s="8"/>
      <c r="K834" s="8"/>
      <c r="L834" s="8"/>
      <c r="M834" s="8"/>
      <c r="N834" s="8"/>
      <c r="O834" s="8"/>
      <c r="P834" s="8"/>
      <c r="Q834" s="8"/>
    </row>
    <row r="835" spans="1:17" ht="12.75" customHeight="1">
      <c r="A835" s="8"/>
      <c r="B835" s="8"/>
      <c r="C835" s="30"/>
      <c r="D835" s="8"/>
      <c r="E835" s="8"/>
      <c r="F835" s="8"/>
      <c r="G835" s="8"/>
      <c r="H835" s="8"/>
      <c r="I835" s="8"/>
      <c r="J835" s="8"/>
      <c r="K835" s="8"/>
      <c r="L835" s="8"/>
      <c r="M835" s="8"/>
      <c r="N835" s="8"/>
      <c r="O835" s="8"/>
      <c r="P835" s="8"/>
      <c r="Q835" s="8"/>
    </row>
    <row r="836" spans="1:17" ht="12.75" customHeight="1">
      <c r="A836" s="8"/>
      <c r="B836" s="8"/>
      <c r="C836" s="30"/>
      <c r="D836" s="8"/>
      <c r="E836" s="8"/>
      <c r="F836" s="8"/>
      <c r="G836" s="8"/>
      <c r="H836" s="8"/>
      <c r="I836" s="8"/>
      <c r="J836" s="8"/>
      <c r="K836" s="8"/>
      <c r="L836" s="8"/>
      <c r="M836" s="8"/>
      <c r="N836" s="8"/>
      <c r="O836" s="8"/>
      <c r="P836" s="8"/>
      <c r="Q836" s="8"/>
    </row>
    <row r="837" spans="1:17" ht="12.75" customHeight="1">
      <c r="A837" s="8"/>
      <c r="B837" s="8"/>
      <c r="C837" s="30"/>
      <c r="D837" s="8"/>
      <c r="E837" s="8"/>
      <c r="F837" s="8"/>
      <c r="G837" s="8"/>
      <c r="H837" s="8"/>
      <c r="I837" s="8"/>
      <c r="J837" s="8"/>
      <c r="K837" s="8"/>
      <c r="L837" s="8"/>
      <c r="M837" s="8"/>
      <c r="N837" s="8"/>
      <c r="O837" s="8"/>
      <c r="P837" s="8"/>
      <c r="Q837" s="8"/>
    </row>
    <row r="838" spans="1:17" ht="12.75" customHeight="1">
      <c r="A838" s="8"/>
      <c r="B838" s="8"/>
      <c r="C838" s="30"/>
      <c r="D838" s="8"/>
      <c r="E838" s="8"/>
      <c r="F838" s="8"/>
      <c r="G838" s="8"/>
      <c r="H838" s="8"/>
      <c r="I838" s="8"/>
      <c r="J838" s="8"/>
      <c r="K838" s="8"/>
      <c r="L838" s="8"/>
      <c r="M838" s="8"/>
      <c r="N838" s="8"/>
      <c r="O838" s="8"/>
      <c r="P838" s="8"/>
      <c r="Q838" s="8"/>
    </row>
    <row r="839" spans="1:17" ht="12.75" customHeight="1">
      <c r="A839" s="8"/>
      <c r="B839" s="8"/>
      <c r="C839" s="30"/>
      <c r="D839" s="8"/>
      <c r="E839" s="8"/>
      <c r="F839" s="8"/>
      <c r="G839" s="8"/>
      <c r="H839" s="8"/>
      <c r="I839" s="8"/>
      <c r="J839" s="8"/>
      <c r="K839" s="8"/>
      <c r="L839" s="8"/>
      <c r="M839" s="8"/>
      <c r="N839" s="8"/>
      <c r="O839" s="8"/>
      <c r="P839" s="8"/>
      <c r="Q839" s="8"/>
    </row>
    <row r="840" spans="1:17" ht="12.75" customHeight="1">
      <c r="A840" s="8"/>
      <c r="B840" s="8"/>
      <c r="C840" s="30"/>
      <c r="D840" s="8"/>
      <c r="E840" s="8"/>
      <c r="F840" s="8"/>
      <c r="G840" s="8"/>
      <c r="H840" s="8"/>
      <c r="I840" s="8"/>
      <c r="J840" s="8"/>
      <c r="K840" s="8"/>
      <c r="L840" s="8"/>
      <c r="M840" s="8"/>
      <c r="N840" s="8"/>
      <c r="O840" s="8"/>
      <c r="P840" s="8"/>
      <c r="Q840" s="8"/>
    </row>
    <row r="841" spans="1:17" ht="12.75" customHeight="1">
      <c r="A841" s="8"/>
      <c r="B841" s="8"/>
      <c r="C841" s="30"/>
      <c r="D841" s="8"/>
      <c r="E841" s="8"/>
      <c r="F841" s="8"/>
      <c r="G841" s="8"/>
      <c r="H841" s="8"/>
      <c r="I841" s="8"/>
      <c r="J841" s="8"/>
      <c r="K841" s="8"/>
      <c r="L841" s="8"/>
      <c r="M841" s="8"/>
      <c r="N841" s="8"/>
      <c r="O841" s="8"/>
      <c r="P841" s="8"/>
      <c r="Q841" s="8"/>
    </row>
    <row r="842" spans="1:17" ht="12.75" customHeight="1">
      <c r="A842" s="8"/>
      <c r="B842" s="8"/>
      <c r="C842" s="30"/>
      <c r="D842" s="8"/>
      <c r="E842" s="8"/>
      <c r="F842" s="8"/>
      <c r="G842" s="8"/>
      <c r="H842" s="8"/>
      <c r="I842" s="8"/>
      <c r="J842" s="8"/>
      <c r="K842" s="8"/>
      <c r="L842" s="8"/>
      <c r="M842" s="8"/>
      <c r="N842" s="8"/>
      <c r="O842" s="8"/>
      <c r="P842" s="8"/>
      <c r="Q842" s="8"/>
    </row>
    <row r="843" spans="1:17" ht="12.75" customHeight="1">
      <c r="A843" s="8"/>
      <c r="B843" s="8"/>
      <c r="C843" s="30"/>
      <c r="D843" s="8"/>
      <c r="E843" s="8"/>
      <c r="F843" s="8"/>
      <c r="G843" s="8"/>
      <c r="H843" s="8"/>
      <c r="I843" s="8"/>
      <c r="J843" s="8"/>
      <c r="K843" s="8"/>
      <c r="L843" s="8"/>
      <c r="M843" s="8"/>
      <c r="N843" s="8"/>
      <c r="O843" s="8"/>
      <c r="P843" s="8"/>
      <c r="Q843" s="8"/>
    </row>
    <row r="844" spans="1:17" ht="12.75" customHeight="1">
      <c r="A844" s="8"/>
      <c r="B844" s="8"/>
      <c r="C844" s="30"/>
      <c r="D844" s="8"/>
      <c r="E844" s="8"/>
      <c r="F844" s="8"/>
      <c r="G844" s="8"/>
      <c r="H844" s="8"/>
      <c r="I844" s="8"/>
      <c r="J844" s="8"/>
      <c r="K844" s="8"/>
      <c r="L844" s="8"/>
      <c r="M844" s="8"/>
      <c r="N844" s="8"/>
      <c r="O844" s="8"/>
      <c r="P844" s="8"/>
      <c r="Q844" s="8"/>
    </row>
    <row r="845" spans="1:17" ht="12.75" customHeight="1">
      <c r="A845" s="8"/>
      <c r="B845" s="8"/>
      <c r="C845" s="30"/>
      <c r="D845" s="8"/>
      <c r="E845" s="8"/>
      <c r="F845" s="8"/>
      <c r="G845" s="8"/>
      <c r="H845" s="8"/>
      <c r="I845" s="8"/>
      <c r="J845" s="8"/>
      <c r="K845" s="8"/>
      <c r="L845" s="8"/>
      <c r="M845" s="8"/>
      <c r="N845" s="8"/>
      <c r="O845" s="8"/>
      <c r="P845" s="8"/>
      <c r="Q845" s="8"/>
    </row>
    <row r="846" spans="1:17" ht="12.75" customHeight="1">
      <c r="A846" s="8"/>
      <c r="B846" s="8"/>
      <c r="C846" s="30"/>
      <c r="D846" s="8"/>
      <c r="E846" s="8"/>
      <c r="F846" s="8"/>
      <c r="G846" s="8"/>
      <c r="H846" s="8"/>
      <c r="I846" s="8"/>
      <c r="J846" s="8"/>
      <c r="K846" s="8"/>
      <c r="L846" s="8"/>
      <c r="M846" s="8"/>
      <c r="N846" s="8"/>
      <c r="O846" s="8"/>
      <c r="P846" s="8"/>
      <c r="Q846" s="8"/>
    </row>
    <row r="847" spans="1:17" ht="12.75" customHeight="1">
      <c r="A847" s="8"/>
      <c r="B847" s="8"/>
      <c r="C847" s="30"/>
      <c r="D847" s="8"/>
      <c r="E847" s="8"/>
      <c r="F847" s="8"/>
      <c r="G847" s="8"/>
      <c r="H847" s="8"/>
      <c r="I847" s="8"/>
      <c r="J847" s="8"/>
      <c r="K847" s="8"/>
      <c r="L847" s="8"/>
      <c r="M847" s="8"/>
      <c r="N847" s="8"/>
      <c r="O847" s="8"/>
      <c r="P847" s="8"/>
      <c r="Q847" s="8"/>
    </row>
    <row r="848" spans="1:17" ht="12.75" customHeight="1">
      <c r="A848" s="8"/>
      <c r="B848" s="8"/>
      <c r="C848" s="30"/>
      <c r="D848" s="8"/>
      <c r="E848" s="8"/>
      <c r="F848" s="8"/>
      <c r="G848" s="8"/>
      <c r="H848" s="8"/>
      <c r="I848" s="8"/>
      <c r="J848" s="8"/>
      <c r="K848" s="8"/>
      <c r="L848" s="8"/>
      <c r="M848" s="8"/>
      <c r="N848" s="8"/>
      <c r="O848" s="8"/>
      <c r="P848" s="8"/>
      <c r="Q848" s="8"/>
    </row>
    <row r="849" spans="1:17" ht="12.75" customHeight="1">
      <c r="A849" s="8"/>
      <c r="B849" s="8"/>
      <c r="C849" s="30"/>
      <c r="D849" s="8"/>
      <c r="E849" s="8"/>
      <c r="F849" s="8"/>
      <c r="G849" s="8"/>
      <c r="H849" s="8"/>
      <c r="I849" s="8"/>
      <c r="J849" s="8"/>
      <c r="K849" s="8"/>
      <c r="L849" s="8"/>
      <c r="M849" s="8"/>
      <c r="N849" s="8"/>
      <c r="O849" s="8"/>
      <c r="P849" s="8"/>
      <c r="Q849" s="8"/>
    </row>
    <row r="850" spans="1:17" ht="12.75" customHeight="1">
      <c r="A850" s="8"/>
      <c r="B850" s="8"/>
      <c r="C850" s="30"/>
      <c r="D850" s="8"/>
      <c r="E850" s="8"/>
      <c r="F850" s="8"/>
      <c r="G850" s="8"/>
      <c r="H850" s="8"/>
      <c r="I850" s="8"/>
      <c r="J850" s="8"/>
      <c r="K850" s="8"/>
      <c r="L850" s="8"/>
      <c r="M850" s="8"/>
      <c r="N850" s="8"/>
      <c r="O850" s="8"/>
      <c r="P850" s="8"/>
      <c r="Q850" s="8"/>
    </row>
    <row r="851" spans="1:17" ht="12.75" customHeight="1">
      <c r="A851" s="8"/>
      <c r="B851" s="8"/>
      <c r="C851" s="30"/>
      <c r="D851" s="8"/>
      <c r="E851" s="8"/>
      <c r="F851" s="8"/>
      <c r="G851" s="8"/>
      <c r="H851" s="8"/>
      <c r="I851" s="8"/>
      <c r="J851" s="8"/>
      <c r="K851" s="8"/>
      <c r="L851" s="8"/>
      <c r="M851" s="8"/>
      <c r="N851" s="8"/>
      <c r="O851" s="8"/>
      <c r="P851" s="8"/>
      <c r="Q851" s="8"/>
    </row>
    <row r="852" spans="1:17" ht="12.75" customHeight="1">
      <c r="A852" s="8"/>
      <c r="B852" s="8"/>
      <c r="C852" s="30"/>
      <c r="D852" s="8"/>
      <c r="E852" s="8"/>
      <c r="F852" s="8"/>
      <c r="G852" s="8"/>
      <c r="H852" s="8"/>
      <c r="I852" s="8"/>
      <c r="J852" s="8"/>
      <c r="K852" s="8"/>
      <c r="L852" s="8"/>
      <c r="M852" s="8"/>
      <c r="N852" s="8"/>
      <c r="O852" s="8"/>
      <c r="P852" s="8"/>
      <c r="Q852" s="8"/>
    </row>
    <row r="853" spans="1:17" ht="12.75" customHeight="1">
      <c r="A853" s="8"/>
      <c r="B853" s="8"/>
      <c r="C853" s="30"/>
      <c r="D853" s="8"/>
      <c r="E853" s="8"/>
      <c r="F853" s="8"/>
      <c r="G853" s="8"/>
      <c r="H853" s="8"/>
      <c r="I853" s="8"/>
      <c r="J853" s="8"/>
      <c r="K853" s="8"/>
      <c r="L853" s="8"/>
      <c r="M853" s="8"/>
      <c r="N853" s="8"/>
      <c r="O853" s="8"/>
      <c r="P853" s="8"/>
      <c r="Q853" s="8"/>
    </row>
    <row r="854" spans="1:17" ht="12.75" customHeight="1">
      <c r="A854" s="8"/>
      <c r="B854" s="8"/>
      <c r="C854" s="30"/>
      <c r="D854" s="8"/>
      <c r="E854" s="8"/>
      <c r="F854" s="8"/>
      <c r="G854" s="8"/>
      <c r="H854" s="8"/>
      <c r="I854" s="8"/>
      <c r="J854" s="8"/>
      <c r="K854" s="8"/>
      <c r="L854" s="8"/>
      <c r="M854" s="8"/>
      <c r="N854" s="8"/>
      <c r="O854" s="8"/>
      <c r="P854" s="8"/>
      <c r="Q854" s="8"/>
    </row>
    <row r="855" spans="1:17" ht="12.75" customHeight="1">
      <c r="A855" s="8"/>
      <c r="B855" s="8"/>
      <c r="C855" s="30"/>
      <c r="D855" s="8"/>
      <c r="E855" s="8"/>
      <c r="F855" s="8"/>
      <c r="G855" s="8"/>
      <c r="H855" s="8"/>
      <c r="I855" s="8"/>
      <c r="J855" s="8"/>
      <c r="K855" s="8"/>
      <c r="L855" s="8"/>
      <c r="M855" s="8"/>
      <c r="N855" s="8"/>
      <c r="O855" s="8"/>
      <c r="P855" s="8"/>
      <c r="Q855" s="8"/>
    </row>
    <row r="856" spans="1:17" ht="12.75" customHeight="1">
      <c r="A856" s="8"/>
      <c r="B856" s="8"/>
      <c r="C856" s="30"/>
      <c r="D856" s="8"/>
      <c r="E856" s="8"/>
      <c r="F856" s="8"/>
      <c r="G856" s="8"/>
      <c r="H856" s="8"/>
      <c r="I856" s="8"/>
      <c r="J856" s="8"/>
      <c r="K856" s="8"/>
      <c r="L856" s="8"/>
      <c r="M856" s="8"/>
      <c r="N856" s="8"/>
      <c r="O856" s="8"/>
      <c r="P856" s="8"/>
      <c r="Q856" s="8"/>
    </row>
    <row r="857" spans="1:17" ht="12.75" customHeight="1">
      <c r="A857" s="8"/>
      <c r="B857" s="8"/>
      <c r="C857" s="30"/>
      <c r="D857" s="8"/>
      <c r="E857" s="8"/>
      <c r="F857" s="8"/>
      <c r="G857" s="8"/>
      <c r="H857" s="8"/>
      <c r="I857" s="8"/>
      <c r="J857" s="8"/>
      <c r="K857" s="8"/>
      <c r="L857" s="8"/>
      <c r="M857" s="8"/>
      <c r="N857" s="8"/>
      <c r="O857" s="8"/>
      <c r="P857" s="8"/>
      <c r="Q857" s="8"/>
    </row>
    <row r="858" spans="1:17" ht="12.75" customHeight="1">
      <c r="A858" s="8"/>
      <c r="B858" s="8"/>
      <c r="C858" s="30"/>
      <c r="D858" s="8"/>
      <c r="E858" s="8"/>
      <c r="F858" s="8"/>
      <c r="G858" s="8"/>
      <c r="H858" s="8"/>
      <c r="I858" s="8"/>
      <c r="J858" s="8"/>
      <c r="K858" s="8"/>
      <c r="L858" s="8"/>
      <c r="M858" s="8"/>
      <c r="N858" s="8"/>
      <c r="O858" s="8"/>
      <c r="P858" s="8"/>
      <c r="Q858" s="8"/>
    </row>
    <row r="859" spans="1:17" ht="12.75" customHeight="1">
      <c r="A859" s="8"/>
      <c r="B859" s="8"/>
      <c r="C859" s="30"/>
      <c r="D859" s="8"/>
      <c r="E859" s="8"/>
      <c r="F859" s="8"/>
      <c r="G859" s="8"/>
      <c r="H859" s="8"/>
      <c r="I859" s="8"/>
      <c r="J859" s="8"/>
      <c r="K859" s="8"/>
      <c r="L859" s="8"/>
      <c r="M859" s="8"/>
      <c r="N859" s="8"/>
      <c r="O859" s="8"/>
      <c r="P859" s="8"/>
      <c r="Q859" s="8"/>
    </row>
    <row r="860" spans="1:17" ht="12.75" customHeight="1">
      <c r="A860" s="8"/>
      <c r="B860" s="8"/>
      <c r="C860" s="30"/>
      <c r="D860" s="8"/>
      <c r="E860" s="8"/>
      <c r="F860" s="8"/>
      <c r="G860" s="8"/>
      <c r="H860" s="8"/>
      <c r="I860" s="8"/>
      <c r="J860" s="8"/>
      <c r="K860" s="8"/>
      <c r="L860" s="8"/>
      <c r="M860" s="8"/>
      <c r="N860" s="8"/>
      <c r="O860" s="8"/>
      <c r="P860" s="8"/>
      <c r="Q860" s="8"/>
    </row>
    <row r="861" spans="1:17" ht="12.75" customHeight="1">
      <c r="A861" s="8"/>
      <c r="B861" s="8"/>
      <c r="C861" s="30"/>
      <c r="D861" s="8"/>
      <c r="E861" s="8"/>
      <c r="F861" s="8"/>
      <c r="G861" s="8"/>
      <c r="H861" s="8"/>
      <c r="I861" s="8"/>
      <c r="J861" s="8"/>
      <c r="K861" s="8"/>
      <c r="L861" s="8"/>
      <c r="M861" s="8"/>
      <c r="N861" s="8"/>
      <c r="O861" s="8"/>
      <c r="P861" s="8"/>
      <c r="Q861" s="8"/>
    </row>
    <row r="862" spans="1:17" ht="12.75" customHeight="1">
      <c r="A862" s="8"/>
      <c r="B862" s="8"/>
      <c r="C862" s="30"/>
      <c r="D862" s="8"/>
      <c r="E862" s="8"/>
      <c r="F862" s="8"/>
      <c r="G862" s="8"/>
      <c r="H862" s="8"/>
      <c r="I862" s="8"/>
      <c r="J862" s="8"/>
      <c r="K862" s="8"/>
      <c r="L862" s="8"/>
      <c r="M862" s="8"/>
      <c r="N862" s="8"/>
      <c r="O862" s="8"/>
      <c r="P862" s="8"/>
      <c r="Q862" s="8"/>
    </row>
    <row r="863" spans="1:17" ht="12.75" customHeight="1">
      <c r="A863" s="8"/>
      <c r="B863" s="8"/>
      <c r="C863" s="30"/>
      <c r="D863" s="8"/>
      <c r="E863" s="8"/>
      <c r="F863" s="8"/>
      <c r="G863" s="8"/>
      <c r="H863" s="8"/>
      <c r="I863" s="8"/>
      <c r="J863" s="8"/>
      <c r="K863" s="8"/>
      <c r="L863" s="8"/>
      <c r="M863" s="8"/>
      <c r="N863" s="8"/>
      <c r="O863" s="8"/>
      <c r="P863" s="8"/>
      <c r="Q863" s="8"/>
    </row>
    <row r="864" spans="1:17" ht="12.75" customHeight="1">
      <c r="A864" s="8"/>
      <c r="B864" s="8"/>
      <c r="C864" s="30"/>
      <c r="D864" s="8"/>
      <c r="E864" s="8"/>
      <c r="F864" s="8"/>
      <c r="G864" s="8"/>
      <c r="H864" s="8"/>
      <c r="I864" s="8"/>
      <c r="J864" s="8"/>
      <c r="K864" s="8"/>
      <c r="L864" s="8"/>
      <c r="M864" s="8"/>
      <c r="N864" s="8"/>
      <c r="O864" s="8"/>
      <c r="P864" s="8"/>
      <c r="Q864" s="8"/>
    </row>
    <row r="865" spans="1:17" ht="12.75" customHeight="1">
      <c r="A865" s="8"/>
      <c r="B865" s="8"/>
      <c r="C865" s="30"/>
      <c r="D865" s="8"/>
      <c r="E865" s="8"/>
      <c r="F865" s="8"/>
      <c r="G865" s="8"/>
      <c r="H865" s="8"/>
      <c r="I865" s="8"/>
      <c r="J865" s="8"/>
      <c r="K865" s="8"/>
      <c r="L865" s="8"/>
      <c r="M865" s="8"/>
      <c r="N865" s="8"/>
      <c r="O865" s="8"/>
      <c r="P865" s="8"/>
      <c r="Q865" s="8"/>
    </row>
    <row r="866" spans="1:17" ht="12.75" customHeight="1">
      <c r="A866" s="8"/>
      <c r="B866" s="8"/>
      <c r="C866" s="30"/>
      <c r="D866" s="8"/>
      <c r="E866" s="8"/>
      <c r="F866" s="8"/>
      <c r="G866" s="8"/>
      <c r="H866" s="8"/>
      <c r="I866" s="8"/>
      <c r="J866" s="8"/>
      <c r="K866" s="8"/>
      <c r="L866" s="8"/>
      <c r="M866" s="8"/>
      <c r="N866" s="8"/>
      <c r="O866" s="8"/>
      <c r="P866" s="8"/>
      <c r="Q866" s="8"/>
    </row>
    <row r="867" spans="1:17" ht="12.75" customHeight="1">
      <c r="A867" s="8"/>
      <c r="B867" s="8"/>
      <c r="C867" s="30"/>
      <c r="D867" s="8"/>
      <c r="E867" s="8"/>
      <c r="F867" s="8"/>
      <c r="G867" s="8"/>
      <c r="H867" s="8"/>
      <c r="I867" s="8"/>
      <c r="J867" s="8"/>
      <c r="K867" s="8"/>
      <c r="L867" s="8"/>
      <c r="M867" s="8"/>
      <c r="N867" s="8"/>
      <c r="O867" s="8"/>
      <c r="P867" s="8"/>
      <c r="Q867" s="8"/>
    </row>
    <row r="868" spans="1:17" ht="12.75" customHeight="1">
      <c r="A868" s="8"/>
      <c r="B868" s="8"/>
      <c r="C868" s="30"/>
      <c r="D868" s="8"/>
      <c r="E868" s="8"/>
      <c r="F868" s="8"/>
      <c r="G868" s="8"/>
      <c r="H868" s="8"/>
      <c r="I868" s="8"/>
      <c r="J868" s="8"/>
      <c r="K868" s="8"/>
      <c r="L868" s="8"/>
      <c r="M868" s="8"/>
      <c r="N868" s="8"/>
      <c r="O868" s="8"/>
      <c r="P868" s="8"/>
      <c r="Q868" s="8"/>
    </row>
    <row r="869" spans="1:17" ht="12.75" customHeight="1">
      <c r="A869" s="8"/>
      <c r="B869" s="8"/>
      <c r="C869" s="30"/>
      <c r="D869" s="8"/>
      <c r="E869" s="8"/>
      <c r="F869" s="8"/>
      <c r="G869" s="8"/>
      <c r="H869" s="8"/>
      <c r="I869" s="8"/>
      <c r="J869" s="8"/>
      <c r="K869" s="8"/>
      <c r="L869" s="8"/>
      <c r="M869" s="8"/>
      <c r="N869" s="8"/>
      <c r="O869" s="8"/>
      <c r="P869" s="8"/>
      <c r="Q869" s="8"/>
    </row>
    <row r="870" spans="1:17" ht="12.75" customHeight="1">
      <c r="A870" s="8"/>
      <c r="B870" s="8"/>
      <c r="C870" s="30"/>
      <c r="D870" s="8"/>
      <c r="E870" s="8"/>
      <c r="F870" s="8"/>
      <c r="G870" s="8"/>
      <c r="H870" s="8"/>
      <c r="I870" s="8"/>
      <c r="J870" s="8"/>
      <c r="K870" s="8"/>
      <c r="L870" s="8"/>
      <c r="M870" s="8"/>
      <c r="N870" s="8"/>
      <c r="O870" s="8"/>
      <c r="P870" s="8"/>
      <c r="Q870" s="8"/>
    </row>
    <row r="871" spans="1:17" ht="12.75" customHeight="1">
      <c r="A871" s="8"/>
      <c r="B871" s="8"/>
      <c r="C871" s="30"/>
      <c r="D871" s="8"/>
      <c r="E871" s="8"/>
      <c r="F871" s="8"/>
      <c r="G871" s="8"/>
      <c r="H871" s="8"/>
      <c r="I871" s="8"/>
      <c r="J871" s="8"/>
      <c r="K871" s="8"/>
      <c r="L871" s="8"/>
      <c r="M871" s="8"/>
      <c r="N871" s="8"/>
      <c r="O871" s="8"/>
      <c r="P871" s="8"/>
      <c r="Q871" s="8"/>
    </row>
    <row r="872" spans="1:17" ht="12.75" customHeight="1">
      <c r="A872" s="8"/>
      <c r="B872" s="8"/>
      <c r="C872" s="30"/>
      <c r="D872" s="8"/>
      <c r="E872" s="8"/>
      <c r="F872" s="8"/>
      <c r="G872" s="8"/>
      <c r="H872" s="8"/>
      <c r="I872" s="8"/>
      <c r="J872" s="8"/>
      <c r="K872" s="8"/>
      <c r="L872" s="8"/>
      <c r="M872" s="8"/>
      <c r="N872" s="8"/>
      <c r="O872" s="8"/>
      <c r="P872" s="8"/>
      <c r="Q872" s="8"/>
    </row>
    <row r="873" spans="1:17" ht="12.75" customHeight="1">
      <c r="A873" s="8"/>
      <c r="B873" s="8"/>
      <c r="C873" s="30"/>
      <c r="D873" s="8"/>
      <c r="E873" s="8"/>
      <c r="F873" s="8"/>
      <c r="G873" s="8"/>
      <c r="H873" s="8"/>
      <c r="I873" s="8"/>
      <c r="J873" s="8"/>
      <c r="K873" s="8"/>
      <c r="L873" s="8"/>
      <c r="M873" s="8"/>
      <c r="N873" s="8"/>
      <c r="O873" s="8"/>
      <c r="P873" s="8"/>
      <c r="Q873" s="8"/>
    </row>
    <row r="874" spans="1:17" ht="12.75" customHeight="1">
      <c r="A874" s="8"/>
      <c r="B874" s="8"/>
      <c r="C874" s="30"/>
      <c r="D874" s="8"/>
      <c r="E874" s="8"/>
      <c r="F874" s="8"/>
      <c r="G874" s="8"/>
      <c r="H874" s="8"/>
      <c r="I874" s="8"/>
      <c r="J874" s="8"/>
      <c r="K874" s="8"/>
      <c r="L874" s="8"/>
      <c r="M874" s="8"/>
      <c r="N874" s="8"/>
      <c r="O874" s="8"/>
      <c r="P874" s="8"/>
      <c r="Q874" s="8"/>
    </row>
    <row r="875" spans="1:17" ht="12.75" customHeight="1">
      <c r="A875" s="8"/>
      <c r="B875" s="8"/>
      <c r="C875" s="30"/>
      <c r="D875" s="8"/>
      <c r="E875" s="8"/>
      <c r="F875" s="8"/>
      <c r="G875" s="8"/>
      <c r="H875" s="8"/>
      <c r="I875" s="8"/>
      <c r="J875" s="8"/>
      <c r="K875" s="8"/>
      <c r="L875" s="8"/>
      <c r="M875" s="8"/>
      <c r="N875" s="8"/>
      <c r="O875" s="8"/>
      <c r="P875" s="8"/>
      <c r="Q875" s="8"/>
    </row>
    <row r="876" spans="1:17" ht="12.75" customHeight="1">
      <c r="A876" s="8"/>
      <c r="B876" s="8"/>
      <c r="C876" s="30"/>
      <c r="D876" s="8"/>
      <c r="E876" s="8"/>
      <c r="F876" s="8"/>
      <c r="G876" s="8"/>
      <c r="H876" s="8"/>
      <c r="I876" s="8"/>
      <c r="J876" s="8"/>
      <c r="K876" s="8"/>
      <c r="L876" s="8"/>
      <c r="M876" s="8"/>
      <c r="N876" s="8"/>
      <c r="O876" s="8"/>
      <c r="P876" s="8"/>
      <c r="Q876" s="8"/>
    </row>
    <row r="877" spans="1:17" ht="12.75" customHeight="1">
      <c r="A877" s="8"/>
      <c r="B877" s="8"/>
      <c r="C877" s="30"/>
      <c r="D877" s="8"/>
      <c r="E877" s="8"/>
      <c r="F877" s="8"/>
      <c r="G877" s="8"/>
      <c r="H877" s="8"/>
      <c r="I877" s="8"/>
      <c r="J877" s="8"/>
      <c r="K877" s="8"/>
      <c r="L877" s="8"/>
      <c r="M877" s="8"/>
      <c r="N877" s="8"/>
      <c r="O877" s="8"/>
      <c r="P877" s="8"/>
      <c r="Q877" s="8"/>
    </row>
    <row r="878" spans="1:17" ht="12.75" customHeight="1">
      <c r="A878" s="8"/>
      <c r="B878" s="8"/>
      <c r="C878" s="30"/>
      <c r="D878" s="8"/>
      <c r="E878" s="8"/>
      <c r="F878" s="8"/>
      <c r="G878" s="8"/>
      <c r="H878" s="8"/>
      <c r="I878" s="8"/>
      <c r="J878" s="8"/>
      <c r="K878" s="8"/>
      <c r="L878" s="8"/>
      <c r="M878" s="8"/>
      <c r="N878" s="8"/>
      <c r="O878" s="8"/>
      <c r="P878" s="8"/>
      <c r="Q878" s="8"/>
    </row>
    <row r="879" spans="1:17" ht="12.75" customHeight="1">
      <c r="A879" s="8"/>
      <c r="B879" s="8"/>
      <c r="C879" s="30"/>
      <c r="D879" s="8"/>
      <c r="E879" s="8"/>
      <c r="F879" s="8"/>
      <c r="G879" s="8"/>
      <c r="H879" s="8"/>
      <c r="I879" s="8"/>
      <c r="J879" s="8"/>
      <c r="K879" s="8"/>
      <c r="L879" s="8"/>
      <c r="M879" s="8"/>
      <c r="N879" s="8"/>
      <c r="O879" s="8"/>
      <c r="P879" s="8"/>
      <c r="Q879" s="8"/>
    </row>
    <row r="880" spans="1:17" ht="12.75" customHeight="1">
      <c r="A880" s="8"/>
      <c r="B880" s="8"/>
      <c r="C880" s="30"/>
      <c r="D880" s="8"/>
      <c r="E880" s="8"/>
      <c r="F880" s="8"/>
      <c r="G880" s="8"/>
      <c r="H880" s="8"/>
      <c r="I880" s="8"/>
      <c r="J880" s="8"/>
      <c r="K880" s="8"/>
      <c r="L880" s="8"/>
      <c r="M880" s="8"/>
      <c r="N880" s="8"/>
      <c r="O880" s="8"/>
      <c r="P880" s="8"/>
      <c r="Q880" s="8"/>
    </row>
    <row r="881" spans="1:17" ht="12.75" customHeight="1">
      <c r="A881" s="8"/>
      <c r="B881" s="8"/>
      <c r="C881" s="30"/>
      <c r="D881" s="8"/>
      <c r="E881" s="8"/>
      <c r="F881" s="8"/>
      <c r="G881" s="8"/>
      <c r="H881" s="8"/>
      <c r="I881" s="8"/>
      <c r="J881" s="8"/>
      <c r="K881" s="8"/>
      <c r="L881" s="8"/>
      <c r="M881" s="8"/>
      <c r="N881" s="8"/>
      <c r="O881" s="8"/>
      <c r="P881" s="8"/>
      <c r="Q881" s="8"/>
    </row>
    <row r="882" spans="1:17" ht="12.75" customHeight="1">
      <c r="A882" s="8"/>
      <c r="B882" s="8"/>
      <c r="C882" s="30"/>
      <c r="D882" s="8"/>
      <c r="E882" s="8"/>
      <c r="F882" s="8"/>
      <c r="G882" s="8"/>
      <c r="H882" s="8"/>
      <c r="I882" s="8"/>
      <c r="J882" s="8"/>
      <c r="K882" s="8"/>
      <c r="L882" s="8"/>
      <c r="M882" s="8"/>
      <c r="N882" s="8"/>
      <c r="O882" s="8"/>
      <c r="P882" s="8"/>
      <c r="Q882" s="8"/>
    </row>
    <row r="883" spans="1:17" ht="12.75" customHeight="1">
      <c r="A883" s="8"/>
      <c r="B883" s="8"/>
      <c r="C883" s="30"/>
      <c r="D883" s="8"/>
      <c r="E883" s="8"/>
      <c r="F883" s="8"/>
      <c r="G883" s="8"/>
      <c r="H883" s="8"/>
      <c r="I883" s="8"/>
      <c r="J883" s="8"/>
      <c r="K883" s="8"/>
      <c r="L883" s="8"/>
      <c r="M883" s="8"/>
      <c r="N883" s="8"/>
      <c r="O883" s="8"/>
      <c r="P883" s="8"/>
      <c r="Q883" s="8"/>
    </row>
    <row r="884" spans="1:17" ht="12.75" customHeight="1">
      <c r="A884" s="8"/>
      <c r="B884" s="8"/>
      <c r="C884" s="30"/>
      <c r="D884" s="8"/>
      <c r="E884" s="8"/>
      <c r="F884" s="8"/>
      <c r="G884" s="8"/>
      <c r="H884" s="8"/>
      <c r="I884" s="8"/>
      <c r="J884" s="8"/>
      <c r="K884" s="8"/>
      <c r="L884" s="8"/>
      <c r="M884" s="8"/>
      <c r="N884" s="8"/>
      <c r="O884" s="8"/>
      <c r="P884" s="8"/>
      <c r="Q884" s="8"/>
    </row>
    <row r="885" spans="1:17" ht="12.75" customHeight="1">
      <c r="A885" s="8"/>
      <c r="B885" s="8"/>
      <c r="C885" s="30"/>
      <c r="D885" s="8"/>
      <c r="E885" s="8"/>
      <c r="F885" s="8"/>
      <c r="G885" s="8"/>
      <c r="H885" s="8"/>
      <c r="I885" s="8"/>
      <c r="J885" s="8"/>
      <c r="K885" s="8"/>
      <c r="L885" s="8"/>
      <c r="M885" s="8"/>
      <c r="N885" s="8"/>
      <c r="O885" s="8"/>
      <c r="P885" s="8"/>
      <c r="Q885" s="8"/>
    </row>
    <row r="886" spans="1:17" ht="12.75" customHeight="1">
      <c r="A886" s="8"/>
      <c r="B886" s="8"/>
      <c r="C886" s="30"/>
      <c r="D886" s="8"/>
      <c r="E886" s="8"/>
      <c r="F886" s="8"/>
      <c r="G886" s="8"/>
      <c r="H886" s="8"/>
      <c r="I886" s="8"/>
      <c r="J886" s="8"/>
      <c r="K886" s="8"/>
      <c r="L886" s="8"/>
      <c r="M886" s="8"/>
      <c r="N886" s="8"/>
      <c r="O886" s="8"/>
      <c r="P886" s="8"/>
      <c r="Q886" s="8"/>
    </row>
    <row r="887" spans="1:17" ht="12.75" customHeight="1">
      <c r="A887" s="8"/>
      <c r="B887" s="8"/>
      <c r="C887" s="30"/>
      <c r="D887" s="8"/>
      <c r="E887" s="8"/>
      <c r="F887" s="8"/>
      <c r="G887" s="8"/>
      <c r="H887" s="8"/>
      <c r="I887" s="8"/>
      <c r="J887" s="8"/>
      <c r="K887" s="8"/>
      <c r="L887" s="8"/>
      <c r="M887" s="8"/>
      <c r="N887" s="8"/>
      <c r="O887" s="8"/>
      <c r="P887" s="8"/>
      <c r="Q887" s="8"/>
    </row>
    <row r="888" spans="1:17" ht="12.75" customHeight="1">
      <c r="A888" s="8"/>
      <c r="B888" s="8"/>
      <c r="C888" s="30"/>
      <c r="D888" s="8"/>
      <c r="E888" s="8"/>
      <c r="F888" s="8"/>
      <c r="G888" s="8"/>
      <c r="H888" s="8"/>
      <c r="I888" s="8"/>
      <c r="J888" s="8"/>
      <c r="K888" s="8"/>
      <c r="L888" s="8"/>
      <c r="M888" s="8"/>
      <c r="N888" s="8"/>
      <c r="O888" s="8"/>
      <c r="P888" s="8"/>
      <c r="Q888" s="8"/>
    </row>
    <row r="889" spans="1:17" ht="12.75" customHeight="1">
      <c r="A889" s="8"/>
      <c r="B889" s="8"/>
      <c r="C889" s="30"/>
      <c r="D889" s="8"/>
      <c r="E889" s="8"/>
      <c r="F889" s="8"/>
      <c r="G889" s="8"/>
      <c r="H889" s="8"/>
      <c r="I889" s="8"/>
      <c r="J889" s="8"/>
      <c r="K889" s="8"/>
      <c r="L889" s="8"/>
      <c r="M889" s="8"/>
      <c r="N889" s="8"/>
      <c r="O889" s="8"/>
      <c r="P889" s="8"/>
      <c r="Q889" s="8"/>
    </row>
    <row r="890" spans="1:17" ht="12.75" customHeight="1">
      <c r="A890" s="8"/>
      <c r="B890" s="8"/>
      <c r="C890" s="30"/>
      <c r="D890" s="8"/>
      <c r="E890" s="8"/>
      <c r="F890" s="8"/>
      <c r="G890" s="8"/>
      <c r="H890" s="8"/>
      <c r="I890" s="8"/>
      <c r="J890" s="8"/>
      <c r="K890" s="8"/>
      <c r="L890" s="8"/>
      <c r="M890" s="8"/>
      <c r="N890" s="8"/>
      <c r="O890" s="8"/>
      <c r="P890" s="8"/>
      <c r="Q890" s="8"/>
    </row>
    <row r="891" spans="1:17" ht="12.75" customHeight="1">
      <c r="A891" s="8"/>
      <c r="B891" s="8"/>
      <c r="C891" s="30"/>
      <c r="D891" s="8"/>
      <c r="E891" s="8"/>
      <c r="F891" s="8"/>
      <c r="G891" s="8"/>
      <c r="H891" s="8"/>
      <c r="I891" s="8"/>
      <c r="J891" s="8"/>
      <c r="K891" s="8"/>
      <c r="L891" s="8"/>
      <c r="M891" s="8"/>
      <c r="N891" s="8"/>
      <c r="O891" s="8"/>
      <c r="P891" s="8"/>
      <c r="Q891" s="8"/>
    </row>
    <row r="892" spans="1:17" ht="12.75" customHeight="1">
      <c r="A892" s="8"/>
      <c r="B892" s="8"/>
      <c r="C892" s="30"/>
      <c r="D892" s="8"/>
      <c r="E892" s="8"/>
      <c r="F892" s="8"/>
      <c r="G892" s="8"/>
      <c r="H892" s="8"/>
      <c r="I892" s="8"/>
      <c r="J892" s="8"/>
      <c r="K892" s="8"/>
      <c r="L892" s="8"/>
      <c r="M892" s="8"/>
      <c r="N892" s="8"/>
      <c r="O892" s="8"/>
      <c r="P892" s="8"/>
      <c r="Q892" s="8"/>
    </row>
    <row r="893" spans="1:17" ht="12.75" customHeight="1">
      <c r="A893" s="8"/>
      <c r="B893" s="8"/>
      <c r="C893" s="30"/>
      <c r="D893" s="8"/>
      <c r="E893" s="8"/>
      <c r="F893" s="8"/>
      <c r="G893" s="8"/>
      <c r="H893" s="8"/>
      <c r="I893" s="8"/>
      <c r="J893" s="8"/>
      <c r="K893" s="8"/>
      <c r="L893" s="8"/>
      <c r="M893" s="8"/>
      <c r="N893" s="8"/>
      <c r="O893" s="8"/>
      <c r="P893" s="8"/>
      <c r="Q893" s="8"/>
    </row>
    <row r="894" spans="1:17" ht="12.75" customHeight="1">
      <c r="A894" s="8"/>
      <c r="B894" s="8"/>
      <c r="C894" s="30"/>
      <c r="D894" s="8"/>
      <c r="E894" s="8"/>
      <c r="F894" s="8"/>
      <c r="G894" s="8"/>
      <c r="H894" s="8"/>
      <c r="I894" s="8"/>
      <c r="J894" s="8"/>
      <c r="K894" s="8"/>
      <c r="L894" s="8"/>
      <c r="M894" s="8"/>
      <c r="N894" s="8"/>
      <c r="O894" s="8"/>
      <c r="P894" s="8"/>
      <c r="Q894" s="8"/>
    </row>
    <row r="895" spans="1:17" ht="12.75" customHeight="1">
      <c r="A895" s="8"/>
      <c r="B895" s="8"/>
      <c r="C895" s="30"/>
      <c r="D895" s="8"/>
      <c r="E895" s="8"/>
      <c r="F895" s="8"/>
      <c r="G895" s="8"/>
      <c r="H895" s="8"/>
      <c r="I895" s="8"/>
      <c r="J895" s="8"/>
      <c r="K895" s="8"/>
      <c r="L895" s="8"/>
      <c r="M895" s="8"/>
      <c r="N895" s="8"/>
      <c r="O895" s="8"/>
      <c r="P895" s="8"/>
      <c r="Q895" s="8"/>
    </row>
    <row r="896" spans="1:17" ht="12.75" customHeight="1">
      <c r="A896" s="8"/>
      <c r="B896" s="8"/>
      <c r="C896" s="30"/>
      <c r="D896" s="8"/>
      <c r="E896" s="8"/>
      <c r="F896" s="8"/>
      <c r="G896" s="8"/>
      <c r="H896" s="8"/>
      <c r="I896" s="8"/>
      <c r="J896" s="8"/>
      <c r="K896" s="8"/>
      <c r="L896" s="8"/>
      <c r="M896" s="8"/>
      <c r="N896" s="8"/>
      <c r="O896" s="8"/>
      <c r="P896" s="8"/>
      <c r="Q896" s="8"/>
    </row>
    <row r="897" spans="1:17" ht="12.75" customHeight="1">
      <c r="A897" s="8"/>
      <c r="B897" s="8"/>
      <c r="C897" s="30"/>
      <c r="D897" s="8"/>
      <c r="E897" s="8"/>
      <c r="F897" s="8"/>
      <c r="G897" s="8"/>
      <c r="H897" s="8"/>
      <c r="I897" s="8"/>
      <c r="J897" s="8"/>
      <c r="K897" s="8"/>
      <c r="L897" s="8"/>
      <c r="M897" s="8"/>
      <c r="N897" s="8"/>
      <c r="O897" s="8"/>
      <c r="P897" s="8"/>
      <c r="Q897" s="8"/>
    </row>
    <row r="898" spans="1:17" ht="12.75" customHeight="1">
      <c r="A898" s="8"/>
      <c r="B898" s="8"/>
      <c r="C898" s="30"/>
      <c r="D898" s="8"/>
      <c r="E898" s="8"/>
      <c r="F898" s="8"/>
      <c r="G898" s="8"/>
      <c r="H898" s="8"/>
      <c r="I898" s="8"/>
      <c r="J898" s="8"/>
      <c r="K898" s="8"/>
      <c r="L898" s="8"/>
      <c r="M898" s="8"/>
      <c r="N898" s="8"/>
      <c r="O898" s="8"/>
      <c r="P898" s="8"/>
      <c r="Q898" s="8"/>
    </row>
    <row r="899" spans="1:17" ht="12.75" customHeight="1">
      <c r="A899" s="8"/>
      <c r="B899" s="8"/>
      <c r="C899" s="30"/>
      <c r="D899" s="8"/>
      <c r="E899" s="8"/>
      <c r="F899" s="8"/>
      <c r="G899" s="8"/>
      <c r="H899" s="8"/>
      <c r="I899" s="8"/>
      <c r="J899" s="8"/>
      <c r="K899" s="8"/>
      <c r="L899" s="8"/>
      <c r="M899" s="8"/>
      <c r="N899" s="8"/>
      <c r="O899" s="8"/>
      <c r="P899" s="8"/>
      <c r="Q899" s="8"/>
    </row>
    <row r="900" spans="1:17" ht="12.75" customHeight="1">
      <c r="A900" s="8"/>
      <c r="B900" s="8"/>
      <c r="C900" s="30"/>
      <c r="D900" s="8"/>
      <c r="E900" s="8"/>
      <c r="F900" s="8"/>
      <c r="G900" s="8"/>
      <c r="H900" s="8"/>
      <c r="I900" s="8"/>
      <c r="J900" s="8"/>
      <c r="K900" s="8"/>
      <c r="L900" s="8"/>
      <c r="M900" s="8"/>
      <c r="N900" s="8"/>
      <c r="O900" s="8"/>
      <c r="P900" s="8"/>
      <c r="Q900" s="8"/>
    </row>
    <row r="901" spans="1:17" ht="12.75" customHeight="1">
      <c r="A901" s="8"/>
      <c r="B901" s="8"/>
      <c r="C901" s="30"/>
      <c r="D901" s="8"/>
      <c r="E901" s="8"/>
      <c r="F901" s="8"/>
      <c r="G901" s="8"/>
      <c r="H901" s="8"/>
      <c r="I901" s="8"/>
      <c r="J901" s="8"/>
      <c r="K901" s="8"/>
      <c r="L901" s="8"/>
      <c r="M901" s="8"/>
      <c r="N901" s="8"/>
      <c r="O901" s="8"/>
      <c r="P901" s="8"/>
      <c r="Q901" s="8"/>
    </row>
    <row r="902" spans="1:17" ht="12.75" customHeight="1">
      <c r="A902" s="8"/>
      <c r="B902" s="8"/>
      <c r="C902" s="30"/>
      <c r="D902" s="8"/>
      <c r="E902" s="8"/>
      <c r="F902" s="8"/>
      <c r="G902" s="8"/>
      <c r="H902" s="8"/>
      <c r="I902" s="8"/>
      <c r="J902" s="8"/>
      <c r="K902" s="8"/>
      <c r="L902" s="8"/>
      <c r="M902" s="8"/>
      <c r="N902" s="8"/>
      <c r="O902" s="8"/>
      <c r="P902" s="8"/>
      <c r="Q902" s="8"/>
    </row>
    <row r="903" spans="1:17" ht="12.75" customHeight="1">
      <c r="A903" s="8"/>
      <c r="B903" s="8"/>
      <c r="C903" s="30"/>
      <c r="D903" s="8"/>
      <c r="E903" s="8"/>
      <c r="F903" s="8"/>
      <c r="G903" s="8"/>
      <c r="H903" s="8"/>
      <c r="I903" s="8"/>
      <c r="J903" s="8"/>
      <c r="K903" s="8"/>
      <c r="L903" s="8"/>
      <c r="M903" s="8"/>
      <c r="N903" s="8"/>
      <c r="O903" s="8"/>
      <c r="P903" s="8"/>
      <c r="Q903" s="8"/>
    </row>
    <row r="904" spans="1:17" ht="12.75" customHeight="1">
      <c r="A904" s="8"/>
      <c r="B904" s="8"/>
      <c r="C904" s="30"/>
      <c r="D904" s="8"/>
      <c r="E904" s="8"/>
      <c r="F904" s="8"/>
      <c r="G904" s="8"/>
      <c r="H904" s="8"/>
      <c r="I904" s="8"/>
      <c r="J904" s="8"/>
      <c r="K904" s="8"/>
      <c r="L904" s="8"/>
      <c r="M904" s="8"/>
      <c r="N904" s="8"/>
      <c r="O904" s="8"/>
      <c r="P904" s="8"/>
      <c r="Q904" s="8"/>
    </row>
    <row r="905" spans="1:17" ht="12.75" customHeight="1">
      <c r="A905" s="8"/>
      <c r="B905" s="8"/>
      <c r="C905" s="30"/>
      <c r="D905" s="8"/>
      <c r="E905" s="8"/>
      <c r="F905" s="8"/>
      <c r="G905" s="8"/>
      <c r="H905" s="8"/>
      <c r="I905" s="8"/>
      <c r="J905" s="8"/>
      <c r="K905" s="8"/>
      <c r="L905" s="8"/>
      <c r="M905" s="8"/>
      <c r="N905" s="8"/>
      <c r="O905" s="8"/>
      <c r="P905" s="8"/>
      <c r="Q905" s="8"/>
    </row>
    <row r="906" spans="1:17" ht="12.75" customHeight="1">
      <c r="A906" s="8"/>
      <c r="B906" s="8"/>
      <c r="C906" s="30"/>
      <c r="D906" s="8"/>
      <c r="E906" s="8"/>
      <c r="F906" s="8"/>
      <c r="G906" s="8"/>
      <c r="H906" s="8"/>
      <c r="I906" s="8"/>
      <c r="J906" s="8"/>
      <c r="K906" s="8"/>
      <c r="L906" s="8"/>
      <c r="M906" s="8"/>
      <c r="N906" s="8"/>
      <c r="O906" s="8"/>
      <c r="P906" s="8"/>
      <c r="Q906" s="8"/>
    </row>
    <row r="907" spans="1:17" ht="12.75" customHeight="1">
      <c r="A907" s="8"/>
      <c r="B907" s="8"/>
      <c r="C907" s="30"/>
      <c r="D907" s="8"/>
      <c r="E907" s="8"/>
      <c r="F907" s="8"/>
      <c r="G907" s="8"/>
      <c r="H907" s="8"/>
      <c r="I907" s="8"/>
      <c r="J907" s="8"/>
      <c r="K907" s="8"/>
      <c r="L907" s="8"/>
      <c r="M907" s="8"/>
      <c r="N907" s="8"/>
      <c r="O907" s="8"/>
      <c r="P907" s="8"/>
      <c r="Q907" s="8"/>
    </row>
    <row r="908" spans="1:17" ht="12.75" customHeight="1">
      <c r="A908" s="8"/>
      <c r="B908" s="8"/>
      <c r="C908" s="30"/>
      <c r="D908" s="8"/>
      <c r="E908" s="8"/>
      <c r="F908" s="8"/>
      <c r="G908" s="8"/>
      <c r="H908" s="8"/>
      <c r="I908" s="8"/>
      <c r="J908" s="8"/>
      <c r="K908" s="8"/>
      <c r="L908" s="8"/>
      <c r="M908" s="8"/>
      <c r="N908" s="8"/>
      <c r="O908" s="8"/>
      <c r="P908" s="8"/>
      <c r="Q908" s="8"/>
    </row>
    <row r="909" spans="1:17" ht="12.75" customHeight="1">
      <c r="A909" s="8"/>
      <c r="B909" s="8"/>
      <c r="C909" s="30"/>
      <c r="D909" s="8"/>
      <c r="E909" s="8"/>
      <c r="F909" s="8"/>
      <c r="G909" s="8"/>
      <c r="H909" s="8"/>
      <c r="I909" s="8"/>
      <c r="J909" s="8"/>
      <c r="K909" s="8"/>
      <c r="L909" s="8"/>
      <c r="M909" s="8"/>
      <c r="N909" s="8"/>
      <c r="O909" s="8"/>
      <c r="P909" s="8"/>
      <c r="Q909" s="8"/>
    </row>
    <row r="910" spans="1:17" ht="12.75" customHeight="1">
      <c r="A910" s="8"/>
      <c r="B910" s="8"/>
      <c r="C910" s="30"/>
      <c r="D910" s="8"/>
      <c r="E910" s="8"/>
      <c r="F910" s="8"/>
      <c r="G910" s="8"/>
      <c r="H910" s="8"/>
      <c r="I910" s="8"/>
      <c r="J910" s="8"/>
      <c r="K910" s="8"/>
      <c r="L910" s="8"/>
      <c r="M910" s="8"/>
      <c r="N910" s="8"/>
      <c r="O910" s="8"/>
      <c r="P910" s="8"/>
      <c r="Q910" s="8"/>
    </row>
    <row r="911" spans="1:17" ht="12.75" customHeight="1">
      <c r="A911" s="8"/>
      <c r="B911" s="8"/>
      <c r="C911" s="30"/>
      <c r="D911" s="8"/>
      <c r="E911" s="8"/>
      <c r="F911" s="8"/>
      <c r="G911" s="8"/>
      <c r="H911" s="8"/>
      <c r="I911" s="8"/>
      <c r="J911" s="8"/>
      <c r="K911" s="8"/>
      <c r="L911" s="8"/>
      <c r="M911" s="8"/>
      <c r="N911" s="8"/>
      <c r="O911" s="8"/>
      <c r="P911" s="8"/>
      <c r="Q911" s="8"/>
    </row>
    <row r="912" spans="1:17" ht="12.75" customHeight="1">
      <c r="A912" s="8"/>
      <c r="B912" s="8"/>
      <c r="C912" s="30"/>
      <c r="D912" s="8"/>
      <c r="E912" s="8"/>
      <c r="F912" s="8"/>
      <c r="G912" s="8"/>
      <c r="H912" s="8"/>
      <c r="I912" s="8"/>
      <c r="J912" s="8"/>
      <c r="K912" s="8"/>
      <c r="L912" s="8"/>
      <c r="M912" s="8"/>
      <c r="N912" s="8"/>
      <c r="O912" s="8"/>
      <c r="P912" s="8"/>
      <c r="Q912" s="8"/>
    </row>
    <row r="913" spans="1:17" ht="12.75" customHeight="1">
      <c r="A913" s="8"/>
      <c r="B913" s="8"/>
      <c r="C913" s="30"/>
      <c r="D913" s="8"/>
      <c r="E913" s="8"/>
      <c r="F913" s="8"/>
      <c r="G913" s="8"/>
      <c r="H913" s="8"/>
      <c r="I913" s="8"/>
      <c r="J913" s="8"/>
      <c r="K913" s="8"/>
      <c r="L913" s="8"/>
      <c r="M913" s="8"/>
      <c r="N913" s="8"/>
      <c r="O913" s="8"/>
      <c r="P913" s="8"/>
      <c r="Q913" s="8"/>
    </row>
    <row r="914" spans="1:17" ht="12.75" customHeight="1">
      <c r="A914" s="8"/>
      <c r="B914" s="8"/>
      <c r="C914" s="30"/>
      <c r="D914" s="8"/>
      <c r="E914" s="8"/>
      <c r="F914" s="8"/>
      <c r="G914" s="8"/>
      <c r="H914" s="8"/>
      <c r="I914" s="8"/>
      <c r="J914" s="8"/>
      <c r="K914" s="8"/>
      <c r="L914" s="8"/>
      <c r="M914" s="8"/>
      <c r="N914" s="8"/>
      <c r="O914" s="8"/>
      <c r="P914" s="8"/>
      <c r="Q914" s="8"/>
    </row>
    <row r="915" spans="1:17" ht="12.75" customHeight="1">
      <c r="A915" s="8"/>
      <c r="B915" s="8"/>
      <c r="C915" s="30"/>
      <c r="D915" s="8"/>
      <c r="E915" s="8"/>
      <c r="F915" s="8"/>
      <c r="G915" s="8"/>
      <c r="H915" s="8"/>
      <c r="I915" s="8"/>
      <c r="J915" s="8"/>
      <c r="K915" s="8"/>
      <c r="L915" s="8"/>
      <c r="M915" s="8"/>
      <c r="N915" s="8"/>
      <c r="O915" s="8"/>
      <c r="P915" s="8"/>
      <c r="Q915" s="8"/>
    </row>
    <row r="916" spans="1:17" ht="12.75" customHeight="1">
      <c r="A916" s="8"/>
      <c r="B916" s="8"/>
      <c r="C916" s="30"/>
      <c r="D916" s="8"/>
      <c r="E916" s="8"/>
      <c r="F916" s="8"/>
      <c r="G916" s="8"/>
      <c r="H916" s="8"/>
      <c r="I916" s="8"/>
      <c r="J916" s="8"/>
      <c r="K916" s="8"/>
      <c r="L916" s="8"/>
      <c r="M916" s="8"/>
      <c r="N916" s="8"/>
      <c r="O916" s="8"/>
      <c r="P916" s="8"/>
      <c r="Q916" s="8"/>
    </row>
    <row r="917" spans="1:17" ht="12.75" customHeight="1">
      <c r="A917" s="8"/>
      <c r="B917" s="8"/>
      <c r="C917" s="30"/>
      <c r="D917" s="8"/>
      <c r="E917" s="8"/>
      <c r="F917" s="8"/>
      <c r="G917" s="8"/>
      <c r="H917" s="8"/>
      <c r="I917" s="8"/>
      <c r="J917" s="8"/>
      <c r="K917" s="8"/>
      <c r="L917" s="8"/>
      <c r="M917" s="8"/>
      <c r="N917" s="8"/>
      <c r="O917" s="8"/>
      <c r="P917" s="8"/>
      <c r="Q917" s="8"/>
    </row>
    <row r="918" spans="1:17" ht="12.75" customHeight="1">
      <c r="A918" s="8"/>
      <c r="B918" s="8"/>
      <c r="C918" s="30"/>
      <c r="D918" s="8"/>
      <c r="E918" s="8"/>
      <c r="F918" s="8"/>
      <c r="G918" s="8"/>
      <c r="H918" s="8"/>
      <c r="I918" s="8"/>
      <c r="J918" s="8"/>
      <c r="K918" s="8"/>
      <c r="L918" s="8"/>
      <c r="M918" s="8"/>
      <c r="N918" s="8"/>
      <c r="O918" s="8"/>
      <c r="P918" s="8"/>
      <c r="Q918" s="8"/>
    </row>
    <row r="919" spans="1:17" ht="12.75" customHeight="1">
      <c r="A919" s="8"/>
      <c r="B919" s="8"/>
      <c r="C919" s="30"/>
      <c r="D919" s="8"/>
      <c r="E919" s="8"/>
      <c r="F919" s="8"/>
      <c r="G919" s="8"/>
      <c r="H919" s="8"/>
      <c r="I919" s="8"/>
      <c r="J919" s="8"/>
      <c r="K919" s="8"/>
      <c r="L919" s="8"/>
      <c r="M919" s="8"/>
      <c r="N919" s="8"/>
      <c r="O919" s="8"/>
      <c r="P919" s="8"/>
      <c r="Q919" s="8"/>
    </row>
    <row r="920" spans="1:17" ht="12.75" customHeight="1">
      <c r="A920" s="8"/>
      <c r="B920" s="8"/>
      <c r="C920" s="30"/>
      <c r="D920" s="8"/>
      <c r="E920" s="8"/>
      <c r="F920" s="8"/>
      <c r="G920" s="8"/>
      <c r="H920" s="8"/>
      <c r="I920" s="8"/>
      <c r="J920" s="8"/>
      <c r="K920" s="8"/>
      <c r="L920" s="8"/>
      <c r="M920" s="8"/>
      <c r="N920" s="8"/>
      <c r="O920" s="8"/>
      <c r="P920" s="8"/>
      <c r="Q920" s="8"/>
    </row>
    <row r="921" spans="1:17" ht="12.75" customHeight="1">
      <c r="A921" s="8"/>
      <c r="B921" s="8"/>
      <c r="C921" s="30"/>
      <c r="D921" s="8"/>
      <c r="E921" s="8"/>
      <c r="F921" s="8"/>
      <c r="G921" s="8"/>
      <c r="H921" s="8"/>
      <c r="I921" s="8"/>
      <c r="J921" s="8"/>
      <c r="K921" s="8"/>
      <c r="L921" s="8"/>
      <c r="M921" s="8"/>
      <c r="N921" s="8"/>
      <c r="O921" s="8"/>
      <c r="P921" s="8"/>
      <c r="Q921" s="8"/>
    </row>
    <row r="922" spans="1:17" ht="12.75" customHeight="1">
      <c r="A922" s="8"/>
      <c r="B922" s="8"/>
      <c r="C922" s="30"/>
      <c r="D922" s="8"/>
      <c r="E922" s="8"/>
      <c r="F922" s="8"/>
      <c r="G922" s="8"/>
      <c r="H922" s="8"/>
      <c r="I922" s="8"/>
      <c r="J922" s="8"/>
      <c r="K922" s="8"/>
      <c r="L922" s="8"/>
      <c r="M922" s="8"/>
      <c r="N922" s="8"/>
      <c r="O922" s="8"/>
      <c r="P922" s="8"/>
      <c r="Q922" s="8"/>
    </row>
    <row r="923" spans="1:17" ht="12.75" customHeight="1">
      <c r="A923" s="8"/>
      <c r="B923" s="8"/>
      <c r="C923" s="30"/>
      <c r="D923" s="8"/>
      <c r="E923" s="8"/>
      <c r="F923" s="8"/>
      <c r="G923" s="8"/>
      <c r="H923" s="8"/>
      <c r="I923" s="8"/>
      <c r="J923" s="8"/>
      <c r="K923" s="8"/>
      <c r="L923" s="8"/>
      <c r="M923" s="8"/>
      <c r="N923" s="8"/>
      <c r="O923" s="8"/>
      <c r="P923" s="8"/>
      <c r="Q923" s="8"/>
    </row>
    <row r="924" spans="1:17" ht="12.75" customHeight="1">
      <c r="A924" s="8"/>
      <c r="B924" s="8"/>
      <c r="C924" s="30"/>
      <c r="D924" s="8"/>
      <c r="E924" s="8"/>
      <c r="F924" s="8"/>
      <c r="G924" s="8"/>
      <c r="H924" s="8"/>
      <c r="I924" s="8"/>
      <c r="J924" s="8"/>
      <c r="K924" s="8"/>
      <c r="L924" s="8"/>
      <c r="M924" s="8"/>
      <c r="N924" s="8"/>
      <c r="O924" s="8"/>
      <c r="P924" s="8"/>
      <c r="Q924" s="8"/>
    </row>
    <row r="925" spans="1:17" ht="12.75" customHeight="1">
      <c r="A925" s="8"/>
      <c r="B925" s="8"/>
      <c r="C925" s="30"/>
      <c r="D925" s="8"/>
      <c r="E925" s="8"/>
      <c r="F925" s="8"/>
      <c r="G925" s="8"/>
      <c r="H925" s="8"/>
      <c r="I925" s="8"/>
      <c r="J925" s="8"/>
      <c r="K925" s="8"/>
      <c r="L925" s="8"/>
      <c r="M925" s="8"/>
      <c r="N925" s="8"/>
      <c r="O925" s="8"/>
      <c r="P925" s="8"/>
      <c r="Q925" s="8"/>
    </row>
    <row r="926" spans="1:17" ht="12.75" customHeight="1">
      <c r="A926" s="8"/>
      <c r="B926" s="8"/>
      <c r="C926" s="30"/>
      <c r="D926" s="8"/>
      <c r="E926" s="8"/>
      <c r="F926" s="8"/>
      <c r="G926" s="8"/>
      <c r="H926" s="8"/>
      <c r="I926" s="8"/>
      <c r="J926" s="8"/>
      <c r="K926" s="8"/>
      <c r="L926" s="8"/>
      <c r="M926" s="8"/>
      <c r="N926" s="8"/>
      <c r="O926" s="8"/>
      <c r="P926" s="8"/>
      <c r="Q926" s="8"/>
    </row>
    <row r="927" spans="1:17" ht="12.75" customHeight="1">
      <c r="A927" s="8"/>
      <c r="B927" s="8"/>
      <c r="C927" s="30"/>
      <c r="D927" s="8"/>
      <c r="E927" s="8"/>
      <c r="F927" s="8"/>
      <c r="G927" s="8"/>
      <c r="H927" s="8"/>
      <c r="I927" s="8"/>
      <c r="J927" s="8"/>
      <c r="K927" s="8"/>
      <c r="L927" s="8"/>
      <c r="M927" s="8"/>
      <c r="N927" s="8"/>
      <c r="O927" s="8"/>
      <c r="P927" s="8"/>
      <c r="Q927" s="8"/>
    </row>
    <row r="928" spans="1:17" ht="12.75" customHeight="1">
      <c r="A928" s="8"/>
      <c r="B928" s="8"/>
      <c r="C928" s="30"/>
      <c r="D928" s="8"/>
      <c r="E928" s="8"/>
      <c r="F928" s="8"/>
      <c r="G928" s="8"/>
      <c r="H928" s="8"/>
      <c r="I928" s="8"/>
      <c r="J928" s="8"/>
      <c r="K928" s="8"/>
      <c r="L928" s="8"/>
      <c r="M928" s="8"/>
      <c r="N928" s="8"/>
      <c r="O928" s="8"/>
      <c r="P928" s="8"/>
      <c r="Q928" s="8"/>
    </row>
    <row r="929" spans="1:17" ht="12.75" customHeight="1">
      <c r="A929" s="8"/>
      <c r="B929" s="8"/>
      <c r="C929" s="30"/>
      <c r="D929" s="8"/>
      <c r="E929" s="8"/>
      <c r="F929" s="8"/>
      <c r="G929" s="8"/>
      <c r="H929" s="8"/>
      <c r="I929" s="8"/>
      <c r="J929" s="8"/>
      <c r="K929" s="8"/>
      <c r="L929" s="8"/>
      <c r="M929" s="8"/>
      <c r="N929" s="8"/>
      <c r="O929" s="8"/>
      <c r="P929" s="8"/>
      <c r="Q929" s="8"/>
    </row>
    <row r="930" spans="1:17" ht="12.75" customHeight="1">
      <c r="A930" s="8"/>
      <c r="B930" s="8"/>
      <c r="C930" s="30"/>
      <c r="D930" s="8"/>
      <c r="E930" s="8"/>
      <c r="F930" s="8"/>
      <c r="G930" s="8"/>
      <c r="H930" s="8"/>
      <c r="I930" s="8"/>
      <c r="J930" s="8"/>
      <c r="K930" s="8"/>
      <c r="L930" s="8"/>
      <c r="M930" s="8"/>
      <c r="N930" s="8"/>
      <c r="O930" s="8"/>
      <c r="P930" s="8"/>
      <c r="Q930" s="8"/>
    </row>
    <row r="931" spans="1:17" ht="12.75" customHeight="1">
      <c r="A931" s="8"/>
      <c r="B931" s="8"/>
      <c r="C931" s="30"/>
      <c r="D931" s="8"/>
      <c r="E931" s="8"/>
      <c r="F931" s="8"/>
      <c r="G931" s="8"/>
      <c r="H931" s="8"/>
      <c r="I931" s="8"/>
      <c r="J931" s="8"/>
      <c r="K931" s="8"/>
      <c r="L931" s="8"/>
      <c r="M931" s="8"/>
      <c r="N931" s="8"/>
      <c r="O931" s="8"/>
      <c r="P931" s="8"/>
      <c r="Q931" s="8"/>
    </row>
    <row r="932" spans="1:17" ht="12.75" customHeight="1">
      <c r="A932" s="8"/>
      <c r="B932" s="8"/>
      <c r="C932" s="30"/>
      <c r="D932" s="8"/>
      <c r="E932" s="8"/>
      <c r="F932" s="8"/>
      <c r="G932" s="8"/>
      <c r="H932" s="8"/>
      <c r="I932" s="8"/>
      <c r="J932" s="8"/>
      <c r="K932" s="8"/>
      <c r="L932" s="8"/>
      <c r="M932" s="8"/>
      <c r="N932" s="8"/>
      <c r="O932" s="8"/>
      <c r="P932" s="8"/>
      <c r="Q932" s="8"/>
    </row>
    <row r="933" spans="1:17" ht="12.75" customHeight="1">
      <c r="A933" s="8"/>
      <c r="B933" s="8"/>
      <c r="C933" s="30"/>
      <c r="D933" s="8"/>
      <c r="E933" s="8"/>
      <c r="F933" s="8"/>
      <c r="G933" s="8"/>
      <c r="H933" s="8"/>
      <c r="I933" s="8"/>
      <c r="J933" s="8"/>
      <c r="K933" s="8"/>
      <c r="L933" s="8"/>
      <c r="M933" s="8"/>
      <c r="N933" s="8"/>
      <c r="O933" s="8"/>
      <c r="P933" s="8"/>
      <c r="Q933" s="8"/>
    </row>
    <row r="934" spans="1:17" ht="12.75" customHeight="1">
      <c r="A934" s="8"/>
      <c r="B934" s="8"/>
      <c r="C934" s="30"/>
      <c r="D934" s="8"/>
      <c r="E934" s="8"/>
      <c r="F934" s="8"/>
      <c r="G934" s="8"/>
      <c r="H934" s="8"/>
      <c r="I934" s="8"/>
      <c r="J934" s="8"/>
      <c r="K934" s="8"/>
      <c r="L934" s="8"/>
      <c r="M934" s="8"/>
      <c r="N934" s="8"/>
      <c r="O934" s="8"/>
      <c r="P934" s="8"/>
      <c r="Q934" s="8"/>
    </row>
    <row r="935" spans="1:17" ht="12.75" customHeight="1">
      <c r="A935" s="8"/>
      <c r="B935" s="8"/>
      <c r="C935" s="30"/>
      <c r="D935" s="8"/>
      <c r="E935" s="8"/>
      <c r="F935" s="8"/>
      <c r="G935" s="8"/>
      <c r="H935" s="8"/>
      <c r="I935" s="8"/>
      <c r="J935" s="8"/>
      <c r="K935" s="8"/>
      <c r="L935" s="8"/>
      <c r="M935" s="8"/>
      <c r="N935" s="8"/>
      <c r="O935" s="8"/>
      <c r="P935" s="8"/>
      <c r="Q935" s="8"/>
    </row>
    <row r="936" spans="1:17" ht="12.75" customHeight="1">
      <c r="A936" s="8"/>
      <c r="B936" s="8"/>
      <c r="C936" s="30"/>
      <c r="D936" s="8"/>
      <c r="E936" s="8"/>
      <c r="F936" s="8"/>
      <c r="G936" s="8"/>
      <c r="H936" s="8"/>
      <c r="I936" s="8"/>
      <c r="J936" s="8"/>
      <c r="K936" s="8"/>
      <c r="L936" s="8"/>
      <c r="M936" s="8"/>
      <c r="N936" s="8"/>
      <c r="O936" s="8"/>
      <c r="P936" s="8"/>
      <c r="Q936" s="8"/>
    </row>
    <row r="937" spans="1:17" ht="12.75" customHeight="1">
      <c r="A937" s="8"/>
      <c r="B937" s="8"/>
      <c r="C937" s="30"/>
      <c r="D937" s="8"/>
      <c r="E937" s="8"/>
      <c r="F937" s="8"/>
      <c r="G937" s="8"/>
      <c r="H937" s="8"/>
      <c r="I937" s="8"/>
      <c r="J937" s="8"/>
      <c r="K937" s="8"/>
      <c r="L937" s="8"/>
      <c r="M937" s="8"/>
      <c r="N937" s="8"/>
      <c r="O937" s="8"/>
      <c r="P937" s="8"/>
      <c r="Q937" s="8"/>
    </row>
    <row r="938" spans="1:17" ht="12.75" customHeight="1">
      <c r="A938" s="8"/>
      <c r="B938" s="8"/>
      <c r="C938" s="30"/>
      <c r="D938" s="8"/>
      <c r="E938" s="8"/>
      <c r="F938" s="8"/>
      <c r="G938" s="8"/>
      <c r="H938" s="8"/>
      <c r="I938" s="8"/>
      <c r="J938" s="8"/>
      <c r="K938" s="8"/>
      <c r="L938" s="8"/>
      <c r="M938" s="8"/>
      <c r="N938" s="8"/>
      <c r="O938" s="8"/>
      <c r="P938" s="8"/>
      <c r="Q938" s="8"/>
    </row>
    <row r="939" spans="1:17" ht="12.75" customHeight="1">
      <c r="A939" s="8"/>
      <c r="B939" s="8"/>
      <c r="C939" s="30"/>
      <c r="D939" s="8"/>
      <c r="E939" s="8"/>
      <c r="F939" s="8"/>
      <c r="G939" s="8"/>
      <c r="H939" s="8"/>
      <c r="I939" s="8"/>
      <c r="J939" s="8"/>
      <c r="K939" s="8"/>
      <c r="L939" s="8"/>
      <c r="M939" s="8"/>
      <c r="N939" s="8"/>
      <c r="O939" s="8"/>
      <c r="P939" s="8"/>
      <c r="Q939" s="8"/>
    </row>
    <row r="940" spans="1:17" ht="12.75" customHeight="1">
      <c r="A940" s="8"/>
      <c r="B940" s="8"/>
      <c r="C940" s="30"/>
      <c r="D940" s="8"/>
      <c r="E940" s="8"/>
      <c r="F940" s="8"/>
      <c r="G940" s="8"/>
      <c r="H940" s="8"/>
      <c r="I940" s="8"/>
      <c r="J940" s="8"/>
      <c r="K940" s="8"/>
      <c r="L940" s="8"/>
      <c r="M940" s="8"/>
      <c r="N940" s="8"/>
      <c r="O940" s="8"/>
      <c r="P940" s="8"/>
      <c r="Q940" s="8"/>
    </row>
    <row r="941" spans="1:17" ht="12.75" customHeight="1">
      <c r="A941" s="8"/>
      <c r="B941" s="8"/>
      <c r="C941" s="30"/>
      <c r="D941" s="8"/>
      <c r="E941" s="8"/>
      <c r="F941" s="8"/>
      <c r="G941" s="8"/>
      <c r="H941" s="8"/>
      <c r="I941" s="8"/>
      <c r="J941" s="8"/>
      <c r="K941" s="8"/>
      <c r="L941" s="8"/>
      <c r="M941" s="8"/>
      <c r="N941" s="8"/>
      <c r="O941" s="8"/>
      <c r="P941" s="8"/>
      <c r="Q941" s="8"/>
    </row>
    <row r="942" spans="1:17" ht="12.75" customHeight="1">
      <c r="A942" s="8"/>
      <c r="B942" s="8"/>
      <c r="C942" s="30"/>
      <c r="D942" s="8"/>
      <c r="E942" s="8"/>
      <c r="F942" s="8"/>
      <c r="G942" s="8"/>
      <c r="H942" s="8"/>
      <c r="I942" s="8"/>
      <c r="J942" s="8"/>
      <c r="K942" s="8"/>
      <c r="L942" s="8"/>
      <c r="M942" s="8"/>
      <c r="N942" s="8"/>
      <c r="O942" s="8"/>
      <c r="P942" s="8"/>
      <c r="Q942" s="8"/>
    </row>
    <row r="943" spans="1:17" ht="12.75" customHeight="1">
      <c r="A943" s="8"/>
      <c r="B943" s="8"/>
      <c r="C943" s="30"/>
      <c r="D943" s="8"/>
      <c r="E943" s="8"/>
      <c r="F943" s="8"/>
      <c r="G943" s="8"/>
      <c r="H943" s="8"/>
      <c r="I943" s="8"/>
      <c r="J943" s="8"/>
      <c r="K943" s="8"/>
      <c r="L943" s="8"/>
      <c r="M943" s="8"/>
      <c r="N943" s="8"/>
      <c r="O943" s="8"/>
      <c r="P943" s="8"/>
      <c r="Q943" s="8"/>
    </row>
    <row r="944" spans="1:17" ht="12.75" customHeight="1">
      <c r="A944" s="8"/>
      <c r="B944" s="8"/>
      <c r="C944" s="30"/>
      <c r="D944" s="8"/>
      <c r="E944" s="8"/>
      <c r="F944" s="8"/>
      <c r="G944" s="8"/>
      <c r="H944" s="8"/>
      <c r="I944" s="8"/>
      <c r="J944" s="8"/>
      <c r="K944" s="8"/>
      <c r="L944" s="8"/>
      <c r="M944" s="8"/>
      <c r="N944" s="8"/>
      <c r="O944" s="8"/>
      <c r="P944" s="8"/>
      <c r="Q944" s="8"/>
    </row>
    <row r="945" spans="1:17" ht="12.75" customHeight="1">
      <c r="A945" s="8"/>
      <c r="B945" s="8"/>
      <c r="C945" s="30"/>
      <c r="D945" s="8"/>
      <c r="E945" s="8"/>
      <c r="F945" s="8"/>
      <c r="G945" s="8"/>
      <c r="H945" s="8"/>
      <c r="I945" s="8"/>
      <c r="J945" s="8"/>
      <c r="K945" s="8"/>
      <c r="L945" s="8"/>
      <c r="M945" s="8"/>
      <c r="N945" s="8"/>
      <c r="O945" s="8"/>
      <c r="P945" s="8"/>
      <c r="Q945" s="8"/>
    </row>
    <row r="946" spans="1:17" ht="12.75" customHeight="1">
      <c r="A946" s="8"/>
      <c r="B946" s="8"/>
      <c r="C946" s="30"/>
      <c r="D946" s="8"/>
      <c r="E946" s="8"/>
      <c r="F946" s="8"/>
      <c r="G946" s="8"/>
      <c r="H946" s="8"/>
      <c r="I946" s="8"/>
      <c r="J946" s="8"/>
      <c r="K946" s="8"/>
      <c r="L946" s="8"/>
      <c r="M946" s="8"/>
      <c r="N946" s="8"/>
      <c r="O946" s="8"/>
      <c r="P946" s="8"/>
      <c r="Q946" s="8"/>
    </row>
    <row r="947" spans="1:17" ht="12.75" customHeight="1">
      <c r="A947" s="8"/>
      <c r="B947" s="8"/>
      <c r="C947" s="30"/>
      <c r="D947" s="8"/>
      <c r="E947" s="8"/>
      <c r="F947" s="8"/>
      <c r="G947" s="8"/>
      <c r="H947" s="8"/>
      <c r="I947" s="8"/>
      <c r="J947" s="8"/>
      <c r="K947" s="8"/>
      <c r="L947" s="8"/>
      <c r="M947" s="8"/>
      <c r="N947" s="8"/>
      <c r="O947" s="8"/>
      <c r="P947" s="8"/>
      <c r="Q947" s="8"/>
    </row>
    <row r="948" spans="1:17" ht="12.75" customHeight="1">
      <c r="A948" s="8"/>
      <c r="B948" s="8"/>
      <c r="C948" s="30"/>
      <c r="D948" s="8"/>
      <c r="E948" s="8"/>
      <c r="F948" s="8"/>
      <c r="G948" s="8"/>
      <c r="H948" s="8"/>
      <c r="I948" s="8"/>
      <c r="J948" s="8"/>
      <c r="K948" s="8"/>
      <c r="L948" s="8"/>
      <c r="M948" s="8"/>
      <c r="N948" s="8"/>
      <c r="O948" s="8"/>
      <c r="P948" s="8"/>
      <c r="Q948" s="8"/>
    </row>
    <row r="949" spans="1:17" ht="12.75" customHeight="1">
      <c r="A949" s="8"/>
      <c r="B949" s="8"/>
      <c r="C949" s="30"/>
      <c r="D949" s="8"/>
      <c r="E949" s="8"/>
      <c r="F949" s="8"/>
      <c r="G949" s="8"/>
      <c r="H949" s="8"/>
      <c r="I949" s="8"/>
      <c r="J949" s="8"/>
      <c r="K949" s="8"/>
      <c r="L949" s="8"/>
      <c r="M949" s="8"/>
      <c r="N949" s="8"/>
      <c r="O949" s="8"/>
      <c r="P949" s="8"/>
      <c r="Q949" s="8"/>
    </row>
    <row r="950" spans="1:17" ht="12.75" customHeight="1">
      <c r="A950" s="8"/>
      <c r="B950" s="8"/>
      <c r="C950" s="30"/>
      <c r="D950" s="8"/>
      <c r="E950" s="8"/>
      <c r="F950" s="8"/>
      <c r="G950" s="8"/>
      <c r="H950" s="8"/>
      <c r="I950" s="8"/>
      <c r="J950" s="8"/>
      <c r="K950" s="8"/>
      <c r="L950" s="8"/>
      <c r="M950" s="8"/>
      <c r="N950" s="8"/>
      <c r="O950" s="8"/>
      <c r="P950" s="8"/>
      <c r="Q950" s="8"/>
    </row>
    <row r="951" spans="1:17" ht="12.75" customHeight="1">
      <c r="A951" s="8"/>
      <c r="B951" s="8"/>
      <c r="C951" s="30"/>
      <c r="D951" s="8"/>
      <c r="E951" s="8"/>
      <c r="F951" s="8"/>
      <c r="G951" s="8"/>
      <c r="H951" s="8"/>
      <c r="I951" s="8"/>
      <c r="J951" s="8"/>
      <c r="K951" s="8"/>
      <c r="L951" s="8"/>
      <c r="M951" s="8"/>
      <c r="N951" s="8"/>
      <c r="O951" s="8"/>
      <c r="P951" s="8"/>
      <c r="Q951" s="8"/>
    </row>
    <row r="952" spans="1:17" ht="12.75" customHeight="1">
      <c r="A952" s="8"/>
      <c r="B952" s="8"/>
      <c r="C952" s="30"/>
      <c r="D952" s="8"/>
      <c r="E952" s="8"/>
      <c r="F952" s="8"/>
      <c r="G952" s="8"/>
      <c r="H952" s="8"/>
      <c r="I952" s="8"/>
      <c r="J952" s="8"/>
      <c r="K952" s="8"/>
      <c r="L952" s="8"/>
      <c r="M952" s="8"/>
      <c r="N952" s="8"/>
      <c r="O952" s="8"/>
      <c r="P952" s="8"/>
      <c r="Q952" s="8"/>
    </row>
    <row r="953" spans="1:17" ht="12.75" customHeight="1">
      <c r="A953" s="8"/>
      <c r="B953" s="8"/>
      <c r="C953" s="30"/>
      <c r="D953" s="8"/>
      <c r="E953" s="8"/>
      <c r="F953" s="8"/>
      <c r="G953" s="8"/>
      <c r="H953" s="8"/>
      <c r="I953" s="8"/>
      <c r="J953" s="8"/>
      <c r="K953" s="8"/>
      <c r="L953" s="8"/>
      <c r="M953" s="8"/>
      <c r="N953" s="8"/>
      <c r="O953" s="8"/>
      <c r="P953" s="8"/>
      <c r="Q953" s="8"/>
    </row>
    <row r="954" spans="1:17" ht="12.75" customHeight="1">
      <c r="A954" s="8"/>
      <c r="B954" s="8"/>
      <c r="C954" s="30"/>
      <c r="D954" s="8"/>
      <c r="E954" s="8"/>
      <c r="F954" s="8"/>
      <c r="G954" s="8"/>
      <c r="H954" s="8"/>
      <c r="I954" s="8"/>
      <c r="J954" s="8"/>
      <c r="K954" s="8"/>
      <c r="L954" s="8"/>
      <c r="M954" s="8"/>
      <c r="N954" s="8"/>
      <c r="O954" s="8"/>
      <c r="P954" s="8"/>
      <c r="Q954" s="8"/>
    </row>
    <row r="955" spans="1:17" ht="12.75" customHeight="1">
      <c r="A955" s="8"/>
      <c r="B955" s="8"/>
      <c r="C955" s="30"/>
      <c r="D955" s="8"/>
      <c r="E955" s="8"/>
      <c r="F955" s="8"/>
      <c r="G955" s="8"/>
      <c r="H955" s="8"/>
      <c r="I955" s="8"/>
      <c r="J955" s="8"/>
      <c r="K955" s="8"/>
      <c r="L955" s="8"/>
      <c r="M955" s="8"/>
      <c r="N955" s="8"/>
      <c r="O955" s="8"/>
      <c r="P955" s="8"/>
      <c r="Q955" s="8"/>
    </row>
    <row r="956" spans="1:17" ht="12.75" customHeight="1">
      <c r="A956" s="8"/>
      <c r="B956" s="8"/>
      <c r="C956" s="30"/>
      <c r="D956" s="8"/>
      <c r="E956" s="8"/>
      <c r="F956" s="8"/>
      <c r="G956" s="8"/>
      <c r="H956" s="8"/>
      <c r="I956" s="8"/>
      <c r="J956" s="8"/>
      <c r="K956" s="8"/>
      <c r="L956" s="8"/>
      <c r="M956" s="8"/>
      <c r="N956" s="8"/>
      <c r="O956" s="8"/>
      <c r="P956" s="8"/>
      <c r="Q956" s="8"/>
    </row>
    <row r="957" spans="1:17" ht="12.75" customHeight="1">
      <c r="A957" s="8"/>
      <c r="B957" s="8"/>
      <c r="C957" s="30"/>
      <c r="D957" s="8"/>
      <c r="E957" s="8"/>
      <c r="F957" s="8"/>
      <c r="G957" s="8"/>
      <c r="H957" s="8"/>
      <c r="I957" s="8"/>
      <c r="J957" s="8"/>
      <c r="K957" s="8"/>
      <c r="L957" s="8"/>
      <c r="M957" s="8"/>
      <c r="N957" s="8"/>
      <c r="O957" s="8"/>
      <c r="P957" s="8"/>
      <c r="Q957" s="8"/>
    </row>
    <row r="958" spans="1:17" ht="12.75" customHeight="1">
      <c r="A958" s="8"/>
      <c r="B958" s="8"/>
      <c r="C958" s="30"/>
      <c r="D958" s="8"/>
      <c r="E958" s="8"/>
      <c r="F958" s="8"/>
      <c r="G958" s="8"/>
      <c r="H958" s="8"/>
      <c r="I958" s="8"/>
      <c r="J958" s="8"/>
      <c r="K958" s="8"/>
      <c r="L958" s="8"/>
      <c r="M958" s="8"/>
      <c r="N958" s="8"/>
      <c r="O958" s="8"/>
      <c r="P958" s="8"/>
      <c r="Q958" s="8"/>
    </row>
    <row r="959" spans="1:17" ht="12.75" customHeight="1">
      <c r="A959" s="8"/>
      <c r="B959" s="8"/>
      <c r="C959" s="30"/>
      <c r="D959" s="8"/>
      <c r="E959" s="8"/>
      <c r="F959" s="8"/>
      <c r="G959" s="8"/>
      <c r="H959" s="8"/>
      <c r="I959" s="8"/>
      <c r="J959" s="8"/>
      <c r="K959" s="8"/>
      <c r="L959" s="8"/>
      <c r="M959" s="8"/>
      <c r="N959" s="8"/>
      <c r="O959" s="8"/>
      <c r="P959" s="8"/>
      <c r="Q959" s="8"/>
    </row>
    <row r="960" spans="1:17" ht="12.75" customHeight="1">
      <c r="A960" s="8"/>
      <c r="B960" s="8"/>
      <c r="C960" s="30"/>
      <c r="D960" s="8"/>
      <c r="E960" s="8"/>
      <c r="F960" s="8"/>
      <c r="G960" s="8"/>
      <c r="H960" s="8"/>
      <c r="I960" s="8"/>
      <c r="J960" s="8"/>
      <c r="K960" s="8"/>
      <c r="L960" s="8"/>
      <c r="M960" s="8"/>
      <c r="N960" s="8"/>
      <c r="O960" s="8"/>
      <c r="P960" s="8"/>
      <c r="Q960" s="8"/>
    </row>
    <row r="961" spans="1:17" ht="12.75" customHeight="1">
      <c r="A961" s="8"/>
      <c r="B961" s="8"/>
      <c r="C961" s="30"/>
      <c r="D961" s="8"/>
      <c r="E961" s="8"/>
      <c r="F961" s="8"/>
      <c r="G961" s="8"/>
      <c r="H961" s="8"/>
      <c r="I961" s="8"/>
      <c r="J961" s="8"/>
      <c r="K961" s="8"/>
      <c r="L961" s="8"/>
      <c r="M961" s="8"/>
      <c r="N961" s="8"/>
      <c r="O961" s="8"/>
      <c r="P961" s="8"/>
      <c r="Q961" s="8"/>
    </row>
    <row r="962" spans="1:17" ht="12.75" customHeight="1">
      <c r="A962" s="8"/>
      <c r="B962" s="8"/>
      <c r="C962" s="30"/>
      <c r="D962" s="8"/>
      <c r="E962" s="8"/>
      <c r="F962" s="8"/>
      <c r="G962" s="8"/>
      <c r="H962" s="8"/>
      <c r="I962" s="8"/>
      <c r="J962" s="8"/>
      <c r="K962" s="8"/>
      <c r="L962" s="8"/>
      <c r="M962" s="8"/>
      <c r="N962" s="8"/>
      <c r="O962" s="8"/>
      <c r="P962" s="8"/>
      <c r="Q962" s="8"/>
    </row>
    <row r="963" spans="1:17" ht="12.75" customHeight="1">
      <c r="A963" s="8"/>
      <c r="B963" s="8"/>
      <c r="C963" s="30"/>
      <c r="D963" s="8"/>
      <c r="E963" s="8"/>
      <c r="F963" s="8"/>
      <c r="G963" s="8"/>
      <c r="H963" s="8"/>
      <c r="I963" s="8"/>
      <c r="J963" s="8"/>
      <c r="K963" s="8"/>
      <c r="L963" s="8"/>
      <c r="M963" s="8"/>
      <c r="N963" s="8"/>
      <c r="O963" s="8"/>
      <c r="P963" s="8"/>
      <c r="Q963" s="8"/>
    </row>
    <row r="964" spans="1:17" ht="12.75" customHeight="1">
      <c r="A964" s="8"/>
      <c r="B964" s="8"/>
      <c r="C964" s="30"/>
      <c r="D964" s="8"/>
      <c r="E964" s="8"/>
      <c r="F964" s="8"/>
      <c r="G964" s="8"/>
      <c r="H964" s="8"/>
      <c r="I964" s="8"/>
      <c r="J964" s="8"/>
      <c r="K964" s="8"/>
      <c r="L964" s="8"/>
      <c r="M964" s="8"/>
      <c r="N964" s="8"/>
      <c r="O964" s="8"/>
      <c r="P964" s="8"/>
      <c r="Q964" s="8"/>
    </row>
    <row r="965" spans="1:17" ht="12.75" customHeight="1">
      <c r="A965" s="8"/>
      <c r="B965" s="8"/>
      <c r="C965" s="30"/>
      <c r="D965" s="8"/>
      <c r="E965" s="8"/>
      <c r="F965" s="8"/>
      <c r="G965" s="8"/>
      <c r="H965" s="8"/>
      <c r="I965" s="8"/>
      <c r="J965" s="8"/>
      <c r="K965" s="8"/>
      <c r="L965" s="8"/>
      <c r="M965" s="8"/>
      <c r="N965" s="8"/>
      <c r="O965" s="8"/>
      <c r="P965" s="8"/>
      <c r="Q965" s="8"/>
    </row>
    <row r="966" spans="1:17" ht="12.75" customHeight="1">
      <c r="A966" s="8"/>
      <c r="B966" s="8"/>
      <c r="C966" s="30"/>
      <c r="D966" s="8"/>
      <c r="E966" s="8"/>
      <c r="F966" s="8"/>
      <c r="G966" s="8"/>
      <c r="H966" s="8"/>
      <c r="I966" s="8"/>
      <c r="J966" s="8"/>
      <c r="K966" s="8"/>
      <c r="L966" s="8"/>
      <c r="M966" s="8"/>
      <c r="N966" s="8"/>
      <c r="O966" s="8"/>
      <c r="P966" s="8"/>
      <c r="Q966" s="8"/>
    </row>
    <row r="967" spans="1:17" ht="12.75" customHeight="1">
      <c r="A967" s="8"/>
      <c r="B967" s="8"/>
      <c r="C967" s="30"/>
      <c r="D967" s="8"/>
      <c r="E967" s="8"/>
      <c r="F967" s="8"/>
      <c r="G967" s="8"/>
      <c r="H967" s="8"/>
      <c r="I967" s="8"/>
      <c r="J967" s="8"/>
      <c r="K967" s="8"/>
      <c r="L967" s="8"/>
      <c r="M967" s="8"/>
      <c r="N967" s="8"/>
      <c r="O967" s="8"/>
      <c r="P967" s="8"/>
      <c r="Q967" s="8"/>
    </row>
    <row r="968" spans="1:17" ht="12.75" customHeight="1">
      <c r="A968" s="8"/>
      <c r="B968" s="8"/>
      <c r="C968" s="30"/>
      <c r="D968" s="8"/>
      <c r="E968" s="8"/>
      <c r="F968" s="8"/>
      <c r="G968" s="8"/>
      <c r="H968" s="8"/>
      <c r="I968" s="8"/>
      <c r="J968" s="8"/>
      <c r="K968" s="8"/>
      <c r="L968" s="8"/>
      <c r="M968" s="8"/>
      <c r="N968" s="8"/>
      <c r="O968" s="8"/>
      <c r="P968" s="8"/>
      <c r="Q968" s="8"/>
    </row>
    <row r="969" spans="1:17" ht="12.75" customHeight="1">
      <c r="A969" s="8"/>
      <c r="B969" s="8"/>
      <c r="C969" s="30"/>
      <c r="D969" s="8"/>
      <c r="E969" s="8"/>
      <c r="F969" s="8"/>
      <c r="G969" s="8"/>
      <c r="H969" s="8"/>
      <c r="I969" s="8"/>
      <c r="J969" s="8"/>
      <c r="K969" s="8"/>
      <c r="L969" s="8"/>
      <c r="M969" s="8"/>
      <c r="N969" s="8"/>
      <c r="O969" s="8"/>
      <c r="P969" s="8"/>
      <c r="Q969" s="8"/>
    </row>
    <row r="970" spans="1:17" ht="12.75" customHeight="1">
      <c r="A970" s="8"/>
      <c r="B970" s="8"/>
      <c r="C970" s="30"/>
      <c r="D970" s="8"/>
      <c r="E970" s="8"/>
      <c r="F970" s="8"/>
      <c r="G970" s="8"/>
      <c r="H970" s="8"/>
      <c r="I970" s="8"/>
      <c r="J970" s="8"/>
      <c r="K970" s="8"/>
      <c r="L970" s="8"/>
      <c r="M970" s="8"/>
      <c r="N970" s="8"/>
      <c r="O970" s="8"/>
      <c r="P970" s="8"/>
      <c r="Q970" s="8"/>
    </row>
    <row r="971" spans="1:17" ht="12.75" customHeight="1">
      <c r="A971" s="8"/>
      <c r="B971" s="8"/>
      <c r="C971" s="30"/>
      <c r="D971" s="8"/>
      <c r="E971" s="8"/>
      <c r="F971" s="8"/>
      <c r="G971" s="8"/>
      <c r="H971" s="8"/>
      <c r="I971" s="8"/>
      <c r="J971" s="8"/>
      <c r="K971" s="8"/>
      <c r="L971" s="8"/>
      <c r="M971" s="8"/>
      <c r="N971" s="8"/>
      <c r="O971" s="8"/>
      <c r="P971" s="8"/>
      <c r="Q971" s="8"/>
    </row>
    <row r="972" spans="1:17" ht="12.75" customHeight="1">
      <c r="A972" s="8"/>
      <c r="B972" s="8"/>
      <c r="C972" s="30"/>
      <c r="D972" s="8"/>
      <c r="E972" s="8"/>
      <c r="F972" s="8"/>
      <c r="G972" s="8"/>
      <c r="H972" s="8"/>
      <c r="I972" s="8"/>
      <c r="J972" s="8"/>
      <c r="K972" s="8"/>
      <c r="L972" s="8"/>
      <c r="M972" s="8"/>
      <c r="N972" s="8"/>
      <c r="O972" s="8"/>
      <c r="P972" s="8"/>
      <c r="Q972" s="8"/>
    </row>
    <row r="973" spans="1:17" ht="12.75" customHeight="1">
      <c r="A973" s="8"/>
      <c r="B973" s="8"/>
      <c r="C973" s="30"/>
      <c r="D973" s="8"/>
      <c r="E973" s="8"/>
      <c r="F973" s="8"/>
      <c r="G973" s="8"/>
      <c r="H973" s="8"/>
      <c r="I973" s="8"/>
      <c r="J973" s="8"/>
      <c r="K973" s="8"/>
      <c r="L973" s="8"/>
      <c r="M973" s="8"/>
      <c r="N973" s="8"/>
      <c r="O973" s="8"/>
      <c r="P973" s="8"/>
      <c r="Q973" s="8"/>
    </row>
    <row r="974" spans="1:17" ht="12.75" customHeight="1">
      <c r="A974" s="8"/>
      <c r="B974" s="8"/>
      <c r="C974" s="30"/>
      <c r="D974" s="8"/>
      <c r="E974" s="8"/>
      <c r="F974" s="8"/>
      <c r="G974" s="8"/>
      <c r="H974" s="8"/>
      <c r="I974" s="8"/>
      <c r="J974" s="8"/>
      <c r="K974" s="8"/>
      <c r="L974" s="8"/>
      <c r="M974" s="8"/>
      <c r="N974" s="8"/>
      <c r="O974" s="8"/>
      <c r="P974" s="8"/>
      <c r="Q974" s="8"/>
    </row>
    <row r="975" spans="1:17" ht="12.75" customHeight="1">
      <c r="A975" s="8"/>
      <c r="B975" s="8"/>
      <c r="C975" s="30"/>
      <c r="D975" s="8"/>
      <c r="E975" s="8"/>
      <c r="F975" s="8"/>
      <c r="G975" s="8"/>
      <c r="H975" s="8"/>
      <c r="I975" s="8"/>
      <c r="J975" s="8"/>
      <c r="K975" s="8"/>
      <c r="L975" s="8"/>
      <c r="M975" s="8"/>
      <c r="N975" s="8"/>
      <c r="O975" s="8"/>
      <c r="P975" s="8"/>
      <c r="Q975" s="8"/>
    </row>
    <row r="976" spans="1:17" ht="12.75" customHeight="1">
      <c r="A976" s="8"/>
      <c r="B976" s="8"/>
      <c r="C976" s="30"/>
      <c r="D976" s="8"/>
      <c r="E976" s="8"/>
      <c r="F976" s="8"/>
      <c r="G976" s="8"/>
      <c r="H976" s="8"/>
      <c r="I976" s="8"/>
      <c r="J976" s="8"/>
      <c r="K976" s="8"/>
      <c r="L976" s="8"/>
      <c r="M976" s="8"/>
      <c r="N976" s="8"/>
      <c r="O976" s="8"/>
      <c r="P976" s="8"/>
      <c r="Q976" s="8"/>
    </row>
    <row r="977" spans="1:17" ht="12.75" customHeight="1">
      <c r="A977" s="8"/>
      <c r="B977" s="8"/>
      <c r="C977" s="30"/>
      <c r="D977" s="8"/>
      <c r="E977" s="8"/>
      <c r="F977" s="8"/>
      <c r="G977" s="8"/>
      <c r="H977" s="8"/>
      <c r="I977" s="8"/>
      <c r="J977" s="8"/>
      <c r="K977" s="8"/>
      <c r="L977" s="8"/>
      <c r="M977" s="8"/>
      <c r="N977" s="8"/>
      <c r="O977" s="8"/>
      <c r="P977" s="8"/>
      <c r="Q977" s="8"/>
    </row>
    <row r="978" spans="1:17" ht="12.75" customHeight="1">
      <c r="A978" s="8"/>
      <c r="B978" s="8"/>
      <c r="C978" s="30"/>
      <c r="D978" s="8"/>
      <c r="E978" s="8"/>
      <c r="F978" s="8"/>
      <c r="G978" s="8"/>
      <c r="H978" s="8"/>
      <c r="I978" s="8"/>
      <c r="J978" s="8"/>
      <c r="K978" s="8"/>
      <c r="L978" s="8"/>
      <c r="M978" s="8"/>
      <c r="N978" s="8"/>
      <c r="O978" s="8"/>
      <c r="P978" s="8"/>
      <c r="Q978" s="8"/>
    </row>
    <row r="979" spans="1:17" ht="12.75" customHeight="1">
      <c r="A979" s="8"/>
      <c r="B979" s="8"/>
      <c r="C979" s="30"/>
      <c r="D979" s="8"/>
      <c r="E979" s="8"/>
      <c r="F979" s="8"/>
      <c r="G979" s="8"/>
      <c r="H979" s="8"/>
      <c r="I979" s="8"/>
      <c r="J979" s="8"/>
      <c r="K979" s="8"/>
      <c r="L979" s="8"/>
      <c r="M979" s="8"/>
      <c r="N979" s="8"/>
      <c r="O979" s="8"/>
      <c r="P979" s="8"/>
      <c r="Q979" s="8"/>
    </row>
    <row r="980" spans="1:17" ht="12.75" customHeight="1">
      <c r="A980" s="8"/>
      <c r="B980" s="8"/>
      <c r="C980" s="30"/>
      <c r="D980" s="8"/>
      <c r="E980" s="8"/>
      <c r="F980" s="8"/>
      <c r="G980" s="8"/>
      <c r="H980" s="8"/>
      <c r="I980" s="8"/>
      <c r="J980" s="8"/>
      <c r="K980" s="8"/>
      <c r="L980" s="8"/>
      <c r="M980" s="8"/>
      <c r="N980" s="8"/>
      <c r="O980" s="8"/>
      <c r="P980" s="8"/>
      <c r="Q980" s="8"/>
    </row>
    <row r="981" spans="1:17" ht="12.75" customHeight="1">
      <c r="A981" s="8"/>
      <c r="B981" s="8"/>
      <c r="C981" s="30"/>
      <c r="D981" s="8"/>
      <c r="E981" s="8"/>
      <c r="F981" s="8"/>
      <c r="G981" s="8"/>
      <c r="H981" s="8"/>
      <c r="I981" s="8"/>
      <c r="J981" s="8"/>
      <c r="K981" s="8"/>
      <c r="L981" s="8"/>
      <c r="M981" s="8"/>
      <c r="N981" s="8"/>
      <c r="O981" s="8"/>
      <c r="P981" s="8"/>
      <c r="Q981" s="8"/>
    </row>
    <row r="982" spans="1:17" ht="12.75" customHeight="1">
      <c r="A982" s="8"/>
      <c r="B982" s="8"/>
      <c r="C982" s="30"/>
      <c r="D982" s="8"/>
      <c r="E982" s="8"/>
      <c r="F982" s="8"/>
      <c r="G982" s="8"/>
      <c r="H982" s="8"/>
      <c r="I982" s="8"/>
      <c r="J982" s="8"/>
      <c r="K982" s="8"/>
      <c r="L982" s="8"/>
      <c r="M982" s="8"/>
      <c r="N982" s="8"/>
      <c r="O982" s="8"/>
      <c r="P982" s="8"/>
      <c r="Q982" s="8"/>
    </row>
    <row r="983" spans="1:17" ht="12.75" customHeight="1">
      <c r="A983" s="8"/>
      <c r="B983" s="8"/>
      <c r="C983" s="30"/>
      <c r="D983" s="8"/>
      <c r="E983" s="8"/>
      <c r="F983" s="8"/>
      <c r="G983" s="8"/>
      <c r="H983" s="8"/>
      <c r="I983" s="8"/>
      <c r="J983" s="8"/>
      <c r="K983" s="8"/>
      <c r="L983" s="8"/>
      <c r="M983" s="8"/>
      <c r="N983" s="8"/>
      <c r="O983" s="8"/>
      <c r="P983" s="8"/>
      <c r="Q983" s="8"/>
    </row>
    <row r="984" spans="1:17" ht="12.75" customHeight="1">
      <c r="A984" s="8"/>
      <c r="B984" s="8"/>
      <c r="C984" s="30"/>
      <c r="D984" s="8"/>
      <c r="E984" s="8"/>
      <c r="F984" s="8"/>
      <c r="G984" s="8"/>
      <c r="H984" s="8"/>
      <c r="I984" s="8"/>
      <c r="J984" s="8"/>
      <c r="K984" s="8"/>
      <c r="L984" s="8"/>
      <c r="M984" s="8"/>
      <c r="N984" s="8"/>
      <c r="O984" s="8"/>
      <c r="P984" s="8"/>
      <c r="Q984" s="8"/>
    </row>
    <row r="985" spans="1:17" ht="12.75" customHeight="1">
      <c r="A985" s="8"/>
      <c r="B985" s="8"/>
      <c r="C985" s="30"/>
      <c r="D985" s="8"/>
      <c r="E985" s="8"/>
      <c r="F985" s="8"/>
      <c r="G985" s="8"/>
      <c r="H985" s="8"/>
      <c r="I985" s="8"/>
      <c r="J985" s="8"/>
      <c r="K985" s="8"/>
      <c r="L985" s="8"/>
      <c r="M985" s="8"/>
      <c r="N985" s="8"/>
      <c r="O985" s="8"/>
      <c r="P985" s="8"/>
      <c r="Q985" s="8"/>
    </row>
    <row r="986" spans="1:17" ht="12.75" customHeight="1">
      <c r="A986" s="8"/>
      <c r="B986" s="8"/>
      <c r="C986" s="30"/>
      <c r="D986" s="8"/>
      <c r="E986" s="8"/>
      <c r="F986" s="8"/>
      <c r="G986" s="8"/>
      <c r="H986" s="8"/>
      <c r="I986" s="8"/>
      <c r="J986" s="8"/>
      <c r="K986" s="8"/>
      <c r="L986" s="8"/>
      <c r="M986" s="8"/>
      <c r="N986" s="8"/>
      <c r="O986" s="8"/>
      <c r="P986" s="8"/>
      <c r="Q986" s="8"/>
    </row>
    <row r="987" spans="1:17" ht="12.75" customHeight="1">
      <c r="A987" s="8"/>
      <c r="B987" s="8"/>
      <c r="C987" s="30"/>
      <c r="D987" s="8"/>
      <c r="E987" s="8"/>
      <c r="F987" s="8"/>
      <c r="G987" s="8"/>
      <c r="H987" s="8"/>
      <c r="I987" s="8"/>
      <c r="J987" s="8"/>
      <c r="K987" s="8"/>
      <c r="L987" s="8"/>
      <c r="M987" s="8"/>
      <c r="N987" s="8"/>
      <c r="O987" s="8"/>
      <c r="P987" s="8"/>
      <c r="Q987" s="8"/>
    </row>
    <row r="988" spans="1:17" ht="12.75" customHeight="1">
      <c r="A988" s="8"/>
      <c r="B988" s="8"/>
      <c r="C988" s="30"/>
      <c r="D988" s="8"/>
      <c r="E988" s="8"/>
      <c r="F988" s="8"/>
      <c r="G988" s="8"/>
      <c r="H988" s="8"/>
      <c r="I988" s="8"/>
      <c r="J988" s="8"/>
      <c r="K988" s="8"/>
      <c r="L988" s="8"/>
      <c r="M988" s="8"/>
      <c r="N988" s="8"/>
      <c r="O988" s="8"/>
      <c r="P988" s="8"/>
      <c r="Q988" s="8"/>
    </row>
    <row r="989" spans="1:17" ht="12.75" customHeight="1">
      <c r="A989" s="8"/>
      <c r="B989" s="8"/>
      <c r="C989" s="30"/>
      <c r="D989" s="8"/>
      <c r="E989" s="8"/>
      <c r="F989" s="8"/>
      <c r="G989" s="8"/>
      <c r="H989" s="8"/>
      <c r="I989" s="8"/>
      <c r="J989" s="8"/>
      <c r="K989" s="8"/>
      <c r="L989" s="8"/>
      <c r="M989" s="8"/>
      <c r="N989" s="8"/>
      <c r="O989" s="8"/>
      <c r="P989" s="8"/>
      <c r="Q989" s="8"/>
    </row>
    <row r="990" spans="1:17" ht="12.75" customHeight="1">
      <c r="A990" s="8"/>
      <c r="B990" s="8"/>
      <c r="C990" s="30"/>
      <c r="D990" s="8"/>
      <c r="E990" s="8"/>
      <c r="F990" s="8"/>
      <c r="G990" s="8"/>
      <c r="H990" s="8"/>
      <c r="I990" s="8"/>
      <c r="J990" s="8"/>
      <c r="K990" s="8"/>
      <c r="L990" s="8"/>
      <c r="M990" s="8"/>
      <c r="N990" s="8"/>
      <c r="O990" s="8"/>
      <c r="P990" s="8"/>
      <c r="Q990" s="8"/>
    </row>
  </sheetData>
  <mergeCells count="10">
    <mergeCell ref="A97:B98"/>
    <mergeCell ref="A127:B127"/>
    <mergeCell ref="A144:B144"/>
    <mergeCell ref="A5:C12"/>
    <mergeCell ref="A19:B19"/>
    <mergeCell ref="A42:B42"/>
    <mergeCell ref="A62:B62"/>
    <mergeCell ref="A86:B86"/>
    <mergeCell ref="A99:C105"/>
    <mergeCell ref="A112:B112"/>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rowBreaks count="2" manualBreakCount="2">
    <brk id="49" max="2" man="1"/>
    <brk id="96" max="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FF33"/>
  </sheetPr>
  <dimension ref="A1:Q990"/>
  <sheetViews>
    <sheetView zoomScaleNormal="100" workbookViewId="0">
      <selection activeCell="C55" sqref="C55"/>
    </sheetView>
  </sheetViews>
  <sheetFormatPr baseColWidth="10" defaultColWidth="14.42578125" defaultRowHeight="15" customHeight="1"/>
  <cols>
    <col min="1" max="1" width="10.7109375" customWidth="1"/>
    <col min="2" max="2" width="50.7109375" customWidth="1"/>
    <col min="3" max="3" width="15.7109375" customWidth="1"/>
    <col min="4" max="5" width="10.7109375" customWidth="1"/>
    <col min="6" max="6" width="12.28515625" customWidth="1"/>
    <col min="7" max="7" width="12.7109375" customWidth="1"/>
    <col min="8" max="8" width="10.7109375" customWidth="1"/>
    <col min="9" max="9" width="12.5703125" customWidth="1"/>
    <col min="10" max="17" width="10.7109375" customWidth="1"/>
  </cols>
  <sheetData>
    <row r="1" spans="1:17" ht="15" customHeight="1" thickBot="1">
      <c r="A1" s="1555" t="s">
        <v>985</v>
      </c>
      <c r="B1" s="1556"/>
      <c r="C1" s="1557"/>
    </row>
    <row r="2" spans="1:17" ht="12.75" customHeight="1" thickBot="1">
      <c r="A2" s="4"/>
      <c r="B2" s="4"/>
      <c r="C2" s="3"/>
      <c r="D2" s="4"/>
      <c r="E2" s="4"/>
      <c r="F2" s="4"/>
      <c r="G2" s="4"/>
      <c r="H2" s="4"/>
      <c r="I2" s="4"/>
      <c r="J2" s="4"/>
      <c r="K2" s="4"/>
      <c r="L2" s="4"/>
      <c r="M2" s="4"/>
      <c r="N2" s="4"/>
      <c r="O2" s="4"/>
      <c r="P2" s="4"/>
      <c r="Q2" s="4"/>
    </row>
    <row r="3" spans="1:17" ht="12.75" customHeight="1">
      <c r="A3" s="1110" t="s">
        <v>250</v>
      </c>
      <c r="B3" s="1111"/>
      <c r="C3" s="1129">
        <v>6001</v>
      </c>
      <c r="D3" s="4"/>
      <c r="E3" s="4"/>
      <c r="F3" s="4"/>
      <c r="G3" s="4"/>
      <c r="H3" s="4"/>
      <c r="I3" s="4"/>
      <c r="J3" s="4"/>
      <c r="K3" s="4"/>
      <c r="L3" s="4"/>
      <c r="M3" s="4"/>
      <c r="N3" s="4"/>
      <c r="O3" s="4"/>
      <c r="P3" s="4"/>
      <c r="Q3" s="4"/>
    </row>
    <row r="4" spans="1:17" ht="12.75" customHeight="1" thickBot="1">
      <c r="A4" s="1131"/>
      <c r="B4" s="1114"/>
      <c r="C4" s="1141"/>
      <c r="D4" s="4"/>
      <c r="E4" s="4"/>
      <c r="F4" s="4"/>
      <c r="G4" s="4"/>
      <c r="H4" s="4"/>
      <c r="I4" s="4"/>
      <c r="J4" s="4"/>
      <c r="K4" s="4"/>
      <c r="L4" s="4"/>
      <c r="M4" s="4"/>
      <c r="N4" s="4"/>
      <c r="O4" s="4"/>
      <c r="P4" s="4"/>
      <c r="Q4" s="4"/>
    </row>
    <row r="5" spans="1:17" ht="12.75" customHeight="1">
      <c r="A5" s="1291" t="s">
        <v>251</v>
      </c>
      <c r="B5" s="1465"/>
      <c r="C5" s="1466"/>
      <c r="D5" s="4"/>
      <c r="E5" s="4"/>
      <c r="F5" s="4"/>
      <c r="G5" s="4"/>
      <c r="H5" s="4"/>
      <c r="I5" s="4"/>
      <c r="J5" s="4"/>
      <c r="K5" s="4"/>
      <c r="L5" s="4"/>
      <c r="M5" s="4"/>
      <c r="N5" s="4"/>
      <c r="O5" s="4"/>
      <c r="P5" s="4"/>
      <c r="Q5" s="4"/>
    </row>
    <row r="6" spans="1:17" ht="12.75" customHeight="1">
      <c r="A6" s="1460"/>
      <c r="B6" s="1461"/>
      <c r="C6" s="1462"/>
      <c r="D6" s="4"/>
      <c r="E6" s="4"/>
      <c r="F6" s="4"/>
      <c r="G6" s="4"/>
      <c r="H6" s="4"/>
      <c r="I6" s="4"/>
      <c r="J6" s="4"/>
      <c r="K6" s="4"/>
      <c r="L6" s="4"/>
      <c r="M6" s="4"/>
      <c r="N6" s="4"/>
      <c r="O6" s="4"/>
      <c r="P6" s="4"/>
      <c r="Q6" s="4"/>
    </row>
    <row r="7" spans="1:17" ht="15.75" customHeight="1" thickBot="1">
      <c r="A7" s="1448"/>
      <c r="B7" s="1449"/>
      <c r="C7" s="1450"/>
      <c r="D7" s="4"/>
      <c r="E7" s="4"/>
      <c r="F7" s="4"/>
      <c r="G7" s="4"/>
      <c r="H7" s="4"/>
      <c r="I7" s="4"/>
      <c r="J7" s="4"/>
      <c r="K7" s="4"/>
      <c r="L7" s="4"/>
      <c r="M7" s="4"/>
      <c r="N7" s="4"/>
      <c r="O7" s="4"/>
      <c r="P7" s="4"/>
      <c r="Q7" s="4"/>
    </row>
    <row r="8" spans="1:17" ht="12.75" customHeight="1">
      <c r="A8" s="1122" t="s">
        <v>671</v>
      </c>
      <c r="B8" s="1137"/>
      <c r="C8" s="1124"/>
      <c r="D8" s="23"/>
      <c r="E8" s="23"/>
      <c r="F8" s="23"/>
      <c r="G8" s="23"/>
      <c r="H8" s="23"/>
      <c r="I8" s="23"/>
      <c r="J8" s="23"/>
      <c r="K8" s="23"/>
      <c r="L8" s="23"/>
      <c r="M8" s="23"/>
      <c r="N8" s="23"/>
      <c r="O8" s="23"/>
      <c r="P8" s="23"/>
      <c r="Q8" s="23"/>
    </row>
    <row r="9" spans="1:17" ht="12.75" customHeight="1">
      <c r="A9" s="1028" t="s">
        <v>252</v>
      </c>
      <c r="B9" s="808"/>
      <c r="C9" s="1029"/>
      <c r="D9" s="23"/>
      <c r="E9" s="23"/>
      <c r="F9" s="23"/>
      <c r="G9" s="23"/>
      <c r="H9" s="23"/>
      <c r="I9" s="23"/>
      <c r="J9" s="23"/>
      <c r="K9" s="23"/>
      <c r="L9" s="23"/>
      <c r="M9" s="23"/>
      <c r="N9" s="23"/>
      <c r="O9" s="23"/>
      <c r="P9" s="23"/>
      <c r="Q9" s="23"/>
    </row>
    <row r="10" spans="1:17" ht="12.75" customHeight="1">
      <c r="A10" s="1028" t="s">
        <v>253</v>
      </c>
      <c r="B10" s="808"/>
      <c r="C10" s="1029"/>
      <c r="D10" s="23"/>
      <c r="E10" s="23"/>
      <c r="F10" s="23"/>
      <c r="G10" s="23"/>
      <c r="H10" s="23"/>
      <c r="I10" s="23"/>
      <c r="J10" s="23"/>
      <c r="K10" s="23"/>
      <c r="L10" s="23"/>
      <c r="M10" s="23"/>
      <c r="N10" s="23"/>
      <c r="O10" s="23"/>
      <c r="P10" s="23"/>
      <c r="Q10" s="23"/>
    </row>
    <row r="11" spans="1:17" ht="12.75" customHeight="1" thickBot="1">
      <c r="A11" s="1125" t="s">
        <v>0</v>
      </c>
      <c r="B11" s="982"/>
      <c r="C11" s="1029"/>
      <c r="D11" s="23"/>
      <c r="E11" s="23"/>
      <c r="F11" s="23"/>
      <c r="G11" s="23"/>
      <c r="H11" s="23"/>
      <c r="I11" s="23"/>
      <c r="J11" s="23"/>
      <c r="K11" s="23"/>
      <c r="L11" s="23"/>
      <c r="M11" s="23"/>
      <c r="N11" s="23"/>
      <c r="O11" s="23"/>
      <c r="P11" s="23"/>
      <c r="Q11" s="23"/>
    </row>
    <row r="12" spans="1:17" ht="12.75" customHeight="1" thickBot="1">
      <c r="A12" s="1142" t="s">
        <v>1</v>
      </c>
      <c r="B12" s="1143"/>
      <c r="C12" s="1144">
        <f>C14+C24+C32</f>
        <v>4590000</v>
      </c>
      <c r="D12" s="23"/>
      <c r="E12" s="808"/>
      <c r="F12" s="808"/>
      <c r="G12" s="808"/>
      <c r="H12" s="808"/>
      <c r="I12" s="808"/>
      <c r="J12" s="23"/>
      <c r="K12" s="23"/>
      <c r="L12" s="23"/>
      <c r="M12" s="23"/>
      <c r="N12" s="23"/>
      <c r="O12" s="23"/>
      <c r="P12" s="23"/>
      <c r="Q12" s="23"/>
    </row>
    <row r="13" spans="1:17" ht="12.75" customHeight="1" thickBot="1">
      <c r="A13" s="4"/>
      <c r="B13" s="4"/>
      <c r="C13" s="3"/>
      <c r="D13" s="4"/>
      <c r="E13" s="1106"/>
      <c r="F13" s="1106"/>
      <c r="G13" s="1106"/>
      <c r="H13" s="1106"/>
      <c r="I13" s="1106"/>
      <c r="J13" s="4"/>
      <c r="K13" s="4"/>
      <c r="L13" s="4"/>
      <c r="M13" s="4"/>
      <c r="N13" s="4"/>
      <c r="O13" s="4"/>
      <c r="P13" s="4"/>
      <c r="Q13" s="4"/>
    </row>
    <row r="14" spans="1:17" ht="12.75" customHeight="1" thickBot="1">
      <c r="A14" s="1297" t="s">
        <v>9</v>
      </c>
      <c r="B14" s="1281"/>
      <c r="C14" s="62">
        <f>C15+C17+C21+C19</f>
        <v>460000</v>
      </c>
      <c r="D14" s="4"/>
      <c r="E14" s="1107"/>
      <c r="F14" s="1107"/>
      <c r="G14" s="1107"/>
      <c r="H14" s="1107"/>
      <c r="I14" s="1107"/>
      <c r="J14" s="4"/>
      <c r="K14" s="4"/>
      <c r="L14" s="4"/>
      <c r="M14" s="4"/>
      <c r="N14" s="4"/>
      <c r="O14" s="4"/>
      <c r="P14" s="4"/>
      <c r="Q14" s="4"/>
    </row>
    <row r="15" spans="1:17" ht="12.75" customHeight="1">
      <c r="A15" s="48">
        <v>211201</v>
      </c>
      <c r="B15" s="21" t="s">
        <v>459</v>
      </c>
      <c r="C15" s="49">
        <f>SUM(C16)</f>
        <v>100000</v>
      </c>
      <c r="D15" s="4"/>
      <c r="E15" s="1039"/>
      <c r="F15" s="1039"/>
      <c r="G15" s="1039"/>
      <c r="H15" s="1039"/>
      <c r="I15" s="1039"/>
      <c r="J15" s="4"/>
      <c r="K15" s="4"/>
      <c r="L15" s="4"/>
      <c r="M15" s="4"/>
      <c r="N15" s="4"/>
      <c r="O15" s="4"/>
      <c r="P15" s="4"/>
      <c r="Q15" s="4"/>
    </row>
    <row r="16" spans="1:17" ht="13.5" customHeight="1">
      <c r="A16" s="33">
        <v>21120101</v>
      </c>
      <c r="B16" s="13" t="s">
        <v>460</v>
      </c>
      <c r="C16" s="24">
        <v>100000</v>
      </c>
      <c r="D16" s="13"/>
      <c r="E16" s="1039"/>
      <c r="F16" s="1039"/>
      <c r="G16" s="1039"/>
      <c r="H16" s="1039"/>
      <c r="I16" s="1039"/>
      <c r="J16" s="13"/>
      <c r="K16" s="13"/>
      <c r="L16" s="13"/>
      <c r="M16" s="13"/>
      <c r="N16" s="13"/>
      <c r="O16" s="13"/>
      <c r="P16" s="13"/>
      <c r="Q16" s="13"/>
    </row>
    <row r="17" spans="1:17" ht="12.75" customHeight="1">
      <c r="A17" s="48">
        <v>211204</v>
      </c>
      <c r="B17" s="21" t="s">
        <v>463</v>
      </c>
      <c r="C17" s="49">
        <f>SUM(C18)</f>
        <v>150000</v>
      </c>
      <c r="D17" s="34"/>
      <c r="E17" s="1039"/>
      <c r="F17" s="1039"/>
      <c r="G17" s="1109"/>
      <c r="H17" s="1039"/>
      <c r="I17" s="1039"/>
      <c r="J17" s="34"/>
      <c r="K17" s="34"/>
      <c r="L17" s="34"/>
      <c r="M17" s="34"/>
      <c r="N17" s="34"/>
      <c r="O17" s="34"/>
      <c r="P17" s="34"/>
      <c r="Q17" s="34"/>
    </row>
    <row r="18" spans="1:17" ht="13.5" customHeight="1">
      <c r="A18" s="33">
        <v>21120401</v>
      </c>
      <c r="B18" s="24" t="s">
        <v>464</v>
      </c>
      <c r="C18" s="24">
        <v>150000</v>
      </c>
      <c r="D18" s="23"/>
      <c r="E18" s="808"/>
      <c r="F18" s="808"/>
      <c r="G18" s="808"/>
      <c r="H18" s="808"/>
      <c r="I18" s="808"/>
      <c r="J18" s="23"/>
      <c r="K18" s="23"/>
      <c r="L18" s="23"/>
      <c r="M18" s="23"/>
      <c r="N18" s="23"/>
      <c r="O18" s="23"/>
      <c r="P18" s="23"/>
      <c r="Q18" s="23"/>
    </row>
    <row r="19" spans="1:17" ht="13.5" customHeight="1">
      <c r="A19" s="48">
        <v>211208</v>
      </c>
      <c r="B19" s="26" t="s">
        <v>474</v>
      </c>
      <c r="C19" s="26">
        <f>SUM(C20)</f>
        <v>120000</v>
      </c>
      <c r="D19" s="13"/>
      <c r="E19" s="986"/>
      <c r="F19" s="986"/>
      <c r="G19" s="986"/>
      <c r="H19" s="986"/>
      <c r="I19" s="986"/>
      <c r="J19" s="13"/>
      <c r="K19" s="13"/>
      <c r="L19" s="13"/>
      <c r="M19" s="13"/>
      <c r="N19" s="13"/>
      <c r="O19" s="13"/>
      <c r="P19" s="13"/>
      <c r="Q19" s="13"/>
    </row>
    <row r="20" spans="1:17" ht="12.75" customHeight="1">
      <c r="A20" s="33">
        <v>21120805</v>
      </c>
      <c r="B20" s="24" t="s">
        <v>476</v>
      </c>
      <c r="C20" s="14">
        <v>120000</v>
      </c>
      <c r="D20" s="8"/>
      <c r="E20" s="1108"/>
      <c r="F20" s="1108"/>
      <c r="G20" s="1108"/>
      <c r="H20" s="1108"/>
      <c r="I20" s="1108"/>
      <c r="J20" s="8"/>
      <c r="K20" s="8"/>
      <c r="L20" s="8"/>
      <c r="M20" s="8"/>
      <c r="N20" s="8"/>
      <c r="O20" s="8"/>
      <c r="P20" s="8"/>
      <c r="Q20" s="8"/>
    </row>
    <row r="21" spans="1:17" ht="13.5" customHeight="1">
      <c r="A21" s="48">
        <v>211209</v>
      </c>
      <c r="B21" s="26" t="s">
        <v>477</v>
      </c>
      <c r="C21" s="26">
        <f>SUM(C22)</f>
        <v>90000</v>
      </c>
      <c r="D21" s="23"/>
      <c r="E21" s="23"/>
      <c r="F21" s="23"/>
      <c r="G21" s="23"/>
      <c r="H21" s="23"/>
      <c r="I21" s="23"/>
      <c r="J21" s="23"/>
      <c r="K21" s="23"/>
      <c r="L21" s="23"/>
      <c r="M21" s="23"/>
      <c r="N21" s="23"/>
      <c r="O21" s="23"/>
      <c r="P21" s="23"/>
      <c r="Q21" s="23"/>
    </row>
    <row r="22" spans="1:17" ht="13.5" customHeight="1">
      <c r="A22" s="33">
        <v>21120906</v>
      </c>
      <c r="B22" s="24" t="s">
        <v>479</v>
      </c>
      <c r="C22" s="24">
        <v>90000</v>
      </c>
      <c r="D22" s="23"/>
      <c r="E22" s="23"/>
      <c r="F22" s="23"/>
      <c r="G22" s="23"/>
      <c r="H22" s="23"/>
      <c r="I22" s="23"/>
      <c r="J22" s="23"/>
      <c r="K22" s="23"/>
      <c r="L22" s="23"/>
      <c r="M22" s="23"/>
      <c r="N22" s="23"/>
      <c r="O22" s="23"/>
      <c r="P22" s="23"/>
      <c r="Q22" s="23"/>
    </row>
    <row r="23" spans="1:17" ht="13.5" customHeight="1" thickBot="1">
      <c r="A23" s="23"/>
      <c r="B23" s="24"/>
      <c r="C23" s="24"/>
      <c r="D23" s="23"/>
      <c r="E23" s="23"/>
      <c r="F23" s="23"/>
      <c r="G23" s="23"/>
      <c r="H23" s="23"/>
      <c r="I23" s="23"/>
      <c r="J23" s="23"/>
      <c r="K23" s="23"/>
      <c r="L23" s="23"/>
      <c r="M23" s="23"/>
      <c r="N23" s="23"/>
      <c r="O23" s="23"/>
      <c r="P23" s="23"/>
      <c r="Q23" s="23"/>
    </row>
    <row r="24" spans="1:17" ht="12.75" customHeight="1" thickBot="1">
      <c r="A24" s="1298" t="s">
        <v>4</v>
      </c>
      <c r="B24" s="1281"/>
      <c r="C24" s="64">
        <f>C25+C27</f>
        <v>3880000</v>
      </c>
      <c r="D24" s="4"/>
      <c r="E24" s="4"/>
      <c r="F24" s="4"/>
      <c r="G24" s="4"/>
      <c r="H24" s="4"/>
      <c r="I24" s="4"/>
      <c r="J24" s="4"/>
      <c r="K24" s="4"/>
      <c r="L24" s="4"/>
      <c r="M24" s="4"/>
      <c r="N24" s="4"/>
      <c r="O24" s="4"/>
      <c r="P24" s="4"/>
      <c r="Q24" s="4"/>
    </row>
    <row r="25" spans="1:17" ht="12.75" customHeight="1">
      <c r="A25" s="48">
        <v>211306</v>
      </c>
      <c r="B25" s="48" t="s">
        <v>492</v>
      </c>
      <c r="C25" s="49">
        <f>SUM(C26)</f>
        <v>100000</v>
      </c>
      <c r="D25" s="34"/>
      <c r="E25" s="34"/>
      <c r="F25" s="34"/>
      <c r="G25" s="34"/>
      <c r="H25" s="34"/>
      <c r="I25" s="34"/>
      <c r="J25" s="34"/>
      <c r="K25" s="34"/>
      <c r="L25" s="34"/>
      <c r="M25" s="34"/>
      <c r="N25" s="34"/>
      <c r="O25" s="34"/>
      <c r="P25" s="34"/>
      <c r="Q25" s="34"/>
    </row>
    <row r="26" spans="1:17" ht="13.5" customHeight="1">
      <c r="A26" s="33">
        <v>21130607</v>
      </c>
      <c r="B26" s="24" t="s">
        <v>493</v>
      </c>
      <c r="C26" s="24">
        <v>100000</v>
      </c>
      <c r="D26" s="23"/>
      <c r="E26" s="23"/>
      <c r="F26" s="23"/>
      <c r="G26" s="23"/>
      <c r="H26" s="23"/>
      <c r="I26" s="23"/>
      <c r="J26" s="23"/>
      <c r="K26" s="23"/>
      <c r="L26" s="23"/>
      <c r="M26" s="23"/>
      <c r="N26" s="23"/>
      <c r="O26" s="23"/>
      <c r="P26" s="23"/>
      <c r="Q26" s="23"/>
    </row>
    <row r="27" spans="1:17" ht="13.5" customHeight="1">
      <c r="A27" s="48">
        <v>211309</v>
      </c>
      <c r="B27" s="26" t="s">
        <v>496</v>
      </c>
      <c r="C27" s="26">
        <f>SUM(C28:C30)</f>
        <v>3780000</v>
      </c>
      <c r="D27" s="23"/>
      <c r="E27" s="23"/>
      <c r="F27" s="23"/>
      <c r="G27" s="23"/>
      <c r="H27" s="23"/>
      <c r="I27" s="23"/>
      <c r="J27" s="23"/>
      <c r="K27" s="23"/>
      <c r="L27" s="23"/>
      <c r="M27" s="23"/>
      <c r="N27" s="23"/>
      <c r="O27" s="23"/>
      <c r="P27" s="23"/>
      <c r="Q27" s="23"/>
    </row>
    <row r="28" spans="1:17" ht="13.5" customHeight="1">
      <c r="A28" s="33">
        <v>21130901</v>
      </c>
      <c r="B28" s="24" t="s">
        <v>497</v>
      </c>
      <c r="C28" s="24">
        <v>3600000</v>
      </c>
      <c r="D28" s="23"/>
      <c r="E28" s="23"/>
      <c r="F28" s="23"/>
      <c r="G28" s="23"/>
      <c r="H28" s="23"/>
      <c r="I28" s="23"/>
      <c r="J28" s="23"/>
      <c r="K28" s="23"/>
      <c r="L28" s="23"/>
      <c r="M28" s="23"/>
      <c r="N28" s="23"/>
      <c r="O28" s="23"/>
      <c r="P28" s="23"/>
      <c r="Q28" s="23"/>
    </row>
    <row r="29" spans="1:17" ht="13.5" customHeight="1">
      <c r="A29" s="33">
        <v>21130903</v>
      </c>
      <c r="B29" s="24" t="s">
        <v>498</v>
      </c>
      <c r="C29" s="24">
        <v>90000</v>
      </c>
      <c r="D29" s="23"/>
      <c r="E29" s="23"/>
      <c r="F29" s="23"/>
      <c r="G29" s="23"/>
      <c r="H29" s="23"/>
      <c r="I29" s="23"/>
      <c r="J29" s="23"/>
      <c r="K29" s="23"/>
      <c r="L29" s="23"/>
      <c r="M29" s="23"/>
      <c r="N29" s="23"/>
      <c r="O29" s="23"/>
      <c r="P29" s="23"/>
      <c r="Q29" s="23"/>
    </row>
    <row r="30" spans="1:17" ht="13.5" customHeight="1">
      <c r="A30" s="33">
        <v>21130908</v>
      </c>
      <c r="B30" s="24" t="s">
        <v>500</v>
      </c>
      <c r="C30" s="24">
        <v>90000</v>
      </c>
      <c r="D30" s="23"/>
      <c r="E30" s="23"/>
      <c r="F30" s="23"/>
      <c r="G30" s="23"/>
      <c r="H30" s="23"/>
      <c r="I30" s="23"/>
      <c r="J30" s="23"/>
      <c r="K30" s="23"/>
      <c r="L30" s="23"/>
      <c r="M30" s="23"/>
      <c r="N30" s="23"/>
      <c r="O30" s="23"/>
      <c r="P30" s="23"/>
      <c r="Q30" s="23"/>
    </row>
    <row r="31" spans="1:17" ht="13.5" customHeight="1" thickBot="1">
      <c r="A31" s="23"/>
      <c r="B31" s="24"/>
      <c r="C31" s="24"/>
      <c r="D31" s="23"/>
      <c r="E31" s="23"/>
      <c r="F31" s="23"/>
      <c r="G31" s="23"/>
      <c r="H31" s="23"/>
      <c r="I31" s="23"/>
      <c r="J31" s="23"/>
      <c r="K31" s="23"/>
      <c r="L31" s="23"/>
      <c r="M31" s="23"/>
      <c r="N31" s="23"/>
      <c r="O31" s="23"/>
      <c r="P31" s="23"/>
      <c r="Q31" s="23"/>
    </row>
    <row r="32" spans="1:17" ht="12.75" customHeight="1" thickBot="1">
      <c r="A32" s="1299" t="s">
        <v>48</v>
      </c>
      <c r="B32" s="1281"/>
      <c r="C32" s="65">
        <f>+C33+C35</f>
        <v>250000</v>
      </c>
      <c r="D32" s="4"/>
      <c r="E32" s="4"/>
      <c r="F32" s="4"/>
      <c r="G32" s="4"/>
      <c r="H32" s="4"/>
      <c r="I32" s="4"/>
      <c r="J32" s="4"/>
      <c r="K32" s="4"/>
      <c r="L32" s="4"/>
      <c r="M32" s="4"/>
      <c r="N32" s="4"/>
      <c r="O32" s="4"/>
      <c r="P32" s="4"/>
      <c r="Q32" s="4"/>
    </row>
    <row r="33" spans="1:17" ht="12.75" customHeight="1">
      <c r="A33" s="48">
        <v>221104</v>
      </c>
      <c r="B33" s="48" t="s">
        <v>510</v>
      </c>
      <c r="C33" s="49">
        <f>SUM(C34)</f>
        <v>160000</v>
      </c>
      <c r="D33" s="34"/>
      <c r="E33" s="34"/>
      <c r="F33" s="34"/>
      <c r="G33" s="34"/>
      <c r="H33" s="34"/>
      <c r="I33" s="34"/>
      <c r="J33" s="34"/>
      <c r="K33" s="34"/>
      <c r="L33" s="34"/>
      <c r="M33" s="34"/>
      <c r="N33" s="34"/>
      <c r="O33" s="34"/>
      <c r="P33" s="34"/>
      <c r="Q33" s="34"/>
    </row>
    <row r="34" spans="1:17" ht="13.5" customHeight="1">
      <c r="A34" s="33">
        <v>22110401</v>
      </c>
      <c r="B34" s="24" t="s">
        <v>511</v>
      </c>
      <c r="C34" s="24">
        <v>160000</v>
      </c>
      <c r="D34" s="23"/>
      <c r="E34" s="23"/>
      <c r="F34" s="23"/>
      <c r="G34" s="23"/>
      <c r="H34" s="23"/>
      <c r="I34" s="23"/>
      <c r="J34" s="23"/>
      <c r="K34" s="23"/>
      <c r="L34" s="23"/>
      <c r="M34" s="23"/>
      <c r="N34" s="23"/>
      <c r="O34" s="23"/>
      <c r="P34" s="23"/>
      <c r="Q34" s="23"/>
    </row>
    <row r="35" spans="1:17" ht="13.5" customHeight="1">
      <c r="A35" s="48">
        <v>221107</v>
      </c>
      <c r="B35" s="26" t="s">
        <v>514</v>
      </c>
      <c r="C35" s="26">
        <f>SUM(C36)</f>
        <v>90000</v>
      </c>
      <c r="D35" s="23"/>
      <c r="E35" s="23"/>
      <c r="F35" s="23"/>
      <c r="G35" s="23"/>
      <c r="H35" s="23"/>
      <c r="I35" s="23"/>
      <c r="J35" s="23"/>
      <c r="K35" s="23"/>
      <c r="L35" s="23"/>
      <c r="M35" s="23"/>
      <c r="N35" s="23"/>
      <c r="O35" s="23"/>
      <c r="P35" s="23"/>
      <c r="Q35" s="23"/>
    </row>
    <row r="36" spans="1:17" ht="13.5" customHeight="1">
      <c r="A36" s="33">
        <v>22110702</v>
      </c>
      <c r="B36" s="24" t="s">
        <v>515</v>
      </c>
      <c r="C36" s="24">
        <v>90000</v>
      </c>
      <c r="D36" s="23"/>
      <c r="E36" s="23"/>
      <c r="F36" s="23"/>
      <c r="G36" s="23"/>
      <c r="H36" s="23"/>
      <c r="I36" s="23"/>
      <c r="J36" s="23"/>
      <c r="K36" s="23"/>
      <c r="L36" s="23"/>
      <c r="M36" s="23"/>
      <c r="N36" s="23"/>
      <c r="O36" s="23"/>
      <c r="P36" s="23"/>
      <c r="Q36" s="23"/>
    </row>
    <row r="37" spans="1:17" ht="12.75" customHeight="1">
      <c r="A37" s="4"/>
      <c r="B37" s="4"/>
      <c r="C37" s="3"/>
      <c r="D37" s="4"/>
      <c r="E37" s="4"/>
      <c r="F37" s="4"/>
      <c r="G37" s="4"/>
      <c r="H37" s="4"/>
      <c r="I37" s="4"/>
      <c r="J37" s="4"/>
      <c r="K37" s="4"/>
      <c r="L37" s="4"/>
      <c r="M37" s="4"/>
      <c r="N37" s="4"/>
      <c r="O37" s="4"/>
      <c r="P37" s="4"/>
      <c r="Q37" s="4"/>
    </row>
    <row r="38" spans="1:17" ht="12.75" customHeight="1">
      <c r="A38" s="4"/>
      <c r="B38" s="4"/>
      <c r="C38" s="3"/>
      <c r="D38" s="4"/>
      <c r="E38" s="4"/>
      <c r="F38" s="4"/>
      <c r="G38" s="4"/>
      <c r="H38" s="4"/>
      <c r="I38" s="4"/>
      <c r="J38" s="4"/>
      <c r="K38" s="4"/>
      <c r="L38" s="4"/>
      <c r="M38" s="4"/>
      <c r="N38" s="4"/>
      <c r="O38" s="4"/>
      <c r="P38" s="4"/>
      <c r="Q38" s="4"/>
    </row>
    <row r="39" spans="1:17" ht="12.75" customHeight="1">
      <c r="A39" s="4"/>
      <c r="B39" s="4"/>
      <c r="C39" s="3"/>
      <c r="D39" s="4"/>
      <c r="E39" s="4"/>
      <c r="F39" s="4"/>
      <c r="G39" s="4"/>
      <c r="H39" s="4"/>
      <c r="I39" s="4"/>
      <c r="J39" s="4"/>
      <c r="K39" s="4"/>
      <c r="L39" s="4"/>
      <c r="M39" s="4"/>
      <c r="N39" s="4"/>
      <c r="O39" s="4"/>
      <c r="P39" s="4"/>
      <c r="Q39" s="4"/>
    </row>
    <row r="40" spans="1:17" ht="12.75" customHeight="1">
      <c r="A40" s="4"/>
      <c r="B40" s="4"/>
      <c r="C40" s="3"/>
      <c r="D40" s="4"/>
      <c r="E40" s="4"/>
      <c r="F40" s="4"/>
      <c r="G40" s="4"/>
      <c r="H40" s="4"/>
      <c r="I40" s="4"/>
      <c r="J40" s="4"/>
      <c r="K40" s="4"/>
      <c r="L40" s="4"/>
      <c r="M40" s="4"/>
      <c r="N40" s="4"/>
      <c r="O40" s="4"/>
      <c r="P40" s="4"/>
      <c r="Q40" s="4"/>
    </row>
    <row r="41" spans="1:17" ht="12.75" customHeight="1">
      <c r="A41" s="4"/>
      <c r="B41" s="4"/>
      <c r="C41" s="3"/>
      <c r="D41" s="4"/>
      <c r="E41" s="4"/>
      <c r="F41" s="4"/>
      <c r="G41" s="4"/>
      <c r="H41" s="4"/>
      <c r="I41" s="4"/>
      <c r="J41" s="4"/>
      <c r="K41" s="4"/>
      <c r="L41" s="4"/>
      <c r="M41" s="4"/>
      <c r="N41" s="4"/>
      <c r="O41" s="4"/>
      <c r="P41" s="4"/>
      <c r="Q41" s="4"/>
    </row>
    <row r="42" spans="1:17" ht="12.75" customHeight="1">
      <c r="A42" s="4"/>
      <c r="B42" s="4"/>
      <c r="C42" s="3"/>
      <c r="D42" s="4"/>
      <c r="E42" s="4"/>
      <c r="F42" s="4"/>
      <c r="G42" s="4"/>
      <c r="H42" s="4"/>
      <c r="I42" s="4"/>
      <c r="J42" s="4"/>
      <c r="K42" s="4"/>
      <c r="L42" s="4"/>
      <c r="M42" s="4"/>
      <c r="N42" s="4"/>
      <c r="O42" s="4"/>
      <c r="P42" s="4"/>
      <c r="Q42" s="4"/>
    </row>
    <row r="43" spans="1:17" ht="12.75" customHeight="1">
      <c r="A43" s="4"/>
      <c r="B43" s="4"/>
      <c r="C43" s="3"/>
      <c r="D43" s="4"/>
      <c r="E43" s="4"/>
      <c r="F43" s="4"/>
      <c r="G43" s="4"/>
      <c r="H43" s="4"/>
      <c r="I43" s="4"/>
      <c r="J43" s="4"/>
      <c r="K43" s="4"/>
      <c r="L43" s="4"/>
      <c r="M43" s="4"/>
      <c r="N43" s="4"/>
      <c r="O43" s="4"/>
      <c r="P43" s="4"/>
      <c r="Q43" s="4"/>
    </row>
    <row r="44" spans="1:17" ht="12.75" customHeight="1">
      <c r="A44" s="4"/>
      <c r="B44" s="4"/>
      <c r="C44" s="3"/>
      <c r="D44" s="4"/>
      <c r="E44" s="4"/>
      <c r="F44" s="4"/>
      <c r="G44" s="4"/>
      <c r="H44" s="4"/>
      <c r="I44" s="4"/>
      <c r="J44" s="4"/>
      <c r="K44" s="4"/>
      <c r="L44" s="4"/>
      <c r="M44" s="4"/>
      <c r="N44" s="4"/>
      <c r="O44" s="4"/>
      <c r="P44" s="4"/>
      <c r="Q44" s="4"/>
    </row>
    <row r="45" spans="1:17" ht="12.75" customHeight="1">
      <c r="A45" s="4"/>
      <c r="B45" s="4"/>
      <c r="C45" s="3"/>
      <c r="D45" s="4"/>
      <c r="E45" s="4"/>
      <c r="F45" s="4"/>
      <c r="G45" s="4"/>
      <c r="H45" s="4"/>
      <c r="I45" s="4"/>
      <c r="J45" s="4"/>
      <c r="K45" s="4"/>
      <c r="L45" s="4"/>
      <c r="M45" s="4"/>
      <c r="N45" s="4"/>
      <c r="O45" s="4"/>
      <c r="P45" s="4"/>
      <c r="Q45" s="4"/>
    </row>
    <row r="46" spans="1:17" ht="12.75" customHeight="1">
      <c r="A46" s="4"/>
      <c r="B46" s="4"/>
      <c r="C46" s="3"/>
      <c r="D46" s="4"/>
      <c r="E46" s="4"/>
      <c r="F46" s="4"/>
      <c r="G46" s="4"/>
      <c r="H46" s="4"/>
      <c r="I46" s="4"/>
      <c r="J46" s="4"/>
      <c r="K46" s="4"/>
      <c r="L46" s="4"/>
      <c r="M46" s="4"/>
      <c r="N46" s="4"/>
      <c r="O46" s="4"/>
      <c r="P46" s="4"/>
      <c r="Q46" s="4"/>
    </row>
    <row r="47" spans="1:17" ht="12.75" customHeight="1">
      <c r="A47" s="4"/>
      <c r="B47" s="4"/>
      <c r="C47" s="3"/>
      <c r="D47" s="4"/>
      <c r="E47" s="4"/>
      <c r="F47" s="4"/>
      <c r="G47" s="4"/>
      <c r="H47" s="4"/>
      <c r="I47" s="4"/>
      <c r="J47" s="4"/>
      <c r="K47" s="4"/>
      <c r="L47" s="4"/>
      <c r="M47" s="4"/>
      <c r="N47" s="4"/>
      <c r="O47" s="4"/>
      <c r="P47" s="4"/>
      <c r="Q47" s="4"/>
    </row>
    <row r="48" spans="1:17" ht="12.75" customHeight="1">
      <c r="A48" s="4"/>
      <c r="B48" s="4"/>
      <c r="C48" s="3"/>
      <c r="D48" s="4"/>
      <c r="E48" s="4"/>
      <c r="F48" s="4"/>
      <c r="G48" s="4"/>
      <c r="H48" s="4"/>
      <c r="I48" s="4"/>
      <c r="J48" s="4"/>
      <c r="K48" s="4"/>
      <c r="L48" s="4"/>
      <c r="M48" s="4"/>
      <c r="N48" s="4"/>
      <c r="O48" s="4"/>
      <c r="P48" s="4"/>
      <c r="Q48" s="4"/>
    </row>
    <row r="49" spans="1:17" ht="12.75" customHeight="1">
      <c r="A49" s="4"/>
      <c r="B49" s="4"/>
      <c r="C49" s="3"/>
      <c r="D49" s="4"/>
      <c r="E49" s="4"/>
      <c r="F49" s="4"/>
      <c r="G49" s="4"/>
      <c r="H49" s="4"/>
      <c r="I49" s="4"/>
      <c r="J49" s="4"/>
      <c r="K49" s="4"/>
      <c r="L49" s="4"/>
      <c r="M49" s="4"/>
      <c r="N49" s="4"/>
      <c r="O49" s="4"/>
      <c r="P49" s="4"/>
      <c r="Q49" s="4"/>
    </row>
    <row r="50" spans="1:17" ht="12.75" customHeight="1">
      <c r="A50" s="4"/>
      <c r="B50" s="4"/>
      <c r="C50" s="3"/>
      <c r="D50" s="4"/>
      <c r="E50" s="4"/>
      <c r="F50" s="4"/>
      <c r="G50" s="4"/>
      <c r="H50" s="4"/>
      <c r="I50" s="4"/>
      <c r="J50" s="4"/>
      <c r="K50" s="4"/>
      <c r="L50" s="4"/>
      <c r="M50" s="4"/>
      <c r="N50" s="4"/>
      <c r="O50" s="4"/>
      <c r="P50" s="4"/>
      <c r="Q50" s="4"/>
    </row>
    <row r="51" spans="1:17" ht="12.75" customHeight="1">
      <c r="A51" s="4"/>
      <c r="B51" s="4"/>
      <c r="C51" s="3"/>
      <c r="D51" s="4"/>
      <c r="E51" s="4"/>
      <c r="F51" s="4"/>
      <c r="G51" s="4"/>
      <c r="H51" s="4"/>
      <c r="I51" s="4"/>
      <c r="J51" s="4"/>
      <c r="K51" s="4"/>
      <c r="L51" s="4"/>
      <c r="M51" s="4"/>
      <c r="N51" s="4"/>
      <c r="O51" s="4"/>
      <c r="P51" s="4"/>
      <c r="Q51" s="4"/>
    </row>
    <row r="52" spans="1:17" ht="12.75" customHeight="1">
      <c r="A52" s="4"/>
      <c r="B52" s="4"/>
      <c r="C52" s="3"/>
      <c r="D52" s="4"/>
      <c r="E52" s="4"/>
      <c r="F52" s="4"/>
      <c r="G52" s="4"/>
      <c r="H52" s="4"/>
      <c r="I52" s="4"/>
      <c r="J52" s="4"/>
      <c r="K52" s="4"/>
      <c r="L52" s="4"/>
      <c r="M52" s="4"/>
      <c r="N52" s="4"/>
      <c r="O52" s="4"/>
      <c r="P52" s="4"/>
      <c r="Q52" s="4"/>
    </row>
    <row r="53" spans="1:17" ht="12.75" customHeight="1">
      <c r="A53" s="4"/>
      <c r="B53" s="4"/>
      <c r="C53" s="3"/>
      <c r="D53" s="4"/>
      <c r="E53" s="4"/>
      <c r="F53" s="4"/>
      <c r="G53" s="4"/>
      <c r="H53" s="4"/>
      <c r="I53" s="4"/>
      <c r="J53" s="4"/>
      <c r="K53" s="4"/>
      <c r="L53" s="4"/>
      <c r="M53" s="4"/>
      <c r="N53" s="4"/>
      <c r="O53" s="4"/>
      <c r="P53" s="4"/>
      <c r="Q53" s="4"/>
    </row>
    <row r="54" spans="1:17" ht="12.75" customHeight="1">
      <c r="A54" s="4"/>
      <c r="B54" s="4"/>
      <c r="C54" s="3"/>
      <c r="D54" s="4"/>
      <c r="E54" s="4"/>
      <c r="F54" s="4"/>
      <c r="G54" s="4"/>
      <c r="H54" s="4"/>
      <c r="I54" s="4"/>
      <c r="J54" s="4"/>
      <c r="K54" s="4"/>
      <c r="L54" s="4"/>
      <c r="M54" s="4"/>
      <c r="N54" s="4"/>
      <c r="O54" s="4"/>
      <c r="P54" s="4"/>
      <c r="Q54" s="4"/>
    </row>
    <row r="55" spans="1:17" ht="12.75" customHeight="1">
      <c r="A55" s="4"/>
      <c r="B55" s="4"/>
      <c r="C55" s="3"/>
      <c r="D55" s="4"/>
      <c r="E55" s="4"/>
      <c r="F55" s="4"/>
      <c r="G55" s="4"/>
      <c r="H55" s="4"/>
      <c r="I55" s="4"/>
      <c r="J55" s="4"/>
      <c r="K55" s="4"/>
      <c r="L55" s="4"/>
      <c r="M55" s="4"/>
      <c r="N55" s="4"/>
      <c r="O55" s="4"/>
      <c r="P55" s="4"/>
      <c r="Q55" s="4"/>
    </row>
    <row r="56" spans="1:17" ht="12.75" customHeight="1">
      <c r="A56" s="4"/>
      <c r="B56" s="4"/>
      <c r="C56" s="3"/>
      <c r="D56" s="4"/>
      <c r="E56" s="4"/>
      <c r="F56" s="4"/>
      <c r="G56" s="4"/>
      <c r="H56" s="4"/>
      <c r="I56" s="4"/>
      <c r="J56" s="4"/>
      <c r="K56" s="4"/>
      <c r="L56" s="4"/>
      <c r="M56" s="4"/>
      <c r="N56" s="4"/>
      <c r="O56" s="4"/>
      <c r="P56" s="4"/>
      <c r="Q56" s="4"/>
    </row>
    <row r="57" spans="1:17" ht="12.75" customHeight="1">
      <c r="A57" s="4"/>
      <c r="B57" s="4"/>
      <c r="C57" s="3"/>
      <c r="D57" s="4"/>
      <c r="E57" s="4"/>
      <c r="F57" s="4"/>
      <c r="G57" s="4"/>
      <c r="H57" s="4"/>
      <c r="I57" s="4"/>
      <c r="J57" s="4"/>
      <c r="K57" s="4"/>
      <c r="L57" s="4"/>
      <c r="M57" s="4"/>
      <c r="N57" s="4"/>
      <c r="O57" s="4"/>
      <c r="P57" s="4"/>
      <c r="Q57" s="4"/>
    </row>
    <row r="58" spans="1:17" ht="12.75" customHeight="1">
      <c r="A58" s="4"/>
      <c r="B58" s="4"/>
      <c r="C58" s="3"/>
      <c r="D58" s="4"/>
      <c r="E58" s="4"/>
      <c r="F58" s="4"/>
      <c r="G58" s="4"/>
      <c r="H58" s="4"/>
      <c r="I58" s="4"/>
      <c r="J58" s="4"/>
      <c r="K58" s="4"/>
      <c r="L58" s="4"/>
      <c r="M58" s="4"/>
      <c r="N58" s="4"/>
      <c r="O58" s="4"/>
      <c r="P58" s="4"/>
      <c r="Q58" s="4"/>
    </row>
    <row r="59" spans="1:17" ht="12.75" customHeight="1">
      <c r="A59" s="4"/>
      <c r="B59" s="4"/>
      <c r="C59" s="3"/>
      <c r="D59" s="4"/>
      <c r="E59" s="4"/>
      <c r="F59" s="4"/>
      <c r="G59" s="4"/>
      <c r="H59" s="4"/>
      <c r="I59" s="4"/>
      <c r="J59" s="4"/>
      <c r="K59" s="4"/>
      <c r="L59" s="4"/>
      <c r="M59" s="4"/>
      <c r="N59" s="4"/>
      <c r="O59" s="4"/>
      <c r="P59" s="4"/>
      <c r="Q59" s="4"/>
    </row>
    <row r="60" spans="1:17" ht="12.75" customHeight="1">
      <c r="A60" s="4"/>
      <c r="B60" s="4"/>
      <c r="C60" s="3"/>
      <c r="D60" s="4"/>
      <c r="E60" s="4"/>
      <c r="F60" s="4"/>
      <c r="G60" s="4"/>
      <c r="H60" s="4"/>
      <c r="I60" s="4"/>
      <c r="J60" s="4"/>
      <c r="K60" s="4"/>
      <c r="L60" s="4"/>
      <c r="M60" s="4"/>
      <c r="N60" s="4"/>
      <c r="O60" s="4"/>
      <c r="P60" s="4"/>
      <c r="Q60" s="4"/>
    </row>
    <row r="61" spans="1:17" ht="12.75" customHeight="1">
      <c r="A61" s="4"/>
      <c r="B61" s="4"/>
      <c r="C61" s="3"/>
      <c r="D61" s="4"/>
      <c r="E61" s="4"/>
      <c r="F61" s="4"/>
      <c r="G61" s="4"/>
      <c r="H61" s="4"/>
      <c r="I61" s="4"/>
      <c r="J61" s="4"/>
      <c r="K61" s="4"/>
      <c r="L61" s="4"/>
      <c r="M61" s="4"/>
      <c r="N61" s="4"/>
      <c r="O61" s="4"/>
      <c r="P61" s="4"/>
      <c r="Q61" s="4"/>
    </row>
    <row r="62" spans="1:17" ht="12.75" customHeight="1">
      <c r="A62" s="4"/>
      <c r="B62" s="4"/>
      <c r="C62" s="3"/>
      <c r="D62" s="4"/>
      <c r="E62" s="4"/>
      <c r="F62" s="4"/>
      <c r="G62" s="4"/>
      <c r="H62" s="4"/>
      <c r="I62" s="4"/>
      <c r="J62" s="4"/>
      <c r="K62" s="4"/>
      <c r="L62" s="4"/>
      <c r="M62" s="4"/>
      <c r="N62" s="4"/>
      <c r="O62" s="4"/>
      <c r="P62" s="4"/>
      <c r="Q62" s="4"/>
    </row>
    <row r="63" spans="1:17" ht="12.75" customHeight="1">
      <c r="A63" s="4"/>
      <c r="B63" s="4"/>
      <c r="C63" s="3"/>
      <c r="D63" s="4"/>
      <c r="E63" s="4"/>
      <c r="F63" s="4"/>
      <c r="G63" s="4"/>
      <c r="H63" s="4"/>
      <c r="I63" s="4"/>
      <c r="J63" s="4"/>
      <c r="K63" s="4"/>
      <c r="L63" s="4"/>
      <c r="M63" s="4"/>
      <c r="N63" s="4"/>
      <c r="O63" s="4"/>
      <c r="P63" s="4"/>
      <c r="Q63" s="4"/>
    </row>
    <row r="64" spans="1:17" ht="12.75" customHeight="1">
      <c r="A64" s="4"/>
      <c r="B64" s="4"/>
      <c r="C64" s="3"/>
      <c r="D64" s="4"/>
      <c r="E64" s="4"/>
      <c r="F64" s="4"/>
      <c r="G64" s="4"/>
      <c r="H64" s="4"/>
      <c r="I64" s="4"/>
      <c r="J64" s="4"/>
      <c r="K64" s="4"/>
      <c r="L64" s="4"/>
      <c r="M64" s="4"/>
      <c r="N64" s="4"/>
      <c r="O64" s="4"/>
      <c r="P64" s="4"/>
      <c r="Q64" s="4"/>
    </row>
    <row r="65" spans="1:17" ht="12.75" customHeight="1">
      <c r="A65" s="4"/>
      <c r="B65" s="4"/>
      <c r="C65" s="3"/>
      <c r="D65" s="4"/>
      <c r="E65" s="4"/>
      <c r="F65" s="4"/>
      <c r="G65" s="4"/>
      <c r="H65" s="4"/>
      <c r="I65" s="4"/>
      <c r="J65" s="4"/>
      <c r="K65" s="4"/>
      <c r="L65" s="4"/>
      <c r="M65" s="4"/>
      <c r="N65" s="4"/>
      <c r="O65" s="4"/>
      <c r="P65" s="4"/>
      <c r="Q65" s="4"/>
    </row>
    <row r="66" spans="1:17" ht="12.75" customHeight="1">
      <c r="A66" s="4"/>
      <c r="B66" s="4"/>
      <c r="C66" s="3"/>
      <c r="D66" s="4"/>
      <c r="E66" s="4"/>
      <c r="F66" s="4"/>
      <c r="G66" s="4"/>
      <c r="H66" s="4"/>
      <c r="I66" s="4"/>
      <c r="J66" s="4"/>
      <c r="K66" s="4"/>
      <c r="L66" s="4"/>
      <c r="M66" s="4"/>
      <c r="N66" s="4"/>
      <c r="O66" s="4"/>
      <c r="P66" s="4"/>
      <c r="Q66" s="4"/>
    </row>
    <row r="67" spans="1:17" ht="12.75" customHeight="1">
      <c r="A67" s="4"/>
      <c r="B67" s="4"/>
      <c r="C67" s="3"/>
      <c r="D67" s="4"/>
      <c r="E67" s="4"/>
      <c r="F67" s="4"/>
      <c r="G67" s="4"/>
      <c r="H67" s="4"/>
      <c r="I67" s="4"/>
      <c r="J67" s="4"/>
      <c r="K67" s="4"/>
      <c r="L67" s="4"/>
      <c r="M67" s="4"/>
      <c r="N67" s="4"/>
      <c r="O67" s="4"/>
      <c r="P67" s="4"/>
      <c r="Q67" s="4"/>
    </row>
    <row r="68" spans="1:17" ht="12.75" customHeight="1">
      <c r="A68" s="4"/>
      <c r="B68" s="4"/>
      <c r="C68" s="3"/>
      <c r="D68" s="4"/>
      <c r="E68" s="4"/>
      <c r="F68" s="4"/>
      <c r="G68" s="4"/>
      <c r="H68" s="4"/>
      <c r="I68" s="4"/>
      <c r="J68" s="4"/>
      <c r="K68" s="4"/>
      <c r="L68" s="4"/>
      <c r="M68" s="4"/>
      <c r="N68" s="4"/>
      <c r="O68" s="4"/>
      <c r="P68" s="4"/>
      <c r="Q68" s="4"/>
    </row>
    <row r="69" spans="1:17" ht="12.75" customHeight="1">
      <c r="A69" s="4"/>
      <c r="B69" s="4"/>
      <c r="C69" s="3"/>
      <c r="D69" s="4"/>
      <c r="E69" s="4"/>
      <c r="F69" s="4"/>
      <c r="G69" s="4"/>
      <c r="H69" s="4"/>
      <c r="I69" s="4"/>
      <c r="J69" s="4"/>
      <c r="K69" s="4"/>
      <c r="L69" s="4"/>
      <c r="M69" s="4"/>
      <c r="N69" s="4"/>
      <c r="O69" s="4"/>
      <c r="P69" s="4"/>
      <c r="Q69" s="4"/>
    </row>
    <row r="70" spans="1:17" ht="12.75" customHeight="1">
      <c r="A70" s="4"/>
      <c r="B70" s="4"/>
      <c r="C70" s="3"/>
      <c r="D70" s="4"/>
      <c r="E70" s="4"/>
      <c r="F70" s="4"/>
      <c r="G70" s="4"/>
      <c r="H70" s="4"/>
      <c r="I70" s="4"/>
      <c r="J70" s="4"/>
      <c r="K70" s="4"/>
      <c r="L70" s="4"/>
      <c r="M70" s="4"/>
      <c r="N70" s="4"/>
      <c r="O70" s="4"/>
      <c r="P70" s="4"/>
      <c r="Q70" s="4"/>
    </row>
    <row r="71" spans="1:17" ht="12.75" customHeight="1">
      <c r="A71" s="4"/>
      <c r="B71" s="4"/>
      <c r="C71" s="3"/>
      <c r="D71" s="4"/>
      <c r="E71" s="4"/>
      <c r="F71" s="4"/>
      <c r="G71" s="4"/>
      <c r="H71" s="4"/>
      <c r="I71" s="4"/>
      <c r="J71" s="4"/>
      <c r="K71" s="4"/>
      <c r="L71" s="4"/>
      <c r="M71" s="4"/>
      <c r="N71" s="4"/>
      <c r="O71" s="4"/>
      <c r="P71" s="4"/>
      <c r="Q71" s="4"/>
    </row>
    <row r="72" spans="1:17" ht="12.75" customHeight="1">
      <c r="A72" s="4"/>
      <c r="B72" s="4"/>
      <c r="C72" s="3"/>
      <c r="D72" s="4"/>
      <c r="E72" s="4"/>
      <c r="F72" s="4"/>
      <c r="G72" s="4"/>
      <c r="H72" s="4"/>
      <c r="I72" s="4"/>
      <c r="J72" s="4"/>
      <c r="K72" s="4"/>
      <c r="L72" s="4"/>
      <c r="M72" s="4"/>
      <c r="N72" s="4"/>
      <c r="O72" s="4"/>
      <c r="P72" s="4"/>
      <c r="Q72" s="4"/>
    </row>
    <row r="73" spans="1:17" ht="12.75" customHeight="1">
      <c r="A73" s="4"/>
      <c r="B73" s="4"/>
      <c r="C73" s="3"/>
      <c r="D73" s="4"/>
      <c r="E73" s="4"/>
      <c r="F73" s="4"/>
      <c r="G73" s="4"/>
      <c r="H73" s="4"/>
      <c r="I73" s="4"/>
      <c r="J73" s="4"/>
      <c r="K73" s="4"/>
      <c r="L73" s="4"/>
      <c r="M73" s="4"/>
      <c r="N73" s="4"/>
      <c r="O73" s="4"/>
      <c r="P73" s="4"/>
      <c r="Q73" s="4"/>
    </row>
    <row r="74" spans="1:17" ht="12.75" customHeight="1">
      <c r="A74" s="4"/>
      <c r="B74" s="4"/>
      <c r="C74" s="3"/>
      <c r="D74" s="4"/>
      <c r="E74" s="4"/>
      <c r="F74" s="4"/>
      <c r="G74" s="4"/>
      <c r="H74" s="4"/>
      <c r="I74" s="4"/>
      <c r="J74" s="4"/>
      <c r="K74" s="4"/>
      <c r="L74" s="4"/>
      <c r="M74" s="4"/>
      <c r="N74" s="4"/>
      <c r="O74" s="4"/>
      <c r="P74" s="4"/>
      <c r="Q74" s="4"/>
    </row>
    <row r="75" spans="1:17" ht="12.75" customHeight="1">
      <c r="A75" s="4"/>
      <c r="B75" s="4"/>
      <c r="C75" s="3"/>
      <c r="D75" s="4"/>
      <c r="E75" s="4"/>
      <c r="F75" s="4"/>
      <c r="G75" s="4"/>
      <c r="H75" s="4"/>
      <c r="I75" s="4"/>
      <c r="J75" s="4"/>
      <c r="K75" s="4"/>
      <c r="L75" s="4"/>
      <c r="M75" s="4"/>
      <c r="N75" s="4"/>
      <c r="O75" s="4"/>
      <c r="P75" s="4"/>
      <c r="Q75" s="4"/>
    </row>
    <row r="76" spans="1:17" ht="12.75" customHeight="1">
      <c r="A76" s="4"/>
      <c r="B76" s="4"/>
      <c r="C76" s="3"/>
      <c r="D76" s="4"/>
      <c r="E76" s="4"/>
      <c r="F76" s="4"/>
      <c r="G76" s="4"/>
      <c r="H76" s="4"/>
      <c r="I76" s="4"/>
      <c r="J76" s="4"/>
      <c r="K76" s="4"/>
      <c r="L76" s="4"/>
      <c r="M76" s="4"/>
      <c r="N76" s="4"/>
      <c r="O76" s="4"/>
      <c r="P76" s="4"/>
      <c r="Q76" s="4"/>
    </row>
    <row r="77" spans="1:17" ht="12.75" customHeight="1">
      <c r="A77" s="4"/>
      <c r="B77" s="4"/>
      <c r="C77" s="3"/>
      <c r="D77" s="4"/>
      <c r="E77" s="4"/>
      <c r="F77" s="4"/>
      <c r="G77" s="4"/>
      <c r="H77" s="4"/>
      <c r="I77" s="4"/>
      <c r="J77" s="4"/>
      <c r="K77" s="4"/>
      <c r="L77" s="4"/>
      <c r="M77" s="4"/>
      <c r="N77" s="4"/>
      <c r="O77" s="4"/>
      <c r="P77" s="4"/>
      <c r="Q77" s="4"/>
    </row>
    <row r="78" spans="1:17" ht="12.75" customHeight="1">
      <c r="A78" s="4"/>
      <c r="B78" s="4"/>
      <c r="C78" s="3"/>
      <c r="D78" s="4"/>
      <c r="E78" s="4"/>
      <c r="F78" s="4"/>
      <c r="G78" s="4"/>
      <c r="H78" s="4"/>
      <c r="I78" s="4"/>
      <c r="J78" s="4"/>
      <c r="K78" s="4"/>
      <c r="L78" s="4"/>
      <c r="M78" s="4"/>
      <c r="N78" s="4"/>
      <c r="O78" s="4"/>
      <c r="P78" s="4"/>
      <c r="Q78" s="4"/>
    </row>
    <row r="79" spans="1:17" ht="12.75" customHeight="1">
      <c r="A79" s="4"/>
      <c r="B79" s="4"/>
      <c r="C79" s="3"/>
      <c r="D79" s="4"/>
      <c r="E79" s="4"/>
      <c r="F79" s="4"/>
      <c r="G79" s="4"/>
      <c r="H79" s="4"/>
      <c r="I79" s="4"/>
      <c r="J79" s="4"/>
      <c r="K79" s="4"/>
      <c r="L79" s="4"/>
      <c r="M79" s="4"/>
      <c r="N79" s="4"/>
      <c r="O79" s="4"/>
      <c r="P79" s="4"/>
      <c r="Q79" s="4"/>
    </row>
    <row r="80" spans="1:17" ht="12.75" customHeight="1">
      <c r="A80" s="4"/>
      <c r="B80" s="4"/>
      <c r="C80" s="3"/>
      <c r="D80" s="4"/>
      <c r="E80" s="4"/>
      <c r="F80" s="4"/>
      <c r="G80" s="4"/>
      <c r="H80" s="4"/>
      <c r="I80" s="4"/>
      <c r="J80" s="4"/>
      <c r="K80" s="4"/>
      <c r="L80" s="4"/>
      <c r="M80" s="4"/>
      <c r="N80" s="4"/>
      <c r="O80" s="4"/>
      <c r="P80" s="4"/>
      <c r="Q80" s="4"/>
    </row>
    <row r="81" spans="1:17" ht="12.75" customHeight="1">
      <c r="A81" s="4"/>
      <c r="B81" s="4"/>
      <c r="C81" s="3"/>
      <c r="D81" s="4"/>
      <c r="E81" s="4"/>
      <c r="F81" s="4"/>
      <c r="G81" s="4"/>
      <c r="H81" s="4"/>
      <c r="I81" s="4"/>
      <c r="J81" s="4"/>
      <c r="K81" s="4"/>
      <c r="L81" s="4"/>
      <c r="M81" s="4"/>
      <c r="N81" s="4"/>
      <c r="O81" s="4"/>
      <c r="P81" s="4"/>
      <c r="Q81" s="4"/>
    </row>
    <row r="82" spans="1:17" ht="12.75" customHeight="1">
      <c r="A82" s="4"/>
      <c r="B82" s="4"/>
      <c r="C82" s="3"/>
      <c r="D82" s="4"/>
      <c r="E82" s="4"/>
      <c r="F82" s="4"/>
      <c r="G82" s="4"/>
      <c r="H82" s="4"/>
      <c r="I82" s="4"/>
      <c r="J82" s="4"/>
      <c r="K82" s="4"/>
      <c r="L82" s="4"/>
      <c r="M82" s="4"/>
      <c r="N82" s="4"/>
      <c r="O82" s="4"/>
      <c r="P82" s="4"/>
      <c r="Q82" s="4"/>
    </row>
    <row r="83" spans="1:17" ht="12.75" customHeight="1">
      <c r="A83" s="4"/>
      <c r="B83" s="4"/>
      <c r="C83" s="3"/>
      <c r="D83" s="4"/>
      <c r="E83" s="4"/>
      <c r="F83" s="4"/>
      <c r="G83" s="4"/>
      <c r="H83" s="4"/>
      <c r="I83" s="4"/>
      <c r="J83" s="4"/>
      <c r="K83" s="4"/>
      <c r="L83" s="4"/>
      <c r="M83" s="4"/>
      <c r="N83" s="4"/>
      <c r="O83" s="4"/>
      <c r="P83" s="4"/>
      <c r="Q83" s="4"/>
    </row>
    <row r="84" spans="1:17" ht="12.75" customHeight="1">
      <c r="A84" s="4"/>
      <c r="B84" s="4"/>
      <c r="C84" s="3"/>
      <c r="D84" s="4"/>
      <c r="E84" s="4"/>
      <c r="F84" s="4"/>
      <c r="G84" s="4"/>
      <c r="H84" s="4"/>
      <c r="I84" s="4"/>
      <c r="J84" s="4"/>
      <c r="K84" s="4"/>
      <c r="L84" s="4"/>
      <c r="M84" s="4"/>
      <c r="N84" s="4"/>
      <c r="O84" s="4"/>
      <c r="P84" s="4"/>
      <c r="Q84" s="4"/>
    </row>
    <row r="85" spans="1:17" ht="12.75" customHeight="1">
      <c r="A85" s="4"/>
      <c r="B85" s="4"/>
      <c r="C85" s="3"/>
      <c r="D85" s="4"/>
      <c r="E85" s="4"/>
      <c r="F85" s="4"/>
      <c r="G85" s="4"/>
      <c r="H85" s="4"/>
      <c r="I85" s="4"/>
      <c r="J85" s="4"/>
      <c r="K85" s="4"/>
      <c r="L85" s="4"/>
      <c r="M85" s="4"/>
      <c r="N85" s="4"/>
      <c r="O85" s="4"/>
      <c r="P85" s="4"/>
      <c r="Q85" s="4"/>
    </row>
    <row r="86" spans="1:17" ht="12.75" customHeight="1">
      <c r="A86" s="4"/>
      <c r="B86" s="4"/>
      <c r="C86" s="3"/>
      <c r="D86" s="4"/>
      <c r="E86" s="4"/>
      <c r="F86" s="4"/>
      <c r="G86" s="4"/>
      <c r="H86" s="4"/>
      <c r="I86" s="4"/>
      <c r="J86" s="4"/>
      <c r="K86" s="4"/>
      <c r="L86" s="4"/>
      <c r="M86" s="4"/>
      <c r="N86" s="4"/>
      <c r="O86" s="4"/>
      <c r="P86" s="4"/>
      <c r="Q86" s="4"/>
    </row>
    <row r="87" spans="1:17" ht="12.75" customHeight="1">
      <c r="A87" s="4"/>
      <c r="B87" s="4"/>
      <c r="C87" s="3"/>
      <c r="D87" s="4"/>
      <c r="E87" s="4"/>
      <c r="F87" s="4"/>
      <c r="G87" s="4"/>
      <c r="H87" s="4"/>
      <c r="I87" s="4"/>
      <c r="J87" s="4"/>
      <c r="K87" s="4"/>
      <c r="L87" s="4"/>
      <c r="M87" s="4"/>
      <c r="N87" s="4"/>
      <c r="O87" s="4"/>
      <c r="P87" s="4"/>
      <c r="Q87" s="4"/>
    </row>
    <row r="88" spans="1:17" ht="12.75" customHeight="1">
      <c r="A88" s="4"/>
      <c r="B88" s="4"/>
      <c r="C88" s="3"/>
      <c r="D88" s="4"/>
      <c r="E88" s="4"/>
      <c r="F88" s="4"/>
      <c r="G88" s="4"/>
      <c r="H88" s="4"/>
      <c r="I88" s="4"/>
      <c r="J88" s="4"/>
      <c r="K88" s="4"/>
      <c r="L88" s="4"/>
      <c r="M88" s="4"/>
      <c r="N88" s="4"/>
      <c r="O88" s="4"/>
      <c r="P88" s="4"/>
      <c r="Q88" s="4"/>
    </row>
    <row r="89" spans="1:17" ht="12.75" customHeight="1">
      <c r="A89" s="4"/>
      <c r="B89" s="4"/>
      <c r="C89" s="3"/>
      <c r="D89" s="4"/>
      <c r="E89" s="4"/>
      <c r="F89" s="4"/>
      <c r="G89" s="4"/>
      <c r="H89" s="4"/>
      <c r="I89" s="4"/>
      <c r="J89" s="4"/>
      <c r="K89" s="4"/>
      <c r="L89" s="4"/>
      <c r="M89" s="4"/>
      <c r="N89" s="4"/>
      <c r="O89" s="4"/>
      <c r="P89" s="4"/>
      <c r="Q89" s="4"/>
    </row>
    <row r="90" spans="1:17" ht="12.75" customHeight="1">
      <c r="A90" s="4"/>
      <c r="B90" s="4"/>
      <c r="C90" s="3"/>
      <c r="D90" s="4"/>
      <c r="E90" s="4"/>
      <c r="F90" s="4"/>
      <c r="G90" s="4"/>
      <c r="H90" s="4"/>
      <c r="I90" s="4"/>
      <c r="J90" s="4"/>
      <c r="K90" s="4"/>
      <c r="L90" s="4"/>
      <c r="M90" s="4"/>
      <c r="N90" s="4"/>
      <c r="O90" s="4"/>
      <c r="P90" s="4"/>
      <c r="Q90" s="4"/>
    </row>
    <row r="91" spans="1:17" ht="12.75" customHeight="1">
      <c r="A91" s="4"/>
      <c r="B91" s="4"/>
      <c r="C91" s="3"/>
      <c r="D91" s="4"/>
      <c r="E91" s="4"/>
      <c r="F91" s="4"/>
      <c r="G91" s="4"/>
      <c r="H91" s="4"/>
      <c r="I91" s="4"/>
      <c r="J91" s="4"/>
      <c r="K91" s="4"/>
      <c r="L91" s="4"/>
      <c r="M91" s="4"/>
      <c r="N91" s="4"/>
      <c r="O91" s="4"/>
      <c r="P91" s="4"/>
      <c r="Q91" s="4"/>
    </row>
    <row r="92" spans="1:17" ht="12.75" customHeight="1">
      <c r="A92" s="4"/>
      <c r="B92" s="4"/>
      <c r="C92" s="3"/>
      <c r="D92" s="4"/>
      <c r="E92" s="4"/>
      <c r="F92" s="4"/>
      <c r="G92" s="4"/>
      <c r="H92" s="4"/>
      <c r="I92" s="4"/>
      <c r="J92" s="4"/>
      <c r="K92" s="4"/>
      <c r="L92" s="4"/>
      <c r="M92" s="4"/>
      <c r="N92" s="4"/>
      <c r="O92" s="4"/>
      <c r="P92" s="4"/>
      <c r="Q92" s="4"/>
    </row>
    <row r="93" spans="1:17" ht="12.75" customHeight="1">
      <c r="A93" s="4"/>
      <c r="B93" s="4"/>
      <c r="C93" s="3"/>
      <c r="D93" s="4"/>
      <c r="E93" s="4"/>
      <c r="F93" s="4"/>
      <c r="G93" s="4"/>
      <c r="H93" s="4"/>
      <c r="I93" s="4"/>
      <c r="J93" s="4"/>
      <c r="K93" s="4"/>
      <c r="L93" s="4"/>
      <c r="M93" s="4"/>
      <c r="N93" s="4"/>
      <c r="O93" s="4"/>
      <c r="P93" s="4"/>
      <c r="Q93" s="4"/>
    </row>
    <row r="94" spans="1:17" ht="12.75" customHeight="1">
      <c r="A94" s="4"/>
      <c r="B94" s="4"/>
      <c r="C94" s="3"/>
      <c r="D94" s="4"/>
      <c r="E94" s="4"/>
      <c r="F94" s="4"/>
      <c r="G94" s="4"/>
      <c r="H94" s="4"/>
      <c r="I94" s="4"/>
      <c r="J94" s="4"/>
      <c r="K94" s="4"/>
      <c r="L94" s="4"/>
      <c r="M94" s="4"/>
      <c r="N94" s="4"/>
      <c r="O94" s="4"/>
      <c r="P94" s="4"/>
      <c r="Q94" s="4"/>
    </row>
    <row r="95" spans="1:17" ht="12.75" customHeight="1">
      <c r="A95" s="4"/>
      <c r="B95" s="4"/>
      <c r="C95" s="3"/>
      <c r="D95" s="4"/>
      <c r="E95" s="4"/>
      <c r="F95" s="4"/>
      <c r="G95" s="4"/>
      <c r="H95" s="4"/>
      <c r="I95" s="4"/>
      <c r="J95" s="4"/>
      <c r="K95" s="4"/>
      <c r="L95" s="4"/>
      <c r="M95" s="4"/>
      <c r="N95" s="4"/>
      <c r="O95" s="4"/>
      <c r="P95" s="4"/>
      <c r="Q95" s="4"/>
    </row>
    <row r="96" spans="1:17" ht="12.75" customHeight="1">
      <c r="A96" s="4"/>
      <c r="B96" s="4"/>
      <c r="C96" s="3"/>
      <c r="D96" s="4"/>
      <c r="E96" s="4"/>
      <c r="F96" s="4"/>
      <c r="G96" s="4"/>
      <c r="H96" s="4"/>
      <c r="I96" s="4"/>
      <c r="J96" s="4"/>
      <c r="K96" s="4"/>
      <c r="L96" s="4"/>
      <c r="M96" s="4"/>
      <c r="N96" s="4"/>
      <c r="O96" s="4"/>
      <c r="P96" s="4"/>
      <c r="Q96" s="4"/>
    </row>
    <row r="97" spans="1:17" ht="12.75" customHeight="1">
      <c r="A97" s="4"/>
      <c r="B97" s="4"/>
      <c r="C97" s="3"/>
      <c r="D97" s="4"/>
      <c r="E97" s="4"/>
      <c r="F97" s="4"/>
      <c r="G97" s="4"/>
      <c r="H97" s="4"/>
      <c r="I97" s="4"/>
      <c r="J97" s="4"/>
      <c r="K97" s="4"/>
      <c r="L97" s="4"/>
      <c r="M97" s="4"/>
      <c r="N97" s="4"/>
      <c r="O97" s="4"/>
      <c r="P97" s="4"/>
      <c r="Q97" s="4"/>
    </row>
    <row r="98" spans="1:17" ht="12.75" customHeight="1">
      <c r="A98" s="4"/>
      <c r="B98" s="4"/>
      <c r="C98" s="3"/>
      <c r="D98" s="4"/>
      <c r="E98" s="4"/>
      <c r="F98" s="4"/>
      <c r="G98" s="4"/>
      <c r="H98" s="4"/>
      <c r="I98" s="4"/>
      <c r="J98" s="4"/>
      <c r="K98" s="4"/>
      <c r="L98" s="4"/>
      <c r="M98" s="4"/>
      <c r="N98" s="4"/>
      <c r="O98" s="4"/>
      <c r="P98" s="4"/>
      <c r="Q98" s="4"/>
    </row>
    <row r="99" spans="1:17" ht="12.75" customHeight="1">
      <c r="A99" s="4"/>
      <c r="B99" s="4"/>
      <c r="C99" s="3"/>
      <c r="D99" s="4"/>
      <c r="E99" s="4"/>
      <c r="F99" s="4"/>
      <c r="G99" s="4"/>
      <c r="H99" s="4"/>
      <c r="I99" s="4"/>
      <c r="J99" s="4"/>
      <c r="K99" s="4"/>
      <c r="L99" s="4"/>
      <c r="M99" s="4"/>
      <c r="N99" s="4"/>
      <c r="O99" s="4"/>
      <c r="P99" s="4"/>
      <c r="Q99" s="4"/>
    </row>
    <row r="100" spans="1:17" ht="12.75" customHeight="1">
      <c r="A100" s="4"/>
      <c r="B100" s="4"/>
      <c r="C100" s="3"/>
      <c r="D100" s="4"/>
      <c r="E100" s="4"/>
      <c r="F100" s="4"/>
      <c r="G100" s="4"/>
      <c r="H100" s="4"/>
      <c r="I100" s="4"/>
      <c r="J100" s="4"/>
      <c r="K100" s="4"/>
      <c r="L100" s="4"/>
      <c r="M100" s="4"/>
      <c r="N100" s="4"/>
      <c r="O100" s="4"/>
      <c r="P100" s="4"/>
      <c r="Q100" s="4"/>
    </row>
    <row r="101" spans="1:17" ht="12.75" customHeight="1">
      <c r="A101" s="4"/>
      <c r="B101" s="4"/>
      <c r="C101" s="3"/>
      <c r="D101" s="4"/>
      <c r="E101" s="4"/>
      <c r="F101" s="4"/>
      <c r="G101" s="4"/>
      <c r="H101" s="4"/>
      <c r="I101" s="4"/>
      <c r="J101" s="4"/>
      <c r="K101" s="4"/>
      <c r="L101" s="4"/>
      <c r="M101" s="4"/>
      <c r="N101" s="4"/>
      <c r="O101" s="4"/>
      <c r="P101" s="4"/>
      <c r="Q101" s="4"/>
    </row>
    <row r="102" spans="1:17" ht="12.75" customHeight="1">
      <c r="A102" s="4"/>
      <c r="B102" s="4"/>
      <c r="C102" s="3"/>
      <c r="D102" s="4"/>
      <c r="E102" s="4"/>
      <c r="F102" s="4"/>
      <c r="G102" s="4"/>
      <c r="H102" s="4"/>
      <c r="I102" s="4"/>
      <c r="J102" s="4"/>
      <c r="K102" s="4"/>
      <c r="L102" s="4"/>
      <c r="M102" s="4"/>
      <c r="N102" s="4"/>
      <c r="O102" s="4"/>
      <c r="P102" s="4"/>
      <c r="Q102" s="4"/>
    </row>
    <row r="103" spans="1:17" ht="12.75" customHeight="1">
      <c r="A103" s="4"/>
      <c r="B103" s="4"/>
      <c r="C103" s="3"/>
      <c r="D103" s="4"/>
      <c r="E103" s="4"/>
      <c r="F103" s="4"/>
      <c r="G103" s="4"/>
      <c r="H103" s="4"/>
      <c r="I103" s="4"/>
      <c r="J103" s="4"/>
      <c r="K103" s="4"/>
      <c r="L103" s="4"/>
      <c r="M103" s="4"/>
      <c r="N103" s="4"/>
      <c r="O103" s="4"/>
      <c r="P103" s="4"/>
      <c r="Q103" s="4"/>
    </row>
    <row r="104" spans="1:17" ht="12.75" customHeight="1">
      <c r="A104" s="4"/>
      <c r="B104" s="4"/>
      <c r="C104" s="3"/>
      <c r="D104" s="4"/>
      <c r="E104" s="4"/>
      <c r="F104" s="4"/>
      <c r="G104" s="4"/>
      <c r="H104" s="4"/>
      <c r="I104" s="4"/>
      <c r="J104" s="4"/>
      <c r="K104" s="4"/>
      <c r="L104" s="4"/>
      <c r="M104" s="4"/>
      <c r="N104" s="4"/>
      <c r="O104" s="4"/>
      <c r="P104" s="4"/>
      <c r="Q104" s="4"/>
    </row>
    <row r="105" spans="1:17" ht="12.75" customHeight="1">
      <c r="A105" s="4"/>
      <c r="B105" s="4"/>
      <c r="C105" s="3"/>
      <c r="D105" s="4"/>
      <c r="E105" s="4"/>
      <c r="F105" s="4"/>
      <c r="G105" s="4"/>
      <c r="H105" s="4"/>
      <c r="I105" s="4"/>
      <c r="J105" s="4"/>
      <c r="K105" s="4"/>
      <c r="L105" s="4"/>
      <c r="M105" s="4"/>
      <c r="N105" s="4"/>
      <c r="O105" s="4"/>
      <c r="P105" s="4"/>
      <c r="Q105" s="4"/>
    </row>
    <row r="106" spans="1:17" ht="12.75" customHeight="1">
      <c r="A106" s="4"/>
      <c r="B106" s="4"/>
      <c r="C106" s="3"/>
      <c r="D106" s="4"/>
      <c r="E106" s="4"/>
      <c r="F106" s="4"/>
      <c r="G106" s="4"/>
      <c r="H106" s="4"/>
      <c r="I106" s="4"/>
      <c r="J106" s="4"/>
      <c r="K106" s="4"/>
      <c r="L106" s="4"/>
      <c r="M106" s="4"/>
      <c r="N106" s="4"/>
      <c r="O106" s="4"/>
      <c r="P106" s="4"/>
      <c r="Q106" s="4"/>
    </row>
    <row r="107" spans="1:17" ht="12.75" customHeight="1">
      <c r="A107" s="4"/>
      <c r="B107" s="4"/>
      <c r="C107" s="3"/>
      <c r="D107" s="4"/>
      <c r="E107" s="4"/>
      <c r="F107" s="4"/>
      <c r="G107" s="4"/>
      <c r="H107" s="4"/>
      <c r="I107" s="4"/>
      <c r="J107" s="4"/>
      <c r="K107" s="4"/>
      <c r="L107" s="4"/>
      <c r="M107" s="4"/>
      <c r="N107" s="4"/>
      <c r="O107" s="4"/>
      <c r="P107" s="4"/>
      <c r="Q107" s="4"/>
    </row>
    <row r="108" spans="1:17" ht="12.75" customHeight="1">
      <c r="A108" s="4"/>
      <c r="B108" s="4"/>
      <c r="C108" s="3"/>
      <c r="D108" s="4"/>
      <c r="E108" s="4"/>
      <c r="F108" s="4"/>
      <c r="G108" s="4"/>
      <c r="H108" s="4"/>
      <c r="I108" s="4"/>
      <c r="J108" s="4"/>
      <c r="K108" s="4"/>
      <c r="L108" s="4"/>
      <c r="M108" s="4"/>
      <c r="N108" s="4"/>
      <c r="O108" s="4"/>
      <c r="P108" s="4"/>
      <c r="Q108" s="4"/>
    </row>
    <row r="109" spans="1:17" ht="12.75" customHeight="1">
      <c r="A109" s="4"/>
      <c r="B109" s="4"/>
      <c r="C109" s="3"/>
      <c r="D109" s="4"/>
      <c r="E109" s="4"/>
      <c r="F109" s="4"/>
      <c r="G109" s="4"/>
      <c r="H109" s="4"/>
      <c r="I109" s="4"/>
      <c r="J109" s="4"/>
      <c r="K109" s="4"/>
      <c r="L109" s="4"/>
      <c r="M109" s="4"/>
      <c r="N109" s="4"/>
      <c r="O109" s="4"/>
      <c r="P109" s="4"/>
      <c r="Q109" s="4"/>
    </row>
    <row r="110" spans="1:17" ht="12.75" customHeight="1">
      <c r="A110" s="4"/>
      <c r="B110" s="4"/>
      <c r="C110" s="3"/>
      <c r="D110" s="4"/>
      <c r="E110" s="4"/>
      <c r="F110" s="4"/>
      <c r="G110" s="4"/>
      <c r="H110" s="4"/>
      <c r="I110" s="4"/>
      <c r="J110" s="4"/>
      <c r="K110" s="4"/>
      <c r="L110" s="4"/>
      <c r="M110" s="4"/>
      <c r="N110" s="4"/>
      <c r="O110" s="4"/>
      <c r="P110" s="4"/>
      <c r="Q110" s="4"/>
    </row>
    <row r="111" spans="1:17" ht="12.75" customHeight="1">
      <c r="A111" s="4"/>
      <c r="B111" s="4"/>
      <c r="C111" s="3"/>
      <c r="D111" s="4"/>
      <c r="E111" s="4"/>
      <c r="F111" s="4"/>
      <c r="G111" s="4"/>
      <c r="H111" s="4"/>
      <c r="I111" s="4"/>
      <c r="J111" s="4"/>
      <c r="K111" s="4"/>
      <c r="L111" s="4"/>
      <c r="M111" s="4"/>
      <c r="N111" s="4"/>
      <c r="O111" s="4"/>
      <c r="P111" s="4"/>
      <c r="Q111" s="4"/>
    </row>
    <row r="112" spans="1:17" ht="12.75" customHeight="1">
      <c r="A112" s="4"/>
      <c r="B112" s="4"/>
      <c r="C112" s="3"/>
      <c r="D112" s="4"/>
      <c r="E112" s="4"/>
      <c r="F112" s="4"/>
      <c r="G112" s="4"/>
      <c r="H112" s="4"/>
      <c r="I112" s="4"/>
      <c r="J112" s="4"/>
      <c r="K112" s="4"/>
      <c r="L112" s="4"/>
      <c r="M112" s="4"/>
      <c r="N112" s="4"/>
      <c r="O112" s="4"/>
      <c r="P112" s="4"/>
      <c r="Q112" s="4"/>
    </row>
    <row r="113" spans="1:17" ht="12.75" customHeight="1">
      <c r="A113" s="4"/>
      <c r="B113" s="4"/>
      <c r="C113" s="3"/>
      <c r="D113" s="4"/>
      <c r="E113" s="4"/>
      <c r="F113" s="4"/>
      <c r="G113" s="4"/>
      <c r="H113" s="4"/>
      <c r="I113" s="4"/>
      <c r="J113" s="4"/>
      <c r="K113" s="4"/>
      <c r="L113" s="4"/>
      <c r="M113" s="4"/>
      <c r="N113" s="4"/>
      <c r="O113" s="4"/>
      <c r="P113" s="4"/>
      <c r="Q113" s="4"/>
    </row>
    <row r="114" spans="1:17" ht="12.75" customHeight="1">
      <c r="A114" s="4"/>
      <c r="B114" s="4"/>
      <c r="C114" s="3"/>
      <c r="D114" s="4"/>
      <c r="E114" s="4"/>
      <c r="F114" s="4"/>
      <c r="G114" s="4"/>
      <c r="H114" s="4"/>
      <c r="I114" s="4"/>
      <c r="J114" s="4"/>
      <c r="K114" s="4"/>
      <c r="L114" s="4"/>
      <c r="M114" s="4"/>
      <c r="N114" s="4"/>
      <c r="O114" s="4"/>
      <c r="P114" s="4"/>
      <c r="Q114" s="4"/>
    </row>
    <row r="115" spans="1:17" ht="12.75" customHeight="1">
      <c r="A115" s="4"/>
      <c r="B115" s="4"/>
      <c r="C115" s="3"/>
      <c r="D115" s="4"/>
      <c r="E115" s="4"/>
      <c r="F115" s="4"/>
      <c r="G115" s="4"/>
      <c r="H115" s="4"/>
      <c r="I115" s="4"/>
      <c r="J115" s="4"/>
      <c r="K115" s="4"/>
      <c r="L115" s="4"/>
      <c r="M115" s="4"/>
      <c r="N115" s="4"/>
      <c r="O115" s="4"/>
      <c r="P115" s="4"/>
      <c r="Q115" s="4"/>
    </row>
    <row r="116" spans="1:17" ht="12.75" customHeight="1">
      <c r="A116" s="4"/>
      <c r="B116" s="4"/>
      <c r="C116" s="3"/>
      <c r="D116" s="4"/>
      <c r="E116" s="4"/>
      <c r="F116" s="4"/>
      <c r="G116" s="4"/>
      <c r="H116" s="4"/>
      <c r="I116" s="4"/>
      <c r="J116" s="4"/>
      <c r="K116" s="4"/>
      <c r="L116" s="4"/>
      <c r="M116" s="4"/>
      <c r="N116" s="4"/>
      <c r="O116" s="4"/>
      <c r="P116" s="4"/>
      <c r="Q116" s="4"/>
    </row>
    <row r="117" spans="1:17" ht="12.75" customHeight="1">
      <c r="A117" s="4"/>
      <c r="B117" s="4"/>
      <c r="C117" s="3"/>
      <c r="D117" s="4"/>
      <c r="E117" s="4"/>
      <c r="F117" s="4"/>
      <c r="G117" s="4"/>
      <c r="H117" s="4"/>
      <c r="I117" s="4"/>
      <c r="J117" s="4"/>
      <c r="K117" s="4"/>
      <c r="L117" s="4"/>
      <c r="M117" s="4"/>
      <c r="N117" s="4"/>
      <c r="O117" s="4"/>
      <c r="P117" s="4"/>
      <c r="Q117" s="4"/>
    </row>
    <row r="118" spans="1:17" ht="12.75" customHeight="1">
      <c r="A118" s="4"/>
      <c r="B118" s="4"/>
      <c r="C118" s="3"/>
      <c r="D118" s="4"/>
      <c r="E118" s="4"/>
      <c r="F118" s="4"/>
      <c r="G118" s="4"/>
      <c r="H118" s="4"/>
      <c r="I118" s="4"/>
      <c r="J118" s="4"/>
      <c r="K118" s="4"/>
      <c r="L118" s="4"/>
      <c r="M118" s="4"/>
      <c r="N118" s="4"/>
      <c r="O118" s="4"/>
      <c r="P118" s="4"/>
      <c r="Q118" s="4"/>
    </row>
    <row r="119" spans="1:17" ht="12.75" customHeight="1">
      <c r="A119" s="4"/>
      <c r="B119" s="4"/>
      <c r="C119" s="3"/>
      <c r="D119" s="4"/>
      <c r="E119" s="4"/>
      <c r="F119" s="4"/>
      <c r="G119" s="4"/>
      <c r="H119" s="4"/>
      <c r="I119" s="4"/>
      <c r="J119" s="4"/>
      <c r="K119" s="4"/>
      <c r="L119" s="4"/>
      <c r="M119" s="4"/>
      <c r="N119" s="4"/>
      <c r="O119" s="4"/>
      <c r="P119" s="4"/>
      <c r="Q119" s="4"/>
    </row>
    <row r="120" spans="1:17" ht="12.75" customHeight="1">
      <c r="A120" s="4"/>
      <c r="B120" s="4"/>
      <c r="C120" s="3"/>
      <c r="D120" s="4"/>
      <c r="E120" s="4"/>
      <c r="F120" s="4"/>
      <c r="G120" s="4"/>
      <c r="H120" s="4"/>
      <c r="I120" s="4"/>
      <c r="J120" s="4"/>
      <c r="K120" s="4"/>
      <c r="L120" s="4"/>
      <c r="M120" s="4"/>
      <c r="N120" s="4"/>
      <c r="O120" s="4"/>
      <c r="P120" s="4"/>
      <c r="Q120" s="4"/>
    </row>
    <row r="121" spans="1:17" ht="12.75" customHeight="1">
      <c r="A121" s="4"/>
      <c r="B121" s="4"/>
      <c r="C121" s="3"/>
      <c r="D121" s="4"/>
      <c r="E121" s="4"/>
      <c r="F121" s="4"/>
      <c r="G121" s="4"/>
      <c r="H121" s="4"/>
      <c r="I121" s="4"/>
      <c r="J121" s="4"/>
      <c r="K121" s="4"/>
      <c r="L121" s="4"/>
      <c r="M121" s="4"/>
      <c r="N121" s="4"/>
      <c r="O121" s="4"/>
      <c r="P121" s="4"/>
      <c r="Q121" s="4"/>
    </row>
    <row r="122" spans="1:17" ht="12.75" customHeight="1">
      <c r="A122" s="4"/>
      <c r="B122" s="4"/>
      <c r="C122" s="3"/>
      <c r="D122" s="4"/>
      <c r="E122" s="4"/>
      <c r="F122" s="4"/>
      <c r="G122" s="4"/>
      <c r="H122" s="4"/>
      <c r="I122" s="4"/>
      <c r="J122" s="4"/>
      <c r="K122" s="4"/>
      <c r="L122" s="4"/>
      <c r="M122" s="4"/>
      <c r="N122" s="4"/>
      <c r="O122" s="4"/>
      <c r="P122" s="4"/>
      <c r="Q122" s="4"/>
    </row>
    <row r="123" spans="1:17" ht="12.75" customHeight="1">
      <c r="A123" s="4"/>
      <c r="B123" s="4"/>
      <c r="C123" s="3"/>
      <c r="D123" s="4"/>
      <c r="E123" s="4"/>
      <c r="F123" s="4"/>
      <c r="G123" s="4"/>
      <c r="H123" s="4"/>
      <c r="I123" s="4"/>
      <c r="J123" s="4"/>
      <c r="K123" s="4"/>
      <c r="L123" s="4"/>
      <c r="M123" s="4"/>
      <c r="N123" s="4"/>
      <c r="O123" s="4"/>
      <c r="P123" s="4"/>
      <c r="Q123" s="4"/>
    </row>
    <row r="124" spans="1:17" ht="12.75" customHeight="1">
      <c r="A124" s="4"/>
      <c r="B124" s="4"/>
      <c r="C124" s="3"/>
      <c r="D124" s="4"/>
      <c r="E124" s="4"/>
      <c r="F124" s="4"/>
      <c r="G124" s="4"/>
      <c r="H124" s="4"/>
      <c r="I124" s="4"/>
      <c r="J124" s="4"/>
      <c r="K124" s="4"/>
      <c r="L124" s="4"/>
      <c r="M124" s="4"/>
      <c r="N124" s="4"/>
      <c r="O124" s="4"/>
      <c r="P124" s="4"/>
      <c r="Q124" s="4"/>
    </row>
    <row r="125" spans="1:17" ht="12.75" customHeight="1">
      <c r="A125" s="4"/>
      <c r="B125" s="4"/>
      <c r="C125" s="3"/>
      <c r="D125" s="4"/>
      <c r="E125" s="4"/>
      <c r="F125" s="4"/>
      <c r="G125" s="4"/>
      <c r="H125" s="4"/>
      <c r="I125" s="4"/>
      <c r="J125" s="4"/>
      <c r="K125" s="4"/>
      <c r="L125" s="4"/>
      <c r="M125" s="4"/>
      <c r="N125" s="4"/>
      <c r="O125" s="4"/>
      <c r="P125" s="4"/>
      <c r="Q125" s="4"/>
    </row>
    <row r="126" spans="1:17" ht="12.75" customHeight="1">
      <c r="A126" s="4"/>
      <c r="B126" s="4"/>
      <c r="C126" s="3"/>
      <c r="D126" s="4"/>
      <c r="E126" s="4"/>
      <c r="F126" s="4"/>
      <c r="G126" s="4"/>
      <c r="H126" s="4"/>
      <c r="I126" s="4"/>
      <c r="J126" s="4"/>
      <c r="K126" s="4"/>
      <c r="L126" s="4"/>
      <c r="M126" s="4"/>
      <c r="N126" s="4"/>
      <c r="O126" s="4"/>
      <c r="P126" s="4"/>
      <c r="Q126" s="4"/>
    </row>
    <row r="127" spans="1:17" ht="12.75" customHeight="1">
      <c r="A127" s="4"/>
      <c r="B127" s="4"/>
      <c r="C127" s="3"/>
      <c r="D127" s="4"/>
      <c r="E127" s="4"/>
      <c r="F127" s="4"/>
      <c r="G127" s="4"/>
      <c r="H127" s="4"/>
      <c r="I127" s="4"/>
      <c r="J127" s="4"/>
      <c r="K127" s="4"/>
      <c r="L127" s="4"/>
      <c r="M127" s="4"/>
      <c r="N127" s="4"/>
      <c r="O127" s="4"/>
      <c r="P127" s="4"/>
      <c r="Q127" s="4"/>
    </row>
    <row r="128" spans="1:17" ht="12.75" customHeight="1">
      <c r="A128" s="4"/>
      <c r="B128" s="4"/>
      <c r="C128" s="3"/>
      <c r="D128" s="4"/>
      <c r="E128" s="4"/>
      <c r="F128" s="4"/>
      <c r="G128" s="4"/>
      <c r="H128" s="4"/>
      <c r="I128" s="4"/>
      <c r="J128" s="4"/>
      <c r="K128" s="4"/>
      <c r="L128" s="4"/>
      <c r="M128" s="4"/>
      <c r="N128" s="4"/>
      <c r="O128" s="4"/>
      <c r="P128" s="4"/>
      <c r="Q128" s="4"/>
    </row>
    <row r="129" spans="1:17" ht="12.75" customHeight="1">
      <c r="A129" s="4"/>
      <c r="B129" s="4"/>
      <c r="C129" s="3"/>
      <c r="D129" s="4"/>
      <c r="E129" s="4"/>
      <c r="F129" s="4"/>
      <c r="G129" s="4"/>
      <c r="H129" s="4"/>
      <c r="I129" s="4"/>
      <c r="J129" s="4"/>
      <c r="K129" s="4"/>
      <c r="L129" s="4"/>
      <c r="M129" s="4"/>
      <c r="N129" s="4"/>
      <c r="O129" s="4"/>
      <c r="P129" s="4"/>
      <c r="Q129" s="4"/>
    </row>
    <row r="130" spans="1:17" ht="12.75" customHeight="1">
      <c r="A130" s="4"/>
      <c r="B130" s="4"/>
      <c r="C130" s="3"/>
      <c r="D130" s="4"/>
      <c r="E130" s="4"/>
      <c r="F130" s="4"/>
      <c r="G130" s="4"/>
      <c r="H130" s="4"/>
      <c r="I130" s="4"/>
      <c r="J130" s="4"/>
      <c r="K130" s="4"/>
      <c r="L130" s="4"/>
      <c r="M130" s="4"/>
      <c r="N130" s="4"/>
      <c r="O130" s="4"/>
      <c r="P130" s="4"/>
      <c r="Q130" s="4"/>
    </row>
    <row r="131" spans="1:17" ht="12.75" customHeight="1">
      <c r="A131" s="4"/>
      <c r="B131" s="4"/>
      <c r="C131" s="3"/>
      <c r="D131" s="4"/>
      <c r="E131" s="4"/>
      <c r="F131" s="4"/>
      <c r="G131" s="4"/>
      <c r="H131" s="4"/>
      <c r="I131" s="4"/>
      <c r="J131" s="4"/>
      <c r="K131" s="4"/>
      <c r="L131" s="4"/>
      <c r="M131" s="4"/>
      <c r="N131" s="4"/>
      <c r="O131" s="4"/>
      <c r="P131" s="4"/>
      <c r="Q131" s="4"/>
    </row>
    <row r="132" spans="1:17" ht="12.75" customHeight="1">
      <c r="A132" s="4"/>
      <c r="B132" s="4"/>
      <c r="C132" s="3"/>
      <c r="D132" s="4"/>
      <c r="E132" s="4"/>
      <c r="F132" s="4"/>
      <c r="G132" s="4"/>
      <c r="H132" s="4"/>
      <c r="I132" s="4"/>
      <c r="J132" s="4"/>
      <c r="K132" s="4"/>
      <c r="L132" s="4"/>
      <c r="M132" s="4"/>
      <c r="N132" s="4"/>
      <c r="O132" s="4"/>
      <c r="P132" s="4"/>
      <c r="Q132" s="4"/>
    </row>
    <row r="133" spans="1:17" ht="12.75" customHeight="1">
      <c r="A133" s="4"/>
      <c r="B133" s="4"/>
      <c r="C133" s="3"/>
      <c r="D133" s="4"/>
      <c r="E133" s="4"/>
      <c r="F133" s="4"/>
      <c r="G133" s="4"/>
      <c r="H133" s="4"/>
      <c r="I133" s="4"/>
      <c r="J133" s="4"/>
      <c r="K133" s="4"/>
      <c r="L133" s="4"/>
      <c r="M133" s="4"/>
      <c r="N133" s="4"/>
      <c r="O133" s="4"/>
      <c r="P133" s="4"/>
      <c r="Q133" s="4"/>
    </row>
    <row r="134" spans="1:17" ht="12.75" customHeight="1">
      <c r="A134" s="4"/>
      <c r="B134" s="4"/>
      <c r="C134" s="3"/>
      <c r="D134" s="4"/>
      <c r="E134" s="4"/>
      <c r="F134" s="4"/>
      <c r="G134" s="4"/>
      <c r="H134" s="4"/>
      <c r="I134" s="4"/>
      <c r="J134" s="4"/>
      <c r="K134" s="4"/>
      <c r="L134" s="4"/>
      <c r="M134" s="4"/>
      <c r="N134" s="4"/>
      <c r="O134" s="4"/>
      <c r="P134" s="4"/>
      <c r="Q134" s="4"/>
    </row>
    <row r="135" spans="1:17" ht="12.75" customHeight="1">
      <c r="A135" s="4"/>
      <c r="B135" s="4"/>
      <c r="C135" s="3"/>
      <c r="D135" s="4"/>
      <c r="E135" s="4"/>
      <c r="F135" s="4"/>
      <c r="G135" s="4"/>
      <c r="H135" s="4"/>
      <c r="I135" s="4"/>
      <c r="J135" s="4"/>
      <c r="K135" s="4"/>
      <c r="L135" s="4"/>
      <c r="M135" s="4"/>
      <c r="N135" s="4"/>
      <c r="O135" s="4"/>
      <c r="P135" s="4"/>
      <c r="Q135" s="4"/>
    </row>
    <row r="136" spans="1:17" ht="12.75" customHeight="1">
      <c r="A136" s="4"/>
      <c r="B136" s="4"/>
      <c r="C136" s="3"/>
      <c r="D136" s="4"/>
      <c r="E136" s="4"/>
      <c r="F136" s="4"/>
      <c r="G136" s="4"/>
      <c r="H136" s="4"/>
      <c r="I136" s="4"/>
      <c r="J136" s="4"/>
      <c r="K136" s="4"/>
      <c r="L136" s="4"/>
      <c r="M136" s="4"/>
      <c r="N136" s="4"/>
      <c r="O136" s="4"/>
      <c r="P136" s="4"/>
      <c r="Q136" s="4"/>
    </row>
    <row r="137" spans="1:17" ht="12.75" customHeight="1">
      <c r="A137" s="4"/>
      <c r="B137" s="4"/>
      <c r="C137" s="3"/>
      <c r="D137" s="4"/>
      <c r="E137" s="4"/>
      <c r="F137" s="4"/>
      <c r="G137" s="4"/>
      <c r="H137" s="4"/>
      <c r="I137" s="4"/>
      <c r="J137" s="4"/>
      <c r="K137" s="4"/>
      <c r="L137" s="4"/>
      <c r="M137" s="4"/>
      <c r="N137" s="4"/>
      <c r="O137" s="4"/>
      <c r="P137" s="4"/>
      <c r="Q137" s="4"/>
    </row>
    <row r="138" spans="1:17" ht="12.75" customHeight="1">
      <c r="A138" s="4"/>
      <c r="B138" s="4"/>
      <c r="C138" s="3"/>
      <c r="D138" s="4"/>
      <c r="E138" s="4"/>
      <c r="F138" s="4"/>
      <c r="G138" s="4"/>
      <c r="H138" s="4"/>
      <c r="I138" s="4"/>
      <c r="J138" s="4"/>
      <c r="K138" s="4"/>
      <c r="L138" s="4"/>
      <c r="M138" s="4"/>
      <c r="N138" s="4"/>
      <c r="O138" s="4"/>
      <c r="P138" s="4"/>
      <c r="Q138" s="4"/>
    </row>
    <row r="139" spans="1:17" ht="12.75" customHeight="1">
      <c r="A139" s="4"/>
      <c r="B139" s="4"/>
      <c r="C139" s="3"/>
      <c r="D139" s="4"/>
      <c r="E139" s="4"/>
      <c r="F139" s="4"/>
      <c r="G139" s="4"/>
      <c r="H139" s="4"/>
      <c r="I139" s="4"/>
      <c r="J139" s="4"/>
      <c r="K139" s="4"/>
      <c r="L139" s="4"/>
      <c r="M139" s="4"/>
      <c r="N139" s="4"/>
      <c r="O139" s="4"/>
      <c r="P139" s="4"/>
      <c r="Q139" s="4"/>
    </row>
    <row r="140" spans="1:17" ht="12.75" customHeight="1">
      <c r="A140" s="4"/>
      <c r="B140" s="4"/>
      <c r="C140" s="3"/>
      <c r="D140" s="4"/>
      <c r="E140" s="4"/>
      <c r="F140" s="4"/>
      <c r="G140" s="4"/>
      <c r="H140" s="4"/>
      <c r="I140" s="4"/>
      <c r="J140" s="4"/>
      <c r="K140" s="4"/>
      <c r="L140" s="4"/>
      <c r="M140" s="4"/>
      <c r="N140" s="4"/>
      <c r="O140" s="4"/>
      <c r="P140" s="4"/>
      <c r="Q140" s="4"/>
    </row>
    <row r="141" spans="1:17" ht="12.75" customHeight="1">
      <c r="A141" s="4"/>
      <c r="B141" s="4"/>
      <c r="C141" s="3"/>
      <c r="D141" s="4"/>
      <c r="E141" s="4"/>
      <c r="F141" s="4"/>
      <c r="G141" s="4"/>
      <c r="H141" s="4"/>
      <c r="I141" s="4"/>
      <c r="J141" s="4"/>
      <c r="K141" s="4"/>
      <c r="L141" s="4"/>
      <c r="M141" s="4"/>
      <c r="N141" s="4"/>
      <c r="O141" s="4"/>
      <c r="P141" s="4"/>
      <c r="Q141" s="4"/>
    </row>
    <row r="142" spans="1:17" ht="12.75" customHeight="1">
      <c r="A142" s="4"/>
      <c r="B142" s="4"/>
      <c r="C142" s="3"/>
      <c r="D142" s="4"/>
      <c r="E142" s="4"/>
      <c r="F142" s="4"/>
      <c r="G142" s="4"/>
      <c r="H142" s="4"/>
      <c r="I142" s="4"/>
      <c r="J142" s="4"/>
      <c r="K142" s="4"/>
      <c r="L142" s="4"/>
      <c r="M142" s="4"/>
      <c r="N142" s="4"/>
      <c r="O142" s="4"/>
      <c r="P142" s="4"/>
      <c r="Q142" s="4"/>
    </row>
    <row r="143" spans="1:17" ht="12.75" customHeight="1">
      <c r="A143" s="4"/>
      <c r="B143" s="4"/>
      <c r="C143" s="3"/>
      <c r="D143" s="4"/>
      <c r="E143" s="4"/>
      <c r="F143" s="4"/>
      <c r="G143" s="4"/>
      <c r="H143" s="4"/>
      <c r="I143" s="4"/>
      <c r="J143" s="4"/>
      <c r="K143" s="4"/>
      <c r="L143" s="4"/>
      <c r="M143" s="4"/>
      <c r="N143" s="4"/>
      <c r="O143" s="4"/>
      <c r="P143" s="4"/>
      <c r="Q143" s="4"/>
    </row>
    <row r="144" spans="1:17" ht="12.75" customHeight="1">
      <c r="A144" s="4"/>
      <c r="B144" s="4"/>
      <c r="C144" s="3"/>
      <c r="D144" s="4"/>
      <c r="E144" s="4"/>
      <c r="F144" s="4"/>
      <c r="G144" s="4"/>
      <c r="H144" s="4"/>
      <c r="I144" s="4"/>
      <c r="J144" s="4"/>
      <c r="K144" s="4"/>
      <c r="L144" s="4"/>
      <c r="M144" s="4"/>
      <c r="N144" s="4"/>
      <c r="O144" s="4"/>
      <c r="P144" s="4"/>
      <c r="Q144" s="4"/>
    </row>
    <row r="145" spans="1:17" ht="12.75" customHeight="1">
      <c r="A145" s="4"/>
      <c r="B145" s="4"/>
      <c r="C145" s="3"/>
      <c r="D145" s="4"/>
      <c r="E145" s="4"/>
      <c r="F145" s="4"/>
      <c r="G145" s="4"/>
      <c r="H145" s="4"/>
      <c r="I145" s="4"/>
      <c r="J145" s="4"/>
      <c r="K145" s="4"/>
      <c r="L145" s="4"/>
      <c r="M145" s="4"/>
      <c r="N145" s="4"/>
      <c r="O145" s="4"/>
      <c r="P145" s="4"/>
      <c r="Q145" s="4"/>
    </row>
    <row r="146" spans="1:17" ht="12.75" customHeight="1">
      <c r="A146" s="4"/>
      <c r="B146" s="4"/>
      <c r="C146" s="3"/>
      <c r="D146" s="4"/>
      <c r="E146" s="4"/>
      <c r="F146" s="4"/>
      <c r="G146" s="4"/>
      <c r="H146" s="4"/>
      <c r="I146" s="4"/>
      <c r="J146" s="4"/>
      <c r="K146" s="4"/>
      <c r="L146" s="4"/>
      <c r="M146" s="4"/>
      <c r="N146" s="4"/>
      <c r="O146" s="4"/>
      <c r="P146" s="4"/>
      <c r="Q146" s="4"/>
    </row>
    <row r="147" spans="1:17" ht="12.75" customHeight="1">
      <c r="A147" s="4"/>
      <c r="B147" s="4"/>
      <c r="C147" s="3"/>
      <c r="D147" s="4"/>
      <c r="E147" s="4"/>
      <c r="F147" s="4"/>
      <c r="G147" s="4"/>
      <c r="H147" s="4"/>
      <c r="I147" s="4"/>
      <c r="J147" s="4"/>
      <c r="K147" s="4"/>
      <c r="L147" s="4"/>
      <c r="M147" s="4"/>
      <c r="N147" s="4"/>
      <c r="O147" s="4"/>
      <c r="P147" s="4"/>
      <c r="Q147" s="4"/>
    </row>
    <row r="148" spans="1:17" ht="12.75" customHeight="1">
      <c r="A148" s="4"/>
      <c r="B148" s="4"/>
      <c r="C148" s="3"/>
      <c r="D148" s="4"/>
      <c r="E148" s="4"/>
      <c r="F148" s="4"/>
      <c r="G148" s="4"/>
      <c r="H148" s="4"/>
      <c r="I148" s="4"/>
      <c r="J148" s="4"/>
      <c r="K148" s="4"/>
      <c r="L148" s="4"/>
      <c r="M148" s="4"/>
      <c r="N148" s="4"/>
      <c r="O148" s="4"/>
      <c r="P148" s="4"/>
      <c r="Q148" s="4"/>
    </row>
    <row r="149" spans="1:17" ht="12.75" customHeight="1">
      <c r="A149" s="4"/>
      <c r="B149" s="4"/>
      <c r="C149" s="3"/>
      <c r="D149" s="4"/>
      <c r="E149" s="4"/>
      <c r="F149" s="4"/>
      <c r="G149" s="4"/>
      <c r="H149" s="4"/>
      <c r="I149" s="4"/>
      <c r="J149" s="4"/>
      <c r="K149" s="4"/>
      <c r="L149" s="4"/>
      <c r="M149" s="4"/>
      <c r="N149" s="4"/>
      <c r="O149" s="4"/>
      <c r="P149" s="4"/>
      <c r="Q149" s="4"/>
    </row>
    <row r="150" spans="1:17" ht="12.75" customHeight="1">
      <c r="A150" s="4"/>
      <c r="B150" s="4"/>
      <c r="C150" s="3"/>
      <c r="D150" s="4"/>
      <c r="E150" s="4"/>
      <c r="F150" s="4"/>
      <c r="G150" s="4"/>
      <c r="H150" s="4"/>
      <c r="I150" s="4"/>
      <c r="J150" s="4"/>
      <c r="K150" s="4"/>
      <c r="L150" s="4"/>
      <c r="M150" s="4"/>
      <c r="N150" s="4"/>
      <c r="O150" s="4"/>
      <c r="P150" s="4"/>
      <c r="Q150" s="4"/>
    </row>
    <row r="151" spans="1:17" ht="12.75" customHeight="1">
      <c r="A151" s="4"/>
      <c r="B151" s="4"/>
      <c r="C151" s="3"/>
      <c r="D151" s="4"/>
      <c r="E151" s="4"/>
      <c r="F151" s="4"/>
      <c r="G151" s="4"/>
      <c r="H151" s="4"/>
      <c r="I151" s="4"/>
      <c r="J151" s="4"/>
      <c r="K151" s="4"/>
      <c r="L151" s="4"/>
      <c r="M151" s="4"/>
      <c r="N151" s="4"/>
      <c r="O151" s="4"/>
      <c r="P151" s="4"/>
      <c r="Q151" s="4"/>
    </row>
    <row r="152" spans="1:17" ht="12.75" customHeight="1">
      <c r="A152" s="4"/>
      <c r="B152" s="4"/>
      <c r="C152" s="3"/>
      <c r="D152" s="4"/>
      <c r="E152" s="4"/>
      <c r="F152" s="4"/>
      <c r="G152" s="4"/>
      <c r="H152" s="4"/>
      <c r="I152" s="4"/>
      <c r="J152" s="4"/>
      <c r="K152" s="4"/>
      <c r="L152" s="4"/>
      <c r="M152" s="4"/>
      <c r="N152" s="4"/>
      <c r="O152" s="4"/>
      <c r="P152" s="4"/>
      <c r="Q152" s="4"/>
    </row>
    <row r="153" spans="1:17" ht="12.75" customHeight="1">
      <c r="A153" s="4"/>
      <c r="B153" s="4"/>
      <c r="C153" s="3"/>
      <c r="D153" s="4"/>
      <c r="E153" s="4"/>
      <c r="F153" s="4"/>
      <c r="G153" s="4"/>
      <c r="H153" s="4"/>
      <c r="I153" s="4"/>
      <c r="J153" s="4"/>
      <c r="K153" s="4"/>
      <c r="L153" s="4"/>
      <c r="M153" s="4"/>
      <c r="N153" s="4"/>
      <c r="O153" s="4"/>
      <c r="P153" s="4"/>
      <c r="Q153" s="4"/>
    </row>
    <row r="154" spans="1:17" ht="12.75" customHeight="1">
      <c r="A154" s="4"/>
      <c r="B154" s="4"/>
      <c r="C154" s="3"/>
      <c r="D154" s="4"/>
      <c r="E154" s="4"/>
      <c r="F154" s="4"/>
      <c r="G154" s="4"/>
      <c r="H154" s="4"/>
      <c r="I154" s="4"/>
      <c r="J154" s="4"/>
      <c r="K154" s="4"/>
      <c r="L154" s="4"/>
      <c r="M154" s="4"/>
      <c r="N154" s="4"/>
      <c r="O154" s="4"/>
      <c r="P154" s="4"/>
      <c r="Q154" s="4"/>
    </row>
    <row r="155" spans="1:17" ht="12.75" customHeight="1">
      <c r="A155" s="4"/>
      <c r="B155" s="4"/>
      <c r="C155" s="3"/>
      <c r="D155" s="4"/>
      <c r="E155" s="4"/>
      <c r="F155" s="4"/>
      <c r="G155" s="4"/>
      <c r="H155" s="4"/>
      <c r="I155" s="4"/>
      <c r="J155" s="4"/>
      <c r="K155" s="4"/>
      <c r="L155" s="4"/>
      <c r="M155" s="4"/>
      <c r="N155" s="4"/>
      <c r="O155" s="4"/>
      <c r="P155" s="4"/>
      <c r="Q155" s="4"/>
    </row>
    <row r="156" spans="1:17" ht="12.75" customHeight="1">
      <c r="A156" s="4"/>
      <c r="B156" s="4"/>
      <c r="C156" s="3"/>
      <c r="D156" s="4"/>
      <c r="E156" s="4"/>
      <c r="F156" s="4"/>
      <c r="G156" s="4"/>
      <c r="H156" s="4"/>
      <c r="I156" s="4"/>
      <c r="J156" s="4"/>
      <c r="K156" s="4"/>
      <c r="L156" s="4"/>
      <c r="M156" s="4"/>
      <c r="N156" s="4"/>
      <c r="O156" s="4"/>
      <c r="P156" s="4"/>
      <c r="Q156" s="4"/>
    </row>
    <row r="157" spans="1:17" ht="12.75" customHeight="1">
      <c r="A157" s="4"/>
      <c r="B157" s="4"/>
      <c r="C157" s="3"/>
      <c r="D157" s="4"/>
      <c r="E157" s="4"/>
      <c r="F157" s="4"/>
      <c r="G157" s="4"/>
      <c r="H157" s="4"/>
      <c r="I157" s="4"/>
      <c r="J157" s="4"/>
      <c r="K157" s="4"/>
      <c r="L157" s="4"/>
      <c r="M157" s="4"/>
      <c r="N157" s="4"/>
      <c r="O157" s="4"/>
      <c r="P157" s="4"/>
      <c r="Q157" s="4"/>
    </row>
    <row r="158" spans="1:17" ht="12.75" customHeight="1">
      <c r="A158" s="4"/>
      <c r="B158" s="4"/>
      <c r="C158" s="3"/>
      <c r="D158" s="4"/>
      <c r="E158" s="4"/>
      <c r="F158" s="4"/>
      <c r="G158" s="4"/>
      <c r="H158" s="4"/>
      <c r="I158" s="4"/>
      <c r="J158" s="4"/>
      <c r="K158" s="4"/>
      <c r="L158" s="4"/>
      <c r="M158" s="4"/>
      <c r="N158" s="4"/>
      <c r="O158" s="4"/>
      <c r="P158" s="4"/>
      <c r="Q158" s="4"/>
    </row>
    <row r="159" spans="1:17" ht="12.75" customHeight="1">
      <c r="A159" s="4"/>
      <c r="B159" s="4"/>
      <c r="C159" s="3"/>
      <c r="D159" s="4"/>
      <c r="E159" s="4"/>
      <c r="F159" s="4"/>
      <c r="G159" s="4"/>
      <c r="H159" s="4"/>
      <c r="I159" s="4"/>
      <c r="J159" s="4"/>
      <c r="K159" s="4"/>
      <c r="L159" s="4"/>
      <c r="M159" s="4"/>
      <c r="N159" s="4"/>
      <c r="O159" s="4"/>
      <c r="P159" s="4"/>
      <c r="Q159" s="4"/>
    </row>
    <row r="160" spans="1:17" ht="12.75" customHeight="1">
      <c r="A160" s="4"/>
      <c r="B160" s="4"/>
      <c r="C160" s="3"/>
      <c r="D160" s="4"/>
      <c r="E160" s="4"/>
      <c r="F160" s="4"/>
      <c r="G160" s="4"/>
      <c r="H160" s="4"/>
      <c r="I160" s="4"/>
      <c r="J160" s="4"/>
      <c r="K160" s="4"/>
      <c r="L160" s="4"/>
      <c r="M160" s="4"/>
      <c r="N160" s="4"/>
      <c r="O160" s="4"/>
      <c r="P160" s="4"/>
      <c r="Q160" s="4"/>
    </row>
    <row r="161" spans="1:17" ht="12.75" customHeight="1">
      <c r="A161" s="4"/>
      <c r="B161" s="4"/>
      <c r="C161" s="3"/>
      <c r="D161" s="4"/>
      <c r="E161" s="4"/>
      <c r="F161" s="4"/>
      <c r="G161" s="4"/>
      <c r="H161" s="4"/>
      <c r="I161" s="4"/>
      <c r="J161" s="4"/>
      <c r="K161" s="4"/>
      <c r="L161" s="4"/>
      <c r="M161" s="4"/>
      <c r="N161" s="4"/>
      <c r="O161" s="4"/>
      <c r="P161" s="4"/>
      <c r="Q161" s="4"/>
    </row>
    <row r="162" spans="1:17" ht="12.75" customHeight="1">
      <c r="A162" s="4"/>
      <c r="B162" s="4"/>
      <c r="C162" s="3"/>
      <c r="D162" s="4"/>
      <c r="E162" s="4"/>
      <c r="F162" s="4"/>
      <c r="G162" s="4"/>
      <c r="H162" s="4"/>
      <c r="I162" s="4"/>
      <c r="J162" s="4"/>
      <c r="K162" s="4"/>
      <c r="L162" s="4"/>
      <c r="M162" s="4"/>
      <c r="N162" s="4"/>
      <c r="O162" s="4"/>
      <c r="P162" s="4"/>
      <c r="Q162" s="4"/>
    </row>
    <row r="163" spans="1:17" ht="12.75" customHeight="1">
      <c r="A163" s="4"/>
      <c r="B163" s="4"/>
      <c r="C163" s="3"/>
      <c r="D163" s="4"/>
      <c r="E163" s="4"/>
      <c r="F163" s="4"/>
      <c r="G163" s="4"/>
      <c r="H163" s="4"/>
      <c r="I163" s="4"/>
      <c r="J163" s="4"/>
      <c r="K163" s="4"/>
      <c r="L163" s="4"/>
      <c r="M163" s="4"/>
      <c r="N163" s="4"/>
      <c r="O163" s="4"/>
      <c r="P163" s="4"/>
      <c r="Q163" s="4"/>
    </row>
    <row r="164" spans="1:17" ht="12.75" customHeight="1">
      <c r="A164" s="4"/>
      <c r="B164" s="4"/>
      <c r="C164" s="3"/>
      <c r="D164" s="4"/>
      <c r="E164" s="4"/>
      <c r="F164" s="4"/>
      <c r="G164" s="4"/>
      <c r="H164" s="4"/>
      <c r="I164" s="4"/>
      <c r="J164" s="4"/>
      <c r="K164" s="4"/>
      <c r="L164" s="4"/>
      <c r="M164" s="4"/>
      <c r="N164" s="4"/>
      <c r="O164" s="4"/>
      <c r="P164" s="4"/>
      <c r="Q164" s="4"/>
    </row>
    <row r="165" spans="1:17" ht="12.75" customHeight="1">
      <c r="A165" s="4"/>
      <c r="B165" s="4"/>
      <c r="C165" s="3"/>
      <c r="D165" s="4"/>
      <c r="E165" s="4"/>
      <c r="F165" s="4"/>
      <c r="G165" s="4"/>
      <c r="H165" s="4"/>
      <c r="I165" s="4"/>
      <c r="J165" s="4"/>
      <c r="K165" s="4"/>
      <c r="L165" s="4"/>
      <c r="M165" s="4"/>
      <c r="N165" s="4"/>
      <c r="O165" s="4"/>
      <c r="P165" s="4"/>
      <c r="Q165" s="4"/>
    </row>
    <row r="166" spans="1:17" ht="12.75" customHeight="1">
      <c r="A166" s="4"/>
      <c r="B166" s="4"/>
      <c r="C166" s="3"/>
      <c r="D166" s="4"/>
      <c r="E166" s="4"/>
      <c r="F166" s="4"/>
      <c r="G166" s="4"/>
      <c r="H166" s="4"/>
      <c r="I166" s="4"/>
      <c r="J166" s="4"/>
      <c r="K166" s="4"/>
      <c r="L166" s="4"/>
      <c r="M166" s="4"/>
      <c r="N166" s="4"/>
      <c r="O166" s="4"/>
      <c r="P166" s="4"/>
      <c r="Q166" s="4"/>
    </row>
    <row r="167" spans="1:17" ht="12.75" customHeight="1">
      <c r="A167" s="4"/>
      <c r="B167" s="4"/>
      <c r="C167" s="3"/>
      <c r="D167" s="4"/>
      <c r="E167" s="4"/>
      <c r="F167" s="4"/>
      <c r="G167" s="4"/>
      <c r="H167" s="4"/>
      <c r="I167" s="4"/>
      <c r="J167" s="4"/>
      <c r="K167" s="4"/>
      <c r="L167" s="4"/>
      <c r="M167" s="4"/>
      <c r="N167" s="4"/>
      <c r="O167" s="4"/>
      <c r="P167" s="4"/>
      <c r="Q167" s="4"/>
    </row>
    <row r="168" spans="1:17" ht="12.75" customHeight="1">
      <c r="A168" s="4"/>
      <c r="B168" s="4"/>
      <c r="C168" s="3"/>
      <c r="D168" s="4"/>
      <c r="E168" s="4"/>
      <c r="F168" s="4"/>
      <c r="G168" s="4"/>
      <c r="H168" s="4"/>
      <c r="I168" s="4"/>
      <c r="J168" s="4"/>
      <c r="K168" s="4"/>
      <c r="L168" s="4"/>
      <c r="M168" s="4"/>
      <c r="N168" s="4"/>
      <c r="O168" s="4"/>
      <c r="P168" s="4"/>
      <c r="Q168" s="4"/>
    </row>
    <row r="169" spans="1:17" ht="12.75" customHeight="1">
      <c r="A169" s="4"/>
      <c r="B169" s="4"/>
      <c r="C169" s="3"/>
      <c r="D169" s="4"/>
      <c r="E169" s="4"/>
      <c r="F169" s="4"/>
      <c r="G169" s="4"/>
      <c r="H169" s="4"/>
      <c r="I169" s="4"/>
      <c r="J169" s="4"/>
      <c r="K169" s="4"/>
      <c r="L169" s="4"/>
      <c r="M169" s="4"/>
      <c r="N169" s="4"/>
      <c r="O169" s="4"/>
      <c r="P169" s="4"/>
      <c r="Q169" s="4"/>
    </row>
    <row r="170" spans="1:17" ht="12.75" customHeight="1">
      <c r="A170" s="4"/>
      <c r="B170" s="4"/>
      <c r="C170" s="3"/>
      <c r="D170" s="4"/>
      <c r="E170" s="4"/>
      <c r="F170" s="4"/>
      <c r="G170" s="4"/>
      <c r="H170" s="4"/>
      <c r="I170" s="4"/>
      <c r="J170" s="4"/>
      <c r="K170" s="4"/>
      <c r="L170" s="4"/>
      <c r="M170" s="4"/>
      <c r="N170" s="4"/>
      <c r="O170" s="4"/>
      <c r="P170" s="4"/>
      <c r="Q170" s="4"/>
    </row>
    <row r="171" spans="1:17" ht="12.75" customHeight="1">
      <c r="A171" s="4"/>
      <c r="B171" s="4"/>
      <c r="C171" s="3"/>
      <c r="D171" s="4"/>
      <c r="E171" s="4"/>
      <c r="F171" s="4"/>
      <c r="G171" s="4"/>
      <c r="H171" s="4"/>
      <c r="I171" s="4"/>
      <c r="J171" s="4"/>
      <c r="K171" s="4"/>
      <c r="L171" s="4"/>
      <c r="M171" s="4"/>
      <c r="N171" s="4"/>
      <c r="O171" s="4"/>
      <c r="P171" s="4"/>
      <c r="Q171" s="4"/>
    </row>
    <row r="172" spans="1:17" ht="12.75" customHeight="1">
      <c r="A172" s="4"/>
      <c r="B172" s="4"/>
      <c r="C172" s="3"/>
      <c r="D172" s="4"/>
      <c r="E172" s="4"/>
      <c r="F172" s="4"/>
      <c r="G172" s="4"/>
      <c r="H172" s="4"/>
      <c r="I172" s="4"/>
      <c r="J172" s="4"/>
      <c r="K172" s="4"/>
      <c r="L172" s="4"/>
      <c r="M172" s="4"/>
      <c r="N172" s="4"/>
      <c r="O172" s="4"/>
      <c r="P172" s="4"/>
      <c r="Q172" s="4"/>
    </row>
    <row r="173" spans="1:17" ht="12.75" customHeight="1">
      <c r="A173" s="4"/>
      <c r="B173" s="4"/>
      <c r="C173" s="3"/>
      <c r="D173" s="4"/>
      <c r="E173" s="4"/>
      <c r="F173" s="4"/>
      <c r="G173" s="4"/>
      <c r="H173" s="4"/>
      <c r="I173" s="4"/>
      <c r="J173" s="4"/>
      <c r="K173" s="4"/>
      <c r="L173" s="4"/>
      <c r="M173" s="4"/>
      <c r="N173" s="4"/>
      <c r="O173" s="4"/>
      <c r="P173" s="4"/>
      <c r="Q173" s="4"/>
    </row>
    <row r="174" spans="1:17" ht="12.75" customHeight="1">
      <c r="A174" s="4"/>
      <c r="B174" s="4"/>
      <c r="C174" s="3"/>
      <c r="D174" s="4"/>
      <c r="E174" s="4"/>
      <c r="F174" s="4"/>
      <c r="G174" s="4"/>
      <c r="H174" s="4"/>
      <c r="I174" s="4"/>
      <c r="J174" s="4"/>
      <c r="K174" s="4"/>
      <c r="L174" s="4"/>
      <c r="M174" s="4"/>
      <c r="N174" s="4"/>
      <c r="O174" s="4"/>
      <c r="P174" s="4"/>
      <c r="Q174" s="4"/>
    </row>
    <row r="175" spans="1:17" ht="12.75" customHeight="1">
      <c r="A175" s="4"/>
      <c r="B175" s="4"/>
      <c r="C175" s="3"/>
      <c r="D175" s="4"/>
      <c r="E175" s="4"/>
      <c r="F175" s="4"/>
      <c r="G175" s="4"/>
      <c r="H175" s="4"/>
      <c r="I175" s="4"/>
      <c r="J175" s="4"/>
      <c r="K175" s="4"/>
      <c r="L175" s="4"/>
      <c r="M175" s="4"/>
      <c r="N175" s="4"/>
      <c r="O175" s="4"/>
      <c r="P175" s="4"/>
      <c r="Q175" s="4"/>
    </row>
    <row r="176" spans="1:17" ht="12.75" customHeight="1">
      <c r="A176" s="4"/>
      <c r="B176" s="4"/>
      <c r="C176" s="3"/>
      <c r="D176" s="4"/>
      <c r="E176" s="4"/>
      <c r="F176" s="4"/>
      <c r="G176" s="4"/>
      <c r="H176" s="4"/>
      <c r="I176" s="4"/>
      <c r="J176" s="4"/>
      <c r="K176" s="4"/>
      <c r="L176" s="4"/>
      <c r="M176" s="4"/>
      <c r="N176" s="4"/>
      <c r="O176" s="4"/>
      <c r="P176" s="4"/>
      <c r="Q176" s="4"/>
    </row>
    <row r="177" spans="1:17" ht="12.75" customHeight="1">
      <c r="A177" s="4"/>
      <c r="B177" s="4"/>
      <c r="C177" s="3"/>
      <c r="D177" s="4"/>
      <c r="E177" s="4"/>
      <c r="F177" s="4"/>
      <c r="G177" s="4"/>
      <c r="H177" s="4"/>
      <c r="I177" s="4"/>
      <c r="J177" s="4"/>
      <c r="K177" s="4"/>
      <c r="L177" s="4"/>
      <c r="M177" s="4"/>
      <c r="N177" s="4"/>
      <c r="O177" s="4"/>
      <c r="P177" s="4"/>
      <c r="Q177" s="4"/>
    </row>
    <row r="178" spans="1:17" ht="12.75" customHeight="1">
      <c r="A178" s="4"/>
      <c r="B178" s="4"/>
      <c r="C178" s="3"/>
      <c r="D178" s="4"/>
      <c r="E178" s="4"/>
      <c r="F178" s="4"/>
      <c r="G178" s="4"/>
      <c r="H178" s="4"/>
      <c r="I178" s="4"/>
      <c r="J178" s="4"/>
      <c r="K178" s="4"/>
      <c r="L178" s="4"/>
      <c r="M178" s="4"/>
      <c r="N178" s="4"/>
      <c r="O178" s="4"/>
      <c r="P178" s="4"/>
      <c r="Q178" s="4"/>
    </row>
    <row r="179" spans="1:17" ht="12.75" customHeight="1">
      <c r="A179" s="4"/>
      <c r="B179" s="4"/>
      <c r="C179" s="3"/>
      <c r="D179" s="4"/>
      <c r="E179" s="4"/>
      <c r="F179" s="4"/>
      <c r="G179" s="4"/>
      <c r="H179" s="4"/>
      <c r="I179" s="4"/>
      <c r="J179" s="4"/>
      <c r="K179" s="4"/>
      <c r="L179" s="4"/>
      <c r="M179" s="4"/>
      <c r="N179" s="4"/>
      <c r="O179" s="4"/>
      <c r="P179" s="4"/>
      <c r="Q179" s="4"/>
    </row>
    <row r="180" spans="1:17" ht="12.75" customHeight="1">
      <c r="A180" s="4"/>
      <c r="B180" s="4"/>
      <c r="C180" s="3"/>
      <c r="D180" s="4"/>
      <c r="E180" s="4"/>
      <c r="F180" s="4"/>
      <c r="G180" s="4"/>
      <c r="H180" s="4"/>
      <c r="I180" s="4"/>
      <c r="J180" s="4"/>
      <c r="K180" s="4"/>
      <c r="L180" s="4"/>
      <c r="M180" s="4"/>
      <c r="N180" s="4"/>
      <c r="O180" s="4"/>
      <c r="P180" s="4"/>
      <c r="Q180" s="4"/>
    </row>
    <row r="181" spans="1:17" ht="12.75" customHeight="1">
      <c r="A181" s="4"/>
      <c r="B181" s="4"/>
      <c r="C181" s="3"/>
      <c r="D181" s="4"/>
      <c r="E181" s="4"/>
      <c r="F181" s="4"/>
      <c r="G181" s="4"/>
      <c r="H181" s="4"/>
      <c r="I181" s="4"/>
      <c r="J181" s="4"/>
      <c r="K181" s="4"/>
      <c r="L181" s="4"/>
      <c r="M181" s="4"/>
      <c r="N181" s="4"/>
      <c r="O181" s="4"/>
      <c r="P181" s="4"/>
      <c r="Q181" s="4"/>
    </row>
    <row r="182" spans="1:17" ht="12.75" customHeight="1">
      <c r="A182" s="4"/>
      <c r="B182" s="4"/>
      <c r="C182" s="3"/>
      <c r="D182" s="4"/>
      <c r="E182" s="4"/>
      <c r="F182" s="4"/>
      <c r="G182" s="4"/>
      <c r="H182" s="4"/>
      <c r="I182" s="4"/>
      <c r="J182" s="4"/>
      <c r="K182" s="4"/>
      <c r="L182" s="4"/>
      <c r="M182" s="4"/>
      <c r="N182" s="4"/>
      <c r="O182" s="4"/>
      <c r="P182" s="4"/>
      <c r="Q182" s="4"/>
    </row>
    <row r="183" spans="1:17" ht="12.75" customHeight="1">
      <c r="A183" s="4"/>
      <c r="B183" s="4"/>
      <c r="C183" s="3"/>
      <c r="D183" s="4"/>
      <c r="E183" s="4"/>
      <c r="F183" s="4"/>
      <c r="G183" s="4"/>
      <c r="H183" s="4"/>
      <c r="I183" s="4"/>
      <c r="J183" s="4"/>
      <c r="K183" s="4"/>
      <c r="L183" s="4"/>
      <c r="M183" s="4"/>
      <c r="N183" s="4"/>
      <c r="O183" s="4"/>
      <c r="P183" s="4"/>
      <c r="Q183" s="4"/>
    </row>
    <row r="184" spans="1:17" ht="12.75" customHeight="1">
      <c r="A184" s="4"/>
      <c r="B184" s="4"/>
      <c r="C184" s="3"/>
      <c r="D184" s="4"/>
      <c r="E184" s="4"/>
      <c r="F184" s="4"/>
      <c r="G184" s="4"/>
      <c r="H184" s="4"/>
      <c r="I184" s="4"/>
      <c r="J184" s="4"/>
      <c r="K184" s="4"/>
      <c r="L184" s="4"/>
      <c r="M184" s="4"/>
      <c r="N184" s="4"/>
      <c r="O184" s="4"/>
      <c r="P184" s="4"/>
      <c r="Q184" s="4"/>
    </row>
    <row r="185" spans="1:17" ht="12.75" customHeight="1">
      <c r="A185" s="4"/>
      <c r="B185" s="4"/>
      <c r="C185" s="3"/>
      <c r="D185" s="4"/>
      <c r="E185" s="4"/>
      <c r="F185" s="4"/>
      <c r="G185" s="4"/>
      <c r="H185" s="4"/>
      <c r="I185" s="4"/>
      <c r="J185" s="4"/>
      <c r="K185" s="4"/>
      <c r="L185" s="4"/>
      <c r="M185" s="4"/>
      <c r="N185" s="4"/>
      <c r="O185" s="4"/>
      <c r="P185" s="4"/>
      <c r="Q185" s="4"/>
    </row>
    <row r="186" spans="1:17" ht="12.75" customHeight="1">
      <c r="A186" s="4"/>
      <c r="B186" s="4"/>
      <c r="C186" s="3"/>
      <c r="D186" s="4"/>
      <c r="E186" s="4"/>
      <c r="F186" s="4"/>
      <c r="G186" s="4"/>
      <c r="H186" s="4"/>
      <c r="I186" s="4"/>
      <c r="J186" s="4"/>
      <c r="K186" s="4"/>
      <c r="L186" s="4"/>
      <c r="M186" s="4"/>
      <c r="N186" s="4"/>
      <c r="O186" s="4"/>
      <c r="P186" s="4"/>
      <c r="Q186" s="4"/>
    </row>
    <row r="187" spans="1:17" ht="12.75" customHeight="1">
      <c r="A187" s="4"/>
      <c r="B187" s="4"/>
      <c r="C187" s="3"/>
      <c r="D187" s="4"/>
      <c r="E187" s="4"/>
      <c r="F187" s="4"/>
      <c r="G187" s="4"/>
      <c r="H187" s="4"/>
      <c r="I187" s="4"/>
      <c r="J187" s="4"/>
      <c r="K187" s="4"/>
      <c r="L187" s="4"/>
      <c r="M187" s="4"/>
      <c r="N187" s="4"/>
      <c r="O187" s="4"/>
      <c r="P187" s="4"/>
      <c r="Q187" s="4"/>
    </row>
    <row r="188" spans="1:17" ht="12.75" customHeight="1">
      <c r="A188" s="4"/>
      <c r="B188" s="4"/>
      <c r="C188" s="3"/>
      <c r="D188" s="4"/>
      <c r="E188" s="4"/>
      <c r="F188" s="4"/>
      <c r="G188" s="4"/>
      <c r="H188" s="4"/>
      <c r="I188" s="4"/>
      <c r="J188" s="4"/>
      <c r="K188" s="4"/>
      <c r="L188" s="4"/>
      <c r="M188" s="4"/>
      <c r="N188" s="4"/>
      <c r="O188" s="4"/>
      <c r="P188" s="4"/>
      <c r="Q188" s="4"/>
    </row>
    <row r="189" spans="1:17" ht="12.75" customHeight="1">
      <c r="A189" s="4"/>
      <c r="B189" s="4"/>
      <c r="C189" s="3"/>
      <c r="D189" s="4"/>
      <c r="E189" s="4"/>
      <c r="F189" s="4"/>
      <c r="G189" s="4"/>
      <c r="H189" s="4"/>
      <c r="I189" s="4"/>
      <c r="J189" s="4"/>
      <c r="K189" s="4"/>
      <c r="L189" s="4"/>
      <c r="M189" s="4"/>
      <c r="N189" s="4"/>
      <c r="O189" s="4"/>
      <c r="P189" s="4"/>
      <c r="Q189" s="4"/>
    </row>
    <row r="190" spans="1:17" ht="12.75" customHeight="1">
      <c r="A190" s="4"/>
      <c r="B190" s="4"/>
      <c r="C190" s="3"/>
      <c r="D190" s="4"/>
      <c r="E190" s="4"/>
      <c r="F190" s="4"/>
      <c r="G190" s="4"/>
      <c r="H190" s="4"/>
      <c r="I190" s="4"/>
      <c r="J190" s="4"/>
      <c r="K190" s="4"/>
      <c r="L190" s="4"/>
      <c r="M190" s="4"/>
      <c r="N190" s="4"/>
      <c r="O190" s="4"/>
      <c r="P190" s="4"/>
      <c r="Q190" s="4"/>
    </row>
    <row r="191" spans="1:17" ht="12.75" customHeight="1">
      <c r="A191" s="4"/>
      <c r="B191" s="4"/>
      <c r="C191" s="3"/>
      <c r="D191" s="4"/>
      <c r="E191" s="4"/>
      <c r="F191" s="4"/>
      <c r="G191" s="4"/>
      <c r="H191" s="4"/>
      <c r="I191" s="4"/>
      <c r="J191" s="4"/>
      <c r="K191" s="4"/>
      <c r="L191" s="4"/>
      <c r="M191" s="4"/>
      <c r="N191" s="4"/>
      <c r="O191" s="4"/>
      <c r="P191" s="4"/>
      <c r="Q191" s="4"/>
    </row>
    <row r="192" spans="1:17" ht="12.75" customHeight="1">
      <c r="A192" s="4"/>
      <c r="B192" s="4"/>
      <c r="C192" s="3"/>
      <c r="D192" s="4"/>
      <c r="E192" s="4"/>
      <c r="F192" s="4"/>
      <c r="G192" s="4"/>
      <c r="H192" s="4"/>
      <c r="I192" s="4"/>
      <c r="J192" s="4"/>
      <c r="K192" s="4"/>
      <c r="L192" s="4"/>
      <c r="M192" s="4"/>
      <c r="N192" s="4"/>
      <c r="O192" s="4"/>
      <c r="P192" s="4"/>
      <c r="Q192" s="4"/>
    </row>
    <row r="193" spans="1:17" ht="12.75" customHeight="1">
      <c r="A193" s="4"/>
      <c r="B193" s="4"/>
      <c r="C193" s="3"/>
      <c r="D193" s="4"/>
      <c r="E193" s="4"/>
      <c r="F193" s="4"/>
      <c r="G193" s="4"/>
      <c r="H193" s="4"/>
      <c r="I193" s="4"/>
      <c r="J193" s="4"/>
      <c r="K193" s="4"/>
      <c r="L193" s="4"/>
      <c r="M193" s="4"/>
      <c r="N193" s="4"/>
      <c r="O193" s="4"/>
      <c r="P193" s="4"/>
      <c r="Q193" s="4"/>
    </row>
    <row r="194" spans="1:17" ht="12.75" customHeight="1">
      <c r="A194" s="4"/>
      <c r="B194" s="4"/>
      <c r="C194" s="3"/>
      <c r="D194" s="4"/>
      <c r="E194" s="4"/>
      <c r="F194" s="4"/>
      <c r="G194" s="4"/>
      <c r="H194" s="4"/>
      <c r="I194" s="4"/>
      <c r="J194" s="4"/>
      <c r="K194" s="4"/>
      <c r="L194" s="4"/>
      <c r="M194" s="4"/>
      <c r="N194" s="4"/>
      <c r="O194" s="4"/>
      <c r="P194" s="4"/>
      <c r="Q194" s="4"/>
    </row>
    <row r="195" spans="1:17" ht="12.75" customHeight="1">
      <c r="A195" s="4"/>
      <c r="B195" s="4"/>
      <c r="C195" s="3"/>
      <c r="D195" s="4"/>
      <c r="E195" s="4"/>
      <c r="F195" s="4"/>
      <c r="G195" s="4"/>
      <c r="H195" s="4"/>
      <c r="I195" s="4"/>
      <c r="J195" s="4"/>
      <c r="K195" s="4"/>
      <c r="L195" s="4"/>
      <c r="M195" s="4"/>
      <c r="N195" s="4"/>
      <c r="O195" s="4"/>
      <c r="P195" s="4"/>
      <c r="Q195" s="4"/>
    </row>
    <row r="196" spans="1:17" ht="12.75" customHeight="1">
      <c r="A196" s="4"/>
      <c r="B196" s="4"/>
      <c r="C196" s="3"/>
      <c r="D196" s="4"/>
      <c r="E196" s="4"/>
      <c r="F196" s="4"/>
      <c r="G196" s="4"/>
      <c r="H196" s="4"/>
      <c r="I196" s="4"/>
      <c r="J196" s="4"/>
      <c r="K196" s="4"/>
      <c r="L196" s="4"/>
      <c r="M196" s="4"/>
      <c r="N196" s="4"/>
      <c r="O196" s="4"/>
      <c r="P196" s="4"/>
      <c r="Q196" s="4"/>
    </row>
    <row r="197" spans="1:17" ht="12.75" customHeight="1">
      <c r="A197" s="4"/>
      <c r="B197" s="4"/>
      <c r="C197" s="3"/>
      <c r="D197" s="4"/>
      <c r="E197" s="4"/>
      <c r="F197" s="4"/>
      <c r="G197" s="4"/>
      <c r="H197" s="4"/>
      <c r="I197" s="4"/>
      <c r="J197" s="4"/>
      <c r="K197" s="4"/>
      <c r="L197" s="4"/>
      <c r="M197" s="4"/>
      <c r="N197" s="4"/>
      <c r="O197" s="4"/>
      <c r="P197" s="4"/>
      <c r="Q197" s="4"/>
    </row>
    <row r="198" spans="1:17" ht="12.75" customHeight="1">
      <c r="A198" s="4"/>
      <c r="B198" s="4"/>
      <c r="C198" s="3"/>
      <c r="D198" s="4"/>
      <c r="E198" s="4"/>
      <c r="F198" s="4"/>
      <c r="G198" s="4"/>
      <c r="H198" s="4"/>
      <c r="I198" s="4"/>
      <c r="J198" s="4"/>
      <c r="K198" s="4"/>
      <c r="L198" s="4"/>
      <c r="M198" s="4"/>
      <c r="N198" s="4"/>
      <c r="O198" s="4"/>
      <c r="P198" s="4"/>
      <c r="Q198" s="4"/>
    </row>
    <row r="199" spans="1:17" ht="12.75" customHeight="1">
      <c r="A199" s="4"/>
      <c r="B199" s="4"/>
      <c r="C199" s="3"/>
      <c r="D199" s="4"/>
      <c r="E199" s="4"/>
      <c r="F199" s="4"/>
      <c r="G199" s="4"/>
      <c r="H199" s="4"/>
      <c r="I199" s="4"/>
      <c r="J199" s="4"/>
      <c r="K199" s="4"/>
      <c r="L199" s="4"/>
      <c r="M199" s="4"/>
      <c r="N199" s="4"/>
      <c r="O199" s="4"/>
      <c r="P199" s="4"/>
      <c r="Q199" s="4"/>
    </row>
    <row r="200" spans="1:17" ht="12.75" customHeight="1">
      <c r="A200" s="4"/>
      <c r="B200" s="4"/>
      <c r="C200" s="3"/>
      <c r="D200" s="4"/>
      <c r="E200" s="4"/>
      <c r="F200" s="4"/>
      <c r="G200" s="4"/>
      <c r="H200" s="4"/>
      <c r="I200" s="4"/>
      <c r="J200" s="4"/>
      <c r="K200" s="4"/>
      <c r="L200" s="4"/>
      <c r="M200" s="4"/>
      <c r="N200" s="4"/>
      <c r="O200" s="4"/>
      <c r="P200" s="4"/>
      <c r="Q200" s="4"/>
    </row>
    <row r="201" spans="1:17" ht="12.75" customHeight="1">
      <c r="A201" s="4"/>
      <c r="B201" s="4"/>
      <c r="C201" s="3"/>
      <c r="D201" s="4"/>
      <c r="E201" s="4"/>
      <c r="F201" s="4"/>
      <c r="G201" s="4"/>
      <c r="H201" s="4"/>
      <c r="I201" s="4"/>
      <c r="J201" s="4"/>
      <c r="K201" s="4"/>
      <c r="L201" s="4"/>
      <c r="M201" s="4"/>
      <c r="N201" s="4"/>
      <c r="O201" s="4"/>
      <c r="P201" s="4"/>
      <c r="Q201" s="4"/>
    </row>
    <row r="202" spans="1:17" ht="12.75" customHeight="1">
      <c r="A202" s="4"/>
      <c r="B202" s="4"/>
      <c r="C202" s="3"/>
      <c r="D202" s="4"/>
      <c r="E202" s="4"/>
      <c r="F202" s="4"/>
      <c r="G202" s="4"/>
      <c r="H202" s="4"/>
      <c r="I202" s="4"/>
      <c r="J202" s="4"/>
      <c r="K202" s="4"/>
      <c r="L202" s="4"/>
      <c r="M202" s="4"/>
      <c r="N202" s="4"/>
      <c r="O202" s="4"/>
      <c r="P202" s="4"/>
      <c r="Q202" s="4"/>
    </row>
    <row r="203" spans="1:17" ht="12.75" customHeight="1">
      <c r="A203" s="4"/>
      <c r="B203" s="4"/>
      <c r="C203" s="3"/>
      <c r="D203" s="4"/>
      <c r="E203" s="4"/>
      <c r="F203" s="4"/>
      <c r="G203" s="4"/>
      <c r="H203" s="4"/>
      <c r="I203" s="4"/>
      <c r="J203" s="4"/>
      <c r="K203" s="4"/>
      <c r="L203" s="4"/>
      <c r="M203" s="4"/>
      <c r="N203" s="4"/>
      <c r="O203" s="4"/>
      <c r="P203" s="4"/>
      <c r="Q203" s="4"/>
    </row>
    <row r="204" spans="1:17" ht="12.75" customHeight="1">
      <c r="A204" s="4"/>
      <c r="B204" s="4"/>
      <c r="C204" s="3"/>
      <c r="D204" s="4"/>
      <c r="E204" s="4"/>
      <c r="F204" s="4"/>
      <c r="G204" s="4"/>
      <c r="H204" s="4"/>
      <c r="I204" s="4"/>
      <c r="J204" s="4"/>
      <c r="K204" s="4"/>
      <c r="L204" s="4"/>
      <c r="M204" s="4"/>
      <c r="N204" s="4"/>
      <c r="O204" s="4"/>
      <c r="P204" s="4"/>
      <c r="Q204" s="4"/>
    </row>
    <row r="205" spans="1:17" ht="12.75" customHeight="1">
      <c r="A205" s="4"/>
      <c r="B205" s="4"/>
      <c r="C205" s="3"/>
      <c r="D205" s="4"/>
      <c r="E205" s="4"/>
      <c r="F205" s="4"/>
      <c r="G205" s="4"/>
      <c r="H205" s="4"/>
      <c r="I205" s="4"/>
      <c r="J205" s="4"/>
      <c r="K205" s="4"/>
      <c r="L205" s="4"/>
      <c r="M205" s="4"/>
      <c r="N205" s="4"/>
      <c r="O205" s="4"/>
      <c r="P205" s="4"/>
      <c r="Q205" s="4"/>
    </row>
    <row r="206" spans="1:17" ht="12.75" customHeight="1">
      <c r="A206" s="4"/>
      <c r="B206" s="4"/>
      <c r="C206" s="3"/>
      <c r="D206" s="4"/>
      <c r="E206" s="4"/>
      <c r="F206" s="4"/>
      <c r="G206" s="4"/>
      <c r="H206" s="4"/>
      <c r="I206" s="4"/>
      <c r="J206" s="4"/>
      <c r="K206" s="4"/>
      <c r="L206" s="4"/>
      <c r="M206" s="4"/>
      <c r="N206" s="4"/>
      <c r="O206" s="4"/>
      <c r="P206" s="4"/>
      <c r="Q206" s="4"/>
    </row>
    <row r="207" spans="1:17" ht="12.75" customHeight="1">
      <c r="A207" s="4"/>
      <c r="B207" s="4"/>
      <c r="C207" s="3"/>
      <c r="D207" s="4"/>
      <c r="E207" s="4"/>
      <c r="F207" s="4"/>
      <c r="G207" s="4"/>
      <c r="H207" s="4"/>
      <c r="I207" s="4"/>
      <c r="J207" s="4"/>
      <c r="K207" s="4"/>
      <c r="L207" s="4"/>
      <c r="M207" s="4"/>
      <c r="N207" s="4"/>
      <c r="O207" s="4"/>
      <c r="P207" s="4"/>
      <c r="Q207" s="4"/>
    </row>
    <row r="208" spans="1:17" ht="12.75" customHeight="1">
      <c r="A208" s="4"/>
      <c r="B208" s="4"/>
      <c r="C208" s="3"/>
      <c r="D208" s="4"/>
      <c r="E208" s="4"/>
      <c r="F208" s="4"/>
      <c r="G208" s="4"/>
      <c r="H208" s="4"/>
      <c r="I208" s="4"/>
      <c r="J208" s="4"/>
      <c r="K208" s="4"/>
      <c r="L208" s="4"/>
      <c r="M208" s="4"/>
      <c r="N208" s="4"/>
      <c r="O208" s="4"/>
      <c r="P208" s="4"/>
      <c r="Q208" s="4"/>
    </row>
    <row r="209" spans="1:17" ht="12.75" customHeight="1">
      <c r="A209" s="4"/>
      <c r="B209" s="4"/>
      <c r="C209" s="3"/>
      <c r="D209" s="4"/>
      <c r="E209" s="4"/>
      <c r="F209" s="4"/>
      <c r="G209" s="4"/>
      <c r="H209" s="4"/>
      <c r="I209" s="4"/>
      <c r="J209" s="4"/>
      <c r="K209" s="4"/>
      <c r="L209" s="4"/>
      <c r="M209" s="4"/>
      <c r="N209" s="4"/>
      <c r="O209" s="4"/>
      <c r="P209" s="4"/>
      <c r="Q209" s="4"/>
    </row>
    <row r="210" spans="1:17" ht="12.75" customHeight="1">
      <c r="A210" s="4"/>
      <c r="B210" s="4"/>
      <c r="C210" s="3"/>
      <c r="D210" s="4"/>
      <c r="E210" s="4"/>
      <c r="F210" s="4"/>
      <c r="G210" s="4"/>
      <c r="H210" s="4"/>
      <c r="I210" s="4"/>
      <c r="J210" s="4"/>
      <c r="K210" s="4"/>
      <c r="L210" s="4"/>
      <c r="M210" s="4"/>
      <c r="N210" s="4"/>
      <c r="O210" s="4"/>
      <c r="P210" s="4"/>
      <c r="Q210" s="4"/>
    </row>
    <row r="211" spans="1:17" ht="12.75" customHeight="1">
      <c r="A211" s="4"/>
      <c r="B211" s="4"/>
      <c r="C211" s="3"/>
      <c r="D211" s="4"/>
      <c r="E211" s="4"/>
      <c r="F211" s="4"/>
      <c r="G211" s="4"/>
      <c r="H211" s="4"/>
      <c r="I211" s="4"/>
      <c r="J211" s="4"/>
      <c r="K211" s="4"/>
      <c r="L211" s="4"/>
      <c r="M211" s="4"/>
      <c r="N211" s="4"/>
      <c r="O211" s="4"/>
      <c r="P211" s="4"/>
      <c r="Q211" s="4"/>
    </row>
    <row r="212" spans="1:17" ht="12.75" customHeight="1">
      <c r="A212" s="4"/>
      <c r="B212" s="4"/>
      <c r="C212" s="3"/>
      <c r="D212" s="4"/>
      <c r="E212" s="4"/>
      <c r="F212" s="4"/>
      <c r="G212" s="4"/>
      <c r="H212" s="4"/>
      <c r="I212" s="4"/>
      <c r="J212" s="4"/>
      <c r="K212" s="4"/>
      <c r="L212" s="4"/>
      <c r="M212" s="4"/>
      <c r="N212" s="4"/>
      <c r="O212" s="4"/>
      <c r="P212" s="4"/>
      <c r="Q212" s="4"/>
    </row>
    <row r="213" spans="1:17" ht="12.75" customHeight="1">
      <c r="A213" s="4"/>
      <c r="B213" s="4"/>
      <c r="C213" s="3"/>
      <c r="D213" s="4"/>
      <c r="E213" s="4"/>
      <c r="F213" s="4"/>
      <c r="G213" s="4"/>
      <c r="H213" s="4"/>
      <c r="I213" s="4"/>
      <c r="J213" s="4"/>
      <c r="K213" s="4"/>
      <c r="L213" s="4"/>
      <c r="M213" s="4"/>
      <c r="N213" s="4"/>
      <c r="O213" s="4"/>
      <c r="P213" s="4"/>
      <c r="Q213" s="4"/>
    </row>
    <row r="214" spans="1:17" ht="12.75" customHeight="1">
      <c r="A214" s="4"/>
      <c r="B214" s="4"/>
      <c r="C214" s="3"/>
      <c r="D214" s="4"/>
      <c r="E214" s="4"/>
      <c r="F214" s="4"/>
      <c r="G214" s="4"/>
      <c r="H214" s="4"/>
      <c r="I214" s="4"/>
      <c r="J214" s="4"/>
      <c r="K214" s="4"/>
      <c r="L214" s="4"/>
      <c r="M214" s="4"/>
      <c r="N214" s="4"/>
      <c r="O214" s="4"/>
      <c r="P214" s="4"/>
      <c r="Q214" s="4"/>
    </row>
    <row r="215" spans="1:17" ht="12.75" customHeight="1">
      <c r="A215" s="4"/>
      <c r="B215" s="4"/>
      <c r="C215" s="3"/>
      <c r="D215" s="4"/>
      <c r="E215" s="4"/>
      <c r="F215" s="4"/>
      <c r="G215" s="4"/>
      <c r="H215" s="4"/>
      <c r="I215" s="4"/>
      <c r="J215" s="4"/>
      <c r="K215" s="4"/>
      <c r="L215" s="4"/>
      <c r="M215" s="4"/>
      <c r="N215" s="4"/>
      <c r="O215" s="4"/>
      <c r="P215" s="4"/>
      <c r="Q215" s="4"/>
    </row>
    <row r="216" spans="1:17" ht="12.75" customHeight="1">
      <c r="A216" s="4"/>
      <c r="B216" s="4"/>
      <c r="C216" s="3"/>
      <c r="D216" s="4"/>
      <c r="E216" s="4"/>
      <c r="F216" s="4"/>
      <c r="G216" s="4"/>
      <c r="H216" s="4"/>
      <c r="I216" s="4"/>
      <c r="J216" s="4"/>
      <c r="K216" s="4"/>
      <c r="L216" s="4"/>
      <c r="M216" s="4"/>
      <c r="N216" s="4"/>
      <c r="O216" s="4"/>
      <c r="P216" s="4"/>
      <c r="Q216" s="4"/>
    </row>
    <row r="217" spans="1:17" ht="12.75" customHeight="1">
      <c r="A217" s="4"/>
      <c r="B217" s="4"/>
      <c r="C217" s="3"/>
      <c r="D217" s="4"/>
      <c r="E217" s="4"/>
      <c r="F217" s="4"/>
      <c r="G217" s="4"/>
      <c r="H217" s="4"/>
      <c r="I217" s="4"/>
      <c r="J217" s="4"/>
      <c r="K217" s="4"/>
      <c r="L217" s="4"/>
      <c r="M217" s="4"/>
      <c r="N217" s="4"/>
      <c r="O217" s="4"/>
      <c r="P217" s="4"/>
      <c r="Q217" s="4"/>
    </row>
    <row r="218" spans="1:17" ht="12.75" customHeight="1">
      <c r="A218" s="4"/>
      <c r="B218" s="4"/>
      <c r="C218" s="3"/>
      <c r="D218" s="4"/>
      <c r="E218" s="4"/>
      <c r="F218" s="4"/>
      <c r="G218" s="4"/>
      <c r="H218" s="4"/>
      <c r="I218" s="4"/>
      <c r="J218" s="4"/>
      <c r="K218" s="4"/>
      <c r="L218" s="4"/>
      <c r="M218" s="4"/>
      <c r="N218" s="4"/>
      <c r="O218" s="4"/>
      <c r="P218" s="4"/>
      <c r="Q218" s="4"/>
    </row>
    <row r="219" spans="1:17" ht="12.75" customHeight="1">
      <c r="A219" s="4"/>
      <c r="B219" s="4"/>
      <c r="C219" s="3"/>
      <c r="D219" s="4"/>
      <c r="E219" s="4"/>
      <c r="F219" s="4"/>
      <c r="G219" s="4"/>
      <c r="H219" s="4"/>
      <c r="I219" s="4"/>
      <c r="J219" s="4"/>
      <c r="K219" s="4"/>
      <c r="L219" s="4"/>
      <c r="M219" s="4"/>
      <c r="N219" s="4"/>
      <c r="O219" s="4"/>
      <c r="P219" s="4"/>
      <c r="Q219" s="4"/>
    </row>
    <row r="220" spans="1:17" ht="12.75" customHeight="1">
      <c r="A220" s="4"/>
      <c r="B220" s="4"/>
      <c r="C220" s="3"/>
      <c r="D220" s="4"/>
      <c r="E220" s="4"/>
      <c r="F220" s="4"/>
      <c r="G220" s="4"/>
      <c r="H220" s="4"/>
      <c r="I220" s="4"/>
      <c r="J220" s="4"/>
      <c r="K220" s="4"/>
      <c r="L220" s="4"/>
      <c r="M220" s="4"/>
      <c r="N220" s="4"/>
      <c r="O220" s="4"/>
      <c r="P220" s="4"/>
      <c r="Q220" s="4"/>
    </row>
    <row r="221" spans="1:17" ht="12.75" customHeight="1">
      <c r="A221" s="4"/>
      <c r="B221" s="4"/>
      <c r="C221" s="3"/>
      <c r="D221" s="4"/>
      <c r="E221" s="4"/>
      <c r="F221" s="4"/>
      <c r="G221" s="4"/>
      <c r="H221" s="4"/>
      <c r="I221" s="4"/>
      <c r="J221" s="4"/>
      <c r="K221" s="4"/>
      <c r="L221" s="4"/>
      <c r="M221" s="4"/>
      <c r="N221" s="4"/>
      <c r="O221" s="4"/>
      <c r="P221" s="4"/>
      <c r="Q221" s="4"/>
    </row>
    <row r="222" spans="1:17" ht="12.75" customHeight="1">
      <c r="A222" s="4"/>
      <c r="B222" s="4"/>
      <c r="C222" s="3"/>
      <c r="D222" s="4"/>
      <c r="E222" s="4"/>
      <c r="F222" s="4"/>
      <c r="G222" s="4"/>
      <c r="H222" s="4"/>
      <c r="I222" s="4"/>
      <c r="J222" s="4"/>
      <c r="K222" s="4"/>
      <c r="L222" s="4"/>
      <c r="M222" s="4"/>
      <c r="N222" s="4"/>
      <c r="O222" s="4"/>
      <c r="P222" s="4"/>
      <c r="Q222" s="4"/>
    </row>
    <row r="223" spans="1:17" ht="12.75" customHeight="1">
      <c r="A223" s="4"/>
      <c r="B223" s="4"/>
      <c r="C223" s="3"/>
      <c r="D223" s="4"/>
      <c r="E223" s="4"/>
      <c r="F223" s="4"/>
      <c r="G223" s="4"/>
      <c r="H223" s="4"/>
      <c r="I223" s="4"/>
      <c r="J223" s="4"/>
      <c r="K223" s="4"/>
      <c r="L223" s="4"/>
      <c r="M223" s="4"/>
      <c r="N223" s="4"/>
      <c r="O223" s="4"/>
      <c r="P223" s="4"/>
      <c r="Q223" s="4"/>
    </row>
    <row r="224" spans="1:17" ht="12.75" customHeight="1">
      <c r="A224" s="4"/>
      <c r="B224" s="4"/>
      <c r="C224" s="3"/>
      <c r="D224" s="4"/>
      <c r="E224" s="4"/>
      <c r="F224" s="4"/>
      <c r="G224" s="4"/>
      <c r="H224" s="4"/>
      <c r="I224" s="4"/>
      <c r="J224" s="4"/>
      <c r="K224" s="4"/>
      <c r="L224" s="4"/>
      <c r="M224" s="4"/>
      <c r="N224" s="4"/>
      <c r="O224" s="4"/>
      <c r="P224" s="4"/>
      <c r="Q224" s="4"/>
    </row>
    <row r="225" spans="1:17" ht="12.75" customHeight="1">
      <c r="A225" s="4"/>
      <c r="B225" s="4"/>
      <c r="C225" s="3"/>
      <c r="D225" s="4"/>
      <c r="E225" s="4"/>
      <c r="F225" s="4"/>
      <c r="G225" s="4"/>
      <c r="H225" s="4"/>
      <c r="I225" s="4"/>
      <c r="J225" s="4"/>
      <c r="K225" s="4"/>
      <c r="L225" s="4"/>
      <c r="M225" s="4"/>
      <c r="N225" s="4"/>
      <c r="O225" s="4"/>
      <c r="P225" s="4"/>
      <c r="Q225" s="4"/>
    </row>
    <row r="226" spans="1:17" ht="12.75" customHeight="1">
      <c r="A226" s="4"/>
      <c r="B226" s="4"/>
      <c r="C226" s="3"/>
      <c r="D226" s="4"/>
      <c r="E226" s="4"/>
      <c r="F226" s="4"/>
      <c r="G226" s="4"/>
      <c r="H226" s="4"/>
      <c r="I226" s="4"/>
      <c r="J226" s="4"/>
      <c r="K226" s="4"/>
      <c r="L226" s="4"/>
      <c r="M226" s="4"/>
      <c r="N226" s="4"/>
      <c r="O226" s="4"/>
      <c r="P226" s="4"/>
      <c r="Q226" s="4"/>
    </row>
    <row r="227" spans="1:17" ht="12.75" customHeight="1">
      <c r="A227" s="4"/>
      <c r="B227" s="4"/>
      <c r="C227" s="3"/>
      <c r="D227" s="4"/>
      <c r="E227" s="4"/>
      <c r="F227" s="4"/>
      <c r="G227" s="4"/>
      <c r="H227" s="4"/>
      <c r="I227" s="4"/>
      <c r="J227" s="4"/>
      <c r="K227" s="4"/>
      <c r="L227" s="4"/>
      <c r="M227" s="4"/>
      <c r="N227" s="4"/>
      <c r="O227" s="4"/>
      <c r="P227" s="4"/>
      <c r="Q227" s="4"/>
    </row>
    <row r="228" spans="1:17" ht="12.75" customHeight="1">
      <c r="A228" s="4"/>
      <c r="B228" s="4"/>
      <c r="C228" s="3"/>
      <c r="D228" s="4"/>
      <c r="E228" s="4"/>
      <c r="F228" s="4"/>
      <c r="G228" s="4"/>
      <c r="H228" s="4"/>
      <c r="I228" s="4"/>
      <c r="J228" s="4"/>
      <c r="K228" s="4"/>
      <c r="L228" s="4"/>
      <c r="M228" s="4"/>
      <c r="N228" s="4"/>
      <c r="O228" s="4"/>
      <c r="P228" s="4"/>
      <c r="Q228" s="4"/>
    </row>
    <row r="229" spans="1:17" ht="12.75" customHeight="1">
      <c r="A229" s="4"/>
      <c r="B229" s="4"/>
      <c r="C229" s="3"/>
      <c r="D229" s="4"/>
      <c r="E229" s="4"/>
      <c r="F229" s="4"/>
      <c r="G229" s="4"/>
      <c r="H229" s="4"/>
      <c r="I229" s="4"/>
      <c r="J229" s="4"/>
      <c r="K229" s="4"/>
      <c r="L229" s="4"/>
      <c r="M229" s="4"/>
      <c r="N229" s="4"/>
      <c r="O229" s="4"/>
      <c r="P229" s="4"/>
      <c r="Q229" s="4"/>
    </row>
    <row r="230" spans="1:17" ht="12.75" customHeight="1">
      <c r="A230" s="4"/>
      <c r="B230" s="4"/>
      <c r="C230" s="3"/>
      <c r="D230" s="4"/>
      <c r="E230" s="4"/>
      <c r="F230" s="4"/>
      <c r="G230" s="4"/>
      <c r="H230" s="4"/>
      <c r="I230" s="4"/>
      <c r="J230" s="4"/>
      <c r="K230" s="4"/>
      <c r="L230" s="4"/>
      <c r="M230" s="4"/>
      <c r="N230" s="4"/>
      <c r="O230" s="4"/>
      <c r="P230" s="4"/>
      <c r="Q230" s="4"/>
    </row>
    <row r="231" spans="1:17" ht="12.75" customHeight="1">
      <c r="A231" s="4"/>
      <c r="B231" s="4"/>
      <c r="C231" s="3"/>
      <c r="D231" s="4"/>
      <c r="E231" s="4"/>
      <c r="F231" s="4"/>
      <c r="G231" s="4"/>
      <c r="H231" s="4"/>
      <c r="I231" s="4"/>
      <c r="J231" s="4"/>
      <c r="K231" s="4"/>
      <c r="L231" s="4"/>
      <c r="M231" s="4"/>
      <c r="N231" s="4"/>
      <c r="O231" s="4"/>
      <c r="P231" s="4"/>
      <c r="Q231" s="4"/>
    </row>
    <row r="232" spans="1:17" ht="12.75" customHeight="1">
      <c r="A232" s="4"/>
      <c r="B232" s="4"/>
      <c r="C232" s="3"/>
      <c r="D232" s="4"/>
      <c r="E232" s="4"/>
      <c r="F232" s="4"/>
      <c r="G232" s="4"/>
      <c r="H232" s="4"/>
      <c r="I232" s="4"/>
      <c r="J232" s="4"/>
      <c r="K232" s="4"/>
      <c r="L232" s="4"/>
      <c r="M232" s="4"/>
      <c r="N232" s="4"/>
      <c r="O232" s="4"/>
      <c r="P232" s="4"/>
      <c r="Q232" s="4"/>
    </row>
    <row r="233" spans="1:17" ht="12.75" customHeight="1">
      <c r="A233" s="4"/>
      <c r="B233" s="4"/>
      <c r="C233" s="3"/>
      <c r="D233" s="4"/>
      <c r="E233" s="4"/>
      <c r="F233" s="4"/>
      <c r="G233" s="4"/>
      <c r="H233" s="4"/>
      <c r="I233" s="4"/>
      <c r="J233" s="4"/>
      <c r="K233" s="4"/>
      <c r="L233" s="4"/>
      <c r="M233" s="4"/>
      <c r="N233" s="4"/>
      <c r="O233" s="4"/>
      <c r="P233" s="4"/>
      <c r="Q233" s="4"/>
    </row>
    <row r="234" spans="1:17" ht="12.75" customHeight="1">
      <c r="A234" s="4"/>
      <c r="B234" s="4"/>
      <c r="C234" s="3"/>
      <c r="D234" s="4"/>
      <c r="E234" s="4"/>
      <c r="F234" s="4"/>
      <c r="G234" s="4"/>
      <c r="H234" s="4"/>
      <c r="I234" s="4"/>
      <c r="J234" s="4"/>
      <c r="K234" s="4"/>
      <c r="L234" s="4"/>
      <c r="M234" s="4"/>
      <c r="N234" s="4"/>
      <c r="O234" s="4"/>
      <c r="P234" s="4"/>
      <c r="Q234" s="4"/>
    </row>
    <row r="235" spans="1:17" ht="12.75" customHeight="1">
      <c r="A235" s="4"/>
      <c r="B235" s="4"/>
      <c r="C235" s="3"/>
      <c r="D235" s="4"/>
      <c r="E235" s="4"/>
      <c r="F235" s="4"/>
      <c r="G235" s="4"/>
      <c r="H235" s="4"/>
      <c r="I235" s="4"/>
      <c r="J235" s="4"/>
      <c r="K235" s="4"/>
      <c r="L235" s="4"/>
      <c r="M235" s="4"/>
      <c r="N235" s="4"/>
      <c r="O235" s="4"/>
      <c r="P235" s="4"/>
      <c r="Q235" s="4"/>
    </row>
    <row r="236" spans="1:17" ht="12.75" customHeight="1">
      <c r="A236" s="4"/>
      <c r="B236" s="4"/>
      <c r="C236" s="3"/>
      <c r="D236" s="4"/>
      <c r="E236" s="4"/>
      <c r="F236" s="4"/>
      <c r="G236" s="4"/>
      <c r="H236" s="4"/>
      <c r="I236" s="4"/>
      <c r="J236" s="4"/>
      <c r="K236" s="4"/>
      <c r="L236" s="4"/>
      <c r="M236" s="4"/>
      <c r="N236" s="4"/>
      <c r="O236" s="4"/>
      <c r="P236" s="4"/>
      <c r="Q236" s="4"/>
    </row>
    <row r="237" spans="1:17" ht="12.75" customHeight="1">
      <c r="A237" s="4"/>
      <c r="B237" s="4"/>
      <c r="C237" s="3"/>
      <c r="D237" s="4"/>
      <c r="E237" s="4"/>
      <c r="F237" s="4"/>
      <c r="G237" s="4"/>
      <c r="H237" s="4"/>
      <c r="I237" s="4"/>
      <c r="J237" s="4"/>
      <c r="K237" s="4"/>
      <c r="L237" s="4"/>
      <c r="M237" s="4"/>
      <c r="N237" s="4"/>
      <c r="O237" s="4"/>
      <c r="P237" s="4"/>
      <c r="Q237" s="4"/>
    </row>
    <row r="238" spans="1:17" ht="12.75" customHeight="1">
      <c r="A238" s="4"/>
      <c r="B238" s="4"/>
      <c r="C238" s="3"/>
      <c r="D238" s="4"/>
      <c r="E238" s="4"/>
      <c r="F238" s="4"/>
      <c r="G238" s="4"/>
      <c r="H238" s="4"/>
      <c r="I238" s="4"/>
      <c r="J238" s="4"/>
      <c r="K238" s="4"/>
      <c r="L238" s="4"/>
      <c r="M238" s="4"/>
      <c r="N238" s="4"/>
      <c r="O238" s="4"/>
      <c r="P238" s="4"/>
      <c r="Q238" s="4"/>
    </row>
    <row r="239" spans="1:17" ht="12.75" customHeight="1">
      <c r="A239" s="4"/>
      <c r="B239" s="4"/>
      <c r="C239" s="3"/>
      <c r="D239" s="4"/>
      <c r="E239" s="4"/>
      <c r="F239" s="4"/>
      <c r="G239" s="4"/>
      <c r="H239" s="4"/>
      <c r="I239" s="4"/>
      <c r="J239" s="4"/>
      <c r="K239" s="4"/>
      <c r="L239" s="4"/>
      <c r="M239" s="4"/>
      <c r="N239" s="4"/>
      <c r="O239" s="4"/>
      <c r="P239" s="4"/>
      <c r="Q239" s="4"/>
    </row>
    <row r="240" spans="1:17" ht="12.75" customHeight="1">
      <c r="A240" s="4"/>
      <c r="B240" s="4"/>
      <c r="C240" s="3"/>
      <c r="D240" s="4"/>
      <c r="E240" s="4"/>
      <c r="F240" s="4"/>
      <c r="G240" s="4"/>
      <c r="H240" s="4"/>
      <c r="I240" s="4"/>
      <c r="J240" s="4"/>
      <c r="K240" s="4"/>
      <c r="L240" s="4"/>
      <c r="M240" s="4"/>
      <c r="N240" s="4"/>
      <c r="O240" s="4"/>
      <c r="P240" s="4"/>
      <c r="Q240" s="4"/>
    </row>
    <row r="241" spans="1:17" ht="12.75" customHeight="1">
      <c r="A241" s="4"/>
      <c r="B241" s="4"/>
      <c r="C241" s="3"/>
      <c r="D241" s="4"/>
      <c r="E241" s="4"/>
      <c r="F241" s="4"/>
      <c r="G241" s="4"/>
      <c r="H241" s="4"/>
      <c r="I241" s="4"/>
      <c r="J241" s="4"/>
      <c r="K241" s="4"/>
      <c r="L241" s="4"/>
      <c r="M241" s="4"/>
      <c r="N241" s="4"/>
      <c r="O241" s="4"/>
      <c r="P241" s="4"/>
      <c r="Q241" s="4"/>
    </row>
    <row r="242" spans="1:17" ht="12.75" customHeight="1">
      <c r="A242" s="4"/>
      <c r="B242" s="4"/>
      <c r="C242" s="3"/>
      <c r="D242" s="4"/>
      <c r="E242" s="4"/>
      <c r="F242" s="4"/>
      <c r="G242" s="4"/>
      <c r="H242" s="4"/>
      <c r="I242" s="4"/>
      <c r="J242" s="4"/>
      <c r="K242" s="4"/>
      <c r="L242" s="4"/>
      <c r="M242" s="4"/>
      <c r="N242" s="4"/>
      <c r="O242" s="4"/>
      <c r="P242" s="4"/>
      <c r="Q242" s="4"/>
    </row>
    <row r="243" spans="1:17" ht="12.75" customHeight="1">
      <c r="A243" s="4"/>
      <c r="B243" s="4"/>
      <c r="C243" s="3"/>
      <c r="D243" s="4"/>
      <c r="E243" s="4"/>
      <c r="F243" s="4"/>
      <c r="G243" s="4"/>
      <c r="H243" s="4"/>
      <c r="I243" s="4"/>
      <c r="J243" s="4"/>
      <c r="K243" s="4"/>
      <c r="L243" s="4"/>
      <c r="M243" s="4"/>
      <c r="N243" s="4"/>
      <c r="O243" s="4"/>
      <c r="P243" s="4"/>
      <c r="Q243" s="4"/>
    </row>
    <row r="244" spans="1:17" ht="12.75" customHeight="1">
      <c r="A244" s="4"/>
      <c r="B244" s="4"/>
      <c r="C244" s="3"/>
      <c r="D244" s="4"/>
      <c r="E244" s="4"/>
      <c r="F244" s="4"/>
      <c r="G244" s="4"/>
      <c r="H244" s="4"/>
      <c r="I244" s="4"/>
      <c r="J244" s="4"/>
      <c r="K244" s="4"/>
      <c r="L244" s="4"/>
      <c r="M244" s="4"/>
      <c r="N244" s="4"/>
      <c r="O244" s="4"/>
      <c r="P244" s="4"/>
      <c r="Q244" s="4"/>
    </row>
    <row r="245" spans="1:17" ht="12.75" customHeight="1">
      <c r="A245" s="4"/>
      <c r="B245" s="4"/>
      <c r="C245" s="3"/>
      <c r="D245" s="4"/>
      <c r="E245" s="4"/>
      <c r="F245" s="4"/>
      <c r="G245" s="4"/>
      <c r="H245" s="4"/>
      <c r="I245" s="4"/>
      <c r="J245" s="4"/>
      <c r="K245" s="4"/>
      <c r="L245" s="4"/>
      <c r="M245" s="4"/>
      <c r="N245" s="4"/>
      <c r="O245" s="4"/>
      <c r="P245" s="4"/>
      <c r="Q245" s="4"/>
    </row>
    <row r="246" spans="1:17" ht="12.75" customHeight="1">
      <c r="A246" s="4"/>
      <c r="B246" s="4"/>
      <c r="C246" s="3"/>
      <c r="D246" s="4"/>
      <c r="E246" s="4"/>
      <c r="F246" s="4"/>
      <c r="G246" s="4"/>
      <c r="H246" s="4"/>
      <c r="I246" s="4"/>
      <c r="J246" s="4"/>
      <c r="K246" s="4"/>
      <c r="L246" s="4"/>
      <c r="M246" s="4"/>
      <c r="N246" s="4"/>
      <c r="O246" s="4"/>
      <c r="P246" s="4"/>
      <c r="Q246" s="4"/>
    </row>
    <row r="247" spans="1:17" ht="12.75" customHeight="1">
      <c r="A247" s="4"/>
      <c r="B247" s="4"/>
      <c r="C247" s="3"/>
      <c r="D247" s="4"/>
      <c r="E247" s="4"/>
      <c r="F247" s="4"/>
      <c r="G247" s="4"/>
      <c r="H247" s="4"/>
      <c r="I247" s="4"/>
      <c r="J247" s="4"/>
      <c r="K247" s="4"/>
      <c r="L247" s="4"/>
      <c r="M247" s="4"/>
      <c r="N247" s="4"/>
      <c r="O247" s="4"/>
      <c r="P247" s="4"/>
      <c r="Q247" s="4"/>
    </row>
    <row r="248" spans="1:17" ht="12.75" customHeight="1">
      <c r="A248" s="4"/>
      <c r="B248" s="4"/>
      <c r="C248" s="3"/>
      <c r="D248" s="4"/>
      <c r="E248" s="4"/>
      <c r="F248" s="4"/>
      <c r="G248" s="4"/>
      <c r="H248" s="4"/>
      <c r="I248" s="4"/>
      <c r="J248" s="4"/>
      <c r="K248" s="4"/>
      <c r="L248" s="4"/>
      <c r="M248" s="4"/>
      <c r="N248" s="4"/>
      <c r="O248" s="4"/>
      <c r="P248" s="4"/>
      <c r="Q248" s="4"/>
    </row>
    <row r="249" spans="1:17" ht="12.75" customHeight="1">
      <c r="A249" s="4"/>
      <c r="B249" s="4"/>
      <c r="C249" s="3"/>
      <c r="D249" s="4"/>
      <c r="E249" s="4"/>
      <c r="F249" s="4"/>
      <c r="G249" s="4"/>
      <c r="H249" s="4"/>
      <c r="I249" s="4"/>
      <c r="J249" s="4"/>
      <c r="K249" s="4"/>
      <c r="L249" s="4"/>
      <c r="M249" s="4"/>
      <c r="N249" s="4"/>
      <c r="O249" s="4"/>
      <c r="P249" s="4"/>
      <c r="Q249" s="4"/>
    </row>
    <row r="250" spans="1:17" ht="12.75" customHeight="1">
      <c r="A250" s="4"/>
      <c r="B250" s="4"/>
      <c r="C250" s="3"/>
      <c r="D250" s="4"/>
      <c r="E250" s="4"/>
      <c r="F250" s="4"/>
      <c r="G250" s="4"/>
      <c r="H250" s="4"/>
      <c r="I250" s="4"/>
      <c r="J250" s="4"/>
      <c r="K250" s="4"/>
      <c r="L250" s="4"/>
      <c r="M250" s="4"/>
      <c r="N250" s="4"/>
      <c r="O250" s="4"/>
      <c r="P250" s="4"/>
      <c r="Q250" s="4"/>
    </row>
    <row r="251" spans="1:17" ht="12.75" customHeight="1">
      <c r="A251" s="4"/>
      <c r="B251" s="4"/>
      <c r="C251" s="3"/>
      <c r="D251" s="4"/>
      <c r="E251" s="4"/>
      <c r="F251" s="4"/>
      <c r="G251" s="4"/>
      <c r="H251" s="4"/>
      <c r="I251" s="4"/>
      <c r="J251" s="4"/>
      <c r="K251" s="4"/>
      <c r="L251" s="4"/>
      <c r="M251" s="4"/>
      <c r="N251" s="4"/>
      <c r="O251" s="4"/>
      <c r="P251" s="4"/>
      <c r="Q251" s="4"/>
    </row>
    <row r="252" spans="1:17" ht="12.75" customHeight="1">
      <c r="A252" s="4"/>
      <c r="B252" s="4"/>
      <c r="C252" s="3"/>
      <c r="D252" s="4"/>
      <c r="E252" s="4"/>
      <c r="F252" s="4"/>
      <c r="G252" s="4"/>
      <c r="H252" s="4"/>
      <c r="I252" s="4"/>
      <c r="J252" s="4"/>
      <c r="K252" s="4"/>
      <c r="L252" s="4"/>
      <c r="M252" s="4"/>
      <c r="N252" s="4"/>
      <c r="O252" s="4"/>
      <c r="P252" s="4"/>
      <c r="Q252" s="4"/>
    </row>
    <row r="253" spans="1:17" ht="12.75" customHeight="1">
      <c r="A253" s="4"/>
      <c r="B253" s="4"/>
      <c r="C253" s="3"/>
      <c r="D253" s="4"/>
      <c r="E253" s="4"/>
      <c r="F253" s="4"/>
      <c r="G253" s="4"/>
      <c r="H253" s="4"/>
      <c r="I253" s="4"/>
      <c r="J253" s="4"/>
      <c r="K253" s="4"/>
      <c r="L253" s="4"/>
      <c r="M253" s="4"/>
      <c r="N253" s="4"/>
      <c r="O253" s="4"/>
      <c r="P253" s="4"/>
      <c r="Q253" s="4"/>
    </row>
    <row r="254" spans="1:17" ht="12.75" customHeight="1">
      <c r="A254" s="4"/>
      <c r="B254" s="4"/>
      <c r="C254" s="3"/>
      <c r="D254" s="4"/>
      <c r="E254" s="4"/>
      <c r="F254" s="4"/>
      <c r="G254" s="4"/>
      <c r="H254" s="4"/>
      <c r="I254" s="4"/>
      <c r="J254" s="4"/>
      <c r="K254" s="4"/>
      <c r="L254" s="4"/>
      <c r="M254" s="4"/>
      <c r="N254" s="4"/>
      <c r="O254" s="4"/>
      <c r="P254" s="4"/>
      <c r="Q254" s="4"/>
    </row>
    <row r="255" spans="1:17" ht="12.75" customHeight="1">
      <c r="A255" s="4"/>
      <c r="B255" s="4"/>
      <c r="C255" s="3"/>
      <c r="D255" s="4"/>
      <c r="E255" s="4"/>
      <c r="F255" s="4"/>
      <c r="G255" s="4"/>
      <c r="H255" s="4"/>
      <c r="I255" s="4"/>
      <c r="J255" s="4"/>
      <c r="K255" s="4"/>
      <c r="L255" s="4"/>
      <c r="M255" s="4"/>
      <c r="N255" s="4"/>
      <c r="O255" s="4"/>
      <c r="P255" s="4"/>
      <c r="Q255" s="4"/>
    </row>
    <row r="256" spans="1:17" ht="12.75" customHeight="1">
      <c r="A256" s="4"/>
      <c r="B256" s="4"/>
      <c r="C256" s="3"/>
      <c r="D256" s="4"/>
      <c r="E256" s="4"/>
      <c r="F256" s="4"/>
      <c r="G256" s="4"/>
      <c r="H256" s="4"/>
      <c r="I256" s="4"/>
      <c r="J256" s="4"/>
      <c r="K256" s="4"/>
      <c r="L256" s="4"/>
      <c r="M256" s="4"/>
      <c r="N256" s="4"/>
      <c r="O256" s="4"/>
      <c r="P256" s="4"/>
      <c r="Q256" s="4"/>
    </row>
    <row r="257" spans="1:17" ht="12.75" customHeight="1">
      <c r="A257" s="4"/>
      <c r="B257" s="4"/>
      <c r="C257" s="3"/>
      <c r="D257" s="4"/>
      <c r="E257" s="4"/>
      <c r="F257" s="4"/>
      <c r="G257" s="4"/>
      <c r="H257" s="4"/>
      <c r="I257" s="4"/>
      <c r="J257" s="4"/>
      <c r="K257" s="4"/>
      <c r="L257" s="4"/>
      <c r="M257" s="4"/>
      <c r="N257" s="4"/>
      <c r="O257" s="4"/>
      <c r="P257" s="4"/>
      <c r="Q257" s="4"/>
    </row>
    <row r="258" spans="1:17" ht="12.75" customHeight="1">
      <c r="A258" s="4"/>
      <c r="B258" s="4"/>
      <c r="C258" s="3"/>
      <c r="D258" s="4"/>
      <c r="E258" s="4"/>
      <c r="F258" s="4"/>
      <c r="G258" s="4"/>
      <c r="H258" s="4"/>
      <c r="I258" s="4"/>
      <c r="J258" s="4"/>
      <c r="K258" s="4"/>
      <c r="L258" s="4"/>
      <c r="M258" s="4"/>
      <c r="N258" s="4"/>
      <c r="O258" s="4"/>
      <c r="P258" s="4"/>
      <c r="Q258" s="4"/>
    </row>
    <row r="259" spans="1:17" ht="12.75" customHeight="1">
      <c r="A259" s="4"/>
      <c r="B259" s="4"/>
      <c r="C259" s="3"/>
      <c r="D259" s="4"/>
      <c r="E259" s="4"/>
      <c r="F259" s="4"/>
      <c r="G259" s="4"/>
      <c r="H259" s="4"/>
      <c r="I259" s="4"/>
      <c r="J259" s="4"/>
      <c r="K259" s="4"/>
      <c r="L259" s="4"/>
      <c r="M259" s="4"/>
      <c r="N259" s="4"/>
      <c r="O259" s="4"/>
      <c r="P259" s="4"/>
      <c r="Q259" s="4"/>
    </row>
    <row r="260" spans="1:17" ht="12.75" customHeight="1">
      <c r="A260" s="4"/>
      <c r="B260" s="4"/>
      <c r="C260" s="3"/>
      <c r="D260" s="4"/>
      <c r="E260" s="4"/>
      <c r="F260" s="4"/>
      <c r="G260" s="4"/>
      <c r="H260" s="4"/>
      <c r="I260" s="4"/>
      <c r="J260" s="4"/>
      <c r="K260" s="4"/>
      <c r="L260" s="4"/>
      <c r="M260" s="4"/>
      <c r="N260" s="4"/>
      <c r="O260" s="4"/>
      <c r="P260" s="4"/>
      <c r="Q260" s="4"/>
    </row>
    <row r="261" spans="1:17" ht="12.75" customHeight="1">
      <c r="A261" s="4"/>
      <c r="B261" s="4"/>
      <c r="C261" s="3"/>
      <c r="D261" s="4"/>
      <c r="E261" s="4"/>
      <c r="F261" s="4"/>
      <c r="G261" s="4"/>
      <c r="H261" s="4"/>
      <c r="I261" s="4"/>
      <c r="J261" s="4"/>
      <c r="K261" s="4"/>
      <c r="L261" s="4"/>
      <c r="M261" s="4"/>
      <c r="N261" s="4"/>
      <c r="O261" s="4"/>
      <c r="P261" s="4"/>
      <c r="Q261" s="4"/>
    </row>
    <row r="262" spans="1:17" ht="12.75" customHeight="1">
      <c r="A262" s="4"/>
      <c r="B262" s="4"/>
      <c r="C262" s="3"/>
      <c r="D262" s="4"/>
      <c r="E262" s="4"/>
      <c r="F262" s="4"/>
      <c r="G262" s="4"/>
      <c r="H262" s="4"/>
      <c r="I262" s="4"/>
      <c r="J262" s="4"/>
      <c r="K262" s="4"/>
      <c r="L262" s="4"/>
      <c r="M262" s="4"/>
      <c r="N262" s="4"/>
      <c r="O262" s="4"/>
      <c r="P262" s="4"/>
      <c r="Q262" s="4"/>
    </row>
    <row r="263" spans="1:17" ht="12.75" customHeight="1">
      <c r="A263" s="4"/>
      <c r="B263" s="4"/>
      <c r="C263" s="3"/>
      <c r="D263" s="4"/>
      <c r="E263" s="4"/>
      <c r="F263" s="4"/>
      <c r="G263" s="4"/>
      <c r="H263" s="4"/>
      <c r="I263" s="4"/>
      <c r="J263" s="4"/>
      <c r="K263" s="4"/>
      <c r="L263" s="4"/>
      <c r="M263" s="4"/>
      <c r="N263" s="4"/>
      <c r="O263" s="4"/>
      <c r="P263" s="4"/>
      <c r="Q263" s="4"/>
    </row>
    <row r="264" spans="1:17" ht="12.75" customHeight="1">
      <c r="A264" s="4"/>
      <c r="B264" s="4"/>
      <c r="C264" s="3"/>
      <c r="D264" s="4"/>
      <c r="E264" s="4"/>
      <c r="F264" s="4"/>
      <c r="G264" s="4"/>
      <c r="H264" s="4"/>
      <c r="I264" s="4"/>
      <c r="J264" s="4"/>
      <c r="K264" s="4"/>
      <c r="L264" s="4"/>
      <c r="M264" s="4"/>
      <c r="N264" s="4"/>
      <c r="O264" s="4"/>
      <c r="P264" s="4"/>
      <c r="Q264" s="4"/>
    </row>
    <row r="265" spans="1:17" ht="12.75" customHeight="1">
      <c r="A265" s="4"/>
      <c r="B265" s="4"/>
      <c r="C265" s="3"/>
      <c r="D265" s="4"/>
      <c r="E265" s="4"/>
      <c r="F265" s="4"/>
      <c r="G265" s="4"/>
      <c r="H265" s="4"/>
      <c r="I265" s="4"/>
      <c r="J265" s="4"/>
      <c r="K265" s="4"/>
      <c r="L265" s="4"/>
      <c r="M265" s="4"/>
      <c r="N265" s="4"/>
      <c r="O265" s="4"/>
      <c r="P265" s="4"/>
      <c r="Q265" s="4"/>
    </row>
    <row r="266" spans="1:17" ht="12.75" customHeight="1">
      <c r="A266" s="4"/>
      <c r="B266" s="4"/>
      <c r="C266" s="3"/>
      <c r="D266" s="4"/>
      <c r="E266" s="4"/>
      <c r="F266" s="4"/>
      <c r="G266" s="4"/>
      <c r="H266" s="4"/>
      <c r="I266" s="4"/>
      <c r="J266" s="4"/>
      <c r="K266" s="4"/>
      <c r="L266" s="4"/>
      <c r="M266" s="4"/>
      <c r="N266" s="4"/>
      <c r="O266" s="4"/>
      <c r="P266" s="4"/>
      <c r="Q266" s="4"/>
    </row>
    <row r="267" spans="1:17" ht="12.75" customHeight="1">
      <c r="A267" s="4"/>
      <c r="B267" s="4"/>
      <c r="C267" s="3"/>
      <c r="D267" s="4"/>
      <c r="E267" s="4"/>
      <c r="F267" s="4"/>
      <c r="G267" s="4"/>
      <c r="H267" s="4"/>
      <c r="I267" s="4"/>
      <c r="J267" s="4"/>
      <c r="K267" s="4"/>
      <c r="L267" s="4"/>
      <c r="M267" s="4"/>
      <c r="N267" s="4"/>
      <c r="O267" s="4"/>
      <c r="P267" s="4"/>
      <c r="Q267" s="4"/>
    </row>
    <row r="268" spans="1:17" ht="12.75" customHeight="1">
      <c r="A268" s="4"/>
      <c r="B268" s="4"/>
      <c r="C268" s="3"/>
      <c r="D268" s="4"/>
      <c r="E268" s="4"/>
      <c r="F268" s="4"/>
      <c r="G268" s="4"/>
      <c r="H268" s="4"/>
      <c r="I268" s="4"/>
      <c r="J268" s="4"/>
      <c r="K268" s="4"/>
      <c r="L268" s="4"/>
      <c r="M268" s="4"/>
      <c r="N268" s="4"/>
      <c r="O268" s="4"/>
      <c r="P268" s="4"/>
      <c r="Q268" s="4"/>
    </row>
    <row r="269" spans="1:17" ht="12.75" customHeight="1">
      <c r="A269" s="4"/>
      <c r="B269" s="4"/>
      <c r="C269" s="3"/>
      <c r="D269" s="4"/>
      <c r="E269" s="4"/>
      <c r="F269" s="4"/>
      <c r="G269" s="4"/>
      <c r="H269" s="4"/>
      <c r="I269" s="4"/>
      <c r="J269" s="4"/>
      <c r="K269" s="4"/>
      <c r="L269" s="4"/>
      <c r="M269" s="4"/>
      <c r="N269" s="4"/>
      <c r="O269" s="4"/>
      <c r="P269" s="4"/>
      <c r="Q269" s="4"/>
    </row>
    <row r="270" spans="1:17" ht="12.75" customHeight="1">
      <c r="A270" s="4"/>
      <c r="B270" s="4"/>
      <c r="C270" s="3"/>
      <c r="D270" s="4"/>
      <c r="E270" s="4"/>
      <c r="F270" s="4"/>
      <c r="G270" s="4"/>
      <c r="H270" s="4"/>
      <c r="I270" s="4"/>
      <c r="J270" s="4"/>
      <c r="K270" s="4"/>
      <c r="L270" s="4"/>
      <c r="M270" s="4"/>
      <c r="N270" s="4"/>
      <c r="O270" s="4"/>
      <c r="P270" s="4"/>
      <c r="Q270" s="4"/>
    </row>
    <row r="271" spans="1:17" ht="12.75" customHeight="1">
      <c r="A271" s="4"/>
      <c r="B271" s="4"/>
      <c r="C271" s="3"/>
      <c r="D271" s="4"/>
      <c r="E271" s="4"/>
      <c r="F271" s="4"/>
      <c r="G271" s="4"/>
      <c r="H271" s="4"/>
      <c r="I271" s="4"/>
      <c r="J271" s="4"/>
      <c r="K271" s="4"/>
      <c r="L271" s="4"/>
      <c r="M271" s="4"/>
      <c r="N271" s="4"/>
      <c r="O271" s="4"/>
      <c r="P271" s="4"/>
      <c r="Q271" s="4"/>
    </row>
    <row r="272" spans="1:17" ht="12.75" customHeight="1">
      <c r="A272" s="4"/>
      <c r="B272" s="4"/>
      <c r="C272" s="3"/>
      <c r="D272" s="4"/>
      <c r="E272" s="4"/>
      <c r="F272" s="4"/>
      <c r="G272" s="4"/>
      <c r="H272" s="4"/>
      <c r="I272" s="4"/>
      <c r="J272" s="4"/>
      <c r="K272" s="4"/>
      <c r="L272" s="4"/>
      <c r="M272" s="4"/>
      <c r="N272" s="4"/>
      <c r="O272" s="4"/>
      <c r="P272" s="4"/>
      <c r="Q272" s="4"/>
    </row>
    <row r="273" spans="1:17" ht="12.75" customHeight="1">
      <c r="A273" s="4"/>
      <c r="B273" s="4"/>
      <c r="C273" s="3"/>
      <c r="D273" s="4"/>
      <c r="E273" s="4"/>
      <c r="F273" s="4"/>
      <c r="G273" s="4"/>
      <c r="H273" s="4"/>
      <c r="I273" s="4"/>
      <c r="J273" s="4"/>
      <c r="K273" s="4"/>
      <c r="L273" s="4"/>
      <c r="M273" s="4"/>
      <c r="N273" s="4"/>
      <c r="O273" s="4"/>
      <c r="P273" s="4"/>
      <c r="Q273" s="4"/>
    </row>
    <row r="274" spans="1:17" ht="12.75" customHeight="1">
      <c r="A274" s="4"/>
      <c r="B274" s="4"/>
      <c r="C274" s="3"/>
      <c r="D274" s="4"/>
      <c r="E274" s="4"/>
      <c r="F274" s="4"/>
      <c r="G274" s="4"/>
      <c r="H274" s="4"/>
      <c r="I274" s="4"/>
      <c r="J274" s="4"/>
      <c r="K274" s="4"/>
      <c r="L274" s="4"/>
      <c r="M274" s="4"/>
      <c r="N274" s="4"/>
      <c r="O274" s="4"/>
      <c r="P274" s="4"/>
      <c r="Q274" s="4"/>
    </row>
    <row r="275" spans="1:17" ht="12.75" customHeight="1">
      <c r="A275" s="4"/>
      <c r="B275" s="4"/>
      <c r="C275" s="3"/>
      <c r="D275" s="4"/>
      <c r="E275" s="4"/>
      <c r="F275" s="4"/>
      <c r="G275" s="4"/>
      <c r="H275" s="4"/>
      <c r="I275" s="4"/>
      <c r="J275" s="4"/>
      <c r="K275" s="4"/>
      <c r="L275" s="4"/>
      <c r="M275" s="4"/>
      <c r="N275" s="4"/>
      <c r="O275" s="4"/>
      <c r="P275" s="4"/>
      <c r="Q275" s="4"/>
    </row>
    <row r="276" spans="1:17" ht="12.75" customHeight="1">
      <c r="A276" s="4"/>
      <c r="B276" s="4"/>
      <c r="C276" s="3"/>
      <c r="D276" s="4"/>
      <c r="E276" s="4"/>
      <c r="F276" s="4"/>
      <c r="G276" s="4"/>
      <c r="H276" s="4"/>
      <c r="I276" s="4"/>
      <c r="J276" s="4"/>
      <c r="K276" s="4"/>
      <c r="L276" s="4"/>
      <c r="M276" s="4"/>
      <c r="N276" s="4"/>
      <c r="O276" s="4"/>
      <c r="P276" s="4"/>
      <c r="Q276" s="4"/>
    </row>
    <row r="277" spans="1:17" ht="12.75" customHeight="1">
      <c r="A277" s="4"/>
      <c r="B277" s="4"/>
      <c r="C277" s="3"/>
      <c r="D277" s="4"/>
      <c r="E277" s="4"/>
      <c r="F277" s="4"/>
      <c r="G277" s="4"/>
      <c r="H277" s="4"/>
      <c r="I277" s="4"/>
      <c r="J277" s="4"/>
      <c r="K277" s="4"/>
      <c r="L277" s="4"/>
      <c r="M277" s="4"/>
      <c r="N277" s="4"/>
      <c r="O277" s="4"/>
      <c r="P277" s="4"/>
      <c r="Q277" s="4"/>
    </row>
    <row r="278" spans="1:17" ht="12.75" customHeight="1">
      <c r="A278" s="4"/>
      <c r="B278" s="4"/>
      <c r="C278" s="3"/>
      <c r="D278" s="4"/>
      <c r="E278" s="4"/>
      <c r="F278" s="4"/>
      <c r="G278" s="4"/>
      <c r="H278" s="4"/>
      <c r="I278" s="4"/>
      <c r="J278" s="4"/>
      <c r="K278" s="4"/>
      <c r="L278" s="4"/>
      <c r="M278" s="4"/>
      <c r="N278" s="4"/>
      <c r="O278" s="4"/>
      <c r="P278" s="4"/>
      <c r="Q278" s="4"/>
    </row>
    <row r="279" spans="1:17" ht="12.75" customHeight="1">
      <c r="A279" s="4"/>
      <c r="B279" s="4"/>
      <c r="C279" s="3"/>
      <c r="D279" s="4"/>
      <c r="E279" s="4"/>
      <c r="F279" s="4"/>
      <c r="G279" s="4"/>
      <c r="H279" s="4"/>
      <c r="I279" s="4"/>
      <c r="J279" s="4"/>
      <c r="K279" s="4"/>
      <c r="L279" s="4"/>
      <c r="M279" s="4"/>
      <c r="N279" s="4"/>
      <c r="O279" s="4"/>
      <c r="P279" s="4"/>
      <c r="Q279" s="4"/>
    </row>
    <row r="280" spans="1:17" ht="12.75" customHeight="1">
      <c r="A280" s="4"/>
      <c r="B280" s="4"/>
      <c r="C280" s="3"/>
      <c r="D280" s="4"/>
      <c r="E280" s="4"/>
      <c r="F280" s="4"/>
      <c r="G280" s="4"/>
      <c r="H280" s="4"/>
      <c r="I280" s="4"/>
      <c r="J280" s="4"/>
      <c r="K280" s="4"/>
      <c r="L280" s="4"/>
      <c r="M280" s="4"/>
      <c r="N280" s="4"/>
      <c r="O280" s="4"/>
      <c r="P280" s="4"/>
      <c r="Q280" s="4"/>
    </row>
    <row r="281" spans="1:17" ht="12.75" customHeight="1">
      <c r="A281" s="4"/>
      <c r="B281" s="4"/>
      <c r="C281" s="3"/>
      <c r="D281" s="4"/>
      <c r="E281" s="4"/>
      <c r="F281" s="4"/>
      <c r="G281" s="4"/>
      <c r="H281" s="4"/>
      <c r="I281" s="4"/>
      <c r="J281" s="4"/>
      <c r="K281" s="4"/>
      <c r="L281" s="4"/>
      <c r="M281" s="4"/>
      <c r="N281" s="4"/>
      <c r="O281" s="4"/>
      <c r="P281" s="4"/>
      <c r="Q281" s="4"/>
    </row>
    <row r="282" spans="1:17" ht="12.75" customHeight="1">
      <c r="A282" s="4"/>
      <c r="B282" s="4"/>
      <c r="C282" s="3"/>
      <c r="D282" s="4"/>
      <c r="E282" s="4"/>
      <c r="F282" s="4"/>
      <c r="G282" s="4"/>
      <c r="H282" s="4"/>
      <c r="I282" s="4"/>
      <c r="J282" s="4"/>
      <c r="K282" s="4"/>
      <c r="L282" s="4"/>
      <c r="M282" s="4"/>
      <c r="N282" s="4"/>
      <c r="O282" s="4"/>
      <c r="P282" s="4"/>
      <c r="Q282" s="4"/>
    </row>
    <row r="283" spans="1:17" ht="12.75" customHeight="1">
      <c r="A283" s="4"/>
      <c r="B283" s="4"/>
      <c r="C283" s="3"/>
      <c r="D283" s="4"/>
      <c r="E283" s="4"/>
      <c r="F283" s="4"/>
      <c r="G283" s="4"/>
      <c r="H283" s="4"/>
      <c r="I283" s="4"/>
      <c r="J283" s="4"/>
      <c r="K283" s="4"/>
      <c r="L283" s="4"/>
      <c r="M283" s="4"/>
      <c r="N283" s="4"/>
      <c r="O283" s="4"/>
      <c r="P283" s="4"/>
      <c r="Q283" s="4"/>
    </row>
    <row r="284" spans="1:17" ht="12.75" customHeight="1">
      <c r="A284" s="4"/>
      <c r="B284" s="4"/>
      <c r="C284" s="3"/>
      <c r="D284" s="4"/>
      <c r="E284" s="4"/>
      <c r="F284" s="4"/>
      <c r="G284" s="4"/>
      <c r="H284" s="4"/>
      <c r="I284" s="4"/>
      <c r="J284" s="4"/>
      <c r="K284" s="4"/>
      <c r="L284" s="4"/>
      <c r="M284" s="4"/>
      <c r="N284" s="4"/>
      <c r="O284" s="4"/>
      <c r="P284" s="4"/>
      <c r="Q284" s="4"/>
    </row>
    <row r="285" spans="1:17" ht="12.75" customHeight="1">
      <c r="A285" s="4"/>
      <c r="B285" s="4"/>
      <c r="C285" s="3"/>
      <c r="D285" s="4"/>
      <c r="E285" s="4"/>
      <c r="F285" s="4"/>
      <c r="G285" s="4"/>
      <c r="H285" s="4"/>
      <c r="I285" s="4"/>
      <c r="J285" s="4"/>
      <c r="K285" s="4"/>
      <c r="L285" s="4"/>
      <c r="M285" s="4"/>
      <c r="N285" s="4"/>
      <c r="O285" s="4"/>
      <c r="P285" s="4"/>
      <c r="Q285" s="4"/>
    </row>
    <row r="286" spans="1:17" ht="12.75" customHeight="1">
      <c r="A286" s="4"/>
      <c r="B286" s="4"/>
      <c r="C286" s="3"/>
      <c r="D286" s="4"/>
      <c r="E286" s="4"/>
      <c r="F286" s="4"/>
      <c r="G286" s="4"/>
      <c r="H286" s="4"/>
      <c r="I286" s="4"/>
      <c r="J286" s="4"/>
      <c r="K286" s="4"/>
      <c r="L286" s="4"/>
      <c r="M286" s="4"/>
      <c r="N286" s="4"/>
      <c r="O286" s="4"/>
      <c r="P286" s="4"/>
      <c r="Q286" s="4"/>
    </row>
    <row r="287" spans="1:17" ht="12.75" customHeight="1">
      <c r="A287" s="4"/>
      <c r="B287" s="4"/>
      <c r="C287" s="3"/>
      <c r="D287" s="4"/>
      <c r="E287" s="4"/>
      <c r="F287" s="4"/>
      <c r="G287" s="4"/>
      <c r="H287" s="4"/>
      <c r="I287" s="4"/>
      <c r="J287" s="4"/>
      <c r="K287" s="4"/>
      <c r="L287" s="4"/>
      <c r="M287" s="4"/>
      <c r="N287" s="4"/>
      <c r="O287" s="4"/>
      <c r="P287" s="4"/>
      <c r="Q287" s="4"/>
    </row>
    <row r="288" spans="1:17" ht="12.75" customHeight="1">
      <c r="A288" s="4"/>
      <c r="B288" s="4"/>
      <c r="C288" s="3"/>
      <c r="D288" s="4"/>
      <c r="E288" s="4"/>
      <c r="F288" s="4"/>
      <c r="G288" s="4"/>
      <c r="H288" s="4"/>
      <c r="I288" s="4"/>
      <c r="J288" s="4"/>
      <c r="K288" s="4"/>
      <c r="L288" s="4"/>
      <c r="M288" s="4"/>
      <c r="N288" s="4"/>
      <c r="O288" s="4"/>
      <c r="P288" s="4"/>
      <c r="Q288" s="4"/>
    </row>
    <row r="289" spans="1:17" ht="12.75" customHeight="1">
      <c r="A289" s="4"/>
      <c r="B289" s="4"/>
      <c r="C289" s="3"/>
      <c r="D289" s="4"/>
      <c r="E289" s="4"/>
      <c r="F289" s="4"/>
      <c r="G289" s="4"/>
      <c r="H289" s="4"/>
      <c r="I289" s="4"/>
      <c r="J289" s="4"/>
      <c r="K289" s="4"/>
      <c r="L289" s="4"/>
      <c r="M289" s="4"/>
      <c r="N289" s="4"/>
      <c r="O289" s="4"/>
      <c r="P289" s="4"/>
      <c r="Q289" s="4"/>
    </row>
    <row r="290" spans="1:17" ht="12.75" customHeight="1">
      <c r="A290" s="4"/>
      <c r="B290" s="4"/>
      <c r="C290" s="3"/>
      <c r="D290" s="4"/>
      <c r="E290" s="4"/>
      <c r="F290" s="4"/>
      <c r="G290" s="4"/>
      <c r="H290" s="4"/>
      <c r="I290" s="4"/>
      <c r="J290" s="4"/>
      <c r="K290" s="4"/>
      <c r="L290" s="4"/>
      <c r="M290" s="4"/>
      <c r="N290" s="4"/>
      <c r="O290" s="4"/>
      <c r="P290" s="4"/>
      <c r="Q290" s="4"/>
    </row>
    <row r="291" spans="1:17" ht="12.75" customHeight="1">
      <c r="A291" s="4"/>
      <c r="B291" s="4"/>
      <c r="C291" s="3"/>
      <c r="D291" s="4"/>
      <c r="E291" s="4"/>
      <c r="F291" s="4"/>
      <c r="G291" s="4"/>
      <c r="H291" s="4"/>
      <c r="I291" s="4"/>
      <c r="J291" s="4"/>
      <c r="K291" s="4"/>
      <c r="L291" s="4"/>
      <c r="M291" s="4"/>
      <c r="N291" s="4"/>
      <c r="O291" s="4"/>
      <c r="P291" s="4"/>
      <c r="Q291" s="4"/>
    </row>
    <row r="292" spans="1:17" ht="12.75" customHeight="1">
      <c r="A292" s="4"/>
      <c r="B292" s="4"/>
      <c r="C292" s="3"/>
      <c r="D292" s="4"/>
      <c r="E292" s="4"/>
      <c r="F292" s="4"/>
      <c r="G292" s="4"/>
      <c r="H292" s="4"/>
      <c r="I292" s="4"/>
      <c r="J292" s="4"/>
      <c r="K292" s="4"/>
      <c r="L292" s="4"/>
      <c r="M292" s="4"/>
      <c r="N292" s="4"/>
      <c r="O292" s="4"/>
      <c r="P292" s="4"/>
      <c r="Q292" s="4"/>
    </row>
    <row r="293" spans="1:17" ht="12.75" customHeight="1">
      <c r="A293" s="4"/>
      <c r="B293" s="4"/>
      <c r="C293" s="3"/>
      <c r="D293" s="4"/>
      <c r="E293" s="4"/>
      <c r="F293" s="4"/>
      <c r="G293" s="4"/>
      <c r="H293" s="4"/>
      <c r="I293" s="4"/>
      <c r="J293" s="4"/>
      <c r="K293" s="4"/>
      <c r="L293" s="4"/>
      <c r="M293" s="4"/>
      <c r="N293" s="4"/>
      <c r="O293" s="4"/>
      <c r="P293" s="4"/>
      <c r="Q293" s="4"/>
    </row>
    <row r="294" spans="1:17" ht="12.75" customHeight="1">
      <c r="A294" s="4"/>
      <c r="B294" s="4"/>
      <c r="C294" s="3"/>
      <c r="D294" s="4"/>
      <c r="E294" s="4"/>
      <c r="F294" s="4"/>
      <c r="G294" s="4"/>
      <c r="H294" s="4"/>
      <c r="I294" s="4"/>
      <c r="J294" s="4"/>
      <c r="K294" s="4"/>
      <c r="L294" s="4"/>
      <c r="M294" s="4"/>
      <c r="N294" s="4"/>
      <c r="O294" s="4"/>
      <c r="P294" s="4"/>
      <c r="Q294" s="4"/>
    </row>
    <row r="295" spans="1:17" ht="12.75" customHeight="1">
      <c r="A295" s="4"/>
      <c r="B295" s="4"/>
      <c r="C295" s="3"/>
      <c r="D295" s="4"/>
      <c r="E295" s="4"/>
      <c r="F295" s="4"/>
      <c r="G295" s="4"/>
      <c r="H295" s="4"/>
      <c r="I295" s="4"/>
      <c r="J295" s="4"/>
      <c r="K295" s="4"/>
      <c r="L295" s="4"/>
      <c r="M295" s="4"/>
      <c r="N295" s="4"/>
      <c r="O295" s="4"/>
      <c r="P295" s="4"/>
      <c r="Q295" s="4"/>
    </row>
    <row r="296" spans="1:17" ht="12.75" customHeight="1">
      <c r="A296" s="4"/>
      <c r="B296" s="4"/>
      <c r="C296" s="3"/>
      <c r="D296" s="4"/>
      <c r="E296" s="4"/>
      <c r="F296" s="4"/>
      <c r="G296" s="4"/>
      <c r="H296" s="4"/>
      <c r="I296" s="4"/>
      <c r="J296" s="4"/>
      <c r="K296" s="4"/>
      <c r="L296" s="4"/>
      <c r="M296" s="4"/>
      <c r="N296" s="4"/>
      <c r="O296" s="4"/>
      <c r="P296" s="4"/>
      <c r="Q296" s="4"/>
    </row>
    <row r="297" spans="1:17" ht="12.75" customHeight="1">
      <c r="A297" s="4"/>
      <c r="B297" s="4"/>
      <c r="C297" s="3"/>
      <c r="D297" s="4"/>
      <c r="E297" s="4"/>
      <c r="F297" s="4"/>
      <c r="G297" s="4"/>
      <c r="H297" s="4"/>
      <c r="I297" s="4"/>
      <c r="J297" s="4"/>
      <c r="K297" s="4"/>
      <c r="L297" s="4"/>
      <c r="M297" s="4"/>
      <c r="N297" s="4"/>
      <c r="O297" s="4"/>
      <c r="P297" s="4"/>
      <c r="Q297" s="4"/>
    </row>
    <row r="298" spans="1:17" ht="12.75" customHeight="1">
      <c r="A298" s="4"/>
      <c r="B298" s="4"/>
      <c r="C298" s="3"/>
      <c r="D298" s="4"/>
      <c r="E298" s="4"/>
      <c r="F298" s="4"/>
      <c r="G298" s="4"/>
      <c r="H298" s="4"/>
      <c r="I298" s="4"/>
      <c r="J298" s="4"/>
      <c r="K298" s="4"/>
      <c r="L298" s="4"/>
      <c r="M298" s="4"/>
      <c r="N298" s="4"/>
      <c r="O298" s="4"/>
      <c r="P298" s="4"/>
      <c r="Q298" s="4"/>
    </row>
    <row r="299" spans="1:17" ht="12.75" customHeight="1">
      <c r="A299" s="4"/>
      <c r="B299" s="4"/>
      <c r="C299" s="3"/>
      <c r="D299" s="4"/>
      <c r="E299" s="4"/>
      <c r="F299" s="4"/>
      <c r="G299" s="4"/>
      <c r="H299" s="4"/>
      <c r="I299" s="4"/>
      <c r="J299" s="4"/>
      <c r="K299" s="4"/>
      <c r="L299" s="4"/>
      <c r="M299" s="4"/>
      <c r="N299" s="4"/>
      <c r="O299" s="4"/>
      <c r="P299" s="4"/>
      <c r="Q299" s="4"/>
    </row>
    <row r="300" spans="1:17" ht="12.75" customHeight="1">
      <c r="A300" s="4"/>
      <c r="B300" s="4"/>
      <c r="C300" s="3"/>
      <c r="D300" s="4"/>
      <c r="E300" s="4"/>
      <c r="F300" s="4"/>
      <c r="G300" s="4"/>
      <c r="H300" s="4"/>
      <c r="I300" s="4"/>
      <c r="J300" s="4"/>
      <c r="K300" s="4"/>
      <c r="L300" s="4"/>
      <c r="M300" s="4"/>
      <c r="N300" s="4"/>
      <c r="O300" s="4"/>
      <c r="P300" s="4"/>
      <c r="Q300" s="4"/>
    </row>
    <row r="301" spans="1:17" ht="12.75" customHeight="1">
      <c r="A301" s="4"/>
      <c r="B301" s="4"/>
      <c r="C301" s="3"/>
      <c r="D301" s="4"/>
      <c r="E301" s="4"/>
      <c r="F301" s="4"/>
      <c r="G301" s="4"/>
      <c r="H301" s="4"/>
      <c r="I301" s="4"/>
      <c r="J301" s="4"/>
      <c r="K301" s="4"/>
      <c r="L301" s="4"/>
      <c r="M301" s="4"/>
      <c r="N301" s="4"/>
      <c r="O301" s="4"/>
      <c r="P301" s="4"/>
      <c r="Q301" s="4"/>
    </row>
    <row r="302" spans="1:17" ht="12.75" customHeight="1">
      <c r="A302" s="4"/>
      <c r="B302" s="4"/>
      <c r="C302" s="3"/>
      <c r="D302" s="4"/>
      <c r="E302" s="4"/>
      <c r="F302" s="4"/>
      <c r="G302" s="4"/>
      <c r="H302" s="4"/>
      <c r="I302" s="4"/>
      <c r="J302" s="4"/>
      <c r="K302" s="4"/>
      <c r="L302" s="4"/>
      <c r="M302" s="4"/>
      <c r="N302" s="4"/>
      <c r="O302" s="4"/>
      <c r="P302" s="4"/>
      <c r="Q302" s="4"/>
    </row>
    <row r="303" spans="1:17" ht="12.75" customHeight="1">
      <c r="A303" s="4"/>
      <c r="B303" s="4"/>
      <c r="C303" s="3"/>
      <c r="D303" s="4"/>
      <c r="E303" s="4"/>
      <c r="F303" s="4"/>
      <c r="G303" s="4"/>
      <c r="H303" s="4"/>
      <c r="I303" s="4"/>
      <c r="J303" s="4"/>
      <c r="K303" s="4"/>
      <c r="L303" s="4"/>
      <c r="M303" s="4"/>
      <c r="N303" s="4"/>
      <c r="O303" s="4"/>
      <c r="P303" s="4"/>
      <c r="Q303" s="4"/>
    </row>
    <row r="304" spans="1:17" ht="12.75" customHeight="1">
      <c r="A304" s="4"/>
      <c r="B304" s="4"/>
      <c r="C304" s="3"/>
      <c r="D304" s="4"/>
      <c r="E304" s="4"/>
      <c r="F304" s="4"/>
      <c r="G304" s="4"/>
      <c r="H304" s="4"/>
      <c r="I304" s="4"/>
      <c r="J304" s="4"/>
      <c r="K304" s="4"/>
      <c r="L304" s="4"/>
      <c r="M304" s="4"/>
      <c r="N304" s="4"/>
      <c r="O304" s="4"/>
      <c r="P304" s="4"/>
      <c r="Q304" s="4"/>
    </row>
    <row r="305" spans="1:17" ht="12.75" customHeight="1">
      <c r="A305" s="4"/>
      <c r="B305" s="4"/>
      <c r="C305" s="3"/>
      <c r="D305" s="4"/>
      <c r="E305" s="4"/>
      <c r="F305" s="4"/>
      <c r="G305" s="4"/>
      <c r="H305" s="4"/>
      <c r="I305" s="4"/>
      <c r="J305" s="4"/>
      <c r="K305" s="4"/>
      <c r="L305" s="4"/>
      <c r="M305" s="4"/>
      <c r="N305" s="4"/>
      <c r="O305" s="4"/>
      <c r="P305" s="4"/>
      <c r="Q305" s="4"/>
    </row>
    <row r="306" spans="1:17" ht="12.75" customHeight="1">
      <c r="A306" s="4"/>
      <c r="B306" s="4"/>
      <c r="C306" s="3"/>
      <c r="D306" s="4"/>
      <c r="E306" s="4"/>
      <c r="F306" s="4"/>
      <c r="G306" s="4"/>
      <c r="H306" s="4"/>
      <c r="I306" s="4"/>
      <c r="J306" s="4"/>
      <c r="K306" s="4"/>
      <c r="L306" s="4"/>
      <c r="M306" s="4"/>
      <c r="N306" s="4"/>
      <c r="O306" s="4"/>
      <c r="P306" s="4"/>
      <c r="Q306" s="4"/>
    </row>
    <row r="307" spans="1:17" ht="12.75" customHeight="1">
      <c r="A307" s="4"/>
      <c r="B307" s="4"/>
      <c r="C307" s="3"/>
      <c r="D307" s="4"/>
      <c r="E307" s="4"/>
      <c r="F307" s="4"/>
      <c r="G307" s="4"/>
      <c r="H307" s="4"/>
      <c r="I307" s="4"/>
      <c r="J307" s="4"/>
      <c r="K307" s="4"/>
      <c r="L307" s="4"/>
      <c r="M307" s="4"/>
      <c r="N307" s="4"/>
      <c r="O307" s="4"/>
      <c r="P307" s="4"/>
      <c r="Q307" s="4"/>
    </row>
    <row r="308" spans="1:17" ht="12.75" customHeight="1">
      <c r="A308" s="4"/>
      <c r="B308" s="4"/>
      <c r="C308" s="3"/>
      <c r="D308" s="4"/>
      <c r="E308" s="4"/>
      <c r="F308" s="4"/>
      <c r="G308" s="4"/>
      <c r="H308" s="4"/>
      <c r="I308" s="4"/>
      <c r="J308" s="4"/>
      <c r="K308" s="4"/>
      <c r="L308" s="4"/>
      <c r="M308" s="4"/>
      <c r="N308" s="4"/>
      <c r="O308" s="4"/>
      <c r="P308" s="4"/>
      <c r="Q308" s="4"/>
    </row>
    <row r="309" spans="1:17" ht="12.75" customHeight="1">
      <c r="A309" s="4"/>
      <c r="B309" s="4"/>
      <c r="C309" s="3"/>
      <c r="D309" s="4"/>
      <c r="E309" s="4"/>
      <c r="F309" s="4"/>
      <c r="G309" s="4"/>
      <c r="H309" s="4"/>
      <c r="I309" s="4"/>
      <c r="J309" s="4"/>
      <c r="K309" s="4"/>
      <c r="L309" s="4"/>
      <c r="M309" s="4"/>
      <c r="N309" s="4"/>
      <c r="O309" s="4"/>
      <c r="P309" s="4"/>
      <c r="Q309" s="4"/>
    </row>
    <row r="310" spans="1:17" ht="12.75" customHeight="1">
      <c r="A310" s="4"/>
      <c r="B310" s="4"/>
      <c r="C310" s="3"/>
      <c r="D310" s="4"/>
      <c r="E310" s="4"/>
      <c r="F310" s="4"/>
      <c r="G310" s="4"/>
      <c r="H310" s="4"/>
      <c r="I310" s="4"/>
      <c r="J310" s="4"/>
      <c r="K310" s="4"/>
      <c r="L310" s="4"/>
      <c r="M310" s="4"/>
      <c r="N310" s="4"/>
      <c r="O310" s="4"/>
      <c r="P310" s="4"/>
      <c r="Q310" s="4"/>
    </row>
    <row r="311" spans="1:17" ht="12.75" customHeight="1">
      <c r="A311" s="4"/>
      <c r="B311" s="4"/>
      <c r="C311" s="3"/>
      <c r="D311" s="4"/>
      <c r="E311" s="4"/>
      <c r="F311" s="4"/>
      <c r="G311" s="4"/>
      <c r="H311" s="4"/>
      <c r="I311" s="4"/>
      <c r="J311" s="4"/>
      <c r="K311" s="4"/>
      <c r="L311" s="4"/>
      <c r="M311" s="4"/>
      <c r="N311" s="4"/>
      <c r="O311" s="4"/>
      <c r="P311" s="4"/>
      <c r="Q311" s="4"/>
    </row>
    <row r="312" spans="1:17" ht="12.75" customHeight="1">
      <c r="A312" s="4"/>
      <c r="B312" s="4"/>
      <c r="C312" s="3"/>
      <c r="D312" s="4"/>
      <c r="E312" s="4"/>
      <c r="F312" s="4"/>
      <c r="G312" s="4"/>
      <c r="H312" s="4"/>
      <c r="I312" s="4"/>
      <c r="J312" s="4"/>
      <c r="K312" s="4"/>
      <c r="L312" s="4"/>
      <c r="M312" s="4"/>
      <c r="N312" s="4"/>
      <c r="O312" s="4"/>
      <c r="P312" s="4"/>
      <c r="Q312" s="4"/>
    </row>
    <row r="313" spans="1:17" ht="12.75" customHeight="1">
      <c r="A313" s="4"/>
      <c r="B313" s="4"/>
      <c r="C313" s="3"/>
      <c r="D313" s="4"/>
      <c r="E313" s="4"/>
      <c r="F313" s="4"/>
      <c r="G313" s="4"/>
      <c r="H313" s="4"/>
      <c r="I313" s="4"/>
      <c r="J313" s="4"/>
      <c r="K313" s="4"/>
      <c r="L313" s="4"/>
      <c r="M313" s="4"/>
      <c r="N313" s="4"/>
      <c r="O313" s="4"/>
      <c r="P313" s="4"/>
      <c r="Q313" s="4"/>
    </row>
    <row r="314" spans="1:17" ht="12.75" customHeight="1">
      <c r="A314" s="4"/>
      <c r="B314" s="4"/>
      <c r="C314" s="3"/>
      <c r="D314" s="4"/>
      <c r="E314" s="4"/>
      <c r="F314" s="4"/>
      <c r="G314" s="4"/>
      <c r="H314" s="4"/>
      <c r="I314" s="4"/>
      <c r="J314" s="4"/>
      <c r="K314" s="4"/>
      <c r="L314" s="4"/>
      <c r="M314" s="4"/>
      <c r="N314" s="4"/>
      <c r="O314" s="4"/>
      <c r="P314" s="4"/>
      <c r="Q314" s="4"/>
    </row>
    <row r="315" spans="1:17" ht="12.75" customHeight="1">
      <c r="A315" s="4"/>
      <c r="B315" s="4"/>
      <c r="C315" s="3"/>
      <c r="D315" s="4"/>
      <c r="E315" s="4"/>
      <c r="F315" s="4"/>
      <c r="G315" s="4"/>
      <c r="H315" s="4"/>
      <c r="I315" s="4"/>
      <c r="J315" s="4"/>
      <c r="K315" s="4"/>
      <c r="L315" s="4"/>
      <c r="M315" s="4"/>
      <c r="N315" s="4"/>
      <c r="O315" s="4"/>
      <c r="P315" s="4"/>
      <c r="Q315" s="4"/>
    </row>
    <row r="316" spans="1:17" ht="12.75" customHeight="1">
      <c r="A316" s="4"/>
      <c r="B316" s="4"/>
      <c r="C316" s="3"/>
      <c r="D316" s="4"/>
      <c r="E316" s="4"/>
      <c r="F316" s="4"/>
      <c r="G316" s="4"/>
      <c r="H316" s="4"/>
      <c r="I316" s="4"/>
      <c r="J316" s="4"/>
      <c r="K316" s="4"/>
      <c r="L316" s="4"/>
      <c r="M316" s="4"/>
      <c r="N316" s="4"/>
      <c r="O316" s="4"/>
      <c r="P316" s="4"/>
      <c r="Q316" s="4"/>
    </row>
    <row r="317" spans="1:17" ht="12.75" customHeight="1">
      <c r="A317" s="4"/>
      <c r="B317" s="4"/>
      <c r="C317" s="3"/>
      <c r="D317" s="4"/>
      <c r="E317" s="4"/>
      <c r="F317" s="4"/>
      <c r="G317" s="4"/>
      <c r="H317" s="4"/>
      <c r="I317" s="4"/>
      <c r="J317" s="4"/>
      <c r="K317" s="4"/>
      <c r="L317" s="4"/>
      <c r="M317" s="4"/>
      <c r="N317" s="4"/>
      <c r="O317" s="4"/>
      <c r="P317" s="4"/>
      <c r="Q317" s="4"/>
    </row>
    <row r="318" spans="1:17" ht="12.75" customHeight="1">
      <c r="A318" s="4"/>
      <c r="B318" s="4"/>
      <c r="C318" s="3"/>
      <c r="D318" s="4"/>
      <c r="E318" s="4"/>
      <c r="F318" s="4"/>
      <c r="G318" s="4"/>
      <c r="H318" s="4"/>
      <c r="I318" s="4"/>
      <c r="J318" s="4"/>
      <c r="K318" s="4"/>
      <c r="L318" s="4"/>
      <c r="M318" s="4"/>
      <c r="N318" s="4"/>
      <c r="O318" s="4"/>
      <c r="P318" s="4"/>
      <c r="Q318" s="4"/>
    </row>
    <row r="319" spans="1:17" ht="12.75" customHeight="1">
      <c r="A319" s="4"/>
      <c r="B319" s="4"/>
      <c r="C319" s="3"/>
      <c r="D319" s="4"/>
      <c r="E319" s="4"/>
      <c r="F319" s="4"/>
      <c r="G319" s="4"/>
      <c r="H319" s="4"/>
      <c r="I319" s="4"/>
      <c r="J319" s="4"/>
      <c r="K319" s="4"/>
      <c r="L319" s="4"/>
      <c r="M319" s="4"/>
      <c r="N319" s="4"/>
      <c r="O319" s="4"/>
      <c r="P319" s="4"/>
      <c r="Q319" s="4"/>
    </row>
    <row r="320" spans="1:17" ht="12.75" customHeight="1">
      <c r="A320" s="4"/>
      <c r="B320" s="4"/>
      <c r="C320" s="3"/>
      <c r="D320" s="4"/>
      <c r="E320" s="4"/>
      <c r="F320" s="4"/>
      <c r="G320" s="4"/>
      <c r="H320" s="4"/>
      <c r="I320" s="4"/>
      <c r="J320" s="4"/>
      <c r="K320" s="4"/>
      <c r="L320" s="4"/>
      <c r="M320" s="4"/>
      <c r="N320" s="4"/>
      <c r="O320" s="4"/>
      <c r="P320" s="4"/>
      <c r="Q320" s="4"/>
    </row>
    <row r="321" spans="1:17" ht="12.75" customHeight="1">
      <c r="A321" s="4"/>
      <c r="B321" s="4"/>
      <c r="C321" s="3"/>
      <c r="D321" s="4"/>
      <c r="E321" s="4"/>
      <c r="F321" s="4"/>
      <c r="G321" s="4"/>
      <c r="H321" s="4"/>
      <c r="I321" s="4"/>
      <c r="J321" s="4"/>
      <c r="K321" s="4"/>
      <c r="L321" s="4"/>
      <c r="M321" s="4"/>
      <c r="N321" s="4"/>
      <c r="O321" s="4"/>
      <c r="P321" s="4"/>
      <c r="Q321" s="4"/>
    </row>
    <row r="322" spans="1:17" ht="12.75" customHeight="1">
      <c r="A322" s="4"/>
      <c r="B322" s="4"/>
      <c r="C322" s="3"/>
      <c r="D322" s="4"/>
      <c r="E322" s="4"/>
      <c r="F322" s="4"/>
      <c r="G322" s="4"/>
      <c r="H322" s="4"/>
      <c r="I322" s="4"/>
      <c r="J322" s="4"/>
      <c r="K322" s="4"/>
      <c r="L322" s="4"/>
      <c r="M322" s="4"/>
      <c r="N322" s="4"/>
      <c r="O322" s="4"/>
      <c r="P322" s="4"/>
      <c r="Q322" s="4"/>
    </row>
    <row r="323" spans="1:17" ht="12.75" customHeight="1">
      <c r="A323" s="4"/>
      <c r="B323" s="4"/>
      <c r="C323" s="3"/>
      <c r="D323" s="4"/>
      <c r="E323" s="4"/>
      <c r="F323" s="4"/>
      <c r="G323" s="4"/>
      <c r="H323" s="4"/>
      <c r="I323" s="4"/>
      <c r="J323" s="4"/>
      <c r="K323" s="4"/>
      <c r="L323" s="4"/>
      <c r="M323" s="4"/>
      <c r="N323" s="4"/>
      <c r="O323" s="4"/>
      <c r="P323" s="4"/>
      <c r="Q323" s="4"/>
    </row>
    <row r="324" spans="1:17" ht="12.75" customHeight="1">
      <c r="A324" s="4"/>
      <c r="B324" s="4"/>
      <c r="C324" s="3"/>
      <c r="D324" s="4"/>
      <c r="E324" s="4"/>
      <c r="F324" s="4"/>
      <c r="G324" s="4"/>
      <c r="H324" s="4"/>
      <c r="I324" s="4"/>
      <c r="J324" s="4"/>
      <c r="K324" s="4"/>
      <c r="L324" s="4"/>
      <c r="M324" s="4"/>
      <c r="N324" s="4"/>
      <c r="O324" s="4"/>
      <c r="P324" s="4"/>
      <c r="Q324" s="4"/>
    </row>
    <row r="325" spans="1:17" ht="12.75" customHeight="1">
      <c r="A325" s="4"/>
      <c r="B325" s="4"/>
      <c r="C325" s="3"/>
      <c r="D325" s="4"/>
      <c r="E325" s="4"/>
      <c r="F325" s="4"/>
      <c r="G325" s="4"/>
      <c r="H325" s="4"/>
      <c r="I325" s="4"/>
      <c r="J325" s="4"/>
      <c r="K325" s="4"/>
      <c r="L325" s="4"/>
      <c r="M325" s="4"/>
      <c r="N325" s="4"/>
      <c r="O325" s="4"/>
      <c r="P325" s="4"/>
      <c r="Q325" s="4"/>
    </row>
    <row r="326" spans="1:17" ht="12.75" customHeight="1">
      <c r="A326" s="4"/>
      <c r="B326" s="4"/>
      <c r="C326" s="3"/>
      <c r="D326" s="4"/>
      <c r="E326" s="4"/>
      <c r="F326" s="4"/>
      <c r="G326" s="4"/>
      <c r="H326" s="4"/>
      <c r="I326" s="4"/>
      <c r="J326" s="4"/>
      <c r="K326" s="4"/>
      <c r="L326" s="4"/>
      <c r="M326" s="4"/>
      <c r="N326" s="4"/>
      <c r="O326" s="4"/>
      <c r="P326" s="4"/>
      <c r="Q326" s="4"/>
    </row>
    <row r="327" spans="1:17" ht="12.75" customHeight="1">
      <c r="A327" s="4"/>
      <c r="B327" s="4"/>
      <c r="C327" s="3"/>
      <c r="D327" s="4"/>
      <c r="E327" s="4"/>
      <c r="F327" s="4"/>
      <c r="G327" s="4"/>
      <c r="H327" s="4"/>
      <c r="I327" s="4"/>
      <c r="J327" s="4"/>
      <c r="K327" s="4"/>
      <c r="L327" s="4"/>
      <c r="M327" s="4"/>
      <c r="N327" s="4"/>
      <c r="O327" s="4"/>
      <c r="P327" s="4"/>
      <c r="Q327" s="4"/>
    </row>
    <row r="328" spans="1:17" ht="12.75" customHeight="1">
      <c r="A328" s="4"/>
      <c r="B328" s="4"/>
      <c r="C328" s="3"/>
      <c r="D328" s="4"/>
      <c r="E328" s="4"/>
      <c r="F328" s="4"/>
      <c r="G328" s="4"/>
      <c r="H328" s="4"/>
      <c r="I328" s="4"/>
      <c r="J328" s="4"/>
      <c r="K328" s="4"/>
      <c r="L328" s="4"/>
      <c r="M328" s="4"/>
      <c r="N328" s="4"/>
      <c r="O328" s="4"/>
      <c r="P328" s="4"/>
      <c r="Q328" s="4"/>
    </row>
    <row r="329" spans="1:17" ht="12.75" customHeight="1">
      <c r="A329" s="4"/>
      <c r="B329" s="4"/>
      <c r="C329" s="3"/>
      <c r="D329" s="4"/>
      <c r="E329" s="4"/>
      <c r="F329" s="4"/>
      <c r="G329" s="4"/>
      <c r="H329" s="4"/>
      <c r="I329" s="4"/>
      <c r="J329" s="4"/>
      <c r="K329" s="4"/>
      <c r="L329" s="4"/>
      <c r="M329" s="4"/>
      <c r="N329" s="4"/>
      <c r="O329" s="4"/>
      <c r="P329" s="4"/>
      <c r="Q329" s="4"/>
    </row>
    <row r="330" spans="1:17" ht="12.75" customHeight="1">
      <c r="A330" s="4"/>
      <c r="B330" s="4"/>
      <c r="C330" s="3"/>
      <c r="D330" s="4"/>
      <c r="E330" s="4"/>
      <c r="F330" s="4"/>
      <c r="G330" s="4"/>
      <c r="H330" s="4"/>
      <c r="I330" s="4"/>
      <c r="J330" s="4"/>
      <c r="K330" s="4"/>
      <c r="L330" s="4"/>
      <c r="M330" s="4"/>
      <c r="N330" s="4"/>
      <c r="O330" s="4"/>
      <c r="P330" s="4"/>
      <c r="Q330" s="4"/>
    </row>
    <row r="331" spans="1:17" ht="12.75" customHeight="1">
      <c r="A331" s="4"/>
      <c r="B331" s="4"/>
      <c r="C331" s="3"/>
      <c r="D331" s="4"/>
      <c r="E331" s="4"/>
      <c r="F331" s="4"/>
      <c r="G331" s="4"/>
      <c r="H331" s="4"/>
      <c r="I331" s="4"/>
      <c r="J331" s="4"/>
      <c r="K331" s="4"/>
      <c r="L331" s="4"/>
      <c r="M331" s="4"/>
      <c r="N331" s="4"/>
      <c r="O331" s="4"/>
      <c r="P331" s="4"/>
      <c r="Q331" s="4"/>
    </row>
    <row r="332" spans="1:17" ht="12.75" customHeight="1">
      <c r="A332" s="4"/>
      <c r="B332" s="4"/>
      <c r="C332" s="3"/>
      <c r="D332" s="4"/>
      <c r="E332" s="4"/>
      <c r="F332" s="4"/>
      <c r="G332" s="4"/>
      <c r="H332" s="4"/>
      <c r="I332" s="4"/>
      <c r="J332" s="4"/>
      <c r="K332" s="4"/>
      <c r="L332" s="4"/>
      <c r="M332" s="4"/>
      <c r="N332" s="4"/>
      <c r="O332" s="4"/>
      <c r="P332" s="4"/>
      <c r="Q332" s="4"/>
    </row>
    <row r="333" spans="1:17" ht="12.75" customHeight="1">
      <c r="A333" s="4"/>
      <c r="B333" s="4"/>
      <c r="C333" s="3"/>
      <c r="D333" s="4"/>
      <c r="E333" s="4"/>
      <c r="F333" s="4"/>
      <c r="G333" s="4"/>
      <c r="H333" s="4"/>
      <c r="I333" s="4"/>
      <c r="J333" s="4"/>
      <c r="K333" s="4"/>
      <c r="L333" s="4"/>
      <c r="M333" s="4"/>
      <c r="N333" s="4"/>
      <c r="O333" s="4"/>
      <c r="P333" s="4"/>
      <c r="Q333" s="4"/>
    </row>
    <row r="334" spans="1:17" ht="12.75" customHeight="1">
      <c r="A334" s="4"/>
      <c r="B334" s="4"/>
      <c r="C334" s="3"/>
      <c r="D334" s="4"/>
      <c r="E334" s="4"/>
      <c r="F334" s="4"/>
      <c r="G334" s="4"/>
      <c r="H334" s="4"/>
      <c r="I334" s="4"/>
      <c r="J334" s="4"/>
      <c r="K334" s="4"/>
      <c r="L334" s="4"/>
      <c r="M334" s="4"/>
      <c r="N334" s="4"/>
      <c r="O334" s="4"/>
      <c r="P334" s="4"/>
      <c r="Q334" s="4"/>
    </row>
    <row r="335" spans="1:17" ht="12.75" customHeight="1">
      <c r="A335" s="4"/>
      <c r="B335" s="4"/>
      <c r="C335" s="3"/>
      <c r="D335" s="4"/>
      <c r="E335" s="4"/>
      <c r="F335" s="4"/>
      <c r="G335" s="4"/>
      <c r="H335" s="4"/>
      <c r="I335" s="4"/>
      <c r="J335" s="4"/>
      <c r="K335" s="4"/>
      <c r="L335" s="4"/>
      <c r="M335" s="4"/>
      <c r="N335" s="4"/>
      <c r="O335" s="4"/>
      <c r="P335" s="4"/>
      <c r="Q335" s="4"/>
    </row>
    <row r="336" spans="1:17" ht="12.75" customHeight="1">
      <c r="A336" s="4"/>
      <c r="B336" s="4"/>
      <c r="C336" s="3"/>
      <c r="D336" s="4"/>
      <c r="E336" s="4"/>
      <c r="F336" s="4"/>
      <c r="G336" s="4"/>
      <c r="H336" s="4"/>
      <c r="I336" s="4"/>
      <c r="J336" s="4"/>
      <c r="K336" s="4"/>
      <c r="L336" s="4"/>
      <c r="M336" s="4"/>
      <c r="N336" s="4"/>
      <c r="O336" s="4"/>
      <c r="P336" s="4"/>
      <c r="Q336" s="4"/>
    </row>
    <row r="337" spans="1:17" ht="12.75" customHeight="1">
      <c r="A337" s="4"/>
      <c r="B337" s="4"/>
      <c r="C337" s="3"/>
      <c r="D337" s="4"/>
      <c r="E337" s="4"/>
      <c r="F337" s="4"/>
      <c r="G337" s="4"/>
      <c r="H337" s="4"/>
      <c r="I337" s="4"/>
      <c r="J337" s="4"/>
      <c r="K337" s="4"/>
      <c r="L337" s="4"/>
      <c r="M337" s="4"/>
      <c r="N337" s="4"/>
      <c r="O337" s="4"/>
      <c r="P337" s="4"/>
      <c r="Q337" s="4"/>
    </row>
    <row r="338" spans="1:17" ht="12.75" customHeight="1">
      <c r="A338" s="4"/>
      <c r="B338" s="4"/>
      <c r="C338" s="3"/>
      <c r="D338" s="4"/>
      <c r="E338" s="4"/>
      <c r="F338" s="4"/>
      <c r="G338" s="4"/>
      <c r="H338" s="4"/>
      <c r="I338" s="4"/>
      <c r="J338" s="4"/>
      <c r="K338" s="4"/>
      <c r="L338" s="4"/>
      <c r="M338" s="4"/>
      <c r="N338" s="4"/>
      <c r="O338" s="4"/>
      <c r="P338" s="4"/>
      <c r="Q338" s="4"/>
    </row>
    <row r="339" spans="1:17" ht="12.75" customHeight="1">
      <c r="A339" s="4"/>
      <c r="B339" s="4"/>
      <c r="C339" s="3"/>
      <c r="D339" s="4"/>
      <c r="E339" s="4"/>
      <c r="F339" s="4"/>
      <c r="G339" s="4"/>
      <c r="H339" s="4"/>
      <c r="I339" s="4"/>
      <c r="J339" s="4"/>
      <c r="K339" s="4"/>
      <c r="L339" s="4"/>
      <c r="M339" s="4"/>
      <c r="N339" s="4"/>
      <c r="O339" s="4"/>
      <c r="P339" s="4"/>
      <c r="Q339" s="4"/>
    </row>
    <row r="340" spans="1:17" ht="12.75" customHeight="1">
      <c r="A340" s="4"/>
      <c r="B340" s="4"/>
      <c r="C340" s="3"/>
      <c r="D340" s="4"/>
      <c r="E340" s="4"/>
      <c r="F340" s="4"/>
      <c r="G340" s="4"/>
      <c r="H340" s="4"/>
      <c r="I340" s="4"/>
      <c r="J340" s="4"/>
      <c r="K340" s="4"/>
      <c r="L340" s="4"/>
      <c r="M340" s="4"/>
      <c r="N340" s="4"/>
      <c r="O340" s="4"/>
      <c r="P340" s="4"/>
      <c r="Q340" s="4"/>
    </row>
    <row r="341" spans="1:17" ht="12.75" customHeight="1">
      <c r="A341" s="4"/>
      <c r="B341" s="4"/>
      <c r="C341" s="3"/>
      <c r="D341" s="4"/>
      <c r="E341" s="4"/>
      <c r="F341" s="4"/>
      <c r="G341" s="4"/>
      <c r="H341" s="4"/>
      <c r="I341" s="4"/>
      <c r="J341" s="4"/>
      <c r="K341" s="4"/>
      <c r="L341" s="4"/>
      <c r="M341" s="4"/>
      <c r="N341" s="4"/>
      <c r="O341" s="4"/>
      <c r="P341" s="4"/>
      <c r="Q341" s="4"/>
    </row>
    <row r="342" spans="1:17" ht="12.75" customHeight="1">
      <c r="A342" s="4"/>
      <c r="B342" s="4"/>
      <c r="C342" s="3"/>
      <c r="D342" s="4"/>
      <c r="E342" s="4"/>
      <c r="F342" s="4"/>
      <c r="G342" s="4"/>
      <c r="H342" s="4"/>
      <c r="I342" s="4"/>
      <c r="J342" s="4"/>
      <c r="K342" s="4"/>
      <c r="L342" s="4"/>
      <c r="M342" s="4"/>
      <c r="N342" s="4"/>
      <c r="O342" s="4"/>
      <c r="P342" s="4"/>
      <c r="Q342" s="4"/>
    </row>
    <row r="343" spans="1:17" ht="12.75" customHeight="1">
      <c r="A343" s="4"/>
      <c r="B343" s="4"/>
      <c r="C343" s="3"/>
      <c r="D343" s="4"/>
      <c r="E343" s="4"/>
      <c r="F343" s="4"/>
      <c r="G343" s="4"/>
      <c r="H343" s="4"/>
      <c r="I343" s="4"/>
      <c r="J343" s="4"/>
      <c r="K343" s="4"/>
      <c r="L343" s="4"/>
      <c r="M343" s="4"/>
      <c r="N343" s="4"/>
      <c r="O343" s="4"/>
      <c r="P343" s="4"/>
      <c r="Q343" s="4"/>
    </row>
    <row r="344" spans="1:17" ht="12.75" customHeight="1">
      <c r="A344" s="4"/>
      <c r="B344" s="4"/>
      <c r="C344" s="3"/>
      <c r="D344" s="4"/>
      <c r="E344" s="4"/>
      <c r="F344" s="4"/>
      <c r="G344" s="4"/>
      <c r="H344" s="4"/>
      <c r="I344" s="4"/>
      <c r="J344" s="4"/>
      <c r="K344" s="4"/>
      <c r="L344" s="4"/>
      <c r="M344" s="4"/>
      <c r="N344" s="4"/>
      <c r="O344" s="4"/>
      <c r="P344" s="4"/>
      <c r="Q344" s="4"/>
    </row>
    <row r="345" spans="1:17" ht="12.75" customHeight="1">
      <c r="A345" s="4"/>
      <c r="B345" s="4"/>
      <c r="C345" s="3"/>
      <c r="D345" s="4"/>
      <c r="E345" s="4"/>
      <c r="F345" s="4"/>
      <c r="G345" s="4"/>
      <c r="H345" s="4"/>
      <c r="I345" s="4"/>
      <c r="J345" s="4"/>
      <c r="K345" s="4"/>
      <c r="L345" s="4"/>
      <c r="M345" s="4"/>
      <c r="N345" s="4"/>
      <c r="O345" s="4"/>
      <c r="P345" s="4"/>
      <c r="Q345" s="4"/>
    </row>
    <row r="346" spans="1:17" ht="12.75" customHeight="1">
      <c r="A346" s="4"/>
      <c r="B346" s="4"/>
      <c r="C346" s="3"/>
      <c r="D346" s="4"/>
      <c r="E346" s="4"/>
      <c r="F346" s="4"/>
      <c r="G346" s="4"/>
      <c r="H346" s="4"/>
      <c r="I346" s="4"/>
      <c r="J346" s="4"/>
      <c r="K346" s="4"/>
      <c r="L346" s="4"/>
      <c r="M346" s="4"/>
      <c r="N346" s="4"/>
      <c r="O346" s="4"/>
      <c r="P346" s="4"/>
      <c r="Q346" s="4"/>
    </row>
    <row r="347" spans="1:17" ht="12.75" customHeight="1">
      <c r="A347" s="4"/>
      <c r="B347" s="4"/>
      <c r="C347" s="3"/>
      <c r="D347" s="4"/>
      <c r="E347" s="4"/>
      <c r="F347" s="4"/>
      <c r="G347" s="4"/>
      <c r="H347" s="4"/>
      <c r="I347" s="4"/>
      <c r="J347" s="4"/>
      <c r="K347" s="4"/>
      <c r="L347" s="4"/>
      <c r="M347" s="4"/>
      <c r="N347" s="4"/>
      <c r="O347" s="4"/>
      <c r="P347" s="4"/>
      <c r="Q347" s="4"/>
    </row>
    <row r="348" spans="1:17" ht="12.75" customHeight="1">
      <c r="A348" s="4"/>
      <c r="B348" s="4"/>
      <c r="C348" s="3"/>
      <c r="D348" s="4"/>
      <c r="E348" s="4"/>
      <c r="F348" s="4"/>
      <c r="G348" s="4"/>
      <c r="H348" s="4"/>
      <c r="I348" s="4"/>
      <c r="J348" s="4"/>
      <c r="K348" s="4"/>
      <c r="L348" s="4"/>
      <c r="M348" s="4"/>
      <c r="N348" s="4"/>
      <c r="O348" s="4"/>
      <c r="P348" s="4"/>
      <c r="Q348" s="4"/>
    </row>
    <row r="349" spans="1:17" ht="12.75" customHeight="1">
      <c r="A349" s="4"/>
      <c r="B349" s="4"/>
      <c r="C349" s="3"/>
      <c r="D349" s="4"/>
      <c r="E349" s="4"/>
      <c r="F349" s="4"/>
      <c r="G349" s="4"/>
      <c r="H349" s="4"/>
      <c r="I349" s="4"/>
      <c r="J349" s="4"/>
      <c r="K349" s="4"/>
      <c r="L349" s="4"/>
      <c r="M349" s="4"/>
      <c r="N349" s="4"/>
      <c r="O349" s="4"/>
      <c r="P349" s="4"/>
      <c r="Q349" s="4"/>
    </row>
    <row r="350" spans="1:17" ht="12.75" customHeight="1">
      <c r="A350" s="4"/>
      <c r="B350" s="4"/>
      <c r="C350" s="3"/>
      <c r="D350" s="4"/>
      <c r="E350" s="4"/>
      <c r="F350" s="4"/>
      <c r="G350" s="4"/>
      <c r="H350" s="4"/>
      <c r="I350" s="4"/>
      <c r="J350" s="4"/>
      <c r="K350" s="4"/>
      <c r="L350" s="4"/>
      <c r="M350" s="4"/>
      <c r="N350" s="4"/>
      <c r="O350" s="4"/>
      <c r="P350" s="4"/>
      <c r="Q350" s="4"/>
    </row>
    <row r="351" spans="1:17" ht="12.75" customHeight="1">
      <c r="A351" s="4"/>
      <c r="B351" s="4"/>
      <c r="C351" s="3"/>
      <c r="D351" s="4"/>
      <c r="E351" s="4"/>
      <c r="F351" s="4"/>
      <c r="G351" s="4"/>
      <c r="H351" s="4"/>
      <c r="I351" s="4"/>
      <c r="J351" s="4"/>
      <c r="K351" s="4"/>
      <c r="L351" s="4"/>
      <c r="M351" s="4"/>
      <c r="N351" s="4"/>
      <c r="O351" s="4"/>
      <c r="P351" s="4"/>
      <c r="Q351" s="4"/>
    </row>
    <row r="352" spans="1:17" ht="12.75" customHeight="1">
      <c r="A352" s="4"/>
      <c r="B352" s="4"/>
      <c r="C352" s="3"/>
      <c r="D352" s="4"/>
      <c r="E352" s="4"/>
      <c r="F352" s="4"/>
      <c r="G352" s="4"/>
      <c r="H352" s="4"/>
      <c r="I352" s="4"/>
      <c r="J352" s="4"/>
      <c r="K352" s="4"/>
      <c r="L352" s="4"/>
      <c r="M352" s="4"/>
      <c r="N352" s="4"/>
      <c r="O352" s="4"/>
      <c r="P352" s="4"/>
      <c r="Q352" s="4"/>
    </row>
    <row r="353" spans="1:17" ht="12.75" customHeight="1">
      <c r="A353" s="4"/>
      <c r="B353" s="4"/>
      <c r="C353" s="3"/>
      <c r="D353" s="4"/>
      <c r="E353" s="4"/>
      <c r="F353" s="4"/>
      <c r="G353" s="4"/>
      <c r="H353" s="4"/>
      <c r="I353" s="4"/>
      <c r="J353" s="4"/>
      <c r="K353" s="4"/>
      <c r="L353" s="4"/>
      <c r="M353" s="4"/>
      <c r="N353" s="4"/>
      <c r="O353" s="4"/>
      <c r="P353" s="4"/>
      <c r="Q353" s="4"/>
    </row>
    <row r="354" spans="1:17" ht="12.75" customHeight="1">
      <c r="A354" s="4"/>
      <c r="B354" s="4"/>
      <c r="C354" s="3"/>
      <c r="D354" s="4"/>
      <c r="E354" s="4"/>
      <c r="F354" s="4"/>
      <c r="G354" s="4"/>
      <c r="H354" s="4"/>
      <c r="I354" s="4"/>
      <c r="J354" s="4"/>
      <c r="K354" s="4"/>
      <c r="L354" s="4"/>
      <c r="M354" s="4"/>
      <c r="N354" s="4"/>
      <c r="O354" s="4"/>
      <c r="P354" s="4"/>
      <c r="Q354" s="4"/>
    </row>
    <row r="355" spans="1:17" ht="12.75" customHeight="1">
      <c r="A355" s="4"/>
      <c r="B355" s="4"/>
      <c r="C355" s="3"/>
      <c r="D355" s="4"/>
      <c r="E355" s="4"/>
      <c r="F355" s="4"/>
      <c r="G355" s="4"/>
      <c r="H355" s="4"/>
      <c r="I355" s="4"/>
      <c r="J355" s="4"/>
      <c r="K355" s="4"/>
      <c r="L355" s="4"/>
      <c r="M355" s="4"/>
      <c r="N355" s="4"/>
      <c r="O355" s="4"/>
      <c r="P355" s="4"/>
      <c r="Q355" s="4"/>
    </row>
    <row r="356" spans="1:17" ht="12.75" customHeight="1">
      <c r="A356" s="4"/>
      <c r="B356" s="4"/>
      <c r="C356" s="3"/>
      <c r="D356" s="4"/>
      <c r="E356" s="4"/>
      <c r="F356" s="4"/>
      <c r="G356" s="4"/>
      <c r="H356" s="4"/>
      <c r="I356" s="4"/>
      <c r="J356" s="4"/>
      <c r="K356" s="4"/>
      <c r="L356" s="4"/>
      <c r="M356" s="4"/>
      <c r="N356" s="4"/>
      <c r="O356" s="4"/>
      <c r="P356" s="4"/>
      <c r="Q356" s="4"/>
    </row>
    <row r="357" spans="1:17" ht="12.75" customHeight="1">
      <c r="A357" s="4"/>
      <c r="B357" s="4"/>
      <c r="C357" s="3"/>
      <c r="D357" s="4"/>
      <c r="E357" s="4"/>
      <c r="F357" s="4"/>
      <c r="G357" s="4"/>
      <c r="H357" s="4"/>
      <c r="I357" s="4"/>
      <c r="J357" s="4"/>
      <c r="K357" s="4"/>
      <c r="L357" s="4"/>
      <c r="M357" s="4"/>
      <c r="N357" s="4"/>
      <c r="O357" s="4"/>
      <c r="P357" s="4"/>
      <c r="Q357" s="4"/>
    </row>
    <row r="358" spans="1:17" ht="12.75" customHeight="1">
      <c r="A358" s="4"/>
      <c r="B358" s="4"/>
      <c r="C358" s="3"/>
      <c r="D358" s="4"/>
      <c r="E358" s="4"/>
      <c r="F358" s="4"/>
      <c r="G358" s="4"/>
      <c r="H358" s="4"/>
      <c r="I358" s="4"/>
      <c r="J358" s="4"/>
      <c r="K358" s="4"/>
      <c r="L358" s="4"/>
      <c r="M358" s="4"/>
      <c r="N358" s="4"/>
      <c r="O358" s="4"/>
      <c r="P358" s="4"/>
      <c r="Q358" s="4"/>
    </row>
    <row r="359" spans="1:17" ht="12.75" customHeight="1">
      <c r="A359" s="4"/>
      <c r="B359" s="4"/>
      <c r="C359" s="3"/>
      <c r="D359" s="4"/>
      <c r="E359" s="4"/>
      <c r="F359" s="4"/>
      <c r="G359" s="4"/>
      <c r="H359" s="4"/>
      <c r="I359" s="4"/>
      <c r="J359" s="4"/>
      <c r="K359" s="4"/>
      <c r="L359" s="4"/>
      <c r="M359" s="4"/>
      <c r="N359" s="4"/>
      <c r="O359" s="4"/>
      <c r="P359" s="4"/>
      <c r="Q359" s="4"/>
    </row>
    <row r="360" spans="1:17" ht="12.75" customHeight="1">
      <c r="A360" s="4"/>
      <c r="B360" s="4"/>
      <c r="C360" s="3"/>
      <c r="D360" s="4"/>
      <c r="E360" s="4"/>
      <c r="F360" s="4"/>
      <c r="G360" s="4"/>
      <c r="H360" s="4"/>
      <c r="I360" s="4"/>
      <c r="J360" s="4"/>
      <c r="K360" s="4"/>
      <c r="L360" s="4"/>
      <c r="M360" s="4"/>
      <c r="N360" s="4"/>
      <c r="O360" s="4"/>
      <c r="P360" s="4"/>
      <c r="Q360" s="4"/>
    </row>
    <row r="361" spans="1:17" ht="12.75" customHeight="1">
      <c r="A361" s="4"/>
      <c r="B361" s="4"/>
      <c r="C361" s="3"/>
      <c r="D361" s="4"/>
      <c r="E361" s="4"/>
      <c r="F361" s="4"/>
      <c r="G361" s="4"/>
      <c r="H361" s="4"/>
      <c r="I361" s="4"/>
      <c r="J361" s="4"/>
      <c r="K361" s="4"/>
      <c r="L361" s="4"/>
      <c r="M361" s="4"/>
      <c r="N361" s="4"/>
      <c r="O361" s="4"/>
      <c r="P361" s="4"/>
      <c r="Q361" s="4"/>
    </row>
    <row r="362" spans="1:17" ht="12.75" customHeight="1">
      <c r="A362" s="4"/>
      <c r="B362" s="4"/>
      <c r="C362" s="3"/>
      <c r="D362" s="4"/>
      <c r="E362" s="4"/>
      <c r="F362" s="4"/>
      <c r="G362" s="4"/>
      <c r="H362" s="4"/>
      <c r="I362" s="4"/>
      <c r="J362" s="4"/>
      <c r="K362" s="4"/>
      <c r="L362" s="4"/>
      <c r="M362" s="4"/>
      <c r="N362" s="4"/>
      <c r="O362" s="4"/>
      <c r="P362" s="4"/>
      <c r="Q362" s="4"/>
    </row>
    <row r="363" spans="1:17" ht="12.75" customHeight="1">
      <c r="A363" s="4"/>
      <c r="B363" s="4"/>
      <c r="C363" s="3"/>
      <c r="D363" s="4"/>
      <c r="E363" s="4"/>
      <c r="F363" s="4"/>
      <c r="G363" s="4"/>
      <c r="H363" s="4"/>
      <c r="I363" s="4"/>
      <c r="J363" s="4"/>
      <c r="K363" s="4"/>
      <c r="L363" s="4"/>
      <c r="M363" s="4"/>
      <c r="N363" s="4"/>
      <c r="O363" s="4"/>
      <c r="P363" s="4"/>
      <c r="Q363" s="4"/>
    </row>
    <row r="364" spans="1:17" ht="12.75" customHeight="1">
      <c r="A364" s="4"/>
      <c r="B364" s="4"/>
      <c r="C364" s="3"/>
      <c r="D364" s="4"/>
      <c r="E364" s="4"/>
      <c r="F364" s="4"/>
      <c r="G364" s="4"/>
      <c r="H364" s="4"/>
      <c r="I364" s="4"/>
      <c r="J364" s="4"/>
      <c r="K364" s="4"/>
      <c r="L364" s="4"/>
      <c r="M364" s="4"/>
      <c r="N364" s="4"/>
      <c r="O364" s="4"/>
      <c r="P364" s="4"/>
      <c r="Q364" s="4"/>
    </row>
    <row r="365" spans="1:17" ht="12.75" customHeight="1">
      <c r="A365" s="4"/>
      <c r="B365" s="4"/>
      <c r="C365" s="3"/>
      <c r="D365" s="4"/>
      <c r="E365" s="4"/>
      <c r="F365" s="4"/>
      <c r="G365" s="4"/>
      <c r="H365" s="4"/>
      <c r="I365" s="4"/>
      <c r="J365" s="4"/>
      <c r="K365" s="4"/>
      <c r="L365" s="4"/>
      <c r="M365" s="4"/>
      <c r="N365" s="4"/>
      <c r="O365" s="4"/>
      <c r="P365" s="4"/>
      <c r="Q365" s="4"/>
    </row>
    <row r="366" spans="1:17" ht="12.75" customHeight="1">
      <c r="A366" s="4"/>
      <c r="B366" s="4"/>
      <c r="C366" s="3"/>
      <c r="D366" s="4"/>
      <c r="E366" s="4"/>
      <c r="F366" s="4"/>
      <c r="G366" s="4"/>
      <c r="H366" s="4"/>
      <c r="I366" s="4"/>
      <c r="J366" s="4"/>
      <c r="K366" s="4"/>
      <c r="L366" s="4"/>
      <c r="M366" s="4"/>
      <c r="N366" s="4"/>
      <c r="O366" s="4"/>
      <c r="P366" s="4"/>
      <c r="Q366" s="4"/>
    </row>
    <row r="367" spans="1:17" ht="12.75" customHeight="1">
      <c r="A367" s="4"/>
      <c r="B367" s="4"/>
      <c r="C367" s="3"/>
      <c r="D367" s="4"/>
      <c r="E367" s="4"/>
      <c r="F367" s="4"/>
      <c r="G367" s="4"/>
      <c r="H367" s="4"/>
      <c r="I367" s="4"/>
      <c r="J367" s="4"/>
      <c r="K367" s="4"/>
      <c r="L367" s="4"/>
      <c r="M367" s="4"/>
      <c r="N367" s="4"/>
      <c r="O367" s="4"/>
      <c r="P367" s="4"/>
      <c r="Q367" s="4"/>
    </row>
    <row r="368" spans="1:17" ht="12.75" customHeight="1">
      <c r="A368" s="4"/>
      <c r="B368" s="4"/>
      <c r="C368" s="3"/>
      <c r="D368" s="4"/>
      <c r="E368" s="4"/>
      <c r="F368" s="4"/>
      <c r="G368" s="4"/>
      <c r="H368" s="4"/>
      <c r="I368" s="4"/>
      <c r="J368" s="4"/>
      <c r="K368" s="4"/>
      <c r="L368" s="4"/>
      <c r="M368" s="4"/>
      <c r="N368" s="4"/>
      <c r="O368" s="4"/>
      <c r="P368" s="4"/>
      <c r="Q368" s="4"/>
    </row>
    <row r="369" spans="1:17" ht="12.75" customHeight="1">
      <c r="A369" s="4"/>
      <c r="B369" s="4"/>
      <c r="C369" s="3"/>
      <c r="D369" s="4"/>
      <c r="E369" s="4"/>
      <c r="F369" s="4"/>
      <c r="G369" s="4"/>
      <c r="H369" s="4"/>
      <c r="I369" s="4"/>
      <c r="J369" s="4"/>
      <c r="K369" s="4"/>
      <c r="L369" s="4"/>
      <c r="M369" s="4"/>
      <c r="N369" s="4"/>
      <c r="O369" s="4"/>
      <c r="P369" s="4"/>
      <c r="Q369" s="4"/>
    </row>
    <row r="370" spans="1:17" ht="12.75" customHeight="1">
      <c r="A370" s="4"/>
      <c r="B370" s="4"/>
      <c r="C370" s="3"/>
      <c r="D370" s="4"/>
      <c r="E370" s="4"/>
      <c r="F370" s="4"/>
      <c r="G370" s="4"/>
      <c r="H370" s="4"/>
      <c r="I370" s="4"/>
      <c r="J370" s="4"/>
      <c r="K370" s="4"/>
      <c r="L370" s="4"/>
      <c r="M370" s="4"/>
      <c r="N370" s="4"/>
      <c r="O370" s="4"/>
      <c r="P370" s="4"/>
      <c r="Q370" s="4"/>
    </row>
    <row r="371" spans="1:17" ht="12.75" customHeight="1">
      <c r="A371" s="4"/>
      <c r="B371" s="4"/>
      <c r="C371" s="3"/>
      <c r="D371" s="4"/>
      <c r="E371" s="4"/>
      <c r="F371" s="4"/>
      <c r="G371" s="4"/>
      <c r="H371" s="4"/>
      <c r="I371" s="4"/>
      <c r="J371" s="4"/>
      <c r="K371" s="4"/>
      <c r="L371" s="4"/>
      <c r="M371" s="4"/>
      <c r="N371" s="4"/>
      <c r="O371" s="4"/>
      <c r="P371" s="4"/>
      <c r="Q371" s="4"/>
    </row>
    <row r="372" spans="1:17" ht="12.75" customHeight="1">
      <c r="A372" s="4"/>
      <c r="B372" s="4"/>
      <c r="C372" s="3"/>
      <c r="D372" s="4"/>
      <c r="E372" s="4"/>
      <c r="F372" s="4"/>
      <c r="G372" s="4"/>
      <c r="H372" s="4"/>
      <c r="I372" s="4"/>
      <c r="J372" s="4"/>
      <c r="K372" s="4"/>
      <c r="L372" s="4"/>
      <c r="M372" s="4"/>
      <c r="N372" s="4"/>
      <c r="O372" s="4"/>
      <c r="P372" s="4"/>
      <c r="Q372" s="4"/>
    </row>
    <row r="373" spans="1:17" ht="12.75" customHeight="1">
      <c r="A373" s="4"/>
      <c r="B373" s="4"/>
      <c r="C373" s="3"/>
      <c r="D373" s="4"/>
      <c r="E373" s="4"/>
      <c r="F373" s="4"/>
      <c r="G373" s="4"/>
      <c r="H373" s="4"/>
      <c r="I373" s="4"/>
      <c r="J373" s="4"/>
      <c r="K373" s="4"/>
      <c r="L373" s="4"/>
      <c r="M373" s="4"/>
      <c r="N373" s="4"/>
      <c r="O373" s="4"/>
      <c r="P373" s="4"/>
      <c r="Q373" s="4"/>
    </row>
    <row r="374" spans="1:17" ht="12.75" customHeight="1">
      <c r="A374" s="4"/>
      <c r="B374" s="4"/>
      <c r="C374" s="3"/>
      <c r="D374" s="4"/>
      <c r="E374" s="4"/>
      <c r="F374" s="4"/>
      <c r="G374" s="4"/>
      <c r="H374" s="4"/>
      <c r="I374" s="4"/>
      <c r="J374" s="4"/>
      <c r="K374" s="4"/>
      <c r="L374" s="4"/>
      <c r="M374" s="4"/>
      <c r="N374" s="4"/>
      <c r="O374" s="4"/>
      <c r="P374" s="4"/>
      <c r="Q374" s="4"/>
    </row>
    <row r="375" spans="1:17" ht="12.75" customHeight="1">
      <c r="A375" s="4"/>
      <c r="B375" s="4"/>
      <c r="C375" s="3"/>
      <c r="D375" s="4"/>
      <c r="E375" s="4"/>
      <c r="F375" s="4"/>
      <c r="G375" s="4"/>
      <c r="H375" s="4"/>
      <c r="I375" s="4"/>
      <c r="J375" s="4"/>
      <c r="K375" s="4"/>
      <c r="L375" s="4"/>
      <c r="M375" s="4"/>
      <c r="N375" s="4"/>
      <c r="O375" s="4"/>
      <c r="P375" s="4"/>
      <c r="Q375" s="4"/>
    </row>
    <row r="376" spans="1:17" ht="12.75" customHeight="1">
      <c r="A376" s="4"/>
      <c r="B376" s="4"/>
      <c r="C376" s="3"/>
      <c r="D376" s="4"/>
      <c r="E376" s="4"/>
      <c r="F376" s="4"/>
      <c r="G376" s="4"/>
      <c r="H376" s="4"/>
      <c r="I376" s="4"/>
      <c r="J376" s="4"/>
      <c r="K376" s="4"/>
      <c r="L376" s="4"/>
      <c r="M376" s="4"/>
      <c r="N376" s="4"/>
      <c r="O376" s="4"/>
      <c r="P376" s="4"/>
      <c r="Q376" s="4"/>
    </row>
    <row r="377" spans="1:17" ht="12.75" customHeight="1">
      <c r="A377" s="4"/>
      <c r="B377" s="4"/>
      <c r="C377" s="3"/>
      <c r="D377" s="4"/>
      <c r="E377" s="4"/>
      <c r="F377" s="4"/>
      <c r="G377" s="4"/>
      <c r="H377" s="4"/>
      <c r="I377" s="4"/>
      <c r="J377" s="4"/>
      <c r="K377" s="4"/>
      <c r="L377" s="4"/>
      <c r="M377" s="4"/>
      <c r="N377" s="4"/>
      <c r="O377" s="4"/>
      <c r="P377" s="4"/>
      <c r="Q377" s="4"/>
    </row>
    <row r="378" spans="1:17" ht="12.75" customHeight="1">
      <c r="A378" s="4"/>
      <c r="B378" s="4"/>
      <c r="C378" s="3"/>
      <c r="D378" s="4"/>
      <c r="E378" s="4"/>
      <c r="F378" s="4"/>
      <c r="G378" s="4"/>
      <c r="H378" s="4"/>
      <c r="I378" s="4"/>
      <c r="J378" s="4"/>
      <c r="K378" s="4"/>
      <c r="L378" s="4"/>
      <c r="M378" s="4"/>
      <c r="N378" s="4"/>
      <c r="O378" s="4"/>
      <c r="P378" s="4"/>
      <c r="Q378" s="4"/>
    </row>
    <row r="379" spans="1:17" ht="12.75" customHeight="1">
      <c r="A379" s="4"/>
      <c r="B379" s="4"/>
      <c r="C379" s="3"/>
      <c r="D379" s="4"/>
      <c r="E379" s="4"/>
      <c r="F379" s="4"/>
      <c r="G379" s="4"/>
      <c r="H379" s="4"/>
      <c r="I379" s="4"/>
      <c r="J379" s="4"/>
      <c r="K379" s="4"/>
      <c r="L379" s="4"/>
      <c r="M379" s="4"/>
      <c r="N379" s="4"/>
      <c r="O379" s="4"/>
      <c r="P379" s="4"/>
      <c r="Q379" s="4"/>
    </row>
    <row r="380" spans="1:17" ht="12.75" customHeight="1">
      <c r="A380" s="4"/>
      <c r="B380" s="4"/>
      <c r="C380" s="3"/>
      <c r="D380" s="4"/>
      <c r="E380" s="4"/>
      <c r="F380" s="4"/>
      <c r="G380" s="4"/>
      <c r="H380" s="4"/>
      <c r="I380" s="4"/>
      <c r="J380" s="4"/>
      <c r="K380" s="4"/>
      <c r="L380" s="4"/>
      <c r="M380" s="4"/>
      <c r="N380" s="4"/>
      <c r="O380" s="4"/>
      <c r="P380" s="4"/>
      <c r="Q380" s="4"/>
    </row>
    <row r="381" spans="1:17" ht="12.75" customHeight="1">
      <c r="A381" s="4"/>
      <c r="B381" s="4"/>
      <c r="C381" s="3"/>
      <c r="D381" s="4"/>
      <c r="E381" s="4"/>
      <c r="F381" s="4"/>
      <c r="G381" s="4"/>
      <c r="H381" s="4"/>
      <c r="I381" s="4"/>
      <c r="J381" s="4"/>
      <c r="K381" s="4"/>
      <c r="L381" s="4"/>
      <c r="M381" s="4"/>
      <c r="N381" s="4"/>
      <c r="O381" s="4"/>
      <c r="P381" s="4"/>
      <c r="Q381" s="4"/>
    </row>
    <row r="382" spans="1:17" ht="12.75" customHeight="1">
      <c r="A382" s="4"/>
      <c r="B382" s="4"/>
      <c r="C382" s="3"/>
      <c r="D382" s="4"/>
      <c r="E382" s="4"/>
      <c r="F382" s="4"/>
      <c r="G382" s="4"/>
      <c r="H382" s="4"/>
      <c r="I382" s="4"/>
      <c r="J382" s="4"/>
      <c r="K382" s="4"/>
      <c r="L382" s="4"/>
      <c r="M382" s="4"/>
      <c r="N382" s="4"/>
      <c r="O382" s="4"/>
      <c r="P382" s="4"/>
      <c r="Q382" s="4"/>
    </row>
    <row r="383" spans="1:17" ht="12.75" customHeight="1">
      <c r="A383" s="4"/>
      <c r="B383" s="4"/>
      <c r="C383" s="3"/>
      <c r="D383" s="4"/>
      <c r="E383" s="4"/>
      <c r="F383" s="4"/>
      <c r="G383" s="4"/>
      <c r="H383" s="4"/>
      <c r="I383" s="4"/>
      <c r="J383" s="4"/>
      <c r="K383" s="4"/>
      <c r="L383" s="4"/>
      <c r="M383" s="4"/>
      <c r="N383" s="4"/>
      <c r="O383" s="4"/>
      <c r="P383" s="4"/>
      <c r="Q383" s="4"/>
    </row>
    <row r="384" spans="1:17" ht="12.75" customHeight="1">
      <c r="A384" s="4"/>
      <c r="B384" s="4"/>
      <c r="C384" s="3"/>
      <c r="D384" s="4"/>
      <c r="E384" s="4"/>
      <c r="F384" s="4"/>
      <c r="G384" s="4"/>
      <c r="H384" s="4"/>
      <c r="I384" s="4"/>
      <c r="J384" s="4"/>
      <c r="K384" s="4"/>
      <c r="L384" s="4"/>
      <c r="M384" s="4"/>
      <c r="N384" s="4"/>
      <c r="O384" s="4"/>
      <c r="P384" s="4"/>
      <c r="Q384" s="4"/>
    </row>
    <row r="385" spans="1:17" ht="12.75" customHeight="1">
      <c r="A385" s="4"/>
      <c r="B385" s="4"/>
      <c r="C385" s="3"/>
      <c r="D385" s="4"/>
      <c r="E385" s="4"/>
      <c r="F385" s="4"/>
      <c r="G385" s="4"/>
      <c r="H385" s="4"/>
      <c r="I385" s="4"/>
      <c r="J385" s="4"/>
      <c r="K385" s="4"/>
      <c r="L385" s="4"/>
      <c r="M385" s="4"/>
      <c r="N385" s="4"/>
      <c r="O385" s="4"/>
      <c r="P385" s="4"/>
      <c r="Q385" s="4"/>
    </row>
    <row r="386" spans="1:17" ht="12.75" customHeight="1">
      <c r="A386" s="4"/>
      <c r="B386" s="4"/>
      <c r="C386" s="3"/>
      <c r="D386" s="4"/>
      <c r="E386" s="4"/>
      <c r="F386" s="4"/>
      <c r="G386" s="4"/>
      <c r="H386" s="4"/>
      <c r="I386" s="4"/>
      <c r="J386" s="4"/>
      <c r="K386" s="4"/>
      <c r="L386" s="4"/>
      <c r="M386" s="4"/>
      <c r="N386" s="4"/>
      <c r="O386" s="4"/>
      <c r="P386" s="4"/>
      <c r="Q386" s="4"/>
    </row>
    <row r="387" spans="1:17" ht="12.75" customHeight="1">
      <c r="A387" s="4"/>
      <c r="B387" s="4"/>
      <c r="C387" s="3"/>
      <c r="D387" s="4"/>
      <c r="E387" s="4"/>
      <c r="F387" s="4"/>
      <c r="G387" s="4"/>
      <c r="H387" s="4"/>
      <c r="I387" s="4"/>
      <c r="J387" s="4"/>
      <c r="K387" s="4"/>
      <c r="L387" s="4"/>
      <c r="M387" s="4"/>
      <c r="N387" s="4"/>
      <c r="O387" s="4"/>
      <c r="P387" s="4"/>
      <c r="Q387" s="4"/>
    </row>
    <row r="388" spans="1:17" ht="12.75" customHeight="1">
      <c r="A388" s="4"/>
      <c r="B388" s="4"/>
      <c r="C388" s="3"/>
      <c r="D388" s="4"/>
      <c r="E388" s="4"/>
      <c r="F388" s="4"/>
      <c r="G388" s="4"/>
      <c r="H388" s="4"/>
      <c r="I388" s="4"/>
      <c r="J388" s="4"/>
      <c r="K388" s="4"/>
      <c r="L388" s="4"/>
      <c r="M388" s="4"/>
      <c r="N388" s="4"/>
      <c r="O388" s="4"/>
      <c r="P388" s="4"/>
      <c r="Q388" s="4"/>
    </row>
    <row r="389" spans="1:17" ht="12.75" customHeight="1">
      <c r="A389" s="4"/>
      <c r="B389" s="4"/>
      <c r="C389" s="3"/>
      <c r="D389" s="4"/>
      <c r="E389" s="4"/>
      <c r="F389" s="4"/>
      <c r="G389" s="4"/>
      <c r="H389" s="4"/>
      <c r="I389" s="4"/>
      <c r="J389" s="4"/>
      <c r="K389" s="4"/>
      <c r="L389" s="4"/>
      <c r="M389" s="4"/>
      <c r="N389" s="4"/>
      <c r="O389" s="4"/>
      <c r="P389" s="4"/>
      <c r="Q389" s="4"/>
    </row>
    <row r="390" spans="1:17" ht="12.75" customHeight="1">
      <c r="A390" s="4"/>
      <c r="B390" s="4"/>
      <c r="C390" s="3"/>
      <c r="D390" s="4"/>
      <c r="E390" s="4"/>
      <c r="F390" s="4"/>
      <c r="G390" s="4"/>
      <c r="H390" s="4"/>
      <c r="I390" s="4"/>
      <c r="J390" s="4"/>
      <c r="K390" s="4"/>
      <c r="L390" s="4"/>
      <c r="M390" s="4"/>
      <c r="N390" s="4"/>
      <c r="O390" s="4"/>
      <c r="P390" s="4"/>
      <c r="Q390" s="4"/>
    </row>
    <row r="391" spans="1:17" ht="12.75" customHeight="1">
      <c r="A391" s="4"/>
      <c r="B391" s="4"/>
      <c r="C391" s="3"/>
      <c r="D391" s="4"/>
      <c r="E391" s="4"/>
      <c r="F391" s="4"/>
      <c r="G391" s="4"/>
      <c r="H391" s="4"/>
      <c r="I391" s="4"/>
      <c r="J391" s="4"/>
      <c r="K391" s="4"/>
      <c r="L391" s="4"/>
      <c r="M391" s="4"/>
      <c r="N391" s="4"/>
      <c r="O391" s="4"/>
      <c r="P391" s="4"/>
      <c r="Q391" s="4"/>
    </row>
    <row r="392" spans="1:17" ht="12.75" customHeight="1">
      <c r="A392" s="4"/>
      <c r="B392" s="4"/>
      <c r="C392" s="3"/>
      <c r="D392" s="4"/>
      <c r="E392" s="4"/>
      <c r="F392" s="4"/>
      <c r="G392" s="4"/>
      <c r="H392" s="4"/>
      <c r="I392" s="4"/>
      <c r="J392" s="4"/>
      <c r="K392" s="4"/>
      <c r="L392" s="4"/>
      <c r="M392" s="4"/>
      <c r="N392" s="4"/>
      <c r="O392" s="4"/>
      <c r="P392" s="4"/>
      <c r="Q392" s="4"/>
    </row>
    <row r="393" spans="1:17" ht="12.75" customHeight="1">
      <c r="A393" s="4"/>
      <c r="B393" s="4"/>
      <c r="C393" s="3"/>
      <c r="D393" s="4"/>
      <c r="E393" s="4"/>
      <c r="F393" s="4"/>
      <c r="G393" s="4"/>
      <c r="H393" s="4"/>
      <c r="I393" s="4"/>
      <c r="J393" s="4"/>
      <c r="K393" s="4"/>
      <c r="L393" s="4"/>
      <c r="M393" s="4"/>
      <c r="N393" s="4"/>
      <c r="O393" s="4"/>
      <c r="P393" s="4"/>
      <c r="Q393" s="4"/>
    </row>
    <row r="394" spans="1:17" ht="12.75" customHeight="1">
      <c r="A394" s="4"/>
      <c r="B394" s="4"/>
      <c r="C394" s="3"/>
      <c r="D394" s="4"/>
      <c r="E394" s="4"/>
      <c r="F394" s="4"/>
      <c r="G394" s="4"/>
      <c r="H394" s="4"/>
      <c r="I394" s="4"/>
      <c r="J394" s="4"/>
      <c r="K394" s="4"/>
      <c r="L394" s="4"/>
      <c r="M394" s="4"/>
      <c r="N394" s="4"/>
      <c r="O394" s="4"/>
      <c r="P394" s="4"/>
      <c r="Q394" s="4"/>
    </row>
    <row r="395" spans="1:17" ht="12.75" customHeight="1">
      <c r="A395" s="4"/>
      <c r="B395" s="4"/>
      <c r="C395" s="3"/>
      <c r="D395" s="4"/>
      <c r="E395" s="4"/>
      <c r="F395" s="4"/>
      <c r="G395" s="4"/>
      <c r="H395" s="4"/>
      <c r="I395" s="4"/>
      <c r="J395" s="4"/>
      <c r="K395" s="4"/>
      <c r="L395" s="4"/>
      <c r="M395" s="4"/>
      <c r="N395" s="4"/>
      <c r="O395" s="4"/>
      <c r="P395" s="4"/>
      <c r="Q395" s="4"/>
    </row>
    <row r="396" spans="1:17" ht="12.75" customHeight="1">
      <c r="A396" s="4"/>
      <c r="B396" s="4"/>
      <c r="C396" s="3"/>
      <c r="D396" s="4"/>
      <c r="E396" s="4"/>
      <c r="F396" s="4"/>
      <c r="G396" s="4"/>
      <c r="H396" s="4"/>
      <c r="I396" s="4"/>
      <c r="J396" s="4"/>
      <c r="K396" s="4"/>
      <c r="L396" s="4"/>
      <c r="M396" s="4"/>
      <c r="N396" s="4"/>
      <c r="O396" s="4"/>
      <c r="P396" s="4"/>
      <c r="Q396" s="4"/>
    </row>
    <row r="397" spans="1:17" ht="12.75" customHeight="1">
      <c r="A397" s="4"/>
      <c r="B397" s="4"/>
      <c r="C397" s="3"/>
      <c r="D397" s="4"/>
      <c r="E397" s="4"/>
      <c r="F397" s="4"/>
      <c r="G397" s="4"/>
      <c r="H397" s="4"/>
      <c r="I397" s="4"/>
      <c r="J397" s="4"/>
      <c r="K397" s="4"/>
      <c r="L397" s="4"/>
      <c r="M397" s="4"/>
      <c r="N397" s="4"/>
      <c r="O397" s="4"/>
      <c r="P397" s="4"/>
      <c r="Q397" s="4"/>
    </row>
    <row r="398" spans="1:17" ht="12.75" customHeight="1">
      <c r="A398" s="4"/>
      <c r="B398" s="4"/>
      <c r="C398" s="3"/>
      <c r="D398" s="4"/>
      <c r="E398" s="4"/>
      <c r="F398" s="4"/>
      <c r="G398" s="4"/>
      <c r="H398" s="4"/>
      <c r="I398" s="4"/>
      <c r="J398" s="4"/>
      <c r="K398" s="4"/>
      <c r="L398" s="4"/>
      <c r="M398" s="4"/>
      <c r="N398" s="4"/>
      <c r="O398" s="4"/>
      <c r="P398" s="4"/>
      <c r="Q398" s="4"/>
    </row>
    <row r="399" spans="1:17" ht="12.75" customHeight="1">
      <c r="A399" s="4"/>
      <c r="B399" s="4"/>
      <c r="C399" s="3"/>
      <c r="D399" s="4"/>
      <c r="E399" s="4"/>
      <c r="F399" s="4"/>
      <c r="G399" s="4"/>
      <c r="H399" s="4"/>
      <c r="I399" s="4"/>
      <c r="J399" s="4"/>
      <c r="K399" s="4"/>
      <c r="L399" s="4"/>
      <c r="M399" s="4"/>
      <c r="N399" s="4"/>
      <c r="O399" s="4"/>
      <c r="P399" s="4"/>
      <c r="Q399" s="4"/>
    </row>
    <row r="400" spans="1:17" ht="12.75" customHeight="1">
      <c r="A400" s="4"/>
      <c r="B400" s="4"/>
      <c r="C400" s="3"/>
      <c r="D400" s="4"/>
      <c r="E400" s="4"/>
      <c r="F400" s="4"/>
      <c r="G400" s="4"/>
      <c r="H400" s="4"/>
      <c r="I400" s="4"/>
      <c r="J400" s="4"/>
      <c r="K400" s="4"/>
      <c r="L400" s="4"/>
      <c r="M400" s="4"/>
      <c r="N400" s="4"/>
      <c r="O400" s="4"/>
      <c r="P400" s="4"/>
      <c r="Q400" s="4"/>
    </row>
    <row r="401" spans="1:17" ht="12.75" customHeight="1">
      <c r="A401" s="4"/>
      <c r="B401" s="4"/>
      <c r="C401" s="3"/>
      <c r="D401" s="4"/>
      <c r="E401" s="4"/>
      <c r="F401" s="4"/>
      <c r="G401" s="4"/>
      <c r="H401" s="4"/>
      <c r="I401" s="4"/>
      <c r="J401" s="4"/>
      <c r="K401" s="4"/>
      <c r="L401" s="4"/>
      <c r="M401" s="4"/>
      <c r="N401" s="4"/>
      <c r="O401" s="4"/>
      <c r="P401" s="4"/>
      <c r="Q401" s="4"/>
    </row>
    <row r="402" spans="1:17" ht="12.75" customHeight="1">
      <c r="A402" s="4"/>
      <c r="B402" s="4"/>
      <c r="C402" s="3"/>
      <c r="D402" s="4"/>
      <c r="E402" s="4"/>
      <c r="F402" s="4"/>
      <c r="G402" s="4"/>
      <c r="H402" s="4"/>
      <c r="I402" s="4"/>
      <c r="J402" s="4"/>
      <c r="K402" s="4"/>
      <c r="L402" s="4"/>
      <c r="M402" s="4"/>
      <c r="N402" s="4"/>
      <c r="O402" s="4"/>
      <c r="P402" s="4"/>
      <c r="Q402" s="4"/>
    </row>
    <row r="403" spans="1:17" ht="12.75" customHeight="1">
      <c r="A403" s="4"/>
      <c r="B403" s="4"/>
      <c r="C403" s="3"/>
      <c r="D403" s="4"/>
      <c r="E403" s="4"/>
      <c r="F403" s="4"/>
      <c r="G403" s="4"/>
      <c r="H403" s="4"/>
      <c r="I403" s="4"/>
      <c r="J403" s="4"/>
      <c r="K403" s="4"/>
      <c r="L403" s="4"/>
      <c r="M403" s="4"/>
      <c r="N403" s="4"/>
      <c r="O403" s="4"/>
      <c r="P403" s="4"/>
      <c r="Q403" s="4"/>
    </row>
    <row r="404" spans="1:17" ht="12.75" customHeight="1">
      <c r="A404" s="4"/>
      <c r="B404" s="4"/>
      <c r="C404" s="3"/>
      <c r="D404" s="4"/>
      <c r="E404" s="4"/>
      <c r="F404" s="4"/>
      <c r="G404" s="4"/>
      <c r="H404" s="4"/>
      <c r="I404" s="4"/>
      <c r="J404" s="4"/>
      <c r="K404" s="4"/>
      <c r="L404" s="4"/>
      <c r="M404" s="4"/>
      <c r="N404" s="4"/>
      <c r="O404" s="4"/>
      <c r="P404" s="4"/>
      <c r="Q404" s="4"/>
    </row>
    <row r="405" spans="1:17" ht="12.75" customHeight="1">
      <c r="A405" s="4"/>
      <c r="B405" s="4"/>
      <c r="C405" s="3"/>
      <c r="D405" s="4"/>
      <c r="E405" s="4"/>
      <c r="F405" s="4"/>
      <c r="G405" s="4"/>
      <c r="H405" s="4"/>
      <c r="I405" s="4"/>
      <c r="J405" s="4"/>
      <c r="K405" s="4"/>
      <c r="L405" s="4"/>
      <c r="M405" s="4"/>
      <c r="N405" s="4"/>
      <c r="O405" s="4"/>
      <c r="P405" s="4"/>
      <c r="Q405" s="4"/>
    </row>
    <row r="406" spans="1:17" ht="12.75" customHeight="1">
      <c r="A406" s="4"/>
      <c r="B406" s="4"/>
      <c r="C406" s="3"/>
      <c r="D406" s="4"/>
      <c r="E406" s="4"/>
      <c r="F406" s="4"/>
      <c r="G406" s="4"/>
      <c r="H406" s="4"/>
      <c r="I406" s="4"/>
      <c r="J406" s="4"/>
      <c r="K406" s="4"/>
      <c r="L406" s="4"/>
      <c r="M406" s="4"/>
      <c r="N406" s="4"/>
      <c r="O406" s="4"/>
      <c r="P406" s="4"/>
      <c r="Q406" s="4"/>
    </row>
    <row r="407" spans="1:17" ht="12.75" customHeight="1">
      <c r="A407" s="4"/>
      <c r="B407" s="4"/>
      <c r="C407" s="3"/>
      <c r="D407" s="4"/>
      <c r="E407" s="4"/>
      <c r="F407" s="4"/>
      <c r="G407" s="4"/>
      <c r="H407" s="4"/>
      <c r="I407" s="4"/>
      <c r="J407" s="4"/>
      <c r="K407" s="4"/>
      <c r="L407" s="4"/>
      <c r="M407" s="4"/>
      <c r="N407" s="4"/>
      <c r="O407" s="4"/>
      <c r="P407" s="4"/>
      <c r="Q407" s="4"/>
    </row>
    <row r="408" spans="1:17" ht="12.75" customHeight="1">
      <c r="A408" s="4"/>
      <c r="B408" s="4"/>
      <c r="C408" s="3"/>
      <c r="D408" s="4"/>
      <c r="E408" s="4"/>
      <c r="F408" s="4"/>
      <c r="G408" s="4"/>
      <c r="H408" s="4"/>
      <c r="I408" s="4"/>
      <c r="J408" s="4"/>
      <c r="K408" s="4"/>
      <c r="L408" s="4"/>
      <c r="M408" s="4"/>
      <c r="N408" s="4"/>
      <c r="O408" s="4"/>
      <c r="P408" s="4"/>
      <c r="Q408" s="4"/>
    </row>
    <row r="409" spans="1:17" ht="12.75" customHeight="1">
      <c r="A409" s="4"/>
      <c r="B409" s="4"/>
      <c r="C409" s="3"/>
      <c r="D409" s="4"/>
      <c r="E409" s="4"/>
      <c r="F409" s="4"/>
      <c r="G409" s="4"/>
      <c r="H409" s="4"/>
      <c r="I409" s="4"/>
      <c r="J409" s="4"/>
      <c r="K409" s="4"/>
      <c r="L409" s="4"/>
      <c r="M409" s="4"/>
      <c r="N409" s="4"/>
      <c r="O409" s="4"/>
      <c r="P409" s="4"/>
      <c r="Q409" s="4"/>
    </row>
    <row r="410" spans="1:17" ht="12.75" customHeight="1">
      <c r="A410" s="4"/>
      <c r="B410" s="4"/>
      <c r="C410" s="3"/>
      <c r="D410" s="4"/>
      <c r="E410" s="4"/>
      <c r="F410" s="4"/>
      <c r="G410" s="4"/>
      <c r="H410" s="4"/>
      <c r="I410" s="4"/>
      <c r="J410" s="4"/>
      <c r="K410" s="4"/>
      <c r="L410" s="4"/>
      <c r="M410" s="4"/>
      <c r="N410" s="4"/>
      <c r="O410" s="4"/>
      <c r="P410" s="4"/>
      <c r="Q410" s="4"/>
    </row>
    <row r="411" spans="1:17" ht="12.75" customHeight="1">
      <c r="A411" s="4"/>
      <c r="B411" s="4"/>
      <c r="C411" s="3"/>
      <c r="D411" s="4"/>
      <c r="E411" s="4"/>
      <c r="F411" s="4"/>
      <c r="G411" s="4"/>
      <c r="H411" s="4"/>
      <c r="I411" s="4"/>
      <c r="J411" s="4"/>
      <c r="K411" s="4"/>
      <c r="L411" s="4"/>
      <c r="M411" s="4"/>
      <c r="N411" s="4"/>
      <c r="O411" s="4"/>
      <c r="P411" s="4"/>
      <c r="Q411" s="4"/>
    </row>
    <row r="412" spans="1:17" ht="12.75" customHeight="1">
      <c r="A412" s="4"/>
      <c r="B412" s="4"/>
      <c r="C412" s="3"/>
      <c r="D412" s="4"/>
      <c r="E412" s="4"/>
      <c r="F412" s="4"/>
      <c r="G412" s="4"/>
      <c r="H412" s="4"/>
      <c r="I412" s="4"/>
      <c r="J412" s="4"/>
      <c r="K412" s="4"/>
      <c r="L412" s="4"/>
      <c r="M412" s="4"/>
      <c r="N412" s="4"/>
      <c r="O412" s="4"/>
      <c r="P412" s="4"/>
      <c r="Q412" s="4"/>
    </row>
    <row r="413" spans="1:17" ht="12.75" customHeight="1">
      <c r="A413" s="4"/>
      <c r="B413" s="4"/>
      <c r="C413" s="3"/>
      <c r="D413" s="4"/>
      <c r="E413" s="4"/>
      <c r="F413" s="4"/>
      <c r="G413" s="4"/>
      <c r="H413" s="4"/>
      <c r="I413" s="4"/>
      <c r="J413" s="4"/>
      <c r="K413" s="4"/>
      <c r="L413" s="4"/>
      <c r="M413" s="4"/>
      <c r="N413" s="4"/>
      <c r="O413" s="4"/>
      <c r="P413" s="4"/>
      <c r="Q413" s="4"/>
    </row>
    <row r="414" spans="1:17" ht="12.75" customHeight="1">
      <c r="A414" s="4"/>
      <c r="B414" s="4"/>
      <c r="C414" s="3"/>
      <c r="D414" s="4"/>
      <c r="E414" s="4"/>
      <c r="F414" s="4"/>
      <c r="G414" s="4"/>
      <c r="H414" s="4"/>
      <c r="I414" s="4"/>
      <c r="J414" s="4"/>
      <c r="K414" s="4"/>
      <c r="L414" s="4"/>
      <c r="M414" s="4"/>
      <c r="N414" s="4"/>
      <c r="O414" s="4"/>
      <c r="P414" s="4"/>
      <c r="Q414" s="4"/>
    </row>
    <row r="415" spans="1:17" ht="12.75" customHeight="1">
      <c r="A415" s="4"/>
      <c r="B415" s="4"/>
      <c r="C415" s="3"/>
      <c r="D415" s="4"/>
      <c r="E415" s="4"/>
      <c r="F415" s="4"/>
      <c r="G415" s="4"/>
      <c r="H415" s="4"/>
      <c r="I415" s="4"/>
      <c r="J415" s="4"/>
      <c r="K415" s="4"/>
      <c r="L415" s="4"/>
      <c r="M415" s="4"/>
      <c r="N415" s="4"/>
      <c r="O415" s="4"/>
      <c r="P415" s="4"/>
      <c r="Q415" s="4"/>
    </row>
    <row r="416" spans="1:17" ht="12.75" customHeight="1">
      <c r="A416" s="4"/>
      <c r="B416" s="4"/>
      <c r="C416" s="3"/>
      <c r="D416" s="4"/>
      <c r="E416" s="4"/>
      <c r="F416" s="4"/>
      <c r="G416" s="4"/>
      <c r="H416" s="4"/>
      <c r="I416" s="4"/>
      <c r="J416" s="4"/>
      <c r="K416" s="4"/>
      <c r="L416" s="4"/>
      <c r="M416" s="4"/>
      <c r="N416" s="4"/>
      <c r="O416" s="4"/>
      <c r="P416" s="4"/>
      <c r="Q416" s="4"/>
    </row>
    <row r="417" spans="1:17" ht="12.75" customHeight="1">
      <c r="A417" s="4"/>
      <c r="B417" s="4"/>
      <c r="C417" s="3"/>
      <c r="D417" s="4"/>
      <c r="E417" s="4"/>
      <c r="F417" s="4"/>
      <c r="G417" s="4"/>
      <c r="H417" s="4"/>
      <c r="I417" s="4"/>
      <c r="J417" s="4"/>
      <c r="K417" s="4"/>
      <c r="L417" s="4"/>
      <c r="M417" s="4"/>
      <c r="N417" s="4"/>
      <c r="O417" s="4"/>
      <c r="P417" s="4"/>
      <c r="Q417" s="4"/>
    </row>
    <row r="418" spans="1:17" ht="12.75" customHeight="1">
      <c r="A418" s="4"/>
      <c r="B418" s="4"/>
      <c r="C418" s="3"/>
      <c r="D418" s="4"/>
      <c r="E418" s="4"/>
      <c r="F418" s="4"/>
      <c r="G418" s="4"/>
      <c r="H418" s="4"/>
      <c r="I418" s="4"/>
      <c r="J418" s="4"/>
      <c r="K418" s="4"/>
      <c r="L418" s="4"/>
      <c r="M418" s="4"/>
      <c r="N418" s="4"/>
      <c r="O418" s="4"/>
      <c r="P418" s="4"/>
      <c r="Q418" s="4"/>
    </row>
    <row r="419" spans="1:17" ht="12.75" customHeight="1">
      <c r="A419" s="4"/>
      <c r="B419" s="4"/>
      <c r="C419" s="3"/>
      <c r="D419" s="4"/>
      <c r="E419" s="4"/>
      <c r="F419" s="4"/>
      <c r="G419" s="4"/>
      <c r="H419" s="4"/>
      <c r="I419" s="4"/>
      <c r="J419" s="4"/>
      <c r="K419" s="4"/>
      <c r="L419" s="4"/>
      <c r="M419" s="4"/>
      <c r="N419" s="4"/>
      <c r="O419" s="4"/>
      <c r="P419" s="4"/>
      <c r="Q419" s="4"/>
    </row>
    <row r="420" spans="1:17" ht="12.75" customHeight="1">
      <c r="A420" s="4"/>
      <c r="B420" s="4"/>
      <c r="C420" s="3"/>
      <c r="D420" s="4"/>
      <c r="E420" s="4"/>
      <c r="F420" s="4"/>
      <c r="G420" s="4"/>
      <c r="H420" s="4"/>
      <c r="I420" s="4"/>
      <c r="J420" s="4"/>
      <c r="K420" s="4"/>
      <c r="L420" s="4"/>
      <c r="M420" s="4"/>
      <c r="N420" s="4"/>
      <c r="O420" s="4"/>
      <c r="P420" s="4"/>
      <c r="Q420" s="4"/>
    </row>
    <row r="421" spans="1:17" ht="12.75" customHeight="1">
      <c r="A421" s="4"/>
      <c r="B421" s="4"/>
      <c r="C421" s="3"/>
      <c r="D421" s="4"/>
      <c r="E421" s="4"/>
      <c r="F421" s="4"/>
      <c r="G421" s="4"/>
      <c r="H421" s="4"/>
      <c r="I421" s="4"/>
      <c r="J421" s="4"/>
      <c r="K421" s="4"/>
      <c r="L421" s="4"/>
      <c r="M421" s="4"/>
      <c r="N421" s="4"/>
      <c r="O421" s="4"/>
      <c r="P421" s="4"/>
      <c r="Q421" s="4"/>
    </row>
    <row r="422" spans="1:17" ht="12.75" customHeight="1">
      <c r="A422" s="4"/>
      <c r="B422" s="4"/>
      <c r="C422" s="3"/>
      <c r="D422" s="4"/>
      <c r="E422" s="4"/>
      <c r="F422" s="4"/>
      <c r="G422" s="4"/>
      <c r="H422" s="4"/>
      <c r="I422" s="4"/>
      <c r="J422" s="4"/>
      <c r="K422" s="4"/>
      <c r="L422" s="4"/>
      <c r="M422" s="4"/>
      <c r="N422" s="4"/>
      <c r="O422" s="4"/>
      <c r="P422" s="4"/>
      <c r="Q422" s="4"/>
    </row>
    <row r="423" spans="1:17" ht="12.75" customHeight="1">
      <c r="A423" s="4"/>
      <c r="B423" s="4"/>
      <c r="C423" s="3"/>
      <c r="D423" s="4"/>
      <c r="E423" s="4"/>
      <c r="F423" s="4"/>
      <c r="G423" s="4"/>
      <c r="H423" s="4"/>
      <c r="I423" s="4"/>
      <c r="J423" s="4"/>
      <c r="K423" s="4"/>
      <c r="L423" s="4"/>
      <c r="M423" s="4"/>
      <c r="N423" s="4"/>
      <c r="O423" s="4"/>
      <c r="P423" s="4"/>
      <c r="Q423" s="4"/>
    </row>
    <row r="424" spans="1:17" ht="12.75" customHeight="1">
      <c r="A424" s="4"/>
      <c r="B424" s="4"/>
      <c r="C424" s="3"/>
      <c r="D424" s="4"/>
      <c r="E424" s="4"/>
      <c r="F424" s="4"/>
      <c r="G424" s="4"/>
      <c r="H424" s="4"/>
      <c r="I424" s="4"/>
      <c r="J424" s="4"/>
      <c r="K424" s="4"/>
      <c r="L424" s="4"/>
      <c r="M424" s="4"/>
      <c r="N424" s="4"/>
      <c r="O424" s="4"/>
      <c r="P424" s="4"/>
      <c r="Q424" s="4"/>
    </row>
    <row r="425" spans="1:17" ht="12.75" customHeight="1">
      <c r="A425" s="4"/>
      <c r="B425" s="4"/>
      <c r="C425" s="3"/>
      <c r="D425" s="4"/>
      <c r="E425" s="4"/>
      <c r="F425" s="4"/>
      <c r="G425" s="4"/>
      <c r="H425" s="4"/>
      <c r="I425" s="4"/>
      <c r="J425" s="4"/>
      <c r="K425" s="4"/>
      <c r="L425" s="4"/>
      <c r="M425" s="4"/>
      <c r="N425" s="4"/>
      <c r="O425" s="4"/>
      <c r="P425" s="4"/>
      <c r="Q425" s="4"/>
    </row>
    <row r="426" spans="1:17" ht="12.75" customHeight="1">
      <c r="A426" s="4"/>
      <c r="B426" s="4"/>
      <c r="C426" s="3"/>
      <c r="D426" s="4"/>
      <c r="E426" s="4"/>
      <c r="F426" s="4"/>
      <c r="G426" s="4"/>
      <c r="H426" s="4"/>
      <c r="I426" s="4"/>
      <c r="J426" s="4"/>
      <c r="K426" s="4"/>
      <c r="L426" s="4"/>
      <c r="M426" s="4"/>
      <c r="N426" s="4"/>
      <c r="O426" s="4"/>
      <c r="P426" s="4"/>
      <c r="Q426" s="4"/>
    </row>
    <row r="427" spans="1:17" ht="12.75" customHeight="1">
      <c r="A427" s="4"/>
      <c r="B427" s="4"/>
      <c r="C427" s="3"/>
      <c r="D427" s="4"/>
      <c r="E427" s="4"/>
      <c r="F427" s="4"/>
      <c r="G427" s="4"/>
      <c r="H427" s="4"/>
      <c r="I427" s="4"/>
      <c r="J427" s="4"/>
      <c r="K427" s="4"/>
      <c r="L427" s="4"/>
      <c r="M427" s="4"/>
      <c r="N427" s="4"/>
      <c r="O427" s="4"/>
      <c r="P427" s="4"/>
      <c r="Q427" s="4"/>
    </row>
    <row r="428" spans="1:17" ht="12.75" customHeight="1">
      <c r="A428" s="4"/>
      <c r="B428" s="4"/>
      <c r="C428" s="3"/>
      <c r="D428" s="4"/>
      <c r="E428" s="4"/>
      <c r="F428" s="4"/>
      <c r="G428" s="4"/>
      <c r="H428" s="4"/>
      <c r="I428" s="4"/>
      <c r="J428" s="4"/>
      <c r="K428" s="4"/>
      <c r="L428" s="4"/>
      <c r="M428" s="4"/>
      <c r="N428" s="4"/>
      <c r="O428" s="4"/>
      <c r="P428" s="4"/>
      <c r="Q428" s="4"/>
    </row>
    <row r="429" spans="1:17" ht="12.75" customHeight="1">
      <c r="A429" s="4"/>
      <c r="B429" s="4"/>
      <c r="C429" s="3"/>
      <c r="D429" s="4"/>
      <c r="E429" s="4"/>
      <c r="F429" s="4"/>
      <c r="G429" s="4"/>
      <c r="H429" s="4"/>
      <c r="I429" s="4"/>
      <c r="J429" s="4"/>
      <c r="K429" s="4"/>
      <c r="L429" s="4"/>
      <c r="M429" s="4"/>
      <c r="N429" s="4"/>
      <c r="O429" s="4"/>
      <c r="P429" s="4"/>
      <c r="Q429" s="4"/>
    </row>
    <row r="430" spans="1:17" ht="12.75" customHeight="1">
      <c r="A430" s="4"/>
      <c r="B430" s="4"/>
      <c r="C430" s="3"/>
      <c r="D430" s="4"/>
      <c r="E430" s="4"/>
      <c r="F430" s="4"/>
      <c r="G430" s="4"/>
      <c r="H430" s="4"/>
      <c r="I430" s="4"/>
      <c r="J430" s="4"/>
      <c r="K430" s="4"/>
      <c r="L430" s="4"/>
      <c r="M430" s="4"/>
      <c r="N430" s="4"/>
      <c r="O430" s="4"/>
      <c r="P430" s="4"/>
      <c r="Q430" s="4"/>
    </row>
    <row r="431" spans="1:17" ht="12.75" customHeight="1">
      <c r="A431" s="4"/>
      <c r="B431" s="4"/>
      <c r="C431" s="3"/>
      <c r="D431" s="4"/>
      <c r="E431" s="4"/>
      <c r="F431" s="4"/>
      <c r="G431" s="4"/>
      <c r="H431" s="4"/>
      <c r="I431" s="4"/>
      <c r="J431" s="4"/>
      <c r="K431" s="4"/>
      <c r="L431" s="4"/>
      <c r="M431" s="4"/>
      <c r="N431" s="4"/>
      <c r="O431" s="4"/>
      <c r="P431" s="4"/>
      <c r="Q431" s="4"/>
    </row>
    <row r="432" spans="1:17" ht="12.75" customHeight="1">
      <c r="A432" s="4"/>
      <c r="B432" s="4"/>
      <c r="C432" s="3"/>
      <c r="D432" s="4"/>
      <c r="E432" s="4"/>
      <c r="F432" s="4"/>
      <c r="G432" s="4"/>
      <c r="H432" s="4"/>
      <c r="I432" s="4"/>
      <c r="J432" s="4"/>
      <c r="K432" s="4"/>
      <c r="L432" s="4"/>
      <c r="M432" s="4"/>
      <c r="N432" s="4"/>
      <c r="O432" s="4"/>
      <c r="P432" s="4"/>
      <c r="Q432" s="4"/>
    </row>
    <row r="433" spans="1:17" ht="12.75" customHeight="1">
      <c r="A433" s="4"/>
      <c r="B433" s="4"/>
      <c r="C433" s="3"/>
      <c r="D433" s="4"/>
      <c r="E433" s="4"/>
      <c r="F433" s="4"/>
      <c r="G433" s="4"/>
      <c r="H433" s="4"/>
      <c r="I433" s="4"/>
      <c r="J433" s="4"/>
      <c r="K433" s="4"/>
      <c r="L433" s="4"/>
      <c r="M433" s="4"/>
      <c r="N433" s="4"/>
      <c r="O433" s="4"/>
      <c r="P433" s="4"/>
      <c r="Q433" s="4"/>
    </row>
    <row r="434" spans="1:17" ht="12.75" customHeight="1">
      <c r="A434" s="4"/>
      <c r="B434" s="4"/>
      <c r="C434" s="3"/>
      <c r="D434" s="4"/>
      <c r="E434" s="4"/>
      <c r="F434" s="4"/>
      <c r="G434" s="4"/>
      <c r="H434" s="4"/>
      <c r="I434" s="4"/>
      <c r="J434" s="4"/>
      <c r="K434" s="4"/>
      <c r="L434" s="4"/>
      <c r="M434" s="4"/>
      <c r="N434" s="4"/>
      <c r="O434" s="4"/>
      <c r="P434" s="4"/>
      <c r="Q434" s="4"/>
    </row>
    <row r="435" spans="1:17" ht="12.75" customHeight="1">
      <c r="A435" s="4"/>
      <c r="B435" s="4"/>
      <c r="C435" s="3"/>
      <c r="D435" s="4"/>
      <c r="E435" s="4"/>
      <c r="F435" s="4"/>
      <c r="G435" s="4"/>
      <c r="H435" s="4"/>
      <c r="I435" s="4"/>
      <c r="J435" s="4"/>
      <c r="K435" s="4"/>
      <c r="L435" s="4"/>
      <c r="M435" s="4"/>
      <c r="N435" s="4"/>
      <c r="O435" s="4"/>
      <c r="P435" s="4"/>
      <c r="Q435" s="4"/>
    </row>
    <row r="436" spans="1:17" ht="12.75" customHeight="1">
      <c r="A436" s="4"/>
      <c r="B436" s="4"/>
      <c r="C436" s="3"/>
      <c r="D436" s="4"/>
      <c r="E436" s="4"/>
      <c r="F436" s="4"/>
      <c r="G436" s="4"/>
      <c r="H436" s="4"/>
      <c r="I436" s="4"/>
      <c r="J436" s="4"/>
      <c r="K436" s="4"/>
      <c r="L436" s="4"/>
      <c r="M436" s="4"/>
      <c r="N436" s="4"/>
      <c r="O436" s="4"/>
      <c r="P436" s="4"/>
      <c r="Q436" s="4"/>
    </row>
    <row r="437" spans="1:17" ht="12.75" customHeight="1">
      <c r="A437" s="4"/>
      <c r="B437" s="4"/>
      <c r="C437" s="3"/>
      <c r="D437" s="4"/>
      <c r="E437" s="4"/>
      <c r="F437" s="4"/>
      <c r="G437" s="4"/>
      <c r="H437" s="4"/>
      <c r="I437" s="4"/>
      <c r="J437" s="4"/>
      <c r="K437" s="4"/>
      <c r="L437" s="4"/>
      <c r="M437" s="4"/>
      <c r="N437" s="4"/>
      <c r="O437" s="4"/>
      <c r="P437" s="4"/>
      <c r="Q437" s="4"/>
    </row>
    <row r="438" spans="1:17" ht="12.75" customHeight="1">
      <c r="A438" s="4"/>
      <c r="B438" s="4"/>
      <c r="C438" s="3"/>
      <c r="D438" s="4"/>
      <c r="E438" s="4"/>
      <c r="F438" s="4"/>
      <c r="G438" s="4"/>
      <c r="H438" s="4"/>
      <c r="I438" s="4"/>
      <c r="J438" s="4"/>
      <c r="K438" s="4"/>
      <c r="L438" s="4"/>
      <c r="M438" s="4"/>
      <c r="N438" s="4"/>
      <c r="O438" s="4"/>
      <c r="P438" s="4"/>
      <c r="Q438" s="4"/>
    </row>
    <row r="439" spans="1:17" ht="12.75" customHeight="1">
      <c r="A439" s="4"/>
      <c r="B439" s="4"/>
      <c r="C439" s="3"/>
      <c r="D439" s="4"/>
      <c r="E439" s="4"/>
      <c r="F439" s="4"/>
      <c r="G439" s="4"/>
      <c r="H439" s="4"/>
      <c r="I439" s="4"/>
      <c r="J439" s="4"/>
      <c r="K439" s="4"/>
      <c r="L439" s="4"/>
      <c r="M439" s="4"/>
      <c r="N439" s="4"/>
      <c r="O439" s="4"/>
      <c r="P439" s="4"/>
      <c r="Q439" s="4"/>
    </row>
    <row r="440" spans="1:17" ht="12.75" customHeight="1">
      <c r="A440" s="4"/>
      <c r="B440" s="4"/>
      <c r="C440" s="3"/>
      <c r="D440" s="4"/>
      <c r="E440" s="4"/>
      <c r="F440" s="4"/>
      <c r="G440" s="4"/>
      <c r="H440" s="4"/>
      <c r="I440" s="4"/>
      <c r="J440" s="4"/>
      <c r="K440" s="4"/>
      <c r="L440" s="4"/>
      <c r="M440" s="4"/>
      <c r="N440" s="4"/>
      <c r="O440" s="4"/>
      <c r="P440" s="4"/>
      <c r="Q440" s="4"/>
    </row>
    <row r="441" spans="1:17" ht="12.75" customHeight="1">
      <c r="A441" s="4"/>
      <c r="B441" s="4"/>
      <c r="C441" s="3"/>
      <c r="D441" s="4"/>
      <c r="E441" s="4"/>
      <c r="F441" s="4"/>
      <c r="G441" s="4"/>
      <c r="H441" s="4"/>
      <c r="I441" s="4"/>
      <c r="J441" s="4"/>
      <c r="K441" s="4"/>
      <c r="L441" s="4"/>
      <c r="M441" s="4"/>
      <c r="N441" s="4"/>
      <c r="O441" s="4"/>
      <c r="P441" s="4"/>
      <c r="Q441" s="4"/>
    </row>
    <row r="442" spans="1:17" ht="12.75" customHeight="1">
      <c r="A442" s="4"/>
      <c r="B442" s="4"/>
      <c r="C442" s="3"/>
      <c r="D442" s="4"/>
      <c r="E442" s="4"/>
      <c r="F442" s="4"/>
      <c r="G442" s="4"/>
      <c r="H442" s="4"/>
      <c r="I442" s="4"/>
      <c r="J442" s="4"/>
      <c r="K442" s="4"/>
      <c r="L442" s="4"/>
      <c r="M442" s="4"/>
      <c r="N442" s="4"/>
      <c r="O442" s="4"/>
      <c r="P442" s="4"/>
      <c r="Q442" s="4"/>
    </row>
    <row r="443" spans="1:17" ht="12.75" customHeight="1">
      <c r="A443" s="4"/>
      <c r="B443" s="4"/>
      <c r="C443" s="3"/>
      <c r="D443" s="4"/>
      <c r="E443" s="4"/>
      <c r="F443" s="4"/>
      <c r="G443" s="4"/>
      <c r="H443" s="4"/>
      <c r="I443" s="4"/>
      <c r="J443" s="4"/>
      <c r="K443" s="4"/>
      <c r="L443" s="4"/>
      <c r="M443" s="4"/>
      <c r="N443" s="4"/>
      <c r="O443" s="4"/>
      <c r="P443" s="4"/>
      <c r="Q443" s="4"/>
    </row>
    <row r="444" spans="1:17" ht="12.75" customHeight="1">
      <c r="A444" s="4"/>
      <c r="B444" s="4"/>
      <c r="C444" s="3"/>
      <c r="D444" s="4"/>
      <c r="E444" s="4"/>
      <c r="F444" s="4"/>
      <c r="G444" s="4"/>
      <c r="H444" s="4"/>
      <c r="I444" s="4"/>
      <c r="J444" s="4"/>
      <c r="K444" s="4"/>
      <c r="L444" s="4"/>
      <c r="M444" s="4"/>
      <c r="N444" s="4"/>
      <c r="O444" s="4"/>
      <c r="P444" s="4"/>
      <c r="Q444" s="4"/>
    </row>
    <row r="445" spans="1:17" ht="12.75" customHeight="1">
      <c r="A445" s="4"/>
      <c r="B445" s="4"/>
      <c r="C445" s="3"/>
      <c r="D445" s="4"/>
      <c r="E445" s="4"/>
      <c r="F445" s="4"/>
      <c r="G445" s="4"/>
      <c r="H445" s="4"/>
      <c r="I445" s="4"/>
      <c r="J445" s="4"/>
      <c r="K445" s="4"/>
      <c r="L445" s="4"/>
      <c r="M445" s="4"/>
      <c r="N445" s="4"/>
      <c r="O445" s="4"/>
      <c r="P445" s="4"/>
      <c r="Q445" s="4"/>
    </row>
    <row r="446" spans="1:17" ht="12.75" customHeight="1">
      <c r="A446" s="4"/>
      <c r="B446" s="4"/>
      <c r="C446" s="3"/>
      <c r="D446" s="4"/>
      <c r="E446" s="4"/>
      <c r="F446" s="4"/>
      <c r="G446" s="4"/>
      <c r="H446" s="4"/>
      <c r="I446" s="4"/>
      <c r="J446" s="4"/>
      <c r="K446" s="4"/>
      <c r="L446" s="4"/>
      <c r="M446" s="4"/>
      <c r="N446" s="4"/>
      <c r="O446" s="4"/>
      <c r="P446" s="4"/>
      <c r="Q446" s="4"/>
    </row>
    <row r="447" spans="1:17" ht="12.75" customHeight="1">
      <c r="A447" s="4"/>
      <c r="B447" s="4"/>
      <c r="C447" s="3"/>
      <c r="D447" s="4"/>
      <c r="E447" s="4"/>
      <c r="F447" s="4"/>
      <c r="G447" s="4"/>
      <c r="H447" s="4"/>
      <c r="I447" s="4"/>
      <c r="J447" s="4"/>
      <c r="K447" s="4"/>
      <c r="L447" s="4"/>
      <c r="M447" s="4"/>
      <c r="N447" s="4"/>
      <c r="O447" s="4"/>
      <c r="P447" s="4"/>
      <c r="Q447" s="4"/>
    </row>
    <row r="448" spans="1:17" ht="12.75" customHeight="1">
      <c r="A448" s="4"/>
      <c r="B448" s="4"/>
      <c r="C448" s="3"/>
      <c r="D448" s="4"/>
      <c r="E448" s="4"/>
      <c r="F448" s="4"/>
      <c r="G448" s="4"/>
      <c r="H448" s="4"/>
      <c r="I448" s="4"/>
      <c r="J448" s="4"/>
      <c r="K448" s="4"/>
      <c r="L448" s="4"/>
      <c r="M448" s="4"/>
      <c r="N448" s="4"/>
      <c r="O448" s="4"/>
      <c r="P448" s="4"/>
      <c r="Q448" s="4"/>
    </row>
    <row r="449" spans="1:17" ht="12.75" customHeight="1">
      <c r="A449" s="4"/>
      <c r="B449" s="4"/>
      <c r="C449" s="3"/>
      <c r="D449" s="4"/>
      <c r="E449" s="4"/>
      <c r="F449" s="4"/>
      <c r="G449" s="4"/>
      <c r="H449" s="4"/>
      <c r="I449" s="4"/>
      <c r="J449" s="4"/>
      <c r="K449" s="4"/>
      <c r="L449" s="4"/>
      <c r="M449" s="4"/>
      <c r="N449" s="4"/>
      <c r="O449" s="4"/>
      <c r="P449" s="4"/>
      <c r="Q449" s="4"/>
    </row>
    <row r="450" spans="1:17" ht="12.75" customHeight="1">
      <c r="A450" s="4"/>
      <c r="B450" s="4"/>
      <c r="C450" s="3"/>
      <c r="D450" s="4"/>
      <c r="E450" s="4"/>
      <c r="F450" s="4"/>
      <c r="G450" s="4"/>
      <c r="H450" s="4"/>
      <c r="I450" s="4"/>
      <c r="J450" s="4"/>
      <c r="K450" s="4"/>
      <c r="L450" s="4"/>
      <c r="M450" s="4"/>
      <c r="N450" s="4"/>
      <c r="O450" s="4"/>
      <c r="P450" s="4"/>
      <c r="Q450" s="4"/>
    </row>
    <row r="451" spans="1:17" ht="12.75" customHeight="1">
      <c r="A451" s="4"/>
      <c r="B451" s="4"/>
      <c r="C451" s="3"/>
      <c r="D451" s="4"/>
      <c r="E451" s="4"/>
      <c r="F451" s="4"/>
      <c r="G451" s="4"/>
      <c r="H451" s="4"/>
      <c r="I451" s="4"/>
      <c r="J451" s="4"/>
      <c r="K451" s="4"/>
      <c r="L451" s="4"/>
      <c r="M451" s="4"/>
      <c r="N451" s="4"/>
      <c r="O451" s="4"/>
      <c r="P451" s="4"/>
      <c r="Q451" s="4"/>
    </row>
    <row r="452" spans="1:17" ht="12.75" customHeight="1">
      <c r="A452" s="4"/>
      <c r="B452" s="4"/>
      <c r="C452" s="3"/>
      <c r="D452" s="4"/>
      <c r="E452" s="4"/>
      <c r="F452" s="4"/>
      <c r="G452" s="4"/>
      <c r="H452" s="4"/>
      <c r="I452" s="4"/>
      <c r="J452" s="4"/>
      <c r="K452" s="4"/>
      <c r="L452" s="4"/>
      <c r="M452" s="4"/>
      <c r="N452" s="4"/>
      <c r="O452" s="4"/>
      <c r="P452" s="4"/>
      <c r="Q452" s="4"/>
    </row>
    <row r="453" spans="1:17" ht="12.75" customHeight="1">
      <c r="A453" s="4"/>
      <c r="B453" s="4"/>
      <c r="C453" s="3"/>
      <c r="D453" s="4"/>
      <c r="E453" s="4"/>
      <c r="F453" s="4"/>
      <c r="G453" s="4"/>
      <c r="H453" s="4"/>
      <c r="I453" s="4"/>
      <c r="J453" s="4"/>
      <c r="K453" s="4"/>
      <c r="L453" s="4"/>
      <c r="M453" s="4"/>
      <c r="N453" s="4"/>
      <c r="O453" s="4"/>
      <c r="P453" s="4"/>
      <c r="Q453" s="4"/>
    </row>
    <row r="454" spans="1:17" ht="12.75" customHeight="1">
      <c r="A454" s="4"/>
      <c r="B454" s="4"/>
      <c r="C454" s="3"/>
      <c r="D454" s="4"/>
      <c r="E454" s="4"/>
      <c r="F454" s="4"/>
      <c r="G454" s="4"/>
      <c r="H454" s="4"/>
      <c r="I454" s="4"/>
      <c r="J454" s="4"/>
      <c r="K454" s="4"/>
      <c r="L454" s="4"/>
      <c r="M454" s="4"/>
      <c r="N454" s="4"/>
      <c r="O454" s="4"/>
      <c r="P454" s="4"/>
      <c r="Q454" s="4"/>
    </row>
    <row r="455" spans="1:17" ht="12.75" customHeight="1">
      <c r="A455" s="4"/>
      <c r="B455" s="4"/>
      <c r="C455" s="3"/>
      <c r="D455" s="4"/>
      <c r="E455" s="4"/>
      <c r="F455" s="4"/>
      <c r="G455" s="4"/>
      <c r="H455" s="4"/>
      <c r="I455" s="4"/>
      <c r="J455" s="4"/>
      <c r="K455" s="4"/>
      <c r="L455" s="4"/>
      <c r="M455" s="4"/>
      <c r="N455" s="4"/>
      <c r="O455" s="4"/>
      <c r="P455" s="4"/>
      <c r="Q455" s="4"/>
    </row>
    <row r="456" spans="1:17" ht="12.75" customHeight="1">
      <c r="A456" s="4"/>
      <c r="B456" s="4"/>
      <c r="C456" s="3"/>
      <c r="D456" s="4"/>
      <c r="E456" s="4"/>
      <c r="F456" s="4"/>
      <c r="G456" s="4"/>
      <c r="H456" s="4"/>
      <c r="I456" s="4"/>
      <c r="J456" s="4"/>
      <c r="K456" s="4"/>
      <c r="L456" s="4"/>
      <c r="M456" s="4"/>
      <c r="N456" s="4"/>
      <c r="O456" s="4"/>
      <c r="P456" s="4"/>
      <c r="Q456" s="4"/>
    </row>
    <row r="457" spans="1:17" ht="12.75" customHeight="1">
      <c r="A457" s="4"/>
      <c r="B457" s="4"/>
      <c r="C457" s="3"/>
      <c r="D457" s="4"/>
      <c r="E457" s="4"/>
      <c r="F457" s="4"/>
      <c r="G457" s="4"/>
      <c r="H457" s="4"/>
      <c r="I457" s="4"/>
      <c r="J457" s="4"/>
      <c r="K457" s="4"/>
      <c r="L457" s="4"/>
      <c r="M457" s="4"/>
      <c r="N457" s="4"/>
      <c r="O457" s="4"/>
      <c r="P457" s="4"/>
      <c r="Q457" s="4"/>
    </row>
    <row r="458" spans="1:17" ht="12.75" customHeight="1">
      <c r="A458" s="4"/>
      <c r="B458" s="4"/>
      <c r="C458" s="3"/>
      <c r="D458" s="4"/>
      <c r="E458" s="4"/>
      <c r="F458" s="4"/>
      <c r="G458" s="4"/>
      <c r="H458" s="4"/>
      <c r="I458" s="4"/>
      <c r="J458" s="4"/>
      <c r="K458" s="4"/>
      <c r="L458" s="4"/>
      <c r="M458" s="4"/>
      <c r="N458" s="4"/>
      <c r="O458" s="4"/>
      <c r="P458" s="4"/>
      <c r="Q458" s="4"/>
    </row>
    <row r="459" spans="1:17" ht="12.75" customHeight="1">
      <c r="A459" s="4"/>
      <c r="B459" s="4"/>
      <c r="C459" s="3"/>
      <c r="D459" s="4"/>
      <c r="E459" s="4"/>
      <c r="F459" s="4"/>
      <c r="G459" s="4"/>
      <c r="H459" s="4"/>
      <c r="I459" s="4"/>
      <c r="J459" s="4"/>
      <c r="K459" s="4"/>
      <c r="L459" s="4"/>
      <c r="M459" s="4"/>
      <c r="N459" s="4"/>
      <c r="O459" s="4"/>
      <c r="P459" s="4"/>
      <c r="Q459" s="4"/>
    </row>
    <row r="460" spans="1:17" ht="12.75" customHeight="1">
      <c r="A460" s="4"/>
      <c r="B460" s="4"/>
      <c r="C460" s="3"/>
      <c r="D460" s="4"/>
      <c r="E460" s="4"/>
      <c r="F460" s="4"/>
      <c r="G460" s="4"/>
      <c r="H460" s="4"/>
      <c r="I460" s="4"/>
      <c r="J460" s="4"/>
      <c r="K460" s="4"/>
      <c r="L460" s="4"/>
      <c r="M460" s="4"/>
      <c r="N460" s="4"/>
      <c r="O460" s="4"/>
      <c r="P460" s="4"/>
      <c r="Q460" s="4"/>
    </row>
    <row r="461" spans="1:17" ht="12.75" customHeight="1">
      <c r="A461" s="4"/>
      <c r="B461" s="4"/>
      <c r="C461" s="3"/>
      <c r="D461" s="4"/>
      <c r="E461" s="4"/>
      <c r="F461" s="4"/>
      <c r="G461" s="4"/>
      <c r="H461" s="4"/>
      <c r="I461" s="4"/>
      <c r="J461" s="4"/>
      <c r="K461" s="4"/>
      <c r="L461" s="4"/>
      <c r="M461" s="4"/>
      <c r="N461" s="4"/>
      <c r="O461" s="4"/>
      <c r="P461" s="4"/>
      <c r="Q461" s="4"/>
    </row>
    <row r="462" spans="1:17" ht="12.75" customHeight="1">
      <c r="A462" s="4"/>
      <c r="B462" s="4"/>
      <c r="C462" s="3"/>
      <c r="D462" s="4"/>
      <c r="E462" s="4"/>
      <c r="F462" s="4"/>
      <c r="G462" s="4"/>
      <c r="H462" s="4"/>
      <c r="I462" s="4"/>
      <c r="J462" s="4"/>
      <c r="K462" s="4"/>
      <c r="L462" s="4"/>
      <c r="M462" s="4"/>
      <c r="N462" s="4"/>
      <c r="O462" s="4"/>
      <c r="P462" s="4"/>
      <c r="Q462" s="4"/>
    </row>
    <row r="463" spans="1:17" ht="12.75" customHeight="1">
      <c r="A463" s="4"/>
      <c r="B463" s="4"/>
      <c r="C463" s="3"/>
      <c r="D463" s="4"/>
      <c r="E463" s="4"/>
      <c r="F463" s="4"/>
      <c r="G463" s="4"/>
      <c r="H463" s="4"/>
      <c r="I463" s="4"/>
      <c r="J463" s="4"/>
      <c r="K463" s="4"/>
      <c r="L463" s="4"/>
      <c r="M463" s="4"/>
      <c r="N463" s="4"/>
      <c r="O463" s="4"/>
      <c r="P463" s="4"/>
      <c r="Q463" s="4"/>
    </row>
    <row r="464" spans="1:17" ht="12.75" customHeight="1">
      <c r="A464" s="4"/>
      <c r="B464" s="4"/>
      <c r="C464" s="3"/>
      <c r="D464" s="4"/>
      <c r="E464" s="4"/>
      <c r="F464" s="4"/>
      <c r="G464" s="4"/>
      <c r="H464" s="4"/>
      <c r="I464" s="4"/>
      <c r="J464" s="4"/>
      <c r="K464" s="4"/>
      <c r="L464" s="4"/>
      <c r="M464" s="4"/>
      <c r="N464" s="4"/>
      <c r="O464" s="4"/>
      <c r="P464" s="4"/>
      <c r="Q464" s="4"/>
    </row>
    <row r="465" spans="1:17" ht="12.75" customHeight="1">
      <c r="A465" s="4"/>
      <c r="B465" s="4"/>
      <c r="C465" s="3"/>
      <c r="D465" s="4"/>
      <c r="E465" s="4"/>
      <c r="F465" s="4"/>
      <c r="G465" s="4"/>
      <c r="H465" s="4"/>
      <c r="I465" s="4"/>
      <c r="J465" s="4"/>
      <c r="K465" s="4"/>
      <c r="L465" s="4"/>
      <c r="M465" s="4"/>
      <c r="N465" s="4"/>
      <c r="O465" s="4"/>
      <c r="P465" s="4"/>
      <c r="Q465" s="4"/>
    </row>
    <row r="466" spans="1:17" ht="12.75" customHeight="1">
      <c r="A466" s="4"/>
      <c r="B466" s="4"/>
      <c r="C466" s="3"/>
      <c r="D466" s="4"/>
      <c r="E466" s="4"/>
      <c r="F466" s="4"/>
      <c r="G466" s="4"/>
      <c r="H466" s="4"/>
      <c r="I466" s="4"/>
      <c r="J466" s="4"/>
      <c r="K466" s="4"/>
      <c r="L466" s="4"/>
      <c r="M466" s="4"/>
      <c r="N466" s="4"/>
      <c r="O466" s="4"/>
      <c r="P466" s="4"/>
      <c r="Q466" s="4"/>
    </row>
    <row r="467" spans="1:17" ht="12.75" customHeight="1">
      <c r="A467" s="4"/>
      <c r="B467" s="4"/>
      <c r="C467" s="3"/>
      <c r="D467" s="4"/>
      <c r="E467" s="4"/>
      <c r="F467" s="4"/>
      <c r="G467" s="4"/>
      <c r="H467" s="4"/>
      <c r="I467" s="4"/>
      <c r="J467" s="4"/>
      <c r="K467" s="4"/>
      <c r="L467" s="4"/>
      <c r="M467" s="4"/>
      <c r="N467" s="4"/>
      <c r="O467" s="4"/>
      <c r="P467" s="4"/>
      <c r="Q467" s="4"/>
    </row>
    <row r="468" spans="1:17" ht="12.75" customHeight="1">
      <c r="A468" s="4"/>
      <c r="B468" s="4"/>
      <c r="C468" s="3"/>
      <c r="D468" s="4"/>
      <c r="E468" s="4"/>
      <c r="F468" s="4"/>
      <c r="G468" s="4"/>
      <c r="H468" s="4"/>
      <c r="I468" s="4"/>
      <c r="J468" s="4"/>
      <c r="K468" s="4"/>
      <c r="L468" s="4"/>
      <c r="M468" s="4"/>
      <c r="N468" s="4"/>
      <c r="O468" s="4"/>
      <c r="P468" s="4"/>
      <c r="Q468" s="4"/>
    </row>
    <row r="469" spans="1:17" ht="12.75" customHeight="1">
      <c r="A469" s="4"/>
      <c r="B469" s="4"/>
      <c r="C469" s="3"/>
      <c r="D469" s="4"/>
      <c r="E469" s="4"/>
      <c r="F469" s="4"/>
      <c r="G469" s="4"/>
      <c r="H469" s="4"/>
      <c r="I469" s="4"/>
      <c r="J469" s="4"/>
      <c r="K469" s="4"/>
      <c r="L469" s="4"/>
      <c r="M469" s="4"/>
      <c r="N469" s="4"/>
      <c r="O469" s="4"/>
      <c r="P469" s="4"/>
      <c r="Q469" s="4"/>
    </row>
    <row r="470" spans="1:17" ht="12.75" customHeight="1">
      <c r="A470" s="4"/>
      <c r="B470" s="4"/>
      <c r="C470" s="3"/>
      <c r="D470" s="4"/>
      <c r="E470" s="4"/>
      <c r="F470" s="4"/>
      <c r="G470" s="4"/>
      <c r="H470" s="4"/>
      <c r="I470" s="4"/>
      <c r="J470" s="4"/>
      <c r="K470" s="4"/>
      <c r="L470" s="4"/>
      <c r="M470" s="4"/>
      <c r="N470" s="4"/>
      <c r="O470" s="4"/>
      <c r="P470" s="4"/>
      <c r="Q470" s="4"/>
    </row>
    <row r="471" spans="1:17" ht="12.75" customHeight="1">
      <c r="A471" s="4"/>
      <c r="B471" s="4"/>
      <c r="C471" s="3"/>
      <c r="D471" s="4"/>
      <c r="E471" s="4"/>
      <c r="F471" s="4"/>
      <c r="G471" s="4"/>
      <c r="H471" s="4"/>
      <c r="I471" s="4"/>
      <c r="J471" s="4"/>
      <c r="K471" s="4"/>
      <c r="L471" s="4"/>
      <c r="M471" s="4"/>
      <c r="N471" s="4"/>
      <c r="O471" s="4"/>
      <c r="P471" s="4"/>
      <c r="Q471" s="4"/>
    </row>
    <row r="472" spans="1:17" ht="12.75" customHeight="1">
      <c r="A472" s="4"/>
      <c r="B472" s="4"/>
      <c r="C472" s="3"/>
      <c r="D472" s="4"/>
      <c r="E472" s="4"/>
      <c r="F472" s="4"/>
      <c r="G472" s="4"/>
      <c r="H472" s="4"/>
      <c r="I472" s="4"/>
      <c r="J472" s="4"/>
      <c r="K472" s="4"/>
      <c r="L472" s="4"/>
      <c r="M472" s="4"/>
      <c r="N472" s="4"/>
      <c r="O472" s="4"/>
      <c r="P472" s="4"/>
      <c r="Q472" s="4"/>
    </row>
    <row r="473" spans="1:17" ht="12.75" customHeight="1">
      <c r="A473" s="4"/>
      <c r="B473" s="4"/>
      <c r="C473" s="3"/>
      <c r="D473" s="4"/>
      <c r="E473" s="4"/>
      <c r="F473" s="4"/>
      <c r="G473" s="4"/>
      <c r="H473" s="4"/>
      <c r="I473" s="4"/>
      <c r="J473" s="4"/>
      <c r="K473" s="4"/>
      <c r="L473" s="4"/>
      <c r="M473" s="4"/>
      <c r="N473" s="4"/>
      <c r="O473" s="4"/>
      <c r="P473" s="4"/>
      <c r="Q473" s="4"/>
    </row>
    <row r="474" spans="1:17" ht="12.75" customHeight="1">
      <c r="A474" s="4"/>
      <c r="B474" s="4"/>
      <c r="C474" s="3"/>
      <c r="D474" s="4"/>
      <c r="E474" s="4"/>
      <c r="F474" s="4"/>
      <c r="G474" s="4"/>
      <c r="H474" s="4"/>
      <c r="I474" s="4"/>
      <c r="J474" s="4"/>
      <c r="K474" s="4"/>
      <c r="L474" s="4"/>
      <c r="M474" s="4"/>
      <c r="N474" s="4"/>
      <c r="O474" s="4"/>
      <c r="P474" s="4"/>
      <c r="Q474" s="4"/>
    </row>
    <row r="475" spans="1:17" ht="12.75" customHeight="1">
      <c r="A475" s="4"/>
      <c r="B475" s="4"/>
      <c r="C475" s="3"/>
      <c r="D475" s="4"/>
      <c r="E475" s="4"/>
      <c r="F475" s="4"/>
      <c r="G475" s="4"/>
      <c r="H475" s="4"/>
      <c r="I475" s="4"/>
      <c r="J475" s="4"/>
      <c r="K475" s="4"/>
      <c r="L475" s="4"/>
      <c r="M475" s="4"/>
      <c r="N475" s="4"/>
      <c r="O475" s="4"/>
      <c r="P475" s="4"/>
      <c r="Q475" s="4"/>
    </row>
    <row r="476" spans="1:17" ht="12.75" customHeight="1">
      <c r="A476" s="4"/>
      <c r="B476" s="4"/>
      <c r="C476" s="3"/>
      <c r="D476" s="4"/>
      <c r="E476" s="4"/>
      <c r="F476" s="4"/>
      <c r="G476" s="4"/>
      <c r="H476" s="4"/>
      <c r="I476" s="4"/>
      <c r="J476" s="4"/>
      <c r="K476" s="4"/>
      <c r="L476" s="4"/>
      <c r="M476" s="4"/>
      <c r="N476" s="4"/>
      <c r="O476" s="4"/>
      <c r="P476" s="4"/>
      <c r="Q476" s="4"/>
    </row>
    <row r="477" spans="1:17" ht="12.75" customHeight="1">
      <c r="A477" s="4"/>
      <c r="B477" s="4"/>
      <c r="C477" s="3"/>
      <c r="D477" s="4"/>
      <c r="E477" s="4"/>
      <c r="F477" s="4"/>
      <c r="G477" s="4"/>
      <c r="H477" s="4"/>
      <c r="I477" s="4"/>
      <c r="J477" s="4"/>
      <c r="K477" s="4"/>
      <c r="L477" s="4"/>
      <c r="M477" s="4"/>
      <c r="N477" s="4"/>
      <c r="O477" s="4"/>
      <c r="P477" s="4"/>
      <c r="Q477" s="4"/>
    </row>
    <row r="478" spans="1:17" ht="12.75" customHeight="1">
      <c r="A478" s="4"/>
      <c r="B478" s="4"/>
      <c r="C478" s="3"/>
      <c r="D478" s="4"/>
      <c r="E478" s="4"/>
      <c r="F478" s="4"/>
      <c r="G478" s="4"/>
      <c r="H478" s="4"/>
      <c r="I478" s="4"/>
      <c r="J478" s="4"/>
      <c r="K478" s="4"/>
      <c r="L478" s="4"/>
      <c r="M478" s="4"/>
      <c r="N478" s="4"/>
      <c r="O478" s="4"/>
      <c r="P478" s="4"/>
      <c r="Q478" s="4"/>
    </row>
    <row r="479" spans="1:17" ht="12.75" customHeight="1">
      <c r="A479" s="4"/>
      <c r="B479" s="4"/>
      <c r="C479" s="3"/>
      <c r="D479" s="4"/>
      <c r="E479" s="4"/>
      <c r="F479" s="4"/>
      <c r="G479" s="4"/>
      <c r="H479" s="4"/>
      <c r="I479" s="4"/>
      <c r="J479" s="4"/>
      <c r="K479" s="4"/>
      <c r="L479" s="4"/>
      <c r="M479" s="4"/>
      <c r="N479" s="4"/>
      <c r="O479" s="4"/>
      <c r="P479" s="4"/>
      <c r="Q479" s="4"/>
    </row>
    <row r="480" spans="1:17" ht="12.75" customHeight="1">
      <c r="A480" s="4"/>
      <c r="B480" s="4"/>
      <c r="C480" s="3"/>
      <c r="D480" s="4"/>
      <c r="E480" s="4"/>
      <c r="F480" s="4"/>
      <c r="G480" s="4"/>
      <c r="H480" s="4"/>
      <c r="I480" s="4"/>
      <c r="J480" s="4"/>
      <c r="K480" s="4"/>
      <c r="L480" s="4"/>
      <c r="M480" s="4"/>
      <c r="N480" s="4"/>
      <c r="O480" s="4"/>
      <c r="P480" s="4"/>
      <c r="Q480" s="4"/>
    </row>
    <row r="481" spans="1:17" ht="12.75" customHeight="1">
      <c r="A481" s="4"/>
      <c r="B481" s="4"/>
      <c r="C481" s="3"/>
      <c r="D481" s="4"/>
      <c r="E481" s="4"/>
      <c r="F481" s="4"/>
      <c r="G481" s="4"/>
      <c r="H481" s="4"/>
      <c r="I481" s="4"/>
      <c r="J481" s="4"/>
      <c r="K481" s="4"/>
      <c r="L481" s="4"/>
      <c r="M481" s="4"/>
      <c r="N481" s="4"/>
      <c r="O481" s="4"/>
      <c r="P481" s="4"/>
      <c r="Q481" s="4"/>
    </row>
    <row r="482" spans="1:17" ht="12.75" customHeight="1">
      <c r="A482" s="4"/>
      <c r="B482" s="4"/>
      <c r="C482" s="3"/>
      <c r="D482" s="4"/>
      <c r="E482" s="4"/>
      <c r="F482" s="4"/>
      <c r="G482" s="4"/>
      <c r="H482" s="4"/>
      <c r="I482" s="4"/>
      <c r="J482" s="4"/>
      <c r="K482" s="4"/>
      <c r="L482" s="4"/>
      <c r="M482" s="4"/>
      <c r="N482" s="4"/>
      <c r="O482" s="4"/>
      <c r="P482" s="4"/>
      <c r="Q482" s="4"/>
    </row>
    <row r="483" spans="1:17" ht="12.75" customHeight="1">
      <c r="A483" s="4"/>
      <c r="B483" s="4"/>
      <c r="C483" s="3"/>
      <c r="D483" s="4"/>
      <c r="E483" s="4"/>
      <c r="F483" s="4"/>
      <c r="G483" s="4"/>
      <c r="H483" s="4"/>
      <c r="I483" s="4"/>
      <c r="J483" s="4"/>
      <c r="K483" s="4"/>
      <c r="L483" s="4"/>
      <c r="M483" s="4"/>
      <c r="N483" s="4"/>
      <c r="O483" s="4"/>
      <c r="P483" s="4"/>
      <c r="Q483" s="4"/>
    </row>
    <row r="484" spans="1:17" ht="12.75" customHeight="1">
      <c r="A484" s="4"/>
      <c r="B484" s="4"/>
      <c r="C484" s="3"/>
      <c r="D484" s="4"/>
      <c r="E484" s="4"/>
      <c r="F484" s="4"/>
      <c r="G484" s="4"/>
      <c r="H484" s="4"/>
      <c r="I484" s="4"/>
      <c r="J484" s="4"/>
      <c r="K484" s="4"/>
      <c r="L484" s="4"/>
      <c r="M484" s="4"/>
      <c r="N484" s="4"/>
      <c r="O484" s="4"/>
      <c r="P484" s="4"/>
      <c r="Q484" s="4"/>
    </row>
    <row r="485" spans="1:17" ht="12.75" customHeight="1">
      <c r="A485" s="4"/>
      <c r="B485" s="4"/>
      <c r="C485" s="3"/>
      <c r="D485" s="4"/>
      <c r="E485" s="4"/>
      <c r="F485" s="4"/>
      <c r="G485" s="4"/>
      <c r="H485" s="4"/>
      <c r="I485" s="4"/>
      <c r="J485" s="4"/>
      <c r="K485" s="4"/>
      <c r="L485" s="4"/>
      <c r="M485" s="4"/>
      <c r="N485" s="4"/>
      <c r="O485" s="4"/>
      <c r="P485" s="4"/>
      <c r="Q485" s="4"/>
    </row>
    <row r="486" spans="1:17" ht="12.75" customHeight="1">
      <c r="A486" s="4"/>
      <c r="B486" s="4"/>
      <c r="C486" s="3"/>
      <c r="D486" s="4"/>
      <c r="E486" s="4"/>
      <c r="F486" s="4"/>
      <c r="G486" s="4"/>
      <c r="H486" s="4"/>
      <c r="I486" s="4"/>
      <c r="J486" s="4"/>
      <c r="K486" s="4"/>
      <c r="L486" s="4"/>
      <c r="M486" s="4"/>
      <c r="N486" s="4"/>
      <c r="O486" s="4"/>
      <c r="P486" s="4"/>
      <c r="Q486" s="4"/>
    </row>
    <row r="487" spans="1:17" ht="12.75" customHeight="1">
      <c r="A487" s="4"/>
      <c r="B487" s="4"/>
      <c r="C487" s="3"/>
      <c r="D487" s="4"/>
      <c r="E487" s="4"/>
      <c r="F487" s="4"/>
      <c r="G487" s="4"/>
      <c r="H487" s="4"/>
      <c r="I487" s="4"/>
      <c r="J487" s="4"/>
      <c r="K487" s="4"/>
      <c r="L487" s="4"/>
      <c r="M487" s="4"/>
      <c r="N487" s="4"/>
      <c r="O487" s="4"/>
      <c r="P487" s="4"/>
      <c r="Q487" s="4"/>
    </row>
    <row r="488" spans="1:17" ht="12.75" customHeight="1">
      <c r="A488" s="4"/>
      <c r="B488" s="4"/>
      <c r="C488" s="3"/>
      <c r="D488" s="4"/>
      <c r="E488" s="4"/>
      <c r="F488" s="4"/>
      <c r="G488" s="4"/>
      <c r="H488" s="4"/>
      <c r="I488" s="4"/>
      <c r="J488" s="4"/>
      <c r="K488" s="4"/>
      <c r="L488" s="4"/>
      <c r="M488" s="4"/>
      <c r="N488" s="4"/>
      <c r="O488" s="4"/>
      <c r="P488" s="4"/>
      <c r="Q488" s="4"/>
    </row>
    <row r="489" spans="1:17" ht="12.75" customHeight="1">
      <c r="A489" s="4"/>
      <c r="B489" s="4"/>
      <c r="C489" s="3"/>
      <c r="D489" s="4"/>
      <c r="E489" s="4"/>
      <c r="F489" s="4"/>
      <c r="G489" s="4"/>
      <c r="H489" s="4"/>
      <c r="I489" s="4"/>
      <c r="J489" s="4"/>
      <c r="K489" s="4"/>
      <c r="L489" s="4"/>
      <c r="M489" s="4"/>
      <c r="N489" s="4"/>
      <c r="O489" s="4"/>
      <c r="P489" s="4"/>
      <c r="Q489" s="4"/>
    </row>
    <row r="490" spans="1:17" ht="12.75" customHeight="1">
      <c r="A490" s="4"/>
      <c r="B490" s="4"/>
      <c r="C490" s="3"/>
      <c r="D490" s="4"/>
      <c r="E490" s="4"/>
      <c r="F490" s="4"/>
      <c r="G490" s="4"/>
      <c r="H490" s="4"/>
      <c r="I490" s="4"/>
      <c r="J490" s="4"/>
      <c r="K490" s="4"/>
      <c r="L490" s="4"/>
      <c r="M490" s="4"/>
      <c r="N490" s="4"/>
      <c r="O490" s="4"/>
      <c r="P490" s="4"/>
      <c r="Q490" s="4"/>
    </row>
    <row r="491" spans="1:17" ht="12.75" customHeight="1">
      <c r="A491" s="4"/>
      <c r="B491" s="4"/>
      <c r="C491" s="3"/>
      <c r="D491" s="4"/>
      <c r="E491" s="4"/>
      <c r="F491" s="4"/>
      <c r="G491" s="4"/>
      <c r="H491" s="4"/>
      <c r="I491" s="4"/>
      <c r="J491" s="4"/>
      <c r="K491" s="4"/>
      <c r="L491" s="4"/>
      <c r="M491" s="4"/>
      <c r="N491" s="4"/>
      <c r="O491" s="4"/>
      <c r="P491" s="4"/>
      <c r="Q491" s="4"/>
    </row>
    <row r="492" spans="1:17" ht="12.75" customHeight="1">
      <c r="A492" s="4"/>
      <c r="B492" s="4"/>
      <c r="C492" s="3"/>
      <c r="D492" s="4"/>
      <c r="E492" s="4"/>
      <c r="F492" s="4"/>
      <c r="G492" s="4"/>
      <c r="H492" s="4"/>
      <c r="I492" s="4"/>
      <c r="J492" s="4"/>
      <c r="K492" s="4"/>
      <c r="L492" s="4"/>
      <c r="M492" s="4"/>
      <c r="N492" s="4"/>
      <c r="O492" s="4"/>
      <c r="P492" s="4"/>
      <c r="Q492" s="4"/>
    </row>
    <row r="493" spans="1:17" ht="12.75" customHeight="1">
      <c r="A493" s="4"/>
      <c r="B493" s="4"/>
      <c r="C493" s="3"/>
      <c r="D493" s="4"/>
      <c r="E493" s="4"/>
      <c r="F493" s="4"/>
      <c r="G493" s="4"/>
      <c r="H493" s="4"/>
      <c r="I493" s="4"/>
      <c r="J493" s="4"/>
      <c r="K493" s="4"/>
      <c r="L493" s="4"/>
      <c r="M493" s="4"/>
      <c r="N493" s="4"/>
      <c r="O493" s="4"/>
      <c r="P493" s="4"/>
      <c r="Q493" s="4"/>
    </row>
    <row r="494" spans="1:17" ht="12.75" customHeight="1">
      <c r="A494" s="4"/>
      <c r="B494" s="4"/>
      <c r="C494" s="3"/>
      <c r="D494" s="4"/>
      <c r="E494" s="4"/>
      <c r="F494" s="4"/>
      <c r="G494" s="4"/>
      <c r="H494" s="4"/>
      <c r="I494" s="4"/>
      <c r="J494" s="4"/>
      <c r="K494" s="4"/>
      <c r="L494" s="4"/>
      <c r="M494" s="4"/>
      <c r="N494" s="4"/>
      <c r="O494" s="4"/>
      <c r="P494" s="4"/>
      <c r="Q494" s="4"/>
    </row>
    <row r="495" spans="1:17" ht="12.75" customHeight="1">
      <c r="A495" s="4"/>
      <c r="B495" s="4"/>
      <c r="C495" s="3"/>
      <c r="D495" s="4"/>
      <c r="E495" s="4"/>
      <c r="F495" s="4"/>
      <c r="G495" s="4"/>
      <c r="H495" s="4"/>
      <c r="I495" s="4"/>
      <c r="J495" s="4"/>
      <c r="K495" s="4"/>
      <c r="L495" s="4"/>
      <c r="M495" s="4"/>
      <c r="N495" s="4"/>
      <c r="O495" s="4"/>
      <c r="P495" s="4"/>
      <c r="Q495" s="4"/>
    </row>
    <row r="496" spans="1:17" ht="12.75" customHeight="1">
      <c r="A496" s="4"/>
      <c r="B496" s="4"/>
      <c r="C496" s="3"/>
      <c r="D496" s="4"/>
      <c r="E496" s="4"/>
      <c r="F496" s="4"/>
      <c r="G496" s="4"/>
      <c r="H496" s="4"/>
      <c r="I496" s="4"/>
      <c r="J496" s="4"/>
      <c r="K496" s="4"/>
      <c r="L496" s="4"/>
      <c r="M496" s="4"/>
      <c r="N496" s="4"/>
      <c r="O496" s="4"/>
      <c r="P496" s="4"/>
      <c r="Q496" s="4"/>
    </row>
    <row r="497" spans="1:17" ht="12.75" customHeight="1">
      <c r="A497" s="4"/>
      <c r="B497" s="4"/>
      <c r="C497" s="3"/>
      <c r="D497" s="4"/>
      <c r="E497" s="4"/>
      <c r="F497" s="4"/>
      <c r="G497" s="4"/>
      <c r="H497" s="4"/>
      <c r="I497" s="4"/>
      <c r="J497" s="4"/>
      <c r="K497" s="4"/>
      <c r="L497" s="4"/>
      <c r="M497" s="4"/>
      <c r="N497" s="4"/>
      <c r="O497" s="4"/>
      <c r="P497" s="4"/>
      <c r="Q497" s="4"/>
    </row>
    <row r="498" spans="1:17" ht="12.75" customHeight="1">
      <c r="A498" s="4"/>
      <c r="B498" s="4"/>
      <c r="C498" s="3"/>
      <c r="D498" s="4"/>
      <c r="E498" s="4"/>
      <c r="F498" s="4"/>
      <c r="G498" s="4"/>
      <c r="H498" s="4"/>
      <c r="I498" s="4"/>
      <c r="J498" s="4"/>
      <c r="K498" s="4"/>
      <c r="L498" s="4"/>
      <c r="M498" s="4"/>
      <c r="N498" s="4"/>
      <c r="O498" s="4"/>
      <c r="P498" s="4"/>
      <c r="Q498" s="4"/>
    </row>
    <row r="499" spans="1:17" ht="12.75" customHeight="1">
      <c r="A499" s="4"/>
      <c r="B499" s="4"/>
      <c r="C499" s="3"/>
      <c r="D499" s="4"/>
      <c r="E499" s="4"/>
      <c r="F499" s="4"/>
      <c r="G499" s="4"/>
      <c r="H499" s="4"/>
      <c r="I499" s="4"/>
      <c r="J499" s="4"/>
      <c r="K499" s="4"/>
      <c r="L499" s="4"/>
      <c r="M499" s="4"/>
      <c r="N499" s="4"/>
      <c r="O499" s="4"/>
      <c r="P499" s="4"/>
      <c r="Q499" s="4"/>
    </row>
    <row r="500" spans="1:17" ht="12.75" customHeight="1">
      <c r="A500" s="4"/>
      <c r="B500" s="4"/>
      <c r="C500" s="3"/>
      <c r="D500" s="4"/>
      <c r="E500" s="4"/>
      <c r="F500" s="4"/>
      <c r="G500" s="4"/>
      <c r="H500" s="4"/>
      <c r="I500" s="4"/>
      <c r="J500" s="4"/>
      <c r="K500" s="4"/>
      <c r="L500" s="4"/>
      <c r="M500" s="4"/>
      <c r="N500" s="4"/>
      <c r="O500" s="4"/>
      <c r="P500" s="4"/>
      <c r="Q500" s="4"/>
    </row>
    <row r="501" spans="1:17" ht="12.75" customHeight="1">
      <c r="A501" s="4"/>
      <c r="B501" s="4"/>
      <c r="C501" s="3"/>
      <c r="D501" s="4"/>
      <c r="E501" s="4"/>
      <c r="F501" s="4"/>
      <c r="G501" s="4"/>
      <c r="H501" s="4"/>
      <c r="I501" s="4"/>
      <c r="J501" s="4"/>
      <c r="K501" s="4"/>
      <c r="L501" s="4"/>
      <c r="M501" s="4"/>
      <c r="N501" s="4"/>
      <c r="O501" s="4"/>
      <c r="P501" s="4"/>
      <c r="Q501" s="4"/>
    </row>
    <row r="502" spans="1:17" ht="12.75" customHeight="1">
      <c r="A502" s="4"/>
      <c r="B502" s="4"/>
      <c r="C502" s="3"/>
      <c r="D502" s="4"/>
      <c r="E502" s="4"/>
      <c r="F502" s="4"/>
      <c r="G502" s="4"/>
      <c r="H502" s="4"/>
      <c r="I502" s="4"/>
      <c r="J502" s="4"/>
      <c r="K502" s="4"/>
      <c r="L502" s="4"/>
      <c r="M502" s="4"/>
      <c r="N502" s="4"/>
      <c r="O502" s="4"/>
      <c r="P502" s="4"/>
      <c r="Q502" s="4"/>
    </row>
    <row r="503" spans="1:17" ht="12.75" customHeight="1">
      <c r="A503" s="4"/>
      <c r="B503" s="4"/>
      <c r="C503" s="3"/>
      <c r="D503" s="4"/>
      <c r="E503" s="4"/>
      <c r="F503" s="4"/>
      <c r="G503" s="4"/>
      <c r="H503" s="4"/>
      <c r="I503" s="4"/>
      <c r="J503" s="4"/>
      <c r="K503" s="4"/>
      <c r="L503" s="4"/>
      <c r="M503" s="4"/>
      <c r="N503" s="4"/>
      <c r="O503" s="4"/>
      <c r="P503" s="4"/>
      <c r="Q503" s="4"/>
    </row>
    <row r="504" spans="1:17" ht="12.75" customHeight="1">
      <c r="A504" s="4"/>
      <c r="B504" s="4"/>
      <c r="C504" s="3"/>
      <c r="D504" s="4"/>
      <c r="E504" s="4"/>
      <c r="F504" s="4"/>
      <c r="G504" s="4"/>
      <c r="H504" s="4"/>
      <c r="I504" s="4"/>
      <c r="J504" s="4"/>
      <c r="K504" s="4"/>
      <c r="L504" s="4"/>
      <c r="M504" s="4"/>
      <c r="N504" s="4"/>
      <c r="O504" s="4"/>
      <c r="P504" s="4"/>
      <c r="Q504" s="4"/>
    </row>
    <row r="505" spans="1:17" ht="12.75" customHeight="1">
      <c r="A505" s="4"/>
      <c r="B505" s="4"/>
      <c r="C505" s="3"/>
      <c r="D505" s="4"/>
      <c r="E505" s="4"/>
      <c r="F505" s="4"/>
      <c r="G505" s="4"/>
      <c r="H505" s="4"/>
      <c r="I505" s="4"/>
      <c r="J505" s="4"/>
      <c r="K505" s="4"/>
      <c r="L505" s="4"/>
      <c r="M505" s="4"/>
      <c r="N505" s="4"/>
      <c r="O505" s="4"/>
      <c r="P505" s="4"/>
      <c r="Q505" s="4"/>
    </row>
    <row r="506" spans="1:17" ht="12.75" customHeight="1">
      <c r="A506" s="4"/>
      <c r="B506" s="4"/>
      <c r="C506" s="3"/>
      <c r="D506" s="4"/>
      <c r="E506" s="4"/>
      <c r="F506" s="4"/>
      <c r="G506" s="4"/>
      <c r="H506" s="4"/>
      <c r="I506" s="4"/>
      <c r="J506" s="4"/>
      <c r="K506" s="4"/>
      <c r="L506" s="4"/>
      <c r="M506" s="4"/>
      <c r="N506" s="4"/>
      <c r="O506" s="4"/>
      <c r="P506" s="4"/>
      <c r="Q506" s="4"/>
    </row>
    <row r="507" spans="1:17" ht="12.75" customHeight="1">
      <c r="A507" s="4"/>
      <c r="B507" s="4"/>
      <c r="C507" s="3"/>
      <c r="D507" s="4"/>
      <c r="E507" s="4"/>
      <c r="F507" s="4"/>
      <c r="G507" s="4"/>
      <c r="H507" s="4"/>
      <c r="I507" s="4"/>
      <c r="J507" s="4"/>
      <c r="K507" s="4"/>
      <c r="L507" s="4"/>
      <c r="M507" s="4"/>
      <c r="N507" s="4"/>
      <c r="O507" s="4"/>
      <c r="P507" s="4"/>
      <c r="Q507" s="4"/>
    </row>
    <row r="508" spans="1:17" ht="12.75" customHeight="1">
      <c r="A508" s="4"/>
      <c r="B508" s="4"/>
      <c r="C508" s="3"/>
      <c r="D508" s="4"/>
      <c r="E508" s="4"/>
      <c r="F508" s="4"/>
      <c r="G508" s="4"/>
      <c r="H508" s="4"/>
      <c r="I508" s="4"/>
      <c r="J508" s="4"/>
      <c r="K508" s="4"/>
      <c r="L508" s="4"/>
      <c r="M508" s="4"/>
      <c r="N508" s="4"/>
      <c r="O508" s="4"/>
      <c r="P508" s="4"/>
      <c r="Q508" s="4"/>
    </row>
    <row r="509" spans="1:17" ht="12.75" customHeight="1">
      <c r="A509" s="4"/>
      <c r="B509" s="4"/>
      <c r="C509" s="3"/>
      <c r="D509" s="4"/>
      <c r="E509" s="4"/>
      <c r="F509" s="4"/>
      <c r="G509" s="4"/>
      <c r="H509" s="4"/>
      <c r="I509" s="4"/>
      <c r="J509" s="4"/>
      <c r="K509" s="4"/>
      <c r="L509" s="4"/>
      <c r="M509" s="4"/>
      <c r="N509" s="4"/>
      <c r="O509" s="4"/>
      <c r="P509" s="4"/>
      <c r="Q509" s="4"/>
    </row>
    <row r="510" spans="1:17" ht="12.75" customHeight="1">
      <c r="A510" s="4"/>
      <c r="B510" s="4"/>
      <c r="C510" s="3"/>
      <c r="D510" s="4"/>
      <c r="E510" s="4"/>
      <c r="F510" s="4"/>
      <c r="G510" s="4"/>
      <c r="H510" s="4"/>
      <c r="I510" s="4"/>
      <c r="J510" s="4"/>
      <c r="K510" s="4"/>
      <c r="L510" s="4"/>
      <c r="M510" s="4"/>
      <c r="N510" s="4"/>
      <c r="O510" s="4"/>
      <c r="P510" s="4"/>
      <c r="Q510" s="4"/>
    </row>
    <row r="511" spans="1:17" ht="12.75" customHeight="1">
      <c r="A511" s="4"/>
      <c r="B511" s="4"/>
      <c r="C511" s="3"/>
      <c r="D511" s="4"/>
      <c r="E511" s="4"/>
      <c r="F511" s="4"/>
      <c r="G511" s="4"/>
      <c r="H511" s="4"/>
      <c r="I511" s="4"/>
      <c r="J511" s="4"/>
      <c r="K511" s="4"/>
      <c r="L511" s="4"/>
      <c r="M511" s="4"/>
      <c r="N511" s="4"/>
      <c r="O511" s="4"/>
      <c r="P511" s="4"/>
      <c r="Q511" s="4"/>
    </row>
    <row r="512" spans="1:17" ht="12.75" customHeight="1">
      <c r="A512" s="4"/>
      <c r="B512" s="4"/>
      <c r="C512" s="3"/>
      <c r="D512" s="4"/>
      <c r="E512" s="4"/>
      <c r="F512" s="4"/>
      <c r="G512" s="4"/>
      <c r="H512" s="4"/>
      <c r="I512" s="4"/>
      <c r="J512" s="4"/>
      <c r="K512" s="4"/>
      <c r="L512" s="4"/>
      <c r="M512" s="4"/>
      <c r="N512" s="4"/>
      <c r="O512" s="4"/>
      <c r="P512" s="4"/>
      <c r="Q512" s="4"/>
    </row>
    <row r="513" spans="1:17" ht="12.75" customHeight="1">
      <c r="A513" s="4"/>
      <c r="B513" s="4"/>
      <c r="C513" s="3"/>
      <c r="D513" s="4"/>
      <c r="E513" s="4"/>
      <c r="F513" s="4"/>
      <c r="G513" s="4"/>
      <c r="H513" s="4"/>
      <c r="I513" s="4"/>
      <c r="J513" s="4"/>
      <c r="K513" s="4"/>
      <c r="L513" s="4"/>
      <c r="M513" s="4"/>
      <c r="N513" s="4"/>
      <c r="O513" s="4"/>
      <c r="P513" s="4"/>
      <c r="Q513" s="4"/>
    </row>
    <row r="514" spans="1:17" ht="12.75" customHeight="1">
      <c r="A514" s="4"/>
      <c r="B514" s="4"/>
      <c r="C514" s="3"/>
      <c r="D514" s="4"/>
      <c r="E514" s="4"/>
      <c r="F514" s="4"/>
      <c r="G514" s="4"/>
      <c r="H514" s="4"/>
      <c r="I514" s="4"/>
      <c r="J514" s="4"/>
      <c r="K514" s="4"/>
      <c r="L514" s="4"/>
      <c r="M514" s="4"/>
      <c r="N514" s="4"/>
      <c r="O514" s="4"/>
      <c r="P514" s="4"/>
      <c r="Q514" s="4"/>
    </row>
    <row r="515" spans="1:17" ht="12.75" customHeight="1">
      <c r="A515" s="4"/>
      <c r="B515" s="4"/>
      <c r="C515" s="3"/>
      <c r="D515" s="4"/>
      <c r="E515" s="4"/>
      <c r="F515" s="4"/>
      <c r="G515" s="4"/>
      <c r="H515" s="4"/>
      <c r="I515" s="4"/>
      <c r="J515" s="4"/>
      <c r="K515" s="4"/>
      <c r="L515" s="4"/>
      <c r="M515" s="4"/>
      <c r="N515" s="4"/>
      <c r="O515" s="4"/>
      <c r="P515" s="4"/>
      <c r="Q515" s="4"/>
    </row>
    <row r="516" spans="1:17" ht="12.75" customHeight="1">
      <c r="A516" s="4"/>
      <c r="B516" s="4"/>
      <c r="C516" s="3"/>
      <c r="D516" s="4"/>
      <c r="E516" s="4"/>
      <c r="F516" s="4"/>
      <c r="G516" s="4"/>
      <c r="H516" s="4"/>
      <c r="I516" s="4"/>
      <c r="J516" s="4"/>
      <c r="K516" s="4"/>
      <c r="L516" s="4"/>
      <c r="M516" s="4"/>
      <c r="N516" s="4"/>
      <c r="O516" s="4"/>
      <c r="P516" s="4"/>
      <c r="Q516" s="4"/>
    </row>
    <row r="517" spans="1:17" ht="12.75" customHeight="1">
      <c r="A517" s="4"/>
      <c r="B517" s="4"/>
      <c r="C517" s="3"/>
      <c r="D517" s="4"/>
      <c r="E517" s="4"/>
      <c r="F517" s="4"/>
      <c r="G517" s="4"/>
      <c r="H517" s="4"/>
      <c r="I517" s="4"/>
      <c r="J517" s="4"/>
      <c r="K517" s="4"/>
      <c r="L517" s="4"/>
      <c r="M517" s="4"/>
      <c r="N517" s="4"/>
      <c r="O517" s="4"/>
      <c r="P517" s="4"/>
      <c r="Q517" s="4"/>
    </row>
    <row r="518" spans="1:17" ht="12.75" customHeight="1">
      <c r="A518" s="4"/>
      <c r="B518" s="4"/>
      <c r="C518" s="3"/>
      <c r="D518" s="4"/>
      <c r="E518" s="4"/>
      <c r="F518" s="4"/>
      <c r="G518" s="4"/>
      <c r="H518" s="4"/>
      <c r="I518" s="4"/>
      <c r="J518" s="4"/>
      <c r="K518" s="4"/>
      <c r="L518" s="4"/>
      <c r="M518" s="4"/>
      <c r="N518" s="4"/>
      <c r="O518" s="4"/>
      <c r="P518" s="4"/>
      <c r="Q518" s="4"/>
    </row>
    <row r="519" spans="1:17" ht="12.75" customHeight="1">
      <c r="A519" s="4"/>
      <c r="B519" s="4"/>
      <c r="C519" s="3"/>
      <c r="D519" s="4"/>
      <c r="E519" s="4"/>
      <c r="F519" s="4"/>
      <c r="G519" s="4"/>
      <c r="H519" s="4"/>
      <c r="I519" s="4"/>
      <c r="J519" s="4"/>
      <c r="K519" s="4"/>
      <c r="L519" s="4"/>
      <c r="M519" s="4"/>
      <c r="N519" s="4"/>
      <c r="O519" s="4"/>
      <c r="P519" s="4"/>
      <c r="Q519" s="4"/>
    </row>
    <row r="520" spans="1:17" ht="12.75" customHeight="1">
      <c r="A520" s="4"/>
      <c r="B520" s="4"/>
      <c r="C520" s="3"/>
      <c r="D520" s="4"/>
      <c r="E520" s="4"/>
      <c r="F520" s="4"/>
      <c r="G520" s="4"/>
      <c r="H520" s="4"/>
      <c r="I520" s="4"/>
      <c r="J520" s="4"/>
      <c r="K520" s="4"/>
      <c r="L520" s="4"/>
      <c r="M520" s="4"/>
      <c r="N520" s="4"/>
      <c r="O520" s="4"/>
      <c r="P520" s="4"/>
      <c r="Q520" s="4"/>
    </row>
    <row r="521" spans="1:17" ht="12.75" customHeight="1">
      <c r="A521" s="4"/>
      <c r="B521" s="4"/>
      <c r="C521" s="3"/>
      <c r="D521" s="4"/>
      <c r="E521" s="4"/>
      <c r="F521" s="4"/>
      <c r="G521" s="4"/>
      <c r="H521" s="4"/>
      <c r="I521" s="4"/>
      <c r="J521" s="4"/>
      <c r="K521" s="4"/>
      <c r="L521" s="4"/>
      <c r="M521" s="4"/>
      <c r="N521" s="4"/>
      <c r="O521" s="4"/>
      <c r="P521" s="4"/>
      <c r="Q521" s="4"/>
    </row>
    <row r="522" spans="1:17" ht="12.75" customHeight="1">
      <c r="A522" s="4"/>
      <c r="B522" s="4"/>
      <c r="C522" s="3"/>
      <c r="D522" s="4"/>
      <c r="E522" s="4"/>
      <c r="F522" s="4"/>
      <c r="G522" s="4"/>
      <c r="H522" s="4"/>
      <c r="I522" s="4"/>
      <c r="J522" s="4"/>
      <c r="K522" s="4"/>
      <c r="L522" s="4"/>
      <c r="M522" s="4"/>
      <c r="N522" s="4"/>
      <c r="O522" s="4"/>
      <c r="P522" s="4"/>
      <c r="Q522" s="4"/>
    </row>
    <row r="523" spans="1:17" ht="12.75" customHeight="1">
      <c r="A523" s="4"/>
      <c r="B523" s="4"/>
      <c r="C523" s="3"/>
      <c r="D523" s="4"/>
      <c r="E523" s="4"/>
      <c r="F523" s="4"/>
      <c r="G523" s="4"/>
      <c r="H523" s="4"/>
      <c r="I523" s="4"/>
      <c r="J523" s="4"/>
      <c r="K523" s="4"/>
      <c r="L523" s="4"/>
      <c r="M523" s="4"/>
      <c r="N523" s="4"/>
      <c r="O523" s="4"/>
      <c r="P523" s="4"/>
      <c r="Q523" s="4"/>
    </row>
    <row r="524" spans="1:17" ht="12.75" customHeight="1">
      <c r="A524" s="4"/>
      <c r="B524" s="4"/>
      <c r="C524" s="3"/>
      <c r="D524" s="4"/>
      <c r="E524" s="4"/>
      <c r="F524" s="4"/>
      <c r="G524" s="4"/>
      <c r="H524" s="4"/>
      <c r="I524" s="4"/>
      <c r="J524" s="4"/>
      <c r="K524" s="4"/>
      <c r="L524" s="4"/>
      <c r="M524" s="4"/>
      <c r="N524" s="4"/>
      <c r="O524" s="4"/>
      <c r="P524" s="4"/>
      <c r="Q524" s="4"/>
    </row>
    <row r="525" spans="1:17" ht="12.75" customHeight="1">
      <c r="A525" s="4"/>
      <c r="B525" s="4"/>
      <c r="C525" s="3"/>
      <c r="D525" s="4"/>
      <c r="E525" s="4"/>
      <c r="F525" s="4"/>
      <c r="G525" s="4"/>
      <c r="H525" s="4"/>
      <c r="I525" s="4"/>
      <c r="J525" s="4"/>
      <c r="K525" s="4"/>
      <c r="L525" s="4"/>
      <c r="M525" s="4"/>
      <c r="N525" s="4"/>
      <c r="O525" s="4"/>
      <c r="P525" s="4"/>
      <c r="Q525" s="4"/>
    </row>
    <row r="526" spans="1:17" ht="12.75" customHeight="1">
      <c r="A526" s="4"/>
      <c r="B526" s="4"/>
      <c r="C526" s="3"/>
      <c r="D526" s="4"/>
      <c r="E526" s="4"/>
      <c r="F526" s="4"/>
      <c r="G526" s="4"/>
      <c r="H526" s="4"/>
      <c r="I526" s="4"/>
      <c r="J526" s="4"/>
      <c r="K526" s="4"/>
      <c r="L526" s="4"/>
      <c r="M526" s="4"/>
      <c r="N526" s="4"/>
      <c r="O526" s="4"/>
      <c r="P526" s="4"/>
      <c r="Q526" s="4"/>
    </row>
    <row r="527" spans="1:17" ht="12.75" customHeight="1">
      <c r="A527" s="4"/>
      <c r="B527" s="4"/>
      <c r="C527" s="3"/>
      <c r="D527" s="4"/>
      <c r="E527" s="4"/>
      <c r="F527" s="4"/>
      <c r="G527" s="4"/>
      <c r="H527" s="4"/>
      <c r="I527" s="4"/>
      <c r="J527" s="4"/>
      <c r="K527" s="4"/>
      <c r="L527" s="4"/>
      <c r="M527" s="4"/>
      <c r="N527" s="4"/>
      <c r="O527" s="4"/>
      <c r="P527" s="4"/>
      <c r="Q527" s="4"/>
    </row>
    <row r="528" spans="1:17" ht="12.75" customHeight="1">
      <c r="A528" s="4"/>
      <c r="B528" s="4"/>
      <c r="C528" s="3"/>
      <c r="D528" s="4"/>
      <c r="E528" s="4"/>
      <c r="F528" s="4"/>
      <c r="G528" s="4"/>
      <c r="H528" s="4"/>
      <c r="I528" s="4"/>
      <c r="J528" s="4"/>
      <c r="K528" s="4"/>
      <c r="L528" s="4"/>
      <c r="M528" s="4"/>
      <c r="N528" s="4"/>
      <c r="O528" s="4"/>
      <c r="P528" s="4"/>
      <c r="Q528" s="4"/>
    </row>
    <row r="529" spans="1:17" ht="12.75" customHeight="1">
      <c r="A529" s="4"/>
      <c r="B529" s="4"/>
      <c r="C529" s="3"/>
      <c r="D529" s="4"/>
      <c r="E529" s="4"/>
      <c r="F529" s="4"/>
      <c r="G529" s="4"/>
      <c r="H529" s="4"/>
      <c r="I529" s="4"/>
      <c r="J529" s="4"/>
      <c r="K529" s="4"/>
      <c r="L529" s="4"/>
      <c r="M529" s="4"/>
      <c r="N529" s="4"/>
      <c r="O529" s="4"/>
      <c r="P529" s="4"/>
      <c r="Q529" s="4"/>
    </row>
    <row r="530" spans="1:17" ht="12.75" customHeight="1">
      <c r="A530" s="4"/>
      <c r="B530" s="4"/>
      <c r="C530" s="3"/>
      <c r="D530" s="4"/>
      <c r="E530" s="4"/>
      <c r="F530" s="4"/>
      <c r="G530" s="4"/>
      <c r="H530" s="4"/>
      <c r="I530" s="4"/>
      <c r="J530" s="4"/>
      <c r="K530" s="4"/>
      <c r="L530" s="4"/>
      <c r="M530" s="4"/>
      <c r="N530" s="4"/>
      <c r="O530" s="4"/>
      <c r="P530" s="4"/>
      <c r="Q530" s="4"/>
    </row>
    <row r="531" spans="1:17" ht="12.75" customHeight="1">
      <c r="A531" s="4"/>
      <c r="B531" s="4"/>
      <c r="C531" s="3"/>
      <c r="D531" s="4"/>
      <c r="E531" s="4"/>
      <c r="F531" s="4"/>
      <c r="G531" s="4"/>
      <c r="H531" s="4"/>
      <c r="I531" s="4"/>
      <c r="J531" s="4"/>
      <c r="K531" s="4"/>
      <c r="L531" s="4"/>
      <c r="M531" s="4"/>
      <c r="N531" s="4"/>
      <c r="O531" s="4"/>
      <c r="P531" s="4"/>
      <c r="Q531" s="4"/>
    </row>
    <row r="532" spans="1:17" ht="12.75" customHeight="1">
      <c r="A532" s="4"/>
      <c r="B532" s="4"/>
      <c r="C532" s="3"/>
      <c r="D532" s="4"/>
      <c r="E532" s="4"/>
      <c r="F532" s="4"/>
      <c r="G532" s="4"/>
      <c r="H532" s="4"/>
      <c r="I532" s="4"/>
      <c r="J532" s="4"/>
      <c r="K532" s="4"/>
      <c r="L532" s="4"/>
      <c r="M532" s="4"/>
      <c r="N532" s="4"/>
      <c r="O532" s="4"/>
      <c r="P532" s="4"/>
      <c r="Q532" s="4"/>
    </row>
    <row r="533" spans="1:17" ht="12.75" customHeight="1">
      <c r="A533" s="4"/>
      <c r="B533" s="4"/>
      <c r="C533" s="3"/>
      <c r="D533" s="4"/>
      <c r="E533" s="4"/>
      <c r="F533" s="4"/>
      <c r="G533" s="4"/>
      <c r="H533" s="4"/>
      <c r="I533" s="4"/>
      <c r="J533" s="4"/>
      <c r="K533" s="4"/>
      <c r="L533" s="4"/>
      <c r="M533" s="4"/>
      <c r="N533" s="4"/>
      <c r="O533" s="4"/>
      <c r="P533" s="4"/>
      <c r="Q533" s="4"/>
    </row>
    <row r="534" spans="1:17" ht="12.75" customHeight="1">
      <c r="A534" s="4"/>
      <c r="B534" s="4"/>
      <c r="C534" s="3"/>
      <c r="D534" s="4"/>
      <c r="E534" s="4"/>
      <c r="F534" s="4"/>
      <c r="G534" s="4"/>
      <c r="H534" s="4"/>
      <c r="I534" s="4"/>
      <c r="J534" s="4"/>
      <c r="K534" s="4"/>
      <c r="L534" s="4"/>
      <c r="M534" s="4"/>
      <c r="N534" s="4"/>
      <c r="O534" s="4"/>
      <c r="P534" s="4"/>
      <c r="Q534" s="4"/>
    </row>
    <row r="535" spans="1:17" ht="12.75" customHeight="1">
      <c r="A535" s="4"/>
      <c r="B535" s="4"/>
      <c r="C535" s="3"/>
      <c r="D535" s="4"/>
      <c r="E535" s="4"/>
      <c r="F535" s="4"/>
      <c r="G535" s="4"/>
      <c r="H535" s="4"/>
      <c r="I535" s="4"/>
      <c r="J535" s="4"/>
      <c r="K535" s="4"/>
      <c r="L535" s="4"/>
      <c r="M535" s="4"/>
      <c r="N535" s="4"/>
      <c r="O535" s="4"/>
      <c r="P535" s="4"/>
      <c r="Q535" s="4"/>
    </row>
    <row r="536" spans="1:17" ht="12.75" customHeight="1">
      <c r="A536" s="4"/>
      <c r="B536" s="4"/>
      <c r="C536" s="3"/>
      <c r="D536" s="4"/>
      <c r="E536" s="4"/>
      <c r="F536" s="4"/>
      <c r="G536" s="4"/>
      <c r="H536" s="4"/>
      <c r="I536" s="4"/>
      <c r="J536" s="4"/>
      <c r="K536" s="4"/>
      <c r="L536" s="4"/>
      <c r="M536" s="4"/>
      <c r="N536" s="4"/>
      <c r="O536" s="4"/>
      <c r="P536" s="4"/>
      <c r="Q536" s="4"/>
    </row>
    <row r="537" spans="1:17" ht="12.75" customHeight="1">
      <c r="A537" s="4"/>
      <c r="B537" s="4"/>
      <c r="C537" s="3"/>
      <c r="D537" s="4"/>
      <c r="E537" s="4"/>
      <c r="F537" s="4"/>
      <c r="G537" s="4"/>
      <c r="H537" s="4"/>
      <c r="I537" s="4"/>
      <c r="J537" s="4"/>
      <c r="K537" s="4"/>
      <c r="L537" s="4"/>
      <c r="M537" s="4"/>
      <c r="N537" s="4"/>
      <c r="O537" s="4"/>
      <c r="P537" s="4"/>
      <c r="Q537" s="4"/>
    </row>
    <row r="538" spans="1:17" ht="12.75" customHeight="1">
      <c r="A538" s="4"/>
      <c r="B538" s="4"/>
      <c r="C538" s="3"/>
      <c r="D538" s="4"/>
      <c r="E538" s="4"/>
      <c r="F538" s="4"/>
      <c r="G538" s="4"/>
      <c r="H538" s="4"/>
      <c r="I538" s="4"/>
      <c r="J538" s="4"/>
      <c r="K538" s="4"/>
      <c r="L538" s="4"/>
      <c r="M538" s="4"/>
      <c r="N538" s="4"/>
      <c r="O538" s="4"/>
      <c r="P538" s="4"/>
      <c r="Q538" s="4"/>
    </row>
    <row r="539" spans="1:17" ht="12.75" customHeight="1">
      <c r="A539" s="4"/>
      <c r="B539" s="4"/>
      <c r="C539" s="3"/>
      <c r="D539" s="4"/>
      <c r="E539" s="4"/>
      <c r="F539" s="4"/>
      <c r="G539" s="4"/>
      <c r="H539" s="4"/>
      <c r="I539" s="4"/>
      <c r="J539" s="4"/>
      <c r="K539" s="4"/>
      <c r="L539" s="4"/>
      <c r="M539" s="4"/>
      <c r="N539" s="4"/>
      <c r="O539" s="4"/>
      <c r="P539" s="4"/>
      <c r="Q539" s="4"/>
    </row>
    <row r="540" spans="1:17" ht="12.75" customHeight="1">
      <c r="A540" s="4"/>
      <c r="B540" s="4"/>
      <c r="C540" s="3"/>
      <c r="D540" s="4"/>
      <c r="E540" s="4"/>
      <c r="F540" s="4"/>
      <c r="G540" s="4"/>
      <c r="H540" s="4"/>
      <c r="I540" s="4"/>
      <c r="J540" s="4"/>
      <c r="K540" s="4"/>
      <c r="L540" s="4"/>
      <c r="M540" s="4"/>
      <c r="N540" s="4"/>
      <c r="O540" s="4"/>
      <c r="P540" s="4"/>
      <c r="Q540" s="4"/>
    </row>
    <row r="541" spans="1:17" ht="12.75" customHeight="1">
      <c r="A541" s="4"/>
      <c r="B541" s="4"/>
      <c r="C541" s="3"/>
      <c r="D541" s="4"/>
      <c r="E541" s="4"/>
      <c r="F541" s="4"/>
      <c r="G541" s="4"/>
      <c r="H541" s="4"/>
      <c r="I541" s="4"/>
      <c r="J541" s="4"/>
      <c r="K541" s="4"/>
      <c r="L541" s="4"/>
      <c r="M541" s="4"/>
      <c r="N541" s="4"/>
      <c r="O541" s="4"/>
      <c r="P541" s="4"/>
      <c r="Q541" s="4"/>
    </row>
    <row r="542" spans="1:17" ht="12.75" customHeight="1">
      <c r="A542" s="4"/>
      <c r="B542" s="4"/>
      <c r="C542" s="3"/>
      <c r="D542" s="4"/>
      <c r="E542" s="4"/>
      <c r="F542" s="4"/>
      <c r="G542" s="4"/>
      <c r="H542" s="4"/>
      <c r="I542" s="4"/>
      <c r="J542" s="4"/>
      <c r="K542" s="4"/>
      <c r="L542" s="4"/>
      <c r="M542" s="4"/>
      <c r="N542" s="4"/>
      <c r="O542" s="4"/>
      <c r="P542" s="4"/>
      <c r="Q542" s="4"/>
    </row>
    <row r="543" spans="1:17" ht="12.75" customHeight="1">
      <c r="A543" s="4"/>
      <c r="B543" s="4"/>
      <c r="C543" s="3"/>
      <c r="D543" s="4"/>
      <c r="E543" s="4"/>
      <c r="F543" s="4"/>
      <c r="G543" s="4"/>
      <c r="H543" s="4"/>
      <c r="I543" s="4"/>
      <c r="J543" s="4"/>
      <c r="K543" s="4"/>
      <c r="L543" s="4"/>
      <c r="M543" s="4"/>
      <c r="N543" s="4"/>
      <c r="O543" s="4"/>
      <c r="P543" s="4"/>
      <c r="Q543" s="4"/>
    </row>
    <row r="544" spans="1:17" ht="12.75" customHeight="1">
      <c r="A544" s="4"/>
      <c r="B544" s="4"/>
      <c r="C544" s="3"/>
      <c r="D544" s="4"/>
      <c r="E544" s="4"/>
      <c r="F544" s="4"/>
      <c r="G544" s="4"/>
      <c r="H544" s="4"/>
      <c r="I544" s="4"/>
      <c r="J544" s="4"/>
      <c r="K544" s="4"/>
      <c r="L544" s="4"/>
      <c r="M544" s="4"/>
      <c r="N544" s="4"/>
      <c r="O544" s="4"/>
      <c r="P544" s="4"/>
      <c r="Q544" s="4"/>
    </row>
    <row r="545" spans="1:17" ht="12.75" customHeight="1">
      <c r="A545" s="4"/>
      <c r="B545" s="4"/>
      <c r="C545" s="3"/>
      <c r="D545" s="4"/>
      <c r="E545" s="4"/>
      <c r="F545" s="4"/>
      <c r="G545" s="4"/>
      <c r="H545" s="4"/>
      <c r="I545" s="4"/>
      <c r="J545" s="4"/>
      <c r="K545" s="4"/>
      <c r="L545" s="4"/>
      <c r="M545" s="4"/>
      <c r="N545" s="4"/>
      <c r="O545" s="4"/>
      <c r="P545" s="4"/>
      <c r="Q545" s="4"/>
    </row>
    <row r="546" spans="1:17" ht="12.75" customHeight="1">
      <c r="A546" s="4"/>
      <c r="B546" s="4"/>
      <c r="C546" s="3"/>
      <c r="D546" s="4"/>
      <c r="E546" s="4"/>
      <c r="F546" s="4"/>
      <c r="G546" s="4"/>
      <c r="H546" s="4"/>
      <c r="I546" s="4"/>
      <c r="J546" s="4"/>
      <c r="K546" s="4"/>
      <c r="L546" s="4"/>
      <c r="M546" s="4"/>
      <c r="N546" s="4"/>
      <c r="O546" s="4"/>
      <c r="P546" s="4"/>
      <c r="Q546" s="4"/>
    </row>
    <row r="547" spans="1:17" ht="12.75" customHeight="1">
      <c r="A547" s="4"/>
      <c r="B547" s="4"/>
      <c r="C547" s="3"/>
      <c r="D547" s="4"/>
      <c r="E547" s="4"/>
      <c r="F547" s="4"/>
      <c r="G547" s="4"/>
      <c r="H547" s="4"/>
      <c r="I547" s="4"/>
      <c r="J547" s="4"/>
      <c r="K547" s="4"/>
      <c r="L547" s="4"/>
      <c r="M547" s="4"/>
      <c r="N547" s="4"/>
      <c r="O547" s="4"/>
      <c r="P547" s="4"/>
      <c r="Q547" s="4"/>
    </row>
    <row r="548" spans="1:17" ht="12.75" customHeight="1">
      <c r="A548" s="4"/>
      <c r="B548" s="4"/>
      <c r="C548" s="3"/>
      <c r="D548" s="4"/>
      <c r="E548" s="4"/>
      <c r="F548" s="4"/>
      <c r="G548" s="4"/>
      <c r="H548" s="4"/>
      <c r="I548" s="4"/>
      <c r="J548" s="4"/>
      <c r="K548" s="4"/>
      <c r="L548" s="4"/>
      <c r="M548" s="4"/>
      <c r="N548" s="4"/>
      <c r="O548" s="4"/>
      <c r="P548" s="4"/>
      <c r="Q548" s="4"/>
    </row>
    <row r="549" spans="1:17" ht="12.75" customHeight="1">
      <c r="A549" s="4"/>
      <c r="B549" s="4"/>
      <c r="C549" s="3"/>
      <c r="D549" s="4"/>
      <c r="E549" s="4"/>
      <c r="F549" s="4"/>
      <c r="G549" s="4"/>
      <c r="H549" s="4"/>
      <c r="I549" s="4"/>
      <c r="J549" s="4"/>
      <c r="K549" s="4"/>
      <c r="L549" s="4"/>
      <c r="M549" s="4"/>
      <c r="N549" s="4"/>
      <c r="O549" s="4"/>
      <c r="P549" s="4"/>
      <c r="Q549" s="4"/>
    </row>
    <row r="550" spans="1:17" ht="12.75" customHeight="1">
      <c r="A550" s="4"/>
      <c r="B550" s="4"/>
      <c r="C550" s="3"/>
      <c r="D550" s="4"/>
      <c r="E550" s="4"/>
      <c r="F550" s="4"/>
      <c r="G550" s="4"/>
      <c r="H550" s="4"/>
      <c r="I550" s="4"/>
      <c r="J550" s="4"/>
      <c r="K550" s="4"/>
      <c r="L550" s="4"/>
      <c r="M550" s="4"/>
      <c r="N550" s="4"/>
      <c r="O550" s="4"/>
      <c r="P550" s="4"/>
      <c r="Q550" s="4"/>
    </row>
    <row r="551" spans="1:17" ht="12.75" customHeight="1">
      <c r="A551" s="4"/>
      <c r="B551" s="4"/>
      <c r="C551" s="3"/>
      <c r="D551" s="4"/>
      <c r="E551" s="4"/>
      <c r="F551" s="4"/>
      <c r="G551" s="4"/>
      <c r="H551" s="4"/>
      <c r="I551" s="4"/>
      <c r="J551" s="4"/>
      <c r="K551" s="4"/>
      <c r="L551" s="4"/>
      <c r="M551" s="4"/>
      <c r="N551" s="4"/>
      <c r="O551" s="4"/>
      <c r="P551" s="4"/>
      <c r="Q551" s="4"/>
    </row>
    <row r="552" spans="1:17" ht="12.75" customHeight="1">
      <c r="A552" s="4"/>
      <c r="B552" s="4"/>
      <c r="C552" s="3"/>
      <c r="D552" s="4"/>
      <c r="E552" s="4"/>
      <c r="F552" s="4"/>
      <c r="G552" s="4"/>
      <c r="H552" s="4"/>
      <c r="I552" s="4"/>
      <c r="J552" s="4"/>
      <c r="K552" s="4"/>
      <c r="L552" s="4"/>
      <c r="M552" s="4"/>
      <c r="N552" s="4"/>
      <c r="O552" s="4"/>
      <c r="P552" s="4"/>
      <c r="Q552" s="4"/>
    </row>
    <row r="553" spans="1:17" ht="12.75" customHeight="1">
      <c r="A553" s="4"/>
      <c r="B553" s="4"/>
      <c r="C553" s="3"/>
      <c r="D553" s="4"/>
      <c r="E553" s="4"/>
      <c r="F553" s="4"/>
      <c r="G553" s="4"/>
      <c r="H553" s="4"/>
      <c r="I553" s="4"/>
      <c r="J553" s="4"/>
      <c r="K553" s="4"/>
      <c r="L553" s="4"/>
      <c r="M553" s="4"/>
      <c r="N553" s="4"/>
      <c r="O553" s="4"/>
      <c r="P553" s="4"/>
      <c r="Q553" s="4"/>
    </row>
    <row r="554" spans="1:17" ht="12.75" customHeight="1">
      <c r="A554" s="4"/>
      <c r="B554" s="4"/>
      <c r="C554" s="3"/>
      <c r="D554" s="4"/>
      <c r="E554" s="4"/>
      <c r="F554" s="4"/>
      <c r="G554" s="4"/>
      <c r="H554" s="4"/>
      <c r="I554" s="4"/>
      <c r="J554" s="4"/>
      <c r="K554" s="4"/>
      <c r="L554" s="4"/>
      <c r="M554" s="4"/>
      <c r="N554" s="4"/>
      <c r="O554" s="4"/>
      <c r="P554" s="4"/>
      <c r="Q554" s="4"/>
    </row>
    <row r="555" spans="1:17" ht="12.75" customHeight="1">
      <c r="A555" s="4"/>
      <c r="B555" s="4"/>
      <c r="C555" s="3"/>
      <c r="D555" s="4"/>
      <c r="E555" s="4"/>
      <c r="F555" s="4"/>
      <c r="G555" s="4"/>
      <c r="H555" s="4"/>
      <c r="I555" s="4"/>
      <c r="J555" s="4"/>
      <c r="K555" s="4"/>
      <c r="L555" s="4"/>
      <c r="M555" s="4"/>
      <c r="N555" s="4"/>
      <c r="O555" s="4"/>
      <c r="P555" s="4"/>
      <c r="Q555" s="4"/>
    </row>
    <row r="556" spans="1:17" ht="12.75" customHeight="1">
      <c r="A556" s="4"/>
      <c r="B556" s="4"/>
      <c r="C556" s="3"/>
      <c r="D556" s="4"/>
      <c r="E556" s="4"/>
      <c r="F556" s="4"/>
      <c r="G556" s="4"/>
      <c r="H556" s="4"/>
      <c r="I556" s="4"/>
      <c r="J556" s="4"/>
      <c r="K556" s="4"/>
      <c r="L556" s="4"/>
      <c r="M556" s="4"/>
      <c r="N556" s="4"/>
      <c r="O556" s="4"/>
      <c r="P556" s="4"/>
      <c r="Q556" s="4"/>
    </row>
    <row r="557" spans="1:17" ht="12.75" customHeight="1">
      <c r="A557" s="4"/>
      <c r="B557" s="4"/>
      <c r="C557" s="3"/>
      <c r="D557" s="4"/>
      <c r="E557" s="4"/>
      <c r="F557" s="4"/>
      <c r="G557" s="4"/>
      <c r="H557" s="4"/>
      <c r="I557" s="4"/>
      <c r="J557" s="4"/>
      <c r="K557" s="4"/>
      <c r="L557" s="4"/>
      <c r="M557" s="4"/>
      <c r="N557" s="4"/>
      <c r="O557" s="4"/>
      <c r="P557" s="4"/>
      <c r="Q557" s="4"/>
    </row>
    <row r="558" spans="1:17" ht="12.75" customHeight="1">
      <c r="A558" s="4"/>
      <c r="B558" s="4"/>
      <c r="C558" s="3"/>
      <c r="D558" s="4"/>
      <c r="E558" s="4"/>
      <c r="F558" s="4"/>
      <c r="G558" s="4"/>
      <c r="H558" s="4"/>
      <c r="I558" s="4"/>
      <c r="J558" s="4"/>
      <c r="K558" s="4"/>
      <c r="L558" s="4"/>
      <c r="M558" s="4"/>
      <c r="N558" s="4"/>
      <c r="O558" s="4"/>
      <c r="P558" s="4"/>
      <c r="Q558" s="4"/>
    </row>
    <row r="559" spans="1:17" ht="12.75" customHeight="1">
      <c r="A559" s="4"/>
      <c r="B559" s="4"/>
      <c r="C559" s="3"/>
      <c r="D559" s="4"/>
      <c r="E559" s="4"/>
      <c r="F559" s="4"/>
      <c r="G559" s="4"/>
      <c r="H559" s="4"/>
      <c r="I559" s="4"/>
      <c r="J559" s="4"/>
      <c r="K559" s="4"/>
      <c r="L559" s="4"/>
      <c r="M559" s="4"/>
      <c r="N559" s="4"/>
      <c r="O559" s="4"/>
      <c r="P559" s="4"/>
      <c r="Q559" s="4"/>
    </row>
    <row r="560" spans="1:17" ht="12.75" customHeight="1">
      <c r="A560" s="4"/>
      <c r="B560" s="4"/>
      <c r="C560" s="3"/>
      <c r="D560" s="4"/>
      <c r="E560" s="4"/>
      <c r="F560" s="4"/>
      <c r="G560" s="4"/>
      <c r="H560" s="4"/>
      <c r="I560" s="4"/>
      <c r="J560" s="4"/>
      <c r="K560" s="4"/>
      <c r="L560" s="4"/>
      <c r="M560" s="4"/>
      <c r="N560" s="4"/>
      <c r="O560" s="4"/>
      <c r="P560" s="4"/>
      <c r="Q560" s="4"/>
    </row>
    <row r="561" spans="1:17" ht="12.75" customHeight="1">
      <c r="A561" s="4"/>
      <c r="B561" s="4"/>
      <c r="C561" s="3"/>
      <c r="D561" s="4"/>
      <c r="E561" s="4"/>
      <c r="F561" s="4"/>
      <c r="G561" s="4"/>
      <c r="H561" s="4"/>
      <c r="I561" s="4"/>
      <c r="J561" s="4"/>
      <c r="K561" s="4"/>
      <c r="L561" s="4"/>
      <c r="M561" s="4"/>
      <c r="N561" s="4"/>
      <c r="O561" s="4"/>
      <c r="P561" s="4"/>
      <c r="Q561" s="4"/>
    </row>
    <row r="562" spans="1:17" ht="12.75" customHeight="1">
      <c r="A562" s="4"/>
      <c r="B562" s="4"/>
      <c r="C562" s="3"/>
      <c r="D562" s="4"/>
      <c r="E562" s="4"/>
      <c r="F562" s="4"/>
      <c r="G562" s="4"/>
      <c r="H562" s="4"/>
      <c r="I562" s="4"/>
      <c r="J562" s="4"/>
      <c r="K562" s="4"/>
      <c r="L562" s="4"/>
      <c r="M562" s="4"/>
      <c r="N562" s="4"/>
      <c r="O562" s="4"/>
      <c r="P562" s="4"/>
      <c r="Q562" s="4"/>
    </row>
    <row r="563" spans="1:17" ht="12.75" customHeight="1">
      <c r="A563" s="4"/>
      <c r="B563" s="4"/>
      <c r="C563" s="3"/>
      <c r="D563" s="4"/>
      <c r="E563" s="4"/>
      <c r="F563" s="4"/>
      <c r="G563" s="4"/>
      <c r="H563" s="4"/>
      <c r="I563" s="4"/>
      <c r="J563" s="4"/>
      <c r="K563" s="4"/>
      <c r="L563" s="4"/>
      <c r="M563" s="4"/>
      <c r="N563" s="4"/>
      <c r="O563" s="4"/>
      <c r="P563" s="4"/>
      <c r="Q563" s="4"/>
    </row>
    <row r="564" spans="1:17" ht="12.75" customHeight="1">
      <c r="A564" s="4"/>
      <c r="B564" s="4"/>
      <c r="C564" s="3"/>
      <c r="D564" s="4"/>
      <c r="E564" s="4"/>
      <c r="F564" s="4"/>
      <c r="G564" s="4"/>
      <c r="H564" s="4"/>
      <c r="I564" s="4"/>
      <c r="J564" s="4"/>
      <c r="K564" s="4"/>
      <c r="L564" s="4"/>
      <c r="M564" s="4"/>
      <c r="N564" s="4"/>
      <c r="O564" s="4"/>
      <c r="P564" s="4"/>
      <c r="Q564" s="4"/>
    </row>
    <row r="565" spans="1:17" ht="12.75" customHeight="1">
      <c r="A565" s="4"/>
      <c r="B565" s="4"/>
      <c r="C565" s="3"/>
      <c r="D565" s="4"/>
      <c r="E565" s="4"/>
      <c r="F565" s="4"/>
      <c r="G565" s="4"/>
      <c r="H565" s="4"/>
      <c r="I565" s="4"/>
      <c r="J565" s="4"/>
      <c r="K565" s="4"/>
      <c r="L565" s="4"/>
      <c r="M565" s="4"/>
      <c r="N565" s="4"/>
      <c r="O565" s="4"/>
      <c r="P565" s="4"/>
      <c r="Q565" s="4"/>
    </row>
    <row r="566" spans="1:17" ht="12.75" customHeight="1">
      <c r="A566" s="4"/>
      <c r="B566" s="4"/>
      <c r="C566" s="3"/>
      <c r="D566" s="4"/>
      <c r="E566" s="4"/>
      <c r="F566" s="4"/>
      <c r="G566" s="4"/>
      <c r="H566" s="4"/>
      <c r="I566" s="4"/>
      <c r="J566" s="4"/>
      <c r="K566" s="4"/>
      <c r="L566" s="4"/>
      <c r="M566" s="4"/>
      <c r="N566" s="4"/>
      <c r="O566" s="4"/>
      <c r="P566" s="4"/>
      <c r="Q566" s="4"/>
    </row>
    <row r="567" spans="1:17" ht="12.75" customHeight="1">
      <c r="A567" s="4"/>
      <c r="B567" s="4"/>
      <c r="C567" s="3"/>
      <c r="D567" s="4"/>
      <c r="E567" s="4"/>
      <c r="F567" s="4"/>
      <c r="G567" s="4"/>
      <c r="H567" s="4"/>
      <c r="I567" s="4"/>
      <c r="J567" s="4"/>
      <c r="K567" s="4"/>
      <c r="L567" s="4"/>
      <c r="M567" s="4"/>
      <c r="N567" s="4"/>
      <c r="O567" s="4"/>
      <c r="P567" s="4"/>
      <c r="Q567" s="4"/>
    </row>
    <row r="568" spans="1:17" ht="12.75" customHeight="1">
      <c r="A568" s="4"/>
      <c r="B568" s="4"/>
      <c r="C568" s="3"/>
      <c r="D568" s="4"/>
      <c r="E568" s="4"/>
      <c r="F568" s="4"/>
      <c r="G568" s="4"/>
      <c r="H568" s="4"/>
      <c r="I568" s="4"/>
      <c r="J568" s="4"/>
      <c r="K568" s="4"/>
      <c r="L568" s="4"/>
      <c r="M568" s="4"/>
      <c r="N568" s="4"/>
      <c r="O568" s="4"/>
      <c r="P568" s="4"/>
      <c r="Q568" s="4"/>
    </row>
    <row r="569" spans="1:17" ht="12.75" customHeight="1">
      <c r="A569" s="4"/>
      <c r="B569" s="4"/>
      <c r="C569" s="3"/>
      <c r="D569" s="4"/>
      <c r="E569" s="4"/>
      <c r="F569" s="4"/>
      <c r="G569" s="4"/>
      <c r="H569" s="4"/>
      <c r="I569" s="4"/>
      <c r="J569" s="4"/>
      <c r="K569" s="4"/>
      <c r="L569" s="4"/>
      <c r="M569" s="4"/>
      <c r="N569" s="4"/>
      <c r="O569" s="4"/>
      <c r="P569" s="4"/>
      <c r="Q569" s="4"/>
    </row>
    <row r="570" spans="1:17" ht="12.75" customHeight="1">
      <c r="A570" s="4"/>
      <c r="B570" s="4"/>
      <c r="C570" s="3"/>
      <c r="D570" s="4"/>
      <c r="E570" s="4"/>
      <c r="F570" s="4"/>
      <c r="G570" s="4"/>
      <c r="H570" s="4"/>
      <c r="I570" s="4"/>
      <c r="J570" s="4"/>
      <c r="K570" s="4"/>
      <c r="L570" s="4"/>
      <c r="M570" s="4"/>
      <c r="N570" s="4"/>
      <c r="O570" s="4"/>
      <c r="P570" s="4"/>
      <c r="Q570" s="4"/>
    </row>
    <row r="571" spans="1:17" ht="12.75" customHeight="1">
      <c r="A571" s="4"/>
      <c r="B571" s="4"/>
      <c r="C571" s="3"/>
      <c r="D571" s="4"/>
      <c r="E571" s="4"/>
      <c r="F571" s="4"/>
      <c r="G571" s="4"/>
      <c r="H571" s="4"/>
      <c r="I571" s="4"/>
      <c r="J571" s="4"/>
      <c r="K571" s="4"/>
      <c r="L571" s="4"/>
      <c r="M571" s="4"/>
      <c r="N571" s="4"/>
      <c r="O571" s="4"/>
      <c r="P571" s="4"/>
      <c r="Q571" s="4"/>
    </row>
    <row r="572" spans="1:17" ht="12.75" customHeight="1">
      <c r="A572" s="4"/>
      <c r="B572" s="4"/>
      <c r="C572" s="3"/>
      <c r="D572" s="4"/>
      <c r="E572" s="4"/>
      <c r="F572" s="4"/>
      <c r="G572" s="4"/>
      <c r="H572" s="4"/>
      <c r="I572" s="4"/>
      <c r="J572" s="4"/>
      <c r="K572" s="4"/>
      <c r="L572" s="4"/>
      <c r="M572" s="4"/>
      <c r="N572" s="4"/>
      <c r="O572" s="4"/>
      <c r="P572" s="4"/>
      <c r="Q572" s="4"/>
    </row>
    <row r="573" spans="1:17" ht="12.75" customHeight="1">
      <c r="A573" s="4"/>
      <c r="B573" s="4"/>
      <c r="C573" s="3"/>
      <c r="D573" s="4"/>
      <c r="E573" s="4"/>
      <c r="F573" s="4"/>
      <c r="G573" s="4"/>
      <c r="H573" s="4"/>
      <c r="I573" s="4"/>
      <c r="J573" s="4"/>
      <c r="K573" s="4"/>
      <c r="L573" s="4"/>
      <c r="M573" s="4"/>
      <c r="N573" s="4"/>
      <c r="O573" s="4"/>
      <c r="P573" s="4"/>
      <c r="Q573" s="4"/>
    </row>
    <row r="574" spans="1:17" ht="12.75" customHeight="1">
      <c r="A574" s="4"/>
      <c r="B574" s="4"/>
      <c r="C574" s="3"/>
      <c r="D574" s="4"/>
      <c r="E574" s="4"/>
      <c r="F574" s="4"/>
      <c r="G574" s="4"/>
      <c r="H574" s="4"/>
      <c r="I574" s="4"/>
      <c r="J574" s="4"/>
      <c r="K574" s="4"/>
      <c r="L574" s="4"/>
      <c r="M574" s="4"/>
      <c r="N574" s="4"/>
      <c r="O574" s="4"/>
      <c r="P574" s="4"/>
      <c r="Q574" s="4"/>
    </row>
    <row r="575" spans="1:17" ht="12.75" customHeight="1">
      <c r="A575" s="4"/>
      <c r="B575" s="4"/>
      <c r="C575" s="3"/>
      <c r="D575" s="4"/>
      <c r="E575" s="4"/>
      <c r="F575" s="4"/>
      <c r="G575" s="4"/>
      <c r="H575" s="4"/>
      <c r="I575" s="4"/>
      <c r="J575" s="4"/>
      <c r="K575" s="4"/>
      <c r="L575" s="4"/>
      <c r="M575" s="4"/>
      <c r="N575" s="4"/>
      <c r="O575" s="4"/>
      <c r="P575" s="4"/>
      <c r="Q575" s="4"/>
    </row>
    <row r="576" spans="1:17" ht="12.75" customHeight="1">
      <c r="A576" s="4"/>
      <c r="B576" s="4"/>
      <c r="C576" s="3"/>
      <c r="D576" s="4"/>
      <c r="E576" s="4"/>
      <c r="F576" s="4"/>
      <c r="G576" s="4"/>
      <c r="H576" s="4"/>
      <c r="I576" s="4"/>
      <c r="J576" s="4"/>
      <c r="K576" s="4"/>
      <c r="L576" s="4"/>
      <c r="M576" s="4"/>
      <c r="N576" s="4"/>
      <c r="O576" s="4"/>
      <c r="P576" s="4"/>
      <c r="Q576" s="4"/>
    </row>
    <row r="577" spans="1:17" ht="12.75" customHeight="1">
      <c r="A577" s="4"/>
      <c r="B577" s="4"/>
      <c r="C577" s="3"/>
      <c r="D577" s="4"/>
      <c r="E577" s="4"/>
      <c r="F577" s="4"/>
      <c r="G577" s="4"/>
      <c r="H577" s="4"/>
      <c r="I577" s="4"/>
      <c r="J577" s="4"/>
      <c r="K577" s="4"/>
      <c r="L577" s="4"/>
      <c r="M577" s="4"/>
      <c r="N577" s="4"/>
      <c r="O577" s="4"/>
      <c r="P577" s="4"/>
      <c r="Q577" s="4"/>
    </row>
    <row r="578" spans="1:17" ht="12.75" customHeight="1">
      <c r="A578" s="4"/>
      <c r="B578" s="4"/>
      <c r="C578" s="3"/>
      <c r="D578" s="4"/>
      <c r="E578" s="4"/>
      <c r="F578" s="4"/>
      <c r="G578" s="4"/>
      <c r="H578" s="4"/>
      <c r="I578" s="4"/>
      <c r="J578" s="4"/>
      <c r="K578" s="4"/>
      <c r="L578" s="4"/>
      <c r="M578" s="4"/>
      <c r="N578" s="4"/>
      <c r="O578" s="4"/>
      <c r="P578" s="4"/>
      <c r="Q578" s="4"/>
    </row>
    <row r="579" spans="1:17" ht="12.75" customHeight="1">
      <c r="A579" s="4"/>
      <c r="B579" s="4"/>
      <c r="C579" s="3"/>
      <c r="D579" s="4"/>
      <c r="E579" s="4"/>
      <c r="F579" s="4"/>
      <c r="G579" s="4"/>
      <c r="H579" s="4"/>
      <c r="I579" s="4"/>
      <c r="J579" s="4"/>
      <c r="K579" s="4"/>
      <c r="L579" s="4"/>
      <c r="M579" s="4"/>
      <c r="N579" s="4"/>
      <c r="O579" s="4"/>
      <c r="P579" s="4"/>
      <c r="Q579" s="4"/>
    </row>
    <row r="580" spans="1:17" ht="12.75" customHeight="1">
      <c r="A580" s="4"/>
      <c r="B580" s="4"/>
      <c r="C580" s="3"/>
      <c r="D580" s="4"/>
      <c r="E580" s="4"/>
      <c r="F580" s="4"/>
      <c r="G580" s="4"/>
      <c r="H580" s="4"/>
      <c r="I580" s="4"/>
      <c r="J580" s="4"/>
      <c r="K580" s="4"/>
      <c r="L580" s="4"/>
      <c r="M580" s="4"/>
      <c r="N580" s="4"/>
      <c r="O580" s="4"/>
      <c r="P580" s="4"/>
      <c r="Q580" s="4"/>
    </row>
    <row r="581" spans="1:17" ht="12.75" customHeight="1">
      <c r="A581" s="4"/>
      <c r="B581" s="4"/>
      <c r="C581" s="3"/>
      <c r="D581" s="4"/>
      <c r="E581" s="4"/>
      <c r="F581" s="4"/>
      <c r="G581" s="4"/>
      <c r="H581" s="4"/>
      <c r="I581" s="4"/>
      <c r="J581" s="4"/>
      <c r="K581" s="4"/>
      <c r="L581" s="4"/>
      <c r="M581" s="4"/>
      <c r="N581" s="4"/>
      <c r="O581" s="4"/>
      <c r="P581" s="4"/>
      <c r="Q581" s="4"/>
    </row>
    <row r="582" spans="1:17" ht="12.75" customHeight="1">
      <c r="A582" s="4"/>
      <c r="B582" s="4"/>
      <c r="C582" s="3"/>
      <c r="D582" s="4"/>
      <c r="E582" s="4"/>
      <c r="F582" s="4"/>
      <c r="G582" s="4"/>
      <c r="H582" s="4"/>
      <c r="I582" s="4"/>
      <c r="J582" s="4"/>
      <c r="K582" s="4"/>
      <c r="L582" s="4"/>
      <c r="M582" s="4"/>
      <c r="N582" s="4"/>
      <c r="O582" s="4"/>
      <c r="P582" s="4"/>
      <c r="Q582" s="4"/>
    </row>
    <row r="583" spans="1:17" ht="12.75" customHeight="1">
      <c r="A583" s="4"/>
      <c r="B583" s="4"/>
      <c r="C583" s="3"/>
      <c r="D583" s="4"/>
      <c r="E583" s="4"/>
      <c r="F583" s="4"/>
      <c r="G583" s="4"/>
      <c r="H583" s="4"/>
      <c r="I583" s="4"/>
      <c r="J583" s="4"/>
      <c r="K583" s="4"/>
      <c r="L583" s="4"/>
      <c r="M583" s="4"/>
      <c r="N583" s="4"/>
      <c r="O583" s="4"/>
      <c r="P583" s="4"/>
      <c r="Q583" s="4"/>
    </row>
    <row r="584" spans="1:17" ht="12.75" customHeight="1">
      <c r="A584" s="4"/>
      <c r="B584" s="4"/>
      <c r="C584" s="3"/>
      <c r="D584" s="4"/>
      <c r="E584" s="4"/>
      <c r="F584" s="4"/>
      <c r="G584" s="4"/>
      <c r="H584" s="4"/>
      <c r="I584" s="4"/>
      <c r="J584" s="4"/>
      <c r="K584" s="4"/>
      <c r="L584" s="4"/>
      <c r="M584" s="4"/>
      <c r="N584" s="4"/>
      <c r="O584" s="4"/>
      <c r="P584" s="4"/>
      <c r="Q584" s="4"/>
    </row>
    <row r="585" spans="1:17" ht="12.75" customHeight="1">
      <c r="A585" s="4"/>
      <c r="B585" s="4"/>
      <c r="C585" s="3"/>
      <c r="D585" s="4"/>
      <c r="E585" s="4"/>
      <c r="F585" s="4"/>
      <c r="G585" s="4"/>
      <c r="H585" s="4"/>
      <c r="I585" s="4"/>
      <c r="J585" s="4"/>
      <c r="K585" s="4"/>
      <c r="L585" s="4"/>
      <c r="M585" s="4"/>
      <c r="N585" s="4"/>
      <c r="O585" s="4"/>
      <c r="P585" s="4"/>
      <c r="Q585" s="4"/>
    </row>
    <row r="586" spans="1:17" ht="12.75" customHeight="1">
      <c r="A586" s="4"/>
      <c r="B586" s="4"/>
      <c r="C586" s="3"/>
      <c r="D586" s="4"/>
      <c r="E586" s="4"/>
      <c r="F586" s="4"/>
      <c r="G586" s="4"/>
      <c r="H586" s="4"/>
      <c r="I586" s="4"/>
      <c r="J586" s="4"/>
      <c r="K586" s="4"/>
      <c r="L586" s="4"/>
      <c r="M586" s="4"/>
      <c r="N586" s="4"/>
      <c r="O586" s="4"/>
      <c r="P586" s="4"/>
      <c r="Q586" s="4"/>
    </row>
    <row r="587" spans="1:17" ht="12.75" customHeight="1">
      <c r="A587" s="4"/>
      <c r="B587" s="4"/>
      <c r="C587" s="3"/>
      <c r="D587" s="4"/>
      <c r="E587" s="4"/>
      <c r="F587" s="4"/>
      <c r="G587" s="4"/>
      <c r="H587" s="4"/>
      <c r="I587" s="4"/>
      <c r="J587" s="4"/>
      <c r="K587" s="4"/>
      <c r="L587" s="4"/>
      <c r="M587" s="4"/>
      <c r="N587" s="4"/>
      <c r="O587" s="4"/>
      <c r="P587" s="4"/>
      <c r="Q587" s="4"/>
    </row>
    <row r="588" spans="1:17" ht="12.75" customHeight="1">
      <c r="A588" s="4"/>
      <c r="B588" s="4"/>
      <c r="C588" s="3"/>
      <c r="D588" s="4"/>
      <c r="E588" s="4"/>
      <c r="F588" s="4"/>
      <c r="G588" s="4"/>
      <c r="H588" s="4"/>
      <c r="I588" s="4"/>
      <c r="J588" s="4"/>
      <c r="K588" s="4"/>
      <c r="L588" s="4"/>
      <c r="M588" s="4"/>
      <c r="N588" s="4"/>
      <c r="O588" s="4"/>
      <c r="P588" s="4"/>
      <c r="Q588" s="4"/>
    </row>
    <row r="589" spans="1:17" ht="12.75" customHeight="1">
      <c r="A589" s="4"/>
      <c r="B589" s="4"/>
      <c r="C589" s="3"/>
      <c r="D589" s="4"/>
      <c r="E589" s="4"/>
      <c r="F589" s="4"/>
      <c r="G589" s="4"/>
      <c r="H589" s="4"/>
      <c r="I589" s="4"/>
      <c r="J589" s="4"/>
      <c r="K589" s="4"/>
      <c r="L589" s="4"/>
      <c r="M589" s="4"/>
      <c r="N589" s="4"/>
      <c r="O589" s="4"/>
      <c r="P589" s="4"/>
      <c r="Q589" s="4"/>
    </row>
    <row r="590" spans="1:17" ht="12.75" customHeight="1">
      <c r="A590" s="4"/>
      <c r="B590" s="4"/>
      <c r="C590" s="3"/>
      <c r="D590" s="4"/>
      <c r="E590" s="4"/>
      <c r="F590" s="4"/>
      <c r="G590" s="4"/>
      <c r="H590" s="4"/>
      <c r="I590" s="4"/>
      <c r="J590" s="4"/>
      <c r="K590" s="4"/>
      <c r="L590" s="4"/>
      <c r="M590" s="4"/>
      <c r="N590" s="4"/>
      <c r="O590" s="4"/>
      <c r="P590" s="4"/>
      <c r="Q590" s="4"/>
    </row>
    <row r="591" spans="1:17" ht="12.75" customHeight="1">
      <c r="A591" s="4"/>
      <c r="B591" s="4"/>
      <c r="C591" s="3"/>
      <c r="D591" s="4"/>
      <c r="E591" s="4"/>
      <c r="F591" s="4"/>
      <c r="G591" s="4"/>
      <c r="H591" s="4"/>
      <c r="I591" s="4"/>
      <c r="J591" s="4"/>
      <c r="K591" s="4"/>
      <c r="L591" s="4"/>
      <c r="M591" s="4"/>
      <c r="N591" s="4"/>
      <c r="O591" s="4"/>
      <c r="P591" s="4"/>
      <c r="Q591" s="4"/>
    </row>
    <row r="592" spans="1:17" ht="12.75" customHeight="1">
      <c r="A592" s="4"/>
      <c r="B592" s="4"/>
      <c r="C592" s="3"/>
      <c r="D592" s="4"/>
      <c r="E592" s="4"/>
      <c r="F592" s="4"/>
      <c r="G592" s="4"/>
      <c r="H592" s="4"/>
      <c r="I592" s="4"/>
      <c r="J592" s="4"/>
      <c r="K592" s="4"/>
      <c r="L592" s="4"/>
      <c r="M592" s="4"/>
      <c r="N592" s="4"/>
      <c r="O592" s="4"/>
      <c r="P592" s="4"/>
      <c r="Q592" s="4"/>
    </row>
    <row r="593" spans="1:17" ht="12.75" customHeight="1">
      <c r="A593" s="4"/>
      <c r="B593" s="4"/>
      <c r="C593" s="3"/>
      <c r="D593" s="4"/>
      <c r="E593" s="4"/>
      <c r="F593" s="4"/>
      <c r="G593" s="4"/>
      <c r="H593" s="4"/>
      <c r="I593" s="4"/>
      <c r="J593" s="4"/>
      <c r="K593" s="4"/>
      <c r="L593" s="4"/>
      <c r="M593" s="4"/>
      <c r="N593" s="4"/>
      <c r="O593" s="4"/>
      <c r="P593" s="4"/>
      <c r="Q593" s="4"/>
    </row>
    <row r="594" spans="1:17" ht="12.75" customHeight="1">
      <c r="A594" s="4"/>
      <c r="B594" s="4"/>
      <c r="C594" s="3"/>
      <c r="D594" s="4"/>
      <c r="E594" s="4"/>
      <c r="F594" s="4"/>
      <c r="G594" s="4"/>
      <c r="H594" s="4"/>
      <c r="I594" s="4"/>
      <c r="J594" s="4"/>
      <c r="K594" s="4"/>
      <c r="L594" s="4"/>
      <c r="M594" s="4"/>
      <c r="N594" s="4"/>
      <c r="O594" s="4"/>
      <c r="P594" s="4"/>
      <c r="Q594" s="4"/>
    </row>
    <row r="595" spans="1:17" ht="12.75" customHeight="1">
      <c r="A595" s="4"/>
      <c r="B595" s="4"/>
      <c r="C595" s="3"/>
      <c r="D595" s="4"/>
      <c r="E595" s="4"/>
      <c r="F595" s="4"/>
      <c r="G595" s="4"/>
      <c r="H595" s="4"/>
      <c r="I595" s="4"/>
      <c r="J595" s="4"/>
      <c r="K595" s="4"/>
      <c r="L595" s="4"/>
      <c r="M595" s="4"/>
      <c r="N595" s="4"/>
      <c r="O595" s="4"/>
      <c r="P595" s="4"/>
      <c r="Q595" s="4"/>
    </row>
    <row r="596" spans="1:17" ht="12.75" customHeight="1">
      <c r="A596" s="4"/>
      <c r="B596" s="4"/>
      <c r="C596" s="3"/>
      <c r="D596" s="4"/>
      <c r="E596" s="4"/>
      <c r="F596" s="4"/>
      <c r="G596" s="4"/>
      <c r="H596" s="4"/>
      <c r="I596" s="4"/>
      <c r="J596" s="4"/>
      <c r="K596" s="4"/>
      <c r="L596" s="4"/>
      <c r="M596" s="4"/>
      <c r="N596" s="4"/>
      <c r="O596" s="4"/>
      <c r="P596" s="4"/>
      <c r="Q596" s="4"/>
    </row>
    <row r="597" spans="1:17" ht="12.75" customHeight="1">
      <c r="A597" s="4"/>
      <c r="B597" s="4"/>
      <c r="C597" s="3"/>
      <c r="D597" s="4"/>
      <c r="E597" s="4"/>
      <c r="F597" s="4"/>
      <c r="G597" s="4"/>
      <c r="H597" s="4"/>
      <c r="I597" s="4"/>
      <c r="J597" s="4"/>
      <c r="K597" s="4"/>
      <c r="L597" s="4"/>
      <c r="M597" s="4"/>
      <c r="N597" s="4"/>
      <c r="O597" s="4"/>
      <c r="P597" s="4"/>
      <c r="Q597" s="4"/>
    </row>
    <row r="598" spans="1:17" ht="12.75" customHeight="1">
      <c r="A598" s="4"/>
      <c r="B598" s="4"/>
      <c r="C598" s="3"/>
      <c r="D598" s="4"/>
      <c r="E598" s="4"/>
      <c r="F598" s="4"/>
      <c r="G598" s="4"/>
      <c r="H598" s="4"/>
      <c r="I598" s="4"/>
      <c r="J598" s="4"/>
      <c r="K598" s="4"/>
      <c r="L598" s="4"/>
      <c r="M598" s="4"/>
      <c r="N598" s="4"/>
      <c r="O598" s="4"/>
      <c r="P598" s="4"/>
      <c r="Q598" s="4"/>
    </row>
    <row r="599" spans="1:17" ht="12.75" customHeight="1">
      <c r="A599" s="4"/>
      <c r="B599" s="4"/>
      <c r="C599" s="3"/>
      <c r="D599" s="4"/>
      <c r="E599" s="4"/>
      <c r="F599" s="4"/>
      <c r="G599" s="4"/>
      <c r="H599" s="4"/>
      <c r="I599" s="4"/>
      <c r="J599" s="4"/>
      <c r="K599" s="4"/>
      <c r="L599" s="4"/>
      <c r="M599" s="4"/>
      <c r="N599" s="4"/>
      <c r="O599" s="4"/>
      <c r="P599" s="4"/>
      <c r="Q599" s="4"/>
    </row>
    <row r="600" spans="1:17" ht="12.75" customHeight="1">
      <c r="A600" s="4"/>
      <c r="B600" s="4"/>
      <c r="C600" s="3"/>
      <c r="D600" s="4"/>
      <c r="E600" s="4"/>
      <c r="F600" s="4"/>
      <c r="G600" s="4"/>
      <c r="H600" s="4"/>
      <c r="I600" s="4"/>
      <c r="J600" s="4"/>
      <c r="K600" s="4"/>
      <c r="L600" s="4"/>
      <c r="M600" s="4"/>
      <c r="N600" s="4"/>
      <c r="O600" s="4"/>
      <c r="P600" s="4"/>
      <c r="Q600" s="4"/>
    </row>
    <row r="601" spans="1:17" ht="12.75" customHeight="1">
      <c r="A601" s="4"/>
      <c r="B601" s="4"/>
      <c r="C601" s="3"/>
      <c r="D601" s="4"/>
      <c r="E601" s="4"/>
      <c r="F601" s="4"/>
      <c r="G601" s="4"/>
      <c r="H601" s="4"/>
      <c r="I601" s="4"/>
      <c r="J601" s="4"/>
      <c r="K601" s="4"/>
      <c r="L601" s="4"/>
      <c r="M601" s="4"/>
      <c r="N601" s="4"/>
      <c r="O601" s="4"/>
      <c r="P601" s="4"/>
      <c r="Q601" s="4"/>
    </row>
    <row r="602" spans="1:17" ht="12.75" customHeight="1">
      <c r="A602" s="4"/>
      <c r="B602" s="4"/>
      <c r="C602" s="3"/>
      <c r="D602" s="4"/>
      <c r="E602" s="4"/>
      <c r="F602" s="4"/>
      <c r="G602" s="4"/>
      <c r="H602" s="4"/>
      <c r="I602" s="4"/>
      <c r="J602" s="4"/>
      <c r="K602" s="4"/>
      <c r="L602" s="4"/>
      <c r="M602" s="4"/>
      <c r="N602" s="4"/>
      <c r="O602" s="4"/>
      <c r="P602" s="4"/>
      <c r="Q602" s="4"/>
    </row>
    <row r="603" spans="1:17" ht="12.75" customHeight="1">
      <c r="A603" s="4"/>
      <c r="B603" s="4"/>
      <c r="C603" s="3"/>
      <c r="D603" s="4"/>
      <c r="E603" s="4"/>
      <c r="F603" s="4"/>
      <c r="G603" s="4"/>
      <c r="H603" s="4"/>
      <c r="I603" s="4"/>
      <c r="J603" s="4"/>
      <c r="K603" s="4"/>
      <c r="L603" s="4"/>
      <c r="M603" s="4"/>
      <c r="N603" s="4"/>
      <c r="O603" s="4"/>
      <c r="P603" s="4"/>
      <c r="Q603" s="4"/>
    </row>
    <row r="604" spans="1:17" ht="12.75" customHeight="1">
      <c r="A604" s="4"/>
      <c r="B604" s="4"/>
      <c r="C604" s="3"/>
      <c r="D604" s="4"/>
      <c r="E604" s="4"/>
      <c r="F604" s="4"/>
      <c r="G604" s="4"/>
      <c r="H604" s="4"/>
      <c r="I604" s="4"/>
      <c r="J604" s="4"/>
      <c r="K604" s="4"/>
      <c r="L604" s="4"/>
      <c r="M604" s="4"/>
      <c r="N604" s="4"/>
      <c r="O604" s="4"/>
      <c r="P604" s="4"/>
      <c r="Q604" s="4"/>
    </row>
    <row r="605" spans="1:17" ht="12.75" customHeight="1">
      <c r="A605" s="4"/>
      <c r="B605" s="4"/>
      <c r="C605" s="3"/>
      <c r="D605" s="4"/>
      <c r="E605" s="4"/>
      <c r="F605" s="4"/>
      <c r="G605" s="4"/>
      <c r="H605" s="4"/>
      <c r="I605" s="4"/>
      <c r="J605" s="4"/>
      <c r="K605" s="4"/>
      <c r="L605" s="4"/>
      <c r="M605" s="4"/>
      <c r="N605" s="4"/>
      <c r="O605" s="4"/>
      <c r="P605" s="4"/>
      <c r="Q605" s="4"/>
    </row>
    <row r="606" spans="1:17" ht="12.75" customHeight="1">
      <c r="A606" s="4"/>
      <c r="B606" s="4"/>
      <c r="C606" s="3"/>
      <c r="D606" s="4"/>
      <c r="E606" s="4"/>
      <c r="F606" s="4"/>
      <c r="G606" s="4"/>
      <c r="H606" s="4"/>
      <c r="I606" s="4"/>
      <c r="J606" s="4"/>
      <c r="K606" s="4"/>
      <c r="L606" s="4"/>
      <c r="M606" s="4"/>
      <c r="N606" s="4"/>
      <c r="O606" s="4"/>
      <c r="P606" s="4"/>
      <c r="Q606" s="4"/>
    </row>
    <row r="607" spans="1:17" ht="12.75" customHeight="1">
      <c r="A607" s="4"/>
      <c r="B607" s="4"/>
      <c r="C607" s="3"/>
      <c r="D607" s="4"/>
      <c r="E607" s="4"/>
      <c r="F607" s="4"/>
      <c r="G607" s="4"/>
      <c r="H607" s="4"/>
      <c r="I607" s="4"/>
      <c r="J607" s="4"/>
      <c r="K607" s="4"/>
      <c r="L607" s="4"/>
      <c r="M607" s="4"/>
      <c r="N607" s="4"/>
      <c r="O607" s="4"/>
      <c r="P607" s="4"/>
      <c r="Q607" s="4"/>
    </row>
    <row r="608" spans="1:17" ht="12.75" customHeight="1">
      <c r="A608" s="4"/>
      <c r="B608" s="4"/>
      <c r="C608" s="3"/>
      <c r="D608" s="4"/>
      <c r="E608" s="4"/>
      <c r="F608" s="4"/>
      <c r="G608" s="4"/>
      <c r="H608" s="4"/>
      <c r="I608" s="4"/>
      <c r="J608" s="4"/>
      <c r="K608" s="4"/>
      <c r="L608" s="4"/>
      <c r="M608" s="4"/>
      <c r="N608" s="4"/>
      <c r="O608" s="4"/>
      <c r="P608" s="4"/>
      <c r="Q608" s="4"/>
    </row>
    <row r="609" spans="1:17" ht="12.75" customHeight="1">
      <c r="A609" s="4"/>
      <c r="B609" s="4"/>
      <c r="C609" s="3"/>
      <c r="D609" s="4"/>
      <c r="E609" s="4"/>
      <c r="F609" s="4"/>
      <c r="G609" s="4"/>
      <c r="H609" s="4"/>
      <c r="I609" s="4"/>
      <c r="J609" s="4"/>
      <c r="K609" s="4"/>
      <c r="L609" s="4"/>
      <c r="M609" s="4"/>
      <c r="N609" s="4"/>
      <c r="O609" s="4"/>
      <c r="P609" s="4"/>
      <c r="Q609" s="4"/>
    </row>
    <row r="610" spans="1:17" ht="12.75" customHeight="1">
      <c r="A610" s="4"/>
      <c r="B610" s="4"/>
      <c r="C610" s="3"/>
      <c r="D610" s="4"/>
      <c r="E610" s="4"/>
      <c r="F610" s="4"/>
      <c r="G610" s="4"/>
      <c r="H610" s="4"/>
      <c r="I610" s="4"/>
      <c r="J610" s="4"/>
      <c r="K610" s="4"/>
      <c r="L610" s="4"/>
      <c r="M610" s="4"/>
      <c r="N610" s="4"/>
      <c r="O610" s="4"/>
      <c r="P610" s="4"/>
      <c r="Q610" s="4"/>
    </row>
    <row r="611" spans="1:17" ht="12.75" customHeight="1">
      <c r="A611" s="4"/>
      <c r="B611" s="4"/>
      <c r="C611" s="3"/>
      <c r="D611" s="4"/>
      <c r="E611" s="4"/>
      <c r="F611" s="4"/>
      <c r="G611" s="4"/>
      <c r="H611" s="4"/>
      <c r="I611" s="4"/>
      <c r="J611" s="4"/>
      <c r="K611" s="4"/>
      <c r="L611" s="4"/>
      <c r="M611" s="4"/>
      <c r="N611" s="4"/>
      <c r="O611" s="4"/>
      <c r="P611" s="4"/>
      <c r="Q611" s="4"/>
    </row>
    <row r="612" spans="1:17" ht="12.75" customHeight="1">
      <c r="A612" s="4"/>
      <c r="B612" s="4"/>
      <c r="C612" s="3"/>
      <c r="D612" s="4"/>
      <c r="E612" s="4"/>
      <c r="F612" s="4"/>
      <c r="G612" s="4"/>
      <c r="H612" s="4"/>
      <c r="I612" s="4"/>
      <c r="J612" s="4"/>
      <c r="K612" s="4"/>
      <c r="L612" s="4"/>
      <c r="M612" s="4"/>
      <c r="N612" s="4"/>
      <c r="O612" s="4"/>
      <c r="P612" s="4"/>
      <c r="Q612" s="4"/>
    </row>
    <row r="613" spans="1:17" ht="12.75" customHeight="1">
      <c r="A613" s="4"/>
      <c r="B613" s="4"/>
      <c r="C613" s="3"/>
      <c r="D613" s="4"/>
      <c r="E613" s="4"/>
      <c r="F613" s="4"/>
      <c r="G613" s="4"/>
      <c r="H613" s="4"/>
      <c r="I613" s="4"/>
      <c r="J613" s="4"/>
      <c r="K613" s="4"/>
      <c r="L613" s="4"/>
      <c r="M613" s="4"/>
      <c r="N613" s="4"/>
      <c r="O613" s="4"/>
      <c r="P613" s="4"/>
      <c r="Q613" s="4"/>
    </row>
    <row r="614" spans="1:17" ht="12.75" customHeight="1">
      <c r="A614" s="4"/>
      <c r="B614" s="4"/>
      <c r="C614" s="3"/>
      <c r="D614" s="4"/>
      <c r="E614" s="4"/>
      <c r="F614" s="4"/>
      <c r="G614" s="4"/>
      <c r="H614" s="4"/>
      <c r="I614" s="4"/>
      <c r="J614" s="4"/>
      <c r="K614" s="4"/>
      <c r="L614" s="4"/>
      <c r="M614" s="4"/>
      <c r="N614" s="4"/>
      <c r="O614" s="4"/>
      <c r="P614" s="4"/>
      <c r="Q614" s="4"/>
    </row>
    <row r="615" spans="1:17" ht="12.75" customHeight="1">
      <c r="A615" s="4"/>
      <c r="B615" s="4"/>
      <c r="C615" s="3"/>
      <c r="D615" s="4"/>
      <c r="E615" s="4"/>
      <c r="F615" s="4"/>
      <c r="G615" s="4"/>
      <c r="H615" s="4"/>
      <c r="I615" s="4"/>
      <c r="J615" s="4"/>
      <c r="K615" s="4"/>
      <c r="L615" s="4"/>
      <c r="M615" s="4"/>
      <c r="N615" s="4"/>
      <c r="O615" s="4"/>
      <c r="P615" s="4"/>
      <c r="Q615" s="4"/>
    </row>
    <row r="616" spans="1:17" ht="12.75" customHeight="1">
      <c r="A616" s="4"/>
      <c r="B616" s="4"/>
      <c r="C616" s="3"/>
      <c r="D616" s="4"/>
      <c r="E616" s="4"/>
      <c r="F616" s="4"/>
      <c r="G616" s="4"/>
      <c r="H616" s="4"/>
      <c r="I616" s="4"/>
      <c r="J616" s="4"/>
      <c r="K616" s="4"/>
      <c r="L616" s="4"/>
      <c r="M616" s="4"/>
      <c r="N616" s="4"/>
      <c r="O616" s="4"/>
      <c r="P616" s="4"/>
      <c r="Q616" s="4"/>
    </row>
    <row r="617" spans="1:17" ht="12.75" customHeight="1">
      <c r="A617" s="4"/>
      <c r="B617" s="4"/>
      <c r="C617" s="3"/>
      <c r="D617" s="4"/>
      <c r="E617" s="4"/>
      <c r="F617" s="4"/>
      <c r="G617" s="4"/>
      <c r="H617" s="4"/>
      <c r="I617" s="4"/>
      <c r="J617" s="4"/>
      <c r="K617" s="4"/>
      <c r="L617" s="4"/>
      <c r="M617" s="4"/>
      <c r="N617" s="4"/>
      <c r="O617" s="4"/>
      <c r="P617" s="4"/>
      <c r="Q617" s="4"/>
    </row>
    <row r="618" spans="1:17" ht="12.75" customHeight="1">
      <c r="A618" s="4"/>
      <c r="B618" s="4"/>
      <c r="C618" s="3"/>
      <c r="D618" s="4"/>
      <c r="E618" s="4"/>
      <c r="F618" s="4"/>
      <c r="G618" s="4"/>
      <c r="H618" s="4"/>
      <c r="I618" s="4"/>
      <c r="J618" s="4"/>
      <c r="K618" s="4"/>
      <c r="L618" s="4"/>
      <c r="M618" s="4"/>
      <c r="N618" s="4"/>
      <c r="O618" s="4"/>
      <c r="P618" s="4"/>
      <c r="Q618" s="4"/>
    </row>
    <row r="619" spans="1:17" ht="12.75" customHeight="1">
      <c r="A619" s="4"/>
      <c r="B619" s="4"/>
      <c r="C619" s="3"/>
      <c r="D619" s="4"/>
      <c r="E619" s="4"/>
      <c r="F619" s="4"/>
      <c r="G619" s="4"/>
      <c r="H619" s="4"/>
      <c r="I619" s="4"/>
      <c r="J619" s="4"/>
      <c r="K619" s="4"/>
      <c r="L619" s="4"/>
      <c r="M619" s="4"/>
      <c r="N619" s="4"/>
      <c r="O619" s="4"/>
      <c r="P619" s="4"/>
      <c r="Q619" s="4"/>
    </row>
    <row r="620" spans="1:17" ht="12.75" customHeight="1">
      <c r="A620" s="4"/>
      <c r="B620" s="4"/>
      <c r="C620" s="3"/>
      <c r="D620" s="4"/>
      <c r="E620" s="4"/>
      <c r="F620" s="4"/>
      <c r="G620" s="4"/>
      <c r="H620" s="4"/>
      <c r="I620" s="4"/>
      <c r="J620" s="4"/>
      <c r="K620" s="4"/>
      <c r="L620" s="4"/>
      <c r="M620" s="4"/>
      <c r="N620" s="4"/>
      <c r="O620" s="4"/>
      <c r="P620" s="4"/>
      <c r="Q620" s="4"/>
    </row>
    <row r="621" spans="1:17" ht="12.75" customHeight="1">
      <c r="A621" s="4"/>
      <c r="B621" s="4"/>
      <c r="C621" s="3"/>
      <c r="D621" s="4"/>
      <c r="E621" s="4"/>
      <c r="F621" s="4"/>
      <c r="G621" s="4"/>
      <c r="H621" s="4"/>
      <c r="I621" s="4"/>
      <c r="J621" s="4"/>
      <c r="K621" s="4"/>
      <c r="L621" s="4"/>
      <c r="M621" s="4"/>
      <c r="N621" s="4"/>
      <c r="O621" s="4"/>
      <c r="P621" s="4"/>
      <c r="Q621" s="4"/>
    </row>
    <row r="622" spans="1:17" ht="12.75" customHeight="1">
      <c r="A622" s="4"/>
      <c r="B622" s="4"/>
      <c r="C622" s="3"/>
      <c r="D622" s="4"/>
      <c r="E622" s="4"/>
      <c r="F622" s="4"/>
      <c r="G622" s="4"/>
      <c r="H622" s="4"/>
      <c r="I622" s="4"/>
      <c r="J622" s="4"/>
      <c r="K622" s="4"/>
      <c r="L622" s="4"/>
      <c r="M622" s="4"/>
      <c r="N622" s="4"/>
      <c r="O622" s="4"/>
      <c r="P622" s="4"/>
      <c r="Q622" s="4"/>
    </row>
    <row r="623" spans="1:17" ht="12.75" customHeight="1">
      <c r="A623" s="4"/>
      <c r="B623" s="4"/>
      <c r="C623" s="3"/>
      <c r="D623" s="4"/>
      <c r="E623" s="4"/>
      <c r="F623" s="4"/>
      <c r="G623" s="4"/>
      <c r="H623" s="4"/>
      <c r="I623" s="4"/>
      <c r="J623" s="4"/>
      <c r="K623" s="4"/>
      <c r="L623" s="4"/>
      <c r="M623" s="4"/>
      <c r="N623" s="4"/>
      <c r="O623" s="4"/>
      <c r="P623" s="4"/>
      <c r="Q623" s="4"/>
    </row>
    <row r="624" spans="1:17" ht="12.75" customHeight="1">
      <c r="A624" s="4"/>
      <c r="B624" s="4"/>
      <c r="C624" s="3"/>
      <c r="D624" s="4"/>
      <c r="E624" s="4"/>
      <c r="F624" s="4"/>
      <c r="G624" s="4"/>
      <c r="H624" s="4"/>
      <c r="I624" s="4"/>
      <c r="J624" s="4"/>
      <c r="K624" s="4"/>
      <c r="L624" s="4"/>
      <c r="M624" s="4"/>
      <c r="N624" s="4"/>
      <c r="O624" s="4"/>
      <c r="P624" s="4"/>
      <c r="Q624" s="4"/>
    </row>
    <row r="625" spans="1:17" ht="12.75" customHeight="1">
      <c r="A625" s="4"/>
      <c r="B625" s="4"/>
      <c r="C625" s="3"/>
      <c r="D625" s="4"/>
      <c r="E625" s="4"/>
      <c r="F625" s="4"/>
      <c r="G625" s="4"/>
      <c r="H625" s="4"/>
      <c r="I625" s="4"/>
      <c r="J625" s="4"/>
      <c r="K625" s="4"/>
      <c r="L625" s="4"/>
      <c r="M625" s="4"/>
      <c r="N625" s="4"/>
      <c r="O625" s="4"/>
      <c r="P625" s="4"/>
      <c r="Q625" s="4"/>
    </row>
    <row r="626" spans="1:17" ht="12.75" customHeight="1">
      <c r="A626" s="4"/>
      <c r="B626" s="4"/>
      <c r="C626" s="3"/>
      <c r="D626" s="4"/>
      <c r="E626" s="4"/>
      <c r="F626" s="4"/>
      <c r="G626" s="4"/>
      <c r="H626" s="4"/>
      <c r="I626" s="4"/>
      <c r="J626" s="4"/>
      <c r="K626" s="4"/>
      <c r="L626" s="4"/>
      <c r="M626" s="4"/>
      <c r="N626" s="4"/>
      <c r="O626" s="4"/>
      <c r="P626" s="4"/>
      <c r="Q626" s="4"/>
    </row>
    <row r="627" spans="1:17" ht="12.75" customHeight="1">
      <c r="A627" s="4"/>
      <c r="B627" s="4"/>
      <c r="C627" s="3"/>
      <c r="D627" s="4"/>
      <c r="E627" s="4"/>
      <c r="F627" s="4"/>
      <c r="G627" s="4"/>
      <c r="H627" s="4"/>
      <c r="I627" s="4"/>
      <c r="J627" s="4"/>
      <c r="K627" s="4"/>
      <c r="L627" s="4"/>
      <c r="M627" s="4"/>
      <c r="N627" s="4"/>
      <c r="O627" s="4"/>
      <c r="P627" s="4"/>
      <c r="Q627" s="4"/>
    </row>
    <row r="628" spans="1:17" ht="12.75" customHeight="1">
      <c r="A628" s="4"/>
      <c r="B628" s="4"/>
      <c r="C628" s="3"/>
      <c r="D628" s="4"/>
      <c r="E628" s="4"/>
      <c r="F628" s="4"/>
      <c r="G628" s="4"/>
      <c r="H628" s="4"/>
      <c r="I628" s="4"/>
      <c r="J628" s="4"/>
      <c r="K628" s="4"/>
      <c r="L628" s="4"/>
      <c r="M628" s="4"/>
      <c r="N628" s="4"/>
      <c r="O628" s="4"/>
      <c r="P628" s="4"/>
      <c r="Q628" s="4"/>
    </row>
    <row r="629" spans="1:17" ht="12.75" customHeight="1">
      <c r="A629" s="4"/>
      <c r="B629" s="4"/>
      <c r="C629" s="3"/>
      <c r="D629" s="4"/>
      <c r="E629" s="4"/>
      <c r="F629" s="4"/>
      <c r="G629" s="4"/>
      <c r="H629" s="4"/>
      <c r="I629" s="4"/>
      <c r="J629" s="4"/>
      <c r="K629" s="4"/>
      <c r="L629" s="4"/>
      <c r="M629" s="4"/>
      <c r="N629" s="4"/>
      <c r="O629" s="4"/>
      <c r="P629" s="4"/>
      <c r="Q629" s="4"/>
    </row>
    <row r="630" spans="1:17" ht="12.75" customHeight="1">
      <c r="A630" s="4"/>
      <c r="B630" s="4"/>
      <c r="C630" s="3"/>
      <c r="D630" s="4"/>
      <c r="E630" s="4"/>
      <c r="F630" s="4"/>
      <c r="G630" s="4"/>
      <c r="H630" s="4"/>
      <c r="I630" s="4"/>
      <c r="J630" s="4"/>
      <c r="K630" s="4"/>
      <c r="L630" s="4"/>
      <c r="M630" s="4"/>
      <c r="N630" s="4"/>
      <c r="O630" s="4"/>
      <c r="P630" s="4"/>
      <c r="Q630" s="4"/>
    </row>
    <row r="631" spans="1:17" ht="12.75" customHeight="1">
      <c r="A631" s="4"/>
      <c r="B631" s="4"/>
      <c r="C631" s="3"/>
      <c r="D631" s="4"/>
      <c r="E631" s="4"/>
      <c r="F631" s="4"/>
      <c r="G631" s="4"/>
      <c r="H631" s="4"/>
      <c r="I631" s="4"/>
      <c r="J631" s="4"/>
      <c r="K631" s="4"/>
      <c r="L631" s="4"/>
      <c r="M631" s="4"/>
      <c r="N631" s="4"/>
      <c r="O631" s="4"/>
      <c r="P631" s="4"/>
      <c r="Q631" s="4"/>
    </row>
    <row r="632" spans="1:17" ht="12.75" customHeight="1">
      <c r="A632" s="4"/>
      <c r="B632" s="4"/>
      <c r="C632" s="3"/>
      <c r="D632" s="4"/>
      <c r="E632" s="4"/>
      <c r="F632" s="4"/>
      <c r="G632" s="4"/>
      <c r="H632" s="4"/>
      <c r="I632" s="4"/>
      <c r="J632" s="4"/>
      <c r="K632" s="4"/>
      <c r="L632" s="4"/>
      <c r="M632" s="4"/>
      <c r="N632" s="4"/>
      <c r="O632" s="4"/>
      <c r="P632" s="4"/>
      <c r="Q632" s="4"/>
    </row>
    <row r="633" spans="1:17" ht="12.75" customHeight="1">
      <c r="A633" s="4"/>
      <c r="B633" s="4"/>
      <c r="C633" s="3"/>
      <c r="D633" s="4"/>
      <c r="E633" s="4"/>
      <c r="F633" s="4"/>
      <c r="G633" s="4"/>
      <c r="H633" s="4"/>
      <c r="I633" s="4"/>
      <c r="J633" s="4"/>
      <c r="K633" s="4"/>
      <c r="L633" s="4"/>
      <c r="M633" s="4"/>
      <c r="N633" s="4"/>
      <c r="O633" s="4"/>
      <c r="P633" s="4"/>
      <c r="Q633" s="4"/>
    </row>
    <row r="634" spans="1:17" ht="12.75" customHeight="1">
      <c r="A634" s="4"/>
      <c r="B634" s="4"/>
      <c r="C634" s="3"/>
      <c r="D634" s="4"/>
      <c r="E634" s="4"/>
      <c r="F634" s="4"/>
      <c r="G634" s="4"/>
      <c r="H634" s="4"/>
      <c r="I634" s="4"/>
      <c r="J634" s="4"/>
      <c r="K634" s="4"/>
      <c r="L634" s="4"/>
      <c r="M634" s="4"/>
      <c r="N634" s="4"/>
      <c r="O634" s="4"/>
      <c r="P634" s="4"/>
      <c r="Q634" s="4"/>
    </row>
    <row r="635" spans="1:17" ht="12.75" customHeight="1">
      <c r="A635" s="4"/>
      <c r="B635" s="4"/>
      <c r="C635" s="3"/>
      <c r="D635" s="4"/>
      <c r="E635" s="4"/>
      <c r="F635" s="4"/>
      <c r="G635" s="4"/>
      <c r="H635" s="4"/>
      <c r="I635" s="4"/>
      <c r="J635" s="4"/>
      <c r="K635" s="4"/>
      <c r="L635" s="4"/>
      <c r="M635" s="4"/>
      <c r="N635" s="4"/>
      <c r="O635" s="4"/>
      <c r="P635" s="4"/>
      <c r="Q635" s="4"/>
    </row>
    <row r="636" spans="1:17" ht="12.75" customHeight="1">
      <c r="A636" s="4"/>
      <c r="B636" s="4"/>
      <c r="C636" s="3"/>
      <c r="D636" s="4"/>
      <c r="E636" s="4"/>
      <c r="F636" s="4"/>
      <c r="G636" s="4"/>
      <c r="H636" s="4"/>
      <c r="I636" s="4"/>
      <c r="J636" s="4"/>
      <c r="K636" s="4"/>
      <c r="L636" s="4"/>
      <c r="M636" s="4"/>
      <c r="N636" s="4"/>
      <c r="O636" s="4"/>
      <c r="P636" s="4"/>
      <c r="Q636" s="4"/>
    </row>
    <row r="637" spans="1:17" ht="12.75" customHeight="1">
      <c r="A637" s="4"/>
      <c r="B637" s="4"/>
      <c r="C637" s="3"/>
      <c r="D637" s="4"/>
      <c r="E637" s="4"/>
      <c r="F637" s="4"/>
      <c r="G637" s="4"/>
      <c r="H637" s="4"/>
      <c r="I637" s="4"/>
      <c r="J637" s="4"/>
      <c r="K637" s="4"/>
      <c r="L637" s="4"/>
      <c r="M637" s="4"/>
      <c r="N637" s="4"/>
      <c r="O637" s="4"/>
      <c r="P637" s="4"/>
      <c r="Q637" s="4"/>
    </row>
    <row r="638" spans="1:17" ht="12.75" customHeight="1">
      <c r="A638" s="4"/>
      <c r="B638" s="4"/>
      <c r="C638" s="3"/>
      <c r="D638" s="4"/>
      <c r="E638" s="4"/>
      <c r="F638" s="4"/>
      <c r="G638" s="4"/>
      <c r="H638" s="4"/>
      <c r="I638" s="4"/>
      <c r="J638" s="4"/>
      <c r="K638" s="4"/>
      <c r="L638" s="4"/>
      <c r="M638" s="4"/>
      <c r="N638" s="4"/>
      <c r="O638" s="4"/>
      <c r="P638" s="4"/>
      <c r="Q638" s="4"/>
    </row>
    <row r="639" spans="1:17" ht="12.75" customHeight="1">
      <c r="A639" s="4"/>
      <c r="B639" s="4"/>
      <c r="C639" s="3"/>
      <c r="D639" s="4"/>
      <c r="E639" s="4"/>
      <c r="F639" s="4"/>
      <c r="G639" s="4"/>
      <c r="H639" s="4"/>
      <c r="I639" s="4"/>
      <c r="J639" s="4"/>
      <c r="K639" s="4"/>
      <c r="L639" s="4"/>
      <c r="M639" s="4"/>
      <c r="N639" s="4"/>
      <c r="O639" s="4"/>
      <c r="P639" s="4"/>
      <c r="Q639" s="4"/>
    </row>
    <row r="640" spans="1:17" ht="12.75" customHeight="1">
      <c r="A640" s="4"/>
      <c r="B640" s="4"/>
      <c r="C640" s="3"/>
      <c r="D640" s="4"/>
      <c r="E640" s="4"/>
      <c r="F640" s="4"/>
      <c r="G640" s="4"/>
      <c r="H640" s="4"/>
      <c r="I640" s="4"/>
      <c r="J640" s="4"/>
      <c r="K640" s="4"/>
      <c r="L640" s="4"/>
      <c r="M640" s="4"/>
      <c r="N640" s="4"/>
      <c r="O640" s="4"/>
      <c r="P640" s="4"/>
      <c r="Q640" s="4"/>
    </row>
    <row r="641" spans="1:17" ht="12.75" customHeight="1">
      <c r="A641" s="4"/>
      <c r="B641" s="4"/>
      <c r="C641" s="3"/>
      <c r="D641" s="4"/>
      <c r="E641" s="4"/>
      <c r="F641" s="4"/>
      <c r="G641" s="4"/>
      <c r="H641" s="4"/>
      <c r="I641" s="4"/>
      <c r="J641" s="4"/>
      <c r="K641" s="4"/>
      <c r="L641" s="4"/>
      <c r="M641" s="4"/>
      <c r="N641" s="4"/>
      <c r="O641" s="4"/>
      <c r="P641" s="4"/>
      <c r="Q641" s="4"/>
    </row>
    <row r="642" spans="1:17" ht="12.75" customHeight="1">
      <c r="A642" s="4"/>
      <c r="B642" s="4"/>
      <c r="C642" s="3"/>
      <c r="D642" s="4"/>
      <c r="E642" s="4"/>
      <c r="F642" s="4"/>
      <c r="G642" s="4"/>
      <c r="H642" s="4"/>
      <c r="I642" s="4"/>
      <c r="J642" s="4"/>
      <c r="K642" s="4"/>
      <c r="L642" s="4"/>
      <c r="M642" s="4"/>
      <c r="N642" s="4"/>
      <c r="O642" s="4"/>
      <c r="P642" s="4"/>
      <c r="Q642" s="4"/>
    </row>
    <row r="643" spans="1:17" ht="12.75" customHeight="1">
      <c r="A643" s="4"/>
      <c r="B643" s="4"/>
      <c r="C643" s="3"/>
      <c r="D643" s="4"/>
      <c r="E643" s="4"/>
      <c r="F643" s="4"/>
      <c r="G643" s="4"/>
      <c r="H643" s="4"/>
      <c r="I643" s="4"/>
      <c r="J643" s="4"/>
      <c r="K643" s="4"/>
      <c r="L643" s="4"/>
      <c r="M643" s="4"/>
      <c r="N643" s="4"/>
      <c r="O643" s="4"/>
      <c r="P643" s="4"/>
      <c r="Q643" s="4"/>
    </row>
    <row r="644" spans="1:17" ht="12.75" customHeight="1">
      <c r="A644" s="4"/>
      <c r="B644" s="4"/>
      <c r="C644" s="3"/>
      <c r="D644" s="4"/>
      <c r="E644" s="4"/>
      <c r="F644" s="4"/>
      <c r="G644" s="4"/>
      <c r="H644" s="4"/>
      <c r="I644" s="4"/>
      <c r="J644" s="4"/>
      <c r="K644" s="4"/>
      <c r="L644" s="4"/>
      <c r="M644" s="4"/>
      <c r="N644" s="4"/>
      <c r="O644" s="4"/>
      <c r="P644" s="4"/>
      <c r="Q644" s="4"/>
    </row>
    <row r="645" spans="1:17" ht="12.75" customHeight="1">
      <c r="A645" s="4"/>
      <c r="B645" s="4"/>
      <c r="C645" s="3"/>
      <c r="D645" s="4"/>
      <c r="E645" s="4"/>
      <c r="F645" s="4"/>
      <c r="G645" s="4"/>
      <c r="H645" s="4"/>
      <c r="I645" s="4"/>
      <c r="J645" s="4"/>
      <c r="K645" s="4"/>
      <c r="L645" s="4"/>
      <c r="M645" s="4"/>
      <c r="N645" s="4"/>
      <c r="O645" s="4"/>
      <c r="P645" s="4"/>
      <c r="Q645" s="4"/>
    </row>
    <row r="646" spans="1:17" ht="12.75" customHeight="1">
      <c r="A646" s="4"/>
      <c r="B646" s="4"/>
      <c r="C646" s="3"/>
      <c r="D646" s="4"/>
      <c r="E646" s="4"/>
      <c r="F646" s="4"/>
      <c r="G646" s="4"/>
      <c r="H646" s="4"/>
      <c r="I646" s="4"/>
      <c r="J646" s="4"/>
      <c r="K646" s="4"/>
      <c r="L646" s="4"/>
      <c r="M646" s="4"/>
      <c r="N646" s="4"/>
      <c r="O646" s="4"/>
      <c r="P646" s="4"/>
      <c r="Q646" s="4"/>
    </row>
    <row r="647" spans="1:17" ht="12.75" customHeight="1">
      <c r="A647" s="4"/>
      <c r="B647" s="4"/>
      <c r="C647" s="3"/>
      <c r="D647" s="4"/>
      <c r="E647" s="4"/>
      <c r="F647" s="4"/>
      <c r="G647" s="4"/>
      <c r="H647" s="4"/>
      <c r="I647" s="4"/>
      <c r="J647" s="4"/>
      <c r="K647" s="4"/>
      <c r="L647" s="4"/>
      <c r="M647" s="4"/>
      <c r="N647" s="4"/>
      <c r="O647" s="4"/>
      <c r="P647" s="4"/>
      <c r="Q647" s="4"/>
    </row>
    <row r="648" spans="1:17" ht="12.75" customHeight="1">
      <c r="A648" s="4"/>
      <c r="B648" s="4"/>
      <c r="C648" s="3"/>
      <c r="D648" s="4"/>
      <c r="E648" s="4"/>
      <c r="F648" s="4"/>
      <c r="G648" s="4"/>
      <c r="H648" s="4"/>
      <c r="I648" s="4"/>
      <c r="J648" s="4"/>
      <c r="K648" s="4"/>
      <c r="L648" s="4"/>
      <c r="M648" s="4"/>
      <c r="N648" s="4"/>
      <c r="O648" s="4"/>
      <c r="P648" s="4"/>
      <c r="Q648" s="4"/>
    </row>
    <row r="649" spans="1:17" ht="12.75" customHeight="1">
      <c r="A649" s="4"/>
      <c r="B649" s="4"/>
      <c r="C649" s="3"/>
      <c r="D649" s="4"/>
      <c r="E649" s="4"/>
      <c r="F649" s="4"/>
      <c r="G649" s="4"/>
      <c r="H649" s="4"/>
      <c r="I649" s="4"/>
      <c r="J649" s="4"/>
      <c r="K649" s="4"/>
      <c r="L649" s="4"/>
      <c r="M649" s="4"/>
      <c r="N649" s="4"/>
      <c r="O649" s="4"/>
      <c r="P649" s="4"/>
      <c r="Q649" s="4"/>
    </row>
    <row r="650" spans="1:17" ht="12.75" customHeight="1">
      <c r="A650" s="4"/>
      <c r="B650" s="4"/>
      <c r="C650" s="3"/>
      <c r="D650" s="4"/>
      <c r="E650" s="4"/>
      <c r="F650" s="4"/>
      <c r="G650" s="4"/>
      <c r="H650" s="4"/>
      <c r="I650" s="4"/>
      <c r="J650" s="4"/>
      <c r="K650" s="4"/>
      <c r="L650" s="4"/>
      <c r="M650" s="4"/>
      <c r="N650" s="4"/>
      <c r="O650" s="4"/>
      <c r="P650" s="4"/>
      <c r="Q650" s="4"/>
    </row>
    <row r="651" spans="1:17" ht="12.75" customHeight="1">
      <c r="A651" s="4"/>
      <c r="B651" s="4"/>
      <c r="C651" s="3"/>
      <c r="D651" s="4"/>
      <c r="E651" s="4"/>
      <c r="F651" s="4"/>
      <c r="G651" s="4"/>
      <c r="H651" s="4"/>
      <c r="I651" s="4"/>
      <c r="J651" s="4"/>
      <c r="K651" s="4"/>
      <c r="L651" s="4"/>
      <c r="M651" s="4"/>
      <c r="N651" s="4"/>
      <c r="O651" s="4"/>
      <c r="P651" s="4"/>
      <c r="Q651" s="4"/>
    </row>
    <row r="652" spans="1:17" ht="12.75" customHeight="1">
      <c r="A652" s="4"/>
      <c r="B652" s="4"/>
      <c r="C652" s="3"/>
      <c r="D652" s="4"/>
      <c r="E652" s="4"/>
      <c r="F652" s="4"/>
      <c r="G652" s="4"/>
      <c r="H652" s="4"/>
      <c r="I652" s="4"/>
      <c r="J652" s="4"/>
      <c r="K652" s="4"/>
      <c r="L652" s="4"/>
      <c r="M652" s="4"/>
      <c r="N652" s="4"/>
      <c r="O652" s="4"/>
      <c r="P652" s="4"/>
      <c r="Q652" s="4"/>
    </row>
    <row r="653" spans="1:17" ht="12.75" customHeight="1">
      <c r="A653" s="4"/>
      <c r="B653" s="4"/>
      <c r="C653" s="3"/>
      <c r="D653" s="4"/>
      <c r="E653" s="4"/>
      <c r="F653" s="4"/>
      <c r="G653" s="4"/>
      <c r="H653" s="4"/>
      <c r="I653" s="4"/>
      <c r="J653" s="4"/>
      <c r="K653" s="4"/>
      <c r="L653" s="4"/>
      <c r="M653" s="4"/>
      <c r="N653" s="4"/>
      <c r="O653" s="4"/>
      <c r="P653" s="4"/>
      <c r="Q653" s="4"/>
    </row>
    <row r="654" spans="1:17" ht="12.75" customHeight="1">
      <c r="A654" s="4"/>
      <c r="B654" s="4"/>
      <c r="C654" s="3"/>
      <c r="D654" s="4"/>
      <c r="E654" s="4"/>
      <c r="F654" s="4"/>
      <c r="G654" s="4"/>
      <c r="H654" s="4"/>
      <c r="I654" s="4"/>
      <c r="J654" s="4"/>
      <c r="K654" s="4"/>
      <c r="L654" s="4"/>
      <c r="M654" s="4"/>
      <c r="N654" s="4"/>
      <c r="O654" s="4"/>
      <c r="P654" s="4"/>
      <c r="Q654" s="4"/>
    </row>
    <row r="655" spans="1:17" ht="12.75" customHeight="1">
      <c r="A655" s="4"/>
      <c r="B655" s="4"/>
      <c r="C655" s="3"/>
      <c r="D655" s="4"/>
      <c r="E655" s="4"/>
      <c r="F655" s="4"/>
      <c r="G655" s="4"/>
      <c r="H655" s="4"/>
      <c r="I655" s="4"/>
      <c r="J655" s="4"/>
      <c r="K655" s="4"/>
      <c r="L655" s="4"/>
      <c r="M655" s="4"/>
      <c r="N655" s="4"/>
      <c r="O655" s="4"/>
      <c r="P655" s="4"/>
      <c r="Q655" s="4"/>
    </row>
    <row r="656" spans="1:17" ht="12.75" customHeight="1">
      <c r="A656" s="4"/>
      <c r="B656" s="4"/>
      <c r="C656" s="3"/>
      <c r="D656" s="4"/>
      <c r="E656" s="4"/>
      <c r="F656" s="4"/>
      <c r="G656" s="4"/>
      <c r="H656" s="4"/>
      <c r="I656" s="4"/>
      <c r="J656" s="4"/>
      <c r="K656" s="4"/>
      <c r="L656" s="4"/>
      <c r="M656" s="4"/>
      <c r="N656" s="4"/>
      <c r="O656" s="4"/>
      <c r="P656" s="4"/>
      <c r="Q656" s="4"/>
    </row>
    <row r="657" spans="1:17" ht="12.75" customHeight="1">
      <c r="A657" s="4"/>
      <c r="B657" s="4"/>
      <c r="C657" s="3"/>
      <c r="D657" s="4"/>
      <c r="E657" s="4"/>
      <c r="F657" s="4"/>
      <c r="G657" s="4"/>
      <c r="H657" s="4"/>
      <c r="I657" s="4"/>
      <c r="J657" s="4"/>
      <c r="K657" s="4"/>
      <c r="L657" s="4"/>
      <c r="M657" s="4"/>
      <c r="N657" s="4"/>
      <c r="O657" s="4"/>
      <c r="P657" s="4"/>
      <c r="Q657" s="4"/>
    </row>
    <row r="658" spans="1:17" ht="12.75" customHeight="1">
      <c r="A658" s="4"/>
      <c r="B658" s="4"/>
      <c r="C658" s="3"/>
      <c r="D658" s="4"/>
      <c r="E658" s="4"/>
      <c r="F658" s="4"/>
      <c r="G658" s="4"/>
      <c r="H658" s="4"/>
      <c r="I658" s="4"/>
      <c r="J658" s="4"/>
      <c r="K658" s="4"/>
      <c r="L658" s="4"/>
      <c r="M658" s="4"/>
      <c r="N658" s="4"/>
      <c r="O658" s="4"/>
      <c r="P658" s="4"/>
      <c r="Q658" s="4"/>
    </row>
    <row r="659" spans="1:17" ht="12.75" customHeight="1">
      <c r="A659" s="4"/>
      <c r="B659" s="4"/>
      <c r="C659" s="3"/>
      <c r="D659" s="4"/>
      <c r="E659" s="4"/>
      <c r="F659" s="4"/>
      <c r="G659" s="4"/>
      <c r="H659" s="4"/>
      <c r="I659" s="4"/>
      <c r="J659" s="4"/>
      <c r="K659" s="4"/>
      <c r="L659" s="4"/>
      <c r="M659" s="4"/>
      <c r="N659" s="4"/>
      <c r="O659" s="4"/>
      <c r="P659" s="4"/>
      <c r="Q659" s="4"/>
    </row>
    <row r="660" spans="1:17" ht="12.75" customHeight="1">
      <c r="A660" s="4"/>
      <c r="B660" s="4"/>
      <c r="C660" s="3"/>
      <c r="D660" s="4"/>
      <c r="E660" s="4"/>
      <c r="F660" s="4"/>
      <c r="G660" s="4"/>
      <c r="H660" s="4"/>
      <c r="I660" s="4"/>
      <c r="J660" s="4"/>
      <c r="K660" s="4"/>
      <c r="L660" s="4"/>
      <c r="M660" s="4"/>
      <c r="N660" s="4"/>
      <c r="O660" s="4"/>
      <c r="P660" s="4"/>
      <c r="Q660" s="4"/>
    </row>
    <row r="661" spans="1:17" ht="12.75" customHeight="1">
      <c r="A661" s="4"/>
      <c r="B661" s="4"/>
      <c r="C661" s="3"/>
      <c r="D661" s="4"/>
      <c r="E661" s="4"/>
      <c r="F661" s="4"/>
      <c r="G661" s="4"/>
      <c r="H661" s="4"/>
      <c r="I661" s="4"/>
      <c r="J661" s="4"/>
      <c r="K661" s="4"/>
      <c r="L661" s="4"/>
      <c r="M661" s="4"/>
      <c r="N661" s="4"/>
      <c r="O661" s="4"/>
      <c r="P661" s="4"/>
      <c r="Q661" s="4"/>
    </row>
    <row r="662" spans="1:17" ht="12.75" customHeight="1">
      <c r="A662" s="4"/>
      <c r="B662" s="4"/>
      <c r="C662" s="3"/>
      <c r="D662" s="4"/>
      <c r="E662" s="4"/>
      <c r="F662" s="4"/>
      <c r="G662" s="4"/>
      <c r="H662" s="4"/>
      <c r="I662" s="4"/>
      <c r="J662" s="4"/>
      <c r="K662" s="4"/>
      <c r="L662" s="4"/>
      <c r="M662" s="4"/>
      <c r="N662" s="4"/>
      <c r="O662" s="4"/>
      <c r="P662" s="4"/>
      <c r="Q662" s="4"/>
    </row>
    <row r="663" spans="1:17" ht="12.75" customHeight="1">
      <c r="A663" s="4"/>
      <c r="B663" s="4"/>
      <c r="C663" s="3"/>
      <c r="D663" s="4"/>
      <c r="E663" s="4"/>
      <c r="F663" s="4"/>
      <c r="G663" s="4"/>
      <c r="H663" s="4"/>
      <c r="I663" s="4"/>
      <c r="J663" s="4"/>
      <c r="K663" s="4"/>
      <c r="L663" s="4"/>
      <c r="M663" s="4"/>
      <c r="N663" s="4"/>
      <c r="O663" s="4"/>
      <c r="P663" s="4"/>
      <c r="Q663" s="4"/>
    </row>
    <row r="664" spans="1:17" ht="12.75" customHeight="1">
      <c r="A664" s="4"/>
      <c r="B664" s="4"/>
      <c r="C664" s="3"/>
      <c r="D664" s="4"/>
      <c r="E664" s="4"/>
      <c r="F664" s="4"/>
      <c r="G664" s="4"/>
      <c r="H664" s="4"/>
      <c r="I664" s="4"/>
      <c r="J664" s="4"/>
      <c r="K664" s="4"/>
      <c r="L664" s="4"/>
      <c r="M664" s="4"/>
      <c r="N664" s="4"/>
      <c r="O664" s="4"/>
      <c r="P664" s="4"/>
      <c r="Q664" s="4"/>
    </row>
    <row r="665" spans="1:17" ht="12.75" customHeight="1">
      <c r="A665" s="4"/>
      <c r="B665" s="4"/>
      <c r="C665" s="3"/>
      <c r="D665" s="4"/>
      <c r="E665" s="4"/>
      <c r="F665" s="4"/>
      <c r="G665" s="4"/>
      <c r="H665" s="4"/>
      <c r="I665" s="4"/>
      <c r="J665" s="4"/>
      <c r="K665" s="4"/>
      <c r="L665" s="4"/>
      <c r="M665" s="4"/>
      <c r="N665" s="4"/>
      <c r="O665" s="4"/>
      <c r="P665" s="4"/>
      <c r="Q665" s="4"/>
    </row>
    <row r="666" spans="1:17" ht="12.75" customHeight="1">
      <c r="A666" s="4"/>
      <c r="B666" s="4"/>
      <c r="C666" s="3"/>
      <c r="D666" s="4"/>
      <c r="E666" s="4"/>
      <c r="F666" s="4"/>
      <c r="G666" s="4"/>
      <c r="H666" s="4"/>
      <c r="I666" s="4"/>
      <c r="J666" s="4"/>
      <c r="K666" s="4"/>
      <c r="L666" s="4"/>
      <c r="M666" s="4"/>
      <c r="N666" s="4"/>
      <c r="O666" s="4"/>
      <c r="P666" s="4"/>
      <c r="Q666" s="4"/>
    </row>
    <row r="667" spans="1:17" ht="12.75" customHeight="1">
      <c r="A667" s="4"/>
      <c r="B667" s="4"/>
      <c r="C667" s="3"/>
      <c r="D667" s="4"/>
      <c r="E667" s="4"/>
      <c r="F667" s="4"/>
      <c r="G667" s="4"/>
      <c r="H667" s="4"/>
      <c r="I667" s="4"/>
      <c r="J667" s="4"/>
      <c r="K667" s="4"/>
      <c r="L667" s="4"/>
      <c r="M667" s="4"/>
      <c r="N667" s="4"/>
      <c r="O667" s="4"/>
      <c r="P667" s="4"/>
      <c r="Q667" s="4"/>
    </row>
    <row r="668" spans="1:17" ht="12.75" customHeight="1">
      <c r="A668" s="4"/>
      <c r="B668" s="4"/>
      <c r="C668" s="3"/>
      <c r="D668" s="4"/>
      <c r="E668" s="4"/>
      <c r="F668" s="4"/>
      <c r="G668" s="4"/>
      <c r="H668" s="4"/>
      <c r="I668" s="4"/>
      <c r="J668" s="4"/>
      <c r="K668" s="4"/>
      <c r="L668" s="4"/>
      <c r="M668" s="4"/>
      <c r="N668" s="4"/>
      <c r="O668" s="4"/>
      <c r="P668" s="4"/>
      <c r="Q668" s="4"/>
    </row>
    <row r="669" spans="1:17" ht="12.75" customHeight="1">
      <c r="A669" s="4"/>
      <c r="B669" s="4"/>
      <c r="C669" s="3"/>
      <c r="D669" s="4"/>
      <c r="E669" s="4"/>
      <c r="F669" s="4"/>
      <c r="G669" s="4"/>
      <c r="H669" s="4"/>
      <c r="I669" s="4"/>
      <c r="J669" s="4"/>
      <c r="K669" s="4"/>
      <c r="L669" s="4"/>
      <c r="M669" s="4"/>
      <c r="N669" s="4"/>
      <c r="O669" s="4"/>
      <c r="P669" s="4"/>
      <c r="Q669" s="4"/>
    </row>
    <row r="670" spans="1:17" ht="12.75" customHeight="1">
      <c r="A670" s="4"/>
      <c r="B670" s="4"/>
      <c r="C670" s="3"/>
      <c r="D670" s="4"/>
      <c r="E670" s="4"/>
      <c r="F670" s="4"/>
      <c r="G670" s="4"/>
      <c r="H670" s="4"/>
      <c r="I670" s="4"/>
      <c r="J670" s="4"/>
      <c r="K670" s="4"/>
      <c r="L670" s="4"/>
      <c r="M670" s="4"/>
      <c r="N670" s="4"/>
      <c r="O670" s="4"/>
      <c r="P670" s="4"/>
      <c r="Q670" s="4"/>
    </row>
    <row r="671" spans="1:17" ht="12.75" customHeight="1">
      <c r="A671" s="4"/>
      <c r="B671" s="4"/>
      <c r="C671" s="3"/>
      <c r="D671" s="4"/>
      <c r="E671" s="4"/>
      <c r="F671" s="4"/>
      <c r="G671" s="4"/>
      <c r="H671" s="4"/>
      <c r="I671" s="4"/>
      <c r="J671" s="4"/>
      <c r="K671" s="4"/>
      <c r="L671" s="4"/>
      <c r="M671" s="4"/>
      <c r="N671" s="4"/>
      <c r="O671" s="4"/>
      <c r="P671" s="4"/>
      <c r="Q671" s="4"/>
    </row>
    <row r="672" spans="1:17" ht="12.75" customHeight="1">
      <c r="A672" s="4"/>
      <c r="B672" s="4"/>
      <c r="C672" s="3"/>
      <c r="D672" s="4"/>
      <c r="E672" s="4"/>
      <c r="F672" s="4"/>
      <c r="G672" s="4"/>
      <c r="H672" s="4"/>
      <c r="I672" s="4"/>
      <c r="J672" s="4"/>
      <c r="K672" s="4"/>
      <c r="L672" s="4"/>
      <c r="M672" s="4"/>
      <c r="N672" s="4"/>
      <c r="O672" s="4"/>
      <c r="P672" s="4"/>
      <c r="Q672" s="4"/>
    </row>
    <row r="673" spans="1:17" ht="12.75" customHeight="1">
      <c r="A673" s="4"/>
      <c r="B673" s="4"/>
      <c r="C673" s="3"/>
      <c r="D673" s="4"/>
      <c r="E673" s="4"/>
      <c r="F673" s="4"/>
      <c r="G673" s="4"/>
      <c r="H673" s="4"/>
      <c r="I673" s="4"/>
      <c r="J673" s="4"/>
      <c r="K673" s="4"/>
      <c r="L673" s="4"/>
      <c r="M673" s="4"/>
      <c r="N673" s="4"/>
      <c r="O673" s="4"/>
      <c r="P673" s="4"/>
      <c r="Q673" s="4"/>
    </row>
    <row r="674" spans="1:17" ht="12.75" customHeight="1">
      <c r="A674" s="4"/>
      <c r="B674" s="4"/>
      <c r="C674" s="3"/>
      <c r="D674" s="4"/>
      <c r="E674" s="4"/>
      <c r="F674" s="4"/>
      <c r="G674" s="4"/>
      <c r="H674" s="4"/>
      <c r="I674" s="4"/>
      <c r="J674" s="4"/>
      <c r="K674" s="4"/>
      <c r="L674" s="4"/>
      <c r="M674" s="4"/>
      <c r="N674" s="4"/>
      <c r="O674" s="4"/>
      <c r="P674" s="4"/>
      <c r="Q674" s="4"/>
    </row>
    <row r="675" spans="1:17" ht="12.75" customHeight="1">
      <c r="A675" s="4"/>
      <c r="B675" s="4"/>
      <c r="C675" s="3"/>
      <c r="D675" s="4"/>
      <c r="E675" s="4"/>
      <c r="F675" s="4"/>
      <c r="G675" s="4"/>
      <c r="H675" s="4"/>
      <c r="I675" s="4"/>
      <c r="J675" s="4"/>
      <c r="K675" s="4"/>
      <c r="L675" s="4"/>
      <c r="M675" s="4"/>
      <c r="N675" s="4"/>
      <c r="O675" s="4"/>
      <c r="P675" s="4"/>
      <c r="Q675" s="4"/>
    </row>
    <row r="676" spans="1:17" ht="12.75" customHeight="1">
      <c r="A676" s="4"/>
      <c r="B676" s="4"/>
      <c r="C676" s="3"/>
      <c r="D676" s="4"/>
      <c r="E676" s="4"/>
      <c r="F676" s="4"/>
      <c r="G676" s="4"/>
      <c r="H676" s="4"/>
      <c r="I676" s="4"/>
      <c r="J676" s="4"/>
      <c r="K676" s="4"/>
      <c r="L676" s="4"/>
      <c r="M676" s="4"/>
      <c r="N676" s="4"/>
      <c r="O676" s="4"/>
      <c r="P676" s="4"/>
      <c r="Q676" s="4"/>
    </row>
    <row r="677" spans="1:17" ht="12.75" customHeight="1">
      <c r="A677" s="4"/>
      <c r="B677" s="4"/>
      <c r="C677" s="3"/>
      <c r="D677" s="4"/>
      <c r="E677" s="4"/>
      <c r="F677" s="4"/>
      <c r="G677" s="4"/>
      <c r="H677" s="4"/>
      <c r="I677" s="4"/>
      <c r="J677" s="4"/>
      <c r="K677" s="4"/>
      <c r="L677" s="4"/>
      <c r="M677" s="4"/>
      <c r="N677" s="4"/>
      <c r="O677" s="4"/>
      <c r="P677" s="4"/>
      <c r="Q677" s="4"/>
    </row>
    <row r="678" spans="1:17" ht="12.75" customHeight="1">
      <c r="A678" s="4"/>
      <c r="B678" s="4"/>
      <c r="C678" s="3"/>
      <c r="D678" s="4"/>
      <c r="E678" s="4"/>
      <c r="F678" s="4"/>
      <c r="G678" s="4"/>
      <c r="H678" s="4"/>
      <c r="I678" s="4"/>
      <c r="J678" s="4"/>
      <c r="K678" s="4"/>
      <c r="L678" s="4"/>
      <c r="M678" s="4"/>
      <c r="N678" s="4"/>
      <c r="O678" s="4"/>
      <c r="P678" s="4"/>
      <c r="Q678" s="4"/>
    </row>
    <row r="679" spans="1:17" ht="12.75" customHeight="1">
      <c r="A679" s="4"/>
      <c r="B679" s="4"/>
      <c r="C679" s="3"/>
      <c r="D679" s="4"/>
      <c r="E679" s="4"/>
      <c r="F679" s="4"/>
      <c r="G679" s="4"/>
      <c r="H679" s="4"/>
      <c r="I679" s="4"/>
      <c r="J679" s="4"/>
      <c r="K679" s="4"/>
      <c r="L679" s="4"/>
      <c r="M679" s="4"/>
      <c r="N679" s="4"/>
      <c r="O679" s="4"/>
      <c r="P679" s="4"/>
      <c r="Q679" s="4"/>
    </row>
    <row r="680" spans="1:17" ht="12.75" customHeight="1">
      <c r="A680" s="4"/>
      <c r="B680" s="4"/>
      <c r="C680" s="3"/>
      <c r="D680" s="4"/>
      <c r="E680" s="4"/>
      <c r="F680" s="4"/>
      <c r="G680" s="4"/>
      <c r="H680" s="4"/>
      <c r="I680" s="4"/>
      <c r="J680" s="4"/>
      <c r="K680" s="4"/>
      <c r="L680" s="4"/>
      <c r="M680" s="4"/>
      <c r="N680" s="4"/>
      <c r="O680" s="4"/>
      <c r="P680" s="4"/>
      <c r="Q680" s="4"/>
    </row>
    <row r="681" spans="1:17" ht="12.75" customHeight="1">
      <c r="A681" s="4"/>
      <c r="B681" s="4"/>
      <c r="C681" s="3"/>
      <c r="D681" s="4"/>
      <c r="E681" s="4"/>
      <c r="F681" s="4"/>
      <c r="G681" s="4"/>
      <c r="H681" s="4"/>
      <c r="I681" s="4"/>
      <c r="J681" s="4"/>
      <c r="K681" s="4"/>
      <c r="L681" s="4"/>
      <c r="M681" s="4"/>
      <c r="N681" s="4"/>
      <c r="O681" s="4"/>
      <c r="P681" s="4"/>
      <c r="Q681" s="4"/>
    </row>
    <row r="682" spans="1:17" ht="12.75" customHeight="1">
      <c r="A682" s="4"/>
      <c r="B682" s="4"/>
      <c r="C682" s="3"/>
      <c r="D682" s="4"/>
      <c r="E682" s="4"/>
      <c r="F682" s="4"/>
      <c r="G682" s="4"/>
      <c r="H682" s="4"/>
      <c r="I682" s="4"/>
      <c r="J682" s="4"/>
      <c r="K682" s="4"/>
      <c r="L682" s="4"/>
      <c r="M682" s="4"/>
      <c r="N682" s="4"/>
      <c r="O682" s="4"/>
      <c r="P682" s="4"/>
      <c r="Q682" s="4"/>
    </row>
    <row r="683" spans="1:17" ht="12.75" customHeight="1">
      <c r="A683" s="4"/>
      <c r="B683" s="4"/>
      <c r="C683" s="3"/>
      <c r="D683" s="4"/>
      <c r="E683" s="4"/>
      <c r="F683" s="4"/>
      <c r="G683" s="4"/>
      <c r="H683" s="4"/>
      <c r="I683" s="4"/>
      <c r="J683" s="4"/>
      <c r="K683" s="4"/>
      <c r="L683" s="4"/>
      <c r="M683" s="4"/>
      <c r="N683" s="4"/>
      <c r="O683" s="4"/>
      <c r="P683" s="4"/>
      <c r="Q683" s="4"/>
    </row>
    <row r="684" spans="1:17" ht="12.75" customHeight="1">
      <c r="A684" s="4"/>
      <c r="B684" s="4"/>
      <c r="C684" s="3"/>
      <c r="D684" s="4"/>
      <c r="E684" s="4"/>
      <c r="F684" s="4"/>
      <c r="G684" s="4"/>
      <c r="H684" s="4"/>
      <c r="I684" s="4"/>
      <c r="J684" s="4"/>
      <c r="K684" s="4"/>
      <c r="L684" s="4"/>
      <c r="M684" s="4"/>
      <c r="N684" s="4"/>
      <c r="O684" s="4"/>
      <c r="P684" s="4"/>
      <c r="Q684" s="4"/>
    </row>
    <row r="685" spans="1:17" ht="12.75" customHeight="1">
      <c r="A685" s="4"/>
      <c r="B685" s="4"/>
      <c r="C685" s="3"/>
      <c r="D685" s="4"/>
      <c r="E685" s="4"/>
      <c r="F685" s="4"/>
      <c r="G685" s="4"/>
      <c r="H685" s="4"/>
      <c r="I685" s="4"/>
      <c r="J685" s="4"/>
      <c r="K685" s="4"/>
      <c r="L685" s="4"/>
      <c r="M685" s="4"/>
      <c r="N685" s="4"/>
      <c r="O685" s="4"/>
      <c r="P685" s="4"/>
      <c r="Q685" s="4"/>
    </row>
    <row r="686" spans="1:17" ht="12.75" customHeight="1">
      <c r="A686" s="4"/>
      <c r="B686" s="4"/>
      <c r="C686" s="3"/>
      <c r="D686" s="4"/>
      <c r="E686" s="4"/>
      <c r="F686" s="4"/>
      <c r="G686" s="4"/>
      <c r="H686" s="4"/>
      <c r="I686" s="4"/>
      <c r="J686" s="4"/>
      <c r="K686" s="4"/>
      <c r="L686" s="4"/>
      <c r="M686" s="4"/>
      <c r="N686" s="4"/>
      <c r="O686" s="4"/>
      <c r="P686" s="4"/>
      <c r="Q686" s="4"/>
    </row>
    <row r="687" spans="1:17" ht="12.75" customHeight="1">
      <c r="A687" s="4"/>
      <c r="B687" s="4"/>
      <c r="C687" s="3"/>
      <c r="D687" s="4"/>
      <c r="E687" s="4"/>
      <c r="F687" s="4"/>
      <c r="G687" s="4"/>
      <c r="H687" s="4"/>
      <c r="I687" s="4"/>
      <c r="J687" s="4"/>
      <c r="K687" s="4"/>
      <c r="L687" s="4"/>
      <c r="M687" s="4"/>
      <c r="N687" s="4"/>
      <c r="O687" s="4"/>
      <c r="P687" s="4"/>
      <c r="Q687" s="4"/>
    </row>
    <row r="688" spans="1:17" ht="12.75" customHeight="1">
      <c r="A688" s="4"/>
      <c r="B688" s="4"/>
      <c r="C688" s="3"/>
      <c r="D688" s="4"/>
      <c r="E688" s="4"/>
      <c r="F688" s="4"/>
      <c r="G688" s="4"/>
      <c r="H688" s="4"/>
      <c r="I688" s="4"/>
      <c r="J688" s="4"/>
      <c r="K688" s="4"/>
      <c r="L688" s="4"/>
      <c r="M688" s="4"/>
      <c r="N688" s="4"/>
      <c r="O688" s="4"/>
      <c r="P688" s="4"/>
      <c r="Q688" s="4"/>
    </row>
    <row r="689" spans="1:17" ht="12.75" customHeight="1">
      <c r="A689" s="4"/>
      <c r="B689" s="4"/>
      <c r="C689" s="3"/>
      <c r="D689" s="4"/>
      <c r="E689" s="4"/>
      <c r="F689" s="4"/>
      <c r="G689" s="4"/>
      <c r="H689" s="4"/>
      <c r="I689" s="4"/>
      <c r="J689" s="4"/>
      <c r="K689" s="4"/>
      <c r="L689" s="4"/>
      <c r="M689" s="4"/>
      <c r="N689" s="4"/>
      <c r="O689" s="4"/>
      <c r="P689" s="4"/>
      <c r="Q689" s="4"/>
    </row>
    <row r="690" spans="1:17" ht="12.75" customHeight="1">
      <c r="A690" s="4"/>
      <c r="B690" s="4"/>
      <c r="C690" s="3"/>
      <c r="D690" s="4"/>
      <c r="E690" s="4"/>
      <c r="F690" s="4"/>
      <c r="G690" s="4"/>
      <c r="H690" s="4"/>
      <c r="I690" s="4"/>
      <c r="J690" s="4"/>
      <c r="K690" s="4"/>
      <c r="L690" s="4"/>
      <c r="M690" s="4"/>
      <c r="N690" s="4"/>
      <c r="O690" s="4"/>
      <c r="P690" s="4"/>
      <c r="Q690" s="4"/>
    </row>
    <row r="691" spans="1:17" ht="12.75" customHeight="1">
      <c r="A691" s="4"/>
      <c r="B691" s="4"/>
      <c r="C691" s="3"/>
      <c r="D691" s="4"/>
      <c r="E691" s="4"/>
      <c r="F691" s="4"/>
      <c r="G691" s="4"/>
      <c r="H691" s="4"/>
      <c r="I691" s="4"/>
      <c r="J691" s="4"/>
      <c r="K691" s="4"/>
      <c r="L691" s="4"/>
      <c r="M691" s="4"/>
      <c r="N691" s="4"/>
      <c r="O691" s="4"/>
      <c r="P691" s="4"/>
      <c r="Q691" s="4"/>
    </row>
    <row r="692" spans="1:17" ht="12.75" customHeight="1">
      <c r="A692" s="4"/>
      <c r="B692" s="4"/>
      <c r="C692" s="3"/>
      <c r="D692" s="4"/>
      <c r="E692" s="4"/>
      <c r="F692" s="4"/>
      <c r="G692" s="4"/>
      <c r="H692" s="4"/>
      <c r="I692" s="4"/>
      <c r="J692" s="4"/>
      <c r="K692" s="4"/>
      <c r="L692" s="4"/>
      <c r="M692" s="4"/>
      <c r="N692" s="4"/>
      <c r="O692" s="4"/>
      <c r="P692" s="4"/>
      <c r="Q692" s="4"/>
    </row>
    <row r="693" spans="1:17" ht="12.75" customHeight="1">
      <c r="A693" s="4"/>
      <c r="B693" s="4"/>
      <c r="C693" s="3"/>
      <c r="D693" s="4"/>
      <c r="E693" s="4"/>
      <c r="F693" s="4"/>
      <c r="G693" s="4"/>
      <c r="H693" s="4"/>
      <c r="I693" s="4"/>
      <c r="J693" s="4"/>
      <c r="K693" s="4"/>
      <c r="L693" s="4"/>
      <c r="M693" s="4"/>
      <c r="N693" s="4"/>
      <c r="O693" s="4"/>
      <c r="P693" s="4"/>
      <c r="Q693" s="4"/>
    </row>
    <row r="694" spans="1:17" ht="12.75" customHeight="1">
      <c r="A694" s="4"/>
      <c r="B694" s="4"/>
      <c r="C694" s="3"/>
      <c r="D694" s="4"/>
      <c r="E694" s="4"/>
      <c r="F694" s="4"/>
      <c r="G694" s="4"/>
      <c r="H694" s="4"/>
      <c r="I694" s="4"/>
      <c r="J694" s="4"/>
      <c r="K694" s="4"/>
      <c r="L694" s="4"/>
      <c r="M694" s="4"/>
      <c r="N694" s="4"/>
      <c r="O694" s="4"/>
      <c r="P694" s="4"/>
      <c r="Q694" s="4"/>
    </row>
    <row r="695" spans="1:17" ht="12.75" customHeight="1">
      <c r="A695" s="4"/>
      <c r="B695" s="4"/>
      <c r="C695" s="3"/>
      <c r="D695" s="4"/>
      <c r="E695" s="4"/>
      <c r="F695" s="4"/>
      <c r="G695" s="4"/>
      <c r="H695" s="4"/>
      <c r="I695" s="4"/>
      <c r="J695" s="4"/>
      <c r="K695" s="4"/>
      <c r="L695" s="4"/>
      <c r="M695" s="4"/>
      <c r="N695" s="4"/>
      <c r="O695" s="4"/>
      <c r="P695" s="4"/>
      <c r="Q695" s="4"/>
    </row>
    <row r="696" spans="1:17" ht="12.75" customHeight="1">
      <c r="A696" s="4"/>
      <c r="B696" s="4"/>
      <c r="C696" s="3"/>
      <c r="D696" s="4"/>
      <c r="E696" s="4"/>
      <c r="F696" s="4"/>
      <c r="G696" s="4"/>
      <c r="H696" s="4"/>
      <c r="I696" s="4"/>
      <c r="J696" s="4"/>
      <c r="K696" s="4"/>
      <c r="L696" s="4"/>
      <c r="M696" s="4"/>
      <c r="N696" s="4"/>
      <c r="O696" s="4"/>
      <c r="P696" s="4"/>
      <c r="Q696" s="4"/>
    </row>
    <row r="697" spans="1:17" ht="12.75" customHeight="1">
      <c r="A697" s="4"/>
      <c r="B697" s="4"/>
      <c r="C697" s="3"/>
      <c r="D697" s="4"/>
      <c r="E697" s="4"/>
      <c r="F697" s="4"/>
      <c r="G697" s="4"/>
      <c r="H697" s="4"/>
      <c r="I697" s="4"/>
      <c r="J697" s="4"/>
      <c r="K697" s="4"/>
      <c r="L697" s="4"/>
      <c r="M697" s="4"/>
      <c r="N697" s="4"/>
      <c r="O697" s="4"/>
      <c r="P697" s="4"/>
      <c r="Q697" s="4"/>
    </row>
    <row r="698" spans="1:17" ht="12.75" customHeight="1">
      <c r="A698" s="4"/>
      <c r="B698" s="4"/>
      <c r="C698" s="3"/>
      <c r="D698" s="4"/>
      <c r="E698" s="4"/>
      <c r="F698" s="4"/>
      <c r="G698" s="4"/>
      <c r="H698" s="4"/>
      <c r="I698" s="4"/>
      <c r="J698" s="4"/>
      <c r="K698" s="4"/>
      <c r="L698" s="4"/>
      <c r="M698" s="4"/>
      <c r="N698" s="4"/>
      <c r="O698" s="4"/>
      <c r="P698" s="4"/>
      <c r="Q698" s="4"/>
    </row>
    <row r="699" spans="1:17" ht="12.75" customHeight="1">
      <c r="A699" s="4"/>
      <c r="B699" s="4"/>
      <c r="C699" s="3"/>
      <c r="D699" s="4"/>
      <c r="E699" s="4"/>
      <c r="F699" s="4"/>
      <c r="G699" s="4"/>
      <c r="H699" s="4"/>
      <c r="I699" s="4"/>
      <c r="J699" s="4"/>
      <c r="K699" s="4"/>
      <c r="L699" s="4"/>
      <c r="M699" s="4"/>
      <c r="N699" s="4"/>
      <c r="O699" s="4"/>
      <c r="P699" s="4"/>
      <c r="Q699" s="4"/>
    </row>
    <row r="700" spans="1:17" ht="12.75" customHeight="1">
      <c r="A700" s="4"/>
      <c r="B700" s="4"/>
      <c r="C700" s="3"/>
      <c r="D700" s="4"/>
      <c r="E700" s="4"/>
      <c r="F700" s="4"/>
      <c r="G700" s="4"/>
      <c r="H700" s="4"/>
      <c r="I700" s="4"/>
      <c r="J700" s="4"/>
      <c r="K700" s="4"/>
      <c r="L700" s="4"/>
      <c r="M700" s="4"/>
      <c r="N700" s="4"/>
      <c r="O700" s="4"/>
      <c r="P700" s="4"/>
      <c r="Q700" s="4"/>
    </row>
    <row r="701" spans="1:17" ht="12.75" customHeight="1">
      <c r="A701" s="4"/>
      <c r="B701" s="4"/>
      <c r="C701" s="3"/>
      <c r="D701" s="4"/>
      <c r="E701" s="4"/>
      <c r="F701" s="4"/>
      <c r="G701" s="4"/>
      <c r="H701" s="4"/>
      <c r="I701" s="4"/>
      <c r="J701" s="4"/>
      <c r="K701" s="4"/>
      <c r="L701" s="4"/>
      <c r="M701" s="4"/>
      <c r="N701" s="4"/>
      <c r="O701" s="4"/>
      <c r="P701" s="4"/>
      <c r="Q701" s="4"/>
    </row>
    <row r="702" spans="1:17" ht="12.75" customHeight="1">
      <c r="A702" s="4"/>
      <c r="B702" s="4"/>
      <c r="C702" s="3"/>
      <c r="D702" s="4"/>
      <c r="E702" s="4"/>
      <c r="F702" s="4"/>
      <c r="G702" s="4"/>
      <c r="H702" s="4"/>
      <c r="I702" s="4"/>
      <c r="J702" s="4"/>
      <c r="K702" s="4"/>
      <c r="L702" s="4"/>
      <c r="M702" s="4"/>
      <c r="N702" s="4"/>
      <c r="O702" s="4"/>
      <c r="P702" s="4"/>
      <c r="Q702" s="4"/>
    </row>
    <row r="703" spans="1:17" ht="12.75" customHeight="1">
      <c r="A703" s="4"/>
      <c r="B703" s="4"/>
      <c r="C703" s="3"/>
      <c r="D703" s="4"/>
      <c r="E703" s="4"/>
      <c r="F703" s="4"/>
      <c r="G703" s="4"/>
      <c r="H703" s="4"/>
      <c r="I703" s="4"/>
      <c r="J703" s="4"/>
      <c r="K703" s="4"/>
      <c r="L703" s="4"/>
      <c r="M703" s="4"/>
      <c r="N703" s="4"/>
      <c r="O703" s="4"/>
      <c r="P703" s="4"/>
      <c r="Q703" s="4"/>
    </row>
    <row r="704" spans="1:17" ht="12.75" customHeight="1">
      <c r="A704" s="4"/>
      <c r="B704" s="4"/>
      <c r="C704" s="3"/>
      <c r="D704" s="4"/>
      <c r="E704" s="4"/>
      <c r="F704" s="4"/>
      <c r="G704" s="4"/>
      <c r="H704" s="4"/>
      <c r="I704" s="4"/>
      <c r="J704" s="4"/>
      <c r="K704" s="4"/>
      <c r="L704" s="4"/>
      <c r="M704" s="4"/>
      <c r="N704" s="4"/>
      <c r="O704" s="4"/>
      <c r="P704" s="4"/>
      <c r="Q704" s="4"/>
    </row>
    <row r="705" spans="1:17" ht="12.75" customHeight="1">
      <c r="A705" s="4"/>
      <c r="B705" s="4"/>
      <c r="C705" s="3"/>
      <c r="D705" s="4"/>
      <c r="E705" s="4"/>
      <c r="F705" s="4"/>
      <c r="G705" s="4"/>
      <c r="H705" s="4"/>
      <c r="I705" s="4"/>
      <c r="J705" s="4"/>
      <c r="K705" s="4"/>
      <c r="L705" s="4"/>
      <c r="M705" s="4"/>
      <c r="N705" s="4"/>
      <c r="O705" s="4"/>
      <c r="P705" s="4"/>
      <c r="Q705" s="4"/>
    </row>
    <row r="706" spans="1:17" ht="12.75" customHeight="1">
      <c r="A706" s="4"/>
      <c r="B706" s="4"/>
      <c r="C706" s="3"/>
      <c r="D706" s="4"/>
      <c r="E706" s="4"/>
      <c r="F706" s="4"/>
      <c r="G706" s="4"/>
      <c r="H706" s="4"/>
      <c r="I706" s="4"/>
      <c r="J706" s="4"/>
      <c r="K706" s="4"/>
      <c r="L706" s="4"/>
      <c r="M706" s="4"/>
      <c r="N706" s="4"/>
      <c r="O706" s="4"/>
      <c r="P706" s="4"/>
      <c r="Q706" s="4"/>
    </row>
    <row r="707" spans="1:17" ht="12.75" customHeight="1">
      <c r="A707" s="4"/>
      <c r="B707" s="4"/>
      <c r="C707" s="3"/>
      <c r="D707" s="4"/>
      <c r="E707" s="4"/>
      <c r="F707" s="4"/>
      <c r="G707" s="4"/>
      <c r="H707" s="4"/>
      <c r="I707" s="4"/>
      <c r="J707" s="4"/>
      <c r="K707" s="4"/>
      <c r="L707" s="4"/>
      <c r="M707" s="4"/>
      <c r="N707" s="4"/>
      <c r="O707" s="4"/>
      <c r="P707" s="4"/>
      <c r="Q707" s="4"/>
    </row>
    <row r="708" spans="1:17" ht="12.75" customHeight="1">
      <c r="A708" s="4"/>
      <c r="B708" s="4"/>
      <c r="C708" s="3"/>
      <c r="D708" s="4"/>
      <c r="E708" s="4"/>
      <c r="F708" s="4"/>
      <c r="G708" s="4"/>
      <c r="H708" s="4"/>
      <c r="I708" s="4"/>
      <c r="J708" s="4"/>
      <c r="K708" s="4"/>
      <c r="L708" s="4"/>
      <c r="M708" s="4"/>
      <c r="N708" s="4"/>
      <c r="O708" s="4"/>
      <c r="P708" s="4"/>
      <c r="Q708" s="4"/>
    </row>
    <row r="709" spans="1:17" ht="12.75" customHeight="1">
      <c r="A709" s="4"/>
      <c r="B709" s="4"/>
      <c r="C709" s="3"/>
      <c r="D709" s="4"/>
      <c r="E709" s="4"/>
      <c r="F709" s="4"/>
      <c r="G709" s="4"/>
      <c r="H709" s="4"/>
      <c r="I709" s="4"/>
      <c r="J709" s="4"/>
      <c r="K709" s="4"/>
      <c r="L709" s="4"/>
      <c r="M709" s="4"/>
      <c r="N709" s="4"/>
      <c r="O709" s="4"/>
      <c r="P709" s="4"/>
      <c r="Q709" s="4"/>
    </row>
    <row r="710" spans="1:17" ht="12.75" customHeight="1">
      <c r="A710" s="4"/>
      <c r="B710" s="4"/>
      <c r="C710" s="3"/>
      <c r="D710" s="4"/>
      <c r="E710" s="4"/>
      <c r="F710" s="4"/>
      <c r="G710" s="4"/>
      <c r="H710" s="4"/>
      <c r="I710" s="4"/>
      <c r="J710" s="4"/>
      <c r="K710" s="4"/>
      <c r="L710" s="4"/>
      <c r="M710" s="4"/>
      <c r="N710" s="4"/>
      <c r="O710" s="4"/>
      <c r="P710" s="4"/>
      <c r="Q710" s="4"/>
    </row>
    <row r="711" spans="1:17" ht="12.75" customHeight="1">
      <c r="A711" s="4"/>
      <c r="B711" s="4"/>
      <c r="C711" s="3"/>
      <c r="D711" s="4"/>
      <c r="E711" s="4"/>
      <c r="F711" s="4"/>
      <c r="G711" s="4"/>
      <c r="H711" s="4"/>
      <c r="I711" s="4"/>
      <c r="J711" s="4"/>
      <c r="K711" s="4"/>
      <c r="L711" s="4"/>
      <c r="M711" s="4"/>
      <c r="N711" s="4"/>
      <c r="O711" s="4"/>
      <c r="P711" s="4"/>
      <c r="Q711" s="4"/>
    </row>
    <row r="712" spans="1:17" ht="12.75" customHeight="1">
      <c r="A712" s="4"/>
      <c r="B712" s="4"/>
      <c r="C712" s="3"/>
      <c r="D712" s="4"/>
      <c r="E712" s="4"/>
      <c r="F712" s="4"/>
      <c r="G712" s="4"/>
      <c r="H712" s="4"/>
      <c r="I712" s="4"/>
      <c r="J712" s="4"/>
      <c r="K712" s="4"/>
      <c r="L712" s="4"/>
      <c r="M712" s="4"/>
      <c r="N712" s="4"/>
      <c r="O712" s="4"/>
      <c r="P712" s="4"/>
      <c r="Q712" s="4"/>
    </row>
    <row r="713" spans="1:17" ht="12.75" customHeight="1">
      <c r="A713" s="4"/>
      <c r="B713" s="4"/>
      <c r="C713" s="3"/>
      <c r="D713" s="4"/>
      <c r="E713" s="4"/>
      <c r="F713" s="4"/>
      <c r="G713" s="4"/>
      <c r="H713" s="4"/>
      <c r="I713" s="4"/>
      <c r="J713" s="4"/>
      <c r="K713" s="4"/>
      <c r="L713" s="4"/>
      <c r="M713" s="4"/>
      <c r="N713" s="4"/>
      <c r="O713" s="4"/>
      <c r="P713" s="4"/>
      <c r="Q713" s="4"/>
    </row>
    <row r="714" spans="1:17" ht="12.75" customHeight="1">
      <c r="A714" s="4"/>
      <c r="B714" s="4"/>
      <c r="C714" s="3"/>
      <c r="D714" s="4"/>
      <c r="E714" s="4"/>
      <c r="F714" s="4"/>
      <c r="G714" s="4"/>
      <c r="H714" s="4"/>
      <c r="I714" s="4"/>
      <c r="J714" s="4"/>
      <c r="K714" s="4"/>
      <c r="L714" s="4"/>
      <c r="M714" s="4"/>
      <c r="N714" s="4"/>
      <c r="O714" s="4"/>
      <c r="P714" s="4"/>
      <c r="Q714" s="4"/>
    </row>
    <row r="715" spans="1:17" ht="12.75" customHeight="1">
      <c r="A715" s="4"/>
      <c r="B715" s="4"/>
      <c r="C715" s="3"/>
      <c r="D715" s="4"/>
      <c r="E715" s="4"/>
      <c r="F715" s="4"/>
      <c r="G715" s="4"/>
      <c r="H715" s="4"/>
      <c r="I715" s="4"/>
      <c r="J715" s="4"/>
      <c r="K715" s="4"/>
      <c r="L715" s="4"/>
      <c r="M715" s="4"/>
      <c r="N715" s="4"/>
      <c r="O715" s="4"/>
      <c r="P715" s="4"/>
      <c r="Q715" s="4"/>
    </row>
    <row r="716" spans="1:17" ht="12.75" customHeight="1">
      <c r="A716" s="4"/>
      <c r="B716" s="4"/>
      <c r="C716" s="3"/>
      <c r="D716" s="4"/>
      <c r="E716" s="4"/>
      <c r="F716" s="4"/>
      <c r="G716" s="4"/>
      <c r="H716" s="4"/>
      <c r="I716" s="4"/>
      <c r="J716" s="4"/>
      <c r="K716" s="4"/>
      <c r="L716" s="4"/>
      <c r="M716" s="4"/>
      <c r="N716" s="4"/>
      <c r="O716" s="4"/>
      <c r="P716" s="4"/>
      <c r="Q716" s="4"/>
    </row>
    <row r="717" spans="1:17" ht="12.75" customHeight="1">
      <c r="A717" s="4"/>
      <c r="B717" s="4"/>
      <c r="C717" s="3"/>
      <c r="D717" s="4"/>
      <c r="E717" s="4"/>
      <c r="F717" s="4"/>
      <c r="G717" s="4"/>
      <c r="H717" s="4"/>
      <c r="I717" s="4"/>
      <c r="J717" s="4"/>
      <c r="K717" s="4"/>
      <c r="L717" s="4"/>
      <c r="M717" s="4"/>
      <c r="N717" s="4"/>
      <c r="O717" s="4"/>
      <c r="P717" s="4"/>
      <c r="Q717" s="4"/>
    </row>
    <row r="718" spans="1:17" ht="12.75" customHeight="1">
      <c r="A718" s="4"/>
      <c r="B718" s="4"/>
      <c r="C718" s="3"/>
      <c r="D718" s="4"/>
      <c r="E718" s="4"/>
      <c r="F718" s="4"/>
      <c r="G718" s="4"/>
      <c r="H718" s="4"/>
      <c r="I718" s="4"/>
      <c r="J718" s="4"/>
      <c r="K718" s="4"/>
      <c r="L718" s="4"/>
      <c r="M718" s="4"/>
      <c r="N718" s="4"/>
      <c r="O718" s="4"/>
      <c r="P718" s="4"/>
      <c r="Q718" s="4"/>
    </row>
    <row r="719" spans="1:17" ht="12.75" customHeight="1">
      <c r="A719" s="4"/>
      <c r="B719" s="4"/>
      <c r="C719" s="3"/>
      <c r="D719" s="4"/>
      <c r="E719" s="4"/>
      <c r="F719" s="4"/>
      <c r="G719" s="4"/>
      <c r="H719" s="4"/>
      <c r="I719" s="4"/>
      <c r="J719" s="4"/>
      <c r="K719" s="4"/>
      <c r="L719" s="4"/>
      <c r="M719" s="4"/>
      <c r="N719" s="4"/>
      <c r="O719" s="4"/>
      <c r="P719" s="4"/>
      <c r="Q719" s="4"/>
    </row>
    <row r="720" spans="1:17" ht="12.75" customHeight="1">
      <c r="A720" s="4"/>
      <c r="B720" s="4"/>
      <c r="C720" s="3"/>
      <c r="D720" s="4"/>
      <c r="E720" s="4"/>
      <c r="F720" s="4"/>
      <c r="G720" s="4"/>
      <c r="H720" s="4"/>
      <c r="I720" s="4"/>
      <c r="J720" s="4"/>
      <c r="K720" s="4"/>
      <c r="L720" s="4"/>
      <c r="M720" s="4"/>
      <c r="N720" s="4"/>
      <c r="O720" s="4"/>
      <c r="P720" s="4"/>
      <c r="Q720" s="4"/>
    </row>
    <row r="721" spans="1:17" ht="12.75" customHeight="1">
      <c r="A721" s="4"/>
      <c r="B721" s="4"/>
      <c r="C721" s="3"/>
      <c r="D721" s="4"/>
      <c r="E721" s="4"/>
      <c r="F721" s="4"/>
      <c r="G721" s="4"/>
      <c r="H721" s="4"/>
      <c r="I721" s="4"/>
      <c r="J721" s="4"/>
      <c r="K721" s="4"/>
      <c r="L721" s="4"/>
      <c r="M721" s="4"/>
      <c r="N721" s="4"/>
      <c r="O721" s="4"/>
      <c r="P721" s="4"/>
      <c r="Q721" s="4"/>
    </row>
    <row r="722" spans="1:17" ht="12.75" customHeight="1">
      <c r="A722" s="4"/>
      <c r="B722" s="4"/>
      <c r="C722" s="3"/>
      <c r="D722" s="4"/>
      <c r="E722" s="4"/>
      <c r="F722" s="4"/>
      <c r="G722" s="4"/>
      <c r="H722" s="4"/>
      <c r="I722" s="4"/>
      <c r="J722" s="4"/>
      <c r="K722" s="4"/>
      <c r="L722" s="4"/>
      <c r="M722" s="4"/>
      <c r="N722" s="4"/>
      <c r="O722" s="4"/>
      <c r="P722" s="4"/>
      <c r="Q722" s="4"/>
    </row>
    <row r="723" spans="1:17" ht="12.75" customHeight="1">
      <c r="A723" s="4"/>
      <c r="B723" s="4"/>
      <c r="C723" s="3"/>
      <c r="D723" s="4"/>
      <c r="E723" s="4"/>
      <c r="F723" s="4"/>
      <c r="G723" s="4"/>
      <c r="H723" s="4"/>
      <c r="I723" s="4"/>
      <c r="J723" s="4"/>
      <c r="K723" s="4"/>
      <c r="L723" s="4"/>
      <c r="M723" s="4"/>
      <c r="N723" s="4"/>
      <c r="O723" s="4"/>
      <c r="P723" s="4"/>
      <c r="Q723" s="4"/>
    </row>
    <row r="724" spans="1:17" ht="12.75" customHeight="1">
      <c r="A724" s="4"/>
      <c r="B724" s="4"/>
      <c r="C724" s="3"/>
      <c r="D724" s="4"/>
      <c r="E724" s="4"/>
      <c r="F724" s="4"/>
      <c r="G724" s="4"/>
      <c r="H724" s="4"/>
      <c r="I724" s="4"/>
      <c r="J724" s="4"/>
      <c r="K724" s="4"/>
      <c r="L724" s="4"/>
      <c r="M724" s="4"/>
      <c r="N724" s="4"/>
      <c r="O724" s="4"/>
      <c r="P724" s="4"/>
      <c r="Q724" s="4"/>
    </row>
    <row r="725" spans="1:17" ht="12.75" customHeight="1">
      <c r="A725" s="4"/>
      <c r="B725" s="4"/>
      <c r="C725" s="3"/>
      <c r="D725" s="4"/>
      <c r="E725" s="4"/>
      <c r="F725" s="4"/>
      <c r="G725" s="4"/>
      <c r="H725" s="4"/>
      <c r="I725" s="4"/>
      <c r="J725" s="4"/>
      <c r="K725" s="4"/>
      <c r="L725" s="4"/>
      <c r="M725" s="4"/>
      <c r="N725" s="4"/>
      <c r="O725" s="4"/>
      <c r="P725" s="4"/>
      <c r="Q725" s="4"/>
    </row>
    <row r="726" spans="1:17" ht="12.75" customHeight="1">
      <c r="A726" s="4"/>
      <c r="B726" s="4"/>
      <c r="C726" s="3"/>
      <c r="D726" s="4"/>
      <c r="E726" s="4"/>
      <c r="F726" s="4"/>
      <c r="G726" s="4"/>
      <c r="H726" s="4"/>
      <c r="I726" s="4"/>
      <c r="J726" s="4"/>
      <c r="K726" s="4"/>
      <c r="L726" s="4"/>
      <c r="M726" s="4"/>
      <c r="N726" s="4"/>
      <c r="O726" s="4"/>
      <c r="P726" s="4"/>
      <c r="Q726" s="4"/>
    </row>
    <row r="727" spans="1:17" ht="12.75" customHeight="1">
      <c r="A727" s="4"/>
      <c r="B727" s="4"/>
      <c r="C727" s="3"/>
      <c r="D727" s="4"/>
      <c r="E727" s="4"/>
      <c r="F727" s="4"/>
      <c r="G727" s="4"/>
      <c r="H727" s="4"/>
      <c r="I727" s="4"/>
      <c r="J727" s="4"/>
      <c r="K727" s="4"/>
      <c r="L727" s="4"/>
      <c r="M727" s="4"/>
      <c r="N727" s="4"/>
      <c r="O727" s="4"/>
      <c r="P727" s="4"/>
      <c r="Q727" s="4"/>
    </row>
    <row r="728" spans="1:17" ht="12.75" customHeight="1">
      <c r="A728" s="4"/>
      <c r="B728" s="4"/>
      <c r="C728" s="3"/>
      <c r="D728" s="4"/>
      <c r="E728" s="4"/>
      <c r="F728" s="4"/>
      <c r="G728" s="4"/>
      <c r="H728" s="4"/>
      <c r="I728" s="4"/>
      <c r="J728" s="4"/>
      <c r="K728" s="4"/>
      <c r="L728" s="4"/>
      <c r="M728" s="4"/>
      <c r="N728" s="4"/>
      <c r="O728" s="4"/>
      <c r="P728" s="4"/>
      <c r="Q728" s="4"/>
    </row>
    <row r="729" spans="1:17" ht="12.75" customHeight="1">
      <c r="A729" s="4"/>
      <c r="B729" s="4"/>
      <c r="C729" s="3"/>
      <c r="D729" s="4"/>
      <c r="E729" s="4"/>
      <c r="F729" s="4"/>
      <c r="G729" s="4"/>
      <c r="H729" s="4"/>
      <c r="I729" s="4"/>
      <c r="J729" s="4"/>
      <c r="K729" s="4"/>
      <c r="L729" s="4"/>
      <c r="M729" s="4"/>
      <c r="N729" s="4"/>
      <c r="O729" s="4"/>
      <c r="P729" s="4"/>
      <c r="Q729" s="4"/>
    </row>
    <row r="730" spans="1:17" ht="12.75" customHeight="1">
      <c r="A730" s="4"/>
      <c r="B730" s="4"/>
      <c r="C730" s="3"/>
      <c r="D730" s="4"/>
      <c r="E730" s="4"/>
      <c r="F730" s="4"/>
      <c r="G730" s="4"/>
      <c r="H730" s="4"/>
      <c r="I730" s="4"/>
      <c r="J730" s="4"/>
      <c r="K730" s="4"/>
      <c r="L730" s="4"/>
      <c r="M730" s="4"/>
      <c r="N730" s="4"/>
      <c r="O730" s="4"/>
      <c r="P730" s="4"/>
      <c r="Q730" s="4"/>
    </row>
    <row r="731" spans="1:17" ht="12.75" customHeight="1">
      <c r="A731" s="4"/>
      <c r="B731" s="4"/>
      <c r="C731" s="3"/>
      <c r="D731" s="4"/>
      <c r="E731" s="4"/>
      <c r="F731" s="4"/>
      <c r="G731" s="4"/>
      <c r="H731" s="4"/>
      <c r="I731" s="4"/>
      <c r="J731" s="4"/>
      <c r="K731" s="4"/>
      <c r="L731" s="4"/>
      <c r="M731" s="4"/>
      <c r="N731" s="4"/>
      <c r="O731" s="4"/>
      <c r="P731" s="4"/>
      <c r="Q731" s="4"/>
    </row>
    <row r="732" spans="1:17" ht="12.75" customHeight="1">
      <c r="A732" s="4"/>
      <c r="B732" s="4"/>
      <c r="C732" s="3"/>
      <c r="D732" s="4"/>
      <c r="E732" s="4"/>
      <c r="F732" s="4"/>
      <c r="G732" s="4"/>
      <c r="H732" s="4"/>
      <c r="I732" s="4"/>
      <c r="J732" s="4"/>
      <c r="K732" s="4"/>
      <c r="L732" s="4"/>
      <c r="M732" s="4"/>
      <c r="N732" s="4"/>
      <c r="O732" s="4"/>
      <c r="P732" s="4"/>
      <c r="Q732" s="4"/>
    </row>
    <row r="733" spans="1:17" ht="12.75" customHeight="1">
      <c r="A733" s="4"/>
      <c r="B733" s="4"/>
      <c r="C733" s="3"/>
      <c r="D733" s="4"/>
      <c r="E733" s="4"/>
      <c r="F733" s="4"/>
      <c r="G733" s="4"/>
      <c r="H733" s="4"/>
      <c r="I733" s="4"/>
      <c r="J733" s="4"/>
      <c r="K733" s="4"/>
      <c r="L733" s="4"/>
      <c r="M733" s="4"/>
      <c r="N733" s="4"/>
      <c r="O733" s="4"/>
      <c r="P733" s="4"/>
      <c r="Q733" s="4"/>
    </row>
    <row r="734" spans="1:17" ht="12.75" customHeight="1">
      <c r="A734" s="4"/>
      <c r="B734" s="4"/>
      <c r="C734" s="3"/>
      <c r="D734" s="4"/>
      <c r="E734" s="4"/>
      <c r="F734" s="4"/>
      <c r="G734" s="4"/>
      <c r="H734" s="4"/>
      <c r="I734" s="4"/>
      <c r="J734" s="4"/>
      <c r="K734" s="4"/>
      <c r="L734" s="4"/>
      <c r="M734" s="4"/>
      <c r="N734" s="4"/>
      <c r="O734" s="4"/>
      <c r="P734" s="4"/>
      <c r="Q734" s="4"/>
    </row>
    <row r="735" spans="1:17" ht="12.75" customHeight="1">
      <c r="A735" s="4"/>
      <c r="B735" s="4"/>
      <c r="C735" s="3"/>
      <c r="D735" s="4"/>
      <c r="E735" s="4"/>
      <c r="F735" s="4"/>
      <c r="G735" s="4"/>
      <c r="H735" s="4"/>
      <c r="I735" s="4"/>
      <c r="J735" s="4"/>
      <c r="K735" s="4"/>
      <c r="L735" s="4"/>
      <c r="M735" s="4"/>
      <c r="N735" s="4"/>
      <c r="O735" s="4"/>
      <c r="P735" s="4"/>
      <c r="Q735" s="4"/>
    </row>
    <row r="736" spans="1:17" ht="12.75" customHeight="1">
      <c r="A736" s="4"/>
      <c r="B736" s="4"/>
      <c r="C736" s="3"/>
      <c r="D736" s="4"/>
      <c r="E736" s="4"/>
      <c r="F736" s="4"/>
      <c r="G736" s="4"/>
      <c r="H736" s="4"/>
      <c r="I736" s="4"/>
      <c r="J736" s="4"/>
      <c r="K736" s="4"/>
      <c r="L736" s="4"/>
      <c r="M736" s="4"/>
      <c r="N736" s="4"/>
      <c r="O736" s="4"/>
      <c r="P736" s="4"/>
      <c r="Q736" s="4"/>
    </row>
    <row r="737" spans="1:17" ht="12.75" customHeight="1">
      <c r="A737" s="4"/>
      <c r="B737" s="4"/>
      <c r="C737" s="3"/>
      <c r="D737" s="4"/>
      <c r="E737" s="4"/>
      <c r="F737" s="4"/>
      <c r="G737" s="4"/>
      <c r="H737" s="4"/>
      <c r="I737" s="4"/>
      <c r="J737" s="4"/>
      <c r="K737" s="4"/>
      <c r="L737" s="4"/>
      <c r="M737" s="4"/>
      <c r="N737" s="4"/>
      <c r="O737" s="4"/>
      <c r="P737" s="4"/>
      <c r="Q737" s="4"/>
    </row>
    <row r="738" spans="1:17" ht="12.75" customHeight="1">
      <c r="A738" s="4"/>
      <c r="B738" s="4"/>
      <c r="C738" s="3"/>
      <c r="D738" s="4"/>
      <c r="E738" s="4"/>
      <c r="F738" s="4"/>
      <c r="G738" s="4"/>
      <c r="H738" s="4"/>
      <c r="I738" s="4"/>
      <c r="J738" s="4"/>
      <c r="K738" s="4"/>
      <c r="L738" s="4"/>
      <c r="M738" s="4"/>
      <c r="N738" s="4"/>
      <c r="O738" s="4"/>
      <c r="P738" s="4"/>
      <c r="Q738" s="4"/>
    </row>
    <row r="739" spans="1:17" ht="12.75" customHeight="1">
      <c r="A739" s="4"/>
      <c r="B739" s="4"/>
      <c r="C739" s="3"/>
      <c r="D739" s="4"/>
      <c r="E739" s="4"/>
      <c r="F739" s="4"/>
      <c r="G739" s="4"/>
      <c r="H739" s="4"/>
      <c r="I739" s="4"/>
      <c r="J739" s="4"/>
      <c r="K739" s="4"/>
      <c r="L739" s="4"/>
      <c r="M739" s="4"/>
      <c r="N739" s="4"/>
      <c r="O739" s="4"/>
      <c r="P739" s="4"/>
      <c r="Q739" s="4"/>
    </row>
    <row r="740" spans="1:17" ht="12.75" customHeight="1">
      <c r="A740" s="4"/>
      <c r="B740" s="4"/>
      <c r="C740" s="3"/>
      <c r="D740" s="4"/>
      <c r="E740" s="4"/>
      <c r="F740" s="4"/>
      <c r="G740" s="4"/>
      <c r="H740" s="4"/>
      <c r="I740" s="4"/>
      <c r="J740" s="4"/>
      <c r="K740" s="4"/>
      <c r="L740" s="4"/>
      <c r="M740" s="4"/>
      <c r="N740" s="4"/>
      <c r="O740" s="4"/>
      <c r="P740" s="4"/>
      <c r="Q740" s="4"/>
    </row>
    <row r="741" spans="1:17" ht="12.75" customHeight="1">
      <c r="A741" s="4"/>
      <c r="B741" s="4"/>
      <c r="C741" s="3"/>
      <c r="D741" s="4"/>
      <c r="E741" s="4"/>
      <c r="F741" s="4"/>
      <c r="G741" s="4"/>
      <c r="H741" s="4"/>
      <c r="I741" s="4"/>
      <c r="J741" s="4"/>
      <c r="K741" s="4"/>
      <c r="L741" s="4"/>
      <c r="M741" s="4"/>
      <c r="N741" s="4"/>
      <c r="O741" s="4"/>
      <c r="P741" s="4"/>
      <c r="Q741" s="4"/>
    </row>
    <row r="742" spans="1:17" ht="12.75" customHeight="1">
      <c r="A742" s="4"/>
      <c r="B742" s="4"/>
      <c r="C742" s="3"/>
      <c r="D742" s="4"/>
      <c r="E742" s="4"/>
      <c r="F742" s="4"/>
      <c r="G742" s="4"/>
      <c r="H742" s="4"/>
      <c r="I742" s="4"/>
      <c r="J742" s="4"/>
      <c r="K742" s="4"/>
      <c r="L742" s="4"/>
      <c r="M742" s="4"/>
      <c r="N742" s="4"/>
      <c r="O742" s="4"/>
      <c r="P742" s="4"/>
      <c r="Q742" s="4"/>
    </row>
    <row r="743" spans="1:17" ht="12.75" customHeight="1">
      <c r="A743" s="4"/>
      <c r="B743" s="4"/>
      <c r="C743" s="3"/>
      <c r="D743" s="4"/>
      <c r="E743" s="4"/>
      <c r="F743" s="4"/>
      <c r="G743" s="4"/>
      <c r="H743" s="4"/>
      <c r="I743" s="4"/>
      <c r="J743" s="4"/>
      <c r="K743" s="4"/>
      <c r="L743" s="4"/>
      <c r="M743" s="4"/>
      <c r="N743" s="4"/>
      <c r="O743" s="4"/>
      <c r="P743" s="4"/>
      <c r="Q743" s="4"/>
    </row>
    <row r="744" spans="1:17" ht="12.75" customHeight="1">
      <c r="A744" s="4"/>
      <c r="B744" s="4"/>
      <c r="C744" s="3"/>
      <c r="D744" s="4"/>
      <c r="E744" s="4"/>
      <c r="F744" s="4"/>
      <c r="G744" s="4"/>
      <c r="H744" s="4"/>
      <c r="I744" s="4"/>
      <c r="J744" s="4"/>
      <c r="K744" s="4"/>
      <c r="L744" s="4"/>
      <c r="M744" s="4"/>
      <c r="N744" s="4"/>
      <c r="O744" s="4"/>
      <c r="P744" s="4"/>
      <c r="Q744" s="4"/>
    </row>
    <row r="745" spans="1:17" ht="12.75" customHeight="1">
      <c r="A745" s="4"/>
      <c r="B745" s="4"/>
      <c r="C745" s="3"/>
      <c r="D745" s="4"/>
      <c r="E745" s="4"/>
      <c r="F745" s="4"/>
      <c r="G745" s="4"/>
      <c r="H745" s="4"/>
      <c r="I745" s="4"/>
      <c r="J745" s="4"/>
      <c r="K745" s="4"/>
      <c r="L745" s="4"/>
      <c r="M745" s="4"/>
      <c r="N745" s="4"/>
      <c r="O745" s="4"/>
      <c r="P745" s="4"/>
      <c r="Q745" s="4"/>
    </row>
    <row r="746" spans="1:17" ht="12.75" customHeight="1">
      <c r="A746" s="4"/>
      <c r="B746" s="4"/>
      <c r="C746" s="3"/>
      <c r="D746" s="4"/>
      <c r="E746" s="4"/>
      <c r="F746" s="4"/>
      <c r="G746" s="4"/>
      <c r="H746" s="4"/>
      <c r="I746" s="4"/>
      <c r="J746" s="4"/>
      <c r="K746" s="4"/>
      <c r="L746" s="4"/>
      <c r="M746" s="4"/>
      <c r="N746" s="4"/>
      <c r="O746" s="4"/>
      <c r="P746" s="4"/>
      <c r="Q746" s="4"/>
    </row>
    <row r="747" spans="1:17" ht="12.75" customHeight="1">
      <c r="A747" s="4"/>
      <c r="B747" s="4"/>
      <c r="C747" s="3"/>
      <c r="D747" s="4"/>
      <c r="E747" s="4"/>
      <c r="F747" s="4"/>
      <c r="G747" s="4"/>
      <c r="H747" s="4"/>
      <c r="I747" s="4"/>
      <c r="J747" s="4"/>
      <c r="K747" s="4"/>
      <c r="L747" s="4"/>
      <c r="M747" s="4"/>
      <c r="N747" s="4"/>
      <c r="O747" s="4"/>
      <c r="P747" s="4"/>
      <c r="Q747" s="4"/>
    </row>
    <row r="748" spans="1:17" ht="12.75" customHeight="1">
      <c r="A748" s="4"/>
      <c r="B748" s="4"/>
      <c r="C748" s="3"/>
      <c r="D748" s="4"/>
      <c r="E748" s="4"/>
      <c r="F748" s="4"/>
      <c r="G748" s="4"/>
      <c r="H748" s="4"/>
      <c r="I748" s="4"/>
      <c r="J748" s="4"/>
      <c r="K748" s="4"/>
      <c r="L748" s="4"/>
      <c r="M748" s="4"/>
      <c r="N748" s="4"/>
      <c r="O748" s="4"/>
      <c r="P748" s="4"/>
      <c r="Q748" s="4"/>
    </row>
    <row r="749" spans="1:17" ht="12.75" customHeight="1">
      <c r="A749" s="4"/>
      <c r="B749" s="4"/>
      <c r="C749" s="3"/>
      <c r="D749" s="4"/>
      <c r="E749" s="4"/>
      <c r="F749" s="4"/>
      <c r="G749" s="4"/>
      <c r="H749" s="4"/>
      <c r="I749" s="4"/>
      <c r="J749" s="4"/>
      <c r="K749" s="4"/>
      <c r="L749" s="4"/>
      <c r="M749" s="4"/>
      <c r="N749" s="4"/>
      <c r="O749" s="4"/>
      <c r="P749" s="4"/>
      <c r="Q749" s="4"/>
    </row>
    <row r="750" spans="1:17" ht="12.75" customHeight="1">
      <c r="A750" s="4"/>
      <c r="B750" s="4"/>
      <c r="C750" s="3"/>
      <c r="D750" s="4"/>
      <c r="E750" s="4"/>
      <c r="F750" s="4"/>
      <c r="G750" s="4"/>
      <c r="H750" s="4"/>
      <c r="I750" s="4"/>
      <c r="J750" s="4"/>
      <c r="K750" s="4"/>
      <c r="L750" s="4"/>
      <c r="M750" s="4"/>
      <c r="N750" s="4"/>
      <c r="O750" s="4"/>
      <c r="P750" s="4"/>
      <c r="Q750" s="4"/>
    </row>
    <row r="751" spans="1:17" ht="12.75" customHeight="1">
      <c r="A751" s="4"/>
      <c r="B751" s="4"/>
      <c r="C751" s="3"/>
      <c r="D751" s="4"/>
      <c r="E751" s="4"/>
      <c r="F751" s="4"/>
      <c r="G751" s="4"/>
      <c r="H751" s="4"/>
      <c r="I751" s="4"/>
      <c r="J751" s="4"/>
      <c r="K751" s="4"/>
      <c r="L751" s="4"/>
      <c r="M751" s="4"/>
      <c r="N751" s="4"/>
      <c r="O751" s="4"/>
      <c r="P751" s="4"/>
      <c r="Q751" s="4"/>
    </row>
    <row r="752" spans="1:17" ht="12.75" customHeight="1">
      <c r="A752" s="4"/>
      <c r="B752" s="4"/>
      <c r="C752" s="3"/>
      <c r="D752" s="4"/>
      <c r="E752" s="4"/>
      <c r="F752" s="4"/>
      <c r="G752" s="4"/>
      <c r="H752" s="4"/>
      <c r="I752" s="4"/>
      <c r="J752" s="4"/>
      <c r="K752" s="4"/>
      <c r="L752" s="4"/>
      <c r="M752" s="4"/>
      <c r="N752" s="4"/>
      <c r="O752" s="4"/>
      <c r="P752" s="4"/>
      <c r="Q752" s="4"/>
    </row>
    <row r="753" spans="1:17" ht="12.75" customHeight="1">
      <c r="A753" s="4"/>
      <c r="B753" s="4"/>
      <c r="C753" s="3"/>
      <c r="D753" s="4"/>
      <c r="E753" s="4"/>
      <c r="F753" s="4"/>
      <c r="G753" s="4"/>
      <c r="H753" s="4"/>
      <c r="I753" s="4"/>
      <c r="J753" s="4"/>
      <c r="K753" s="4"/>
      <c r="L753" s="4"/>
      <c r="M753" s="4"/>
      <c r="N753" s="4"/>
      <c r="O753" s="4"/>
      <c r="P753" s="4"/>
      <c r="Q753" s="4"/>
    </row>
    <row r="754" spans="1:17" ht="12.75" customHeight="1">
      <c r="A754" s="4"/>
      <c r="B754" s="4"/>
      <c r="C754" s="3"/>
      <c r="D754" s="4"/>
      <c r="E754" s="4"/>
      <c r="F754" s="4"/>
      <c r="G754" s="4"/>
      <c r="H754" s="4"/>
      <c r="I754" s="4"/>
      <c r="J754" s="4"/>
      <c r="K754" s="4"/>
      <c r="L754" s="4"/>
      <c r="M754" s="4"/>
      <c r="N754" s="4"/>
      <c r="O754" s="4"/>
      <c r="P754" s="4"/>
      <c r="Q754" s="4"/>
    </row>
    <row r="755" spans="1:17" ht="12.75" customHeight="1">
      <c r="A755" s="4"/>
      <c r="B755" s="4"/>
      <c r="C755" s="3"/>
      <c r="D755" s="4"/>
      <c r="E755" s="4"/>
      <c r="F755" s="4"/>
      <c r="G755" s="4"/>
      <c r="H755" s="4"/>
      <c r="I755" s="4"/>
      <c r="J755" s="4"/>
      <c r="K755" s="4"/>
      <c r="L755" s="4"/>
      <c r="M755" s="4"/>
      <c r="N755" s="4"/>
      <c r="O755" s="4"/>
      <c r="P755" s="4"/>
      <c r="Q755" s="4"/>
    </row>
    <row r="756" spans="1:17" ht="12.75" customHeight="1">
      <c r="A756" s="4"/>
      <c r="B756" s="4"/>
      <c r="C756" s="3"/>
      <c r="D756" s="4"/>
      <c r="E756" s="4"/>
      <c r="F756" s="4"/>
      <c r="G756" s="4"/>
      <c r="H756" s="4"/>
      <c r="I756" s="4"/>
      <c r="J756" s="4"/>
      <c r="K756" s="4"/>
      <c r="L756" s="4"/>
      <c r="M756" s="4"/>
      <c r="N756" s="4"/>
      <c r="O756" s="4"/>
      <c r="P756" s="4"/>
      <c r="Q756" s="4"/>
    </row>
    <row r="757" spans="1:17" ht="12.75" customHeight="1">
      <c r="A757" s="4"/>
      <c r="B757" s="4"/>
      <c r="C757" s="3"/>
      <c r="D757" s="4"/>
      <c r="E757" s="4"/>
      <c r="F757" s="4"/>
      <c r="G757" s="4"/>
      <c r="H757" s="4"/>
      <c r="I757" s="4"/>
      <c r="J757" s="4"/>
      <c r="K757" s="4"/>
      <c r="L757" s="4"/>
      <c r="M757" s="4"/>
      <c r="N757" s="4"/>
      <c r="O757" s="4"/>
      <c r="P757" s="4"/>
      <c r="Q757" s="4"/>
    </row>
    <row r="758" spans="1:17" ht="12.75" customHeight="1">
      <c r="A758" s="4"/>
      <c r="B758" s="4"/>
      <c r="C758" s="3"/>
      <c r="D758" s="4"/>
      <c r="E758" s="4"/>
      <c r="F758" s="4"/>
      <c r="G758" s="4"/>
      <c r="H758" s="4"/>
      <c r="I758" s="4"/>
      <c r="J758" s="4"/>
      <c r="K758" s="4"/>
      <c r="L758" s="4"/>
      <c r="M758" s="4"/>
      <c r="N758" s="4"/>
      <c r="O758" s="4"/>
      <c r="P758" s="4"/>
      <c r="Q758" s="4"/>
    </row>
    <row r="759" spans="1:17" ht="12.75" customHeight="1">
      <c r="A759" s="4"/>
      <c r="B759" s="4"/>
      <c r="C759" s="3"/>
      <c r="D759" s="4"/>
      <c r="E759" s="4"/>
      <c r="F759" s="4"/>
      <c r="G759" s="4"/>
      <c r="H759" s="4"/>
      <c r="I759" s="4"/>
      <c r="J759" s="4"/>
      <c r="K759" s="4"/>
      <c r="L759" s="4"/>
      <c r="M759" s="4"/>
      <c r="N759" s="4"/>
      <c r="O759" s="4"/>
      <c r="P759" s="4"/>
      <c r="Q759" s="4"/>
    </row>
    <row r="760" spans="1:17" ht="12.75" customHeight="1">
      <c r="A760" s="4"/>
      <c r="B760" s="4"/>
      <c r="C760" s="3"/>
      <c r="D760" s="4"/>
      <c r="E760" s="4"/>
      <c r="F760" s="4"/>
      <c r="G760" s="4"/>
      <c r="H760" s="4"/>
      <c r="I760" s="4"/>
      <c r="J760" s="4"/>
      <c r="K760" s="4"/>
      <c r="L760" s="4"/>
      <c r="M760" s="4"/>
      <c r="N760" s="4"/>
      <c r="O760" s="4"/>
      <c r="P760" s="4"/>
      <c r="Q760" s="4"/>
    </row>
    <row r="761" spans="1:17" ht="12.75" customHeight="1">
      <c r="A761" s="4"/>
      <c r="B761" s="4"/>
      <c r="C761" s="3"/>
      <c r="D761" s="4"/>
      <c r="E761" s="4"/>
      <c r="F761" s="4"/>
      <c r="G761" s="4"/>
      <c r="H761" s="4"/>
      <c r="I761" s="4"/>
      <c r="J761" s="4"/>
      <c r="K761" s="4"/>
      <c r="L761" s="4"/>
      <c r="M761" s="4"/>
      <c r="N761" s="4"/>
      <c r="O761" s="4"/>
      <c r="P761" s="4"/>
      <c r="Q761" s="4"/>
    </row>
    <row r="762" spans="1:17" ht="12.75" customHeight="1">
      <c r="A762" s="4"/>
      <c r="B762" s="4"/>
      <c r="C762" s="3"/>
      <c r="D762" s="4"/>
      <c r="E762" s="4"/>
      <c r="F762" s="4"/>
      <c r="G762" s="4"/>
      <c r="H762" s="4"/>
      <c r="I762" s="4"/>
      <c r="J762" s="4"/>
      <c r="K762" s="4"/>
      <c r="L762" s="4"/>
      <c r="M762" s="4"/>
      <c r="N762" s="4"/>
      <c r="O762" s="4"/>
      <c r="P762" s="4"/>
      <c r="Q762" s="4"/>
    </row>
    <row r="763" spans="1:17" ht="12.75" customHeight="1">
      <c r="A763" s="4"/>
      <c r="B763" s="4"/>
      <c r="C763" s="3"/>
      <c r="D763" s="4"/>
      <c r="E763" s="4"/>
      <c r="F763" s="4"/>
      <c r="G763" s="4"/>
      <c r="H763" s="4"/>
      <c r="I763" s="4"/>
      <c r="J763" s="4"/>
      <c r="K763" s="4"/>
      <c r="L763" s="4"/>
      <c r="M763" s="4"/>
      <c r="N763" s="4"/>
      <c r="O763" s="4"/>
      <c r="P763" s="4"/>
      <c r="Q763" s="4"/>
    </row>
    <row r="764" spans="1:17" ht="12.75" customHeight="1">
      <c r="A764" s="4"/>
      <c r="B764" s="4"/>
      <c r="C764" s="3"/>
      <c r="D764" s="4"/>
      <c r="E764" s="4"/>
      <c r="F764" s="4"/>
      <c r="G764" s="4"/>
      <c r="H764" s="4"/>
      <c r="I764" s="4"/>
      <c r="J764" s="4"/>
      <c r="K764" s="4"/>
      <c r="L764" s="4"/>
      <c r="M764" s="4"/>
      <c r="N764" s="4"/>
      <c r="O764" s="4"/>
      <c r="P764" s="4"/>
      <c r="Q764" s="4"/>
    </row>
    <row r="765" spans="1:17" ht="12.75" customHeight="1">
      <c r="A765" s="4"/>
      <c r="B765" s="4"/>
      <c r="C765" s="3"/>
      <c r="D765" s="4"/>
      <c r="E765" s="4"/>
      <c r="F765" s="4"/>
      <c r="G765" s="4"/>
      <c r="H765" s="4"/>
      <c r="I765" s="4"/>
      <c r="J765" s="4"/>
      <c r="K765" s="4"/>
      <c r="L765" s="4"/>
      <c r="M765" s="4"/>
      <c r="N765" s="4"/>
      <c r="O765" s="4"/>
      <c r="P765" s="4"/>
      <c r="Q765" s="4"/>
    </row>
    <row r="766" spans="1:17" ht="12.75" customHeight="1">
      <c r="A766" s="4"/>
      <c r="B766" s="4"/>
      <c r="C766" s="3"/>
      <c r="D766" s="4"/>
      <c r="E766" s="4"/>
      <c r="F766" s="4"/>
      <c r="G766" s="4"/>
      <c r="H766" s="4"/>
      <c r="I766" s="4"/>
      <c r="J766" s="4"/>
      <c r="K766" s="4"/>
      <c r="L766" s="4"/>
      <c r="M766" s="4"/>
      <c r="N766" s="4"/>
      <c r="O766" s="4"/>
      <c r="P766" s="4"/>
      <c r="Q766" s="4"/>
    </row>
    <row r="767" spans="1:17" ht="12.75" customHeight="1">
      <c r="A767" s="4"/>
      <c r="B767" s="4"/>
      <c r="C767" s="3"/>
      <c r="D767" s="4"/>
      <c r="E767" s="4"/>
      <c r="F767" s="4"/>
      <c r="G767" s="4"/>
      <c r="H767" s="4"/>
      <c r="I767" s="4"/>
      <c r="J767" s="4"/>
      <c r="K767" s="4"/>
      <c r="L767" s="4"/>
      <c r="M767" s="4"/>
      <c r="N767" s="4"/>
      <c r="O767" s="4"/>
      <c r="P767" s="4"/>
      <c r="Q767" s="4"/>
    </row>
    <row r="768" spans="1:17" ht="12.75" customHeight="1">
      <c r="A768" s="4"/>
      <c r="B768" s="4"/>
      <c r="C768" s="3"/>
      <c r="D768" s="4"/>
      <c r="E768" s="4"/>
      <c r="F768" s="4"/>
      <c r="G768" s="4"/>
      <c r="H768" s="4"/>
      <c r="I768" s="4"/>
      <c r="J768" s="4"/>
      <c r="K768" s="4"/>
      <c r="L768" s="4"/>
      <c r="M768" s="4"/>
      <c r="N768" s="4"/>
      <c r="O768" s="4"/>
      <c r="P768" s="4"/>
      <c r="Q768" s="4"/>
    </row>
    <row r="769" spans="1:17" ht="12.75" customHeight="1">
      <c r="A769" s="4"/>
      <c r="B769" s="4"/>
      <c r="C769" s="3"/>
      <c r="D769" s="4"/>
      <c r="E769" s="4"/>
      <c r="F769" s="4"/>
      <c r="G769" s="4"/>
      <c r="H769" s="4"/>
      <c r="I769" s="4"/>
      <c r="J769" s="4"/>
      <c r="K769" s="4"/>
      <c r="L769" s="4"/>
      <c r="M769" s="4"/>
      <c r="N769" s="4"/>
      <c r="O769" s="4"/>
      <c r="P769" s="4"/>
      <c r="Q769" s="4"/>
    </row>
    <row r="770" spans="1:17" ht="12.75" customHeight="1">
      <c r="A770" s="4"/>
      <c r="B770" s="4"/>
      <c r="C770" s="3"/>
      <c r="D770" s="4"/>
      <c r="E770" s="4"/>
      <c r="F770" s="4"/>
      <c r="G770" s="4"/>
      <c r="H770" s="4"/>
      <c r="I770" s="4"/>
      <c r="J770" s="4"/>
      <c r="K770" s="4"/>
      <c r="L770" s="4"/>
      <c r="M770" s="4"/>
      <c r="N770" s="4"/>
      <c r="O770" s="4"/>
      <c r="P770" s="4"/>
      <c r="Q770" s="4"/>
    </row>
    <row r="771" spans="1:17" ht="12.75" customHeight="1">
      <c r="A771" s="4"/>
      <c r="B771" s="4"/>
      <c r="C771" s="3"/>
      <c r="D771" s="4"/>
      <c r="E771" s="4"/>
      <c r="F771" s="4"/>
      <c r="G771" s="4"/>
      <c r="H771" s="4"/>
      <c r="I771" s="4"/>
      <c r="J771" s="4"/>
      <c r="K771" s="4"/>
      <c r="L771" s="4"/>
      <c r="M771" s="4"/>
      <c r="N771" s="4"/>
      <c r="O771" s="4"/>
      <c r="P771" s="4"/>
      <c r="Q771" s="4"/>
    </row>
    <row r="772" spans="1:17" ht="12.75" customHeight="1">
      <c r="A772" s="4"/>
      <c r="B772" s="4"/>
      <c r="C772" s="3"/>
      <c r="D772" s="4"/>
      <c r="E772" s="4"/>
      <c r="F772" s="4"/>
      <c r="G772" s="4"/>
      <c r="H772" s="4"/>
      <c r="I772" s="4"/>
      <c r="J772" s="4"/>
      <c r="K772" s="4"/>
      <c r="L772" s="4"/>
      <c r="M772" s="4"/>
      <c r="N772" s="4"/>
      <c r="O772" s="4"/>
      <c r="P772" s="4"/>
      <c r="Q772" s="4"/>
    </row>
    <row r="773" spans="1:17" ht="12.75" customHeight="1">
      <c r="A773" s="4"/>
      <c r="B773" s="4"/>
      <c r="C773" s="3"/>
      <c r="D773" s="4"/>
      <c r="E773" s="4"/>
      <c r="F773" s="4"/>
      <c r="G773" s="4"/>
      <c r="H773" s="4"/>
      <c r="I773" s="4"/>
      <c r="J773" s="4"/>
      <c r="K773" s="4"/>
      <c r="L773" s="4"/>
      <c r="M773" s="4"/>
      <c r="N773" s="4"/>
      <c r="O773" s="4"/>
      <c r="P773" s="4"/>
      <c r="Q773" s="4"/>
    </row>
    <row r="774" spans="1:17" ht="12.75" customHeight="1">
      <c r="A774" s="4"/>
      <c r="B774" s="4"/>
      <c r="C774" s="3"/>
      <c r="D774" s="4"/>
      <c r="E774" s="4"/>
      <c r="F774" s="4"/>
      <c r="G774" s="4"/>
      <c r="H774" s="4"/>
      <c r="I774" s="4"/>
      <c r="J774" s="4"/>
      <c r="K774" s="4"/>
      <c r="L774" s="4"/>
      <c r="M774" s="4"/>
      <c r="N774" s="4"/>
      <c r="O774" s="4"/>
      <c r="P774" s="4"/>
      <c r="Q774" s="4"/>
    </row>
    <row r="775" spans="1:17" ht="12.75" customHeight="1">
      <c r="A775" s="4"/>
      <c r="B775" s="4"/>
      <c r="C775" s="3"/>
      <c r="D775" s="4"/>
      <c r="E775" s="4"/>
      <c r="F775" s="4"/>
      <c r="G775" s="4"/>
      <c r="H775" s="4"/>
      <c r="I775" s="4"/>
      <c r="J775" s="4"/>
      <c r="K775" s="4"/>
      <c r="L775" s="4"/>
      <c r="M775" s="4"/>
      <c r="N775" s="4"/>
      <c r="O775" s="4"/>
      <c r="P775" s="4"/>
      <c r="Q775" s="4"/>
    </row>
    <row r="776" spans="1:17" ht="12.75" customHeight="1">
      <c r="A776" s="4"/>
      <c r="B776" s="4"/>
      <c r="C776" s="3"/>
      <c r="D776" s="4"/>
      <c r="E776" s="4"/>
      <c r="F776" s="4"/>
      <c r="G776" s="4"/>
      <c r="H776" s="4"/>
      <c r="I776" s="4"/>
      <c r="J776" s="4"/>
      <c r="K776" s="4"/>
      <c r="L776" s="4"/>
      <c r="M776" s="4"/>
      <c r="N776" s="4"/>
      <c r="O776" s="4"/>
      <c r="P776" s="4"/>
      <c r="Q776" s="4"/>
    </row>
    <row r="777" spans="1:17" ht="12.75" customHeight="1">
      <c r="A777" s="4"/>
      <c r="B777" s="4"/>
      <c r="C777" s="3"/>
      <c r="D777" s="4"/>
      <c r="E777" s="4"/>
      <c r="F777" s="4"/>
      <c r="G777" s="4"/>
      <c r="H777" s="4"/>
      <c r="I777" s="4"/>
      <c r="J777" s="4"/>
      <c r="K777" s="4"/>
      <c r="L777" s="4"/>
      <c r="M777" s="4"/>
      <c r="N777" s="4"/>
      <c r="O777" s="4"/>
      <c r="P777" s="4"/>
      <c r="Q777" s="4"/>
    </row>
    <row r="778" spans="1:17" ht="12.75" customHeight="1">
      <c r="A778" s="4"/>
      <c r="B778" s="4"/>
      <c r="C778" s="3"/>
      <c r="D778" s="4"/>
      <c r="E778" s="4"/>
      <c r="F778" s="4"/>
      <c r="G778" s="4"/>
      <c r="H778" s="4"/>
      <c r="I778" s="4"/>
      <c r="J778" s="4"/>
      <c r="K778" s="4"/>
      <c r="L778" s="4"/>
      <c r="M778" s="4"/>
      <c r="N778" s="4"/>
      <c r="O778" s="4"/>
      <c r="P778" s="4"/>
      <c r="Q778" s="4"/>
    </row>
    <row r="779" spans="1:17" ht="12.75" customHeight="1">
      <c r="A779" s="4"/>
      <c r="B779" s="4"/>
      <c r="C779" s="3"/>
      <c r="D779" s="4"/>
      <c r="E779" s="4"/>
      <c r="F779" s="4"/>
      <c r="G779" s="4"/>
      <c r="H779" s="4"/>
      <c r="I779" s="4"/>
      <c r="J779" s="4"/>
      <c r="K779" s="4"/>
      <c r="L779" s="4"/>
      <c r="M779" s="4"/>
      <c r="N779" s="4"/>
      <c r="O779" s="4"/>
      <c r="P779" s="4"/>
      <c r="Q779" s="4"/>
    </row>
    <row r="780" spans="1:17" ht="12.75" customHeight="1">
      <c r="A780" s="4"/>
      <c r="B780" s="4"/>
      <c r="C780" s="3"/>
      <c r="D780" s="4"/>
      <c r="E780" s="4"/>
      <c r="F780" s="4"/>
      <c r="G780" s="4"/>
      <c r="H780" s="4"/>
      <c r="I780" s="4"/>
      <c r="J780" s="4"/>
      <c r="K780" s="4"/>
      <c r="L780" s="4"/>
      <c r="M780" s="4"/>
      <c r="N780" s="4"/>
      <c r="O780" s="4"/>
      <c r="P780" s="4"/>
      <c r="Q780" s="4"/>
    </row>
    <row r="781" spans="1:17" ht="12.75" customHeight="1">
      <c r="A781" s="4"/>
      <c r="B781" s="4"/>
      <c r="C781" s="3"/>
      <c r="D781" s="4"/>
      <c r="E781" s="4"/>
      <c r="F781" s="4"/>
      <c r="G781" s="4"/>
      <c r="H781" s="4"/>
      <c r="I781" s="4"/>
      <c r="J781" s="4"/>
      <c r="K781" s="4"/>
      <c r="L781" s="4"/>
      <c r="M781" s="4"/>
      <c r="N781" s="4"/>
      <c r="O781" s="4"/>
      <c r="P781" s="4"/>
      <c r="Q781" s="4"/>
    </row>
    <row r="782" spans="1:17" ht="12.75" customHeight="1">
      <c r="A782" s="4"/>
      <c r="B782" s="4"/>
      <c r="C782" s="3"/>
      <c r="D782" s="4"/>
      <c r="E782" s="4"/>
      <c r="F782" s="4"/>
      <c r="G782" s="4"/>
      <c r="H782" s="4"/>
      <c r="I782" s="4"/>
      <c r="J782" s="4"/>
      <c r="K782" s="4"/>
      <c r="L782" s="4"/>
      <c r="M782" s="4"/>
      <c r="N782" s="4"/>
      <c r="O782" s="4"/>
      <c r="P782" s="4"/>
      <c r="Q782" s="4"/>
    </row>
    <row r="783" spans="1:17" ht="12.75" customHeight="1">
      <c r="A783" s="4"/>
      <c r="B783" s="4"/>
      <c r="C783" s="3"/>
      <c r="D783" s="4"/>
      <c r="E783" s="4"/>
      <c r="F783" s="4"/>
      <c r="G783" s="4"/>
      <c r="H783" s="4"/>
      <c r="I783" s="4"/>
      <c r="J783" s="4"/>
      <c r="K783" s="4"/>
      <c r="L783" s="4"/>
      <c r="M783" s="4"/>
      <c r="N783" s="4"/>
      <c r="O783" s="4"/>
      <c r="P783" s="4"/>
      <c r="Q783" s="4"/>
    </row>
    <row r="784" spans="1:17" ht="12.75" customHeight="1">
      <c r="A784" s="4"/>
      <c r="B784" s="4"/>
      <c r="C784" s="3"/>
      <c r="D784" s="4"/>
      <c r="E784" s="4"/>
      <c r="F784" s="4"/>
      <c r="G784" s="4"/>
      <c r="H784" s="4"/>
      <c r="I784" s="4"/>
      <c r="J784" s="4"/>
      <c r="K784" s="4"/>
      <c r="L784" s="4"/>
      <c r="M784" s="4"/>
      <c r="N784" s="4"/>
      <c r="O784" s="4"/>
      <c r="P784" s="4"/>
      <c r="Q784" s="4"/>
    </row>
    <row r="785" spans="1:17" ht="12.75" customHeight="1">
      <c r="A785" s="4"/>
      <c r="B785" s="4"/>
      <c r="C785" s="3"/>
      <c r="D785" s="4"/>
      <c r="E785" s="4"/>
      <c r="F785" s="4"/>
      <c r="G785" s="4"/>
      <c r="H785" s="4"/>
      <c r="I785" s="4"/>
      <c r="J785" s="4"/>
      <c r="K785" s="4"/>
      <c r="L785" s="4"/>
      <c r="M785" s="4"/>
      <c r="N785" s="4"/>
      <c r="O785" s="4"/>
      <c r="P785" s="4"/>
      <c r="Q785" s="4"/>
    </row>
    <row r="786" spans="1:17" ht="12.75" customHeight="1">
      <c r="A786" s="4"/>
      <c r="B786" s="4"/>
      <c r="C786" s="3"/>
      <c r="D786" s="4"/>
      <c r="E786" s="4"/>
      <c r="F786" s="4"/>
      <c r="G786" s="4"/>
      <c r="H786" s="4"/>
      <c r="I786" s="4"/>
      <c r="J786" s="4"/>
      <c r="K786" s="4"/>
      <c r="L786" s="4"/>
      <c r="M786" s="4"/>
      <c r="N786" s="4"/>
      <c r="O786" s="4"/>
      <c r="P786" s="4"/>
      <c r="Q786" s="4"/>
    </row>
    <row r="787" spans="1:17" ht="12.75" customHeight="1">
      <c r="A787" s="4"/>
      <c r="B787" s="4"/>
      <c r="C787" s="3"/>
      <c r="D787" s="4"/>
      <c r="E787" s="4"/>
      <c r="F787" s="4"/>
      <c r="G787" s="4"/>
      <c r="H787" s="4"/>
      <c r="I787" s="4"/>
      <c r="J787" s="4"/>
      <c r="K787" s="4"/>
      <c r="L787" s="4"/>
      <c r="M787" s="4"/>
      <c r="N787" s="4"/>
      <c r="O787" s="4"/>
      <c r="P787" s="4"/>
      <c r="Q787" s="4"/>
    </row>
    <row r="788" spans="1:17" ht="12.75" customHeight="1">
      <c r="A788" s="4"/>
      <c r="B788" s="4"/>
      <c r="C788" s="3"/>
      <c r="D788" s="4"/>
      <c r="E788" s="4"/>
      <c r="F788" s="4"/>
      <c r="G788" s="4"/>
      <c r="H788" s="4"/>
      <c r="I788" s="4"/>
      <c r="J788" s="4"/>
      <c r="K788" s="4"/>
      <c r="L788" s="4"/>
      <c r="M788" s="4"/>
      <c r="N788" s="4"/>
      <c r="O788" s="4"/>
      <c r="P788" s="4"/>
      <c r="Q788" s="4"/>
    </row>
    <row r="789" spans="1:17" ht="12.75" customHeight="1">
      <c r="A789" s="4"/>
      <c r="B789" s="4"/>
      <c r="C789" s="3"/>
      <c r="D789" s="4"/>
      <c r="E789" s="4"/>
      <c r="F789" s="4"/>
      <c r="G789" s="4"/>
      <c r="H789" s="4"/>
      <c r="I789" s="4"/>
      <c r="J789" s="4"/>
      <c r="K789" s="4"/>
      <c r="L789" s="4"/>
      <c r="M789" s="4"/>
      <c r="N789" s="4"/>
      <c r="O789" s="4"/>
      <c r="P789" s="4"/>
      <c r="Q789" s="4"/>
    </row>
    <row r="790" spans="1:17" ht="12.75" customHeight="1">
      <c r="A790" s="4"/>
      <c r="B790" s="4"/>
      <c r="C790" s="3"/>
      <c r="D790" s="4"/>
      <c r="E790" s="4"/>
      <c r="F790" s="4"/>
      <c r="G790" s="4"/>
      <c r="H790" s="4"/>
      <c r="I790" s="4"/>
      <c r="J790" s="4"/>
      <c r="K790" s="4"/>
      <c r="L790" s="4"/>
      <c r="M790" s="4"/>
      <c r="N790" s="4"/>
      <c r="O790" s="4"/>
      <c r="P790" s="4"/>
      <c r="Q790" s="4"/>
    </row>
    <row r="791" spans="1:17" ht="12.75" customHeight="1">
      <c r="A791" s="4"/>
      <c r="B791" s="4"/>
      <c r="C791" s="3"/>
      <c r="D791" s="4"/>
      <c r="E791" s="4"/>
      <c r="F791" s="4"/>
      <c r="G791" s="4"/>
      <c r="H791" s="4"/>
      <c r="I791" s="4"/>
      <c r="J791" s="4"/>
      <c r="K791" s="4"/>
      <c r="L791" s="4"/>
      <c r="M791" s="4"/>
      <c r="N791" s="4"/>
      <c r="O791" s="4"/>
      <c r="P791" s="4"/>
      <c r="Q791" s="4"/>
    </row>
    <row r="792" spans="1:17" ht="12.75" customHeight="1">
      <c r="A792" s="4"/>
      <c r="B792" s="4"/>
      <c r="C792" s="3"/>
      <c r="D792" s="4"/>
      <c r="E792" s="4"/>
      <c r="F792" s="4"/>
      <c r="G792" s="4"/>
      <c r="H792" s="4"/>
      <c r="I792" s="4"/>
      <c r="J792" s="4"/>
      <c r="K792" s="4"/>
      <c r="L792" s="4"/>
      <c r="M792" s="4"/>
      <c r="N792" s="4"/>
      <c r="O792" s="4"/>
      <c r="P792" s="4"/>
      <c r="Q792" s="4"/>
    </row>
    <row r="793" spans="1:17" ht="12.75" customHeight="1">
      <c r="A793" s="4"/>
      <c r="B793" s="4"/>
      <c r="C793" s="3"/>
      <c r="D793" s="4"/>
      <c r="E793" s="4"/>
      <c r="F793" s="4"/>
      <c r="G793" s="4"/>
      <c r="H793" s="4"/>
      <c r="I793" s="4"/>
      <c r="J793" s="4"/>
      <c r="K793" s="4"/>
      <c r="L793" s="4"/>
      <c r="M793" s="4"/>
      <c r="N793" s="4"/>
      <c r="O793" s="4"/>
      <c r="P793" s="4"/>
      <c r="Q793" s="4"/>
    </row>
    <row r="794" spans="1:17" ht="12.75" customHeight="1">
      <c r="A794" s="4"/>
      <c r="B794" s="4"/>
      <c r="C794" s="3"/>
      <c r="D794" s="4"/>
      <c r="E794" s="4"/>
      <c r="F794" s="4"/>
      <c r="G794" s="4"/>
      <c r="H794" s="4"/>
      <c r="I794" s="4"/>
      <c r="J794" s="4"/>
      <c r="K794" s="4"/>
      <c r="L794" s="4"/>
      <c r="M794" s="4"/>
      <c r="N794" s="4"/>
      <c r="O794" s="4"/>
      <c r="P794" s="4"/>
      <c r="Q794" s="4"/>
    </row>
    <row r="795" spans="1:17" ht="12.75" customHeight="1">
      <c r="A795" s="4"/>
      <c r="B795" s="4"/>
      <c r="C795" s="3"/>
      <c r="D795" s="4"/>
      <c r="E795" s="4"/>
      <c r="F795" s="4"/>
      <c r="G795" s="4"/>
      <c r="H795" s="4"/>
      <c r="I795" s="4"/>
      <c r="J795" s="4"/>
      <c r="K795" s="4"/>
      <c r="L795" s="4"/>
      <c r="M795" s="4"/>
      <c r="N795" s="4"/>
      <c r="O795" s="4"/>
      <c r="P795" s="4"/>
      <c r="Q795" s="4"/>
    </row>
    <row r="796" spans="1:17" ht="12.75" customHeight="1">
      <c r="A796" s="4"/>
      <c r="B796" s="4"/>
      <c r="C796" s="3"/>
      <c r="D796" s="4"/>
      <c r="E796" s="4"/>
      <c r="F796" s="4"/>
      <c r="G796" s="4"/>
      <c r="H796" s="4"/>
      <c r="I796" s="4"/>
      <c r="J796" s="4"/>
      <c r="K796" s="4"/>
      <c r="L796" s="4"/>
      <c r="M796" s="4"/>
      <c r="N796" s="4"/>
      <c r="O796" s="4"/>
      <c r="P796" s="4"/>
      <c r="Q796" s="4"/>
    </row>
    <row r="797" spans="1:17" ht="12.75" customHeight="1">
      <c r="A797" s="4"/>
      <c r="B797" s="4"/>
      <c r="C797" s="3"/>
      <c r="D797" s="4"/>
      <c r="E797" s="4"/>
      <c r="F797" s="4"/>
      <c r="G797" s="4"/>
      <c r="H797" s="4"/>
      <c r="I797" s="4"/>
      <c r="J797" s="4"/>
      <c r="K797" s="4"/>
      <c r="L797" s="4"/>
      <c r="M797" s="4"/>
      <c r="N797" s="4"/>
      <c r="O797" s="4"/>
      <c r="P797" s="4"/>
      <c r="Q797" s="4"/>
    </row>
    <row r="798" spans="1:17" ht="12.75" customHeight="1">
      <c r="A798" s="4"/>
      <c r="B798" s="4"/>
      <c r="C798" s="3"/>
      <c r="D798" s="4"/>
      <c r="E798" s="4"/>
      <c r="F798" s="4"/>
      <c r="G798" s="4"/>
      <c r="H798" s="4"/>
      <c r="I798" s="4"/>
      <c r="J798" s="4"/>
      <c r="K798" s="4"/>
      <c r="L798" s="4"/>
      <c r="M798" s="4"/>
      <c r="N798" s="4"/>
      <c r="O798" s="4"/>
      <c r="P798" s="4"/>
      <c r="Q798" s="4"/>
    </row>
    <row r="799" spans="1:17" ht="12.75" customHeight="1">
      <c r="A799" s="4"/>
      <c r="B799" s="4"/>
      <c r="C799" s="3"/>
      <c r="D799" s="4"/>
      <c r="E799" s="4"/>
      <c r="F799" s="4"/>
      <c r="G799" s="4"/>
      <c r="H799" s="4"/>
      <c r="I799" s="4"/>
      <c r="J799" s="4"/>
      <c r="K799" s="4"/>
      <c r="L799" s="4"/>
      <c r="M799" s="4"/>
      <c r="N799" s="4"/>
      <c r="O799" s="4"/>
      <c r="P799" s="4"/>
      <c r="Q799" s="4"/>
    </row>
    <row r="800" spans="1:17" ht="12.75" customHeight="1">
      <c r="A800" s="4"/>
      <c r="B800" s="4"/>
      <c r="C800" s="3"/>
      <c r="D800" s="4"/>
      <c r="E800" s="4"/>
      <c r="F800" s="4"/>
      <c r="G800" s="4"/>
      <c r="H800" s="4"/>
      <c r="I800" s="4"/>
      <c r="J800" s="4"/>
      <c r="K800" s="4"/>
      <c r="L800" s="4"/>
      <c r="M800" s="4"/>
      <c r="N800" s="4"/>
      <c r="O800" s="4"/>
      <c r="P800" s="4"/>
      <c r="Q800" s="4"/>
    </row>
    <row r="801" spans="1:17" ht="12.75" customHeight="1">
      <c r="A801" s="4"/>
      <c r="B801" s="4"/>
      <c r="C801" s="3"/>
      <c r="D801" s="4"/>
      <c r="E801" s="4"/>
      <c r="F801" s="4"/>
      <c r="G801" s="4"/>
      <c r="H801" s="4"/>
      <c r="I801" s="4"/>
      <c r="J801" s="4"/>
      <c r="K801" s="4"/>
      <c r="L801" s="4"/>
      <c r="M801" s="4"/>
      <c r="N801" s="4"/>
      <c r="O801" s="4"/>
      <c r="P801" s="4"/>
      <c r="Q801" s="4"/>
    </row>
    <row r="802" spans="1:17" ht="12.75" customHeight="1">
      <c r="A802" s="4"/>
      <c r="B802" s="4"/>
      <c r="C802" s="3"/>
      <c r="D802" s="4"/>
      <c r="E802" s="4"/>
      <c r="F802" s="4"/>
      <c r="G802" s="4"/>
      <c r="H802" s="4"/>
      <c r="I802" s="4"/>
      <c r="J802" s="4"/>
      <c r="K802" s="4"/>
      <c r="L802" s="4"/>
      <c r="M802" s="4"/>
      <c r="N802" s="4"/>
      <c r="O802" s="4"/>
      <c r="P802" s="4"/>
      <c r="Q802" s="4"/>
    </row>
    <row r="803" spans="1:17" ht="12.75" customHeight="1">
      <c r="A803" s="4"/>
      <c r="B803" s="4"/>
      <c r="C803" s="3"/>
      <c r="D803" s="4"/>
      <c r="E803" s="4"/>
      <c r="F803" s="4"/>
      <c r="G803" s="4"/>
      <c r="H803" s="4"/>
      <c r="I803" s="4"/>
      <c r="J803" s="4"/>
      <c r="K803" s="4"/>
      <c r="L803" s="4"/>
      <c r="M803" s="4"/>
      <c r="N803" s="4"/>
      <c r="O803" s="4"/>
      <c r="P803" s="4"/>
      <c r="Q803" s="4"/>
    </row>
    <row r="804" spans="1:17" ht="12.75" customHeight="1">
      <c r="A804" s="4"/>
      <c r="B804" s="4"/>
      <c r="C804" s="3"/>
      <c r="D804" s="4"/>
      <c r="E804" s="4"/>
      <c r="F804" s="4"/>
      <c r="G804" s="4"/>
      <c r="H804" s="4"/>
      <c r="I804" s="4"/>
      <c r="J804" s="4"/>
      <c r="K804" s="4"/>
      <c r="L804" s="4"/>
      <c r="M804" s="4"/>
      <c r="N804" s="4"/>
      <c r="O804" s="4"/>
      <c r="P804" s="4"/>
      <c r="Q804" s="4"/>
    </row>
    <row r="805" spans="1:17" ht="12.75" customHeight="1">
      <c r="A805" s="4"/>
      <c r="B805" s="4"/>
      <c r="C805" s="3"/>
      <c r="D805" s="4"/>
      <c r="E805" s="4"/>
      <c r="F805" s="4"/>
      <c r="G805" s="4"/>
      <c r="H805" s="4"/>
      <c r="I805" s="4"/>
      <c r="J805" s="4"/>
      <c r="K805" s="4"/>
      <c r="L805" s="4"/>
      <c r="M805" s="4"/>
      <c r="N805" s="4"/>
      <c r="O805" s="4"/>
      <c r="P805" s="4"/>
      <c r="Q805" s="4"/>
    </row>
    <row r="806" spans="1:17" ht="12.75" customHeight="1">
      <c r="A806" s="4"/>
      <c r="B806" s="4"/>
      <c r="C806" s="3"/>
      <c r="D806" s="4"/>
      <c r="E806" s="4"/>
      <c r="F806" s="4"/>
      <c r="G806" s="4"/>
      <c r="H806" s="4"/>
      <c r="I806" s="4"/>
      <c r="J806" s="4"/>
      <c r="K806" s="4"/>
      <c r="L806" s="4"/>
      <c r="M806" s="4"/>
      <c r="N806" s="4"/>
      <c r="O806" s="4"/>
      <c r="P806" s="4"/>
      <c r="Q806" s="4"/>
    </row>
    <row r="807" spans="1:17" ht="12.75" customHeight="1">
      <c r="A807" s="4"/>
      <c r="B807" s="4"/>
      <c r="C807" s="3"/>
      <c r="D807" s="4"/>
      <c r="E807" s="4"/>
      <c r="F807" s="4"/>
      <c r="G807" s="4"/>
      <c r="H807" s="4"/>
      <c r="I807" s="4"/>
      <c r="J807" s="4"/>
      <c r="K807" s="4"/>
      <c r="L807" s="4"/>
      <c r="M807" s="4"/>
      <c r="N807" s="4"/>
      <c r="O807" s="4"/>
      <c r="P807" s="4"/>
      <c r="Q807" s="4"/>
    </row>
    <row r="808" spans="1:17" ht="12.75" customHeight="1">
      <c r="A808" s="4"/>
      <c r="B808" s="4"/>
      <c r="C808" s="3"/>
      <c r="D808" s="4"/>
      <c r="E808" s="4"/>
      <c r="F808" s="4"/>
      <c r="G808" s="4"/>
      <c r="H808" s="4"/>
      <c r="I808" s="4"/>
      <c r="J808" s="4"/>
      <c r="K808" s="4"/>
      <c r="L808" s="4"/>
      <c r="M808" s="4"/>
      <c r="N808" s="4"/>
      <c r="O808" s="4"/>
      <c r="P808" s="4"/>
      <c r="Q808" s="4"/>
    </row>
    <row r="809" spans="1:17" ht="12.75" customHeight="1">
      <c r="A809" s="4"/>
      <c r="B809" s="4"/>
      <c r="C809" s="3"/>
      <c r="D809" s="4"/>
      <c r="E809" s="4"/>
      <c r="F809" s="4"/>
      <c r="G809" s="4"/>
      <c r="H809" s="4"/>
      <c r="I809" s="4"/>
      <c r="J809" s="4"/>
      <c r="K809" s="4"/>
      <c r="L809" s="4"/>
      <c r="M809" s="4"/>
      <c r="N809" s="4"/>
      <c r="O809" s="4"/>
      <c r="P809" s="4"/>
      <c r="Q809" s="4"/>
    </row>
    <row r="810" spans="1:17" ht="12.75" customHeight="1">
      <c r="A810" s="4"/>
      <c r="B810" s="4"/>
      <c r="C810" s="3"/>
      <c r="D810" s="4"/>
      <c r="E810" s="4"/>
      <c r="F810" s="4"/>
      <c r="G810" s="4"/>
      <c r="H810" s="4"/>
      <c r="I810" s="4"/>
      <c r="J810" s="4"/>
      <c r="K810" s="4"/>
      <c r="L810" s="4"/>
      <c r="M810" s="4"/>
      <c r="N810" s="4"/>
      <c r="O810" s="4"/>
      <c r="P810" s="4"/>
      <c r="Q810" s="4"/>
    </row>
    <row r="811" spans="1:17" ht="12.75" customHeight="1">
      <c r="A811" s="4"/>
      <c r="B811" s="4"/>
      <c r="C811" s="3"/>
      <c r="D811" s="4"/>
      <c r="E811" s="4"/>
      <c r="F811" s="4"/>
      <c r="G811" s="4"/>
      <c r="H811" s="4"/>
      <c r="I811" s="4"/>
      <c r="J811" s="4"/>
      <c r="K811" s="4"/>
      <c r="L811" s="4"/>
      <c r="M811" s="4"/>
      <c r="N811" s="4"/>
      <c r="O811" s="4"/>
      <c r="P811" s="4"/>
      <c r="Q811" s="4"/>
    </row>
    <row r="812" spans="1:17" ht="12.75" customHeight="1">
      <c r="A812" s="4"/>
      <c r="B812" s="4"/>
      <c r="C812" s="3"/>
      <c r="D812" s="4"/>
      <c r="E812" s="4"/>
      <c r="F812" s="4"/>
      <c r="G812" s="4"/>
      <c r="H812" s="4"/>
      <c r="I812" s="4"/>
      <c r="J812" s="4"/>
      <c r="K812" s="4"/>
      <c r="L812" s="4"/>
      <c r="M812" s="4"/>
      <c r="N812" s="4"/>
      <c r="O812" s="4"/>
      <c r="P812" s="4"/>
      <c r="Q812" s="4"/>
    </row>
    <row r="813" spans="1:17" ht="12.75" customHeight="1">
      <c r="A813" s="4"/>
      <c r="B813" s="4"/>
      <c r="C813" s="3"/>
      <c r="D813" s="4"/>
      <c r="E813" s="4"/>
      <c r="F813" s="4"/>
      <c r="G813" s="4"/>
      <c r="H813" s="4"/>
      <c r="I813" s="4"/>
      <c r="J813" s="4"/>
      <c r="K813" s="4"/>
      <c r="L813" s="4"/>
      <c r="M813" s="4"/>
      <c r="N813" s="4"/>
      <c r="O813" s="4"/>
      <c r="P813" s="4"/>
      <c r="Q813" s="4"/>
    </row>
    <row r="814" spans="1:17" ht="12.75" customHeight="1">
      <c r="A814" s="4"/>
      <c r="B814" s="4"/>
      <c r="C814" s="3"/>
      <c r="D814" s="4"/>
      <c r="E814" s="4"/>
      <c r="F814" s="4"/>
      <c r="G814" s="4"/>
      <c r="H814" s="4"/>
      <c r="I814" s="4"/>
      <c r="J814" s="4"/>
      <c r="K814" s="4"/>
      <c r="L814" s="4"/>
      <c r="M814" s="4"/>
      <c r="N814" s="4"/>
      <c r="O814" s="4"/>
      <c r="P814" s="4"/>
      <c r="Q814" s="4"/>
    </row>
    <row r="815" spans="1:17" ht="12.75" customHeight="1">
      <c r="A815" s="4"/>
      <c r="B815" s="4"/>
      <c r="C815" s="3"/>
      <c r="D815" s="4"/>
      <c r="E815" s="4"/>
      <c r="F815" s="4"/>
      <c r="G815" s="4"/>
      <c r="H815" s="4"/>
      <c r="I815" s="4"/>
      <c r="J815" s="4"/>
      <c r="K815" s="4"/>
      <c r="L815" s="4"/>
      <c r="M815" s="4"/>
      <c r="N815" s="4"/>
      <c r="O815" s="4"/>
      <c r="P815" s="4"/>
      <c r="Q815" s="4"/>
    </row>
    <row r="816" spans="1:17" ht="12.75" customHeight="1">
      <c r="A816" s="4"/>
      <c r="B816" s="4"/>
      <c r="C816" s="3"/>
      <c r="D816" s="4"/>
      <c r="E816" s="4"/>
      <c r="F816" s="4"/>
      <c r="G816" s="4"/>
      <c r="H816" s="4"/>
      <c r="I816" s="4"/>
      <c r="J816" s="4"/>
      <c r="K816" s="4"/>
      <c r="L816" s="4"/>
      <c r="M816" s="4"/>
      <c r="N816" s="4"/>
      <c r="O816" s="4"/>
      <c r="P816" s="4"/>
      <c r="Q816" s="4"/>
    </row>
    <row r="817" spans="1:17" ht="12.75" customHeight="1">
      <c r="A817" s="4"/>
      <c r="B817" s="4"/>
      <c r="C817" s="3"/>
      <c r="D817" s="4"/>
      <c r="E817" s="4"/>
      <c r="F817" s="4"/>
      <c r="G817" s="4"/>
      <c r="H817" s="4"/>
      <c r="I817" s="4"/>
      <c r="J817" s="4"/>
      <c r="K817" s="4"/>
      <c r="L817" s="4"/>
      <c r="M817" s="4"/>
      <c r="N817" s="4"/>
      <c r="O817" s="4"/>
      <c r="P817" s="4"/>
      <c r="Q817" s="4"/>
    </row>
    <row r="818" spans="1:17" ht="12.75" customHeight="1">
      <c r="A818" s="4"/>
      <c r="B818" s="4"/>
      <c r="C818" s="3"/>
      <c r="D818" s="4"/>
      <c r="E818" s="4"/>
      <c r="F818" s="4"/>
      <c r="G818" s="4"/>
      <c r="H818" s="4"/>
      <c r="I818" s="4"/>
      <c r="J818" s="4"/>
      <c r="K818" s="4"/>
      <c r="L818" s="4"/>
      <c r="M818" s="4"/>
      <c r="N818" s="4"/>
      <c r="O818" s="4"/>
      <c r="P818" s="4"/>
      <c r="Q818" s="4"/>
    </row>
    <row r="819" spans="1:17" ht="12.75" customHeight="1">
      <c r="A819" s="4"/>
      <c r="B819" s="4"/>
      <c r="C819" s="3"/>
      <c r="D819" s="4"/>
      <c r="E819" s="4"/>
      <c r="F819" s="4"/>
      <c r="G819" s="4"/>
      <c r="H819" s="4"/>
      <c r="I819" s="4"/>
      <c r="J819" s="4"/>
      <c r="K819" s="4"/>
      <c r="L819" s="4"/>
      <c r="M819" s="4"/>
      <c r="N819" s="4"/>
      <c r="O819" s="4"/>
      <c r="P819" s="4"/>
      <c r="Q819" s="4"/>
    </row>
    <row r="820" spans="1:17" ht="12.75" customHeight="1">
      <c r="A820" s="4"/>
      <c r="B820" s="4"/>
      <c r="C820" s="3"/>
      <c r="D820" s="4"/>
      <c r="E820" s="4"/>
      <c r="F820" s="4"/>
      <c r="G820" s="4"/>
      <c r="H820" s="4"/>
      <c r="I820" s="4"/>
      <c r="J820" s="4"/>
      <c r="K820" s="4"/>
      <c r="L820" s="4"/>
      <c r="M820" s="4"/>
      <c r="N820" s="4"/>
      <c r="O820" s="4"/>
      <c r="P820" s="4"/>
      <c r="Q820" s="4"/>
    </row>
    <row r="821" spans="1:17" ht="12.75" customHeight="1">
      <c r="A821" s="4"/>
      <c r="B821" s="4"/>
      <c r="C821" s="3"/>
      <c r="D821" s="4"/>
      <c r="E821" s="4"/>
      <c r="F821" s="4"/>
      <c r="G821" s="4"/>
      <c r="H821" s="4"/>
      <c r="I821" s="4"/>
      <c r="J821" s="4"/>
      <c r="K821" s="4"/>
      <c r="L821" s="4"/>
      <c r="M821" s="4"/>
      <c r="N821" s="4"/>
      <c r="O821" s="4"/>
      <c r="P821" s="4"/>
      <c r="Q821" s="4"/>
    </row>
    <row r="822" spans="1:17" ht="12.75" customHeight="1">
      <c r="A822" s="4"/>
      <c r="B822" s="4"/>
      <c r="C822" s="3"/>
      <c r="D822" s="4"/>
      <c r="E822" s="4"/>
      <c r="F822" s="4"/>
      <c r="G822" s="4"/>
      <c r="H822" s="4"/>
      <c r="I822" s="4"/>
      <c r="J822" s="4"/>
      <c r="K822" s="4"/>
      <c r="L822" s="4"/>
      <c r="M822" s="4"/>
      <c r="N822" s="4"/>
      <c r="O822" s="4"/>
      <c r="P822" s="4"/>
      <c r="Q822" s="4"/>
    </row>
    <row r="823" spans="1:17" ht="12.75" customHeight="1">
      <c r="A823" s="4"/>
      <c r="B823" s="4"/>
      <c r="C823" s="3"/>
      <c r="D823" s="4"/>
      <c r="E823" s="4"/>
      <c r="F823" s="4"/>
      <c r="G823" s="4"/>
      <c r="H823" s="4"/>
      <c r="I823" s="4"/>
      <c r="J823" s="4"/>
      <c r="K823" s="4"/>
      <c r="L823" s="4"/>
      <c r="M823" s="4"/>
      <c r="N823" s="4"/>
      <c r="O823" s="4"/>
      <c r="P823" s="4"/>
      <c r="Q823" s="4"/>
    </row>
    <row r="824" spans="1:17" ht="12.75" customHeight="1">
      <c r="A824" s="4"/>
      <c r="B824" s="4"/>
      <c r="C824" s="3"/>
      <c r="D824" s="4"/>
      <c r="E824" s="4"/>
      <c r="F824" s="4"/>
      <c r="G824" s="4"/>
      <c r="H824" s="4"/>
      <c r="I824" s="4"/>
      <c r="J824" s="4"/>
      <c r="K824" s="4"/>
      <c r="L824" s="4"/>
      <c r="M824" s="4"/>
      <c r="N824" s="4"/>
      <c r="O824" s="4"/>
      <c r="P824" s="4"/>
      <c r="Q824" s="4"/>
    </row>
    <row r="825" spans="1:17" ht="12.75" customHeight="1">
      <c r="A825" s="4"/>
      <c r="B825" s="4"/>
      <c r="C825" s="3"/>
      <c r="D825" s="4"/>
      <c r="E825" s="4"/>
      <c r="F825" s="4"/>
      <c r="G825" s="4"/>
      <c r="H825" s="4"/>
      <c r="I825" s="4"/>
      <c r="J825" s="4"/>
      <c r="K825" s="4"/>
      <c r="L825" s="4"/>
      <c r="M825" s="4"/>
      <c r="N825" s="4"/>
      <c r="O825" s="4"/>
      <c r="P825" s="4"/>
      <c r="Q825" s="4"/>
    </row>
    <row r="826" spans="1:17" ht="12.75" customHeight="1">
      <c r="A826" s="4"/>
      <c r="B826" s="4"/>
      <c r="C826" s="3"/>
      <c r="D826" s="4"/>
      <c r="E826" s="4"/>
      <c r="F826" s="4"/>
      <c r="G826" s="4"/>
      <c r="H826" s="4"/>
      <c r="I826" s="4"/>
      <c r="J826" s="4"/>
      <c r="K826" s="4"/>
      <c r="L826" s="4"/>
      <c r="M826" s="4"/>
      <c r="N826" s="4"/>
      <c r="O826" s="4"/>
      <c r="P826" s="4"/>
      <c r="Q826" s="4"/>
    </row>
    <row r="827" spans="1:17" ht="12.75" customHeight="1">
      <c r="A827" s="4"/>
      <c r="B827" s="4"/>
      <c r="C827" s="3"/>
      <c r="D827" s="4"/>
      <c r="E827" s="4"/>
      <c r="F827" s="4"/>
      <c r="G827" s="4"/>
      <c r="H827" s="4"/>
      <c r="I827" s="4"/>
      <c r="J827" s="4"/>
      <c r="K827" s="4"/>
      <c r="L827" s="4"/>
      <c r="M827" s="4"/>
      <c r="N827" s="4"/>
      <c r="O827" s="4"/>
      <c r="P827" s="4"/>
      <c r="Q827" s="4"/>
    </row>
    <row r="828" spans="1:17" ht="12.75" customHeight="1">
      <c r="A828" s="4"/>
      <c r="B828" s="4"/>
      <c r="C828" s="3"/>
      <c r="D828" s="4"/>
      <c r="E828" s="4"/>
      <c r="F828" s="4"/>
      <c r="G828" s="4"/>
      <c r="H828" s="4"/>
      <c r="I828" s="4"/>
      <c r="J828" s="4"/>
      <c r="K828" s="4"/>
      <c r="L828" s="4"/>
      <c r="M828" s="4"/>
      <c r="N828" s="4"/>
      <c r="O828" s="4"/>
      <c r="P828" s="4"/>
      <c r="Q828" s="4"/>
    </row>
    <row r="829" spans="1:17" ht="12.75" customHeight="1">
      <c r="A829" s="4"/>
      <c r="B829" s="4"/>
      <c r="C829" s="3"/>
      <c r="D829" s="4"/>
      <c r="E829" s="4"/>
      <c r="F829" s="4"/>
      <c r="G829" s="4"/>
      <c r="H829" s="4"/>
      <c r="I829" s="4"/>
      <c r="J829" s="4"/>
      <c r="K829" s="4"/>
      <c r="L829" s="4"/>
      <c r="M829" s="4"/>
      <c r="N829" s="4"/>
      <c r="O829" s="4"/>
      <c r="P829" s="4"/>
      <c r="Q829" s="4"/>
    </row>
    <row r="830" spans="1:17" ht="12.75" customHeight="1">
      <c r="A830" s="4"/>
      <c r="B830" s="4"/>
      <c r="C830" s="3"/>
      <c r="D830" s="4"/>
      <c r="E830" s="4"/>
      <c r="F830" s="4"/>
      <c r="G830" s="4"/>
      <c r="H830" s="4"/>
      <c r="I830" s="4"/>
      <c r="J830" s="4"/>
      <c r="K830" s="4"/>
      <c r="L830" s="4"/>
      <c r="M830" s="4"/>
      <c r="N830" s="4"/>
      <c r="O830" s="4"/>
      <c r="P830" s="4"/>
      <c r="Q830" s="4"/>
    </row>
    <row r="831" spans="1:17" ht="12.75" customHeight="1">
      <c r="A831" s="4"/>
      <c r="B831" s="4"/>
      <c r="C831" s="3"/>
      <c r="D831" s="4"/>
      <c r="E831" s="4"/>
      <c r="F831" s="4"/>
      <c r="G831" s="4"/>
      <c r="H831" s="4"/>
      <c r="I831" s="4"/>
      <c r="J831" s="4"/>
      <c r="K831" s="4"/>
      <c r="L831" s="4"/>
      <c r="M831" s="4"/>
      <c r="N831" s="4"/>
      <c r="O831" s="4"/>
      <c r="P831" s="4"/>
      <c r="Q831" s="4"/>
    </row>
    <row r="832" spans="1:17" ht="12.75" customHeight="1">
      <c r="A832" s="4"/>
      <c r="B832" s="4"/>
      <c r="C832" s="3"/>
      <c r="D832" s="4"/>
      <c r="E832" s="4"/>
      <c r="F832" s="4"/>
      <c r="G832" s="4"/>
      <c r="H832" s="4"/>
      <c r="I832" s="4"/>
      <c r="J832" s="4"/>
      <c r="K832" s="4"/>
      <c r="L832" s="4"/>
      <c r="M832" s="4"/>
      <c r="N832" s="4"/>
      <c r="O832" s="4"/>
      <c r="P832" s="4"/>
      <c r="Q832" s="4"/>
    </row>
    <row r="833" spans="1:17" ht="12.75" customHeight="1">
      <c r="A833" s="4"/>
      <c r="B833" s="4"/>
      <c r="C833" s="3"/>
      <c r="D833" s="4"/>
      <c r="E833" s="4"/>
      <c r="F833" s="4"/>
      <c r="G833" s="4"/>
      <c r="H833" s="4"/>
      <c r="I833" s="4"/>
      <c r="J833" s="4"/>
      <c r="K833" s="4"/>
      <c r="L833" s="4"/>
      <c r="M833" s="4"/>
      <c r="N833" s="4"/>
      <c r="O833" s="4"/>
      <c r="P833" s="4"/>
      <c r="Q833" s="4"/>
    </row>
    <row r="834" spans="1:17" ht="12.75" customHeight="1">
      <c r="A834" s="4"/>
      <c r="B834" s="4"/>
      <c r="C834" s="3"/>
      <c r="D834" s="4"/>
      <c r="E834" s="4"/>
      <c r="F834" s="4"/>
      <c r="G834" s="4"/>
      <c r="H834" s="4"/>
      <c r="I834" s="4"/>
      <c r="J834" s="4"/>
      <c r="K834" s="4"/>
      <c r="L834" s="4"/>
      <c r="M834" s="4"/>
      <c r="N834" s="4"/>
      <c r="O834" s="4"/>
      <c r="P834" s="4"/>
      <c r="Q834" s="4"/>
    </row>
    <row r="835" spans="1:17" ht="12.75" customHeight="1">
      <c r="A835" s="4"/>
      <c r="B835" s="4"/>
      <c r="C835" s="3"/>
      <c r="D835" s="4"/>
      <c r="E835" s="4"/>
      <c r="F835" s="4"/>
      <c r="G835" s="4"/>
      <c r="H835" s="4"/>
      <c r="I835" s="4"/>
      <c r="J835" s="4"/>
      <c r="K835" s="4"/>
      <c r="L835" s="4"/>
      <c r="M835" s="4"/>
      <c r="N835" s="4"/>
      <c r="O835" s="4"/>
      <c r="P835" s="4"/>
      <c r="Q835" s="4"/>
    </row>
    <row r="836" spans="1:17" ht="12.75" customHeight="1">
      <c r="A836" s="4"/>
      <c r="B836" s="4"/>
      <c r="C836" s="3"/>
      <c r="D836" s="4"/>
      <c r="E836" s="4"/>
      <c r="F836" s="4"/>
      <c r="G836" s="4"/>
      <c r="H836" s="4"/>
      <c r="I836" s="4"/>
      <c r="J836" s="4"/>
      <c r="K836" s="4"/>
      <c r="L836" s="4"/>
      <c r="M836" s="4"/>
      <c r="N836" s="4"/>
      <c r="O836" s="4"/>
      <c r="P836" s="4"/>
      <c r="Q836" s="4"/>
    </row>
    <row r="837" spans="1:17" ht="12.75" customHeight="1">
      <c r="A837" s="4"/>
      <c r="B837" s="4"/>
      <c r="C837" s="3"/>
      <c r="D837" s="4"/>
      <c r="E837" s="4"/>
      <c r="F837" s="4"/>
      <c r="G837" s="4"/>
      <c r="H837" s="4"/>
      <c r="I837" s="4"/>
      <c r="J837" s="4"/>
      <c r="K837" s="4"/>
      <c r="L837" s="4"/>
      <c r="M837" s="4"/>
      <c r="N837" s="4"/>
      <c r="O837" s="4"/>
      <c r="P837" s="4"/>
      <c r="Q837" s="4"/>
    </row>
    <row r="838" spans="1:17" ht="12.75" customHeight="1">
      <c r="A838" s="4"/>
      <c r="B838" s="4"/>
      <c r="C838" s="3"/>
      <c r="D838" s="4"/>
      <c r="E838" s="4"/>
      <c r="F838" s="4"/>
      <c r="G838" s="4"/>
      <c r="H838" s="4"/>
      <c r="I838" s="4"/>
      <c r="J838" s="4"/>
      <c r="K838" s="4"/>
      <c r="L838" s="4"/>
      <c r="M838" s="4"/>
      <c r="N838" s="4"/>
      <c r="O838" s="4"/>
      <c r="P838" s="4"/>
      <c r="Q838" s="4"/>
    </row>
    <row r="839" spans="1:17" ht="12.75" customHeight="1">
      <c r="A839" s="4"/>
      <c r="B839" s="4"/>
      <c r="C839" s="3"/>
      <c r="D839" s="4"/>
      <c r="E839" s="4"/>
      <c r="F839" s="4"/>
      <c r="G839" s="4"/>
      <c r="H839" s="4"/>
      <c r="I839" s="4"/>
      <c r="J839" s="4"/>
      <c r="K839" s="4"/>
      <c r="L839" s="4"/>
      <c r="M839" s="4"/>
      <c r="N839" s="4"/>
      <c r="O839" s="4"/>
      <c r="P839" s="4"/>
      <c r="Q839" s="4"/>
    </row>
    <row r="840" spans="1:17" ht="12.75" customHeight="1">
      <c r="A840" s="4"/>
      <c r="B840" s="4"/>
      <c r="C840" s="3"/>
      <c r="D840" s="4"/>
      <c r="E840" s="4"/>
      <c r="F840" s="4"/>
      <c r="G840" s="4"/>
      <c r="H840" s="4"/>
      <c r="I840" s="4"/>
      <c r="J840" s="4"/>
      <c r="K840" s="4"/>
      <c r="L840" s="4"/>
      <c r="M840" s="4"/>
      <c r="N840" s="4"/>
      <c r="O840" s="4"/>
      <c r="P840" s="4"/>
      <c r="Q840" s="4"/>
    </row>
    <row r="841" spans="1:17" ht="12.75" customHeight="1">
      <c r="A841" s="4"/>
      <c r="B841" s="4"/>
      <c r="C841" s="3"/>
      <c r="D841" s="4"/>
      <c r="E841" s="4"/>
      <c r="F841" s="4"/>
      <c r="G841" s="4"/>
      <c r="H841" s="4"/>
      <c r="I841" s="4"/>
      <c r="J841" s="4"/>
      <c r="K841" s="4"/>
      <c r="L841" s="4"/>
      <c r="M841" s="4"/>
      <c r="N841" s="4"/>
      <c r="O841" s="4"/>
      <c r="P841" s="4"/>
      <c r="Q841" s="4"/>
    </row>
    <row r="842" spans="1:17" ht="12.75" customHeight="1">
      <c r="A842" s="4"/>
      <c r="B842" s="4"/>
      <c r="C842" s="3"/>
      <c r="D842" s="4"/>
      <c r="E842" s="4"/>
      <c r="F842" s="4"/>
      <c r="G842" s="4"/>
      <c r="H842" s="4"/>
      <c r="I842" s="4"/>
      <c r="J842" s="4"/>
      <c r="K842" s="4"/>
      <c r="L842" s="4"/>
      <c r="M842" s="4"/>
      <c r="N842" s="4"/>
      <c r="O842" s="4"/>
      <c r="P842" s="4"/>
      <c r="Q842" s="4"/>
    </row>
    <row r="843" spans="1:17" ht="12.75" customHeight="1">
      <c r="A843" s="4"/>
      <c r="B843" s="4"/>
      <c r="C843" s="3"/>
      <c r="D843" s="4"/>
      <c r="E843" s="4"/>
      <c r="F843" s="4"/>
      <c r="G843" s="4"/>
      <c r="H843" s="4"/>
      <c r="I843" s="4"/>
      <c r="J843" s="4"/>
      <c r="K843" s="4"/>
      <c r="L843" s="4"/>
      <c r="M843" s="4"/>
      <c r="N843" s="4"/>
      <c r="O843" s="4"/>
      <c r="P843" s="4"/>
      <c r="Q843" s="4"/>
    </row>
    <row r="844" spans="1:17" ht="12.75" customHeight="1">
      <c r="A844" s="4"/>
      <c r="B844" s="4"/>
      <c r="C844" s="3"/>
      <c r="D844" s="4"/>
      <c r="E844" s="4"/>
      <c r="F844" s="4"/>
      <c r="G844" s="4"/>
      <c r="H844" s="4"/>
      <c r="I844" s="4"/>
      <c r="J844" s="4"/>
      <c r="K844" s="4"/>
      <c r="L844" s="4"/>
      <c r="M844" s="4"/>
      <c r="N844" s="4"/>
      <c r="O844" s="4"/>
      <c r="P844" s="4"/>
      <c r="Q844" s="4"/>
    </row>
    <row r="845" spans="1:17" ht="12.75" customHeight="1">
      <c r="A845" s="4"/>
      <c r="B845" s="4"/>
      <c r="C845" s="3"/>
      <c r="D845" s="4"/>
      <c r="E845" s="4"/>
      <c r="F845" s="4"/>
      <c r="G845" s="4"/>
      <c r="H845" s="4"/>
      <c r="I845" s="4"/>
      <c r="J845" s="4"/>
      <c r="K845" s="4"/>
      <c r="L845" s="4"/>
      <c r="M845" s="4"/>
      <c r="N845" s="4"/>
      <c r="O845" s="4"/>
      <c r="P845" s="4"/>
      <c r="Q845" s="4"/>
    </row>
    <row r="846" spans="1:17" ht="12.75" customHeight="1">
      <c r="A846" s="4"/>
      <c r="B846" s="4"/>
      <c r="C846" s="3"/>
      <c r="D846" s="4"/>
      <c r="E846" s="4"/>
      <c r="F846" s="4"/>
      <c r="G846" s="4"/>
      <c r="H846" s="4"/>
      <c r="I846" s="4"/>
      <c r="J846" s="4"/>
      <c r="K846" s="4"/>
      <c r="L846" s="4"/>
      <c r="M846" s="4"/>
      <c r="N846" s="4"/>
      <c r="O846" s="4"/>
      <c r="P846" s="4"/>
      <c r="Q846" s="4"/>
    </row>
    <row r="847" spans="1:17" ht="12.75" customHeight="1">
      <c r="A847" s="4"/>
      <c r="B847" s="4"/>
      <c r="C847" s="3"/>
      <c r="D847" s="4"/>
      <c r="E847" s="4"/>
      <c r="F847" s="4"/>
      <c r="G847" s="4"/>
      <c r="H847" s="4"/>
      <c r="I847" s="4"/>
      <c r="J847" s="4"/>
      <c r="K847" s="4"/>
      <c r="L847" s="4"/>
      <c r="M847" s="4"/>
      <c r="N847" s="4"/>
      <c r="O847" s="4"/>
      <c r="P847" s="4"/>
      <c r="Q847" s="4"/>
    </row>
    <row r="848" spans="1:17" ht="12.75" customHeight="1">
      <c r="A848" s="4"/>
      <c r="B848" s="4"/>
      <c r="C848" s="3"/>
      <c r="D848" s="4"/>
      <c r="E848" s="4"/>
      <c r="F848" s="4"/>
      <c r="G848" s="4"/>
      <c r="H848" s="4"/>
      <c r="I848" s="4"/>
      <c r="J848" s="4"/>
      <c r="K848" s="4"/>
      <c r="L848" s="4"/>
      <c r="M848" s="4"/>
      <c r="N848" s="4"/>
      <c r="O848" s="4"/>
      <c r="P848" s="4"/>
      <c r="Q848" s="4"/>
    </row>
    <row r="849" spans="1:17" ht="12.75" customHeight="1">
      <c r="A849" s="4"/>
      <c r="B849" s="4"/>
      <c r="C849" s="3"/>
      <c r="D849" s="4"/>
      <c r="E849" s="4"/>
      <c r="F849" s="4"/>
      <c r="G849" s="4"/>
      <c r="H849" s="4"/>
      <c r="I849" s="4"/>
      <c r="J849" s="4"/>
      <c r="K849" s="4"/>
      <c r="L849" s="4"/>
      <c r="M849" s="4"/>
      <c r="N849" s="4"/>
      <c r="O849" s="4"/>
      <c r="P849" s="4"/>
      <c r="Q849" s="4"/>
    </row>
    <row r="850" spans="1:17" ht="12.75" customHeight="1">
      <c r="A850" s="4"/>
      <c r="B850" s="4"/>
      <c r="C850" s="3"/>
      <c r="D850" s="4"/>
      <c r="E850" s="4"/>
      <c r="F850" s="4"/>
      <c r="G850" s="4"/>
      <c r="H850" s="4"/>
      <c r="I850" s="4"/>
      <c r="J850" s="4"/>
      <c r="K850" s="4"/>
      <c r="L850" s="4"/>
      <c r="M850" s="4"/>
      <c r="N850" s="4"/>
      <c r="O850" s="4"/>
      <c r="P850" s="4"/>
      <c r="Q850" s="4"/>
    </row>
    <row r="851" spans="1:17" ht="12.75" customHeight="1">
      <c r="A851" s="4"/>
      <c r="B851" s="4"/>
      <c r="C851" s="3"/>
      <c r="D851" s="4"/>
      <c r="E851" s="4"/>
      <c r="F851" s="4"/>
      <c r="G851" s="4"/>
      <c r="H851" s="4"/>
      <c r="I851" s="4"/>
      <c r="J851" s="4"/>
      <c r="K851" s="4"/>
      <c r="L851" s="4"/>
      <c r="M851" s="4"/>
      <c r="N851" s="4"/>
      <c r="O851" s="4"/>
      <c r="P851" s="4"/>
      <c r="Q851" s="4"/>
    </row>
    <row r="852" spans="1:17" ht="12.75" customHeight="1">
      <c r="A852" s="4"/>
      <c r="B852" s="4"/>
      <c r="C852" s="3"/>
      <c r="D852" s="4"/>
      <c r="E852" s="4"/>
      <c r="F852" s="4"/>
      <c r="G852" s="4"/>
      <c r="H852" s="4"/>
      <c r="I852" s="4"/>
      <c r="J852" s="4"/>
      <c r="K852" s="4"/>
      <c r="L852" s="4"/>
      <c r="M852" s="4"/>
      <c r="N852" s="4"/>
      <c r="O852" s="4"/>
      <c r="P852" s="4"/>
      <c r="Q852" s="4"/>
    </row>
    <row r="853" spans="1:17" ht="12.75" customHeight="1">
      <c r="A853" s="4"/>
      <c r="B853" s="4"/>
      <c r="C853" s="3"/>
      <c r="D853" s="4"/>
      <c r="E853" s="4"/>
      <c r="F853" s="4"/>
      <c r="G853" s="4"/>
      <c r="H853" s="4"/>
      <c r="I853" s="4"/>
      <c r="J853" s="4"/>
      <c r="K853" s="4"/>
      <c r="L853" s="4"/>
      <c r="M853" s="4"/>
      <c r="N853" s="4"/>
      <c r="O853" s="4"/>
      <c r="P853" s="4"/>
      <c r="Q853" s="4"/>
    </row>
    <row r="854" spans="1:17" ht="12.75" customHeight="1">
      <c r="A854" s="4"/>
      <c r="B854" s="4"/>
      <c r="C854" s="3"/>
      <c r="D854" s="4"/>
      <c r="E854" s="4"/>
      <c r="F854" s="4"/>
      <c r="G854" s="4"/>
      <c r="H854" s="4"/>
      <c r="I854" s="4"/>
      <c r="J854" s="4"/>
      <c r="K854" s="4"/>
      <c r="L854" s="4"/>
      <c r="M854" s="4"/>
      <c r="N854" s="4"/>
      <c r="O854" s="4"/>
      <c r="P854" s="4"/>
      <c r="Q854" s="4"/>
    </row>
    <row r="855" spans="1:17" ht="12.75" customHeight="1">
      <c r="A855" s="4"/>
      <c r="B855" s="4"/>
      <c r="C855" s="3"/>
      <c r="D855" s="4"/>
      <c r="E855" s="4"/>
      <c r="F855" s="4"/>
      <c r="G855" s="4"/>
      <c r="H855" s="4"/>
      <c r="I855" s="4"/>
      <c r="J855" s="4"/>
      <c r="K855" s="4"/>
      <c r="L855" s="4"/>
      <c r="M855" s="4"/>
      <c r="N855" s="4"/>
      <c r="O855" s="4"/>
      <c r="P855" s="4"/>
      <c r="Q855" s="4"/>
    </row>
    <row r="856" spans="1:17" ht="12.75" customHeight="1">
      <c r="A856" s="4"/>
      <c r="B856" s="4"/>
      <c r="C856" s="3"/>
      <c r="D856" s="4"/>
      <c r="E856" s="4"/>
      <c r="F856" s="4"/>
      <c r="G856" s="4"/>
      <c r="H856" s="4"/>
      <c r="I856" s="4"/>
      <c r="J856" s="4"/>
      <c r="K856" s="4"/>
      <c r="L856" s="4"/>
      <c r="M856" s="4"/>
      <c r="N856" s="4"/>
      <c r="O856" s="4"/>
      <c r="P856" s="4"/>
      <c r="Q856" s="4"/>
    </row>
    <row r="857" spans="1:17" ht="12.75" customHeight="1">
      <c r="A857" s="4"/>
      <c r="B857" s="4"/>
      <c r="C857" s="3"/>
      <c r="D857" s="4"/>
      <c r="E857" s="4"/>
      <c r="F857" s="4"/>
      <c r="G857" s="4"/>
      <c r="H857" s="4"/>
      <c r="I857" s="4"/>
      <c r="J857" s="4"/>
      <c r="K857" s="4"/>
      <c r="L857" s="4"/>
      <c r="M857" s="4"/>
      <c r="N857" s="4"/>
      <c r="O857" s="4"/>
      <c r="P857" s="4"/>
      <c r="Q857" s="4"/>
    </row>
    <row r="858" spans="1:17" ht="12.75" customHeight="1">
      <c r="A858" s="4"/>
      <c r="B858" s="4"/>
      <c r="C858" s="3"/>
      <c r="D858" s="4"/>
      <c r="E858" s="4"/>
      <c r="F858" s="4"/>
      <c r="G858" s="4"/>
      <c r="H858" s="4"/>
      <c r="I858" s="4"/>
      <c r="J858" s="4"/>
      <c r="K858" s="4"/>
      <c r="L858" s="4"/>
      <c r="M858" s="4"/>
      <c r="N858" s="4"/>
      <c r="O858" s="4"/>
      <c r="P858" s="4"/>
      <c r="Q858" s="4"/>
    </row>
    <row r="859" spans="1:17" ht="12.75" customHeight="1">
      <c r="A859" s="4"/>
      <c r="B859" s="4"/>
      <c r="C859" s="3"/>
      <c r="D859" s="4"/>
      <c r="E859" s="4"/>
      <c r="F859" s="4"/>
      <c r="G859" s="4"/>
      <c r="H859" s="4"/>
      <c r="I859" s="4"/>
      <c r="J859" s="4"/>
      <c r="K859" s="4"/>
      <c r="L859" s="4"/>
      <c r="M859" s="4"/>
      <c r="N859" s="4"/>
      <c r="O859" s="4"/>
      <c r="P859" s="4"/>
      <c r="Q859" s="4"/>
    </row>
    <row r="860" spans="1:17" ht="12.75" customHeight="1">
      <c r="A860" s="4"/>
      <c r="B860" s="4"/>
      <c r="C860" s="3"/>
      <c r="D860" s="4"/>
      <c r="E860" s="4"/>
      <c r="F860" s="4"/>
      <c r="G860" s="4"/>
      <c r="H860" s="4"/>
      <c r="I860" s="4"/>
      <c r="J860" s="4"/>
      <c r="K860" s="4"/>
      <c r="L860" s="4"/>
      <c r="M860" s="4"/>
      <c r="N860" s="4"/>
      <c r="O860" s="4"/>
      <c r="P860" s="4"/>
      <c r="Q860" s="4"/>
    </row>
    <row r="861" spans="1:17" ht="12.75" customHeight="1">
      <c r="A861" s="4"/>
      <c r="B861" s="4"/>
      <c r="C861" s="3"/>
      <c r="D861" s="4"/>
      <c r="E861" s="4"/>
      <c r="F861" s="4"/>
      <c r="G861" s="4"/>
      <c r="H861" s="4"/>
      <c r="I861" s="4"/>
      <c r="J861" s="4"/>
      <c r="K861" s="4"/>
      <c r="L861" s="4"/>
      <c r="M861" s="4"/>
      <c r="N861" s="4"/>
      <c r="O861" s="4"/>
      <c r="P861" s="4"/>
      <c r="Q861" s="4"/>
    </row>
    <row r="862" spans="1:17" ht="12.75" customHeight="1">
      <c r="A862" s="4"/>
      <c r="B862" s="4"/>
      <c r="C862" s="3"/>
      <c r="D862" s="4"/>
      <c r="E862" s="4"/>
      <c r="F862" s="4"/>
      <c r="G862" s="4"/>
      <c r="H862" s="4"/>
      <c r="I862" s="4"/>
      <c r="J862" s="4"/>
      <c r="K862" s="4"/>
      <c r="L862" s="4"/>
      <c r="M862" s="4"/>
      <c r="N862" s="4"/>
      <c r="O862" s="4"/>
      <c r="P862" s="4"/>
      <c r="Q862" s="4"/>
    </row>
    <row r="863" spans="1:17" ht="12.75" customHeight="1">
      <c r="A863" s="4"/>
      <c r="B863" s="4"/>
      <c r="C863" s="3"/>
      <c r="D863" s="4"/>
      <c r="E863" s="4"/>
      <c r="F863" s="4"/>
      <c r="G863" s="4"/>
      <c r="H863" s="4"/>
      <c r="I863" s="4"/>
      <c r="J863" s="4"/>
      <c r="K863" s="4"/>
      <c r="L863" s="4"/>
      <c r="M863" s="4"/>
      <c r="N863" s="4"/>
      <c r="O863" s="4"/>
      <c r="P863" s="4"/>
      <c r="Q863" s="4"/>
    </row>
    <row r="864" spans="1:17" ht="12.75" customHeight="1">
      <c r="A864" s="4"/>
      <c r="B864" s="4"/>
      <c r="C864" s="3"/>
      <c r="D864" s="4"/>
      <c r="E864" s="4"/>
      <c r="F864" s="4"/>
      <c r="G864" s="4"/>
      <c r="H864" s="4"/>
      <c r="I864" s="4"/>
      <c r="J864" s="4"/>
      <c r="K864" s="4"/>
      <c r="L864" s="4"/>
      <c r="M864" s="4"/>
      <c r="N864" s="4"/>
      <c r="O864" s="4"/>
      <c r="P864" s="4"/>
      <c r="Q864" s="4"/>
    </row>
    <row r="865" spans="1:17" ht="12.75" customHeight="1">
      <c r="A865" s="4"/>
      <c r="B865" s="4"/>
      <c r="C865" s="3"/>
      <c r="D865" s="4"/>
      <c r="E865" s="4"/>
      <c r="F865" s="4"/>
      <c r="G865" s="4"/>
      <c r="H865" s="4"/>
      <c r="I865" s="4"/>
      <c r="J865" s="4"/>
      <c r="K865" s="4"/>
      <c r="L865" s="4"/>
      <c r="M865" s="4"/>
      <c r="N865" s="4"/>
      <c r="O865" s="4"/>
      <c r="P865" s="4"/>
      <c r="Q865" s="4"/>
    </row>
    <row r="866" spans="1:17" ht="12.75" customHeight="1">
      <c r="A866" s="4"/>
      <c r="B866" s="4"/>
      <c r="C866" s="3"/>
      <c r="D866" s="4"/>
      <c r="E866" s="4"/>
      <c r="F866" s="4"/>
      <c r="G866" s="4"/>
      <c r="H866" s="4"/>
      <c r="I866" s="4"/>
      <c r="J866" s="4"/>
      <c r="K866" s="4"/>
      <c r="L866" s="4"/>
      <c r="M866" s="4"/>
      <c r="N866" s="4"/>
      <c r="O866" s="4"/>
      <c r="P866" s="4"/>
      <c r="Q866" s="4"/>
    </row>
    <row r="867" spans="1:17" ht="12.75" customHeight="1">
      <c r="A867" s="4"/>
      <c r="B867" s="4"/>
      <c r="C867" s="3"/>
      <c r="D867" s="4"/>
      <c r="E867" s="4"/>
      <c r="F867" s="4"/>
      <c r="G867" s="4"/>
      <c r="H867" s="4"/>
      <c r="I867" s="4"/>
      <c r="J867" s="4"/>
      <c r="K867" s="4"/>
      <c r="L867" s="4"/>
      <c r="M867" s="4"/>
      <c r="N867" s="4"/>
      <c r="O867" s="4"/>
      <c r="P867" s="4"/>
      <c r="Q867" s="4"/>
    </row>
    <row r="868" spans="1:17" ht="12.75" customHeight="1">
      <c r="A868" s="4"/>
      <c r="B868" s="4"/>
      <c r="C868" s="3"/>
      <c r="D868" s="4"/>
      <c r="E868" s="4"/>
      <c r="F868" s="4"/>
      <c r="G868" s="4"/>
      <c r="H868" s="4"/>
      <c r="I868" s="4"/>
      <c r="J868" s="4"/>
      <c r="K868" s="4"/>
      <c r="L868" s="4"/>
      <c r="M868" s="4"/>
      <c r="N868" s="4"/>
      <c r="O868" s="4"/>
      <c r="P868" s="4"/>
      <c r="Q868" s="4"/>
    </row>
    <row r="869" spans="1:17" ht="12.75" customHeight="1">
      <c r="A869" s="4"/>
      <c r="B869" s="4"/>
      <c r="C869" s="3"/>
      <c r="D869" s="4"/>
      <c r="E869" s="4"/>
      <c r="F869" s="4"/>
      <c r="G869" s="4"/>
      <c r="H869" s="4"/>
      <c r="I869" s="4"/>
      <c r="J869" s="4"/>
      <c r="K869" s="4"/>
      <c r="L869" s="4"/>
      <c r="M869" s="4"/>
      <c r="N869" s="4"/>
      <c r="O869" s="4"/>
      <c r="P869" s="4"/>
      <c r="Q869" s="4"/>
    </row>
    <row r="870" spans="1:17" ht="12.75" customHeight="1">
      <c r="A870" s="4"/>
      <c r="B870" s="4"/>
      <c r="C870" s="3"/>
      <c r="D870" s="4"/>
      <c r="E870" s="4"/>
      <c r="F870" s="4"/>
      <c r="G870" s="4"/>
      <c r="H870" s="4"/>
      <c r="I870" s="4"/>
      <c r="J870" s="4"/>
      <c r="K870" s="4"/>
      <c r="L870" s="4"/>
      <c r="M870" s="4"/>
      <c r="N870" s="4"/>
      <c r="O870" s="4"/>
      <c r="P870" s="4"/>
      <c r="Q870" s="4"/>
    </row>
    <row r="871" spans="1:17" ht="12.75" customHeight="1">
      <c r="A871" s="4"/>
      <c r="B871" s="4"/>
      <c r="C871" s="3"/>
      <c r="D871" s="4"/>
      <c r="E871" s="4"/>
      <c r="F871" s="4"/>
      <c r="G871" s="4"/>
      <c r="H871" s="4"/>
      <c r="I871" s="4"/>
      <c r="J871" s="4"/>
      <c r="K871" s="4"/>
      <c r="L871" s="4"/>
      <c r="M871" s="4"/>
      <c r="N871" s="4"/>
      <c r="O871" s="4"/>
      <c r="P871" s="4"/>
      <c r="Q871" s="4"/>
    </row>
    <row r="872" spans="1:17" ht="12.75" customHeight="1">
      <c r="A872" s="4"/>
      <c r="B872" s="4"/>
      <c r="C872" s="3"/>
      <c r="D872" s="4"/>
      <c r="E872" s="4"/>
      <c r="F872" s="4"/>
      <c r="G872" s="4"/>
      <c r="H872" s="4"/>
      <c r="I872" s="4"/>
      <c r="J872" s="4"/>
      <c r="K872" s="4"/>
      <c r="L872" s="4"/>
      <c r="M872" s="4"/>
      <c r="N872" s="4"/>
      <c r="O872" s="4"/>
      <c r="P872" s="4"/>
      <c r="Q872" s="4"/>
    </row>
    <row r="873" spans="1:17" ht="12.75" customHeight="1">
      <c r="A873" s="4"/>
      <c r="B873" s="4"/>
      <c r="C873" s="3"/>
      <c r="D873" s="4"/>
      <c r="E873" s="4"/>
      <c r="F873" s="4"/>
      <c r="G873" s="4"/>
      <c r="H873" s="4"/>
      <c r="I873" s="4"/>
      <c r="J873" s="4"/>
      <c r="K873" s="4"/>
      <c r="L873" s="4"/>
      <c r="M873" s="4"/>
      <c r="N873" s="4"/>
      <c r="O873" s="4"/>
      <c r="P873" s="4"/>
      <c r="Q873" s="4"/>
    </row>
    <row r="874" spans="1:17" ht="12.75" customHeight="1">
      <c r="A874" s="4"/>
      <c r="B874" s="4"/>
      <c r="C874" s="3"/>
      <c r="D874" s="4"/>
      <c r="E874" s="4"/>
      <c r="F874" s="4"/>
      <c r="G874" s="4"/>
      <c r="H874" s="4"/>
      <c r="I874" s="4"/>
      <c r="J874" s="4"/>
      <c r="K874" s="4"/>
      <c r="L874" s="4"/>
      <c r="M874" s="4"/>
      <c r="N874" s="4"/>
      <c r="O874" s="4"/>
      <c r="P874" s="4"/>
      <c r="Q874" s="4"/>
    </row>
    <row r="875" spans="1:17" ht="12.75" customHeight="1">
      <c r="A875" s="4"/>
      <c r="B875" s="4"/>
      <c r="C875" s="3"/>
      <c r="D875" s="4"/>
      <c r="E875" s="4"/>
      <c r="F875" s="4"/>
      <c r="G875" s="4"/>
      <c r="H875" s="4"/>
      <c r="I875" s="4"/>
      <c r="J875" s="4"/>
      <c r="K875" s="4"/>
      <c r="L875" s="4"/>
      <c r="M875" s="4"/>
      <c r="N875" s="4"/>
      <c r="O875" s="4"/>
      <c r="P875" s="4"/>
      <c r="Q875" s="4"/>
    </row>
    <row r="876" spans="1:17" ht="12.75" customHeight="1">
      <c r="A876" s="4"/>
      <c r="B876" s="4"/>
      <c r="C876" s="3"/>
      <c r="D876" s="4"/>
      <c r="E876" s="4"/>
      <c r="F876" s="4"/>
      <c r="G876" s="4"/>
      <c r="H876" s="4"/>
      <c r="I876" s="4"/>
      <c r="J876" s="4"/>
      <c r="K876" s="4"/>
      <c r="L876" s="4"/>
      <c r="M876" s="4"/>
      <c r="N876" s="4"/>
      <c r="O876" s="4"/>
      <c r="P876" s="4"/>
      <c r="Q876" s="4"/>
    </row>
    <row r="877" spans="1:17" ht="12.75" customHeight="1">
      <c r="A877" s="4"/>
      <c r="B877" s="4"/>
      <c r="C877" s="3"/>
      <c r="D877" s="4"/>
      <c r="E877" s="4"/>
      <c r="F877" s="4"/>
      <c r="G877" s="4"/>
      <c r="H877" s="4"/>
      <c r="I877" s="4"/>
      <c r="J877" s="4"/>
      <c r="K877" s="4"/>
      <c r="L877" s="4"/>
      <c r="M877" s="4"/>
      <c r="N877" s="4"/>
      <c r="O877" s="4"/>
      <c r="P877" s="4"/>
      <c r="Q877" s="4"/>
    </row>
    <row r="878" spans="1:17" ht="12.75" customHeight="1">
      <c r="A878" s="4"/>
      <c r="B878" s="4"/>
      <c r="C878" s="3"/>
      <c r="D878" s="4"/>
      <c r="E878" s="4"/>
      <c r="F878" s="4"/>
      <c r="G878" s="4"/>
      <c r="H878" s="4"/>
      <c r="I878" s="4"/>
      <c r="J878" s="4"/>
      <c r="K878" s="4"/>
      <c r="L878" s="4"/>
      <c r="M878" s="4"/>
      <c r="N878" s="4"/>
      <c r="O878" s="4"/>
      <c r="P878" s="4"/>
      <c r="Q878" s="4"/>
    </row>
    <row r="879" spans="1:17" ht="12.75" customHeight="1">
      <c r="A879" s="4"/>
      <c r="B879" s="4"/>
      <c r="C879" s="3"/>
      <c r="D879" s="4"/>
      <c r="E879" s="4"/>
      <c r="F879" s="4"/>
      <c r="G879" s="4"/>
      <c r="H879" s="4"/>
      <c r="I879" s="4"/>
      <c r="J879" s="4"/>
      <c r="K879" s="4"/>
      <c r="L879" s="4"/>
      <c r="M879" s="4"/>
      <c r="N879" s="4"/>
      <c r="O879" s="4"/>
      <c r="P879" s="4"/>
      <c r="Q879" s="4"/>
    </row>
    <row r="880" spans="1:17" ht="12.75" customHeight="1">
      <c r="A880" s="4"/>
      <c r="B880" s="4"/>
      <c r="C880" s="3"/>
      <c r="D880" s="4"/>
      <c r="E880" s="4"/>
      <c r="F880" s="4"/>
      <c r="G880" s="4"/>
      <c r="H880" s="4"/>
      <c r="I880" s="4"/>
      <c r="J880" s="4"/>
      <c r="K880" s="4"/>
      <c r="L880" s="4"/>
      <c r="M880" s="4"/>
      <c r="N880" s="4"/>
      <c r="O880" s="4"/>
      <c r="P880" s="4"/>
      <c r="Q880" s="4"/>
    </row>
    <row r="881" spans="1:17" ht="12.75" customHeight="1">
      <c r="A881" s="4"/>
      <c r="B881" s="4"/>
      <c r="C881" s="3"/>
      <c r="D881" s="4"/>
      <c r="E881" s="4"/>
      <c r="F881" s="4"/>
      <c r="G881" s="4"/>
      <c r="H881" s="4"/>
      <c r="I881" s="4"/>
      <c r="J881" s="4"/>
      <c r="K881" s="4"/>
      <c r="L881" s="4"/>
      <c r="M881" s="4"/>
      <c r="N881" s="4"/>
      <c r="O881" s="4"/>
      <c r="P881" s="4"/>
      <c r="Q881" s="4"/>
    </row>
    <row r="882" spans="1:17" ht="12.75" customHeight="1">
      <c r="A882" s="4"/>
      <c r="B882" s="4"/>
      <c r="C882" s="3"/>
      <c r="D882" s="4"/>
      <c r="E882" s="4"/>
      <c r="F882" s="4"/>
      <c r="G882" s="4"/>
      <c r="H882" s="4"/>
      <c r="I882" s="4"/>
      <c r="J882" s="4"/>
      <c r="K882" s="4"/>
      <c r="L882" s="4"/>
      <c r="M882" s="4"/>
      <c r="N882" s="4"/>
      <c r="O882" s="4"/>
      <c r="P882" s="4"/>
      <c r="Q882" s="4"/>
    </row>
    <row r="883" spans="1:17" ht="12.75" customHeight="1">
      <c r="A883" s="4"/>
      <c r="B883" s="4"/>
      <c r="C883" s="3"/>
      <c r="D883" s="4"/>
      <c r="E883" s="4"/>
      <c r="F883" s="4"/>
      <c r="G883" s="4"/>
      <c r="H883" s="4"/>
      <c r="I883" s="4"/>
      <c r="J883" s="4"/>
      <c r="K883" s="4"/>
      <c r="L883" s="4"/>
      <c r="M883" s="4"/>
      <c r="N883" s="4"/>
      <c r="O883" s="4"/>
      <c r="P883" s="4"/>
      <c r="Q883" s="4"/>
    </row>
    <row r="884" spans="1:17" ht="12.75" customHeight="1">
      <c r="A884" s="4"/>
      <c r="B884" s="4"/>
      <c r="C884" s="3"/>
      <c r="D884" s="4"/>
      <c r="E884" s="4"/>
      <c r="F884" s="4"/>
      <c r="G884" s="4"/>
      <c r="H884" s="4"/>
      <c r="I884" s="4"/>
      <c r="J884" s="4"/>
      <c r="K884" s="4"/>
      <c r="L884" s="4"/>
      <c r="M884" s="4"/>
      <c r="N884" s="4"/>
      <c r="O884" s="4"/>
      <c r="P884" s="4"/>
      <c r="Q884" s="4"/>
    </row>
    <row r="885" spans="1:17" ht="12.75" customHeight="1">
      <c r="A885" s="4"/>
      <c r="B885" s="4"/>
      <c r="C885" s="3"/>
      <c r="D885" s="4"/>
      <c r="E885" s="4"/>
      <c r="F885" s="4"/>
      <c r="G885" s="4"/>
      <c r="H885" s="4"/>
      <c r="I885" s="4"/>
      <c r="J885" s="4"/>
      <c r="K885" s="4"/>
      <c r="L885" s="4"/>
      <c r="M885" s="4"/>
      <c r="N885" s="4"/>
      <c r="O885" s="4"/>
      <c r="P885" s="4"/>
      <c r="Q885" s="4"/>
    </row>
    <row r="886" spans="1:17" ht="12.75" customHeight="1">
      <c r="A886" s="4"/>
      <c r="B886" s="4"/>
      <c r="C886" s="3"/>
      <c r="D886" s="4"/>
      <c r="E886" s="4"/>
      <c r="F886" s="4"/>
      <c r="G886" s="4"/>
      <c r="H886" s="4"/>
      <c r="I886" s="4"/>
      <c r="J886" s="4"/>
      <c r="K886" s="4"/>
      <c r="L886" s="4"/>
      <c r="M886" s="4"/>
      <c r="N886" s="4"/>
      <c r="O886" s="4"/>
      <c r="P886" s="4"/>
      <c r="Q886" s="4"/>
    </row>
    <row r="887" spans="1:17" ht="12.75" customHeight="1">
      <c r="A887" s="4"/>
      <c r="B887" s="4"/>
      <c r="C887" s="3"/>
      <c r="D887" s="4"/>
      <c r="E887" s="4"/>
      <c r="F887" s="4"/>
      <c r="G887" s="4"/>
      <c r="H887" s="4"/>
      <c r="I887" s="4"/>
      <c r="J887" s="4"/>
      <c r="K887" s="4"/>
      <c r="L887" s="4"/>
      <c r="M887" s="4"/>
      <c r="N887" s="4"/>
      <c r="O887" s="4"/>
      <c r="P887" s="4"/>
      <c r="Q887" s="4"/>
    </row>
    <row r="888" spans="1:17" ht="12.75" customHeight="1">
      <c r="A888" s="4"/>
      <c r="B888" s="4"/>
      <c r="C888" s="3"/>
      <c r="D888" s="4"/>
      <c r="E888" s="4"/>
      <c r="F888" s="4"/>
      <c r="G888" s="4"/>
      <c r="H888" s="4"/>
      <c r="I888" s="4"/>
      <c r="J888" s="4"/>
      <c r="K888" s="4"/>
      <c r="L888" s="4"/>
      <c r="M888" s="4"/>
      <c r="N888" s="4"/>
      <c r="O888" s="4"/>
      <c r="P888" s="4"/>
      <c r="Q888" s="4"/>
    </row>
    <row r="889" spans="1:17" ht="12.75" customHeight="1">
      <c r="A889" s="4"/>
      <c r="B889" s="4"/>
      <c r="C889" s="3"/>
      <c r="D889" s="4"/>
      <c r="E889" s="4"/>
      <c r="F889" s="4"/>
      <c r="G889" s="4"/>
      <c r="H889" s="4"/>
      <c r="I889" s="4"/>
      <c r="J889" s="4"/>
      <c r="K889" s="4"/>
      <c r="L889" s="4"/>
      <c r="M889" s="4"/>
      <c r="N889" s="4"/>
      <c r="O889" s="4"/>
      <c r="P889" s="4"/>
      <c r="Q889" s="4"/>
    </row>
    <row r="890" spans="1:17" ht="12.75" customHeight="1">
      <c r="A890" s="4"/>
      <c r="B890" s="4"/>
      <c r="C890" s="3"/>
      <c r="D890" s="4"/>
      <c r="E890" s="4"/>
      <c r="F890" s="4"/>
      <c r="G890" s="4"/>
      <c r="H890" s="4"/>
      <c r="I890" s="4"/>
      <c r="J890" s="4"/>
      <c r="K890" s="4"/>
      <c r="L890" s="4"/>
      <c r="M890" s="4"/>
      <c r="N890" s="4"/>
      <c r="O890" s="4"/>
      <c r="P890" s="4"/>
      <c r="Q890" s="4"/>
    </row>
    <row r="891" spans="1:17" ht="12.75" customHeight="1">
      <c r="A891" s="4"/>
      <c r="B891" s="4"/>
      <c r="C891" s="3"/>
      <c r="D891" s="4"/>
      <c r="E891" s="4"/>
      <c r="F891" s="4"/>
      <c r="G891" s="4"/>
      <c r="H891" s="4"/>
      <c r="I891" s="4"/>
      <c r="J891" s="4"/>
      <c r="K891" s="4"/>
      <c r="L891" s="4"/>
      <c r="M891" s="4"/>
      <c r="N891" s="4"/>
      <c r="O891" s="4"/>
      <c r="P891" s="4"/>
      <c r="Q891" s="4"/>
    </row>
    <row r="892" spans="1:17" ht="12.75" customHeight="1">
      <c r="A892" s="4"/>
      <c r="B892" s="4"/>
      <c r="C892" s="3"/>
      <c r="D892" s="4"/>
      <c r="E892" s="4"/>
      <c r="F892" s="4"/>
      <c r="G892" s="4"/>
      <c r="H892" s="4"/>
      <c r="I892" s="4"/>
      <c r="J892" s="4"/>
      <c r="K892" s="4"/>
      <c r="L892" s="4"/>
      <c r="M892" s="4"/>
      <c r="N892" s="4"/>
      <c r="O892" s="4"/>
      <c r="P892" s="4"/>
      <c r="Q892" s="4"/>
    </row>
    <row r="893" spans="1:17" ht="12.75" customHeight="1">
      <c r="A893" s="4"/>
      <c r="B893" s="4"/>
      <c r="C893" s="3"/>
      <c r="D893" s="4"/>
      <c r="E893" s="4"/>
      <c r="F893" s="4"/>
      <c r="G893" s="4"/>
      <c r="H893" s="4"/>
      <c r="I893" s="4"/>
      <c r="J893" s="4"/>
      <c r="K893" s="4"/>
      <c r="L893" s="4"/>
      <c r="M893" s="4"/>
      <c r="N893" s="4"/>
      <c r="O893" s="4"/>
      <c r="P893" s="4"/>
      <c r="Q893" s="4"/>
    </row>
    <row r="894" spans="1:17" ht="12.75" customHeight="1">
      <c r="A894" s="4"/>
      <c r="B894" s="4"/>
      <c r="C894" s="3"/>
      <c r="D894" s="4"/>
      <c r="E894" s="4"/>
      <c r="F894" s="4"/>
      <c r="G894" s="4"/>
      <c r="H894" s="4"/>
      <c r="I894" s="4"/>
      <c r="J894" s="4"/>
      <c r="K894" s="4"/>
      <c r="L894" s="4"/>
      <c r="M894" s="4"/>
      <c r="N894" s="4"/>
      <c r="O894" s="4"/>
      <c r="P894" s="4"/>
      <c r="Q894" s="4"/>
    </row>
    <row r="895" spans="1:17" ht="12.75" customHeight="1">
      <c r="A895" s="4"/>
      <c r="B895" s="4"/>
      <c r="C895" s="3"/>
      <c r="D895" s="4"/>
      <c r="E895" s="4"/>
      <c r="F895" s="4"/>
      <c r="G895" s="4"/>
      <c r="H895" s="4"/>
      <c r="I895" s="4"/>
      <c r="J895" s="4"/>
      <c r="K895" s="4"/>
      <c r="L895" s="4"/>
      <c r="M895" s="4"/>
      <c r="N895" s="4"/>
      <c r="O895" s="4"/>
      <c r="P895" s="4"/>
      <c r="Q895" s="4"/>
    </row>
    <row r="896" spans="1:17" ht="12.75" customHeight="1">
      <c r="A896" s="4"/>
      <c r="B896" s="4"/>
      <c r="C896" s="3"/>
      <c r="D896" s="4"/>
      <c r="E896" s="4"/>
      <c r="F896" s="4"/>
      <c r="G896" s="4"/>
      <c r="H896" s="4"/>
      <c r="I896" s="4"/>
      <c r="J896" s="4"/>
      <c r="K896" s="4"/>
      <c r="L896" s="4"/>
      <c r="M896" s="4"/>
      <c r="N896" s="4"/>
      <c r="O896" s="4"/>
      <c r="P896" s="4"/>
      <c r="Q896" s="4"/>
    </row>
    <row r="897" spans="1:17" ht="12.75" customHeight="1">
      <c r="A897" s="4"/>
      <c r="B897" s="4"/>
      <c r="C897" s="3"/>
      <c r="D897" s="4"/>
      <c r="E897" s="4"/>
      <c r="F897" s="4"/>
      <c r="G897" s="4"/>
      <c r="H897" s="4"/>
      <c r="I897" s="4"/>
      <c r="J897" s="4"/>
      <c r="K897" s="4"/>
      <c r="L897" s="4"/>
      <c r="M897" s="4"/>
      <c r="N897" s="4"/>
      <c r="O897" s="4"/>
      <c r="P897" s="4"/>
      <c r="Q897" s="4"/>
    </row>
    <row r="898" spans="1:17" ht="12.75" customHeight="1">
      <c r="A898" s="4"/>
      <c r="B898" s="4"/>
      <c r="C898" s="3"/>
      <c r="D898" s="4"/>
      <c r="E898" s="4"/>
      <c r="F898" s="4"/>
      <c r="G898" s="4"/>
      <c r="H898" s="4"/>
      <c r="I898" s="4"/>
      <c r="J898" s="4"/>
      <c r="K898" s="4"/>
      <c r="L898" s="4"/>
      <c r="M898" s="4"/>
      <c r="N898" s="4"/>
      <c r="O898" s="4"/>
      <c r="P898" s="4"/>
      <c r="Q898" s="4"/>
    </row>
    <row r="899" spans="1:17" ht="12.75" customHeight="1">
      <c r="A899" s="4"/>
      <c r="B899" s="4"/>
      <c r="C899" s="3"/>
      <c r="D899" s="4"/>
      <c r="E899" s="4"/>
      <c r="F899" s="4"/>
      <c r="G899" s="4"/>
      <c r="H899" s="4"/>
      <c r="I899" s="4"/>
      <c r="J899" s="4"/>
      <c r="K899" s="4"/>
      <c r="L899" s="4"/>
      <c r="M899" s="4"/>
      <c r="N899" s="4"/>
      <c r="O899" s="4"/>
      <c r="P899" s="4"/>
      <c r="Q899" s="4"/>
    </row>
    <row r="900" spans="1:17" ht="12.75" customHeight="1">
      <c r="A900" s="4"/>
      <c r="B900" s="4"/>
      <c r="C900" s="3"/>
      <c r="D900" s="4"/>
      <c r="E900" s="4"/>
      <c r="F900" s="4"/>
      <c r="G900" s="4"/>
      <c r="H900" s="4"/>
      <c r="I900" s="4"/>
      <c r="J900" s="4"/>
      <c r="K900" s="4"/>
      <c r="L900" s="4"/>
      <c r="M900" s="4"/>
      <c r="N900" s="4"/>
      <c r="O900" s="4"/>
      <c r="P900" s="4"/>
      <c r="Q900" s="4"/>
    </row>
    <row r="901" spans="1:17" ht="12.75" customHeight="1">
      <c r="A901" s="4"/>
      <c r="B901" s="4"/>
      <c r="C901" s="3"/>
      <c r="D901" s="4"/>
      <c r="E901" s="4"/>
      <c r="F901" s="4"/>
      <c r="G901" s="4"/>
      <c r="H901" s="4"/>
      <c r="I901" s="4"/>
      <c r="J901" s="4"/>
      <c r="K901" s="4"/>
      <c r="L901" s="4"/>
      <c r="M901" s="4"/>
      <c r="N901" s="4"/>
      <c r="O901" s="4"/>
      <c r="P901" s="4"/>
      <c r="Q901" s="4"/>
    </row>
    <row r="902" spans="1:17" ht="12.75" customHeight="1">
      <c r="A902" s="4"/>
      <c r="B902" s="4"/>
      <c r="C902" s="3"/>
      <c r="D902" s="4"/>
      <c r="E902" s="4"/>
      <c r="F902" s="4"/>
      <c r="G902" s="4"/>
      <c r="H902" s="4"/>
      <c r="I902" s="4"/>
      <c r="J902" s="4"/>
      <c r="K902" s="4"/>
      <c r="L902" s="4"/>
      <c r="M902" s="4"/>
      <c r="N902" s="4"/>
      <c r="O902" s="4"/>
      <c r="P902" s="4"/>
      <c r="Q902" s="4"/>
    </row>
    <row r="903" spans="1:17" ht="12.75" customHeight="1">
      <c r="A903" s="4"/>
      <c r="B903" s="4"/>
      <c r="C903" s="3"/>
      <c r="D903" s="4"/>
      <c r="E903" s="4"/>
      <c r="F903" s="4"/>
      <c r="G903" s="4"/>
      <c r="H903" s="4"/>
      <c r="I903" s="4"/>
      <c r="J903" s="4"/>
      <c r="K903" s="4"/>
      <c r="L903" s="4"/>
      <c r="M903" s="4"/>
      <c r="N903" s="4"/>
      <c r="O903" s="4"/>
      <c r="P903" s="4"/>
      <c r="Q903" s="4"/>
    </row>
    <row r="904" spans="1:17" ht="12.75" customHeight="1">
      <c r="A904" s="4"/>
      <c r="B904" s="4"/>
      <c r="C904" s="3"/>
      <c r="D904" s="4"/>
      <c r="E904" s="4"/>
      <c r="F904" s="4"/>
      <c r="G904" s="4"/>
      <c r="H904" s="4"/>
      <c r="I904" s="4"/>
      <c r="J904" s="4"/>
      <c r="K904" s="4"/>
      <c r="L904" s="4"/>
      <c r="M904" s="4"/>
      <c r="N904" s="4"/>
      <c r="O904" s="4"/>
      <c r="P904" s="4"/>
      <c r="Q904" s="4"/>
    </row>
    <row r="905" spans="1:17" ht="12.75" customHeight="1">
      <c r="A905" s="4"/>
      <c r="B905" s="4"/>
      <c r="C905" s="3"/>
      <c r="D905" s="4"/>
      <c r="E905" s="4"/>
      <c r="F905" s="4"/>
      <c r="G905" s="4"/>
      <c r="H905" s="4"/>
      <c r="I905" s="4"/>
      <c r="J905" s="4"/>
      <c r="K905" s="4"/>
      <c r="L905" s="4"/>
      <c r="M905" s="4"/>
      <c r="N905" s="4"/>
      <c r="O905" s="4"/>
      <c r="P905" s="4"/>
      <c r="Q905" s="4"/>
    </row>
    <row r="906" spans="1:17" ht="12.75" customHeight="1">
      <c r="A906" s="4"/>
      <c r="B906" s="4"/>
      <c r="C906" s="3"/>
      <c r="D906" s="4"/>
      <c r="E906" s="4"/>
      <c r="F906" s="4"/>
      <c r="G906" s="4"/>
      <c r="H906" s="4"/>
      <c r="I906" s="4"/>
      <c r="J906" s="4"/>
      <c r="K906" s="4"/>
      <c r="L906" s="4"/>
      <c r="M906" s="4"/>
      <c r="N906" s="4"/>
      <c r="O906" s="4"/>
      <c r="P906" s="4"/>
      <c r="Q906" s="4"/>
    </row>
    <row r="907" spans="1:17" ht="12.75" customHeight="1">
      <c r="A907" s="4"/>
      <c r="B907" s="4"/>
      <c r="C907" s="3"/>
      <c r="D907" s="4"/>
      <c r="E907" s="4"/>
      <c r="F907" s="4"/>
      <c r="G907" s="4"/>
      <c r="H907" s="4"/>
      <c r="I907" s="4"/>
      <c r="J907" s="4"/>
      <c r="K907" s="4"/>
      <c r="L907" s="4"/>
      <c r="M907" s="4"/>
      <c r="N907" s="4"/>
      <c r="O907" s="4"/>
      <c r="P907" s="4"/>
      <c r="Q907" s="4"/>
    </row>
    <row r="908" spans="1:17" ht="12.75" customHeight="1">
      <c r="A908" s="4"/>
      <c r="B908" s="4"/>
      <c r="C908" s="3"/>
      <c r="D908" s="4"/>
      <c r="E908" s="4"/>
      <c r="F908" s="4"/>
      <c r="G908" s="4"/>
      <c r="H908" s="4"/>
      <c r="I908" s="4"/>
      <c r="J908" s="4"/>
      <c r="K908" s="4"/>
      <c r="L908" s="4"/>
      <c r="M908" s="4"/>
      <c r="N908" s="4"/>
      <c r="O908" s="4"/>
      <c r="P908" s="4"/>
      <c r="Q908" s="4"/>
    </row>
    <row r="909" spans="1:17" ht="12.75" customHeight="1">
      <c r="A909" s="4"/>
      <c r="B909" s="4"/>
      <c r="C909" s="3"/>
      <c r="D909" s="4"/>
      <c r="E909" s="4"/>
      <c r="F909" s="4"/>
      <c r="G909" s="4"/>
      <c r="H909" s="4"/>
      <c r="I909" s="4"/>
      <c r="J909" s="4"/>
      <c r="K909" s="4"/>
      <c r="L909" s="4"/>
      <c r="M909" s="4"/>
      <c r="N909" s="4"/>
      <c r="O909" s="4"/>
      <c r="P909" s="4"/>
      <c r="Q909" s="4"/>
    </row>
    <row r="910" spans="1:17" ht="12.75" customHeight="1">
      <c r="A910" s="4"/>
      <c r="B910" s="4"/>
      <c r="C910" s="3"/>
      <c r="D910" s="4"/>
      <c r="E910" s="4"/>
      <c r="F910" s="4"/>
      <c r="G910" s="4"/>
      <c r="H910" s="4"/>
      <c r="I910" s="4"/>
      <c r="J910" s="4"/>
      <c r="K910" s="4"/>
      <c r="L910" s="4"/>
      <c r="M910" s="4"/>
      <c r="N910" s="4"/>
      <c r="O910" s="4"/>
      <c r="P910" s="4"/>
      <c r="Q910" s="4"/>
    </row>
    <row r="911" spans="1:17" ht="12.75" customHeight="1">
      <c r="A911" s="4"/>
      <c r="B911" s="4"/>
      <c r="C911" s="3"/>
      <c r="D911" s="4"/>
      <c r="E911" s="4"/>
      <c r="F911" s="4"/>
      <c r="G911" s="4"/>
      <c r="H911" s="4"/>
      <c r="I911" s="4"/>
      <c r="J911" s="4"/>
      <c r="K911" s="4"/>
      <c r="L911" s="4"/>
      <c r="M911" s="4"/>
      <c r="N911" s="4"/>
      <c r="O911" s="4"/>
      <c r="P911" s="4"/>
      <c r="Q911" s="4"/>
    </row>
    <row r="912" spans="1:17" ht="12.75" customHeight="1">
      <c r="A912" s="4"/>
      <c r="B912" s="4"/>
      <c r="C912" s="3"/>
      <c r="D912" s="4"/>
      <c r="E912" s="4"/>
      <c r="F912" s="4"/>
      <c r="G912" s="4"/>
      <c r="H912" s="4"/>
      <c r="I912" s="4"/>
      <c r="J912" s="4"/>
      <c r="K912" s="4"/>
      <c r="L912" s="4"/>
      <c r="M912" s="4"/>
      <c r="N912" s="4"/>
      <c r="O912" s="4"/>
      <c r="P912" s="4"/>
      <c r="Q912" s="4"/>
    </row>
    <row r="913" spans="1:17" ht="12.75" customHeight="1">
      <c r="A913" s="4"/>
      <c r="B913" s="4"/>
      <c r="C913" s="3"/>
      <c r="D913" s="4"/>
      <c r="E913" s="4"/>
      <c r="F913" s="4"/>
      <c r="G913" s="4"/>
      <c r="H913" s="4"/>
      <c r="I913" s="4"/>
      <c r="J913" s="4"/>
      <c r="K913" s="4"/>
      <c r="L913" s="4"/>
      <c r="M913" s="4"/>
      <c r="N913" s="4"/>
      <c r="O913" s="4"/>
      <c r="P913" s="4"/>
      <c r="Q913" s="4"/>
    </row>
    <row r="914" spans="1:17" ht="12.75" customHeight="1">
      <c r="A914" s="4"/>
      <c r="B914" s="4"/>
      <c r="C914" s="3"/>
      <c r="D914" s="4"/>
      <c r="E914" s="4"/>
      <c r="F914" s="4"/>
      <c r="G914" s="4"/>
      <c r="H914" s="4"/>
      <c r="I914" s="4"/>
      <c r="J914" s="4"/>
      <c r="K914" s="4"/>
      <c r="L914" s="4"/>
      <c r="M914" s="4"/>
      <c r="N914" s="4"/>
      <c r="O914" s="4"/>
      <c r="P914" s="4"/>
      <c r="Q914" s="4"/>
    </row>
    <row r="915" spans="1:17" ht="12.75" customHeight="1">
      <c r="A915" s="4"/>
      <c r="B915" s="4"/>
      <c r="C915" s="3"/>
      <c r="D915" s="4"/>
      <c r="E915" s="4"/>
      <c r="F915" s="4"/>
      <c r="G915" s="4"/>
      <c r="H915" s="4"/>
      <c r="I915" s="4"/>
      <c r="J915" s="4"/>
      <c r="K915" s="4"/>
      <c r="L915" s="4"/>
      <c r="M915" s="4"/>
      <c r="N915" s="4"/>
      <c r="O915" s="4"/>
      <c r="P915" s="4"/>
      <c r="Q915" s="4"/>
    </row>
    <row r="916" spans="1:17" ht="12.75" customHeight="1">
      <c r="A916" s="4"/>
      <c r="B916" s="4"/>
      <c r="C916" s="3"/>
      <c r="D916" s="4"/>
      <c r="E916" s="4"/>
      <c r="F916" s="4"/>
      <c r="G916" s="4"/>
      <c r="H916" s="4"/>
      <c r="I916" s="4"/>
      <c r="J916" s="4"/>
      <c r="K916" s="4"/>
      <c r="L916" s="4"/>
      <c r="M916" s="4"/>
      <c r="N916" s="4"/>
      <c r="O916" s="4"/>
      <c r="P916" s="4"/>
      <c r="Q916" s="4"/>
    </row>
    <row r="917" spans="1:17" ht="12.75" customHeight="1">
      <c r="A917" s="4"/>
      <c r="B917" s="4"/>
      <c r="C917" s="3"/>
      <c r="D917" s="4"/>
      <c r="E917" s="4"/>
      <c r="F917" s="4"/>
      <c r="G917" s="4"/>
      <c r="H917" s="4"/>
      <c r="I917" s="4"/>
      <c r="J917" s="4"/>
      <c r="K917" s="4"/>
      <c r="L917" s="4"/>
      <c r="M917" s="4"/>
      <c r="N917" s="4"/>
      <c r="O917" s="4"/>
      <c r="P917" s="4"/>
      <c r="Q917" s="4"/>
    </row>
    <row r="918" spans="1:17" ht="12.75" customHeight="1">
      <c r="A918" s="4"/>
      <c r="B918" s="4"/>
      <c r="C918" s="3"/>
      <c r="D918" s="4"/>
      <c r="E918" s="4"/>
      <c r="F918" s="4"/>
      <c r="G918" s="4"/>
      <c r="H918" s="4"/>
      <c r="I918" s="4"/>
      <c r="J918" s="4"/>
      <c r="K918" s="4"/>
      <c r="L918" s="4"/>
      <c r="M918" s="4"/>
      <c r="N918" s="4"/>
      <c r="O918" s="4"/>
      <c r="P918" s="4"/>
      <c r="Q918" s="4"/>
    </row>
    <row r="919" spans="1:17" ht="12.75" customHeight="1">
      <c r="A919" s="4"/>
      <c r="B919" s="4"/>
      <c r="C919" s="3"/>
      <c r="D919" s="4"/>
      <c r="E919" s="4"/>
      <c r="F919" s="4"/>
      <c r="G919" s="4"/>
      <c r="H919" s="4"/>
      <c r="I919" s="4"/>
      <c r="J919" s="4"/>
      <c r="K919" s="4"/>
      <c r="L919" s="4"/>
      <c r="M919" s="4"/>
      <c r="N919" s="4"/>
      <c r="O919" s="4"/>
      <c r="P919" s="4"/>
      <c r="Q919" s="4"/>
    </row>
    <row r="920" spans="1:17" ht="12.75" customHeight="1">
      <c r="A920" s="4"/>
      <c r="B920" s="4"/>
      <c r="C920" s="3"/>
      <c r="D920" s="4"/>
      <c r="E920" s="4"/>
      <c r="F920" s="4"/>
      <c r="G920" s="4"/>
      <c r="H920" s="4"/>
      <c r="I920" s="4"/>
      <c r="J920" s="4"/>
      <c r="K920" s="4"/>
      <c r="L920" s="4"/>
      <c r="M920" s="4"/>
      <c r="N920" s="4"/>
      <c r="O920" s="4"/>
      <c r="P920" s="4"/>
      <c r="Q920" s="4"/>
    </row>
    <row r="921" spans="1:17" ht="12.75" customHeight="1">
      <c r="A921" s="4"/>
      <c r="B921" s="4"/>
      <c r="C921" s="3"/>
      <c r="D921" s="4"/>
      <c r="E921" s="4"/>
      <c r="F921" s="4"/>
      <c r="G921" s="4"/>
      <c r="H921" s="4"/>
      <c r="I921" s="4"/>
      <c r="J921" s="4"/>
      <c r="K921" s="4"/>
      <c r="L921" s="4"/>
      <c r="M921" s="4"/>
      <c r="N921" s="4"/>
      <c r="O921" s="4"/>
      <c r="P921" s="4"/>
      <c r="Q921" s="4"/>
    </row>
    <row r="922" spans="1:17" ht="12.75" customHeight="1">
      <c r="A922" s="4"/>
      <c r="B922" s="4"/>
      <c r="C922" s="3"/>
      <c r="D922" s="4"/>
      <c r="E922" s="4"/>
      <c r="F922" s="4"/>
      <c r="G922" s="4"/>
      <c r="H922" s="4"/>
      <c r="I922" s="4"/>
      <c r="J922" s="4"/>
      <c r="K922" s="4"/>
      <c r="L922" s="4"/>
      <c r="M922" s="4"/>
      <c r="N922" s="4"/>
      <c r="O922" s="4"/>
      <c r="P922" s="4"/>
      <c r="Q922" s="4"/>
    </row>
    <row r="923" spans="1:17" ht="12.75" customHeight="1">
      <c r="A923" s="4"/>
      <c r="B923" s="4"/>
      <c r="C923" s="3"/>
      <c r="D923" s="4"/>
      <c r="E923" s="4"/>
      <c r="F923" s="4"/>
      <c r="G923" s="4"/>
      <c r="H923" s="4"/>
      <c r="I923" s="4"/>
      <c r="J923" s="4"/>
      <c r="K923" s="4"/>
      <c r="L923" s="4"/>
      <c r="M923" s="4"/>
      <c r="N923" s="4"/>
      <c r="O923" s="4"/>
      <c r="P923" s="4"/>
      <c r="Q923" s="4"/>
    </row>
    <row r="924" spans="1:17" ht="12.75" customHeight="1">
      <c r="A924" s="4"/>
      <c r="B924" s="4"/>
      <c r="C924" s="3"/>
      <c r="D924" s="4"/>
      <c r="E924" s="4"/>
      <c r="F924" s="4"/>
      <c r="G924" s="4"/>
      <c r="H924" s="4"/>
      <c r="I924" s="4"/>
      <c r="J924" s="4"/>
      <c r="K924" s="4"/>
      <c r="L924" s="4"/>
      <c r="M924" s="4"/>
      <c r="N924" s="4"/>
      <c r="O924" s="4"/>
      <c r="P924" s="4"/>
      <c r="Q924" s="4"/>
    </row>
    <row r="925" spans="1:17" ht="12.75" customHeight="1">
      <c r="A925" s="4"/>
      <c r="B925" s="4"/>
      <c r="C925" s="3"/>
      <c r="D925" s="4"/>
      <c r="E925" s="4"/>
      <c r="F925" s="4"/>
      <c r="G925" s="4"/>
      <c r="H925" s="4"/>
      <c r="I925" s="4"/>
      <c r="J925" s="4"/>
      <c r="K925" s="4"/>
      <c r="L925" s="4"/>
      <c r="M925" s="4"/>
      <c r="N925" s="4"/>
      <c r="O925" s="4"/>
      <c r="P925" s="4"/>
      <c r="Q925" s="4"/>
    </row>
    <row r="926" spans="1:17" ht="12.75" customHeight="1">
      <c r="A926" s="4"/>
      <c r="B926" s="4"/>
      <c r="C926" s="3"/>
      <c r="D926" s="4"/>
      <c r="E926" s="4"/>
      <c r="F926" s="4"/>
      <c r="G926" s="4"/>
      <c r="H926" s="4"/>
      <c r="I926" s="4"/>
      <c r="J926" s="4"/>
      <c r="K926" s="4"/>
      <c r="L926" s="4"/>
      <c r="M926" s="4"/>
      <c r="N926" s="4"/>
      <c r="O926" s="4"/>
      <c r="P926" s="4"/>
      <c r="Q926" s="4"/>
    </row>
    <row r="927" spans="1:17" ht="12.75" customHeight="1">
      <c r="A927" s="4"/>
      <c r="B927" s="4"/>
      <c r="C927" s="3"/>
      <c r="D927" s="4"/>
      <c r="E927" s="4"/>
      <c r="F927" s="4"/>
      <c r="G927" s="4"/>
      <c r="H927" s="4"/>
      <c r="I927" s="4"/>
      <c r="J927" s="4"/>
      <c r="K927" s="4"/>
      <c r="L927" s="4"/>
      <c r="M927" s="4"/>
      <c r="N927" s="4"/>
      <c r="O927" s="4"/>
      <c r="P927" s="4"/>
      <c r="Q927" s="4"/>
    </row>
    <row r="928" spans="1:17" ht="12.75" customHeight="1">
      <c r="A928" s="4"/>
      <c r="B928" s="4"/>
      <c r="C928" s="3"/>
      <c r="D928" s="4"/>
      <c r="E928" s="4"/>
      <c r="F928" s="4"/>
      <c r="G928" s="4"/>
      <c r="H928" s="4"/>
      <c r="I928" s="4"/>
      <c r="J928" s="4"/>
      <c r="K928" s="4"/>
      <c r="L928" s="4"/>
      <c r="M928" s="4"/>
      <c r="N928" s="4"/>
      <c r="O928" s="4"/>
      <c r="P928" s="4"/>
      <c r="Q928" s="4"/>
    </row>
    <row r="929" spans="1:17" ht="12.75" customHeight="1">
      <c r="A929" s="4"/>
      <c r="B929" s="4"/>
      <c r="C929" s="3"/>
      <c r="D929" s="4"/>
      <c r="E929" s="4"/>
      <c r="F929" s="4"/>
      <c r="G929" s="4"/>
      <c r="H929" s="4"/>
      <c r="I929" s="4"/>
      <c r="J929" s="4"/>
      <c r="K929" s="4"/>
      <c r="L929" s="4"/>
      <c r="M929" s="4"/>
      <c r="N929" s="4"/>
      <c r="O929" s="4"/>
      <c r="P929" s="4"/>
      <c r="Q929" s="4"/>
    </row>
    <row r="930" spans="1:17" ht="12.75" customHeight="1">
      <c r="A930" s="4"/>
      <c r="B930" s="4"/>
      <c r="C930" s="3"/>
      <c r="D930" s="4"/>
      <c r="E930" s="4"/>
      <c r="F930" s="4"/>
      <c r="G930" s="4"/>
      <c r="H930" s="4"/>
      <c r="I930" s="4"/>
      <c r="J930" s="4"/>
      <c r="K930" s="4"/>
      <c r="L930" s="4"/>
      <c r="M930" s="4"/>
      <c r="N930" s="4"/>
      <c r="O930" s="4"/>
      <c r="P930" s="4"/>
      <c r="Q930" s="4"/>
    </row>
    <row r="931" spans="1:17" ht="12.75" customHeight="1">
      <c r="A931" s="4"/>
      <c r="B931" s="4"/>
      <c r="C931" s="3"/>
      <c r="D931" s="4"/>
      <c r="E931" s="4"/>
      <c r="F931" s="4"/>
      <c r="G931" s="4"/>
      <c r="H931" s="4"/>
      <c r="I931" s="4"/>
      <c r="J931" s="4"/>
      <c r="K931" s="4"/>
      <c r="L931" s="4"/>
      <c r="M931" s="4"/>
      <c r="N931" s="4"/>
      <c r="O931" s="4"/>
      <c r="P931" s="4"/>
      <c r="Q931" s="4"/>
    </row>
    <row r="932" spans="1:17" ht="12.75" customHeight="1">
      <c r="A932" s="4"/>
      <c r="B932" s="4"/>
      <c r="C932" s="3"/>
      <c r="D932" s="4"/>
      <c r="E932" s="4"/>
      <c r="F932" s="4"/>
      <c r="G932" s="4"/>
      <c r="H932" s="4"/>
      <c r="I932" s="4"/>
      <c r="J932" s="4"/>
      <c r="K932" s="4"/>
      <c r="L932" s="4"/>
      <c r="M932" s="4"/>
      <c r="N932" s="4"/>
      <c r="O932" s="4"/>
      <c r="P932" s="4"/>
      <c r="Q932" s="4"/>
    </row>
    <row r="933" spans="1:17" ht="12.75" customHeight="1">
      <c r="A933" s="4"/>
      <c r="B933" s="4"/>
      <c r="C933" s="3"/>
      <c r="D933" s="4"/>
      <c r="E933" s="4"/>
      <c r="F933" s="4"/>
      <c r="G933" s="4"/>
      <c r="H933" s="4"/>
      <c r="I933" s="4"/>
      <c r="J933" s="4"/>
      <c r="K933" s="4"/>
      <c r="L933" s="4"/>
      <c r="M933" s="4"/>
      <c r="N933" s="4"/>
      <c r="O933" s="4"/>
      <c r="P933" s="4"/>
      <c r="Q933" s="4"/>
    </row>
    <row r="934" spans="1:17" ht="12.75" customHeight="1">
      <c r="A934" s="4"/>
      <c r="B934" s="4"/>
      <c r="C934" s="3"/>
      <c r="D934" s="4"/>
      <c r="E934" s="4"/>
      <c r="F934" s="4"/>
      <c r="G934" s="4"/>
      <c r="H934" s="4"/>
      <c r="I934" s="4"/>
      <c r="J934" s="4"/>
      <c r="K934" s="4"/>
      <c r="L934" s="4"/>
      <c r="M934" s="4"/>
      <c r="N934" s="4"/>
      <c r="O934" s="4"/>
      <c r="P934" s="4"/>
      <c r="Q934" s="4"/>
    </row>
    <row r="935" spans="1:17" ht="12.75" customHeight="1">
      <c r="A935" s="4"/>
      <c r="B935" s="4"/>
      <c r="C935" s="3"/>
      <c r="D935" s="4"/>
      <c r="E935" s="4"/>
      <c r="F935" s="4"/>
      <c r="G935" s="4"/>
      <c r="H935" s="4"/>
      <c r="I935" s="4"/>
      <c r="J935" s="4"/>
      <c r="K935" s="4"/>
      <c r="L935" s="4"/>
      <c r="M935" s="4"/>
      <c r="N935" s="4"/>
      <c r="O935" s="4"/>
      <c r="P935" s="4"/>
      <c r="Q935" s="4"/>
    </row>
    <row r="936" spans="1:17" ht="12.75" customHeight="1">
      <c r="A936" s="4"/>
      <c r="B936" s="4"/>
      <c r="C936" s="3"/>
      <c r="D936" s="4"/>
      <c r="E936" s="4"/>
      <c r="F936" s="4"/>
      <c r="G936" s="4"/>
      <c r="H936" s="4"/>
      <c r="I936" s="4"/>
      <c r="J936" s="4"/>
      <c r="K936" s="4"/>
      <c r="L936" s="4"/>
      <c r="M936" s="4"/>
      <c r="N936" s="4"/>
      <c r="O936" s="4"/>
      <c r="P936" s="4"/>
      <c r="Q936" s="4"/>
    </row>
    <row r="937" spans="1:17" ht="12.75" customHeight="1">
      <c r="A937" s="4"/>
      <c r="B937" s="4"/>
      <c r="C937" s="3"/>
      <c r="D937" s="4"/>
      <c r="E937" s="4"/>
      <c r="F937" s="4"/>
      <c r="G937" s="4"/>
      <c r="H937" s="4"/>
      <c r="I937" s="4"/>
      <c r="J937" s="4"/>
      <c r="K937" s="4"/>
      <c r="L937" s="4"/>
      <c r="M937" s="4"/>
      <c r="N937" s="4"/>
      <c r="O937" s="4"/>
      <c r="P937" s="4"/>
      <c r="Q937" s="4"/>
    </row>
    <row r="938" spans="1:17" ht="12.75" customHeight="1">
      <c r="A938" s="4"/>
      <c r="B938" s="4"/>
      <c r="C938" s="3"/>
      <c r="D938" s="4"/>
      <c r="E938" s="4"/>
      <c r="F938" s="4"/>
      <c r="G938" s="4"/>
      <c r="H938" s="4"/>
      <c r="I938" s="4"/>
      <c r="J938" s="4"/>
      <c r="K938" s="4"/>
      <c r="L938" s="4"/>
      <c r="M938" s="4"/>
      <c r="N938" s="4"/>
      <c r="O938" s="4"/>
      <c r="P938" s="4"/>
      <c r="Q938" s="4"/>
    </row>
    <row r="939" spans="1:17" ht="12.75" customHeight="1">
      <c r="A939" s="4"/>
      <c r="B939" s="4"/>
      <c r="C939" s="3"/>
      <c r="D939" s="4"/>
      <c r="E939" s="4"/>
      <c r="F939" s="4"/>
      <c r="G939" s="4"/>
      <c r="H939" s="4"/>
      <c r="I939" s="4"/>
      <c r="J939" s="4"/>
      <c r="K939" s="4"/>
      <c r="L939" s="4"/>
      <c r="M939" s="4"/>
      <c r="N939" s="4"/>
      <c r="O939" s="4"/>
      <c r="P939" s="4"/>
      <c r="Q939" s="4"/>
    </row>
    <row r="940" spans="1:17" ht="12.75" customHeight="1">
      <c r="A940" s="4"/>
      <c r="B940" s="4"/>
      <c r="C940" s="3"/>
      <c r="D940" s="4"/>
      <c r="E940" s="4"/>
      <c r="F940" s="4"/>
      <c r="G940" s="4"/>
      <c r="H940" s="4"/>
      <c r="I940" s="4"/>
      <c r="J940" s="4"/>
      <c r="K940" s="4"/>
      <c r="L940" s="4"/>
      <c r="M940" s="4"/>
      <c r="N940" s="4"/>
      <c r="O940" s="4"/>
      <c r="P940" s="4"/>
      <c r="Q940" s="4"/>
    </row>
    <row r="941" spans="1:17" ht="12.75" customHeight="1">
      <c r="A941" s="4"/>
      <c r="B941" s="4"/>
      <c r="C941" s="3"/>
      <c r="D941" s="4"/>
      <c r="E941" s="4"/>
      <c r="F941" s="4"/>
      <c r="G941" s="4"/>
      <c r="H941" s="4"/>
      <c r="I941" s="4"/>
      <c r="J941" s="4"/>
      <c r="K941" s="4"/>
      <c r="L941" s="4"/>
      <c r="M941" s="4"/>
      <c r="N941" s="4"/>
      <c r="O941" s="4"/>
      <c r="P941" s="4"/>
      <c r="Q941" s="4"/>
    </row>
    <row r="942" spans="1:17" ht="12.75" customHeight="1">
      <c r="A942" s="4"/>
      <c r="B942" s="4"/>
      <c r="C942" s="3"/>
      <c r="D942" s="4"/>
      <c r="E942" s="4"/>
      <c r="F942" s="4"/>
      <c r="G942" s="4"/>
      <c r="H942" s="4"/>
      <c r="I942" s="4"/>
      <c r="J942" s="4"/>
      <c r="K942" s="4"/>
      <c r="L942" s="4"/>
      <c r="M942" s="4"/>
      <c r="N942" s="4"/>
      <c r="O942" s="4"/>
      <c r="P942" s="4"/>
      <c r="Q942" s="4"/>
    </row>
    <row r="943" spans="1:17" ht="12.75" customHeight="1">
      <c r="A943" s="4"/>
      <c r="B943" s="4"/>
      <c r="C943" s="3"/>
      <c r="D943" s="4"/>
      <c r="E943" s="4"/>
      <c r="F943" s="4"/>
      <c r="G943" s="4"/>
      <c r="H943" s="4"/>
      <c r="I943" s="4"/>
      <c r="J943" s="4"/>
      <c r="K943" s="4"/>
      <c r="L943" s="4"/>
      <c r="M943" s="4"/>
      <c r="N943" s="4"/>
      <c r="O943" s="4"/>
      <c r="P943" s="4"/>
      <c r="Q943" s="4"/>
    </row>
    <row r="944" spans="1:17" ht="12.75" customHeight="1">
      <c r="A944" s="4"/>
      <c r="B944" s="4"/>
      <c r="C944" s="3"/>
      <c r="D944" s="4"/>
      <c r="E944" s="4"/>
      <c r="F944" s="4"/>
      <c r="G944" s="4"/>
      <c r="H944" s="4"/>
      <c r="I944" s="4"/>
      <c r="J944" s="4"/>
      <c r="K944" s="4"/>
      <c r="L944" s="4"/>
      <c r="M944" s="4"/>
      <c r="N944" s="4"/>
      <c r="O944" s="4"/>
      <c r="P944" s="4"/>
      <c r="Q944" s="4"/>
    </row>
    <row r="945" spans="1:17" ht="12.75" customHeight="1">
      <c r="A945" s="4"/>
      <c r="B945" s="4"/>
      <c r="C945" s="3"/>
      <c r="D945" s="4"/>
      <c r="E945" s="4"/>
      <c r="F945" s="4"/>
      <c r="G945" s="4"/>
      <c r="H945" s="4"/>
      <c r="I945" s="4"/>
      <c r="J945" s="4"/>
      <c r="K945" s="4"/>
      <c r="L945" s="4"/>
      <c r="M945" s="4"/>
      <c r="N945" s="4"/>
      <c r="O945" s="4"/>
      <c r="P945" s="4"/>
      <c r="Q945" s="4"/>
    </row>
    <row r="946" spans="1:17" ht="12.75" customHeight="1">
      <c r="A946" s="4"/>
      <c r="B946" s="4"/>
      <c r="C946" s="3"/>
      <c r="D946" s="4"/>
      <c r="E946" s="4"/>
      <c r="F946" s="4"/>
      <c r="G946" s="4"/>
      <c r="H946" s="4"/>
      <c r="I946" s="4"/>
      <c r="J946" s="4"/>
      <c r="K946" s="4"/>
      <c r="L946" s="4"/>
      <c r="M946" s="4"/>
      <c r="N946" s="4"/>
      <c r="O946" s="4"/>
      <c r="P946" s="4"/>
      <c r="Q946" s="4"/>
    </row>
    <row r="947" spans="1:17" ht="12.75" customHeight="1">
      <c r="A947" s="4"/>
      <c r="B947" s="4"/>
      <c r="C947" s="3"/>
      <c r="D947" s="4"/>
      <c r="E947" s="4"/>
      <c r="F947" s="4"/>
      <c r="G947" s="4"/>
      <c r="H947" s="4"/>
      <c r="I947" s="4"/>
      <c r="J947" s="4"/>
      <c r="K947" s="4"/>
      <c r="L947" s="4"/>
      <c r="M947" s="4"/>
      <c r="N947" s="4"/>
      <c r="O947" s="4"/>
      <c r="P947" s="4"/>
      <c r="Q947" s="4"/>
    </row>
    <row r="948" spans="1:17" ht="12.75" customHeight="1">
      <c r="A948" s="4"/>
      <c r="B948" s="4"/>
      <c r="C948" s="3"/>
      <c r="D948" s="4"/>
      <c r="E948" s="4"/>
      <c r="F948" s="4"/>
      <c r="G948" s="4"/>
      <c r="H948" s="4"/>
      <c r="I948" s="4"/>
      <c r="J948" s="4"/>
      <c r="K948" s="4"/>
      <c r="L948" s="4"/>
      <c r="M948" s="4"/>
      <c r="N948" s="4"/>
      <c r="O948" s="4"/>
      <c r="P948" s="4"/>
      <c r="Q948" s="4"/>
    </row>
    <row r="949" spans="1:17" ht="12.75" customHeight="1">
      <c r="A949" s="4"/>
      <c r="B949" s="4"/>
      <c r="C949" s="3"/>
      <c r="D949" s="4"/>
      <c r="E949" s="4"/>
      <c r="F949" s="4"/>
      <c r="G949" s="4"/>
      <c r="H949" s="4"/>
      <c r="I949" s="4"/>
      <c r="J949" s="4"/>
      <c r="K949" s="4"/>
      <c r="L949" s="4"/>
      <c r="M949" s="4"/>
      <c r="N949" s="4"/>
      <c r="O949" s="4"/>
      <c r="P949" s="4"/>
      <c r="Q949" s="4"/>
    </row>
    <row r="950" spans="1:17" ht="12.75" customHeight="1">
      <c r="A950" s="4"/>
      <c r="B950" s="4"/>
      <c r="C950" s="3"/>
      <c r="D950" s="4"/>
      <c r="E950" s="4"/>
      <c r="F950" s="4"/>
      <c r="G950" s="4"/>
      <c r="H950" s="4"/>
      <c r="I950" s="4"/>
      <c r="J950" s="4"/>
      <c r="K950" s="4"/>
      <c r="L950" s="4"/>
      <c r="M950" s="4"/>
      <c r="N950" s="4"/>
      <c r="O950" s="4"/>
      <c r="P950" s="4"/>
      <c r="Q950" s="4"/>
    </row>
    <row r="951" spans="1:17" ht="12.75" customHeight="1">
      <c r="A951" s="4"/>
      <c r="B951" s="4"/>
      <c r="C951" s="3"/>
      <c r="D951" s="4"/>
      <c r="E951" s="4"/>
      <c r="F951" s="4"/>
      <c r="G951" s="4"/>
      <c r="H951" s="4"/>
      <c r="I951" s="4"/>
      <c r="J951" s="4"/>
      <c r="K951" s="4"/>
      <c r="L951" s="4"/>
      <c r="M951" s="4"/>
      <c r="N951" s="4"/>
      <c r="O951" s="4"/>
      <c r="P951" s="4"/>
      <c r="Q951" s="4"/>
    </row>
    <row r="952" spans="1:17" ht="12.75" customHeight="1">
      <c r="A952" s="4"/>
      <c r="B952" s="4"/>
      <c r="C952" s="3"/>
      <c r="D952" s="4"/>
      <c r="E952" s="4"/>
      <c r="F952" s="4"/>
      <c r="G952" s="4"/>
      <c r="H952" s="4"/>
      <c r="I952" s="4"/>
      <c r="J952" s="4"/>
      <c r="K952" s="4"/>
      <c r="L952" s="4"/>
      <c r="M952" s="4"/>
      <c r="N952" s="4"/>
      <c r="O952" s="4"/>
      <c r="P952" s="4"/>
      <c r="Q952" s="4"/>
    </row>
    <row r="953" spans="1:17" ht="12.75" customHeight="1">
      <c r="A953" s="4"/>
      <c r="B953" s="4"/>
      <c r="C953" s="3"/>
      <c r="D953" s="4"/>
      <c r="E953" s="4"/>
      <c r="F953" s="4"/>
      <c r="G953" s="4"/>
      <c r="H953" s="4"/>
      <c r="I953" s="4"/>
      <c r="J953" s="4"/>
      <c r="K953" s="4"/>
      <c r="L953" s="4"/>
      <c r="M953" s="4"/>
      <c r="N953" s="4"/>
      <c r="O953" s="4"/>
      <c r="P953" s="4"/>
      <c r="Q953" s="4"/>
    </row>
    <row r="954" spans="1:17" ht="12.75" customHeight="1">
      <c r="A954" s="4"/>
      <c r="B954" s="4"/>
      <c r="C954" s="3"/>
      <c r="D954" s="4"/>
      <c r="E954" s="4"/>
      <c r="F954" s="4"/>
      <c r="G954" s="4"/>
      <c r="H954" s="4"/>
      <c r="I954" s="4"/>
      <c r="J954" s="4"/>
      <c r="K954" s="4"/>
      <c r="L954" s="4"/>
      <c r="M954" s="4"/>
      <c r="N954" s="4"/>
      <c r="O954" s="4"/>
      <c r="P954" s="4"/>
      <c r="Q954" s="4"/>
    </row>
    <row r="955" spans="1:17" ht="12.75" customHeight="1">
      <c r="A955" s="4"/>
      <c r="B955" s="4"/>
      <c r="C955" s="3"/>
      <c r="D955" s="4"/>
      <c r="E955" s="4"/>
      <c r="F955" s="4"/>
      <c r="G955" s="4"/>
      <c r="H955" s="4"/>
      <c r="I955" s="4"/>
      <c r="J955" s="4"/>
      <c r="K955" s="4"/>
      <c r="L955" s="4"/>
      <c r="M955" s="4"/>
      <c r="N955" s="4"/>
      <c r="O955" s="4"/>
      <c r="P955" s="4"/>
      <c r="Q955" s="4"/>
    </row>
    <row r="956" spans="1:17" ht="12.75" customHeight="1">
      <c r="A956" s="4"/>
      <c r="B956" s="4"/>
      <c r="C956" s="3"/>
      <c r="D956" s="4"/>
      <c r="E956" s="4"/>
      <c r="F956" s="4"/>
      <c r="G956" s="4"/>
      <c r="H956" s="4"/>
      <c r="I956" s="4"/>
      <c r="J956" s="4"/>
      <c r="K956" s="4"/>
      <c r="L956" s="4"/>
      <c r="M956" s="4"/>
      <c r="N956" s="4"/>
      <c r="O956" s="4"/>
      <c r="P956" s="4"/>
      <c r="Q956" s="4"/>
    </row>
    <row r="957" spans="1:17" ht="12.75" customHeight="1">
      <c r="A957" s="4"/>
      <c r="B957" s="4"/>
      <c r="C957" s="3"/>
      <c r="D957" s="4"/>
      <c r="E957" s="4"/>
      <c r="F957" s="4"/>
      <c r="G957" s="4"/>
      <c r="H957" s="4"/>
      <c r="I957" s="4"/>
      <c r="J957" s="4"/>
      <c r="K957" s="4"/>
      <c r="L957" s="4"/>
      <c r="M957" s="4"/>
      <c r="N957" s="4"/>
      <c r="O957" s="4"/>
      <c r="P957" s="4"/>
      <c r="Q957" s="4"/>
    </row>
    <row r="958" spans="1:17" ht="12.75" customHeight="1">
      <c r="A958" s="4"/>
      <c r="B958" s="4"/>
      <c r="C958" s="3"/>
      <c r="D958" s="4"/>
      <c r="E958" s="4"/>
      <c r="F958" s="4"/>
      <c r="G958" s="4"/>
      <c r="H958" s="4"/>
      <c r="I958" s="4"/>
      <c r="J958" s="4"/>
      <c r="K958" s="4"/>
      <c r="L958" s="4"/>
      <c r="M958" s="4"/>
      <c r="N958" s="4"/>
      <c r="O958" s="4"/>
      <c r="P958" s="4"/>
      <c r="Q958" s="4"/>
    </row>
    <row r="959" spans="1:17" ht="12.75" customHeight="1">
      <c r="A959" s="4"/>
      <c r="B959" s="4"/>
      <c r="C959" s="3"/>
      <c r="D959" s="4"/>
      <c r="E959" s="4"/>
      <c r="F959" s="4"/>
      <c r="G959" s="4"/>
      <c r="H959" s="4"/>
      <c r="I959" s="4"/>
      <c r="J959" s="4"/>
      <c r="K959" s="4"/>
      <c r="L959" s="4"/>
      <c r="M959" s="4"/>
      <c r="N959" s="4"/>
      <c r="O959" s="4"/>
      <c r="P959" s="4"/>
      <c r="Q959" s="4"/>
    </row>
    <row r="960" spans="1:17" ht="12.75" customHeight="1">
      <c r="A960" s="4"/>
      <c r="B960" s="4"/>
      <c r="C960" s="3"/>
      <c r="D960" s="4"/>
      <c r="E960" s="4"/>
      <c r="F960" s="4"/>
      <c r="G960" s="4"/>
      <c r="H960" s="4"/>
      <c r="I960" s="4"/>
      <c r="J960" s="4"/>
      <c r="K960" s="4"/>
      <c r="L960" s="4"/>
      <c r="M960" s="4"/>
      <c r="N960" s="4"/>
      <c r="O960" s="4"/>
      <c r="P960" s="4"/>
      <c r="Q960" s="4"/>
    </row>
    <row r="961" spans="1:17" ht="12.75" customHeight="1">
      <c r="A961" s="4"/>
      <c r="B961" s="4"/>
      <c r="C961" s="3"/>
      <c r="D961" s="4"/>
      <c r="E961" s="4"/>
      <c r="F961" s="4"/>
      <c r="G961" s="4"/>
      <c r="H961" s="4"/>
      <c r="I961" s="4"/>
      <c r="J961" s="4"/>
      <c r="K961" s="4"/>
      <c r="L961" s="4"/>
      <c r="M961" s="4"/>
      <c r="N961" s="4"/>
      <c r="O961" s="4"/>
      <c r="P961" s="4"/>
      <c r="Q961" s="4"/>
    </row>
    <row r="962" spans="1:17" ht="12.75" customHeight="1">
      <c r="A962" s="4"/>
      <c r="B962" s="4"/>
      <c r="C962" s="3"/>
      <c r="D962" s="4"/>
      <c r="E962" s="4"/>
      <c r="F962" s="4"/>
      <c r="G962" s="4"/>
      <c r="H962" s="4"/>
      <c r="I962" s="4"/>
      <c r="J962" s="4"/>
      <c r="K962" s="4"/>
      <c r="L962" s="4"/>
      <c r="M962" s="4"/>
      <c r="N962" s="4"/>
      <c r="O962" s="4"/>
      <c r="P962" s="4"/>
      <c r="Q962" s="4"/>
    </row>
    <row r="963" spans="1:17" ht="12.75" customHeight="1">
      <c r="A963" s="4"/>
      <c r="B963" s="4"/>
      <c r="C963" s="3"/>
      <c r="D963" s="4"/>
      <c r="E963" s="4"/>
      <c r="F963" s="4"/>
      <c r="G963" s="4"/>
      <c r="H963" s="4"/>
      <c r="I963" s="4"/>
      <c r="J963" s="4"/>
      <c r="K963" s="4"/>
      <c r="L963" s="4"/>
      <c r="M963" s="4"/>
      <c r="N963" s="4"/>
      <c r="O963" s="4"/>
      <c r="P963" s="4"/>
      <c r="Q963" s="4"/>
    </row>
    <row r="964" spans="1:17" ht="12.75" customHeight="1">
      <c r="A964" s="4"/>
      <c r="B964" s="4"/>
      <c r="C964" s="3"/>
      <c r="D964" s="4"/>
      <c r="E964" s="4"/>
      <c r="F964" s="4"/>
      <c r="G964" s="4"/>
      <c r="H964" s="4"/>
      <c r="I964" s="4"/>
      <c r="J964" s="4"/>
      <c r="K964" s="4"/>
      <c r="L964" s="4"/>
      <c r="M964" s="4"/>
      <c r="N964" s="4"/>
      <c r="O964" s="4"/>
      <c r="P964" s="4"/>
      <c r="Q964" s="4"/>
    </row>
    <row r="965" spans="1:17" ht="12.75" customHeight="1">
      <c r="A965" s="4"/>
      <c r="B965" s="4"/>
      <c r="C965" s="3"/>
      <c r="D965" s="4"/>
      <c r="E965" s="4"/>
      <c r="F965" s="4"/>
      <c r="G965" s="4"/>
      <c r="H965" s="4"/>
      <c r="I965" s="4"/>
      <c r="J965" s="4"/>
      <c r="K965" s="4"/>
      <c r="L965" s="4"/>
      <c r="M965" s="4"/>
      <c r="N965" s="4"/>
      <c r="O965" s="4"/>
      <c r="P965" s="4"/>
      <c r="Q965" s="4"/>
    </row>
    <row r="966" spans="1:17" ht="12.75" customHeight="1">
      <c r="A966" s="4"/>
      <c r="B966" s="4"/>
      <c r="C966" s="3"/>
      <c r="D966" s="4"/>
      <c r="E966" s="4"/>
      <c r="F966" s="4"/>
      <c r="G966" s="4"/>
      <c r="H966" s="4"/>
      <c r="I966" s="4"/>
      <c r="J966" s="4"/>
      <c r="K966" s="4"/>
      <c r="L966" s="4"/>
      <c r="M966" s="4"/>
      <c r="N966" s="4"/>
      <c r="O966" s="4"/>
      <c r="P966" s="4"/>
      <c r="Q966" s="4"/>
    </row>
    <row r="967" spans="1:17" ht="12.75" customHeight="1">
      <c r="A967" s="4"/>
      <c r="B967" s="4"/>
      <c r="C967" s="3"/>
      <c r="D967" s="4"/>
      <c r="E967" s="4"/>
      <c r="F967" s="4"/>
      <c r="G967" s="4"/>
      <c r="H967" s="4"/>
      <c r="I967" s="4"/>
      <c r="J967" s="4"/>
      <c r="K967" s="4"/>
      <c r="L967" s="4"/>
      <c r="M967" s="4"/>
      <c r="N967" s="4"/>
      <c r="O967" s="4"/>
      <c r="P967" s="4"/>
      <c r="Q967" s="4"/>
    </row>
    <row r="968" spans="1:17" ht="12.75" customHeight="1">
      <c r="A968" s="4"/>
      <c r="B968" s="4"/>
      <c r="C968" s="3"/>
      <c r="D968" s="4"/>
      <c r="E968" s="4"/>
      <c r="F968" s="4"/>
      <c r="G968" s="4"/>
      <c r="H968" s="4"/>
      <c r="I968" s="4"/>
      <c r="J968" s="4"/>
      <c r="K968" s="4"/>
      <c r="L968" s="4"/>
      <c r="M968" s="4"/>
      <c r="N968" s="4"/>
      <c r="O968" s="4"/>
      <c r="P968" s="4"/>
      <c r="Q968" s="4"/>
    </row>
    <row r="969" spans="1:17" ht="12.75" customHeight="1">
      <c r="A969" s="4"/>
      <c r="B969" s="4"/>
      <c r="C969" s="3"/>
      <c r="D969" s="4"/>
      <c r="E969" s="4"/>
      <c r="F969" s="4"/>
      <c r="G969" s="4"/>
      <c r="H969" s="4"/>
      <c r="I969" s="4"/>
      <c r="J969" s="4"/>
      <c r="K969" s="4"/>
      <c r="L969" s="4"/>
      <c r="M969" s="4"/>
      <c r="N969" s="4"/>
      <c r="O969" s="4"/>
      <c r="P969" s="4"/>
      <c r="Q969" s="4"/>
    </row>
    <row r="970" spans="1:17" ht="12.75" customHeight="1">
      <c r="A970" s="4"/>
      <c r="B970" s="4"/>
      <c r="C970" s="3"/>
      <c r="D970" s="4"/>
      <c r="E970" s="4"/>
      <c r="F970" s="4"/>
      <c r="G970" s="4"/>
      <c r="H970" s="4"/>
      <c r="I970" s="4"/>
      <c r="J970" s="4"/>
      <c r="K970" s="4"/>
      <c r="L970" s="4"/>
      <c r="M970" s="4"/>
      <c r="N970" s="4"/>
      <c r="O970" s="4"/>
      <c r="P970" s="4"/>
      <c r="Q970" s="4"/>
    </row>
    <row r="971" spans="1:17" ht="12.75" customHeight="1">
      <c r="A971" s="4"/>
      <c r="B971" s="4"/>
      <c r="C971" s="3"/>
      <c r="D971" s="4"/>
      <c r="E971" s="4"/>
      <c r="F971" s="4"/>
      <c r="G971" s="4"/>
      <c r="H971" s="4"/>
      <c r="I971" s="4"/>
      <c r="J971" s="4"/>
      <c r="K971" s="4"/>
      <c r="L971" s="4"/>
      <c r="M971" s="4"/>
      <c r="N971" s="4"/>
      <c r="O971" s="4"/>
      <c r="P971" s="4"/>
      <c r="Q971" s="4"/>
    </row>
    <row r="972" spans="1:17" ht="12.75" customHeight="1">
      <c r="A972" s="4"/>
      <c r="B972" s="4"/>
      <c r="C972" s="3"/>
      <c r="D972" s="4"/>
      <c r="E972" s="4"/>
      <c r="F972" s="4"/>
      <c r="G972" s="4"/>
      <c r="H972" s="4"/>
      <c r="I972" s="4"/>
      <c r="J972" s="4"/>
      <c r="K972" s="4"/>
      <c r="L972" s="4"/>
      <c r="M972" s="4"/>
      <c r="N972" s="4"/>
      <c r="O972" s="4"/>
      <c r="P972" s="4"/>
      <c r="Q972" s="4"/>
    </row>
    <row r="973" spans="1:17" ht="12.75" customHeight="1">
      <c r="A973" s="4"/>
      <c r="B973" s="4"/>
      <c r="C973" s="3"/>
      <c r="D973" s="4"/>
      <c r="E973" s="4"/>
      <c r="F973" s="4"/>
      <c r="G973" s="4"/>
      <c r="H973" s="4"/>
      <c r="I973" s="4"/>
      <c r="J973" s="4"/>
      <c r="K973" s="4"/>
      <c r="L973" s="4"/>
      <c r="M973" s="4"/>
      <c r="N973" s="4"/>
      <c r="O973" s="4"/>
      <c r="P973" s="4"/>
      <c r="Q973" s="4"/>
    </row>
    <row r="974" spans="1:17" ht="12.75" customHeight="1">
      <c r="A974" s="4"/>
      <c r="B974" s="4"/>
      <c r="C974" s="3"/>
      <c r="D974" s="4"/>
      <c r="E974" s="4"/>
      <c r="F974" s="4"/>
      <c r="G974" s="4"/>
      <c r="H974" s="4"/>
      <c r="I974" s="4"/>
      <c r="J974" s="4"/>
      <c r="K974" s="4"/>
      <c r="L974" s="4"/>
      <c r="M974" s="4"/>
      <c r="N974" s="4"/>
      <c r="O974" s="4"/>
      <c r="P974" s="4"/>
      <c r="Q974" s="4"/>
    </row>
    <row r="975" spans="1:17" ht="12.75" customHeight="1">
      <c r="A975" s="4"/>
      <c r="B975" s="4"/>
      <c r="C975" s="3"/>
      <c r="D975" s="4"/>
      <c r="E975" s="4"/>
      <c r="F975" s="4"/>
      <c r="G975" s="4"/>
      <c r="H975" s="4"/>
      <c r="I975" s="4"/>
      <c r="J975" s="4"/>
      <c r="K975" s="4"/>
      <c r="L975" s="4"/>
      <c r="M975" s="4"/>
      <c r="N975" s="4"/>
      <c r="O975" s="4"/>
      <c r="P975" s="4"/>
      <c r="Q975" s="4"/>
    </row>
    <row r="976" spans="1:17" ht="12.75" customHeight="1">
      <c r="A976" s="4"/>
      <c r="B976" s="4"/>
      <c r="C976" s="3"/>
      <c r="D976" s="4"/>
      <c r="E976" s="4"/>
      <c r="F976" s="4"/>
      <c r="G976" s="4"/>
      <c r="H976" s="4"/>
      <c r="I976" s="4"/>
      <c r="J976" s="4"/>
      <c r="K976" s="4"/>
      <c r="L976" s="4"/>
      <c r="M976" s="4"/>
      <c r="N976" s="4"/>
      <c r="O976" s="4"/>
      <c r="P976" s="4"/>
      <c r="Q976" s="4"/>
    </row>
    <row r="977" spans="1:17" ht="12.75" customHeight="1">
      <c r="A977" s="4"/>
      <c r="B977" s="4"/>
      <c r="C977" s="3"/>
      <c r="D977" s="4"/>
      <c r="E977" s="4"/>
      <c r="F977" s="4"/>
      <c r="G977" s="4"/>
      <c r="H977" s="4"/>
      <c r="I977" s="4"/>
      <c r="J977" s="4"/>
      <c r="K977" s="4"/>
      <c r="L977" s="4"/>
      <c r="M977" s="4"/>
      <c r="N977" s="4"/>
      <c r="O977" s="4"/>
      <c r="P977" s="4"/>
      <c r="Q977" s="4"/>
    </row>
    <row r="978" spans="1:17" ht="12.75" customHeight="1">
      <c r="A978" s="4"/>
      <c r="B978" s="4"/>
      <c r="C978" s="3"/>
      <c r="D978" s="4"/>
      <c r="E978" s="4"/>
      <c r="F978" s="4"/>
      <c r="G978" s="4"/>
      <c r="H978" s="4"/>
      <c r="I978" s="4"/>
      <c r="J978" s="4"/>
      <c r="K978" s="4"/>
      <c r="L978" s="4"/>
      <c r="M978" s="4"/>
      <c r="N978" s="4"/>
      <c r="O978" s="4"/>
      <c r="P978" s="4"/>
      <c r="Q978" s="4"/>
    </row>
    <row r="979" spans="1:17" ht="12.75" customHeight="1">
      <c r="A979" s="4"/>
      <c r="B979" s="4"/>
      <c r="C979" s="3"/>
      <c r="D979" s="4"/>
      <c r="E979" s="4"/>
      <c r="F979" s="4"/>
      <c r="G979" s="4"/>
      <c r="H979" s="4"/>
      <c r="I979" s="4"/>
      <c r="J979" s="4"/>
      <c r="K979" s="4"/>
      <c r="L979" s="4"/>
      <c r="M979" s="4"/>
      <c r="N979" s="4"/>
      <c r="O979" s="4"/>
      <c r="P979" s="4"/>
      <c r="Q979" s="4"/>
    </row>
    <row r="980" spans="1:17" ht="12.75" customHeight="1">
      <c r="A980" s="4"/>
      <c r="B980" s="4"/>
      <c r="C980" s="3"/>
      <c r="D980" s="4"/>
      <c r="E980" s="4"/>
      <c r="F980" s="4"/>
      <c r="G980" s="4"/>
      <c r="H980" s="4"/>
      <c r="I980" s="4"/>
      <c r="J980" s="4"/>
      <c r="K980" s="4"/>
      <c r="L980" s="4"/>
      <c r="M980" s="4"/>
      <c r="N980" s="4"/>
      <c r="O980" s="4"/>
      <c r="P980" s="4"/>
      <c r="Q980" s="4"/>
    </row>
    <row r="981" spans="1:17" ht="12.75" customHeight="1">
      <c r="A981" s="4"/>
      <c r="B981" s="4"/>
      <c r="C981" s="3"/>
      <c r="D981" s="4"/>
      <c r="E981" s="4"/>
      <c r="F981" s="4"/>
      <c r="G981" s="4"/>
      <c r="H981" s="4"/>
      <c r="I981" s="4"/>
      <c r="J981" s="4"/>
      <c r="K981" s="4"/>
      <c r="L981" s="4"/>
      <c r="M981" s="4"/>
      <c r="N981" s="4"/>
      <c r="O981" s="4"/>
      <c r="P981" s="4"/>
      <c r="Q981" s="4"/>
    </row>
    <row r="982" spans="1:17" ht="12.75" customHeight="1">
      <c r="A982" s="4"/>
      <c r="B982" s="4"/>
      <c r="C982" s="3"/>
      <c r="D982" s="4"/>
      <c r="E982" s="4"/>
      <c r="F982" s="4"/>
      <c r="G982" s="4"/>
      <c r="H982" s="4"/>
      <c r="I982" s="4"/>
      <c r="J982" s="4"/>
      <c r="K982" s="4"/>
      <c r="L982" s="4"/>
      <c r="M982" s="4"/>
      <c r="N982" s="4"/>
      <c r="O982" s="4"/>
      <c r="P982" s="4"/>
      <c r="Q982" s="4"/>
    </row>
    <row r="983" spans="1:17" ht="12.75" customHeight="1">
      <c r="A983" s="4"/>
      <c r="B983" s="4"/>
      <c r="C983" s="3"/>
      <c r="D983" s="4"/>
      <c r="E983" s="4"/>
      <c r="F983" s="4"/>
      <c r="G983" s="4"/>
      <c r="H983" s="4"/>
      <c r="I983" s="4"/>
      <c r="J983" s="4"/>
      <c r="K983" s="4"/>
      <c r="L983" s="4"/>
      <c r="M983" s="4"/>
      <c r="N983" s="4"/>
      <c r="O983" s="4"/>
      <c r="P983" s="4"/>
      <c r="Q983" s="4"/>
    </row>
    <row r="984" spans="1:17" ht="12.75" customHeight="1">
      <c r="A984" s="4"/>
      <c r="B984" s="4"/>
      <c r="C984" s="3"/>
      <c r="D984" s="4"/>
      <c r="E984" s="4"/>
      <c r="F984" s="4"/>
      <c r="G984" s="4"/>
      <c r="H984" s="4"/>
      <c r="I984" s="4"/>
      <c r="J984" s="4"/>
      <c r="K984" s="4"/>
      <c r="L984" s="4"/>
      <c r="M984" s="4"/>
      <c r="N984" s="4"/>
      <c r="O984" s="4"/>
      <c r="P984" s="4"/>
      <c r="Q984" s="4"/>
    </row>
    <row r="985" spans="1:17" ht="12.75" customHeight="1">
      <c r="A985" s="4"/>
      <c r="B985" s="4"/>
      <c r="C985" s="3"/>
      <c r="D985" s="4"/>
      <c r="E985" s="4"/>
      <c r="F985" s="4"/>
      <c r="G985" s="4"/>
      <c r="H985" s="4"/>
      <c r="I985" s="4"/>
      <c r="J985" s="4"/>
      <c r="K985" s="4"/>
      <c r="L985" s="4"/>
      <c r="M985" s="4"/>
      <c r="N985" s="4"/>
      <c r="O985" s="4"/>
      <c r="P985" s="4"/>
      <c r="Q985" s="4"/>
    </row>
    <row r="986" spans="1:17" ht="12.75" customHeight="1">
      <c r="A986" s="4"/>
      <c r="B986" s="4"/>
      <c r="C986" s="3"/>
      <c r="D986" s="4"/>
      <c r="E986" s="4"/>
      <c r="F986" s="4"/>
      <c r="G986" s="4"/>
      <c r="H986" s="4"/>
      <c r="I986" s="4"/>
      <c r="J986" s="4"/>
      <c r="K986" s="4"/>
      <c r="L986" s="4"/>
      <c r="M986" s="4"/>
      <c r="N986" s="4"/>
      <c r="O986" s="4"/>
      <c r="P986" s="4"/>
      <c r="Q986" s="4"/>
    </row>
    <row r="987" spans="1:17" ht="12.75" customHeight="1">
      <c r="A987" s="4"/>
      <c r="B987" s="4"/>
      <c r="C987" s="3"/>
      <c r="D987" s="4"/>
      <c r="E987" s="4"/>
      <c r="F987" s="4"/>
      <c r="G987" s="4"/>
      <c r="H987" s="4"/>
      <c r="I987" s="4"/>
      <c r="J987" s="4"/>
      <c r="K987" s="4"/>
      <c r="L987" s="4"/>
      <c r="M987" s="4"/>
      <c r="N987" s="4"/>
      <c r="O987" s="4"/>
      <c r="P987" s="4"/>
      <c r="Q987" s="4"/>
    </row>
    <row r="988" spans="1:17" ht="12.75" customHeight="1">
      <c r="A988" s="4"/>
      <c r="B988" s="4"/>
      <c r="C988" s="3"/>
      <c r="D988" s="4"/>
      <c r="E988" s="4"/>
      <c r="F988" s="4"/>
      <c r="G988" s="4"/>
      <c r="H988" s="4"/>
      <c r="I988" s="4"/>
      <c r="J988" s="4"/>
      <c r="K988" s="4"/>
      <c r="L988" s="4"/>
      <c r="M988" s="4"/>
      <c r="N988" s="4"/>
      <c r="O988" s="4"/>
      <c r="P988" s="4"/>
      <c r="Q988" s="4"/>
    </row>
    <row r="989" spans="1:17" ht="12.75" customHeight="1">
      <c r="A989" s="4"/>
      <c r="B989" s="4"/>
      <c r="C989" s="3"/>
      <c r="D989" s="4"/>
      <c r="E989" s="4"/>
      <c r="F989" s="4"/>
      <c r="G989" s="4"/>
      <c r="H989" s="4"/>
      <c r="I989" s="4"/>
      <c r="J989" s="4"/>
      <c r="K989" s="4"/>
      <c r="L989" s="4"/>
      <c r="M989" s="4"/>
      <c r="N989" s="4"/>
      <c r="O989" s="4"/>
      <c r="P989" s="4"/>
      <c r="Q989" s="4"/>
    </row>
    <row r="990" spans="1:17" ht="12.75" customHeight="1">
      <c r="A990" s="4"/>
      <c r="B990" s="4"/>
      <c r="C990" s="3"/>
      <c r="D990" s="4"/>
      <c r="E990" s="4"/>
      <c r="F990" s="4"/>
      <c r="G990" s="4"/>
      <c r="H990" s="4"/>
      <c r="I990" s="4"/>
      <c r="J990" s="4"/>
      <c r="K990" s="4"/>
      <c r="L990" s="4"/>
      <c r="M990" s="4"/>
      <c r="N990" s="4"/>
      <c r="O990" s="4"/>
      <c r="P990" s="4"/>
      <c r="Q990" s="4"/>
    </row>
  </sheetData>
  <mergeCells count="4">
    <mergeCell ref="A5:C7"/>
    <mergeCell ref="A14:B14"/>
    <mergeCell ref="A24:B24"/>
    <mergeCell ref="A32:B32"/>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Narrow,Negrita"PRESUPUESTTO 2024</oddHeader>
    <oddFooter>&amp;R&amp;"Arial Narrow,Normal"&amp;P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XFD32"/>
  <sheetViews>
    <sheetView topLeftCell="A16" workbookViewId="0">
      <selection activeCell="C31" sqref="C31:D31"/>
    </sheetView>
  </sheetViews>
  <sheetFormatPr baseColWidth="10" defaultRowHeight="12.75"/>
  <cols>
    <col min="1" max="1" width="41.42578125" style="685" customWidth="1"/>
    <col min="2" max="2" width="20.42578125" style="690" customWidth="1"/>
    <col min="3" max="3" width="16.42578125" style="691" customWidth="1"/>
    <col min="4" max="4" width="13.28515625" style="685" customWidth="1"/>
    <col min="5" max="256" width="11.42578125" style="685"/>
    <col min="257" max="257" width="41.42578125" style="685" customWidth="1"/>
    <col min="258" max="258" width="20.42578125" style="685" customWidth="1"/>
    <col min="259" max="259" width="14.140625" style="685" customWidth="1"/>
    <col min="260" max="512" width="11.42578125" style="685"/>
    <col min="513" max="513" width="41.42578125" style="685" customWidth="1"/>
    <col min="514" max="514" width="20.42578125" style="685" customWidth="1"/>
    <col min="515" max="515" width="14.140625" style="685" customWidth="1"/>
    <col min="516" max="768" width="11.42578125" style="685"/>
    <col min="769" max="769" width="41.42578125" style="685" customWidth="1"/>
    <col min="770" max="770" width="20.42578125" style="685" customWidth="1"/>
    <col min="771" max="771" width="14.140625" style="685" customWidth="1"/>
    <col min="772" max="1024" width="11.42578125" style="685"/>
    <col min="1025" max="1025" width="41.42578125" style="685" customWidth="1"/>
    <col min="1026" max="1026" width="20.42578125" style="685" customWidth="1"/>
    <col min="1027" max="1027" width="14.140625" style="685" customWidth="1"/>
    <col min="1028" max="1280" width="11.42578125" style="685"/>
    <col min="1281" max="1281" width="41.42578125" style="685" customWidth="1"/>
    <col min="1282" max="1282" width="20.42578125" style="685" customWidth="1"/>
    <col min="1283" max="1283" width="14.140625" style="685" customWidth="1"/>
    <col min="1284" max="1536" width="11.42578125" style="685"/>
    <col min="1537" max="1537" width="41.42578125" style="685" customWidth="1"/>
    <col min="1538" max="1538" width="20.42578125" style="685" customWidth="1"/>
    <col min="1539" max="1539" width="14.140625" style="685" customWidth="1"/>
    <col min="1540" max="1792" width="11.42578125" style="685"/>
    <col min="1793" max="1793" width="41.42578125" style="685" customWidth="1"/>
    <col min="1794" max="1794" width="20.42578125" style="685" customWidth="1"/>
    <col min="1795" max="1795" width="14.140625" style="685" customWidth="1"/>
    <col min="1796" max="2048" width="11.42578125" style="685"/>
    <col min="2049" max="2049" width="41.42578125" style="685" customWidth="1"/>
    <col min="2050" max="2050" width="20.42578125" style="685" customWidth="1"/>
    <col min="2051" max="2051" width="14.140625" style="685" customWidth="1"/>
    <col min="2052" max="2304" width="11.42578125" style="685"/>
    <col min="2305" max="2305" width="41.42578125" style="685" customWidth="1"/>
    <col min="2306" max="2306" width="20.42578125" style="685" customWidth="1"/>
    <col min="2307" max="2307" width="14.140625" style="685" customWidth="1"/>
    <col min="2308" max="2560" width="11.42578125" style="685"/>
    <col min="2561" max="2561" width="41.42578125" style="685" customWidth="1"/>
    <col min="2562" max="2562" width="20.42578125" style="685" customWidth="1"/>
    <col min="2563" max="2563" width="14.140625" style="685" customWidth="1"/>
    <col min="2564" max="2816" width="11.42578125" style="685"/>
    <col min="2817" max="2817" width="41.42578125" style="685" customWidth="1"/>
    <col min="2818" max="2818" width="20.42578125" style="685" customWidth="1"/>
    <col min="2819" max="2819" width="14.140625" style="685" customWidth="1"/>
    <col min="2820" max="3072" width="11.42578125" style="685"/>
    <col min="3073" max="3073" width="41.42578125" style="685" customWidth="1"/>
    <col min="3074" max="3074" width="20.42578125" style="685" customWidth="1"/>
    <col min="3075" max="3075" width="14.140625" style="685" customWidth="1"/>
    <col min="3076" max="3328" width="11.42578125" style="685"/>
    <col min="3329" max="3329" width="41.42578125" style="685" customWidth="1"/>
    <col min="3330" max="3330" width="20.42578125" style="685" customWidth="1"/>
    <col min="3331" max="3331" width="14.140625" style="685" customWidth="1"/>
    <col min="3332" max="3584" width="11.42578125" style="685"/>
    <col min="3585" max="3585" width="41.42578125" style="685" customWidth="1"/>
    <col min="3586" max="3586" width="20.42578125" style="685" customWidth="1"/>
    <col min="3587" max="3587" width="14.140625" style="685" customWidth="1"/>
    <col min="3588" max="3840" width="11.42578125" style="685"/>
    <col min="3841" max="3841" width="41.42578125" style="685" customWidth="1"/>
    <col min="3842" max="3842" width="20.42578125" style="685" customWidth="1"/>
    <col min="3843" max="3843" width="14.140625" style="685" customWidth="1"/>
    <col min="3844" max="4096" width="11.42578125" style="685"/>
    <col min="4097" max="4097" width="41.42578125" style="685" customWidth="1"/>
    <col min="4098" max="4098" width="20.42578125" style="685" customWidth="1"/>
    <col min="4099" max="4099" width="14.140625" style="685" customWidth="1"/>
    <col min="4100" max="4352" width="11.42578125" style="685"/>
    <col min="4353" max="4353" width="41.42578125" style="685" customWidth="1"/>
    <col min="4354" max="4354" width="20.42578125" style="685" customWidth="1"/>
    <col min="4355" max="4355" width="14.140625" style="685" customWidth="1"/>
    <col min="4356" max="4608" width="11.42578125" style="685"/>
    <col min="4609" max="4609" width="41.42578125" style="685" customWidth="1"/>
    <col min="4610" max="4610" width="20.42578125" style="685" customWidth="1"/>
    <col min="4611" max="4611" width="14.140625" style="685" customWidth="1"/>
    <col min="4612" max="4864" width="11.42578125" style="685"/>
    <col min="4865" max="4865" width="41.42578125" style="685" customWidth="1"/>
    <col min="4866" max="4866" width="20.42578125" style="685" customWidth="1"/>
    <col min="4867" max="4867" width="14.140625" style="685" customWidth="1"/>
    <col min="4868" max="5120" width="11.42578125" style="685"/>
    <col min="5121" max="5121" width="41.42578125" style="685" customWidth="1"/>
    <col min="5122" max="5122" width="20.42578125" style="685" customWidth="1"/>
    <col min="5123" max="5123" width="14.140625" style="685" customWidth="1"/>
    <col min="5124" max="5376" width="11.42578125" style="685"/>
    <col min="5377" max="5377" width="41.42578125" style="685" customWidth="1"/>
    <col min="5378" max="5378" width="20.42578125" style="685" customWidth="1"/>
    <col min="5379" max="5379" width="14.140625" style="685" customWidth="1"/>
    <col min="5380" max="5632" width="11.42578125" style="685"/>
    <col min="5633" max="5633" width="41.42578125" style="685" customWidth="1"/>
    <col min="5634" max="5634" width="20.42578125" style="685" customWidth="1"/>
    <col min="5635" max="5635" width="14.140625" style="685" customWidth="1"/>
    <col min="5636" max="5888" width="11.42578125" style="685"/>
    <col min="5889" max="5889" width="41.42578125" style="685" customWidth="1"/>
    <col min="5890" max="5890" width="20.42578125" style="685" customWidth="1"/>
    <col min="5891" max="5891" width="14.140625" style="685" customWidth="1"/>
    <col min="5892" max="6144" width="11.42578125" style="685"/>
    <col min="6145" max="6145" width="41.42578125" style="685" customWidth="1"/>
    <col min="6146" max="6146" width="20.42578125" style="685" customWidth="1"/>
    <col min="6147" max="6147" width="14.140625" style="685" customWidth="1"/>
    <col min="6148" max="6400" width="11.42578125" style="685"/>
    <col min="6401" max="6401" width="41.42578125" style="685" customWidth="1"/>
    <col min="6402" max="6402" width="20.42578125" style="685" customWidth="1"/>
    <col min="6403" max="6403" width="14.140625" style="685" customWidth="1"/>
    <col min="6404" max="6656" width="11.42578125" style="685"/>
    <col min="6657" max="6657" width="41.42578125" style="685" customWidth="1"/>
    <col min="6658" max="6658" width="20.42578125" style="685" customWidth="1"/>
    <col min="6659" max="6659" width="14.140625" style="685" customWidth="1"/>
    <col min="6660" max="6912" width="11.42578125" style="685"/>
    <col min="6913" max="6913" width="41.42578125" style="685" customWidth="1"/>
    <col min="6914" max="6914" width="20.42578125" style="685" customWidth="1"/>
    <col min="6915" max="6915" width="14.140625" style="685" customWidth="1"/>
    <col min="6916" max="7168" width="11.42578125" style="685"/>
    <col min="7169" max="7169" width="41.42578125" style="685" customWidth="1"/>
    <col min="7170" max="7170" width="20.42578125" style="685" customWidth="1"/>
    <col min="7171" max="7171" width="14.140625" style="685" customWidth="1"/>
    <col min="7172" max="7424" width="11.42578125" style="685"/>
    <col min="7425" max="7425" width="41.42578125" style="685" customWidth="1"/>
    <col min="7426" max="7426" width="20.42578125" style="685" customWidth="1"/>
    <col min="7427" max="7427" width="14.140625" style="685" customWidth="1"/>
    <col min="7428" max="7680" width="11.42578125" style="685"/>
    <col min="7681" max="7681" width="41.42578125" style="685" customWidth="1"/>
    <col min="7682" max="7682" width="20.42578125" style="685" customWidth="1"/>
    <col min="7683" max="7683" width="14.140625" style="685" customWidth="1"/>
    <col min="7684" max="7936" width="11.42578125" style="685"/>
    <col min="7937" max="7937" width="41.42578125" style="685" customWidth="1"/>
    <col min="7938" max="7938" width="20.42578125" style="685" customWidth="1"/>
    <col min="7939" max="7939" width="14.140625" style="685" customWidth="1"/>
    <col min="7940" max="8192" width="11.42578125" style="685"/>
    <col min="8193" max="8193" width="41.42578125" style="685" customWidth="1"/>
    <col min="8194" max="8194" width="20.42578125" style="685" customWidth="1"/>
    <col min="8195" max="8195" width="14.140625" style="685" customWidth="1"/>
    <col min="8196" max="8448" width="11.42578125" style="685"/>
    <col min="8449" max="8449" width="41.42578125" style="685" customWidth="1"/>
    <col min="8450" max="8450" width="20.42578125" style="685" customWidth="1"/>
    <col min="8451" max="8451" width="14.140625" style="685" customWidth="1"/>
    <col min="8452" max="8704" width="11.42578125" style="685"/>
    <col min="8705" max="8705" width="41.42578125" style="685" customWidth="1"/>
    <col min="8706" max="8706" width="20.42578125" style="685" customWidth="1"/>
    <col min="8707" max="8707" width="14.140625" style="685" customWidth="1"/>
    <col min="8708" max="8960" width="11.42578125" style="685"/>
    <col min="8961" max="8961" width="41.42578125" style="685" customWidth="1"/>
    <col min="8962" max="8962" width="20.42578125" style="685" customWidth="1"/>
    <col min="8963" max="8963" width="14.140625" style="685" customWidth="1"/>
    <col min="8964" max="9216" width="11.42578125" style="685"/>
    <col min="9217" max="9217" width="41.42578125" style="685" customWidth="1"/>
    <col min="9218" max="9218" width="20.42578125" style="685" customWidth="1"/>
    <col min="9219" max="9219" width="14.140625" style="685" customWidth="1"/>
    <col min="9220" max="9472" width="11.42578125" style="685"/>
    <col min="9473" max="9473" width="41.42578125" style="685" customWidth="1"/>
    <col min="9474" max="9474" width="20.42578125" style="685" customWidth="1"/>
    <col min="9475" max="9475" width="14.140625" style="685" customWidth="1"/>
    <col min="9476" max="9728" width="11.42578125" style="685"/>
    <col min="9729" max="9729" width="41.42578125" style="685" customWidth="1"/>
    <col min="9730" max="9730" width="20.42578125" style="685" customWidth="1"/>
    <col min="9731" max="9731" width="14.140625" style="685" customWidth="1"/>
    <col min="9732" max="9984" width="11.42578125" style="685"/>
    <col min="9985" max="9985" width="41.42578125" style="685" customWidth="1"/>
    <col min="9986" max="9986" width="20.42578125" style="685" customWidth="1"/>
    <col min="9987" max="9987" width="14.140625" style="685" customWidth="1"/>
    <col min="9988" max="10240" width="11.42578125" style="685"/>
    <col min="10241" max="10241" width="41.42578125" style="685" customWidth="1"/>
    <col min="10242" max="10242" width="20.42578125" style="685" customWidth="1"/>
    <col min="10243" max="10243" width="14.140625" style="685" customWidth="1"/>
    <col min="10244" max="10496" width="11.42578125" style="685"/>
    <col min="10497" max="10497" width="41.42578125" style="685" customWidth="1"/>
    <col min="10498" max="10498" width="20.42578125" style="685" customWidth="1"/>
    <col min="10499" max="10499" width="14.140625" style="685" customWidth="1"/>
    <col min="10500" max="10752" width="11.42578125" style="685"/>
    <col min="10753" max="10753" width="41.42578125" style="685" customWidth="1"/>
    <col min="10754" max="10754" width="20.42578125" style="685" customWidth="1"/>
    <col min="10755" max="10755" width="14.140625" style="685" customWidth="1"/>
    <col min="10756" max="11008" width="11.42578125" style="685"/>
    <col min="11009" max="11009" width="41.42578125" style="685" customWidth="1"/>
    <col min="11010" max="11010" width="20.42578125" style="685" customWidth="1"/>
    <col min="11011" max="11011" width="14.140625" style="685" customWidth="1"/>
    <col min="11012" max="11264" width="11.42578125" style="685"/>
    <col min="11265" max="11265" width="41.42578125" style="685" customWidth="1"/>
    <col min="11266" max="11266" width="20.42578125" style="685" customWidth="1"/>
    <col min="11267" max="11267" width="14.140625" style="685" customWidth="1"/>
    <col min="11268" max="11520" width="11.42578125" style="685"/>
    <col min="11521" max="11521" width="41.42578125" style="685" customWidth="1"/>
    <col min="11522" max="11522" width="20.42578125" style="685" customWidth="1"/>
    <col min="11523" max="11523" width="14.140625" style="685" customWidth="1"/>
    <col min="11524" max="11776" width="11.42578125" style="685"/>
    <col min="11777" max="11777" width="41.42578125" style="685" customWidth="1"/>
    <col min="11778" max="11778" width="20.42578125" style="685" customWidth="1"/>
    <col min="11779" max="11779" width="14.140625" style="685" customWidth="1"/>
    <col min="11780" max="12032" width="11.42578125" style="685"/>
    <col min="12033" max="12033" width="41.42578125" style="685" customWidth="1"/>
    <col min="12034" max="12034" width="20.42578125" style="685" customWidth="1"/>
    <col min="12035" max="12035" width="14.140625" style="685" customWidth="1"/>
    <col min="12036" max="12288" width="11.42578125" style="685"/>
    <col min="12289" max="12289" width="41.42578125" style="685" customWidth="1"/>
    <col min="12290" max="12290" width="20.42578125" style="685" customWidth="1"/>
    <col min="12291" max="12291" width="14.140625" style="685" customWidth="1"/>
    <col min="12292" max="12544" width="11.42578125" style="685"/>
    <col min="12545" max="12545" width="41.42578125" style="685" customWidth="1"/>
    <col min="12546" max="12546" width="20.42578125" style="685" customWidth="1"/>
    <col min="12547" max="12547" width="14.140625" style="685" customWidth="1"/>
    <col min="12548" max="12800" width="11.42578125" style="685"/>
    <col min="12801" max="12801" width="41.42578125" style="685" customWidth="1"/>
    <col min="12802" max="12802" width="20.42578125" style="685" customWidth="1"/>
    <col min="12803" max="12803" width="14.140625" style="685" customWidth="1"/>
    <col min="12804" max="13056" width="11.42578125" style="685"/>
    <col min="13057" max="13057" width="41.42578125" style="685" customWidth="1"/>
    <col min="13058" max="13058" width="20.42578125" style="685" customWidth="1"/>
    <col min="13059" max="13059" width="14.140625" style="685" customWidth="1"/>
    <col min="13060" max="13312" width="11.42578125" style="685"/>
    <col min="13313" max="13313" width="41.42578125" style="685" customWidth="1"/>
    <col min="13314" max="13314" width="20.42578125" style="685" customWidth="1"/>
    <col min="13315" max="13315" width="14.140625" style="685" customWidth="1"/>
    <col min="13316" max="13568" width="11.42578125" style="685"/>
    <col min="13569" max="13569" width="41.42578125" style="685" customWidth="1"/>
    <col min="13570" max="13570" width="20.42578125" style="685" customWidth="1"/>
    <col min="13571" max="13571" width="14.140625" style="685" customWidth="1"/>
    <col min="13572" max="13824" width="11.42578125" style="685"/>
    <col min="13825" max="13825" width="41.42578125" style="685" customWidth="1"/>
    <col min="13826" max="13826" width="20.42578125" style="685" customWidth="1"/>
    <col min="13827" max="13827" width="14.140625" style="685" customWidth="1"/>
    <col min="13828" max="14080" width="11.42578125" style="685"/>
    <col min="14081" max="14081" width="41.42578125" style="685" customWidth="1"/>
    <col min="14082" max="14082" width="20.42578125" style="685" customWidth="1"/>
    <col min="14083" max="14083" width="14.140625" style="685" customWidth="1"/>
    <col min="14084" max="14336" width="11.42578125" style="685"/>
    <col min="14337" max="14337" width="41.42578125" style="685" customWidth="1"/>
    <col min="14338" max="14338" width="20.42578125" style="685" customWidth="1"/>
    <col min="14339" max="14339" width="14.140625" style="685" customWidth="1"/>
    <col min="14340" max="14592" width="11.42578125" style="685"/>
    <col min="14593" max="14593" width="41.42578125" style="685" customWidth="1"/>
    <col min="14594" max="14594" width="20.42578125" style="685" customWidth="1"/>
    <col min="14595" max="14595" width="14.140625" style="685" customWidth="1"/>
    <col min="14596" max="14848" width="11.42578125" style="685"/>
    <col min="14849" max="14849" width="41.42578125" style="685" customWidth="1"/>
    <col min="14850" max="14850" width="20.42578125" style="685" customWidth="1"/>
    <col min="14851" max="14851" width="14.140625" style="685" customWidth="1"/>
    <col min="14852" max="15104" width="11.42578125" style="685"/>
    <col min="15105" max="15105" width="41.42578125" style="685" customWidth="1"/>
    <col min="15106" max="15106" width="20.42578125" style="685" customWidth="1"/>
    <col min="15107" max="15107" width="14.140625" style="685" customWidth="1"/>
    <col min="15108" max="15360" width="11.42578125" style="685"/>
    <col min="15361" max="15361" width="41.42578125" style="685" customWidth="1"/>
    <col min="15362" max="15362" width="20.42578125" style="685" customWidth="1"/>
    <col min="15363" max="15363" width="14.140625" style="685" customWidth="1"/>
    <col min="15364" max="15616" width="11.42578125" style="685"/>
    <col min="15617" max="15617" width="41.42578125" style="685" customWidth="1"/>
    <col min="15618" max="15618" width="20.42578125" style="685" customWidth="1"/>
    <col min="15619" max="15619" width="14.140625" style="685" customWidth="1"/>
    <col min="15620" max="15872" width="11.42578125" style="685"/>
    <col min="15873" max="15873" width="41.42578125" style="685" customWidth="1"/>
    <col min="15874" max="15874" width="20.42578125" style="685" customWidth="1"/>
    <col min="15875" max="15875" width="14.140625" style="685" customWidth="1"/>
    <col min="15876" max="16128" width="11.42578125" style="685"/>
    <col min="16129" max="16129" width="41.42578125" style="685" customWidth="1"/>
    <col min="16130" max="16130" width="20.42578125" style="685" customWidth="1"/>
    <col min="16131" max="16131" width="14.140625" style="685" customWidth="1"/>
    <col min="16132" max="16384" width="11.42578125" style="685"/>
  </cols>
  <sheetData>
    <row r="4" spans="1:3" ht="18" customHeight="1">
      <c r="A4" s="973" t="s">
        <v>704</v>
      </c>
      <c r="B4" s="974" t="s">
        <v>440</v>
      </c>
      <c r="C4" s="975" t="s">
        <v>441</v>
      </c>
    </row>
    <row r="5" spans="1:3" ht="18" customHeight="1">
      <c r="A5" s="686" t="s">
        <v>442</v>
      </c>
      <c r="B5" s="687">
        <f>'INGRESOS 2024'!N3</f>
        <v>14283331902.160004</v>
      </c>
      <c r="C5" s="976">
        <f>(B5/B10)</f>
        <v>0.47944903624375806</v>
      </c>
    </row>
    <row r="6" spans="1:3" ht="18" customHeight="1">
      <c r="A6" s="686" t="s">
        <v>443</v>
      </c>
      <c r="B6" s="687">
        <f>'INGRESOS 2024'!N75</f>
        <v>11153669107.059999</v>
      </c>
      <c r="C6" s="976">
        <f>(B6/B10)</f>
        <v>0.37439555004340397</v>
      </c>
    </row>
    <row r="7" spans="1:3" ht="18" customHeight="1">
      <c r="A7" s="686" t="s">
        <v>403</v>
      </c>
      <c r="B7" s="687">
        <f>'INGRESOS 2024'!O94</f>
        <v>4350934536.2800007</v>
      </c>
      <c r="C7" s="976">
        <f>(B7/B10)</f>
        <v>0.14604795186924591</v>
      </c>
    </row>
    <row r="8" spans="1:3" ht="18" customHeight="1">
      <c r="A8" s="686" t="s">
        <v>444</v>
      </c>
      <c r="B8" s="687">
        <f>'INGRESOS 2024'!O108</f>
        <v>13</v>
      </c>
      <c r="C8" s="976">
        <f>(B8/B10)</f>
        <v>4.3637139526431437E-10</v>
      </c>
    </row>
    <row r="9" spans="1:3" ht="18" customHeight="1">
      <c r="A9" s="686" t="s">
        <v>445</v>
      </c>
      <c r="B9" s="687">
        <f>'INGRESOS 2024'!O131</f>
        <v>3201397.5</v>
      </c>
      <c r="C9" s="976">
        <f>(B9/B10)</f>
        <v>1.0746140722082215E-4</v>
      </c>
    </row>
    <row r="10" spans="1:3" ht="18" customHeight="1">
      <c r="A10" s="686" t="s">
        <v>446</v>
      </c>
      <c r="B10" s="689">
        <f>SUM(B5:B9)</f>
        <v>29791136956</v>
      </c>
      <c r="C10" s="688"/>
    </row>
    <row r="11" spans="1:3" ht="18" customHeight="1"/>
    <row r="12" spans="1:3" ht="18" customHeight="1">
      <c r="A12" s="692"/>
      <c r="B12" s="693"/>
    </row>
    <row r="13" spans="1:3" ht="18" customHeight="1">
      <c r="A13" s="692"/>
      <c r="B13" s="693"/>
    </row>
    <row r="14" spans="1:3" ht="18" customHeight="1">
      <c r="A14" s="692"/>
      <c r="B14" s="693"/>
    </row>
    <row r="15" spans="1:3" ht="18" customHeight="1">
      <c r="A15" s="692"/>
      <c r="B15" s="693"/>
    </row>
    <row r="16" spans="1:3" ht="18" customHeight="1">
      <c r="B16" s="694"/>
    </row>
    <row r="22" spans="1:16384" ht="30.75" customHeight="1">
      <c r="A22" s="1260" t="s">
        <v>703</v>
      </c>
      <c r="B22" s="1260"/>
      <c r="C22" s="1262" t="s">
        <v>440</v>
      </c>
      <c r="D22" s="1262"/>
    </row>
    <row r="23" spans="1:16384" s="972" customFormat="1" ht="51" customHeight="1">
      <c r="A23" s="1267" t="s">
        <v>697</v>
      </c>
      <c r="B23" s="1267"/>
      <c r="C23" s="1261" t="e">
        <f>cuadro!L11</f>
        <v>#REF!</v>
      </c>
      <c r="D23" s="1261"/>
    </row>
    <row r="24" spans="1:16384" s="972" customFormat="1" ht="42.75" customHeight="1">
      <c r="A24" s="1267" t="s">
        <v>684</v>
      </c>
      <c r="B24" s="1267"/>
      <c r="C24" s="1261" t="e">
        <f>cuadro!L10</f>
        <v>#REF!</v>
      </c>
      <c r="D24" s="1261"/>
    </row>
    <row r="25" spans="1:16384" s="972" customFormat="1" ht="42.75" customHeight="1">
      <c r="A25" s="1267" t="s">
        <v>698</v>
      </c>
      <c r="B25" s="1267"/>
      <c r="C25" s="1261">
        <f>cuadro!L7</f>
        <v>0</v>
      </c>
      <c r="D25" s="1261"/>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c r="CB25" s="1266"/>
      <c r="CC25" s="1266"/>
      <c r="CD25" s="1266"/>
      <c r="CE25" s="1266"/>
      <c r="CF25" s="1266"/>
      <c r="CG25" s="1266"/>
      <c r="CH25" s="1266"/>
      <c r="CI25" s="1266"/>
      <c r="CJ25" s="1266"/>
      <c r="CK25" s="1266"/>
      <c r="CL25" s="1266"/>
      <c r="CM25" s="1266"/>
      <c r="CN25" s="1266"/>
      <c r="CO25" s="1266"/>
      <c r="CP25" s="1266"/>
      <c r="CQ25" s="1266"/>
      <c r="CR25" s="1266"/>
      <c r="CS25" s="1266"/>
      <c r="CT25" s="1266"/>
      <c r="CU25" s="1266"/>
      <c r="CV25" s="1266"/>
      <c r="CW25" s="1266"/>
      <c r="CX25" s="1266"/>
      <c r="CY25" s="1266"/>
      <c r="CZ25" s="1266"/>
      <c r="DA25" s="1266"/>
      <c r="DB25" s="1266"/>
      <c r="DC25" s="1266"/>
      <c r="DD25" s="1266"/>
      <c r="DE25" s="1266"/>
      <c r="DF25" s="1266"/>
      <c r="DG25" s="1266"/>
      <c r="DH25" s="1266"/>
      <c r="DI25" s="1266"/>
      <c r="DJ25" s="1266"/>
      <c r="DK25" s="1266"/>
      <c r="DL25" s="1266"/>
      <c r="DM25" s="1266"/>
      <c r="DN25" s="1266"/>
      <c r="DO25" s="1266"/>
      <c r="DP25" s="1266"/>
      <c r="DQ25" s="1266"/>
      <c r="DR25" s="1266"/>
      <c r="DS25" s="1266"/>
      <c r="DT25" s="1266"/>
      <c r="DU25" s="1266"/>
      <c r="DV25" s="1266"/>
      <c r="DW25" s="1266"/>
      <c r="DX25" s="1266"/>
      <c r="DY25" s="1266"/>
      <c r="DZ25" s="1266"/>
      <c r="EA25" s="1266"/>
      <c r="EB25" s="1266"/>
      <c r="EC25" s="1266"/>
      <c r="ED25" s="1266"/>
      <c r="EE25" s="1266"/>
      <c r="EF25" s="1266"/>
      <c r="EG25" s="1266"/>
      <c r="EH25" s="1266"/>
      <c r="EI25" s="1266"/>
      <c r="EJ25" s="1266"/>
      <c r="EK25" s="1266"/>
      <c r="EL25" s="1266"/>
      <c r="EM25" s="1266"/>
      <c r="EN25" s="1266"/>
      <c r="EO25" s="1266"/>
      <c r="EP25" s="1266"/>
      <c r="EQ25" s="1266"/>
      <c r="ER25" s="1266"/>
      <c r="ES25" s="1266"/>
      <c r="ET25" s="1266"/>
      <c r="EU25" s="1266"/>
      <c r="EV25" s="1266"/>
      <c r="EW25" s="1266"/>
      <c r="EX25" s="1266"/>
      <c r="EY25" s="1266"/>
      <c r="EZ25" s="1266"/>
      <c r="FA25" s="1266"/>
      <c r="FB25" s="1266"/>
      <c r="FC25" s="1266"/>
      <c r="FD25" s="1266"/>
      <c r="FE25" s="1266"/>
      <c r="FF25" s="1266"/>
      <c r="FG25" s="1266"/>
      <c r="FH25" s="1266"/>
      <c r="FI25" s="1266"/>
      <c r="FJ25" s="1266"/>
      <c r="FK25" s="1266"/>
      <c r="FL25" s="1266"/>
      <c r="FM25" s="1266"/>
      <c r="FN25" s="1266"/>
      <c r="FO25" s="1266"/>
      <c r="FP25" s="1266"/>
      <c r="FQ25" s="1266"/>
      <c r="FR25" s="1266"/>
      <c r="FS25" s="1266"/>
      <c r="FT25" s="1266"/>
      <c r="FU25" s="1266"/>
      <c r="FV25" s="1266"/>
      <c r="FW25" s="1266"/>
      <c r="FX25" s="1266"/>
      <c r="FY25" s="1266"/>
      <c r="FZ25" s="1266"/>
      <c r="GA25" s="1266"/>
      <c r="GB25" s="1266"/>
      <c r="GC25" s="1266"/>
      <c r="GD25" s="1266"/>
      <c r="GE25" s="1266"/>
      <c r="GF25" s="1266"/>
      <c r="GG25" s="1266"/>
      <c r="GH25" s="1266"/>
      <c r="GI25" s="1266"/>
      <c r="GJ25" s="1266"/>
      <c r="GK25" s="1266"/>
      <c r="GL25" s="1266"/>
      <c r="GM25" s="1266"/>
      <c r="GN25" s="1266"/>
      <c r="GO25" s="1266"/>
      <c r="GP25" s="1266"/>
      <c r="GQ25" s="1266"/>
      <c r="GR25" s="1266"/>
      <c r="GS25" s="1266"/>
      <c r="GT25" s="1266"/>
      <c r="GU25" s="1266"/>
      <c r="GV25" s="1266"/>
      <c r="GW25" s="1266"/>
      <c r="GX25" s="1266"/>
      <c r="GY25" s="1266"/>
      <c r="GZ25" s="1266"/>
      <c r="HA25" s="1266"/>
      <c r="HB25" s="1266"/>
      <c r="HC25" s="1266"/>
      <c r="HD25" s="1266"/>
      <c r="HE25" s="1266"/>
      <c r="HF25" s="1266"/>
      <c r="HG25" s="1266"/>
      <c r="HH25" s="1266"/>
      <c r="HI25" s="1266"/>
      <c r="HJ25" s="1266"/>
      <c r="HK25" s="1266"/>
      <c r="HL25" s="1266"/>
      <c r="HM25" s="1266"/>
      <c r="HN25" s="1266"/>
      <c r="HO25" s="1266"/>
      <c r="HP25" s="1266"/>
      <c r="HQ25" s="1266"/>
      <c r="HR25" s="1266"/>
      <c r="HS25" s="1266"/>
      <c r="HT25" s="1266"/>
      <c r="HU25" s="1266"/>
      <c r="HV25" s="1266"/>
      <c r="HW25" s="1266"/>
      <c r="HX25" s="1266"/>
      <c r="HY25" s="1266"/>
      <c r="HZ25" s="1266"/>
      <c r="IA25" s="1266"/>
      <c r="IB25" s="1266"/>
      <c r="IC25" s="1266"/>
      <c r="ID25" s="1266"/>
      <c r="IE25" s="1266"/>
      <c r="IF25" s="1266"/>
      <c r="IG25" s="1266"/>
      <c r="IH25" s="1266"/>
      <c r="II25" s="1266"/>
      <c r="IJ25" s="1266"/>
      <c r="IK25" s="1266"/>
      <c r="IL25" s="1266"/>
      <c r="IM25" s="1266"/>
      <c r="IN25" s="1266"/>
      <c r="IO25" s="1266"/>
      <c r="IP25" s="1266"/>
      <c r="IQ25" s="1266"/>
      <c r="IR25" s="1266"/>
      <c r="IS25" s="1266"/>
      <c r="IT25" s="1266"/>
      <c r="IU25" s="1266"/>
      <c r="IV25" s="1266"/>
      <c r="IW25" s="1266"/>
      <c r="IX25" s="1266"/>
      <c r="IY25" s="1266"/>
      <c r="IZ25" s="1266"/>
      <c r="JA25" s="1266"/>
      <c r="JB25" s="1266"/>
      <c r="JC25" s="1266"/>
      <c r="JD25" s="1266"/>
      <c r="JE25" s="1266"/>
      <c r="JF25" s="1266"/>
      <c r="JG25" s="1266"/>
      <c r="JH25" s="1266"/>
      <c r="JI25" s="1266"/>
      <c r="JJ25" s="1266"/>
      <c r="JK25" s="1266"/>
      <c r="JL25" s="1266"/>
      <c r="JM25" s="1266"/>
      <c r="JN25" s="1266"/>
      <c r="JO25" s="1266"/>
      <c r="JP25" s="1266"/>
      <c r="JQ25" s="1266"/>
      <c r="JR25" s="1266"/>
      <c r="JS25" s="1266"/>
      <c r="JT25" s="1266"/>
      <c r="JU25" s="1266"/>
      <c r="JV25" s="1266"/>
      <c r="JW25" s="1266"/>
      <c r="JX25" s="1266"/>
      <c r="JY25" s="1266"/>
      <c r="JZ25" s="1266"/>
      <c r="KA25" s="1266"/>
      <c r="KB25" s="1266"/>
      <c r="KC25" s="1266"/>
      <c r="KD25" s="1266"/>
      <c r="KE25" s="1266"/>
      <c r="KF25" s="1266"/>
      <c r="KG25" s="1266"/>
      <c r="KH25" s="1266"/>
      <c r="KI25" s="1266"/>
      <c r="KJ25" s="1266"/>
      <c r="KK25" s="1266"/>
      <c r="KL25" s="1266"/>
      <c r="KM25" s="1266"/>
      <c r="KN25" s="1266"/>
      <c r="KO25" s="1266"/>
      <c r="KP25" s="1266"/>
      <c r="KQ25" s="1266"/>
      <c r="KR25" s="1266"/>
      <c r="KS25" s="1266"/>
      <c r="KT25" s="1266"/>
      <c r="KU25" s="1266"/>
      <c r="KV25" s="1266"/>
      <c r="KW25" s="1266"/>
      <c r="KX25" s="1266"/>
      <c r="KY25" s="1266"/>
      <c r="KZ25" s="1266"/>
      <c r="LA25" s="1266"/>
      <c r="LB25" s="1266"/>
      <c r="LC25" s="1266"/>
      <c r="LD25" s="1266"/>
      <c r="LE25" s="1266"/>
      <c r="LF25" s="1266"/>
      <c r="LG25" s="1266"/>
      <c r="LH25" s="1266"/>
      <c r="LI25" s="1266"/>
      <c r="LJ25" s="1266"/>
      <c r="LK25" s="1266"/>
      <c r="LL25" s="1266"/>
      <c r="LM25" s="1266"/>
      <c r="LN25" s="1266"/>
      <c r="LO25" s="1266"/>
      <c r="LP25" s="1266"/>
      <c r="LQ25" s="1266"/>
      <c r="LR25" s="1266"/>
      <c r="LS25" s="1266"/>
      <c r="LT25" s="1266"/>
      <c r="LU25" s="1266"/>
      <c r="LV25" s="1266"/>
      <c r="LW25" s="1266"/>
      <c r="LX25" s="1266"/>
      <c r="LY25" s="1266"/>
      <c r="LZ25" s="1266"/>
      <c r="MA25" s="1266"/>
      <c r="MB25" s="1266"/>
      <c r="MC25" s="1266"/>
      <c r="MD25" s="1266"/>
      <c r="ME25" s="1266"/>
      <c r="MF25" s="1266"/>
      <c r="MG25" s="1266"/>
      <c r="MH25" s="1266"/>
      <c r="MI25" s="1266"/>
      <c r="MJ25" s="1266"/>
      <c r="MK25" s="1266"/>
      <c r="ML25" s="1266"/>
      <c r="MM25" s="1266"/>
      <c r="MN25" s="1266"/>
      <c r="MO25" s="1266"/>
      <c r="MP25" s="1266"/>
      <c r="MQ25" s="1266"/>
      <c r="MR25" s="1266"/>
      <c r="MS25" s="1266"/>
      <c r="MT25" s="1266"/>
      <c r="MU25" s="1266"/>
      <c r="MV25" s="1266"/>
      <c r="MW25" s="1266"/>
      <c r="MX25" s="1266"/>
      <c r="MY25" s="1266"/>
      <c r="MZ25" s="1266"/>
      <c r="NA25" s="1266"/>
      <c r="NB25" s="1266"/>
      <c r="NC25" s="1266"/>
      <c r="ND25" s="1266"/>
      <c r="NE25" s="1266"/>
      <c r="NF25" s="1266"/>
      <c r="NG25" s="1266"/>
      <c r="NH25" s="1266"/>
      <c r="NI25" s="1266"/>
      <c r="NJ25" s="1266"/>
      <c r="NK25" s="1266"/>
      <c r="NL25" s="1266"/>
      <c r="NM25" s="1266"/>
      <c r="NN25" s="1266"/>
      <c r="NO25" s="1266"/>
      <c r="NP25" s="1266"/>
      <c r="NQ25" s="1266"/>
      <c r="NR25" s="1266"/>
      <c r="NS25" s="1266"/>
      <c r="NT25" s="1266"/>
      <c r="NU25" s="1266"/>
      <c r="NV25" s="1266"/>
      <c r="NW25" s="1266"/>
      <c r="NX25" s="1266"/>
      <c r="NY25" s="1266"/>
      <c r="NZ25" s="1266"/>
      <c r="OA25" s="1266"/>
      <c r="OB25" s="1266"/>
      <c r="OC25" s="1266"/>
      <c r="OD25" s="1266"/>
      <c r="OE25" s="1266"/>
      <c r="OF25" s="1266"/>
      <c r="OG25" s="1266"/>
      <c r="OH25" s="1266"/>
      <c r="OI25" s="1266"/>
      <c r="OJ25" s="1266"/>
      <c r="OK25" s="1266"/>
      <c r="OL25" s="1266"/>
      <c r="OM25" s="1266"/>
      <c r="ON25" s="1266"/>
      <c r="OO25" s="1266"/>
      <c r="OP25" s="1266"/>
      <c r="OQ25" s="1266"/>
      <c r="OR25" s="1266"/>
      <c r="OS25" s="1266"/>
      <c r="OT25" s="1266"/>
      <c r="OU25" s="1266"/>
      <c r="OV25" s="1266"/>
      <c r="OW25" s="1266"/>
      <c r="OX25" s="1266"/>
      <c r="OY25" s="1266"/>
      <c r="OZ25" s="1266"/>
      <c r="PA25" s="1266"/>
      <c r="PB25" s="1266"/>
      <c r="PC25" s="1266"/>
      <c r="PD25" s="1266"/>
      <c r="PE25" s="1266"/>
      <c r="PF25" s="1266"/>
      <c r="PG25" s="1266"/>
      <c r="PH25" s="1266"/>
      <c r="PI25" s="1266"/>
      <c r="PJ25" s="1266"/>
      <c r="PK25" s="1266"/>
      <c r="PL25" s="1266"/>
      <c r="PM25" s="1266"/>
      <c r="PN25" s="1266"/>
      <c r="PO25" s="1266"/>
      <c r="PP25" s="1266"/>
      <c r="PQ25" s="1266"/>
      <c r="PR25" s="1266"/>
      <c r="PS25" s="1266"/>
      <c r="PT25" s="1266"/>
      <c r="PU25" s="1266"/>
      <c r="PV25" s="1266"/>
      <c r="PW25" s="1266"/>
      <c r="PX25" s="1266"/>
      <c r="PY25" s="1266"/>
      <c r="PZ25" s="1266"/>
      <c r="QA25" s="1266"/>
      <c r="QB25" s="1266"/>
      <c r="QC25" s="1266"/>
      <c r="QD25" s="1266"/>
      <c r="QE25" s="1266"/>
      <c r="QF25" s="1266"/>
      <c r="QG25" s="1266"/>
      <c r="QH25" s="1266"/>
      <c r="QI25" s="1266"/>
      <c r="QJ25" s="1266"/>
      <c r="QK25" s="1266"/>
      <c r="QL25" s="1266"/>
      <c r="QM25" s="1266"/>
      <c r="QN25" s="1266"/>
      <c r="QO25" s="1266"/>
      <c r="QP25" s="1266"/>
      <c r="QQ25" s="1266"/>
      <c r="QR25" s="1266"/>
      <c r="QS25" s="1266"/>
      <c r="QT25" s="1266"/>
      <c r="QU25" s="1266"/>
      <c r="QV25" s="1266"/>
      <c r="QW25" s="1266"/>
      <c r="QX25" s="1266"/>
      <c r="QY25" s="1266"/>
      <c r="QZ25" s="1266"/>
      <c r="RA25" s="1266"/>
      <c r="RB25" s="1266"/>
      <c r="RC25" s="1266"/>
      <c r="RD25" s="1266"/>
      <c r="RE25" s="1266"/>
      <c r="RF25" s="1266"/>
      <c r="RG25" s="1266"/>
      <c r="RH25" s="1266"/>
      <c r="RI25" s="1266"/>
      <c r="RJ25" s="1266"/>
      <c r="RK25" s="1266"/>
      <c r="RL25" s="1266"/>
      <c r="RM25" s="1266"/>
      <c r="RN25" s="1266"/>
      <c r="RO25" s="1266"/>
      <c r="RP25" s="1266"/>
      <c r="RQ25" s="1266"/>
      <c r="RR25" s="1266"/>
      <c r="RS25" s="1266"/>
      <c r="RT25" s="1266"/>
      <c r="RU25" s="1266"/>
      <c r="RV25" s="1266"/>
      <c r="RW25" s="1266"/>
      <c r="RX25" s="1266"/>
      <c r="RY25" s="1266"/>
      <c r="RZ25" s="1266"/>
      <c r="SA25" s="1266"/>
      <c r="SB25" s="1266"/>
      <c r="SC25" s="1266"/>
      <c r="SD25" s="1266"/>
      <c r="SE25" s="1266"/>
      <c r="SF25" s="1266"/>
      <c r="SG25" s="1266"/>
      <c r="SH25" s="1266"/>
      <c r="SI25" s="1266"/>
      <c r="SJ25" s="1266"/>
      <c r="SK25" s="1266"/>
      <c r="SL25" s="1266"/>
      <c r="SM25" s="1266"/>
      <c r="SN25" s="1266"/>
      <c r="SO25" s="1266"/>
      <c r="SP25" s="1266"/>
      <c r="SQ25" s="1266"/>
      <c r="SR25" s="1266"/>
      <c r="SS25" s="1266"/>
      <c r="ST25" s="1266"/>
      <c r="SU25" s="1266"/>
      <c r="SV25" s="1266"/>
      <c r="SW25" s="1266"/>
      <c r="SX25" s="1266"/>
      <c r="SY25" s="1266"/>
      <c r="SZ25" s="1266"/>
      <c r="TA25" s="1266"/>
      <c r="TB25" s="1266"/>
      <c r="TC25" s="1266"/>
      <c r="TD25" s="1266"/>
      <c r="TE25" s="1266"/>
      <c r="TF25" s="1266"/>
      <c r="TG25" s="1266"/>
      <c r="TH25" s="1266"/>
      <c r="TI25" s="1266"/>
      <c r="TJ25" s="1266"/>
      <c r="TK25" s="1266"/>
      <c r="TL25" s="1266"/>
      <c r="TM25" s="1266"/>
      <c r="TN25" s="1266"/>
      <c r="TO25" s="1266"/>
      <c r="TP25" s="1266"/>
      <c r="TQ25" s="1266"/>
      <c r="TR25" s="1266"/>
      <c r="TS25" s="1266"/>
      <c r="TT25" s="1266"/>
      <c r="TU25" s="1266"/>
      <c r="TV25" s="1266"/>
      <c r="TW25" s="1266"/>
      <c r="TX25" s="1266"/>
      <c r="TY25" s="1266"/>
      <c r="TZ25" s="1266"/>
      <c r="UA25" s="1266"/>
      <c r="UB25" s="1266"/>
      <c r="UC25" s="1266"/>
      <c r="UD25" s="1266"/>
      <c r="UE25" s="1266"/>
      <c r="UF25" s="1266"/>
      <c r="UG25" s="1266"/>
      <c r="UH25" s="1266"/>
      <c r="UI25" s="1266"/>
      <c r="UJ25" s="1266"/>
      <c r="UK25" s="1266"/>
      <c r="UL25" s="1266"/>
      <c r="UM25" s="1266"/>
      <c r="UN25" s="1266"/>
      <c r="UO25" s="1266"/>
      <c r="UP25" s="1266"/>
      <c r="UQ25" s="1266"/>
      <c r="UR25" s="1266"/>
      <c r="US25" s="1266"/>
      <c r="UT25" s="1266"/>
      <c r="UU25" s="1266"/>
      <c r="UV25" s="1266"/>
      <c r="UW25" s="1266"/>
      <c r="UX25" s="1266"/>
      <c r="UY25" s="1266"/>
      <c r="UZ25" s="1266"/>
      <c r="VA25" s="1266"/>
      <c r="VB25" s="1266"/>
      <c r="VC25" s="1266"/>
      <c r="VD25" s="1266"/>
      <c r="VE25" s="1266"/>
      <c r="VF25" s="1266"/>
      <c r="VG25" s="1266"/>
      <c r="VH25" s="1266"/>
      <c r="VI25" s="1266"/>
      <c r="VJ25" s="1266"/>
      <c r="VK25" s="1266"/>
      <c r="VL25" s="1266"/>
      <c r="VM25" s="1266"/>
      <c r="VN25" s="1266"/>
      <c r="VO25" s="1266"/>
      <c r="VP25" s="1266"/>
      <c r="VQ25" s="1266"/>
      <c r="VR25" s="1266"/>
      <c r="VS25" s="1266"/>
      <c r="VT25" s="1266"/>
      <c r="VU25" s="1266"/>
      <c r="VV25" s="1266"/>
      <c r="VW25" s="1266"/>
      <c r="VX25" s="1266"/>
      <c r="VY25" s="1266"/>
      <c r="VZ25" s="1266"/>
      <c r="WA25" s="1266"/>
      <c r="WB25" s="1266"/>
      <c r="WC25" s="1266"/>
      <c r="WD25" s="1266"/>
      <c r="WE25" s="1266"/>
      <c r="WF25" s="1266"/>
      <c r="WG25" s="1266"/>
      <c r="WH25" s="1266"/>
      <c r="WI25" s="1266"/>
      <c r="WJ25" s="1266"/>
      <c r="WK25" s="1266"/>
      <c r="WL25" s="1266"/>
      <c r="WM25" s="1266"/>
      <c r="WN25" s="1266"/>
      <c r="WO25" s="1266"/>
      <c r="WP25" s="1266"/>
      <c r="WQ25" s="1266"/>
      <c r="WR25" s="1266"/>
      <c r="WS25" s="1266"/>
      <c r="WT25" s="1266"/>
      <c r="WU25" s="1266"/>
      <c r="WV25" s="1266"/>
      <c r="WW25" s="1266"/>
      <c r="WX25" s="1266"/>
      <c r="WY25" s="1266"/>
      <c r="WZ25" s="1266"/>
      <c r="XA25" s="1266"/>
      <c r="XB25" s="1266"/>
      <c r="XC25" s="1266"/>
      <c r="XD25" s="1266"/>
      <c r="XE25" s="1266"/>
      <c r="XF25" s="1266"/>
      <c r="XG25" s="1266"/>
      <c r="XH25" s="1266"/>
      <c r="XI25" s="1266"/>
      <c r="XJ25" s="1266"/>
      <c r="XK25" s="1266"/>
      <c r="XL25" s="1266"/>
      <c r="XM25" s="1266"/>
      <c r="XN25" s="1266"/>
      <c r="XO25" s="1266"/>
      <c r="XP25" s="1266"/>
      <c r="XQ25" s="1266"/>
      <c r="XR25" s="1266"/>
      <c r="XS25" s="1266"/>
      <c r="XT25" s="1266"/>
      <c r="XU25" s="1266"/>
      <c r="XV25" s="1266"/>
      <c r="XW25" s="1266"/>
      <c r="XX25" s="1266"/>
      <c r="XY25" s="1266"/>
      <c r="XZ25" s="1266"/>
      <c r="YA25" s="1266"/>
      <c r="YB25" s="1266"/>
      <c r="YC25" s="1266"/>
      <c r="YD25" s="1266"/>
      <c r="YE25" s="1266"/>
      <c r="YF25" s="1266"/>
      <c r="YG25" s="1266"/>
      <c r="YH25" s="1266"/>
      <c r="YI25" s="1266"/>
      <c r="YJ25" s="1266"/>
      <c r="YK25" s="1266"/>
      <c r="YL25" s="1266"/>
      <c r="YM25" s="1266"/>
      <c r="YN25" s="1266"/>
      <c r="YO25" s="1266"/>
      <c r="YP25" s="1266"/>
      <c r="YQ25" s="1266"/>
      <c r="YR25" s="1266"/>
      <c r="YS25" s="1266"/>
      <c r="YT25" s="1266"/>
      <c r="YU25" s="1266"/>
      <c r="YV25" s="1266"/>
      <c r="YW25" s="1266"/>
      <c r="YX25" s="1266"/>
      <c r="YY25" s="1266"/>
      <c r="YZ25" s="1266"/>
      <c r="ZA25" s="1266"/>
      <c r="ZB25" s="1266"/>
      <c r="ZC25" s="1266"/>
      <c r="ZD25" s="1266"/>
      <c r="ZE25" s="1266"/>
      <c r="ZF25" s="1266"/>
      <c r="ZG25" s="1266"/>
      <c r="ZH25" s="1266"/>
      <c r="ZI25" s="1266"/>
      <c r="ZJ25" s="1266"/>
      <c r="ZK25" s="1266"/>
      <c r="ZL25" s="1266"/>
      <c r="ZM25" s="1266"/>
      <c r="ZN25" s="1266"/>
      <c r="ZO25" s="1266"/>
      <c r="ZP25" s="1266"/>
      <c r="ZQ25" s="1266"/>
      <c r="ZR25" s="1266"/>
      <c r="ZS25" s="1266"/>
      <c r="ZT25" s="1266"/>
      <c r="ZU25" s="1266"/>
      <c r="ZV25" s="1266"/>
      <c r="ZW25" s="1266"/>
      <c r="ZX25" s="1266"/>
      <c r="ZY25" s="1266"/>
      <c r="ZZ25" s="1266"/>
      <c r="AAA25" s="1266"/>
      <c r="AAB25" s="1266"/>
      <c r="AAC25" s="1266"/>
      <c r="AAD25" s="1266"/>
      <c r="AAE25" s="1266"/>
      <c r="AAF25" s="1266"/>
      <c r="AAG25" s="1266"/>
      <c r="AAH25" s="1266"/>
      <c r="AAI25" s="1266"/>
      <c r="AAJ25" s="1266"/>
      <c r="AAK25" s="1266"/>
      <c r="AAL25" s="1266"/>
      <c r="AAM25" s="1266"/>
      <c r="AAN25" s="1266"/>
      <c r="AAO25" s="1266"/>
      <c r="AAP25" s="1266"/>
      <c r="AAQ25" s="1266"/>
      <c r="AAR25" s="1266"/>
      <c r="AAS25" s="1266"/>
      <c r="AAT25" s="1266"/>
      <c r="AAU25" s="1266"/>
      <c r="AAV25" s="1266"/>
      <c r="AAW25" s="1266"/>
      <c r="AAX25" s="1266"/>
      <c r="AAY25" s="1266"/>
      <c r="AAZ25" s="1266"/>
      <c r="ABA25" s="1266"/>
      <c r="ABB25" s="1266"/>
      <c r="ABC25" s="1266"/>
      <c r="ABD25" s="1266"/>
      <c r="ABE25" s="1266"/>
      <c r="ABF25" s="1266"/>
      <c r="ABG25" s="1266"/>
      <c r="ABH25" s="1266"/>
      <c r="ABI25" s="1266"/>
      <c r="ABJ25" s="1266"/>
      <c r="ABK25" s="1266"/>
      <c r="ABL25" s="1266"/>
      <c r="ABM25" s="1266"/>
      <c r="ABN25" s="1266"/>
      <c r="ABO25" s="1266"/>
      <c r="ABP25" s="1266"/>
      <c r="ABQ25" s="1266"/>
      <c r="ABR25" s="1266"/>
      <c r="ABS25" s="1266"/>
      <c r="ABT25" s="1266"/>
      <c r="ABU25" s="1266"/>
      <c r="ABV25" s="1266"/>
      <c r="ABW25" s="1266"/>
      <c r="ABX25" s="1266"/>
      <c r="ABY25" s="1266"/>
      <c r="ABZ25" s="1266"/>
      <c r="ACA25" s="1266"/>
      <c r="ACB25" s="1266"/>
      <c r="ACC25" s="1266"/>
      <c r="ACD25" s="1266"/>
      <c r="ACE25" s="1266"/>
      <c r="ACF25" s="1266"/>
      <c r="ACG25" s="1266"/>
      <c r="ACH25" s="1266"/>
      <c r="ACI25" s="1266"/>
      <c r="ACJ25" s="1266"/>
      <c r="ACK25" s="1266"/>
      <c r="ACL25" s="1266"/>
      <c r="ACM25" s="1266"/>
      <c r="ACN25" s="1266"/>
      <c r="ACO25" s="1266"/>
      <c r="ACP25" s="1266"/>
      <c r="ACQ25" s="1266"/>
      <c r="ACR25" s="1266"/>
      <c r="ACS25" s="1266"/>
      <c r="ACT25" s="1266"/>
      <c r="ACU25" s="1266"/>
      <c r="ACV25" s="1266"/>
      <c r="ACW25" s="1266"/>
      <c r="ACX25" s="1266"/>
      <c r="ACY25" s="1266"/>
      <c r="ACZ25" s="1266"/>
      <c r="ADA25" s="1266"/>
      <c r="ADB25" s="1266"/>
      <c r="ADC25" s="1266"/>
      <c r="ADD25" s="1266"/>
      <c r="ADE25" s="1266"/>
      <c r="ADF25" s="1266"/>
      <c r="ADG25" s="1266"/>
      <c r="ADH25" s="1266"/>
      <c r="ADI25" s="1266"/>
      <c r="ADJ25" s="1266"/>
      <c r="ADK25" s="1266"/>
      <c r="ADL25" s="1266"/>
      <c r="ADM25" s="1266"/>
      <c r="ADN25" s="1266"/>
      <c r="ADO25" s="1266"/>
      <c r="ADP25" s="1266"/>
      <c r="ADQ25" s="1266"/>
      <c r="ADR25" s="1266"/>
      <c r="ADS25" s="1266"/>
      <c r="ADT25" s="1266"/>
      <c r="ADU25" s="1266"/>
      <c r="ADV25" s="1266"/>
      <c r="ADW25" s="1266"/>
      <c r="ADX25" s="1266"/>
      <c r="ADY25" s="1266"/>
      <c r="ADZ25" s="1266"/>
      <c r="AEA25" s="1266"/>
      <c r="AEB25" s="1266"/>
      <c r="AEC25" s="1266"/>
      <c r="AED25" s="1266"/>
      <c r="AEE25" s="1266"/>
      <c r="AEF25" s="1266"/>
      <c r="AEG25" s="1266"/>
      <c r="AEH25" s="1266"/>
      <c r="AEI25" s="1266"/>
      <c r="AEJ25" s="1266"/>
      <c r="AEK25" s="1266"/>
      <c r="AEL25" s="1266"/>
      <c r="AEM25" s="1266"/>
      <c r="AEN25" s="1266"/>
      <c r="AEO25" s="1266"/>
      <c r="AEP25" s="1266"/>
      <c r="AEQ25" s="1266"/>
      <c r="AER25" s="1266"/>
      <c r="AES25" s="1266"/>
      <c r="AET25" s="1266"/>
      <c r="AEU25" s="1266"/>
      <c r="AEV25" s="1266"/>
      <c r="AEW25" s="1266"/>
      <c r="AEX25" s="1266"/>
      <c r="AEY25" s="1266"/>
      <c r="AEZ25" s="1266"/>
      <c r="AFA25" s="1266"/>
      <c r="AFB25" s="1266"/>
      <c r="AFC25" s="1266"/>
      <c r="AFD25" s="1266"/>
      <c r="AFE25" s="1266"/>
      <c r="AFF25" s="1266"/>
      <c r="AFG25" s="1266"/>
      <c r="AFH25" s="1266"/>
      <c r="AFI25" s="1266"/>
      <c r="AFJ25" s="1266"/>
      <c r="AFK25" s="1266"/>
      <c r="AFL25" s="1266"/>
      <c r="AFM25" s="1266"/>
      <c r="AFN25" s="1266"/>
      <c r="AFO25" s="1266"/>
      <c r="AFP25" s="1266"/>
      <c r="AFQ25" s="1266"/>
      <c r="AFR25" s="1266"/>
      <c r="AFS25" s="1266"/>
      <c r="AFT25" s="1266"/>
      <c r="AFU25" s="1266"/>
      <c r="AFV25" s="1266"/>
      <c r="AFW25" s="1266"/>
      <c r="AFX25" s="1266"/>
      <c r="AFY25" s="1266"/>
      <c r="AFZ25" s="1266"/>
      <c r="AGA25" s="1266"/>
      <c r="AGB25" s="1266"/>
      <c r="AGC25" s="1266"/>
      <c r="AGD25" s="1266"/>
      <c r="AGE25" s="1266"/>
      <c r="AGF25" s="1266"/>
      <c r="AGG25" s="1266"/>
      <c r="AGH25" s="1266"/>
      <c r="AGI25" s="1266"/>
      <c r="AGJ25" s="1266"/>
      <c r="AGK25" s="1266"/>
      <c r="AGL25" s="1266"/>
      <c r="AGM25" s="1266"/>
      <c r="AGN25" s="1266"/>
      <c r="AGO25" s="1266"/>
      <c r="AGP25" s="1266"/>
      <c r="AGQ25" s="1266"/>
      <c r="AGR25" s="1266"/>
      <c r="AGS25" s="1266"/>
      <c r="AGT25" s="1266"/>
      <c r="AGU25" s="1266"/>
      <c r="AGV25" s="1266"/>
      <c r="AGW25" s="1266"/>
      <c r="AGX25" s="1266"/>
      <c r="AGY25" s="1266"/>
      <c r="AGZ25" s="1266"/>
      <c r="AHA25" s="1266"/>
      <c r="AHB25" s="1266"/>
      <c r="AHC25" s="1266"/>
      <c r="AHD25" s="1266"/>
      <c r="AHE25" s="1266"/>
      <c r="AHF25" s="1266"/>
      <c r="AHG25" s="1266"/>
      <c r="AHH25" s="1266"/>
      <c r="AHI25" s="1266"/>
      <c r="AHJ25" s="1266"/>
      <c r="AHK25" s="1266"/>
      <c r="AHL25" s="1266"/>
      <c r="AHM25" s="1266"/>
      <c r="AHN25" s="1266"/>
      <c r="AHO25" s="1266"/>
      <c r="AHP25" s="1266"/>
      <c r="AHQ25" s="1266"/>
      <c r="AHR25" s="1266"/>
      <c r="AHS25" s="1266"/>
      <c r="AHT25" s="1266"/>
      <c r="AHU25" s="1266"/>
      <c r="AHV25" s="1266"/>
      <c r="AHW25" s="1266"/>
      <c r="AHX25" s="1266"/>
      <c r="AHY25" s="1266"/>
      <c r="AHZ25" s="1266"/>
      <c r="AIA25" s="1266"/>
      <c r="AIB25" s="1266"/>
      <c r="AIC25" s="1266"/>
      <c r="AID25" s="1266"/>
      <c r="AIE25" s="1266"/>
      <c r="AIF25" s="1266"/>
      <c r="AIG25" s="1266"/>
      <c r="AIH25" s="1266"/>
      <c r="AII25" s="1266"/>
      <c r="AIJ25" s="1266"/>
      <c r="AIK25" s="1266"/>
      <c r="AIL25" s="1266"/>
      <c r="AIM25" s="1266"/>
      <c r="AIN25" s="1266"/>
      <c r="AIO25" s="1266"/>
      <c r="AIP25" s="1266"/>
      <c r="AIQ25" s="1266"/>
      <c r="AIR25" s="1266"/>
      <c r="AIS25" s="1266"/>
      <c r="AIT25" s="1266"/>
      <c r="AIU25" s="1266"/>
      <c r="AIV25" s="1266"/>
      <c r="AIW25" s="1266"/>
      <c r="AIX25" s="1266"/>
      <c r="AIY25" s="1266"/>
      <c r="AIZ25" s="1266"/>
      <c r="AJA25" s="1266"/>
      <c r="AJB25" s="1266"/>
      <c r="AJC25" s="1266"/>
      <c r="AJD25" s="1266"/>
      <c r="AJE25" s="1266"/>
      <c r="AJF25" s="1266"/>
      <c r="AJG25" s="1266"/>
      <c r="AJH25" s="1266"/>
      <c r="AJI25" s="1266"/>
      <c r="AJJ25" s="1266"/>
      <c r="AJK25" s="1266"/>
      <c r="AJL25" s="1266"/>
      <c r="AJM25" s="1266"/>
      <c r="AJN25" s="1266"/>
      <c r="AJO25" s="1266"/>
      <c r="AJP25" s="1266"/>
      <c r="AJQ25" s="1266"/>
      <c r="AJR25" s="1266"/>
      <c r="AJS25" s="1266"/>
      <c r="AJT25" s="1266"/>
      <c r="AJU25" s="1266"/>
      <c r="AJV25" s="1266"/>
      <c r="AJW25" s="1266"/>
      <c r="AJX25" s="1266"/>
      <c r="AJY25" s="1266"/>
      <c r="AJZ25" s="1266"/>
      <c r="AKA25" s="1266"/>
      <c r="AKB25" s="1266"/>
      <c r="AKC25" s="1266"/>
      <c r="AKD25" s="1266"/>
      <c r="AKE25" s="1266"/>
      <c r="AKF25" s="1266"/>
      <c r="AKG25" s="1266"/>
      <c r="AKH25" s="1266"/>
      <c r="AKI25" s="1266"/>
      <c r="AKJ25" s="1266"/>
      <c r="AKK25" s="1266"/>
      <c r="AKL25" s="1266"/>
      <c r="AKM25" s="1266"/>
      <c r="AKN25" s="1266"/>
      <c r="AKO25" s="1266"/>
      <c r="AKP25" s="1266"/>
      <c r="AKQ25" s="1266"/>
      <c r="AKR25" s="1266"/>
      <c r="AKS25" s="1266"/>
      <c r="AKT25" s="1266"/>
      <c r="AKU25" s="1266"/>
      <c r="AKV25" s="1266"/>
      <c r="AKW25" s="1266"/>
      <c r="AKX25" s="1266"/>
      <c r="AKY25" s="1266"/>
      <c r="AKZ25" s="1266"/>
      <c r="ALA25" s="1266"/>
      <c r="ALB25" s="1266"/>
      <c r="ALC25" s="1266"/>
      <c r="ALD25" s="1266"/>
      <c r="ALE25" s="1266"/>
      <c r="ALF25" s="1266"/>
      <c r="ALG25" s="1266"/>
      <c r="ALH25" s="1266"/>
      <c r="ALI25" s="1266"/>
      <c r="ALJ25" s="1266"/>
      <c r="ALK25" s="1266"/>
      <c r="ALL25" s="1266"/>
      <c r="ALM25" s="1266"/>
      <c r="ALN25" s="1266"/>
      <c r="ALO25" s="1266"/>
      <c r="ALP25" s="1266"/>
      <c r="ALQ25" s="1266"/>
      <c r="ALR25" s="1266"/>
      <c r="ALS25" s="1266"/>
      <c r="ALT25" s="1266"/>
      <c r="ALU25" s="1266"/>
      <c r="ALV25" s="1266"/>
      <c r="ALW25" s="1266"/>
      <c r="ALX25" s="1266"/>
      <c r="ALY25" s="1266"/>
      <c r="ALZ25" s="1266"/>
      <c r="AMA25" s="1266"/>
      <c r="AMB25" s="1266"/>
      <c r="AMC25" s="1266"/>
      <c r="AMD25" s="1266"/>
      <c r="AME25" s="1266"/>
      <c r="AMF25" s="1266"/>
      <c r="AMG25" s="1266"/>
      <c r="AMH25" s="1266"/>
      <c r="AMI25" s="1266"/>
      <c r="AMJ25" s="1266"/>
      <c r="AMK25" s="1266"/>
      <c r="AML25" s="1266"/>
      <c r="AMM25" s="1266"/>
      <c r="AMN25" s="1266"/>
      <c r="AMO25" s="1266"/>
      <c r="AMP25" s="1266"/>
      <c r="AMQ25" s="1266"/>
      <c r="AMR25" s="1266"/>
      <c r="AMS25" s="1266"/>
      <c r="AMT25" s="1266"/>
      <c r="AMU25" s="1266"/>
      <c r="AMV25" s="1266"/>
      <c r="AMW25" s="1266"/>
      <c r="AMX25" s="1266"/>
      <c r="AMY25" s="1266"/>
      <c r="AMZ25" s="1266"/>
      <c r="ANA25" s="1266"/>
      <c r="ANB25" s="1266"/>
      <c r="ANC25" s="1266"/>
      <c r="AND25" s="1266"/>
      <c r="ANE25" s="1266"/>
      <c r="ANF25" s="1266"/>
      <c r="ANG25" s="1266"/>
      <c r="ANH25" s="1266"/>
      <c r="ANI25" s="1266"/>
      <c r="ANJ25" s="1266"/>
      <c r="ANK25" s="1266"/>
      <c r="ANL25" s="1266"/>
      <c r="ANM25" s="1266"/>
      <c r="ANN25" s="1266"/>
      <c r="ANO25" s="1266"/>
      <c r="ANP25" s="1266"/>
      <c r="ANQ25" s="1266"/>
      <c r="ANR25" s="1266"/>
      <c r="ANS25" s="1266"/>
      <c r="ANT25" s="1266"/>
      <c r="ANU25" s="1266"/>
      <c r="ANV25" s="1266"/>
      <c r="ANW25" s="1266"/>
      <c r="ANX25" s="1266"/>
      <c r="ANY25" s="1266"/>
      <c r="ANZ25" s="1266"/>
      <c r="AOA25" s="1266"/>
      <c r="AOB25" s="1266"/>
      <c r="AOC25" s="1266"/>
      <c r="AOD25" s="1266"/>
      <c r="AOE25" s="1266"/>
      <c r="AOF25" s="1266"/>
      <c r="AOG25" s="1266"/>
      <c r="AOH25" s="1266"/>
      <c r="AOI25" s="1266"/>
      <c r="AOJ25" s="1266"/>
      <c r="AOK25" s="1266"/>
      <c r="AOL25" s="1266"/>
      <c r="AOM25" s="1266"/>
      <c r="AON25" s="1266"/>
      <c r="AOO25" s="1266"/>
      <c r="AOP25" s="1266"/>
      <c r="AOQ25" s="1266"/>
      <c r="AOR25" s="1266"/>
      <c r="AOS25" s="1266"/>
      <c r="AOT25" s="1266"/>
      <c r="AOU25" s="1266"/>
      <c r="AOV25" s="1266"/>
      <c r="AOW25" s="1266"/>
      <c r="AOX25" s="1266"/>
      <c r="AOY25" s="1266"/>
      <c r="AOZ25" s="1266"/>
      <c r="APA25" s="1266"/>
      <c r="APB25" s="1266"/>
      <c r="APC25" s="1266"/>
      <c r="APD25" s="1266"/>
      <c r="APE25" s="1266"/>
      <c r="APF25" s="1266"/>
      <c r="APG25" s="1266"/>
      <c r="APH25" s="1266"/>
      <c r="API25" s="1266"/>
      <c r="APJ25" s="1266"/>
      <c r="APK25" s="1266"/>
      <c r="APL25" s="1266"/>
      <c r="APM25" s="1266"/>
      <c r="APN25" s="1266"/>
      <c r="APO25" s="1266"/>
      <c r="APP25" s="1266"/>
      <c r="APQ25" s="1266"/>
      <c r="APR25" s="1266"/>
      <c r="APS25" s="1266"/>
      <c r="APT25" s="1266"/>
      <c r="APU25" s="1266"/>
      <c r="APV25" s="1266"/>
      <c r="APW25" s="1266"/>
      <c r="APX25" s="1266"/>
      <c r="APY25" s="1266"/>
      <c r="APZ25" s="1266"/>
      <c r="AQA25" s="1266"/>
      <c r="AQB25" s="1266"/>
      <c r="AQC25" s="1266"/>
      <c r="AQD25" s="1266"/>
      <c r="AQE25" s="1266"/>
      <c r="AQF25" s="1266"/>
      <c r="AQG25" s="1266"/>
      <c r="AQH25" s="1266"/>
      <c r="AQI25" s="1266"/>
      <c r="AQJ25" s="1266"/>
      <c r="AQK25" s="1266"/>
      <c r="AQL25" s="1266"/>
      <c r="AQM25" s="1266"/>
      <c r="AQN25" s="1266"/>
      <c r="AQO25" s="1266"/>
      <c r="AQP25" s="1266"/>
      <c r="AQQ25" s="1266"/>
      <c r="AQR25" s="1266"/>
      <c r="AQS25" s="1266"/>
      <c r="AQT25" s="1266"/>
      <c r="AQU25" s="1266"/>
      <c r="AQV25" s="1266"/>
      <c r="AQW25" s="1266"/>
      <c r="AQX25" s="1266"/>
      <c r="AQY25" s="1266"/>
      <c r="AQZ25" s="1266"/>
      <c r="ARA25" s="1266"/>
      <c r="ARB25" s="1266"/>
      <c r="ARC25" s="1266"/>
      <c r="ARD25" s="1266"/>
      <c r="ARE25" s="1266"/>
      <c r="ARF25" s="1266"/>
      <c r="ARG25" s="1266"/>
      <c r="ARH25" s="1266"/>
      <c r="ARI25" s="1266"/>
      <c r="ARJ25" s="1266"/>
      <c r="ARK25" s="1266"/>
      <c r="ARL25" s="1266"/>
      <c r="ARM25" s="1266"/>
      <c r="ARN25" s="1266"/>
      <c r="ARO25" s="1266"/>
      <c r="ARP25" s="1266"/>
      <c r="ARQ25" s="1266"/>
      <c r="ARR25" s="1266"/>
      <c r="ARS25" s="1266"/>
      <c r="ART25" s="1266"/>
      <c r="ARU25" s="1266"/>
      <c r="ARV25" s="1266"/>
      <c r="ARW25" s="1266"/>
      <c r="ARX25" s="1266"/>
      <c r="ARY25" s="1266"/>
      <c r="ARZ25" s="1266"/>
      <c r="ASA25" s="1266"/>
      <c r="ASB25" s="1266"/>
      <c r="ASC25" s="1266"/>
      <c r="ASD25" s="1266"/>
      <c r="ASE25" s="1266"/>
      <c r="ASF25" s="1266"/>
      <c r="ASG25" s="1266"/>
      <c r="ASH25" s="1266"/>
      <c r="ASI25" s="1266"/>
      <c r="ASJ25" s="1266"/>
      <c r="ASK25" s="1266"/>
      <c r="ASL25" s="1266"/>
      <c r="ASM25" s="1266"/>
      <c r="ASN25" s="1266"/>
      <c r="ASO25" s="1266"/>
      <c r="ASP25" s="1266"/>
      <c r="ASQ25" s="1266"/>
      <c r="ASR25" s="1266"/>
      <c r="ASS25" s="1266"/>
      <c r="AST25" s="1266"/>
      <c r="ASU25" s="1266"/>
      <c r="ASV25" s="1266"/>
      <c r="ASW25" s="1266"/>
      <c r="ASX25" s="1266"/>
      <c r="ASY25" s="1266"/>
      <c r="ASZ25" s="1266"/>
      <c r="ATA25" s="1266"/>
      <c r="ATB25" s="1266"/>
      <c r="ATC25" s="1266"/>
      <c r="ATD25" s="1266"/>
      <c r="ATE25" s="1266"/>
      <c r="ATF25" s="1266"/>
      <c r="ATG25" s="1266"/>
      <c r="ATH25" s="1266"/>
      <c r="ATI25" s="1266"/>
      <c r="ATJ25" s="1266"/>
      <c r="ATK25" s="1266"/>
      <c r="ATL25" s="1266"/>
      <c r="ATM25" s="1266"/>
      <c r="ATN25" s="1266"/>
      <c r="ATO25" s="1266"/>
      <c r="ATP25" s="1266"/>
      <c r="ATQ25" s="1266"/>
      <c r="ATR25" s="1266"/>
      <c r="ATS25" s="1266"/>
      <c r="ATT25" s="1266"/>
      <c r="ATU25" s="1266"/>
      <c r="ATV25" s="1266"/>
      <c r="ATW25" s="1266"/>
      <c r="ATX25" s="1266"/>
      <c r="ATY25" s="1266"/>
      <c r="ATZ25" s="1266"/>
      <c r="AUA25" s="1266"/>
      <c r="AUB25" s="1266"/>
      <c r="AUC25" s="1266"/>
      <c r="AUD25" s="1266"/>
      <c r="AUE25" s="1266"/>
      <c r="AUF25" s="1266"/>
      <c r="AUG25" s="1266"/>
      <c r="AUH25" s="1266"/>
      <c r="AUI25" s="1266"/>
      <c r="AUJ25" s="1266"/>
      <c r="AUK25" s="1266"/>
      <c r="AUL25" s="1266"/>
      <c r="AUM25" s="1266"/>
      <c r="AUN25" s="1266"/>
      <c r="AUO25" s="1266"/>
      <c r="AUP25" s="1266"/>
      <c r="AUQ25" s="1266"/>
      <c r="AUR25" s="1266"/>
      <c r="AUS25" s="1266"/>
      <c r="AUT25" s="1266"/>
      <c r="AUU25" s="1266"/>
      <c r="AUV25" s="1266"/>
      <c r="AUW25" s="1266"/>
      <c r="AUX25" s="1266"/>
      <c r="AUY25" s="1266"/>
      <c r="AUZ25" s="1266"/>
      <c r="AVA25" s="1266"/>
      <c r="AVB25" s="1266"/>
      <c r="AVC25" s="1266"/>
      <c r="AVD25" s="1266"/>
      <c r="AVE25" s="1266"/>
      <c r="AVF25" s="1266"/>
      <c r="AVG25" s="1266"/>
      <c r="AVH25" s="1266"/>
      <c r="AVI25" s="1266"/>
      <c r="AVJ25" s="1266"/>
      <c r="AVK25" s="1266"/>
      <c r="AVL25" s="1266"/>
      <c r="AVM25" s="1266"/>
      <c r="AVN25" s="1266"/>
      <c r="AVO25" s="1266"/>
      <c r="AVP25" s="1266"/>
      <c r="AVQ25" s="1266"/>
      <c r="AVR25" s="1266"/>
      <c r="AVS25" s="1266"/>
      <c r="AVT25" s="1266"/>
      <c r="AVU25" s="1266"/>
      <c r="AVV25" s="1266"/>
      <c r="AVW25" s="1266"/>
      <c r="AVX25" s="1266"/>
      <c r="AVY25" s="1266"/>
      <c r="AVZ25" s="1266"/>
      <c r="AWA25" s="1266"/>
      <c r="AWB25" s="1266"/>
      <c r="AWC25" s="1266"/>
      <c r="AWD25" s="1266"/>
      <c r="AWE25" s="1266"/>
      <c r="AWF25" s="1266"/>
      <c r="AWG25" s="1266"/>
      <c r="AWH25" s="1266"/>
      <c r="AWI25" s="1266"/>
      <c r="AWJ25" s="1266"/>
      <c r="AWK25" s="1266"/>
      <c r="AWL25" s="1266"/>
      <c r="AWM25" s="1266"/>
      <c r="AWN25" s="1266"/>
      <c r="AWO25" s="1266"/>
      <c r="AWP25" s="1266"/>
      <c r="AWQ25" s="1266"/>
      <c r="AWR25" s="1266"/>
      <c r="AWS25" s="1266"/>
      <c r="AWT25" s="1266"/>
      <c r="AWU25" s="1266"/>
      <c r="AWV25" s="1266"/>
      <c r="AWW25" s="1266"/>
      <c r="AWX25" s="1266"/>
      <c r="AWY25" s="1266"/>
      <c r="AWZ25" s="1266"/>
      <c r="AXA25" s="1266"/>
      <c r="AXB25" s="1266"/>
      <c r="AXC25" s="1266"/>
      <c r="AXD25" s="1266"/>
      <c r="AXE25" s="1266"/>
      <c r="AXF25" s="1266"/>
      <c r="AXG25" s="1266"/>
      <c r="AXH25" s="1266"/>
      <c r="AXI25" s="1266"/>
      <c r="AXJ25" s="1266"/>
      <c r="AXK25" s="1266"/>
      <c r="AXL25" s="1266"/>
      <c r="AXM25" s="1266"/>
      <c r="AXN25" s="1266"/>
      <c r="AXO25" s="1266"/>
      <c r="AXP25" s="1266"/>
      <c r="AXQ25" s="1266"/>
      <c r="AXR25" s="1266"/>
      <c r="AXS25" s="1266"/>
      <c r="AXT25" s="1266"/>
      <c r="AXU25" s="1266"/>
      <c r="AXV25" s="1266"/>
      <c r="AXW25" s="1266"/>
      <c r="AXX25" s="1266"/>
      <c r="AXY25" s="1266"/>
      <c r="AXZ25" s="1266"/>
      <c r="AYA25" s="1266"/>
      <c r="AYB25" s="1266"/>
      <c r="AYC25" s="1266"/>
      <c r="AYD25" s="1266"/>
      <c r="AYE25" s="1266"/>
      <c r="AYF25" s="1266"/>
      <c r="AYG25" s="1266"/>
      <c r="AYH25" s="1266"/>
      <c r="AYI25" s="1266"/>
      <c r="AYJ25" s="1266"/>
      <c r="AYK25" s="1266"/>
      <c r="AYL25" s="1266"/>
      <c r="AYM25" s="1266"/>
      <c r="AYN25" s="1266"/>
      <c r="AYO25" s="1266"/>
      <c r="AYP25" s="1266"/>
      <c r="AYQ25" s="1266"/>
      <c r="AYR25" s="1266"/>
      <c r="AYS25" s="1266"/>
      <c r="AYT25" s="1266"/>
      <c r="AYU25" s="1266"/>
      <c r="AYV25" s="1266"/>
      <c r="AYW25" s="1266"/>
      <c r="AYX25" s="1266"/>
      <c r="AYY25" s="1266"/>
      <c r="AYZ25" s="1266"/>
      <c r="AZA25" s="1266"/>
      <c r="AZB25" s="1266"/>
      <c r="AZC25" s="1266"/>
      <c r="AZD25" s="1266"/>
      <c r="AZE25" s="1266"/>
      <c r="AZF25" s="1266"/>
      <c r="AZG25" s="1266"/>
      <c r="AZH25" s="1266"/>
      <c r="AZI25" s="1266"/>
      <c r="AZJ25" s="1266"/>
      <c r="AZK25" s="1266"/>
      <c r="AZL25" s="1266"/>
      <c r="AZM25" s="1266"/>
      <c r="AZN25" s="1266"/>
      <c r="AZO25" s="1266"/>
      <c r="AZP25" s="1266"/>
      <c r="AZQ25" s="1266"/>
      <c r="AZR25" s="1266"/>
      <c r="AZS25" s="1266"/>
      <c r="AZT25" s="1266"/>
      <c r="AZU25" s="1266"/>
      <c r="AZV25" s="1266"/>
      <c r="AZW25" s="1266"/>
      <c r="AZX25" s="1266"/>
      <c r="AZY25" s="1266"/>
      <c r="AZZ25" s="1266"/>
      <c r="BAA25" s="1266"/>
      <c r="BAB25" s="1266"/>
      <c r="BAC25" s="1266"/>
      <c r="BAD25" s="1266"/>
      <c r="BAE25" s="1266"/>
      <c r="BAF25" s="1266"/>
      <c r="BAG25" s="1266"/>
      <c r="BAH25" s="1266"/>
      <c r="BAI25" s="1266"/>
      <c r="BAJ25" s="1266"/>
      <c r="BAK25" s="1266"/>
      <c r="BAL25" s="1266"/>
      <c r="BAM25" s="1266"/>
      <c r="BAN25" s="1266"/>
      <c r="BAO25" s="1266"/>
      <c r="BAP25" s="1266"/>
      <c r="BAQ25" s="1266"/>
      <c r="BAR25" s="1266"/>
      <c r="BAS25" s="1266"/>
      <c r="BAT25" s="1266"/>
      <c r="BAU25" s="1266"/>
      <c r="BAV25" s="1266"/>
      <c r="BAW25" s="1266"/>
      <c r="BAX25" s="1266"/>
      <c r="BAY25" s="1266"/>
      <c r="BAZ25" s="1266"/>
      <c r="BBA25" s="1266"/>
      <c r="BBB25" s="1266"/>
      <c r="BBC25" s="1266"/>
      <c r="BBD25" s="1266"/>
      <c r="BBE25" s="1266"/>
      <c r="BBF25" s="1266"/>
      <c r="BBG25" s="1266"/>
      <c r="BBH25" s="1266"/>
      <c r="BBI25" s="1266"/>
      <c r="BBJ25" s="1266"/>
      <c r="BBK25" s="1266"/>
      <c r="BBL25" s="1266"/>
      <c r="BBM25" s="1266"/>
      <c r="BBN25" s="1266"/>
      <c r="BBO25" s="1266"/>
      <c r="BBP25" s="1266"/>
      <c r="BBQ25" s="1266"/>
      <c r="BBR25" s="1266"/>
      <c r="BBS25" s="1266"/>
      <c r="BBT25" s="1266"/>
      <c r="BBU25" s="1266"/>
      <c r="BBV25" s="1266"/>
      <c r="BBW25" s="1266"/>
      <c r="BBX25" s="1266"/>
      <c r="BBY25" s="1266"/>
      <c r="BBZ25" s="1266"/>
      <c r="BCA25" s="1266"/>
      <c r="BCB25" s="1266"/>
      <c r="BCC25" s="1266"/>
      <c r="BCD25" s="1266"/>
      <c r="BCE25" s="1266"/>
      <c r="BCF25" s="1266"/>
      <c r="BCG25" s="1266"/>
      <c r="BCH25" s="1266"/>
      <c r="BCI25" s="1266"/>
      <c r="BCJ25" s="1266"/>
      <c r="BCK25" s="1266"/>
      <c r="BCL25" s="1266"/>
      <c r="BCM25" s="1266"/>
      <c r="BCN25" s="1266"/>
      <c r="BCO25" s="1266"/>
      <c r="BCP25" s="1266"/>
      <c r="BCQ25" s="1266"/>
      <c r="BCR25" s="1266"/>
      <c r="BCS25" s="1266"/>
      <c r="BCT25" s="1266"/>
      <c r="BCU25" s="1266"/>
      <c r="BCV25" s="1266"/>
      <c r="BCW25" s="1266"/>
      <c r="BCX25" s="1266"/>
      <c r="BCY25" s="1266"/>
      <c r="BCZ25" s="1266"/>
      <c r="BDA25" s="1266"/>
      <c r="BDB25" s="1266"/>
      <c r="BDC25" s="1266"/>
      <c r="BDD25" s="1266"/>
      <c r="BDE25" s="1266"/>
      <c r="BDF25" s="1266"/>
      <c r="BDG25" s="1266"/>
      <c r="BDH25" s="1266"/>
      <c r="BDI25" s="1266"/>
      <c r="BDJ25" s="1266"/>
      <c r="BDK25" s="1266"/>
      <c r="BDL25" s="1266"/>
      <c r="BDM25" s="1266"/>
      <c r="BDN25" s="1266"/>
      <c r="BDO25" s="1266"/>
      <c r="BDP25" s="1266"/>
      <c r="BDQ25" s="1266"/>
      <c r="BDR25" s="1266"/>
      <c r="BDS25" s="1266"/>
      <c r="BDT25" s="1266"/>
      <c r="BDU25" s="1266"/>
      <c r="BDV25" s="1266"/>
      <c r="BDW25" s="1266"/>
      <c r="BDX25" s="1266"/>
      <c r="BDY25" s="1266"/>
      <c r="BDZ25" s="1266"/>
      <c r="BEA25" s="1266"/>
      <c r="BEB25" s="1266"/>
      <c r="BEC25" s="1266"/>
      <c r="BED25" s="1266"/>
      <c r="BEE25" s="1266"/>
      <c r="BEF25" s="1266"/>
      <c r="BEG25" s="1266"/>
      <c r="BEH25" s="1266"/>
      <c r="BEI25" s="1266"/>
      <c r="BEJ25" s="1266"/>
      <c r="BEK25" s="1266"/>
      <c r="BEL25" s="1266"/>
      <c r="BEM25" s="1266"/>
      <c r="BEN25" s="1266"/>
      <c r="BEO25" s="1266"/>
      <c r="BEP25" s="1266"/>
      <c r="BEQ25" s="1266"/>
      <c r="BER25" s="1266"/>
      <c r="BES25" s="1266"/>
      <c r="BET25" s="1266"/>
      <c r="BEU25" s="1266"/>
      <c r="BEV25" s="1266"/>
      <c r="BEW25" s="1266"/>
      <c r="BEX25" s="1266"/>
      <c r="BEY25" s="1266"/>
      <c r="BEZ25" s="1266"/>
      <c r="BFA25" s="1266"/>
      <c r="BFB25" s="1266"/>
      <c r="BFC25" s="1266"/>
      <c r="BFD25" s="1266"/>
      <c r="BFE25" s="1266"/>
      <c r="BFF25" s="1266"/>
      <c r="BFG25" s="1266"/>
      <c r="BFH25" s="1266"/>
      <c r="BFI25" s="1266"/>
      <c r="BFJ25" s="1266"/>
      <c r="BFK25" s="1266"/>
      <c r="BFL25" s="1266"/>
      <c r="BFM25" s="1266"/>
      <c r="BFN25" s="1266"/>
      <c r="BFO25" s="1266"/>
      <c r="BFP25" s="1266"/>
      <c r="BFQ25" s="1266"/>
      <c r="BFR25" s="1266"/>
      <c r="BFS25" s="1266"/>
      <c r="BFT25" s="1266"/>
      <c r="BFU25" s="1266"/>
      <c r="BFV25" s="1266"/>
      <c r="BFW25" s="1266"/>
      <c r="BFX25" s="1266"/>
      <c r="BFY25" s="1266"/>
      <c r="BFZ25" s="1266"/>
      <c r="BGA25" s="1266"/>
      <c r="BGB25" s="1266"/>
      <c r="BGC25" s="1266"/>
      <c r="BGD25" s="1266"/>
      <c r="BGE25" s="1266"/>
      <c r="BGF25" s="1266"/>
      <c r="BGG25" s="1266"/>
      <c r="BGH25" s="1266"/>
      <c r="BGI25" s="1266"/>
      <c r="BGJ25" s="1266"/>
      <c r="BGK25" s="1266"/>
      <c r="BGL25" s="1266"/>
      <c r="BGM25" s="1266"/>
      <c r="BGN25" s="1266"/>
      <c r="BGO25" s="1266"/>
      <c r="BGP25" s="1266"/>
      <c r="BGQ25" s="1266"/>
      <c r="BGR25" s="1266"/>
      <c r="BGS25" s="1266"/>
      <c r="BGT25" s="1266"/>
      <c r="BGU25" s="1266"/>
      <c r="BGV25" s="1266"/>
      <c r="BGW25" s="1266"/>
      <c r="BGX25" s="1266"/>
      <c r="BGY25" s="1266"/>
      <c r="BGZ25" s="1266"/>
      <c r="BHA25" s="1266"/>
      <c r="BHB25" s="1266"/>
      <c r="BHC25" s="1266"/>
      <c r="BHD25" s="1266"/>
      <c r="BHE25" s="1266"/>
      <c r="BHF25" s="1266"/>
      <c r="BHG25" s="1266"/>
      <c r="BHH25" s="1266"/>
      <c r="BHI25" s="1266"/>
      <c r="BHJ25" s="1266"/>
      <c r="BHK25" s="1266"/>
      <c r="BHL25" s="1266"/>
      <c r="BHM25" s="1266"/>
      <c r="BHN25" s="1266"/>
      <c r="BHO25" s="1266"/>
      <c r="BHP25" s="1266"/>
      <c r="BHQ25" s="1266"/>
      <c r="BHR25" s="1266"/>
      <c r="BHS25" s="1266"/>
      <c r="BHT25" s="1266"/>
      <c r="BHU25" s="1266"/>
      <c r="BHV25" s="1266"/>
      <c r="BHW25" s="1266"/>
      <c r="BHX25" s="1266"/>
      <c r="BHY25" s="1266"/>
      <c r="BHZ25" s="1266"/>
      <c r="BIA25" s="1266"/>
      <c r="BIB25" s="1266"/>
      <c r="BIC25" s="1266"/>
      <c r="BID25" s="1266"/>
      <c r="BIE25" s="1266"/>
      <c r="BIF25" s="1266"/>
      <c r="BIG25" s="1266"/>
      <c r="BIH25" s="1266"/>
      <c r="BII25" s="1266"/>
      <c r="BIJ25" s="1266"/>
      <c r="BIK25" s="1266"/>
      <c r="BIL25" s="1266"/>
      <c r="BIM25" s="1266"/>
      <c r="BIN25" s="1266"/>
      <c r="BIO25" s="1266"/>
      <c r="BIP25" s="1266"/>
      <c r="BIQ25" s="1266"/>
      <c r="BIR25" s="1266"/>
      <c r="BIS25" s="1266"/>
      <c r="BIT25" s="1266"/>
      <c r="BIU25" s="1266"/>
      <c r="BIV25" s="1266"/>
      <c r="BIW25" s="1266"/>
      <c r="BIX25" s="1266"/>
      <c r="BIY25" s="1266"/>
      <c r="BIZ25" s="1266"/>
      <c r="BJA25" s="1266"/>
      <c r="BJB25" s="1266"/>
      <c r="BJC25" s="1266"/>
      <c r="BJD25" s="1266"/>
      <c r="BJE25" s="1266"/>
      <c r="BJF25" s="1266"/>
      <c r="BJG25" s="1266"/>
      <c r="BJH25" s="1266"/>
      <c r="BJI25" s="1266"/>
      <c r="BJJ25" s="1266"/>
      <c r="BJK25" s="1266"/>
      <c r="BJL25" s="1266"/>
      <c r="BJM25" s="1266"/>
      <c r="BJN25" s="1266"/>
      <c r="BJO25" s="1266"/>
      <c r="BJP25" s="1266"/>
      <c r="BJQ25" s="1266"/>
      <c r="BJR25" s="1266"/>
      <c r="BJS25" s="1266"/>
      <c r="BJT25" s="1266"/>
      <c r="BJU25" s="1266"/>
      <c r="BJV25" s="1266"/>
      <c r="BJW25" s="1266"/>
      <c r="BJX25" s="1266"/>
      <c r="BJY25" s="1266"/>
      <c r="BJZ25" s="1266"/>
      <c r="BKA25" s="1266"/>
      <c r="BKB25" s="1266"/>
      <c r="BKC25" s="1266"/>
      <c r="BKD25" s="1266"/>
      <c r="BKE25" s="1266"/>
      <c r="BKF25" s="1266"/>
      <c r="BKG25" s="1266"/>
      <c r="BKH25" s="1266"/>
      <c r="BKI25" s="1266"/>
      <c r="BKJ25" s="1266"/>
      <c r="BKK25" s="1266"/>
      <c r="BKL25" s="1266"/>
      <c r="BKM25" s="1266"/>
      <c r="BKN25" s="1266"/>
      <c r="BKO25" s="1266"/>
      <c r="BKP25" s="1266"/>
      <c r="BKQ25" s="1266"/>
      <c r="BKR25" s="1266"/>
      <c r="BKS25" s="1266"/>
      <c r="BKT25" s="1266"/>
      <c r="BKU25" s="1266"/>
      <c r="BKV25" s="1266"/>
      <c r="BKW25" s="1266"/>
      <c r="BKX25" s="1266"/>
      <c r="BKY25" s="1266"/>
      <c r="BKZ25" s="1266"/>
      <c r="BLA25" s="1266"/>
      <c r="BLB25" s="1266"/>
      <c r="BLC25" s="1266"/>
      <c r="BLD25" s="1266"/>
      <c r="BLE25" s="1266"/>
      <c r="BLF25" s="1266"/>
      <c r="BLG25" s="1266"/>
      <c r="BLH25" s="1266"/>
      <c r="BLI25" s="1266"/>
      <c r="BLJ25" s="1266"/>
      <c r="BLK25" s="1266"/>
      <c r="BLL25" s="1266"/>
      <c r="BLM25" s="1266"/>
      <c r="BLN25" s="1266"/>
      <c r="BLO25" s="1266"/>
      <c r="BLP25" s="1266"/>
      <c r="BLQ25" s="1266"/>
      <c r="BLR25" s="1266"/>
      <c r="BLS25" s="1266"/>
      <c r="BLT25" s="1266"/>
      <c r="BLU25" s="1266"/>
      <c r="BLV25" s="1266"/>
      <c r="BLW25" s="1266"/>
      <c r="BLX25" s="1266"/>
      <c r="BLY25" s="1266"/>
      <c r="BLZ25" s="1266"/>
      <c r="BMA25" s="1266"/>
      <c r="BMB25" s="1266"/>
      <c r="BMC25" s="1266"/>
      <c r="BMD25" s="1266"/>
      <c r="BME25" s="1266"/>
      <c r="BMF25" s="1266"/>
      <c r="BMG25" s="1266"/>
      <c r="BMH25" s="1266"/>
      <c r="BMI25" s="1266"/>
      <c r="BMJ25" s="1266"/>
      <c r="BMK25" s="1266"/>
      <c r="BML25" s="1266"/>
      <c r="BMM25" s="1266"/>
      <c r="BMN25" s="1266"/>
      <c r="BMO25" s="1266"/>
      <c r="BMP25" s="1266"/>
      <c r="BMQ25" s="1266"/>
      <c r="BMR25" s="1266"/>
      <c r="BMS25" s="1266"/>
      <c r="BMT25" s="1266"/>
      <c r="BMU25" s="1266"/>
      <c r="BMV25" s="1266"/>
      <c r="BMW25" s="1266"/>
      <c r="BMX25" s="1266"/>
      <c r="BMY25" s="1266"/>
      <c r="BMZ25" s="1266"/>
      <c r="BNA25" s="1266"/>
      <c r="BNB25" s="1266"/>
      <c r="BNC25" s="1266"/>
      <c r="BND25" s="1266"/>
      <c r="BNE25" s="1266"/>
      <c r="BNF25" s="1266"/>
      <c r="BNG25" s="1266"/>
      <c r="BNH25" s="1266"/>
      <c r="BNI25" s="1266"/>
      <c r="BNJ25" s="1266"/>
      <c r="BNK25" s="1266"/>
      <c r="BNL25" s="1266"/>
      <c r="BNM25" s="1266"/>
      <c r="BNN25" s="1266"/>
      <c r="BNO25" s="1266"/>
      <c r="BNP25" s="1266"/>
      <c r="BNQ25" s="1266"/>
      <c r="BNR25" s="1266"/>
      <c r="BNS25" s="1266"/>
      <c r="BNT25" s="1266"/>
      <c r="BNU25" s="1266"/>
      <c r="BNV25" s="1266"/>
      <c r="BNW25" s="1266"/>
      <c r="BNX25" s="1266"/>
      <c r="BNY25" s="1266"/>
      <c r="BNZ25" s="1266"/>
      <c r="BOA25" s="1266"/>
      <c r="BOB25" s="1266"/>
      <c r="BOC25" s="1266"/>
      <c r="BOD25" s="1266"/>
      <c r="BOE25" s="1266"/>
      <c r="BOF25" s="1266"/>
      <c r="BOG25" s="1266"/>
      <c r="BOH25" s="1266"/>
      <c r="BOI25" s="1266"/>
      <c r="BOJ25" s="1266"/>
      <c r="BOK25" s="1266"/>
      <c r="BOL25" s="1266"/>
      <c r="BOM25" s="1266"/>
      <c r="BON25" s="1266"/>
      <c r="BOO25" s="1266"/>
      <c r="BOP25" s="1266"/>
      <c r="BOQ25" s="1266"/>
      <c r="BOR25" s="1266"/>
      <c r="BOS25" s="1266"/>
      <c r="BOT25" s="1266"/>
      <c r="BOU25" s="1266"/>
      <c r="BOV25" s="1266"/>
      <c r="BOW25" s="1266"/>
      <c r="BOX25" s="1266"/>
      <c r="BOY25" s="1266"/>
      <c r="BOZ25" s="1266"/>
      <c r="BPA25" s="1266"/>
      <c r="BPB25" s="1266"/>
      <c r="BPC25" s="1266"/>
      <c r="BPD25" s="1266"/>
      <c r="BPE25" s="1266"/>
      <c r="BPF25" s="1266"/>
      <c r="BPG25" s="1266"/>
      <c r="BPH25" s="1266"/>
      <c r="BPI25" s="1266"/>
      <c r="BPJ25" s="1266"/>
      <c r="BPK25" s="1266"/>
      <c r="BPL25" s="1266"/>
      <c r="BPM25" s="1266"/>
      <c r="BPN25" s="1266"/>
      <c r="BPO25" s="1266"/>
      <c r="BPP25" s="1266"/>
      <c r="BPQ25" s="1266"/>
      <c r="BPR25" s="1266"/>
      <c r="BPS25" s="1266"/>
      <c r="BPT25" s="1266"/>
      <c r="BPU25" s="1266"/>
      <c r="BPV25" s="1266"/>
      <c r="BPW25" s="1266"/>
      <c r="BPX25" s="1266"/>
      <c r="BPY25" s="1266"/>
      <c r="BPZ25" s="1266"/>
      <c r="BQA25" s="1266"/>
      <c r="BQB25" s="1266"/>
      <c r="BQC25" s="1266"/>
      <c r="BQD25" s="1266"/>
      <c r="BQE25" s="1266"/>
      <c r="BQF25" s="1266"/>
      <c r="BQG25" s="1266"/>
      <c r="BQH25" s="1266"/>
      <c r="BQI25" s="1266"/>
      <c r="BQJ25" s="1266"/>
      <c r="BQK25" s="1266"/>
      <c r="BQL25" s="1266"/>
      <c r="BQM25" s="1266"/>
      <c r="BQN25" s="1266"/>
      <c r="BQO25" s="1266"/>
      <c r="BQP25" s="1266"/>
      <c r="BQQ25" s="1266"/>
      <c r="BQR25" s="1266"/>
      <c r="BQS25" s="1266"/>
      <c r="BQT25" s="1266"/>
      <c r="BQU25" s="1266"/>
      <c r="BQV25" s="1266"/>
      <c r="BQW25" s="1266"/>
      <c r="BQX25" s="1266"/>
      <c r="BQY25" s="1266"/>
      <c r="BQZ25" s="1266"/>
      <c r="BRA25" s="1266"/>
      <c r="BRB25" s="1266"/>
      <c r="BRC25" s="1266"/>
      <c r="BRD25" s="1266"/>
      <c r="BRE25" s="1266"/>
      <c r="BRF25" s="1266"/>
      <c r="BRG25" s="1266"/>
      <c r="BRH25" s="1266"/>
      <c r="BRI25" s="1266"/>
      <c r="BRJ25" s="1266"/>
      <c r="BRK25" s="1266"/>
      <c r="BRL25" s="1266"/>
      <c r="BRM25" s="1266"/>
      <c r="BRN25" s="1266"/>
      <c r="BRO25" s="1266"/>
      <c r="BRP25" s="1266"/>
      <c r="BRQ25" s="1266"/>
      <c r="BRR25" s="1266"/>
      <c r="BRS25" s="1266"/>
      <c r="BRT25" s="1266"/>
      <c r="BRU25" s="1266"/>
      <c r="BRV25" s="1266"/>
      <c r="BRW25" s="1266"/>
      <c r="BRX25" s="1266"/>
      <c r="BRY25" s="1266"/>
      <c r="BRZ25" s="1266"/>
      <c r="BSA25" s="1266"/>
      <c r="BSB25" s="1266"/>
      <c r="BSC25" s="1266"/>
      <c r="BSD25" s="1266"/>
      <c r="BSE25" s="1266"/>
      <c r="BSF25" s="1266"/>
      <c r="BSG25" s="1266"/>
      <c r="BSH25" s="1266"/>
      <c r="BSI25" s="1266"/>
      <c r="BSJ25" s="1266"/>
      <c r="BSK25" s="1266"/>
      <c r="BSL25" s="1266"/>
      <c r="BSM25" s="1266"/>
      <c r="BSN25" s="1266"/>
      <c r="BSO25" s="1266"/>
      <c r="BSP25" s="1266"/>
      <c r="BSQ25" s="1266"/>
      <c r="BSR25" s="1266"/>
      <c r="BSS25" s="1266"/>
      <c r="BST25" s="1266"/>
      <c r="BSU25" s="1266"/>
      <c r="BSV25" s="1266"/>
      <c r="BSW25" s="1266"/>
      <c r="BSX25" s="1266"/>
      <c r="BSY25" s="1266"/>
      <c r="BSZ25" s="1266"/>
      <c r="BTA25" s="1266"/>
      <c r="BTB25" s="1266"/>
      <c r="BTC25" s="1266"/>
      <c r="BTD25" s="1266"/>
      <c r="BTE25" s="1266"/>
      <c r="BTF25" s="1266"/>
      <c r="BTG25" s="1266"/>
      <c r="BTH25" s="1266"/>
      <c r="BTI25" s="1266"/>
      <c r="BTJ25" s="1266"/>
      <c r="BTK25" s="1266"/>
      <c r="BTL25" s="1266"/>
      <c r="BTM25" s="1266"/>
      <c r="BTN25" s="1266"/>
      <c r="BTO25" s="1266"/>
      <c r="BTP25" s="1266"/>
      <c r="BTQ25" s="1266"/>
      <c r="BTR25" s="1266"/>
      <c r="BTS25" s="1266"/>
      <c r="BTT25" s="1266"/>
      <c r="BTU25" s="1266"/>
      <c r="BTV25" s="1266"/>
      <c r="BTW25" s="1266"/>
      <c r="BTX25" s="1266"/>
      <c r="BTY25" s="1266"/>
      <c r="BTZ25" s="1266"/>
      <c r="BUA25" s="1266"/>
      <c r="BUB25" s="1266"/>
      <c r="BUC25" s="1266"/>
      <c r="BUD25" s="1266"/>
      <c r="BUE25" s="1266"/>
      <c r="BUF25" s="1266"/>
      <c r="BUG25" s="1266"/>
      <c r="BUH25" s="1266"/>
      <c r="BUI25" s="1266"/>
      <c r="BUJ25" s="1266"/>
      <c r="BUK25" s="1266"/>
      <c r="BUL25" s="1266"/>
      <c r="BUM25" s="1266"/>
      <c r="BUN25" s="1266"/>
      <c r="BUO25" s="1266"/>
      <c r="BUP25" s="1266"/>
      <c r="BUQ25" s="1266"/>
      <c r="BUR25" s="1266"/>
      <c r="BUS25" s="1266"/>
      <c r="BUT25" s="1266"/>
      <c r="BUU25" s="1266"/>
      <c r="BUV25" s="1266"/>
      <c r="BUW25" s="1266"/>
      <c r="BUX25" s="1266"/>
      <c r="BUY25" s="1266"/>
      <c r="BUZ25" s="1266"/>
      <c r="BVA25" s="1266"/>
      <c r="BVB25" s="1266"/>
      <c r="BVC25" s="1266"/>
      <c r="BVD25" s="1266"/>
      <c r="BVE25" s="1266"/>
      <c r="BVF25" s="1266"/>
      <c r="BVG25" s="1266"/>
      <c r="BVH25" s="1266"/>
      <c r="BVI25" s="1266"/>
      <c r="BVJ25" s="1266"/>
      <c r="BVK25" s="1266"/>
      <c r="BVL25" s="1266"/>
      <c r="BVM25" s="1266"/>
      <c r="BVN25" s="1266"/>
      <c r="BVO25" s="1266"/>
      <c r="BVP25" s="1266"/>
      <c r="BVQ25" s="1266"/>
      <c r="BVR25" s="1266"/>
      <c r="BVS25" s="1266"/>
      <c r="BVT25" s="1266"/>
      <c r="BVU25" s="1266"/>
      <c r="BVV25" s="1266"/>
      <c r="BVW25" s="1266"/>
      <c r="BVX25" s="1266"/>
      <c r="BVY25" s="1266"/>
      <c r="BVZ25" s="1266"/>
      <c r="BWA25" s="1266"/>
      <c r="BWB25" s="1266"/>
      <c r="BWC25" s="1266"/>
      <c r="BWD25" s="1266"/>
      <c r="BWE25" s="1266"/>
      <c r="BWF25" s="1266"/>
      <c r="BWG25" s="1266"/>
      <c r="BWH25" s="1266"/>
      <c r="BWI25" s="1266"/>
      <c r="BWJ25" s="1266"/>
      <c r="BWK25" s="1266"/>
      <c r="BWL25" s="1266"/>
      <c r="BWM25" s="1266"/>
      <c r="BWN25" s="1266"/>
      <c r="BWO25" s="1266"/>
      <c r="BWP25" s="1266"/>
      <c r="BWQ25" s="1266"/>
      <c r="BWR25" s="1266"/>
      <c r="BWS25" s="1266"/>
      <c r="BWT25" s="1266"/>
      <c r="BWU25" s="1266"/>
      <c r="BWV25" s="1266"/>
      <c r="BWW25" s="1266"/>
      <c r="BWX25" s="1266"/>
      <c r="BWY25" s="1266"/>
      <c r="BWZ25" s="1266"/>
      <c r="BXA25" s="1266"/>
      <c r="BXB25" s="1266"/>
      <c r="BXC25" s="1266"/>
      <c r="BXD25" s="1266"/>
      <c r="BXE25" s="1266"/>
      <c r="BXF25" s="1266"/>
      <c r="BXG25" s="1266"/>
      <c r="BXH25" s="1266"/>
      <c r="BXI25" s="1266"/>
      <c r="BXJ25" s="1266"/>
      <c r="BXK25" s="1266"/>
      <c r="BXL25" s="1266"/>
      <c r="BXM25" s="1266"/>
      <c r="BXN25" s="1266"/>
      <c r="BXO25" s="1266"/>
      <c r="BXP25" s="1266"/>
      <c r="BXQ25" s="1266"/>
      <c r="BXR25" s="1266"/>
      <c r="BXS25" s="1266"/>
      <c r="BXT25" s="1266"/>
      <c r="BXU25" s="1266"/>
      <c r="BXV25" s="1266"/>
      <c r="BXW25" s="1266"/>
      <c r="BXX25" s="1266"/>
      <c r="BXY25" s="1266"/>
      <c r="BXZ25" s="1266"/>
      <c r="BYA25" s="1266"/>
      <c r="BYB25" s="1266"/>
      <c r="BYC25" s="1266"/>
      <c r="BYD25" s="1266"/>
      <c r="BYE25" s="1266"/>
      <c r="BYF25" s="1266"/>
      <c r="BYG25" s="1266"/>
      <c r="BYH25" s="1266"/>
      <c r="BYI25" s="1266"/>
      <c r="BYJ25" s="1266"/>
      <c r="BYK25" s="1266"/>
      <c r="BYL25" s="1266"/>
      <c r="BYM25" s="1266"/>
      <c r="BYN25" s="1266"/>
      <c r="BYO25" s="1266"/>
      <c r="BYP25" s="1266"/>
      <c r="BYQ25" s="1266"/>
      <c r="BYR25" s="1266"/>
      <c r="BYS25" s="1266"/>
      <c r="BYT25" s="1266"/>
      <c r="BYU25" s="1266"/>
      <c r="BYV25" s="1266"/>
      <c r="BYW25" s="1266"/>
      <c r="BYX25" s="1266"/>
      <c r="BYY25" s="1266"/>
      <c r="BYZ25" s="1266"/>
      <c r="BZA25" s="1266"/>
      <c r="BZB25" s="1266"/>
      <c r="BZC25" s="1266"/>
      <c r="BZD25" s="1266"/>
      <c r="BZE25" s="1266"/>
      <c r="BZF25" s="1266"/>
      <c r="BZG25" s="1266"/>
      <c r="BZH25" s="1266"/>
      <c r="BZI25" s="1266"/>
      <c r="BZJ25" s="1266"/>
      <c r="BZK25" s="1266"/>
      <c r="BZL25" s="1266"/>
      <c r="BZM25" s="1266"/>
      <c r="BZN25" s="1266"/>
      <c r="BZO25" s="1266"/>
      <c r="BZP25" s="1266"/>
      <c r="BZQ25" s="1266"/>
      <c r="BZR25" s="1266"/>
      <c r="BZS25" s="1266"/>
      <c r="BZT25" s="1266"/>
      <c r="BZU25" s="1266"/>
      <c r="BZV25" s="1266"/>
      <c r="BZW25" s="1266"/>
      <c r="BZX25" s="1266"/>
      <c r="BZY25" s="1266"/>
      <c r="BZZ25" s="1266"/>
      <c r="CAA25" s="1266"/>
      <c r="CAB25" s="1266"/>
      <c r="CAC25" s="1266"/>
      <c r="CAD25" s="1266"/>
      <c r="CAE25" s="1266"/>
      <c r="CAF25" s="1266"/>
      <c r="CAG25" s="1266"/>
      <c r="CAH25" s="1266"/>
      <c r="CAI25" s="1266"/>
      <c r="CAJ25" s="1266"/>
      <c r="CAK25" s="1266"/>
      <c r="CAL25" s="1266"/>
      <c r="CAM25" s="1266"/>
      <c r="CAN25" s="1266"/>
      <c r="CAO25" s="1266"/>
      <c r="CAP25" s="1266"/>
      <c r="CAQ25" s="1266"/>
      <c r="CAR25" s="1266"/>
      <c r="CAS25" s="1266"/>
      <c r="CAT25" s="1266"/>
      <c r="CAU25" s="1266"/>
      <c r="CAV25" s="1266"/>
      <c r="CAW25" s="1266"/>
      <c r="CAX25" s="1266"/>
      <c r="CAY25" s="1266"/>
      <c r="CAZ25" s="1266"/>
      <c r="CBA25" s="1266"/>
      <c r="CBB25" s="1266"/>
      <c r="CBC25" s="1266"/>
      <c r="CBD25" s="1266"/>
      <c r="CBE25" s="1266"/>
      <c r="CBF25" s="1266"/>
      <c r="CBG25" s="1266"/>
      <c r="CBH25" s="1266"/>
      <c r="CBI25" s="1266"/>
      <c r="CBJ25" s="1266"/>
      <c r="CBK25" s="1266"/>
      <c r="CBL25" s="1266"/>
      <c r="CBM25" s="1266"/>
      <c r="CBN25" s="1266"/>
      <c r="CBO25" s="1266"/>
      <c r="CBP25" s="1266"/>
      <c r="CBQ25" s="1266"/>
      <c r="CBR25" s="1266"/>
      <c r="CBS25" s="1266"/>
      <c r="CBT25" s="1266"/>
      <c r="CBU25" s="1266"/>
      <c r="CBV25" s="1266"/>
      <c r="CBW25" s="1266"/>
      <c r="CBX25" s="1266"/>
      <c r="CBY25" s="1266"/>
      <c r="CBZ25" s="1266"/>
      <c r="CCA25" s="1266"/>
      <c r="CCB25" s="1266"/>
      <c r="CCC25" s="1266"/>
      <c r="CCD25" s="1266"/>
      <c r="CCE25" s="1266"/>
      <c r="CCF25" s="1266"/>
      <c r="CCG25" s="1266"/>
      <c r="CCH25" s="1266"/>
      <c r="CCI25" s="1266"/>
      <c r="CCJ25" s="1266"/>
      <c r="CCK25" s="1266"/>
      <c r="CCL25" s="1266"/>
      <c r="CCM25" s="1266"/>
      <c r="CCN25" s="1266"/>
      <c r="CCO25" s="1266"/>
      <c r="CCP25" s="1266"/>
      <c r="CCQ25" s="1266"/>
      <c r="CCR25" s="1266"/>
      <c r="CCS25" s="1266"/>
      <c r="CCT25" s="1266"/>
      <c r="CCU25" s="1266"/>
      <c r="CCV25" s="1266"/>
      <c r="CCW25" s="1266"/>
      <c r="CCX25" s="1266"/>
      <c r="CCY25" s="1266"/>
      <c r="CCZ25" s="1266"/>
      <c r="CDA25" s="1266"/>
      <c r="CDB25" s="1266"/>
      <c r="CDC25" s="1266"/>
      <c r="CDD25" s="1266"/>
      <c r="CDE25" s="1266"/>
      <c r="CDF25" s="1266"/>
      <c r="CDG25" s="1266"/>
      <c r="CDH25" s="1266"/>
      <c r="CDI25" s="1266"/>
      <c r="CDJ25" s="1266"/>
      <c r="CDK25" s="1266"/>
      <c r="CDL25" s="1266"/>
      <c r="CDM25" s="1266"/>
      <c r="CDN25" s="1266"/>
      <c r="CDO25" s="1266"/>
      <c r="CDP25" s="1266"/>
      <c r="CDQ25" s="1266"/>
      <c r="CDR25" s="1266"/>
      <c r="CDS25" s="1266"/>
      <c r="CDT25" s="1266"/>
      <c r="CDU25" s="1266"/>
      <c r="CDV25" s="1266"/>
      <c r="CDW25" s="1266"/>
      <c r="CDX25" s="1266"/>
      <c r="CDY25" s="1266"/>
      <c r="CDZ25" s="1266"/>
      <c r="CEA25" s="1266"/>
      <c r="CEB25" s="1266"/>
      <c r="CEC25" s="1266"/>
      <c r="CED25" s="1266"/>
      <c r="CEE25" s="1266"/>
      <c r="CEF25" s="1266"/>
      <c r="CEG25" s="1266"/>
      <c r="CEH25" s="1266"/>
      <c r="CEI25" s="1266"/>
      <c r="CEJ25" s="1266"/>
      <c r="CEK25" s="1266"/>
      <c r="CEL25" s="1266"/>
      <c r="CEM25" s="1266"/>
      <c r="CEN25" s="1266"/>
      <c r="CEO25" s="1266"/>
      <c r="CEP25" s="1266"/>
      <c r="CEQ25" s="1266"/>
      <c r="CER25" s="1266"/>
      <c r="CES25" s="1266"/>
      <c r="CET25" s="1266"/>
      <c r="CEU25" s="1266"/>
      <c r="CEV25" s="1266"/>
      <c r="CEW25" s="1266"/>
      <c r="CEX25" s="1266"/>
      <c r="CEY25" s="1266"/>
      <c r="CEZ25" s="1266"/>
      <c r="CFA25" s="1266"/>
      <c r="CFB25" s="1266"/>
      <c r="CFC25" s="1266"/>
      <c r="CFD25" s="1266"/>
      <c r="CFE25" s="1266"/>
      <c r="CFF25" s="1266"/>
      <c r="CFG25" s="1266"/>
      <c r="CFH25" s="1266"/>
      <c r="CFI25" s="1266"/>
      <c r="CFJ25" s="1266"/>
      <c r="CFK25" s="1266"/>
      <c r="CFL25" s="1266"/>
      <c r="CFM25" s="1266"/>
      <c r="CFN25" s="1266"/>
      <c r="CFO25" s="1266"/>
      <c r="CFP25" s="1266"/>
      <c r="CFQ25" s="1266"/>
      <c r="CFR25" s="1266"/>
      <c r="CFS25" s="1266"/>
      <c r="CFT25" s="1266"/>
      <c r="CFU25" s="1266"/>
      <c r="CFV25" s="1266"/>
      <c r="CFW25" s="1266"/>
      <c r="CFX25" s="1266"/>
      <c r="CFY25" s="1266"/>
      <c r="CFZ25" s="1266"/>
      <c r="CGA25" s="1266"/>
      <c r="CGB25" s="1266"/>
      <c r="CGC25" s="1266"/>
      <c r="CGD25" s="1266"/>
      <c r="CGE25" s="1266"/>
      <c r="CGF25" s="1266"/>
      <c r="CGG25" s="1266"/>
      <c r="CGH25" s="1266"/>
      <c r="CGI25" s="1266"/>
      <c r="CGJ25" s="1266"/>
      <c r="CGK25" s="1266"/>
      <c r="CGL25" s="1266"/>
      <c r="CGM25" s="1266"/>
      <c r="CGN25" s="1266"/>
      <c r="CGO25" s="1266"/>
      <c r="CGP25" s="1266"/>
      <c r="CGQ25" s="1266"/>
      <c r="CGR25" s="1266"/>
      <c r="CGS25" s="1266"/>
      <c r="CGT25" s="1266"/>
      <c r="CGU25" s="1266"/>
      <c r="CGV25" s="1266"/>
      <c r="CGW25" s="1266"/>
      <c r="CGX25" s="1266"/>
      <c r="CGY25" s="1266"/>
      <c r="CGZ25" s="1266"/>
      <c r="CHA25" s="1266"/>
      <c r="CHB25" s="1266"/>
      <c r="CHC25" s="1266"/>
      <c r="CHD25" s="1266"/>
      <c r="CHE25" s="1266"/>
      <c r="CHF25" s="1266"/>
      <c r="CHG25" s="1266"/>
      <c r="CHH25" s="1266"/>
      <c r="CHI25" s="1266"/>
      <c r="CHJ25" s="1266"/>
      <c r="CHK25" s="1266"/>
      <c r="CHL25" s="1266"/>
      <c r="CHM25" s="1266"/>
      <c r="CHN25" s="1266"/>
      <c r="CHO25" s="1266"/>
      <c r="CHP25" s="1266"/>
      <c r="CHQ25" s="1266"/>
      <c r="CHR25" s="1266"/>
      <c r="CHS25" s="1266"/>
      <c r="CHT25" s="1266"/>
      <c r="CHU25" s="1266"/>
      <c r="CHV25" s="1266"/>
      <c r="CHW25" s="1266"/>
      <c r="CHX25" s="1266"/>
      <c r="CHY25" s="1266"/>
      <c r="CHZ25" s="1266"/>
      <c r="CIA25" s="1266"/>
      <c r="CIB25" s="1266"/>
      <c r="CIC25" s="1266"/>
      <c r="CID25" s="1266"/>
      <c r="CIE25" s="1266"/>
      <c r="CIF25" s="1266"/>
      <c r="CIG25" s="1266"/>
      <c r="CIH25" s="1266"/>
      <c r="CII25" s="1266"/>
      <c r="CIJ25" s="1266"/>
      <c r="CIK25" s="1266"/>
      <c r="CIL25" s="1266"/>
      <c r="CIM25" s="1266"/>
      <c r="CIN25" s="1266"/>
      <c r="CIO25" s="1266"/>
      <c r="CIP25" s="1266"/>
      <c r="CIQ25" s="1266"/>
      <c r="CIR25" s="1266"/>
      <c r="CIS25" s="1266"/>
      <c r="CIT25" s="1266"/>
      <c r="CIU25" s="1266"/>
      <c r="CIV25" s="1266"/>
      <c r="CIW25" s="1266"/>
      <c r="CIX25" s="1266"/>
      <c r="CIY25" s="1266"/>
      <c r="CIZ25" s="1266"/>
      <c r="CJA25" s="1266"/>
      <c r="CJB25" s="1266"/>
      <c r="CJC25" s="1266"/>
      <c r="CJD25" s="1266"/>
      <c r="CJE25" s="1266"/>
      <c r="CJF25" s="1266"/>
      <c r="CJG25" s="1266"/>
      <c r="CJH25" s="1266"/>
      <c r="CJI25" s="1266"/>
      <c r="CJJ25" s="1266"/>
      <c r="CJK25" s="1266"/>
      <c r="CJL25" s="1266"/>
      <c r="CJM25" s="1266"/>
      <c r="CJN25" s="1266"/>
      <c r="CJO25" s="1266"/>
      <c r="CJP25" s="1266"/>
      <c r="CJQ25" s="1266"/>
      <c r="CJR25" s="1266"/>
      <c r="CJS25" s="1266"/>
      <c r="CJT25" s="1266"/>
      <c r="CJU25" s="1266"/>
      <c r="CJV25" s="1266"/>
      <c r="CJW25" s="1266"/>
      <c r="CJX25" s="1266"/>
      <c r="CJY25" s="1266"/>
      <c r="CJZ25" s="1266"/>
      <c r="CKA25" s="1266"/>
      <c r="CKB25" s="1266"/>
      <c r="CKC25" s="1266"/>
      <c r="CKD25" s="1266"/>
      <c r="CKE25" s="1266"/>
      <c r="CKF25" s="1266"/>
      <c r="CKG25" s="1266"/>
      <c r="CKH25" s="1266"/>
      <c r="CKI25" s="1266"/>
      <c r="CKJ25" s="1266"/>
      <c r="CKK25" s="1266"/>
      <c r="CKL25" s="1266"/>
      <c r="CKM25" s="1266"/>
      <c r="CKN25" s="1266"/>
      <c r="CKO25" s="1266"/>
      <c r="CKP25" s="1266"/>
      <c r="CKQ25" s="1266"/>
      <c r="CKR25" s="1266"/>
      <c r="CKS25" s="1266"/>
      <c r="CKT25" s="1266"/>
      <c r="CKU25" s="1266"/>
      <c r="CKV25" s="1266"/>
      <c r="CKW25" s="1266"/>
      <c r="CKX25" s="1266"/>
      <c r="CKY25" s="1266"/>
      <c r="CKZ25" s="1266"/>
      <c r="CLA25" s="1266"/>
      <c r="CLB25" s="1266"/>
      <c r="CLC25" s="1266"/>
      <c r="CLD25" s="1266"/>
      <c r="CLE25" s="1266"/>
      <c r="CLF25" s="1266"/>
      <c r="CLG25" s="1266"/>
      <c r="CLH25" s="1266"/>
      <c r="CLI25" s="1266"/>
      <c r="CLJ25" s="1266"/>
      <c r="CLK25" s="1266"/>
      <c r="CLL25" s="1266"/>
      <c r="CLM25" s="1266"/>
      <c r="CLN25" s="1266"/>
      <c r="CLO25" s="1266"/>
      <c r="CLP25" s="1266"/>
      <c r="CLQ25" s="1266"/>
      <c r="CLR25" s="1266"/>
      <c r="CLS25" s="1266"/>
      <c r="CLT25" s="1266"/>
      <c r="CLU25" s="1266"/>
      <c r="CLV25" s="1266"/>
      <c r="CLW25" s="1266"/>
      <c r="CLX25" s="1266"/>
      <c r="CLY25" s="1266"/>
      <c r="CLZ25" s="1266"/>
      <c r="CMA25" s="1266"/>
      <c r="CMB25" s="1266"/>
      <c r="CMC25" s="1266"/>
      <c r="CMD25" s="1266"/>
      <c r="CME25" s="1266"/>
      <c r="CMF25" s="1266"/>
      <c r="CMG25" s="1266"/>
      <c r="CMH25" s="1266"/>
      <c r="CMI25" s="1266"/>
      <c r="CMJ25" s="1266"/>
      <c r="CMK25" s="1266"/>
      <c r="CML25" s="1266"/>
      <c r="CMM25" s="1266"/>
      <c r="CMN25" s="1266"/>
      <c r="CMO25" s="1266"/>
      <c r="CMP25" s="1266"/>
      <c r="CMQ25" s="1266"/>
      <c r="CMR25" s="1266"/>
      <c r="CMS25" s="1266"/>
      <c r="CMT25" s="1266"/>
      <c r="CMU25" s="1266"/>
      <c r="CMV25" s="1266"/>
      <c r="CMW25" s="1266"/>
      <c r="CMX25" s="1266"/>
      <c r="CMY25" s="1266"/>
      <c r="CMZ25" s="1266"/>
      <c r="CNA25" s="1266"/>
      <c r="CNB25" s="1266"/>
      <c r="CNC25" s="1266"/>
      <c r="CND25" s="1266"/>
      <c r="CNE25" s="1266"/>
      <c r="CNF25" s="1266"/>
      <c r="CNG25" s="1266"/>
      <c r="CNH25" s="1266"/>
      <c r="CNI25" s="1266"/>
      <c r="CNJ25" s="1266"/>
      <c r="CNK25" s="1266"/>
      <c r="CNL25" s="1266"/>
      <c r="CNM25" s="1266"/>
      <c r="CNN25" s="1266"/>
      <c r="CNO25" s="1266"/>
      <c r="CNP25" s="1266"/>
      <c r="CNQ25" s="1266"/>
      <c r="CNR25" s="1266"/>
      <c r="CNS25" s="1266"/>
      <c r="CNT25" s="1266"/>
      <c r="CNU25" s="1266"/>
      <c r="CNV25" s="1266"/>
      <c r="CNW25" s="1266"/>
      <c r="CNX25" s="1266"/>
      <c r="CNY25" s="1266"/>
      <c r="CNZ25" s="1266"/>
      <c r="COA25" s="1266"/>
      <c r="COB25" s="1266"/>
      <c r="COC25" s="1266"/>
      <c r="COD25" s="1266"/>
      <c r="COE25" s="1266"/>
      <c r="COF25" s="1266"/>
      <c r="COG25" s="1266"/>
      <c r="COH25" s="1266"/>
      <c r="COI25" s="1266"/>
      <c r="COJ25" s="1266"/>
      <c r="COK25" s="1266"/>
      <c r="COL25" s="1266"/>
      <c r="COM25" s="1266"/>
      <c r="CON25" s="1266"/>
      <c r="COO25" s="1266"/>
      <c r="COP25" s="1266"/>
      <c r="COQ25" s="1266"/>
      <c r="COR25" s="1266"/>
      <c r="COS25" s="1266"/>
      <c r="COT25" s="1266"/>
      <c r="COU25" s="1266"/>
      <c r="COV25" s="1266"/>
      <c r="COW25" s="1266"/>
      <c r="COX25" s="1266"/>
      <c r="COY25" s="1266"/>
      <c r="COZ25" s="1266"/>
      <c r="CPA25" s="1266"/>
      <c r="CPB25" s="1266"/>
      <c r="CPC25" s="1266"/>
      <c r="CPD25" s="1266"/>
      <c r="CPE25" s="1266"/>
      <c r="CPF25" s="1266"/>
      <c r="CPG25" s="1266"/>
      <c r="CPH25" s="1266"/>
      <c r="CPI25" s="1266"/>
      <c r="CPJ25" s="1266"/>
      <c r="CPK25" s="1266"/>
      <c r="CPL25" s="1266"/>
      <c r="CPM25" s="1266"/>
      <c r="CPN25" s="1266"/>
      <c r="CPO25" s="1266"/>
      <c r="CPP25" s="1266"/>
      <c r="CPQ25" s="1266"/>
      <c r="CPR25" s="1266"/>
      <c r="CPS25" s="1266"/>
      <c r="CPT25" s="1266"/>
      <c r="CPU25" s="1266"/>
      <c r="CPV25" s="1266"/>
      <c r="CPW25" s="1266"/>
      <c r="CPX25" s="1266"/>
      <c r="CPY25" s="1266"/>
      <c r="CPZ25" s="1266"/>
      <c r="CQA25" s="1266"/>
      <c r="CQB25" s="1266"/>
      <c r="CQC25" s="1266"/>
      <c r="CQD25" s="1266"/>
      <c r="CQE25" s="1266"/>
      <c r="CQF25" s="1266"/>
      <c r="CQG25" s="1266"/>
      <c r="CQH25" s="1266"/>
      <c r="CQI25" s="1266"/>
      <c r="CQJ25" s="1266"/>
      <c r="CQK25" s="1266"/>
      <c r="CQL25" s="1266"/>
      <c r="CQM25" s="1266"/>
      <c r="CQN25" s="1266"/>
      <c r="CQO25" s="1266"/>
      <c r="CQP25" s="1266"/>
      <c r="CQQ25" s="1266"/>
      <c r="CQR25" s="1266"/>
      <c r="CQS25" s="1266"/>
      <c r="CQT25" s="1266"/>
      <c r="CQU25" s="1266"/>
      <c r="CQV25" s="1266"/>
      <c r="CQW25" s="1266"/>
      <c r="CQX25" s="1266"/>
      <c r="CQY25" s="1266"/>
      <c r="CQZ25" s="1266"/>
      <c r="CRA25" s="1266"/>
      <c r="CRB25" s="1266"/>
      <c r="CRC25" s="1266"/>
      <c r="CRD25" s="1266"/>
      <c r="CRE25" s="1266"/>
      <c r="CRF25" s="1266"/>
      <c r="CRG25" s="1266"/>
      <c r="CRH25" s="1266"/>
      <c r="CRI25" s="1266"/>
      <c r="CRJ25" s="1266"/>
      <c r="CRK25" s="1266"/>
      <c r="CRL25" s="1266"/>
      <c r="CRM25" s="1266"/>
      <c r="CRN25" s="1266"/>
      <c r="CRO25" s="1266"/>
      <c r="CRP25" s="1266"/>
      <c r="CRQ25" s="1266"/>
      <c r="CRR25" s="1266"/>
      <c r="CRS25" s="1266"/>
      <c r="CRT25" s="1266"/>
      <c r="CRU25" s="1266"/>
      <c r="CRV25" s="1266"/>
      <c r="CRW25" s="1266"/>
      <c r="CRX25" s="1266"/>
      <c r="CRY25" s="1266"/>
      <c r="CRZ25" s="1266"/>
      <c r="CSA25" s="1266"/>
      <c r="CSB25" s="1266"/>
      <c r="CSC25" s="1266"/>
      <c r="CSD25" s="1266"/>
      <c r="CSE25" s="1266"/>
      <c r="CSF25" s="1266"/>
      <c r="CSG25" s="1266"/>
      <c r="CSH25" s="1266"/>
      <c r="CSI25" s="1266"/>
      <c r="CSJ25" s="1266"/>
      <c r="CSK25" s="1266"/>
      <c r="CSL25" s="1266"/>
      <c r="CSM25" s="1266"/>
      <c r="CSN25" s="1266"/>
      <c r="CSO25" s="1266"/>
      <c r="CSP25" s="1266"/>
      <c r="CSQ25" s="1266"/>
      <c r="CSR25" s="1266"/>
      <c r="CSS25" s="1266"/>
      <c r="CST25" s="1266"/>
      <c r="CSU25" s="1266"/>
      <c r="CSV25" s="1266"/>
      <c r="CSW25" s="1266"/>
      <c r="CSX25" s="1266"/>
      <c r="CSY25" s="1266"/>
      <c r="CSZ25" s="1266"/>
      <c r="CTA25" s="1266"/>
      <c r="CTB25" s="1266"/>
      <c r="CTC25" s="1266"/>
      <c r="CTD25" s="1266"/>
      <c r="CTE25" s="1266"/>
      <c r="CTF25" s="1266"/>
      <c r="CTG25" s="1266"/>
      <c r="CTH25" s="1266"/>
      <c r="CTI25" s="1266"/>
      <c r="CTJ25" s="1266"/>
      <c r="CTK25" s="1266"/>
      <c r="CTL25" s="1266"/>
      <c r="CTM25" s="1266"/>
      <c r="CTN25" s="1266"/>
      <c r="CTO25" s="1266"/>
      <c r="CTP25" s="1266"/>
      <c r="CTQ25" s="1266"/>
      <c r="CTR25" s="1266"/>
      <c r="CTS25" s="1266"/>
      <c r="CTT25" s="1266"/>
      <c r="CTU25" s="1266"/>
      <c r="CTV25" s="1266"/>
      <c r="CTW25" s="1266"/>
      <c r="CTX25" s="1266"/>
      <c r="CTY25" s="1266"/>
      <c r="CTZ25" s="1266"/>
      <c r="CUA25" s="1266"/>
      <c r="CUB25" s="1266"/>
      <c r="CUC25" s="1266"/>
      <c r="CUD25" s="1266"/>
      <c r="CUE25" s="1266"/>
      <c r="CUF25" s="1266"/>
      <c r="CUG25" s="1266"/>
      <c r="CUH25" s="1266"/>
      <c r="CUI25" s="1266"/>
      <c r="CUJ25" s="1266"/>
      <c r="CUK25" s="1266"/>
      <c r="CUL25" s="1266"/>
      <c r="CUM25" s="1266"/>
      <c r="CUN25" s="1266"/>
      <c r="CUO25" s="1266"/>
      <c r="CUP25" s="1266"/>
      <c r="CUQ25" s="1266"/>
      <c r="CUR25" s="1266"/>
      <c r="CUS25" s="1266"/>
      <c r="CUT25" s="1266"/>
      <c r="CUU25" s="1266"/>
      <c r="CUV25" s="1266"/>
      <c r="CUW25" s="1266"/>
      <c r="CUX25" s="1266"/>
      <c r="CUY25" s="1266"/>
      <c r="CUZ25" s="1266"/>
      <c r="CVA25" s="1266"/>
      <c r="CVB25" s="1266"/>
      <c r="CVC25" s="1266"/>
      <c r="CVD25" s="1266"/>
      <c r="CVE25" s="1266"/>
      <c r="CVF25" s="1266"/>
      <c r="CVG25" s="1266"/>
      <c r="CVH25" s="1266"/>
      <c r="CVI25" s="1266"/>
      <c r="CVJ25" s="1266"/>
      <c r="CVK25" s="1266"/>
      <c r="CVL25" s="1266"/>
      <c r="CVM25" s="1266"/>
      <c r="CVN25" s="1266"/>
      <c r="CVO25" s="1266"/>
      <c r="CVP25" s="1266"/>
      <c r="CVQ25" s="1266"/>
      <c r="CVR25" s="1266"/>
      <c r="CVS25" s="1266"/>
      <c r="CVT25" s="1266"/>
      <c r="CVU25" s="1266"/>
      <c r="CVV25" s="1266"/>
      <c r="CVW25" s="1266"/>
      <c r="CVX25" s="1266"/>
      <c r="CVY25" s="1266"/>
      <c r="CVZ25" s="1266"/>
      <c r="CWA25" s="1266"/>
      <c r="CWB25" s="1266"/>
      <c r="CWC25" s="1266"/>
      <c r="CWD25" s="1266"/>
      <c r="CWE25" s="1266"/>
      <c r="CWF25" s="1266"/>
      <c r="CWG25" s="1266"/>
      <c r="CWH25" s="1266"/>
      <c r="CWI25" s="1266"/>
      <c r="CWJ25" s="1266"/>
      <c r="CWK25" s="1266"/>
      <c r="CWL25" s="1266"/>
      <c r="CWM25" s="1266"/>
      <c r="CWN25" s="1266"/>
      <c r="CWO25" s="1266"/>
      <c r="CWP25" s="1266"/>
      <c r="CWQ25" s="1266"/>
      <c r="CWR25" s="1266"/>
      <c r="CWS25" s="1266"/>
      <c r="CWT25" s="1266"/>
      <c r="CWU25" s="1266"/>
      <c r="CWV25" s="1266"/>
      <c r="CWW25" s="1266"/>
      <c r="CWX25" s="1266"/>
      <c r="CWY25" s="1266"/>
      <c r="CWZ25" s="1266"/>
      <c r="CXA25" s="1266"/>
      <c r="CXB25" s="1266"/>
      <c r="CXC25" s="1266"/>
      <c r="CXD25" s="1266"/>
      <c r="CXE25" s="1266"/>
      <c r="CXF25" s="1266"/>
      <c r="CXG25" s="1266"/>
      <c r="CXH25" s="1266"/>
      <c r="CXI25" s="1266"/>
      <c r="CXJ25" s="1266"/>
      <c r="CXK25" s="1266"/>
      <c r="CXL25" s="1266"/>
      <c r="CXM25" s="1266"/>
      <c r="CXN25" s="1266"/>
      <c r="CXO25" s="1266"/>
      <c r="CXP25" s="1266"/>
      <c r="CXQ25" s="1266"/>
      <c r="CXR25" s="1266"/>
      <c r="CXS25" s="1266"/>
      <c r="CXT25" s="1266"/>
      <c r="CXU25" s="1266"/>
      <c r="CXV25" s="1266"/>
      <c r="CXW25" s="1266"/>
      <c r="CXX25" s="1266"/>
      <c r="CXY25" s="1266"/>
      <c r="CXZ25" s="1266"/>
      <c r="CYA25" s="1266"/>
      <c r="CYB25" s="1266"/>
      <c r="CYC25" s="1266"/>
      <c r="CYD25" s="1266"/>
      <c r="CYE25" s="1266"/>
      <c r="CYF25" s="1266"/>
      <c r="CYG25" s="1266"/>
      <c r="CYH25" s="1266"/>
      <c r="CYI25" s="1266"/>
      <c r="CYJ25" s="1266"/>
      <c r="CYK25" s="1266"/>
      <c r="CYL25" s="1266"/>
      <c r="CYM25" s="1266"/>
      <c r="CYN25" s="1266"/>
      <c r="CYO25" s="1266"/>
      <c r="CYP25" s="1266"/>
      <c r="CYQ25" s="1266"/>
      <c r="CYR25" s="1266"/>
      <c r="CYS25" s="1266"/>
      <c r="CYT25" s="1266"/>
      <c r="CYU25" s="1266"/>
      <c r="CYV25" s="1266"/>
      <c r="CYW25" s="1266"/>
      <c r="CYX25" s="1266"/>
      <c r="CYY25" s="1266"/>
      <c r="CYZ25" s="1266"/>
      <c r="CZA25" s="1266"/>
      <c r="CZB25" s="1266"/>
      <c r="CZC25" s="1266"/>
      <c r="CZD25" s="1266"/>
      <c r="CZE25" s="1266"/>
      <c r="CZF25" s="1266"/>
      <c r="CZG25" s="1266"/>
      <c r="CZH25" s="1266"/>
      <c r="CZI25" s="1266"/>
      <c r="CZJ25" s="1266"/>
      <c r="CZK25" s="1266"/>
      <c r="CZL25" s="1266"/>
      <c r="CZM25" s="1266"/>
      <c r="CZN25" s="1266"/>
      <c r="CZO25" s="1266"/>
      <c r="CZP25" s="1266"/>
      <c r="CZQ25" s="1266"/>
      <c r="CZR25" s="1266"/>
      <c r="CZS25" s="1266"/>
      <c r="CZT25" s="1266"/>
      <c r="CZU25" s="1266"/>
      <c r="CZV25" s="1266"/>
      <c r="CZW25" s="1266"/>
      <c r="CZX25" s="1266"/>
      <c r="CZY25" s="1266"/>
      <c r="CZZ25" s="1266"/>
      <c r="DAA25" s="1266"/>
      <c r="DAB25" s="1266"/>
      <c r="DAC25" s="1266"/>
      <c r="DAD25" s="1266"/>
      <c r="DAE25" s="1266"/>
      <c r="DAF25" s="1266"/>
      <c r="DAG25" s="1266"/>
      <c r="DAH25" s="1266"/>
      <c r="DAI25" s="1266"/>
      <c r="DAJ25" s="1266"/>
      <c r="DAK25" s="1266"/>
      <c r="DAL25" s="1266"/>
      <c r="DAM25" s="1266"/>
      <c r="DAN25" s="1266"/>
      <c r="DAO25" s="1266"/>
      <c r="DAP25" s="1266"/>
      <c r="DAQ25" s="1266"/>
      <c r="DAR25" s="1266"/>
      <c r="DAS25" s="1266"/>
      <c r="DAT25" s="1266"/>
      <c r="DAU25" s="1266"/>
      <c r="DAV25" s="1266"/>
      <c r="DAW25" s="1266"/>
      <c r="DAX25" s="1266"/>
      <c r="DAY25" s="1266"/>
      <c r="DAZ25" s="1266"/>
      <c r="DBA25" s="1266"/>
      <c r="DBB25" s="1266"/>
      <c r="DBC25" s="1266"/>
      <c r="DBD25" s="1266"/>
      <c r="DBE25" s="1266"/>
      <c r="DBF25" s="1266"/>
      <c r="DBG25" s="1266"/>
      <c r="DBH25" s="1266"/>
      <c r="DBI25" s="1266"/>
      <c r="DBJ25" s="1266"/>
      <c r="DBK25" s="1266"/>
      <c r="DBL25" s="1266"/>
      <c r="DBM25" s="1266"/>
      <c r="DBN25" s="1266"/>
      <c r="DBO25" s="1266"/>
      <c r="DBP25" s="1266"/>
      <c r="DBQ25" s="1266"/>
      <c r="DBR25" s="1266"/>
      <c r="DBS25" s="1266"/>
      <c r="DBT25" s="1266"/>
      <c r="DBU25" s="1266"/>
      <c r="DBV25" s="1266"/>
      <c r="DBW25" s="1266"/>
      <c r="DBX25" s="1266"/>
      <c r="DBY25" s="1266"/>
      <c r="DBZ25" s="1266"/>
      <c r="DCA25" s="1266"/>
      <c r="DCB25" s="1266"/>
      <c r="DCC25" s="1266"/>
      <c r="DCD25" s="1266"/>
      <c r="DCE25" s="1266"/>
      <c r="DCF25" s="1266"/>
      <c r="DCG25" s="1266"/>
      <c r="DCH25" s="1266"/>
      <c r="DCI25" s="1266"/>
      <c r="DCJ25" s="1266"/>
      <c r="DCK25" s="1266"/>
      <c r="DCL25" s="1266"/>
      <c r="DCM25" s="1266"/>
      <c r="DCN25" s="1266"/>
      <c r="DCO25" s="1266"/>
      <c r="DCP25" s="1266"/>
      <c r="DCQ25" s="1266"/>
      <c r="DCR25" s="1266"/>
      <c r="DCS25" s="1266"/>
      <c r="DCT25" s="1266"/>
      <c r="DCU25" s="1266"/>
      <c r="DCV25" s="1266"/>
      <c r="DCW25" s="1266"/>
      <c r="DCX25" s="1266"/>
      <c r="DCY25" s="1266"/>
      <c r="DCZ25" s="1266"/>
      <c r="DDA25" s="1266"/>
      <c r="DDB25" s="1266"/>
      <c r="DDC25" s="1266"/>
      <c r="DDD25" s="1266"/>
      <c r="DDE25" s="1266"/>
      <c r="DDF25" s="1266"/>
      <c r="DDG25" s="1266"/>
      <c r="DDH25" s="1266"/>
      <c r="DDI25" s="1266"/>
      <c r="DDJ25" s="1266"/>
      <c r="DDK25" s="1266"/>
      <c r="DDL25" s="1266"/>
      <c r="DDM25" s="1266"/>
      <c r="DDN25" s="1266"/>
      <c r="DDO25" s="1266"/>
      <c r="DDP25" s="1266"/>
      <c r="DDQ25" s="1266"/>
      <c r="DDR25" s="1266"/>
      <c r="DDS25" s="1266"/>
      <c r="DDT25" s="1266"/>
      <c r="DDU25" s="1266"/>
      <c r="DDV25" s="1266"/>
      <c r="DDW25" s="1266"/>
      <c r="DDX25" s="1266"/>
      <c r="DDY25" s="1266"/>
      <c r="DDZ25" s="1266"/>
      <c r="DEA25" s="1266"/>
      <c r="DEB25" s="1266"/>
      <c r="DEC25" s="1266"/>
      <c r="DED25" s="1266"/>
      <c r="DEE25" s="1266"/>
      <c r="DEF25" s="1266"/>
      <c r="DEG25" s="1266"/>
      <c r="DEH25" s="1266"/>
      <c r="DEI25" s="1266"/>
      <c r="DEJ25" s="1266"/>
      <c r="DEK25" s="1266"/>
      <c r="DEL25" s="1266"/>
      <c r="DEM25" s="1266"/>
      <c r="DEN25" s="1266"/>
      <c r="DEO25" s="1266"/>
      <c r="DEP25" s="1266"/>
      <c r="DEQ25" s="1266"/>
      <c r="DER25" s="1266"/>
      <c r="DES25" s="1266"/>
      <c r="DET25" s="1266"/>
      <c r="DEU25" s="1266"/>
      <c r="DEV25" s="1266"/>
      <c r="DEW25" s="1266"/>
      <c r="DEX25" s="1266"/>
      <c r="DEY25" s="1266"/>
      <c r="DEZ25" s="1266"/>
      <c r="DFA25" s="1266"/>
      <c r="DFB25" s="1266"/>
      <c r="DFC25" s="1266"/>
      <c r="DFD25" s="1266"/>
      <c r="DFE25" s="1266"/>
      <c r="DFF25" s="1266"/>
      <c r="DFG25" s="1266"/>
      <c r="DFH25" s="1266"/>
      <c r="DFI25" s="1266"/>
      <c r="DFJ25" s="1266"/>
      <c r="DFK25" s="1266"/>
      <c r="DFL25" s="1266"/>
      <c r="DFM25" s="1266"/>
      <c r="DFN25" s="1266"/>
      <c r="DFO25" s="1266"/>
      <c r="DFP25" s="1266"/>
      <c r="DFQ25" s="1266"/>
      <c r="DFR25" s="1266"/>
      <c r="DFS25" s="1266"/>
      <c r="DFT25" s="1266"/>
      <c r="DFU25" s="1266"/>
      <c r="DFV25" s="1266"/>
      <c r="DFW25" s="1266"/>
      <c r="DFX25" s="1266"/>
      <c r="DFY25" s="1266"/>
      <c r="DFZ25" s="1266"/>
      <c r="DGA25" s="1266"/>
      <c r="DGB25" s="1266"/>
      <c r="DGC25" s="1266"/>
      <c r="DGD25" s="1266"/>
      <c r="DGE25" s="1266"/>
      <c r="DGF25" s="1266"/>
      <c r="DGG25" s="1266"/>
      <c r="DGH25" s="1266"/>
      <c r="DGI25" s="1266"/>
      <c r="DGJ25" s="1266"/>
      <c r="DGK25" s="1266"/>
      <c r="DGL25" s="1266"/>
      <c r="DGM25" s="1266"/>
      <c r="DGN25" s="1266"/>
      <c r="DGO25" s="1266"/>
      <c r="DGP25" s="1266"/>
      <c r="DGQ25" s="1266"/>
      <c r="DGR25" s="1266"/>
      <c r="DGS25" s="1266"/>
      <c r="DGT25" s="1266"/>
      <c r="DGU25" s="1266"/>
      <c r="DGV25" s="1266"/>
      <c r="DGW25" s="1266"/>
      <c r="DGX25" s="1266"/>
      <c r="DGY25" s="1266"/>
      <c r="DGZ25" s="1266"/>
      <c r="DHA25" s="1266"/>
      <c r="DHB25" s="1266"/>
      <c r="DHC25" s="1266"/>
      <c r="DHD25" s="1266"/>
      <c r="DHE25" s="1266"/>
      <c r="DHF25" s="1266"/>
      <c r="DHG25" s="1266"/>
      <c r="DHH25" s="1266"/>
      <c r="DHI25" s="1266"/>
      <c r="DHJ25" s="1266"/>
      <c r="DHK25" s="1266"/>
      <c r="DHL25" s="1266"/>
      <c r="DHM25" s="1266"/>
      <c r="DHN25" s="1266"/>
      <c r="DHO25" s="1266"/>
      <c r="DHP25" s="1266"/>
      <c r="DHQ25" s="1266"/>
      <c r="DHR25" s="1266"/>
      <c r="DHS25" s="1266"/>
      <c r="DHT25" s="1266"/>
      <c r="DHU25" s="1266"/>
      <c r="DHV25" s="1266"/>
      <c r="DHW25" s="1266"/>
      <c r="DHX25" s="1266"/>
      <c r="DHY25" s="1266"/>
      <c r="DHZ25" s="1266"/>
      <c r="DIA25" s="1266"/>
      <c r="DIB25" s="1266"/>
      <c r="DIC25" s="1266"/>
      <c r="DID25" s="1266"/>
      <c r="DIE25" s="1266"/>
      <c r="DIF25" s="1266"/>
      <c r="DIG25" s="1266"/>
      <c r="DIH25" s="1266"/>
      <c r="DII25" s="1266"/>
      <c r="DIJ25" s="1266"/>
      <c r="DIK25" s="1266"/>
      <c r="DIL25" s="1266"/>
      <c r="DIM25" s="1266"/>
      <c r="DIN25" s="1266"/>
      <c r="DIO25" s="1266"/>
      <c r="DIP25" s="1266"/>
      <c r="DIQ25" s="1266"/>
      <c r="DIR25" s="1266"/>
      <c r="DIS25" s="1266"/>
      <c r="DIT25" s="1266"/>
      <c r="DIU25" s="1266"/>
      <c r="DIV25" s="1266"/>
      <c r="DIW25" s="1266"/>
      <c r="DIX25" s="1266"/>
      <c r="DIY25" s="1266"/>
      <c r="DIZ25" s="1266"/>
      <c r="DJA25" s="1266"/>
      <c r="DJB25" s="1266"/>
      <c r="DJC25" s="1266"/>
      <c r="DJD25" s="1266"/>
      <c r="DJE25" s="1266"/>
      <c r="DJF25" s="1266"/>
      <c r="DJG25" s="1266"/>
      <c r="DJH25" s="1266"/>
      <c r="DJI25" s="1266"/>
      <c r="DJJ25" s="1266"/>
      <c r="DJK25" s="1266"/>
      <c r="DJL25" s="1266"/>
      <c r="DJM25" s="1266"/>
      <c r="DJN25" s="1266"/>
      <c r="DJO25" s="1266"/>
      <c r="DJP25" s="1266"/>
      <c r="DJQ25" s="1266"/>
      <c r="DJR25" s="1266"/>
      <c r="DJS25" s="1266"/>
      <c r="DJT25" s="1266"/>
      <c r="DJU25" s="1266"/>
      <c r="DJV25" s="1266"/>
      <c r="DJW25" s="1266"/>
      <c r="DJX25" s="1266"/>
      <c r="DJY25" s="1266"/>
      <c r="DJZ25" s="1266"/>
      <c r="DKA25" s="1266"/>
      <c r="DKB25" s="1266"/>
      <c r="DKC25" s="1266"/>
      <c r="DKD25" s="1266"/>
      <c r="DKE25" s="1266"/>
      <c r="DKF25" s="1266"/>
      <c r="DKG25" s="1266"/>
      <c r="DKH25" s="1266"/>
      <c r="DKI25" s="1266"/>
      <c r="DKJ25" s="1266"/>
      <c r="DKK25" s="1266"/>
      <c r="DKL25" s="1266"/>
      <c r="DKM25" s="1266"/>
      <c r="DKN25" s="1266"/>
      <c r="DKO25" s="1266"/>
      <c r="DKP25" s="1266"/>
      <c r="DKQ25" s="1266"/>
      <c r="DKR25" s="1266"/>
      <c r="DKS25" s="1266"/>
      <c r="DKT25" s="1266"/>
      <c r="DKU25" s="1266"/>
      <c r="DKV25" s="1266"/>
      <c r="DKW25" s="1266"/>
      <c r="DKX25" s="1266"/>
      <c r="DKY25" s="1266"/>
      <c r="DKZ25" s="1266"/>
      <c r="DLA25" s="1266"/>
      <c r="DLB25" s="1266"/>
      <c r="DLC25" s="1266"/>
      <c r="DLD25" s="1266"/>
      <c r="DLE25" s="1266"/>
      <c r="DLF25" s="1266"/>
      <c r="DLG25" s="1266"/>
      <c r="DLH25" s="1266"/>
      <c r="DLI25" s="1266"/>
      <c r="DLJ25" s="1266"/>
      <c r="DLK25" s="1266"/>
      <c r="DLL25" s="1266"/>
      <c r="DLM25" s="1266"/>
      <c r="DLN25" s="1266"/>
      <c r="DLO25" s="1266"/>
      <c r="DLP25" s="1266"/>
      <c r="DLQ25" s="1266"/>
      <c r="DLR25" s="1266"/>
      <c r="DLS25" s="1266"/>
      <c r="DLT25" s="1266"/>
      <c r="DLU25" s="1266"/>
      <c r="DLV25" s="1266"/>
      <c r="DLW25" s="1266"/>
      <c r="DLX25" s="1266"/>
      <c r="DLY25" s="1266"/>
      <c r="DLZ25" s="1266"/>
      <c r="DMA25" s="1266"/>
      <c r="DMB25" s="1266"/>
      <c r="DMC25" s="1266"/>
      <c r="DMD25" s="1266"/>
      <c r="DME25" s="1266"/>
      <c r="DMF25" s="1266"/>
      <c r="DMG25" s="1266"/>
      <c r="DMH25" s="1266"/>
      <c r="DMI25" s="1266"/>
      <c r="DMJ25" s="1266"/>
      <c r="DMK25" s="1266"/>
      <c r="DML25" s="1266"/>
      <c r="DMM25" s="1266"/>
      <c r="DMN25" s="1266"/>
      <c r="DMO25" s="1266"/>
      <c r="DMP25" s="1266"/>
      <c r="DMQ25" s="1266"/>
      <c r="DMR25" s="1266"/>
      <c r="DMS25" s="1266"/>
      <c r="DMT25" s="1266"/>
      <c r="DMU25" s="1266"/>
      <c r="DMV25" s="1266"/>
      <c r="DMW25" s="1266"/>
      <c r="DMX25" s="1266"/>
      <c r="DMY25" s="1266"/>
      <c r="DMZ25" s="1266"/>
      <c r="DNA25" s="1266"/>
      <c r="DNB25" s="1266"/>
      <c r="DNC25" s="1266"/>
      <c r="DND25" s="1266"/>
      <c r="DNE25" s="1266"/>
      <c r="DNF25" s="1266"/>
      <c r="DNG25" s="1266"/>
      <c r="DNH25" s="1266"/>
      <c r="DNI25" s="1266"/>
      <c r="DNJ25" s="1266"/>
      <c r="DNK25" s="1266"/>
      <c r="DNL25" s="1266"/>
      <c r="DNM25" s="1266"/>
      <c r="DNN25" s="1266"/>
      <c r="DNO25" s="1266"/>
      <c r="DNP25" s="1266"/>
      <c r="DNQ25" s="1266"/>
      <c r="DNR25" s="1266"/>
      <c r="DNS25" s="1266"/>
      <c r="DNT25" s="1266"/>
      <c r="DNU25" s="1266"/>
      <c r="DNV25" s="1266"/>
      <c r="DNW25" s="1266"/>
      <c r="DNX25" s="1266"/>
      <c r="DNY25" s="1266"/>
      <c r="DNZ25" s="1266"/>
      <c r="DOA25" s="1266"/>
      <c r="DOB25" s="1266"/>
      <c r="DOC25" s="1266"/>
      <c r="DOD25" s="1266"/>
      <c r="DOE25" s="1266"/>
      <c r="DOF25" s="1266"/>
      <c r="DOG25" s="1266"/>
      <c r="DOH25" s="1266"/>
      <c r="DOI25" s="1266"/>
      <c r="DOJ25" s="1266"/>
      <c r="DOK25" s="1266"/>
      <c r="DOL25" s="1266"/>
      <c r="DOM25" s="1266"/>
      <c r="DON25" s="1266"/>
      <c r="DOO25" s="1266"/>
      <c r="DOP25" s="1266"/>
      <c r="DOQ25" s="1266"/>
      <c r="DOR25" s="1266"/>
      <c r="DOS25" s="1266"/>
      <c r="DOT25" s="1266"/>
      <c r="DOU25" s="1266"/>
      <c r="DOV25" s="1266"/>
      <c r="DOW25" s="1266"/>
      <c r="DOX25" s="1266"/>
      <c r="DOY25" s="1266"/>
      <c r="DOZ25" s="1266"/>
      <c r="DPA25" s="1266"/>
      <c r="DPB25" s="1266"/>
      <c r="DPC25" s="1266"/>
      <c r="DPD25" s="1266"/>
      <c r="DPE25" s="1266"/>
      <c r="DPF25" s="1266"/>
      <c r="DPG25" s="1266"/>
      <c r="DPH25" s="1266"/>
      <c r="DPI25" s="1266"/>
      <c r="DPJ25" s="1266"/>
      <c r="DPK25" s="1266"/>
      <c r="DPL25" s="1266"/>
      <c r="DPM25" s="1266"/>
      <c r="DPN25" s="1266"/>
      <c r="DPO25" s="1266"/>
      <c r="DPP25" s="1266"/>
      <c r="DPQ25" s="1266"/>
      <c r="DPR25" s="1266"/>
      <c r="DPS25" s="1266"/>
      <c r="DPT25" s="1266"/>
      <c r="DPU25" s="1266"/>
      <c r="DPV25" s="1266"/>
      <c r="DPW25" s="1266"/>
      <c r="DPX25" s="1266"/>
      <c r="DPY25" s="1266"/>
      <c r="DPZ25" s="1266"/>
      <c r="DQA25" s="1266"/>
      <c r="DQB25" s="1266"/>
      <c r="DQC25" s="1266"/>
      <c r="DQD25" s="1266"/>
      <c r="DQE25" s="1266"/>
      <c r="DQF25" s="1266"/>
      <c r="DQG25" s="1266"/>
      <c r="DQH25" s="1266"/>
      <c r="DQI25" s="1266"/>
      <c r="DQJ25" s="1266"/>
      <c r="DQK25" s="1266"/>
      <c r="DQL25" s="1266"/>
      <c r="DQM25" s="1266"/>
      <c r="DQN25" s="1266"/>
      <c r="DQO25" s="1266"/>
      <c r="DQP25" s="1266"/>
      <c r="DQQ25" s="1266"/>
      <c r="DQR25" s="1266"/>
      <c r="DQS25" s="1266"/>
      <c r="DQT25" s="1266"/>
      <c r="DQU25" s="1266"/>
      <c r="DQV25" s="1266"/>
      <c r="DQW25" s="1266"/>
      <c r="DQX25" s="1266"/>
      <c r="DQY25" s="1266"/>
      <c r="DQZ25" s="1266"/>
      <c r="DRA25" s="1266"/>
      <c r="DRB25" s="1266"/>
      <c r="DRC25" s="1266"/>
      <c r="DRD25" s="1266"/>
      <c r="DRE25" s="1266"/>
      <c r="DRF25" s="1266"/>
      <c r="DRG25" s="1266"/>
      <c r="DRH25" s="1266"/>
      <c r="DRI25" s="1266"/>
      <c r="DRJ25" s="1266"/>
      <c r="DRK25" s="1266"/>
      <c r="DRL25" s="1266"/>
      <c r="DRM25" s="1266"/>
      <c r="DRN25" s="1266"/>
      <c r="DRO25" s="1266"/>
      <c r="DRP25" s="1266"/>
      <c r="DRQ25" s="1266"/>
      <c r="DRR25" s="1266"/>
      <c r="DRS25" s="1266"/>
      <c r="DRT25" s="1266"/>
      <c r="DRU25" s="1266"/>
      <c r="DRV25" s="1266"/>
      <c r="DRW25" s="1266"/>
      <c r="DRX25" s="1266"/>
      <c r="DRY25" s="1266"/>
      <c r="DRZ25" s="1266"/>
      <c r="DSA25" s="1266"/>
      <c r="DSB25" s="1266"/>
      <c r="DSC25" s="1266"/>
      <c r="DSD25" s="1266"/>
      <c r="DSE25" s="1266"/>
      <c r="DSF25" s="1266"/>
      <c r="DSG25" s="1266"/>
      <c r="DSH25" s="1266"/>
      <c r="DSI25" s="1266"/>
      <c r="DSJ25" s="1266"/>
      <c r="DSK25" s="1266"/>
      <c r="DSL25" s="1266"/>
      <c r="DSM25" s="1266"/>
      <c r="DSN25" s="1266"/>
      <c r="DSO25" s="1266"/>
      <c r="DSP25" s="1266"/>
      <c r="DSQ25" s="1266"/>
      <c r="DSR25" s="1266"/>
      <c r="DSS25" s="1266"/>
      <c r="DST25" s="1266"/>
      <c r="DSU25" s="1266"/>
      <c r="DSV25" s="1266"/>
      <c r="DSW25" s="1266"/>
      <c r="DSX25" s="1266"/>
      <c r="DSY25" s="1266"/>
      <c r="DSZ25" s="1266"/>
      <c r="DTA25" s="1266"/>
      <c r="DTB25" s="1266"/>
      <c r="DTC25" s="1266"/>
      <c r="DTD25" s="1266"/>
      <c r="DTE25" s="1266"/>
      <c r="DTF25" s="1266"/>
      <c r="DTG25" s="1266"/>
      <c r="DTH25" s="1266"/>
      <c r="DTI25" s="1266"/>
      <c r="DTJ25" s="1266"/>
      <c r="DTK25" s="1266"/>
      <c r="DTL25" s="1266"/>
      <c r="DTM25" s="1266"/>
      <c r="DTN25" s="1266"/>
      <c r="DTO25" s="1266"/>
      <c r="DTP25" s="1266"/>
      <c r="DTQ25" s="1266"/>
      <c r="DTR25" s="1266"/>
      <c r="DTS25" s="1266"/>
      <c r="DTT25" s="1266"/>
      <c r="DTU25" s="1266"/>
      <c r="DTV25" s="1266"/>
      <c r="DTW25" s="1266"/>
      <c r="DTX25" s="1266"/>
      <c r="DTY25" s="1266"/>
      <c r="DTZ25" s="1266"/>
      <c r="DUA25" s="1266"/>
      <c r="DUB25" s="1266"/>
      <c r="DUC25" s="1266"/>
      <c r="DUD25" s="1266"/>
      <c r="DUE25" s="1266"/>
      <c r="DUF25" s="1266"/>
      <c r="DUG25" s="1266"/>
      <c r="DUH25" s="1266"/>
      <c r="DUI25" s="1266"/>
      <c r="DUJ25" s="1266"/>
      <c r="DUK25" s="1266"/>
      <c r="DUL25" s="1266"/>
      <c r="DUM25" s="1266"/>
      <c r="DUN25" s="1266"/>
      <c r="DUO25" s="1266"/>
      <c r="DUP25" s="1266"/>
      <c r="DUQ25" s="1266"/>
      <c r="DUR25" s="1266"/>
      <c r="DUS25" s="1266"/>
      <c r="DUT25" s="1266"/>
      <c r="DUU25" s="1266"/>
      <c r="DUV25" s="1266"/>
      <c r="DUW25" s="1266"/>
      <c r="DUX25" s="1266"/>
      <c r="DUY25" s="1266"/>
      <c r="DUZ25" s="1266"/>
      <c r="DVA25" s="1266"/>
      <c r="DVB25" s="1266"/>
      <c r="DVC25" s="1266"/>
      <c r="DVD25" s="1266"/>
      <c r="DVE25" s="1266"/>
      <c r="DVF25" s="1266"/>
      <c r="DVG25" s="1266"/>
      <c r="DVH25" s="1266"/>
      <c r="DVI25" s="1266"/>
      <c r="DVJ25" s="1266"/>
      <c r="DVK25" s="1266"/>
      <c r="DVL25" s="1266"/>
      <c r="DVM25" s="1266"/>
      <c r="DVN25" s="1266"/>
      <c r="DVO25" s="1266"/>
      <c r="DVP25" s="1266"/>
      <c r="DVQ25" s="1266"/>
      <c r="DVR25" s="1266"/>
      <c r="DVS25" s="1266"/>
      <c r="DVT25" s="1266"/>
      <c r="DVU25" s="1266"/>
      <c r="DVV25" s="1266"/>
      <c r="DVW25" s="1266"/>
      <c r="DVX25" s="1266"/>
      <c r="DVY25" s="1266"/>
      <c r="DVZ25" s="1266"/>
      <c r="DWA25" s="1266"/>
      <c r="DWB25" s="1266"/>
      <c r="DWC25" s="1266"/>
      <c r="DWD25" s="1266"/>
      <c r="DWE25" s="1266"/>
      <c r="DWF25" s="1266"/>
      <c r="DWG25" s="1266"/>
      <c r="DWH25" s="1266"/>
      <c r="DWI25" s="1266"/>
      <c r="DWJ25" s="1266"/>
      <c r="DWK25" s="1266"/>
      <c r="DWL25" s="1266"/>
      <c r="DWM25" s="1266"/>
      <c r="DWN25" s="1266"/>
      <c r="DWO25" s="1266"/>
      <c r="DWP25" s="1266"/>
      <c r="DWQ25" s="1266"/>
      <c r="DWR25" s="1266"/>
      <c r="DWS25" s="1266"/>
      <c r="DWT25" s="1266"/>
      <c r="DWU25" s="1266"/>
      <c r="DWV25" s="1266"/>
      <c r="DWW25" s="1266"/>
      <c r="DWX25" s="1266"/>
      <c r="DWY25" s="1266"/>
      <c r="DWZ25" s="1266"/>
      <c r="DXA25" s="1266"/>
      <c r="DXB25" s="1266"/>
      <c r="DXC25" s="1266"/>
      <c r="DXD25" s="1266"/>
      <c r="DXE25" s="1266"/>
      <c r="DXF25" s="1266"/>
      <c r="DXG25" s="1266"/>
      <c r="DXH25" s="1266"/>
      <c r="DXI25" s="1266"/>
      <c r="DXJ25" s="1266"/>
      <c r="DXK25" s="1266"/>
      <c r="DXL25" s="1266"/>
      <c r="DXM25" s="1266"/>
      <c r="DXN25" s="1266"/>
      <c r="DXO25" s="1266"/>
      <c r="DXP25" s="1266"/>
      <c r="DXQ25" s="1266"/>
      <c r="DXR25" s="1266"/>
      <c r="DXS25" s="1266"/>
      <c r="DXT25" s="1266"/>
      <c r="DXU25" s="1266"/>
      <c r="DXV25" s="1266"/>
      <c r="DXW25" s="1266"/>
      <c r="DXX25" s="1266"/>
      <c r="DXY25" s="1266"/>
      <c r="DXZ25" s="1266"/>
      <c r="DYA25" s="1266"/>
      <c r="DYB25" s="1266"/>
      <c r="DYC25" s="1266"/>
      <c r="DYD25" s="1266"/>
      <c r="DYE25" s="1266"/>
      <c r="DYF25" s="1266"/>
      <c r="DYG25" s="1266"/>
      <c r="DYH25" s="1266"/>
      <c r="DYI25" s="1266"/>
      <c r="DYJ25" s="1266"/>
      <c r="DYK25" s="1266"/>
      <c r="DYL25" s="1266"/>
      <c r="DYM25" s="1266"/>
      <c r="DYN25" s="1266"/>
      <c r="DYO25" s="1266"/>
      <c r="DYP25" s="1266"/>
      <c r="DYQ25" s="1266"/>
      <c r="DYR25" s="1266"/>
      <c r="DYS25" s="1266"/>
      <c r="DYT25" s="1266"/>
      <c r="DYU25" s="1266"/>
      <c r="DYV25" s="1266"/>
      <c r="DYW25" s="1266"/>
      <c r="DYX25" s="1266"/>
      <c r="DYY25" s="1266"/>
      <c r="DYZ25" s="1266"/>
      <c r="DZA25" s="1266"/>
      <c r="DZB25" s="1266"/>
      <c r="DZC25" s="1266"/>
      <c r="DZD25" s="1266"/>
      <c r="DZE25" s="1266"/>
      <c r="DZF25" s="1266"/>
      <c r="DZG25" s="1266"/>
      <c r="DZH25" s="1266"/>
      <c r="DZI25" s="1266"/>
      <c r="DZJ25" s="1266"/>
      <c r="DZK25" s="1266"/>
      <c r="DZL25" s="1266"/>
      <c r="DZM25" s="1266"/>
      <c r="DZN25" s="1266"/>
      <c r="DZO25" s="1266"/>
      <c r="DZP25" s="1266"/>
      <c r="DZQ25" s="1266"/>
      <c r="DZR25" s="1266"/>
      <c r="DZS25" s="1266"/>
      <c r="DZT25" s="1266"/>
      <c r="DZU25" s="1266"/>
      <c r="DZV25" s="1266"/>
      <c r="DZW25" s="1266"/>
      <c r="DZX25" s="1266"/>
      <c r="DZY25" s="1266"/>
      <c r="DZZ25" s="1266"/>
      <c r="EAA25" s="1266"/>
      <c r="EAB25" s="1266"/>
      <c r="EAC25" s="1266"/>
      <c r="EAD25" s="1266"/>
      <c r="EAE25" s="1266"/>
      <c r="EAF25" s="1266"/>
      <c r="EAG25" s="1266"/>
      <c r="EAH25" s="1266"/>
      <c r="EAI25" s="1266"/>
      <c r="EAJ25" s="1266"/>
      <c r="EAK25" s="1266"/>
      <c r="EAL25" s="1266"/>
      <c r="EAM25" s="1266"/>
      <c r="EAN25" s="1266"/>
      <c r="EAO25" s="1266"/>
      <c r="EAP25" s="1266"/>
      <c r="EAQ25" s="1266"/>
      <c r="EAR25" s="1266"/>
      <c r="EAS25" s="1266"/>
      <c r="EAT25" s="1266"/>
      <c r="EAU25" s="1266"/>
      <c r="EAV25" s="1266"/>
      <c r="EAW25" s="1266"/>
      <c r="EAX25" s="1266"/>
      <c r="EAY25" s="1266"/>
      <c r="EAZ25" s="1266"/>
      <c r="EBA25" s="1266"/>
      <c r="EBB25" s="1266"/>
      <c r="EBC25" s="1266"/>
      <c r="EBD25" s="1266"/>
      <c r="EBE25" s="1266"/>
      <c r="EBF25" s="1266"/>
      <c r="EBG25" s="1266"/>
      <c r="EBH25" s="1266"/>
      <c r="EBI25" s="1266"/>
      <c r="EBJ25" s="1266"/>
      <c r="EBK25" s="1266"/>
      <c r="EBL25" s="1266"/>
      <c r="EBM25" s="1266"/>
      <c r="EBN25" s="1266"/>
      <c r="EBO25" s="1266"/>
      <c r="EBP25" s="1266"/>
      <c r="EBQ25" s="1266"/>
      <c r="EBR25" s="1266"/>
      <c r="EBS25" s="1266"/>
      <c r="EBT25" s="1266"/>
      <c r="EBU25" s="1266"/>
      <c r="EBV25" s="1266"/>
      <c r="EBW25" s="1266"/>
      <c r="EBX25" s="1266"/>
      <c r="EBY25" s="1266"/>
      <c r="EBZ25" s="1266"/>
      <c r="ECA25" s="1266"/>
      <c r="ECB25" s="1266"/>
      <c r="ECC25" s="1266"/>
      <c r="ECD25" s="1266"/>
      <c r="ECE25" s="1266"/>
      <c r="ECF25" s="1266"/>
      <c r="ECG25" s="1266"/>
      <c r="ECH25" s="1266"/>
      <c r="ECI25" s="1266"/>
      <c r="ECJ25" s="1266"/>
      <c r="ECK25" s="1266"/>
      <c r="ECL25" s="1266"/>
      <c r="ECM25" s="1266"/>
      <c r="ECN25" s="1266"/>
      <c r="ECO25" s="1266"/>
      <c r="ECP25" s="1266"/>
      <c r="ECQ25" s="1266"/>
      <c r="ECR25" s="1266"/>
      <c r="ECS25" s="1266"/>
      <c r="ECT25" s="1266"/>
      <c r="ECU25" s="1266"/>
      <c r="ECV25" s="1266"/>
      <c r="ECW25" s="1266"/>
      <c r="ECX25" s="1266"/>
      <c r="ECY25" s="1266"/>
      <c r="ECZ25" s="1266"/>
      <c r="EDA25" s="1266"/>
      <c r="EDB25" s="1266"/>
      <c r="EDC25" s="1266"/>
      <c r="EDD25" s="1266"/>
      <c r="EDE25" s="1266"/>
      <c r="EDF25" s="1266"/>
      <c r="EDG25" s="1266"/>
      <c r="EDH25" s="1266"/>
      <c r="EDI25" s="1266"/>
      <c r="EDJ25" s="1266"/>
      <c r="EDK25" s="1266"/>
      <c r="EDL25" s="1266"/>
      <c r="EDM25" s="1266"/>
      <c r="EDN25" s="1266"/>
      <c r="EDO25" s="1266"/>
      <c r="EDP25" s="1266"/>
      <c r="EDQ25" s="1266"/>
      <c r="EDR25" s="1266"/>
      <c r="EDS25" s="1266"/>
      <c r="EDT25" s="1266"/>
      <c r="EDU25" s="1266"/>
      <c r="EDV25" s="1266"/>
      <c r="EDW25" s="1266"/>
      <c r="EDX25" s="1266"/>
      <c r="EDY25" s="1266"/>
      <c r="EDZ25" s="1266"/>
      <c r="EEA25" s="1266"/>
      <c r="EEB25" s="1266"/>
      <c r="EEC25" s="1266"/>
      <c r="EED25" s="1266"/>
      <c r="EEE25" s="1266"/>
      <c r="EEF25" s="1266"/>
      <c r="EEG25" s="1266"/>
      <c r="EEH25" s="1266"/>
      <c r="EEI25" s="1266"/>
      <c r="EEJ25" s="1266"/>
      <c r="EEK25" s="1266"/>
      <c r="EEL25" s="1266"/>
      <c r="EEM25" s="1266"/>
      <c r="EEN25" s="1266"/>
      <c r="EEO25" s="1266"/>
      <c r="EEP25" s="1266"/>
      <c r="EEQ25" s="1266"/>
      <c r="EER25" s="1266"/>
      <c r="EES25" s="1266"/>
      <c r="EET25" s="1266"/>
      <c r="EEU25" s="1266"/>
      <c r="EEV25" s="1266"/>
      <c r="EEW25" s="1266"/>
      <c r="EEX25" s="1266"/>
      <c r="EEY25" s="1266"/>
      <c r="EEZ25" s="1266"/>
      <c r="EFA25" s="1266"/>
      <c r="EFB25" s="1266"/>
      <c r="EFC25" s="1266"/>
      <c r="EFD25" s="1266"/>
      <c r="EFE25" s="1266"/>
      <c r="EFF25" s="1266"/>
      <c r="EFG25" s="1266"/>
      <c r="EFH25" s="1266"/>
      <c r="EFI25" s="1266"/>
      <c r="EFJ25" s="1266"/>
      <c r="EFK25" s="1266"/>
      <c r="EFL25" s="1266"/>
      <c r="EFM25" s="1266"/>
      <c r="EFN25" s="1266"/>
      <c r="EFO25" s="1266"/>
      <c r="EFP25" s="1266"/>
      <c r="EFQ25" s="1266"/>
      <c r="EFR25" s="1266"/>
      <c r="EFS25" s="1266"/>
      <c r="EFT25" s="1266"/>
      <c r="EFU25" s="1266"/>
      <c r="EFV25" s="1266"/>
      <c r="EFW25" s="1266"/>
      <c r="EFX25" s="1266"/>
      <c r="EFY25" s="1266"/>
      <c r="EFZ25" s="1266"/>
      <c r="EGA25" s="1266"/>
      <c r="EGB25" s="1266"/>
      <c r="EGC25" s="1266"/>
      <c r="EGD25" s="1266"/>
      <c r="EGE25" s="1266"/>
      <c r="EGF25" s="1266"/>
      <c r="EGG25" s="1266"/>
      <c r="EGH25" s="1266"/>
      <c r="EGI25" s="1266"/>
      <c r="EGJ25" s="1266"/>
      <c r="EGK25" s="1266"/>
      <c r="EGL25" s="1266"/>
      <c r="EGM25" s="1266"/>
      <c r="EGN25" s="1266"/>
      <c r="EGO25" s="1266"/>
      <c r="EGP25" s="1266"/>
      <c r="EGQ25" s="1266"/>
      <c r="EGR25" s="1266"/>
      <c r="EGS25" s="1266"/>
      <c r="EGT25" s="1266"/>
      <c r="EGU25" s="1266"/>
      <c r="EGV25" s="1266"/>
      <c r="EGW25" s="1266"/>
      <c r="EGX25" s="1266"/>
      <c r="EGY25" s="1266"/>
      <c r="EGZ25" s="1266"/>
      <c r="EHA25" s="1266"/>
      <c r="EHB25" s="1266"/>
      <c r="EHC25" s="1266"/>
      <c r="EHD25" s="1266"/>
      <c r="EHE25" s="1266"/>
      <c r="EHF25" s="1266"/>
      <c r="EHG25" s="1266"/>
      <c r="EHH25" s="1266"/>
      <c r="EHI25" s="1266"/>
      <c r="EHJ25" s="1266"/>
      <c r="EHK25" s="1266"/>
      <c r="EHL25" s="1266"/>
      <c r="EHM25" s="1266"/>
      <c r="EHN25" s="1266"/>
      <c r="EHO25" s="1266"/>
      <c r="EHP25" s="1266"/>
      <c r="EHQ25" s="1266"/>
      <c r="EHR25" s="1266"/>
      <c r="EHS25" s="1266"/>
      <c r="EHT25" s="1266"/>
      <c r="EHU25" s="1266"/>
      <c r="EHV25" s="1266"/>
      <c r="EHW25" s="1266"/>
      <c r="EHX25" s="1266"/>
      <c r="EHY25" s="1266"/>
      <c r="EHZ25" s="1266"/>
      <c r="EIA25" s="1266"/>
      <c r="EIB25" s="1266"/>
      <c r="EIC25" s="1266"/>
      <c r="EID25" s="1266"/>
      <c r="EIE25" s="1266"/>
      <c r="EIF25" s="1266"/>
      <c r="EIG25" s="1266"/>
      <c r="EIH25" s="1266"/>
      <c r="EII25" s="1266"/>
      <c r="EIJ25" s="1266"/>
      <c r="EIK25" s="1266"/>
      <c r="EIL25" s="1266"/>
      <c r="EIM25" s="1266"/>
      <c r="EIN25" s="1266"/>
      <c r="EIO25" s="1266"/>
      <c r="EIP25" s="1266"/>
      <c r="EIQ25" s="1266"/>
      <c r="EIR25" s="1266"/>
      <c r="EIS25" s="1266"/>
      <c r="EIT25" s="1266"/>
      <c r="EIU25" s="1266"/>
      <c r="EIV25" s="1266"/>
      <c r="EIW25" s="1266"/>
      <c r="EIX25" s="1266"/>
      <c r="EIY25" s="1266"/>
      <c r="EIZ25" s="1266"/>
      <c r="EJA25" s="1266"/>
      <c r="EJB25" s="1266"/>
      <c r="EJC25" s="1266"/>
      <c r="EJD25" s="1266"/>
      <c r="EJE25" s="1266"/>
      <c r="EJF25" s="1266"/>
      <c r="EJG25" s="1266"/>
      <c r="EJH25" s="1266"/>
      <c r="EJI25" s="1266"/>
      <c r="EJJ25" s="1266"/>
      <c r="EJK25" s="1266"/>
      <c r="EJL25" s="1266"/>
      <c r="EJM25" s="1266"/>
      <c r="EJN25" s="1266"/>
      <c r="EJO25" s="1266"/>
      <c r="EJP25" s="1266"/>
      <c r="EJQ25" s="1266"/>
      <c r="EJR25" s="1266"/>
      <c r="EJS25" s="1266"/>
      <c r="EJT25" s="1266"/>
      <c r="EJU25" s="1266"/>
      <c r="EJV25" s="1266"/>
      <c r="EJW25" s="1266"/>
      <c r="EJX25" s="1266"/>
      <c r="EJY25" s="1266"/>
      <c r="EJZ25" s="1266"/>
      <c r="EKA25" s="1266"/>
      <c r="EKB25" s="1266"/>
      <c r="EKC25" s="1266"/>
      <c r="EKD25" s="1266"/>
      <c r="EKE25" s="1266"/>
      <c r="EKF25" s="1266"/>
      <c r="EKG25" s="1266"/>
      <c r="EKH25" s="1266"/>
      <c r="EKI25" s="1266"/>
      <c r="EKJ25" s="1266"/>
      <c r="EKK25" s="1266"/>
      <c r="EKL25" s="1266"/>
      <c r="EKM25" s="1266"/>
      <c r="EKN25" s="1266"/>
      <c r="EKO25" s="1266"/>
      <c r="EKP25" s="1266"/>
      <c r="EKQ25" s="1266"/>
      <c r="EKR25" s="1266"/>
      <c r="EKS25" s="1266"/>
      <c r="EKT25" s="1266"/>
      <c r="EKU25" s="1266"/>
      <c r="EKV25" s="1266"/>
      <c r="EKW25" s="1266"/>
      <c r="EKX25" s="1266"/>
      <c r="EKY25" s="1266"/>
      <c r="EKZ25" s="1266"/>
      <c r="ELA25" s="1266"/>
      <c r="ELB25" s="1266"/>
      <c r="ELC25" s="1266"/>
      <c r="ELD25" s="1266"/>
      <c r="ELE25" s="1266"/>
      <c r="ELF25" s="1266"/>
      <c r="ELG25" s="1266"/>
      <c r="ELH25" s="1266"/>
      <c r="ELI25" s="1266"/>
      <c r="ELJ25" s="1266"/>
      <c r="ELK25" s="1266"/>
      <c r="ELL25" s="1266"/>
      <c r="ELM25" s="1266"/>
      <c r="ELN25" s="1266"/>
      <c r="ELO25" s="1266"/>
      <c r="ELP25" s="1266"/>
      <c r="ELQ25" s="1266"/>
      <c r="ELR25" s="1266"/>
      <c r="ELS25" s="1266"/>
      <c r="ELT25" s="1266"/>
      <c r="ELU25" s="1266"/>
      <c r="ELV25" s="1266"/>
      <c r="ELW25" s="1266"/>
      <c r="ELX25" s="1266"/>
      <c r="ELY25" s="1266"/>
      <c r="ELZ25" s="1266"/>
      <c r="EMA25" s="1266"/>
      <c r="EMB25" s="1266"/>
      <c r="EMC25" s="1266"/>
      <c r="EMD25" s="1266"/>
      <c r="EME25" s="1266"/>
      <c r="EMF25" s="1266"/>
      <c r="EMG25" s="1266"/>
      <c r="EMH25" s="1266"/>
      <c r="EMI25" s="1266"/>
      <c r="EMJ25" s="1266"/>
      <c r="EMK25" s="1266"/>
      <c r="EML25" s="1266"/>
      <c r="EMM25" s="1266"/>
      <c r="EMN25" s="1266"/>
      <c r="EMO25" s="1266"/>
      <c r="EMP25" s="1266"/>
      <c r="EMQ25" s="1266"/>
      <c r="EMR25" s="1266"/>
      <c r="EMS25" s="1266"/>
      <c r="EMT25" s="1266"/>
      <c r="EMU25" s="1266"/>
      <c r="EMV25" s="1266"/>
      <c r="EMW25" s="1266"/>
      <c r="EMX25" s="1266"/>
      <c r="EMY25" s="1266"/>
      <c r="EMZ25" s="1266"/>
      <c r="ENA25" s="1266"/>
      <c r="ENB25" s="1266"/>
      <c r="ENC25" s="1266"/>
      <c r="END25" s="1266"/>
      <c r="ENE25" s="1266"/>
      <c r="ENF25" s="1266"/>
      <c r="ENG25" s="1266"/>
      <c r="ENH25" s="1266"/>
      <c r="ENI25" s="1266"/>
      <c r="ENJ25" s="1266"/>
      <c r="ENK25" s="1266"/>
      <c r="ENL25" s="1266"/>
      <c r="ENM25" s="1266"/>
      <c r="ENN25" s="1266"/>
      <c r="ENO25" s="1266"/>
      <c r="ENP25" s="1266"/>
      <c r="ENQ25" s="1266"/>
      <c r="ENR25" s="1266"/>
      <c r="ENS25" s="1266"/>
      <c r="ENT25" s="1266"/>
      <c r="ENU25" s="1266"/>
      <c r="ENV25" s="1266"/>
      <c r="ENW25" s="1266"/>
      <c r="ENX25" s="1266"/>
      <c r="ENY25" s="1266"/>
      <c r="ENZ25" s="1266"/>
      <c r="EOA25" s="1266"/>
      <c r="EOB25" s="1266"/>
      <c r="EOC25" s="1266"/>
      <c r="EOD25" s="1266"/>
      <c r="EOE25" s="1266"/>
      <c r="EOF25" s="1266"/>
      <c r="EOG25" s="1266"/>
      <c r="EOH25" s="1266"/>
      <c r="EOI25" s="1266"/>
      <c r="EOJ25" s="1266"/>
      <c r="EOK25" s="1266"/>
      <c r="EOL25" s="1266"/>
      <c r="EOM25" s="1266"/>
      <c r="EON25" s="1266"/>
      <c r="EOO25" s="1266"/>
      <c r="EOP25" s="1266"/>
      <c r="EOQ25" s="1266"/>
      <c r="EOR25" s="1266"/>
      <c r="EOS25" s="1266"/>
      <c r="EOT25" s="1266"/>
      <c r="EOU25" s="1266"/>
      <c r="EOV25" s="1266"/>
      <c r="EOW25" s="1266"/>
      <c r="EOX25" s="1266"/>
      <c r="EOY25" s="1266"/>
      <c r="EOZ25" s="1266"/>
      <c r="EPA25" s="1266"/>
      <c r="EPB25" s="1266"/>
      <c r="EPC25" s="1266"/>
      <c r="EPD25" s="1266"/>
      <c r="EPE25" s="1266"/>
      <c r="EPF25" s="1266"/>
      <c r="EPG25" s="1266"/>
      <c r="EPH25" s="1266"/>
      <c r="EPI25" s="1266"/>
      <c r="EPJ25" s="1266"/>
      <c r="EPK25" s="1266"/>
      <c r="EPL25" s="1266"/>
      <c r="EPM25" s="1266"/>
      <c r="EPN25" s="1266"/>
      <c r="EPO25" s="1266"/>
      <c r="EPP25" s="1266"/>
      <c r="EPQ25" s="1266"/>
      <c r="EPR25" s="1266"/>
      <c r="EPS25" s="1266"/>
      <c r="EPT25" s="1266"/>
      <c r="EPU25" s="1266"/>
      <c r="EPV25" s="1266"/>
      <c r="EPW25" s="1266"/>
      <c r="EPX25" s="1266"/>
      <c r="EPY25" s="1266"/>
      <c r="EPZ25" s="1266"/>
      <c r="EQA25" s="1266"/>
      <c r="EQB25" s="1266"/>
      <c r="EQC25" s="1266"/>
      <c r="EQD25" s="1266"/>
      <c r="EQE25" s="1266"/>
      <c r="EQF25" s="1266"/>
      <c r="EQG25" s="1266"/>
      <c r="EQH25" s="1266"/>
      <c r="EQI25" s="1266"/>
      <c r="EQJ25" s="1266"/>
      <c r="EQK25" s="1266"/>
      <c r="EQL25" s="1266"/>
      <c r="EQM25" s="1266"/>
      <c r="EQN25" s="1266"/>
      <c r="EQO25" s="1266"/>
      <c r="EQP25" s="1266"/>
      <c r="EQQ25" s="1266"/>
      <c r="EQR25" s="1266"/>
      <c r="EQS25" s="1266"/>
      <c r="EQT25" s="1266"/>
      <c r="EQU25" s="1266"/>
      <c r="EQV25" s="1266"/>
      <c r="EQW25" s="1266"/>
      <c r="EQX25" s="1266"/>
      <c r="EQY25" s="1266"/>
      <c r="EQZ25" s="1266"/>
      <c r="ERA25" s="1266"/>
      <c r="ERB25" s="1266"/>
      <c r="ERC25" s="1266"/>
      <c r="ERD25" s="1266"/>
      <c r="ERE25" s="1266"/>
      <c r="ERF25" s="1266"/>
      <c r="ERG25" s="1266"/>
      <c r="ERH25" s="1266"/>
      <c r="ERI25" s="1266"/>
      <c r="ERJ25" s="1266"/>
      <c r="ERK25" s="1266"/>
      <c r="ERL25" s="1266"/>
      <c r="ERM25" s="1266"/>
      <c r="ERN25" s="1266"/>
      <c r="ERO25" s="1266"/>
      <c r="ERP25" s="1266"/>
      <c r="ERQ25" s="1266"/>
      <c r="ERR25" s="1266"/>
      <c r="ERS25" s="1266"/>
      <c r="ERT25" s="1266"/>
      <c r="ERU25" s="1266"/>
      <c r="ERV25" s="1266"/>
      <c r="ERW25" s="1266"/>
      <c r="ERX25" s="1266"/>
      <c r="ERY25" s="1266"/>
      <c r="ERZ25" s="1266"/>
      <c r="ESA25" s="1266"/>
      <c r="ESB25" s="1266"/>
      <c r="ESC25" s="1266"/>
      <c r="ESD25" s="1266"/>
      <c r="ESE25" s="1266"/>
      <c r="ESF25" s="1266"/>
      <c r="ESG25" s="1266"/>
      <c r="ESH25" s="1266"/>
      <c r="ESI25" s="1266"/>
      <c r="ESJ25" s="1266"/>
      <c r="ESK25" s="1266"/>
      <c r="ESL25" s="1266"/>
      <c r="ESM25" s="1266"/>
      <c r="ESN25" s="1266"/>
      <c r="ESO25" s="1266"/>
      <c r="ESP25" s="1266"/>
      <c r="ESQ25" s="1266"/>
      <c r="ESR25" s="1266"/>
      <c r="ESS25" s="1266"/>
      <c r="EST25" s="1266"/>
      <c r="ESU25" s="1266"/>
      <c r="ESV25" s="1266"/>
      <c r="ESW25" s="1266"/>
      <c r="ESX25" s="1266"/>
      <c r="ESY25" s="1266"/>
      <c r="ESZ25" s="1266"/>
      <c r="ETA25" s="1266"/>
      <c r="ETB25" s="1266"/>
      <c r="ETC25" s="1266"/>
      <c r="ETD25" s="1266"/>
      <c r="ETE25" s="1266"/>
      <c r="ETF25" s="1266"/>
      <c r="ETG25" s="1266"/>
      <c r="ETH25" s="1266"/>
      <c r="ETI25" s="1266"/>
      <c r="ETJ25" s="1266"/>
      <c r="ETK25" s="1266"/>
      <c r="ETL25" s="1266"/>
      <c r="ETM25" s="1266"/>
      <c r="ETN25" s="1266"/>
      <c r="ETO25" s="1266"/>
      <c r="ETP25" s="1266"/>
      <c r="ETQ25" s="1266"/>
      <c r="ETR25" s="1266"/>
      <c r="ETS25" s="1266"/>
      <c r="ETT25" s="1266"/>
      <c r="ETU25" s="1266"/>
      <c r="ETV25" s="1266"/>
      <c r="ETW25" s="1266"/>
      <c r="ETX25" s="1266"/>
      <c r="ETY25" s="1266"/>
      <c r="ETZ25" s="1266"/>
      <c r="EUA25" s="1266"/>
      <c r="EUB25" s="1266"/>
      <c r="EUC25" s="1266"/>
      <c r="EUD25" s="1266"/>
      <c r="EUE25" s="1266"/>
      <c r="EUF25" s="1266"/>
      <c r="EUG25" s="1266"/>
      <c r="EUH25" s="1266"/>
      <c r="EUI25" s="1266"/>
      <c r="EUJ25" s="1266"/>
      <c r="EUK25" s="1266"/>
      <c r="EUL25" s="1266"/>
      <c r="EUM25" s="1266"/>
      <c r="EUN25" s="1266"/>
      <c r="EUO25" s="1266"/>
      <c r="EUP25" s="1266"/>
      <c r="EUQ25" s="1266"/>
      <c r="EUR25" s="1266"/>
      <c r="EUS25" s="1266"/>
      <c r="EUT25" s="1266"/>
      <c r="EUU25" s="1266"/>
      <c r="EUV25" s="1266"/>
      <c r="EUW25" s="1266"/>
      <c r="EUX25" s="1266"/>
      <c r="EUY25" s="1266"/>
      <c r="EUZ25" s="1266"/>
      <c r="EVA25" s="1266"/>
      <c r="EVB25" s="1266"/>
      <c r="EVC25" s="1266"/>
      <c r="EVD25" s="1266"/>
      <c r="EVE25" s="1266"/>
      <c r="EVF25" s="1266"/>
      <c r="EVG25" s="1266"/>
      <c r="EVH25" s="1266"/>
      <c r="EVI25" s="1266"/>
      <c r="EVJ25" s="1266"/>
      <c r="EVK25" s="1266"/>
      <c r="EVL25" s="1266"/>
      <c r="EVM25" s="1266"/>
      <c r="EVN25" s="1266"/>
      <c r="EVO25" s="1266"/>
      <c r="EVP25" s="1266"/>
      <c r="EVQ25" s="1266"/>
      <c r="EVR25" s="1266"/>
      <c r="EVS25" s="1266"/>
      <c r="EVT25" s="1266"/>
      <c r="EVU25" s="1266"/>
      <c r="EVV25" s="1266"/>
      <c r="EVW25" s="1266"/>
      <c r="EVX25" s="1266"/>
      <c r="EVY25" s="1266"/>
      <c r="EVZ25" s="1266"/>
      <c r="EWA25" s="1266"/>
      <c r="EWB25" s="1266"/>
      <c r="EWC25" s="1266"/>
      <c r="EWD25" s="1266"/>
      <c r="EWE25" s="1266"/>
      <c r="EWF25" s="1266"/>
      <c r="EWG25" s="1266"/>
      <c r="EWH25" s="1266"/>
      <c r="EWI25" s="1266"/>
      <c r="EWJ25" s="1266"/>
      <c r="EWK25" s="1266"/>
      <c r="EWL25" s="1266"/>
      <c r="EWM25" s="1266"/>
      <c r="EWN25" s="1266"/>
      <c r="EWO25" s="1266"/>
      <c r="EWP25" s="1266"/>
      <c r="EWQ25" s="1266"/>
      <c r="EWR25" s="1266"/>
      <c r="EWS25" s="1266"/>
      <c r="EWT25" s="1266"/>
      <c r="EWU25" s="1266"/>
      <c r="EWV25" s="1266"/>
      <c r="EWW25" s="1266"/>
      <c r="EWX25" s="1266"/>
      <c r="EWY25" s="1266"/>
      <c r="EWZ25" s="1266"/>
      <c r="EXA25" s="1266"/>
      <c r="EXB25" s="1266"/>
      <c r="EXC25" s="1266"/>
      <c r="EXD25" s="1266"/>
      <c r="EXE25" s="1266"/>
      <c r="EXF25" s="1266"/>
      <c r="EXG25" s="1266"/>
      <c r="EXH25" s="1266"/>
      <c r="EXI25" s="1266"/>
      <c r="EXJ25" s="1266"/>
      <c r="EXK25" s="1266"/>
      <c r="EXL25" s="1266"/>
      <c r="EXM25" s="1266"/>
      <c r="EXN25" s="1266"/>
      <c r="EXO25" s="1266"/>
      <c r="EXP25" s="1266"/>
      <c r="EXQ25" s="1266"/>
      <c r="EXR25" s="1266"/>
      <c r="EXS25" s="1266"/>
      <c r="EXT25" s="1266"/>
      <c r="EXU25" s="1266"/>
      <c r="EXV25" s="1266"/>
      <c r="EXW25" s="1266"/>
      <c r="EXX25" s="1266"/>
      <c r="EXY25" s="1266"/>
      <c r="EXZ25" s="1266"/>
      <c r="EYA25" s="1266"/>
      <c r="EYB25" s="1266"/>
      <c r="EYC25" s="1266"/>
      <c r="EYD25" s="1266"/>
      <c r="EYE25" s="1266"/>
      <c r="EYF25" s="1266"/>
      <c r="EYG25" s="1266"/>
      <c r="EYH25" s="1266"/>
      <c r="EYI25" s="1266"/>
      <c r="EYJ25" s="1266"/>
      <c r="EYK25" s="1266"/>
      <c r="EYL25" s="1266"/>
      <c r="EYM25" s="1266"/>
      <c r="EYN25" s="1266"/>
      <c r="EYO25" s="1266"/>
      <c r="EYP25" s="1266"/>
      <c r="EYQ25" s="1266"/>
      <c r="EYR25" s="1266"/>
      <c r="EYS25" s="1266"/>
      <c r="EYT25" s="1266"/>
      <c r="EYU25" s="1266"/>
      <c r="EYV25" s="1266"/>
      <c r="EYW25" s="1266"/>
      <c r="EYX25" s="1266"/>
      <c r="EYY25" s="1266"/>
      <c r="EYZ25" s="1266"/>
      <c r="EZA25" s="1266"/>
      <c r="EZB25" s="1266"/>
      <c r="EZC25" s="1266"/>
      <c r="EZD25" s="1266"/>
      <c r="EZE25" s="1266"/>
      <c r="EZF25" s="1266"/>
      <c r="EZG25" s="1266"/>
      <c r="EZH25" s="1266"/>
      <c r="EZI25" s="1266"/>
      <c r="EZJ25" s="1266"/>
      <c r="EZK25" s="1266"/>
      <c r="EZL25" s="1266"/>
      <c r="EZM25" s="1266"/>
      <c r="EZN25" s="1266"/>
      <c r="EZO25" s="1266"/>
      <c r="EZP25" s="1266"/>
      <c r="EZQ25" s="1266"/>
      <c r="EZR25" s="1266"/>
      <c r="EZS25" s="1266"/>
      <c r="EZT25" s="1266"/>
      <c r="EZU25" s="1266"/>
      <c r="EZV25" s="1266"/>
      <c r="EZW25" s="1266"/>
      <c r="EZX25" s="1266"/>
      <c r="EZY25" s="1266"/>
      <c r="EZZ25" s="1266"/>
      <c r="FAA25" s="1266"/>
      <c r="FAB25" s="1266"/>
      <c r="FAC25" s="1266"/>
      <c r="FAD25" s="1266"/>
      <c r="FAE25" s="1266"/>
      <c r="FAF25" s="1266"/>
      <c r="FAG25" s="1266"/>
      <c r="FAH25" s="1266"/>
      <c r="FAI25" s="1266"/>
      <c r="FAJ25" s="1266"/>
      <c r="FAK25" s="1266"/>
      <c r="FAL25" s="1266"/>
      <c r="FAM25" s="1266"/>
      <c r="FAN25" s="1266"/>
      <c r="FAO25" s="1266"/>
      <c r="FAP25" s="1266"/>
      <c r="FAQ25" s="1266"/>
      <c r="FAR25" s="1266"/>
      <c r="FAS25" s="1266"/>
      <c r="FAT25" s="1266"/>
      <c r="FAU25" s="1266"/>
      <c r="FAV25" s="1266"/>
      <c r="FAW25" s="1266"/>
      <c r="FAX25" s="1266"/>
      <c r="FAY25" s="1266"/>
      <c r="FAZ25" s="1266"/>
      <c r="FBA25" s="1266"/>
      <c r="FBB25" s="1266"/>
      <c r="FBC25" s="1266"/>
      <c r="FBD25" s="1266"/>
      <c r="FBE25" s="1266"/>
      <c r="FBF25" s="1266"/>
      <c r="FBG25" s="1266"/>
      <c r="FBH25" s="1266"/>
      <c r="FBI25" s="1266"/>
      <c r="FBJ25" s="1266"/>
      <c r="FBK25" s="1266"/>
      <c r="FBL25" s="1266"/>
      <c r="FBM25" s="1266"/>
      <c r="FBN25" s="1266"/>
      <c r="FBO25" s="1266"/>
      <c r="FBP25" s="1266"/>
      <c r="FBQ25" s="1266"/>
      <c r="FBR25" s="1266"/>
      <c r="FBS25" s="1266"/>
      <c r="FBT25" s="1266"/>
      <c r="FBU25" s="1266"/>
      <c r="FBV25" s="1266"/>
      <c r="FBW25" s="1266"/>
      <c r="FBX25" s="1266"/>
      <c r="FBY25" s="1266"/>
      <c r="FBZ25" s="1266"/>
      <c r="FCA25" s="1266"/>
      <c r="FCB25" s="1266"/>
      <c r="FCC25" s="1266"/>
      <c r="FCD25" s="1266"/>
      <c r="FCE25" s="1266"/>
      <c r="FCF25" s="1266"/>
      <c r="FCG25" s="1266"/>
      <c r="FCH25" s="1266"/>
      <c r="FCI25" s="1266"/>
      <c r="FCJ25" s="1266"/>
      <c r="FCK25" s="1266"/>
      <c r="FCL25" s="1266"/>
      <c r="FCM25" s="1266"/>
      <c r="FCN25" s="1266"/>
      <c r="FCO25" s="1266"/>
      <c r="FCP25" s="1266"/>
      <c r="FCQ25" s="1266"/>
      <c r="FCR25" s="1266"/>
      <c r="FCS25" s="1266"/>
      <c r="FCT25" s="1266"/>
      <c r="FCU25" s="1266"/>
      <c r="FCV25" s="1266"/>
      <c r="FCW25" s="1266"/>
      <c r="FCX25" s="1266"/>
      <c r="FCY25" s="1266"/>
      <c r="FCZ25" s="1266"/>
      <c r="FDA25" s="1266"/>
      <c r="FDB25" s="1266"/>
      <c r="FDC25" s="1266"/>
      <c r="FDD25" s="1266"/>
      <c r="FDE25" s="1266"/>
      <c r="FDF25" s="1266"/>
      <c r="FDG25" s="1266"/>
      <c r="FDH25" s="1266"/>
      <c r="FDI25" s="1266"/>
      <c r="FDJ25" s="1266"/>
      <c r="FDK25" s="1266"/>
      <c r="FDL25" s="1266"/>
      <c r="FDM25" s="1266"/>
      <c r="FDN25" s="1266"/>
      <c r="FDO25" s="1266"/>
      <c r="FDP25" s="1266"/>
      <c r="FDQ25" s="1266"/>
      <c r="FDR25" s="1266"/>
      <c r="FDS25" s="1266"/>
      <c r="FDT25" s="1266"/>
      <c r="FDU25" s="1266"/>
      <c r="FDV25" s="1266"/>
      <c r="FDW25" s="1266"/>
      <c r="FDX25" s="1266"/>
      <c r="FDY25" s="1266"/>
      <c r="FDZ25" s="1266"/>
      <c r="FEA25" s="1266"/>
      <c r="FEB25" s="1266"/>
      <c r="FEC25" s="1266"/>
      <c r="FED25" s="1266"/>
      <c r="FEE25" s="1266"/>
      <c r="FEF25" s="1266"/>
      <c r="FEG25" s="1266"/>
      <c r="FEH25" s="1266"/>
      <c r="FEI25" s="1266"/>
      <c r="FEJ25" s="1266"/>
      <c r="FEK25" s="1266"/>
      <c r="FEL25" s="1266"/>
      <c r="FEM25" s="1266"/>
      <c r="FEN25" s="1266"/>
      <c r="FEO25" s="1266"/>
      <c r="FEP25" s="1266"/>
      <c r="FEQ25" s="1266"/>
      <c r="FER25" s="1266"/>
      <c r="FES25" s="1266"/>
      <c r="FET25" s="1266"/>
      <c r="FEU25" s="1266"/>
      <c r="FEV25" s="1266"/>
      <c r="FEW25" s="1266"/>
      <c r="FEX25" s="1266"/>
      <c r="FEY25" s="1266"/>
      <c r="FEZ25" s="1266"/>
      <c r="FFA25" s="1266"/>
      <c r="FFB25" s="1266"/>
      <c r="FFC25" s="1266"/>
      <c r="FFD25" s="1266"/>
      <c r="FFE25" s="1266"/>
      <c r="FFF25" s="1266"/>
      <c r="FFG25" s="1266"/>
      <c r="FFH25" s="1266"/>
      <c r="FFI25" s="1266"/>
      <c r="FFJ25" s="1266"/>
      <c r="FFK25" s="1266"/>
      <c r="FFL25" s="1266"/>
      <c r="FFM25" s="1266"/>
      <c r="FFN25" s="1266"/>
      <c r="FFO25" s="1266"/>
      <c r="FFP25" s="1266"/>
      <c r="FFQ25" s="1266"/>
      <c r="FFR25" s="1266"/>
      <c r="FFS25" s="1266"/>
      <c r="FFT25" s="1266"/>
      <c r="FFU25" s="1266"/>
      <c r="FFV25" s="1266"/>
      <c r="FFW25" s="1266"/>
      <c r="FFX25" s="1266"/>
      <c r="FFY25" s="1266"/>
      <c r="FFZ25" s="1266"/>
      <c r="FGA25" s="1266"/>
      <c r="FGB25" s="1266"/>
      <c r="FGC25" s="1266"/>
      <c r="FGD25" s="1266"/>
      <c r="FGE25" s="1266"/>
      <c r="FGF25" s="1266"/>
      <c r="FGG25" s="1266"/>
      <c r="FGH25" s="1266"/>
      <c r="FGI25" s="1266"/>
      <c r="FGJ25" s="1266"/>
      <c r="FGK25" s="1266"/>
      <c r="FGL25" s="1266"/>
      <c r="FGM25" s="1266"/>
      <c r="FGN25" s="1266"/>
      <c r="FGO25" s="1266"/>
      <c r="FGP25" s="1266"/>
      <c r="FGQ25" s="1266"/>
      <c r="FGR25" s="1266"/>
      <c r="FGS25" s="1266"/>
      <c r="FGT25" s="1266"/>
      <c r="FGU25" s="1266"/>
      <c r="FGV25" s="1266"/>
      <c r="FGW25" s="1266"/>
      <c r="FGX25" s="1266"/>
      <c r="FGY25" s="1266"/>
      <c r="FGZ25" s="1266"/>
      <c r="FHA25" s="1266"/>
      <c r="FHB25" s="1266"/>
      <c r="FHC25" s="1266"/>
      <c r="FHD25" s="1266"/>
      <c r="FHE25" s="1266"/>
      <c r="FHF25" s="1266"/>
      <c r="FHG25" s="1266"/>
      <c r="FHH25" s="1266"/>
      <c r="FHI25" s="1266"/>
      <c r="FHJ25" s="1266"/>
      <c r="FHK25" s="1266"/>
      <c r="FHL25" s="1266"/>
      <c r="FHM25" s="1266"/>
      <c r="FHN25" s="1266"/>
      <c r="FHO25" s="1266"/>
      <c r="FHP25" s="1266"/>
      <c r="FHQ25" s="1266"/>
      <c r="FHR25" s="1266"/>
      <c r="FHS25" s="1266"/>
      <c r="FHT25" s="1266"/>
      <c r="FHU25" s="1266"/>
      <c r="FHV25" s="1266"/>
      <c r="FHW25" s="1266"/>
      <c r="FHX25" s="1266"/>
      <c r="FHY25" s="1266"/>
      <c r="FHZ25" s="1266"/>
      <c r="FIA25" s="1266"/>
      <c r="FIB25" s="1266"/>
      <c r="FIC25" s="1266"/>
      <c r="FID25" s="1266"/>
      <c r="FIE25" s="1266"/>
      <c r="FIF25" s="1266"/>
      <c r="FIG25" s="1266"/>
      <c r="FIH25" s="1266"/>
      <c r="FII25" s="1266"/>
      <c r="FIJ25" s="1266"/>
      <c r="FIK25" s="1266"/>
      <c r="FIL25" s="1266"/>
      <c r="FIM25" s="1266"/>
      <c r="FIN25" s="1266"/>
      <c r="FIO25" s="1266"/>
      <c r="FIP25" s="1266"/>
      <c r="FIQ25" s="1266"/>
      <c r="FIR25" s="1266"/>
      <c r="FIS25" s="1266"/>
      <c r="FIT25" s="1266"/>
      <c r="FIU25" s="1266"/>
      <c r="FIV25" s="1266"/>
      <c r="FIW25" s="1266"/>
      <c r="FIX25" s="1266"/>
      <c r="FIY25" s="1266"/>
      <c r="FIZ25" s="1266"/>
      <c r="FJA25" s="1266"/>
      <c r="FJB25" s="1266"/>
      <c r="FJC25" s="1266"/>
      <c r="FJD25" s="1266"/>
      <c r="FJE25" s="1266"/>
      <c r="FJF25" s="1266"/>
      <c r="FJG25" s="1266"/>
      <c r="FJH25" s="1266"/>
      <c r="FJI25" s="1266"/>
      <c r="FJJ25" s="1266"/>
      <c r="FJK25" s="1266"/>
      <c r="FJL25" s="1266"/>
      <c r="FJM25" s="1266"/>
      <c r="FJN25" s="1266"/>
      <c r="FJO25" s="1266"/>
      <c r="FJP25" s="1266"/>
      <c r="FJQ25" s="1266"/>
      <c r="FJR25" s="1266"/>
      <c r="FJS25" s="1266"/>
      <c r="FJT25" s="1266"/>
      <c r="FJU25" s="1266"/>
      <c r="FJV25" s="1266"/>
      <c r="FJW25" s="1266"/>
      <c r="FJX25" s="1266"/>
      <c r="FJY25" s="1266"/>
      <c r="FJZ25" s="1266"/>
      <c r="FKA25" s="1266"/>
      <c r="FKB25" s="1266"/>
      <c r="FKC25" s="1266"/>
      <c r="FKD25" s="1266"/>
      <c r="FKE25" s="1266"/>
      <c r="FKF25" s="1266"/>
      <c r="FKG25" s="1266"/>
      <c r="FKH25" s="1266"/>
      <c r="FKI25" s="1266"/>
      <c r="FKJ25" s="1266"/>
      <c r="FKK25" s="1266"/>
      <c r="FKL25" s="1266"/>
      <c r="FKM25" s="1266"/>
      <c r="FKN25" s="1266"/>
      <c r="FKO25" s="1266"/>
      <c r="FKP25" s="1266"/>
      <c r="FKQ25" s="1266"/>
      <c r="FKR25" s="1266"/>
      <c r="FKS25" s="1266"/>
      <c r="FKT25" s="1266"/>
      <c r="FKU25" s="1266"/>
      <c r="FKV25" s="1266"/>
      <c r="FKW25" s="1266"/>
      <c r="FKX25" s="1266"/>
      <c r="FKY25" s="1266"/>
      <c r="FKZ25" s="1266"/>
      <c r="FLA25" s="1266"/>
      <c r="FLB25" s="1266"/>
      <c r="FLC25" s="1266"/>
      <c r="FLD25" s="1266"/>
      <c r="FLE25" s="1266"/>
      <c r="FLF25" s="1266"/>
      <c r="FLG25" s="1266"/>
      <c r="FLH25" s="1266"/>
      <c r="FLI25" s="1266"/>
      <c r="FLJ25" s="1266"/>
      <c r="FLK25" s="1266"/>
      <c r="FLL25" s="1266"/>
      <c r="FLM25" s="1266"/>
      <c r="FLN25" s="1266"/>
      <c r="FLO25" s="1266"/>
      <c r="FLP25" s="1266"/>
      <c r="FLQ25" s="1266"/>
      <c r="FLR25" s="1266"/>
      <c r="FLS25" s="1266"/>
      <c r="FLT25" s="1266"/>
      <c r="FLU25" s="1266"/>
      <c r="FLV25" s="1266"/>
      <c r="FLW25" s="1266"/>
      <c r="FLX25" s="1266"/>
      <c r="FLY25" s="1266"/>
      <c r="FLZ25" s="1266"/>
      <c r="FMA25" s="1266"/>
      <c r="FMB25" s="1266"/>
      <c r="FMC25" s="1266"/>
      <c r="FMD25" s="1266"/>
      <c r="FME25" s="1266"/>
      <c r="FMF25" s="1266"/>
      <c r="FMG25" s="1266"/>
      <c r="FMH25" s="1266"/>
      <c r="FMI25" s="1266"/>
      <c r="FMJ25" s="1266"/>
      <c r="FMK25" s="1266"/>
      <c r="FML25" s="1266"/>
      <c r="FMM25" s="1266"/>
      <c r="FMN25" s="1266"/>
      <c r="FMO25" s="1266"/>
      <c r="FMP25" s="1266"/>
      <c r="FMQ25" s="1266"/>
      <c r="FMR25" s="1266"/>
      <c r="FMS25" s="1266"/>
      <c r="FMT25" s="1266"/>
      <c r="FMU25" s="1266"/>
      <c r="FMV25" s="1266"/>
      <c r="FMW25" s="1266"/>
      <c r="FMX25" s="1266"/>
      <c r="FMY25" s="1266"/>
      <c r="FMZ25" s="1266"/>
      <c r="FNA25" s="1266"/>
      <c r="FNB25" s="1266"/>
      <c r="FNC25" s="1266"/>
      <c r="FND25" s="1266"/>
      <c r="FNE25" s="1266"/>
      <c r="FNF25" s="1266"/>
      <c r="FNG25" s="1266"/>
      <c r="FNH25" s="1266"/>
      <c r="FNI25" s="1266"/>
      <c r="FNJ25" s="1266"/>
      <c r="FNK25" s="1266"/>
      <c r="FNL25" s="1266"/>
      <c r="FNM25" s="1266"/>
      <c r="FNN25" s="1266"/>
      <c r="FNO25" s="1266"/>
      <c r="FNP25" s="1266"/>
      <c r="FNQ25" s="1266"/>
      <c r="FNR25" s="1266"/>
      <c r="FNS25" s="1266"/>
      <c r="FNT25" s="1266"/>
      <c r="FNU25" s="1266"/>
      <c r="FNV25" s="1266"/>
      <c r="FNW25" s="1266"/>
      <c r="FNX25" s="1266"/>
      <c r="FNY25" s="1266"/>
      <c r="FNZ25" s="1266"/>
      <c r="FOA25" s="1266"/>
      <c r="FOB25" s="1266"/>
      <c r="FOC25" s="1266"/>
      <c r="FOD25" s="1266"/>
      <c r="FOE25" s="1266"/>
      <c r="FOF25" s="1266"/>
      <c r="FOG25" s="1266"/>
      <c r="FOH25" s="1266"/>
      <c r="FOI25" s="1266"/>
      <c r="FOJ25" s="1266"/>
      <c r="FOK25" s="1266"/>
      <c r="FOL25" s="1266"/>
      <c r="FOM25" s="1266"/>
      <c r="FON25" s="1266"/>
      <c r="FOO25" s="1266"/>
      <c r="FOP25" s="1266"/>
      <c r="FOQ25" s="1266"/>
      <c r="FOR25" s="1266"/>
      <c r="FOS25" s="1266"/>
      <c r="FOT25" s="1266"/>
      <c r="FOU25" s="1266"/>
      <c r="FOV25" s="1266"/>
      <c r="FOW25" s="1266"/>
      <c r="FOX25" s="1266"/>
      <c r="FOY25" s="1266"/>
      <c r="FOZ25" s="1266"/>
      <c r="FPA25" s="1266"/>
      <c r="FPB25" s="1266"/>
      <c r="FPC25" s="1266"/>
      <c r="FPD25" s="1266"/>
      <c r="FPE25" s="1266"/>
      <c r="FPF25" s="1266"/>
      <c r="FPG25" s="1266"/>
      <c r="FPH25" s="1266"/>
      <c r="FPI25" s="1266"/>
      <c r="FPJ25" s="1266"/>
      <c r="FPK25" s="1266"/>
      <c r="FPL25" s="1266"/>
      <c r="FPM25" s="1266"/>
      <c r="FPN25" s="1266"/>
      <c r="FPO25" s="1266"/>
      <c r="FPP25" s="1266"/>
      <c r="FPQ25" s="1266"/>
      <c r="FPR25" s="1266"/>
      <c r="FPS25" s="1266"/>
      <c r="FPT25" s="1266"/>
      <c r="FPU25" s="1266"/>
      <c r="FPV25" s="1266"/>
      <c r="FPW25" s="1266"/>
      <c r="FPX25" s="1266"/>
      <c r="FPY25" s="1266"/>
      <c r="FPZ25" s="1266"/>
      <c r="FQA25" s="1266"/>
      <c r="FQB25" s="1266"/>
      <c r="FQC25" s="1266"/>
      <c r="FQD25" s="1266"/>
      <c r="FQE25" s="1266"/>
      <c r="FQF25" s="1266"/>
      <c r="FQG25" s="1266"/>
      <c r="FQH25" s="1266"/>
      <c r="FQI25" s="1266"/>
      <c r="FQJ25" s="1266"/>
      <c r="FQK25" s="1266"/>
      <c r="FQL25" s="1266"/>
      <c r="FQM25" s="1266"/>
      <c r="FQN25" s="1266"/>
      <c r="FQO25" s="1266"/>
      <c r="FQP25" s="1266"/>
      <c r="FQQ25" s="1266"/>
      <c r="FQR25" s="1266"/>
      <c r="FQS25" s="1266"/>
      <c r="FQT25" s="1266"/>
      <c r="FQU25" s="1266"/>
      <c r="FQV25" s="1266"/>
      <c r="FQW25" s="1266"/>
      <c r="FQX25" s="1266"/>
      <c r="FQY25" s="1266"/>
      <c r="FQZ25" s="1266"/>
      <c r="FRA25" s="1266"/>
      <c r="FRB25" s="1266"/>
      <c r="FRC25" s="1266"/>
      <c r="FRD25" s="1266"/>
      <c r="FRE25" s="1266"/>
      <c r="FRF25" s="1266"/>
      <c r="FRG25" s="1266"/>
      <c r="FRH25" s="1266"/>
      <c r="FRI25" s="1266"/>
      <c r="FRJ25" s="1266"/>
      <c r="FRK25" s="1266"/>
      <c r="FRL25" s="1266"/>
      <c r="FRM25" s="1266"/>
      <c r="FRN25" s="1266"/>
      <c r="FRO25" s="1266"/>
      <c r="FRP25" s="1266"/>
      <c r="FRQ25" s="1266"/>
      <c r="FRR25" s="1266"/>
      <c r="FRS25" s="1266"/>
      <c r="FRT25" s="1266"/>
      <c r="FRU25" s="1266"/>
      <c r="FRV25" s="1266"/>
      <c r="FRW25" s="1266"/>
      <c r="FRX25" s="1266"/>
      <c r="FRY25" s="1266"/>
      <c r="FRZ25" s="1266"/>
      <c r="FSA25" s="1266"/>
      <c r="FSB25" s="1266"/>
      <c r="FSC25" s="1266"/>
      <c r="FSD25" s="1266"/>
      <c r="FSE25" s="1266"/>
      <c r="FSF25" s="1266"/>
      <c r="FSG25" s="1266"/>
      <c r="FSH25" s="1266"/>
      <c r="FSI25" s="1266"/>
      <c r="FSJ25" s="1266"/>
      <c r="FSK25" s="1266"/>
      <c r="FSL25" s="1266"/>
      <c r="FSM25" s="1266"/>
      <c r="FSN25" s="1266"/>
      <c r="FSO25" s="1266"/>
      <c r="FSP25" s="1266"/>
      <c r="FSQ25" s="1266"/>
      <c r="FSR25" s="1266"/>
      <c r="FSS25" s="1266"/>
      <c r="FST25" s="1266"/>
      <c r="FSU25" s="1266"/>
      <c r="FSV25" s="1266"/>
      <c r="FSW25" s="1266"/>
      <c r="FSX25" s="1266"/>
      <c r="FSY25" s="1266"/>
      <c r="FSZ25" s="1266"/>
      <c r="FTA25" s="1266"/>
      <c r="FTB25" s="1266"/>
      <c r="FTC25" s="1266"/>
      <c r="FTD25" s="1266"/>
      <c r="FTE25" s="1266"/>
      <c r="FTF25" s="1266"/>
      <c r="FTG25" s="1266"/>
      <c r="FTH25" s="1266"/>
      <c r="FTI25" s="1266"/>
      <c r="FTJ25" s="1266"/>
      <c r="FTK25" s="1266"/>
      <c r="FTL25" s="1266"/>
      <c r="FTM25" s="1266"/>
      <c r="FTN25" s="1266"/>
      <c r="FTO25" s="1266"/>
      <c r="FTP25" s="1266"/>
      <c r="FTQ25" s="1266"/>
      <c r="FTR25" s="1266"/>
      <c r="FTS25" s="1266"/>
      <c r="FTT25" s="1266"/>
      <c r="FTU25" s="1266"/>
      <c r="FTV25" s="1266"/>
      <c r="FTW25" s="1266"/>
      <c r="FTX25" s="1266"/>
      <c r="FTY25" s="1266"/>
      <c r="FTZ25" s="1266"/>
      <c r="FUA25" s="1266"/>
      <c r="FUB25" s="1266"/>
      <c r="FUC25" s="1266"/>
      <c r="FUD25" s="1266"/>
      <c r="FUE25" s="1266"/>
      <c r="FUF25" s="1266"/>
      <c r="FUG25" s="1266"/>
      <c r="FUH25" s="1266"/>
      <c r="FUI25" s="1266"/>
      <c r="FUJ25" s="1266"/>
      <c r="FUK25" s="1266"/>
      <c r="FUL25" s="1266"/>
      <c r="FUM25" s="1266"/>
      <c r="FUN25" s="1266"/>
      <c r="FUO25" s="1266"/>
      <c r="FUP25" s="1266"/>
      <c r="FUQ25" s="1266"/>
      <c r="FUR25" s="1266"/>
      <c r="FUS25" s="1266"/>
      <c r="FUT25" s="1266"/>
      <c r="FUU25" s="1266"/>
      <c r="FUV25" s="1266"/>
      <c r="FUW25" s="1266"/>
      <c r="FUX25" s="1266"/>
      <c r="FUY25" s="1266"/>
      <c r="FUZ25" s="1266"/>
      <c r="FVA25" s="1266"/>
      <c r="FVB25" s="1266"/>
      <c r="FVC25" s="1266"/>
      <c r="FVD25" s="1266"/>
      <c r="FVE25" s="1266"/>
      <c r="FVF25" s="1266"/>
      <c r="FVG25" s="1266"/>
      <c r="FVH25" s="1266"/>
      <c r="FVI25" s="1266"/>
      <c r="FVJ25" s="1266"/>
      <c r="FVK25" s="1266"/>
      <c r="FVL25" s="1266"/>
      <c r="FVM25" s="1266"/>
      <c r="FVN25" s="1266"/>
      <c r="FVO25" s="1266"/>
      <c r="FVP25" s="1266"/>
      <c r="FVQ25" s="1266"/>
      <c r="FVR25" s="1266"/>
      <c r="FVS25" s="1266"/>
      <c r="FVT25" s="1266"/>
      <c r="FVU25" s="1266"/>
      <c r="FVV25" s="1266"/>
      <c r="FVW25" s="1266"/>
      <c r="FVX25" s="1266"/>
      <c r="FVY25" s="1266"/>
      <c r="FVZ25" s="1266"/>
      <c r="FWA25" s="1266"/>
      <c r="FWB25" s="1266"/>
      <c r="FWC25" s="1266"/>
      <c r="FWD25" s="1266"/>
      <c r="FWE25" s="1266"/>
      <c r="FWF25" s="1266"/>
      <c r="FWG25" s="1266"/>
      <c r="FWH25" s="1266"/>
      <c r="FWI25" s="1266"/>
      <c r="FWJ25" s="1266"/>
      <c r="FWK25" s="1266"/>
      <c r="FWL25" s="1266"/>
      <c r="FWM25" s="1266"/>
      <c r="FWN25" s="1266"/>
      <c r="FWO25" s="1266"/>
      <c r="FWP25" s="1266"/>
      <c r="FWQ25" s="1266"/>
      <c r="FWR25" s="1266"/>
      <c r="FWS25" s="1266"/>
      <c r="FWT25" s="1266"/>
      <c r="FWU25" s="1266"/>
      <c r="FWV25" s="1266"/>
      <c r="FWW25" s="1266"/>
      <c r="FWX25" s="1266"/>
      <c r="FWY25" s="1266"/>
      <c r="FWZ25" s="1266"/>
      <c r="FXA25" s="1266"/>
      <c r="FXB25" s="1266"/>
      <c r="FXC25" s="1266"/>
      <c r="FXD25" s="1266"/>
      <c r="FXE25" s="1266"/>
      <c r="FXF25" s="1266"/>
      <c r="FXG25" s="1266"/>
      <c r="FXH25" s="1266"/>
      <c r="FXI25" s="1266"/>
      <c r="FXJ25" s="1266"/>
      <c r="FXK25" s="1266"/>
      <c r="FXL25" s="1266"/>
      <c r="FXM25" s="1266"/>
      <c r="FXN25" s="1266"/>
      <c r="FXO25" s="1266"/>
      <c r="FXP25" s="1266"/>
      <c r="FXQ25" s="1266"/>
      <c r="FXR25" s="1266"/>
      <c r="FXS25" s="1266"/>
      <c r="FXT25" s="1266"/>
      <c r="FXU25" s="1266"/>
      <c r="FXV25" s="1266"/>
      <c r="FXW25" s="1266"/>
      <c r="FXX25" s="1266"/>
      <c r="FXY25" s="1266"/>
      <c r="FXZ25" s="1266"/>
      <c r="FYA25" s="1266"/>
      <c r="FYB25" s="1266"/>
      <c r="FYC25" s="1266"/>
      <c r="FYD25" s="1266"/>
      <c r="FYE25" s="1266"/>
      <c r="FYF25" s="1266"/>
      <c r="FYG25" s="1266"/>
      <c r="FYH25" s="1266"/>
      <c r="FYI25" s="1266"/>
      <c r="FYJ25" s="1266"/>
      <c r="FYK25" s="1266"/>
      <c r="FYL25" s="1266"/>
      <c r="FYM25" s="1266"/>
      <c r="FYN25" s="1266"/>
      <c r="FYO25" s="1266"/>
      <c r="FYP25" s="1266"/>
      <c r="FYQ25" s="1266"/>
      <c r="FYR25" s="1266"/>
      <c r="FYS25" s="1266"/>
      <c r="FYT25" s="1266"/>
      <c r="FYU25" s="1266"/>
      <c r="FYV25" s="1266"/>
      <c r="FYW25" s="1266"/>
      <c r="FYX25" s="1266"/>
      <c r="FYY25" s="1266"/>
      <c r="FYZ25" s="1266"/>
      <c r="FZA25" s="1266"/>
      <c r="FZB25" s="1266"/>
      <c r="FZC25" s="1266"/>
      <c r="FZD25" s="1266"/>
      <c r="FZE25" s="1266"/>
      <c r="FZF25" s="1266"/>
      <c r="FZG25" s="1266"/>
      <c r="FZH25" s="1266"/>
      <c r="FZI25" s="1266"/>
      <c r="FZJ25" s="1266"/>
      <c r="FZK25" s="1266"/>
      <c r="FZL25" s="1266"/>
      <c r="FZM25" s="1266"/>
      <c r="FZN25" s="1266"/>
      <c r="FZO25" s="1266"/>
      <c r="FZP25" s="1266"/>
      <c r="FZQ25" s="1266"/>
      <c r="FZR25" s="1266"/>
      <c r="FZS25" s="1266"/>
      <c r="FZT25" s="1266"/>
      <c r="FZU25" s="1266"/>
      <c r="FZV25" s="1266"/>
      <c r="FZW25" s="1266"/>
      <c r="FZX25" s="1266"/>
      <c r="FZY25" s="1266"/>
      <c r="FZZ25" s="1266"/>
      <c r="GAA25" s="1266"/>
      <c r="GAB25" s="1266"/>
      <c r="GAC25" s="1266"/>
      <c r="GAD25" s="1266"/>
      <c r="GAE25" s="1266"/>
      <c r="GAF25" s="1266"/>
      <c r="GAG25" s="1266"/>
      <c r="GAH25" s="1266"/>
      <c r="GAI25" s="1266"/>
      <c r="GAJ25" s="1266"/>
      <c r="GAK25" s="1266"/>
      <c r="GAL25" s="1266"/>
      <c r="GAM25" s="1266"/>
      <c r="GAN25" s="1266"/>
      <c r="GAO25" s="1266"/>
      <c r="GAP25" s="1266"/>
      <c r="GAQ25" s="1266"/>
      <c r="GAR25" s="1266"/>
      <c r="GAS25" s="1266"/>
      <c r="GAT25" s="1266"/>
      <c r="GAU25" s="1266"/>
      <c r="GAV25" s="1266"/>
      <c r="GAW25" s="1266"/>
      <c r="GAX25" s="1266"/>
      <c r="GAY25" s="1266"/>
      <c r="GAZ25" s="1266"/>
      <c r="GBA25" s="1266"/>
      <c r="GBB25" s="1266"/>
      <c r="GBC25" s="1266"/>
      <c r="GBD25" s="1266"/>
      <c r="GBE25" s="1266"/>
      <c r="GBF25" s="1266"/>
      <c r="GBG25" s="1266"/>
      <c r="GBH25" s="1266"/>
      <c r="GBI25" s="1266"/>
      <c r="GBJ25" s="1266"/>
      <c r="GBK25" s="1266"/>
      <c r="GBL25" s="1266"/>
      <c r="GBM25" s="1266"/>
      <c r="GBN25" s="1266"/>
      <c r="GBO25" s="1266"/>
      <c r="GBP25" s="1266"/>
      <c r="GBQ25" s="1266"/>
      <c r="GBR25" s="1266"/>
      <c r="GBS25" s="1266"/>
      <c r="GBT25" s="1266"/>
      <c r="GBU25" s="1266"/>
      <c r="GBV25" s="1266"/>
      <c r="GBW25" s="1266"/>
      <c r="GBX25" s="1266"/>
      <c r="GBY25" s="1266"/>
      <c r="GBZ25" s="1266"/>
      <c r="GCA25" s="1266"/>
      <c r="GCB25" s="1266"/>
      <c r="GCC25" s="1266"/>
      <c r="GCD25" s="1266"/>
      <c r="GCE25" s="1266"/>
      <c r="GCF25" s="1266"/>
      <c r="GCG25" s="1266"/>
      <c r="GCH25" s="1266"/>
      <c r="GCI25" s="1266"/>
      <c r="GCJ25" s="1266"/>
      <c r="GCK25" s="1266"/>
      <c r="GCL25" s="1266"/>
      <c r="GCM25" s="1266"/>
      <c r="GCN25" s="1266"/>
      <c r="GCO25" s="1266"/>
      <c r="GCP25" s="1266"/>
      <c r="GCQ25" s="1266"/>
      <c r="GCR25" s="1266"/>
      <c r="GCS25" s="1266"/>
      <c r="GCT25" s="1266"/>
      <c r="GCU25" s="1266"/>
      <c r="GCV25" s="1266"/>
      <c r="GCW25" s="1266"/>
      <c r="GCX25" s="1266"/>
      <c r="GCY25" s="1266"/>
      <c r="GCZ25" s="1266"/>
      <c r="GDA25" s="1266"/>
      <c r="GDB25" s="1266"/>
      <c r="GDC25" s="1266"/>
      <c r="GDD25" s="1266"/>
      <c r="GDE25" s="1266"/>
      <c r="GDF25" s="1266"/>
      <c r="GDG25" s="1266"/>
      <c r="GDH25" s="1266"/>
      <c r="GDI25" s="1266"/>
      <c r="GDJ25" s="1266"/>
      <c r="GDK25" s="1266"/>
      <c r="GDL25" s="1266"/>
      <c r="GDM25" s="1266"/>
      <c r="GDN25" s="1266"/>
      <c r="GDO25" s="1266"/>
      <c r="GDP25" s="1266"/>
      <c r="GDQ25" s="1266"/>
      <c r="GDR25" s="1266"/>
      <c r="GDS25" s="1266"/>
      <c r="GDT25" s="1266"/>
      <c r="GDU25" s="1266"/>
      <c r="GDV25" s="1266"/>
      <c r="GDW25" s="1266"/>
      <c r="GDX25" s="1266"/>
      <c r="GDY25" s="1266"/>
      <c r="GDZ25" s="1266"/>
      <c r="GEA25" s="1266"/>
      <c r="GEB25" s="1266"/>
      <c r="GEC25" s="1266"/>
      <c r="GED25" s="1266"/>
      <c r="GEE25" s="1266"/>
      <c r="GEF25" s="1266"/>
      <c r="GEG25" s="1266"/>
      <c r="GEH25" s="1266"/>
      <c r="GEI25" s="1266"/>
      <c r="GEJ25" s="1266"/>
      <c r="GEK25" s="1266"/>
      <c r="GEL25" s="1266"/>
      <c r="GEM25" s="1266"/>
      <c r="GEN25" s="1266"/>
      <c r="GEO25" s="1266"/>
      <c r="GEP25" s="1266"/>
      <c r="GEQ25" s="1266"/>
      <c r="GER25" s="1266"/>
      <c r="GES25" s="1266"/>
      <c r="GET25" s="1266"/>
      <c r="GEU25" s="1266"/>
      <c r="GEV25" s="1266"/>
      <c r="GEW25" s="1266"/>
      <c r="GEX25" s="1266"/>
      <c r="GEY25" s="1266"/>
      <c r="GEZ25" s="1266"/>
      <c r="GFA25" s="1266"/>
      <c r="GFB25" s="1266"/>
      <c r="GFC25" s="1266"/>
      <c r="GFD25" s="1266"/>
      <c r="GFE25" s="1266"/>
      <c r="GFF25" s="1266"/>
      <c r="GFG25" s="1266"/>
      <c r="GFH25" s="1266"/>
      <c r="GFI25" s="1266"/>
      <c r="GFJ25" s="1266"/>
      <c r="GFK25" s="1266"/>
      <c r="GFL25" s="1266"/>
      <c r="GFM25" s="1266"/>
      <c r="GFN25" s="1266"/>
      <c r="GFO25" s="1266"/>
      <c r="GFP25" s="1266"/>
      <c r="GFQ25" s="1266"/>
      <c r="GFR25" s="1266"/>
      <c r="GFS25" s="1266"/>
      <c r="GFT25" s="1266"/>
      <c r="GFU25" s="1266"/>
      <c r="GFV25" s="1266"/>
      <c r="GFW25" s="1266"/>
      <c r="GFX25" s="1266"/>
      <c r="GFY25" s="1266"/>
      <c r="GFZ25" s="1266"/>
      <c r="GGA25" s="1266"/>
      <c r="GGB25" s="1266"/>
      <c r="GGC25" s="1266"/>
      <c r="GGD25" s="1266"/>
      <c r="GGE25" s="1266"/>
      <c r="GGF25" s="1266"/>
      <c r="GGG25" s="1266"/>
      <c r="GGH25" s="1266"/>
      <c r="GGI25" s="1266"/>
      <c r="GGJ25" s="1266"/>
      <c r="GGK25" s="1266"/>
      <c r="GGL25" s="1266"/>
      <c r="GGM25" s="1266"/>
      <c r="GGN25" s="1266"/>
      <c r="GGO25" s="1266"/>
      <c r="GGP25" s="1266"/>
      <c r="GGQ25" s="1266"/>
      <c r="GGR25" s="1266"/>
      <c r="GGS25" s="1266"/>
      <c r="GGT25" s="1266"/>
      <c r="GGU25" s="1266"/>
      <c r="GGV25" s="1266"/>
      <c r="GGW25" s="1266"/>
      <c r="GGX25" s="1266"/>
      <c r="GGY25" s="1266"/>
      <c r="GGZ25" s="1266"/>
      <c r="GHA25" s="1266"/>
      <c r="GHB25" s="1266"/>
      <c r="GHC25" s="1266"/>
      <c r="GHD25" s="1266"/>
      <c r="GHE25" s="1266"/>
      <c r="GHF25" s="1266"/>
      <c r="GHG25" s="1266"/>
      <c r="GHH25" s="1266"/>
      <c r="GHI25" s="1266"/>
      <c r="GHJ25" s="1266"/>
      <c r="GHK25" s="1266"/>
      <c r="GHL25" s="1266"/>
      <c r="GHM25" s="1266"/>
      <c r="GHN25" s="1266"/>
      <c r="GHO25" s="1266"/>
      <c r="GHP25" s="1266"/>
      <c r="GHQ25" s="1266"/>
      <c r="GHR25" s="1266"/>
      <c r="GHS25" s="1266"/>
      <c r="GHT25" s="1266"/>
      <c r="GHU25" s="1266"/>
      <c r="GHV25" s="1266"/>
      <c r="GHW25" s="1266"/>
      <c r="GHX25" s="1266"/>
      <c r="GHY25" s="1266"/>
      <c r="GHZ25" s="1266"/>
      <c r="GIA25" s="1266"/>
      <c r="GIB25" s="1266"/>
      <c r="GIC25" s="1266"/>
      <c r="GID25" s="1266"/>
      <c r="GIE25" s="1266"/>
      <c r="GIF25" s="1266"/>
      <c r="GIG25" s="1266"/>
      <c r="GIH25" s="1266"/>
      <c r="GII25" s="1266"/>
      <c r="GIJ25" s="1266"/>
      <c r="GIK25" s="1266"/>
      <c r="GIL25" s="1266"/>
      <c r="GIM25" s="1266"/>
      <c r="GIN25" s="1266"/>
      <c r="GIO25" s="1266"/>
      <c r="GIP25" s="1266"/>
      <c r="GIQ25" s="1266"/>
      <c r="GIR25" s="1266"/>
      <c r="GIS25" s="1266"/>
      <c r="GIT25" s="1266"/>
      <c r="GIU25" s="1266"/>
      <c r="GIV25" s="1266"/>
      <c r="GIW25" s="1266"/>
      <c r="GIX25" s="1266"/>
      <c r="GIY25" s="1266"/>
      <c r="GIZ25" s="1266"/>
      <c r="GJA25" s="1266"/>
      <c r="GJB25" s="1266"/>
      <c r="GJC25" s="1266"/>
      <c r="GJD25" s="1266"/>
      <c r="GJE25" s="1266"/>
      <c r="GJF25" s="1266"/>
      <c r="GJG25" s="1266"/>
      <c r="GJH25" s="1266"/>
      <c r="GJI25" s="1266"/>
      <c r="GJJ25" s="1266"/>
      <c r="GJK25" s="1266"/>
      <c r="GJL25" s="1266"/>
      <c r="GJM25" s="1266"/>
      <c r="GJN25" s="1266"/>
      <c r="GJO25" s="1266"/>
      <c r="GJP25" s="1266"/>
      <c r="GJQ25" s="1266"/>
      <c r="GJR25" s="1266"/>
      <c r="GJS25" s="1266"/>
      <c r="GJT25" s="1266"/>
      <c r="GJU25" s="1266"/>
      <c r="GJV25" s="1266"/>
      <c r="GJW25" s="1266"/>
      <c r="GJX25" s="1266"/>
      <c r="GJY25" s="1266"/>
      <c r="GJZ25" s="1266"/>
      <c r="GKA25" s="1266"/>
      <c r="GKB25" s="1266"/>
      <c r="GKC25" s="1266"/>
      <c r="GKD25" s="1266"/>
      <c r="GKE25" s="1266"/>
      <c r="GKF25" s="1266"/>
      <c r="GKG25" s="1266"/>
      <c r="GKH25" s="1266"/>
      <c r="GKI25" s="1266"/>
      <c r="GKJ25" s="1266"/>
      <c r="GKK25" s="1266"/>
      <c r="GKL25" s="1266"/>
      <c r="GKM25" s="1266"/>
      <c r="GKN25" s="1266"/>
      <c r="GKO25" s="1266"/>
      <c r="GKP25" s="1266"/>
      <c r="GKQ25" s="1266"/>
      <c r="GKR25" s="1266"/>
      <c r="GKS25" s="1266"/>
      <c r="GKT25" s="1266"/>
      <c r="GKU25" s="1266"/>
      <c r="GKV25" s="1266"/>
      <c r="GKW25" s="1266"/>
      <c r="GKX25" s="1266"/>
      <c r="GKY25" s="1266"/>
      <c r="GKZ25" s="1266"/>
      <c r="GLA25" s="1266"/>
      <c r="GLB25" s="1266"/>
      <c r="GLC25" s="1266"/>
      <c r="GLD25" s="1266"/>
      <c r="GLE25" s="1266"/>
      <c r="GLF25" s="1266"/>
      <c r="GLG25" s="1266"/>
      <c r="GLH25" s="1266"/>
      <c r="GLI25" s="1266"/>
      <c r="GLJ25" s="1266"/>
      <c r="GLK25" s="1266"/>
      <c r="GLL25" s="1266"/>
      <c r="GLM25" s="1266"/>
      <c r="GLN25" s="1266"/>
      <c r="GLO25" s="1266"/>
      <c r="GLP25" s="1266"/>
      <c r="GLQ25" s="1266"/>
      <c r="GLR25" s="1266"/>
      <c r="GLS25" s="1266"/>
      <c r="GLT25" s="1266"/>
      <c r="GLU25" s="1266"/>
      <c r="GLV25" s="1266"/>
      <c r="GLW25" s="1266"/>
      <c r="GLX25" s="1266"/>
      <c r="GLY25" s="1266"/>
      <c r="GLZ25" s="1266"/>
      <c r="GMA25" s="1266"/>
      <c r="GMB25" s="1266"/>
      <c r="GMC25" s="1266"/>
      <c r="GMD25" s="1266"/>
      <c r="GME25" s="1266"/>
      <c r="GMF25" s="1266"/>
      <c r="GMG25" s="1266"/>
      <c r="GMH25" s="1266"/>
      <c r="GMI25" s="1266"/>
      <c r="GMJ25" s="1266"/>
      <c r="GMK25" s="1266"/>
      <c r="GML25" s="1266"/>
      <c r="GMM25" s="1266"/>
      <c r="GMN25" s="1266"/>
      <c r="GMO25" s="1266"/>
      <c r="GMP25" s="1266"/>
      <c r="GMQ25" s="1266"/>
      <c r="GMR25" s="1266"/>
      <c r="GMS25" s="1266"/>
      <c r="GMT25" s="1266"/>
      <c r="GMU25" s="1266"/>
      <c r="GMV25" s="1266"/>
      <c r="GMW25" s="1266"/>
      <c r="GMX25" s="1266"/>
      <c r="GMY25" s="1266"/>
      <c r="GMZ25" s="1266"/>
      <c r="GNA25" s="1266"/>
      <c r="GNB25" s="1266"/>
      <c r="GNC25" s="1266"/>
      <c r="GND25" s="1266"/>
      <c r="GNE25" s="1266"/>
      <c r="GNF25" s="1266"/>
      <c r="GNG25" s="1266"/>
      <c r="GNH25" s="1266"/>
      <c r="GNI25" s="1266"/>
      <c r="GNJ25" s="1266"/>
      <c r="GNK25" s="1266"/>
      <c r="GNL25" s="1266"/>
      <c r="GNM25" s="1266"/>
      <c r="GNN25" s="1266"/>
      <c r="GNO25" s="1266"/>
      <c r="GNP25" s="1266"/>
      <c r="GNQ25" s="1266"/>
      <c r="GNR25" s="1266"/>
      <c r="GNS25" s="1266"/>
      <c r="GNT25" s="1266"/>
      <c r="GNU25" s="1266"/>
      <c r="GNV25" s="1266"/>
      <c r="GNW25" s="1266"/>
      <c r="GNX25" s="1266"/>
      <c r="GNY25" s="1266"/>
      <c r="GNZ25" s="1266"/>
      <c r="GOA25" s="1266"/>
      <c r="GOB25" s="1266"/>
      <c r="GOC25" s="1266"/>
      <c r="GOD25" s="1266"/>
      <c r="GOE25" s="1266"/>
      <c r="GOF25" s="1266"/>
      <c r="GOG25" s="1266"/>
      <c r="GOH25" s="1266"/>
      <c r="GOI25" s="1266"/>
      <c r="GOJ25" s="1266"/>
      <c r="GOK25" s="1266"/>
      <c r="GOL25" s="1266"/>
      <c r="GOM25" s="1266"/>
      <c r="GON25" s="1266"/>
      <c r="GOO25" s="1266"/>
      <c r="GOP25" s="1266"/>
      <c r="GOQ25" s="1266"/>
      <c r="GOR25" s="1266"/>
      <c r="GOS25" s="1266"/>
      <c r="GOT25" s="1266"/>
      <c r="GOU25" s="1266"/>
      <c r="GOV25" s="1266"/>
      <c r="GOW25" s="1266"/>
      <c r="GOX25" s="1266"/>
      <c r="GOY25" s="1266"/>
      <c r="GOZ25" s="1266"/>
      <c r="GPA25" s="1266"/>
      <c r="GPB25" s="1266"/>
      <c r="GPC25" s="1266"/>
      <c r="GPD25" s="1266"/>
      <c r="GPE25" s="1266"/>
      <c r="GPF25" s="1266"/>
      <c r="GPG25" s="1266"/>
      <c r="GPH25" s="1266"/>
      <c r="GPI25" s="1266"/>
      <c r="GPJ25" s="1266"/>
      <c r="GPK25" s="1266"/>
      <c r="GPL25" s="1266"/>
      <c r="GPM25" s="1266"/>
      <c r="GPN25" s="1266"/>
      <c r="GPO25" s="1266"/>
      <c r="GPP25" s="1266"/>
      <c r="GPQ25" s="1266"/>
      <c r="GPR25" s="1266"/>
      <c r="GPS25" s="1266"/>
      <c r="GPT25" s="1266"/>
      <c r="GPU25" s="1266"/>
      <c r="GPV25" s="1266"/>
      <c r="GPW25" s="1266"/>
      <c r="GPX25" s="1266"/>
      <c r="GPY25" s="1266"/>
      <c r="GPZ25" s="1266"/>
      <c r="GQA25" s="1266"/>
      <c r="GQB25" s="1266"/>
      <c r="GQC25" s="1266"/>
      <c r="GQD25" s="1266"/>
      <c r="GQE25" s="1266"/>
      <c r="GQF25" s="1266"/>
      <c r="GQG25" s="1266"/>
      <c r="GQH25" s="1266"/>
      <c r="GQI25" s="1266"/>
      <c r="GQJ25" s="1266"/>
      <c r="GQK25" s="1266"/>
      <c r="GQL25" s="1266"/>
      <c r="GQM25" s="1266"/>
      <c r="GQN25" s="1266"/>
      <c r="GQO25" s="1266"/>
      <c r="GQP25" s="1266"/>
      <c r="GQQ25" s="1266"/>
      <c r="GQR25" s="1266"/>
      <c r="GQS25" s="1266"/>
      <c r="GQT25" s="1266"/>
      <c r="GQU25" s="1266"/>
      <c r="GQV25" s="1266"/>
      <c r="GQW25" s="1266"/>
      <c r="GQX25" s="1266"/>
      <c r="GQY25" s="1266"/>
      <c r="GQZ25" s="1266"/>
      <c r="GRA25" s="1266"/>
      <c r="GRB25" s="1266"/>
      <c r="GRC25" s="1266"/>
      <c r="GRD25" s="1266"/>
      <c r="GRE25" s="1266"/>
      <c r="GRF25" s="1266"/>
      <c r="GRG25" s="1266"/>
      <c r="GRH25" s="1266"/>
      <c r="GRI25" s="1266"/>
      <c r="GRJ25" s="1266"/>
      <c r="GRK25" s="1266"/>
      <c r="GRL25" s="1266"/>
      <c r="GRM25" s="1266"/>
      <c r="GRN25" s="1266"/>
      <c r="GRO25" s="1266"/>
      <c r="GRP25" s="1266"/>
      <c r="GRQ25" s="1266"/>
      <c r="GRR25" s="1266"/>
      <c r="GRS25" s="1266"/>
      <c r="GRT25" s="1266"/>
      <c r="GRU25" s="1266"/>
      <c r="GRV25" s="1266"/>
      <c r="GRW25" s="1266"/>
      <c r="GRX25" s="1266"/>
      <c r="GRY25" s="1266"/>
      <c r="GRZ25" s="1266"/>
      <c r="GSA25" s="1266"/>
      <c r="GSB25" s="1266"/>
      <c r="GSC25" s="1266"/>
      <c r="GSD25" s="1266"/>
      <c r="GSE25" s="1266"/>
      <c r="GSF25" s="1266"/>
      <c r="GSG25" s="1266"/>
      <c r="GSH25" s="1266"/>
      <c r="GSI25" s="1266"/>
      <c r="GSJ25" s="1266"/>
      <c r="GSK25" s="1266"/>
      <c r="GSL25" s="1266"/>
      <c r="GSM25" s="1266"/>
      <c r="GSN25" s="1266"/>
      <c r="GSO25" s="1266"/>
      <c r="GSP25" s="1266"/>
      <c r="GSQ25" s="1266"/>
      <c r="GSR25" s="1266"/>
      <c r="GSS25" s="1266"/>
      <c r="GST25" s="1266"/>
      <c r="GSU25" s="1266"/>
      <c r="GSV25" s="1266"/>
      <c r="GSW25" s="1266"/>
      <c r="GSX25" s="1266"/>
      <c r="GSY25" s="1266"/>
      <c r="GSZ25" s="1266"/>
      <c r="GTA25" s="1266"/>
      <c r="GTB25" s="1266"/>
      <c r="GTC25" s="1266"/>
      <c r="GTD25" s="1266"/>
      <c r="GTE25" s="1266"/>
      <c r="GTF25" s="1266"/>
      <c r="GTG25" s="1266"/>
      <c r="GTH25" s="1266"/>
      <c r="GTI25" s="1266"/>
      <c r="GTJ25" s="1266"/>
      <c r="GTK25" s="1266"/>
      <c r="GTL25" s="1266"/>
      <c r="GTM25" s="1266"/>
      <c r="GTN25" s="1266"/>
      <c r="GTO25" s="1266"/>
      <c r="GTP25" s="1266"/>
      <c r="GTQ25" s="1266"/>
      <c r="GTR25" s="1266"/>
      <c r="GTS25" s="1266"/>
      <c r="GTT25" s="1266"/>
      <c r="GTU25" s="1266"/>
      <c r="GTV25" s="1266"/>
      <c r="GTW25" s="1266"/>
      <c r="GTX25" s="1266"/>
      <c r="GTY25" s="1266"/>
      <c r="GTZ25" s="1266"/>
      <c r="GUA25" s="1266"/>
      <c r="GUB25" s="1266"/>
      <c r="GUC25" s="1266"/>
      <c r="GUD25" s="1266"/>
      <c r="GUE25" s="1266"/>
      <c r="GUF25" s="1266"/>
      <c r="GUG25" s="1266"/>
      <c r="GUH25" s="1266"/>
      <c r="GUI25" s="1266"/>
      <c r="GUJ25" s="1266"/>
      <c r="GUK25" s="1266"/>
      <c r="GUL25" s="1266"/>
      <c r="GUM25" s="1266"/>
      <c r="GUN25" s="1266"/>
      <c r="GUO25" s="1266"/>
      <c r="GUP25" s="1266"/>
      <c r="GUQ25" s="1266"/>
      <c r="GUR25" s="1266"/>
      <c r="GUS25" s="1266"/>
      <c r="GUT25" s="1266"/>
      <c r="GUU25" s="1266"/>
      <c r="GUV25" s="1266"/>
      <c r="GUW25" s="1266"/>
      <c r="GUX25" s="1266"/>
      <c r="GUY25" s="1266"/>
      <c r="GUZ25" s="1266"/>
      <c r="GVA25" s="1266"/>
      <c r="GVB25" s="1266"/>
      <c r="GVC25" s="1266"/>
      <c r="GVD25" s="1266"/>
      <c r="GVE25" s="1266"/>
      <c r="GVF25" s="1266"/>
      <c r="GVG25" s="1266"/>
      <c r="GVH25" s="1266"/>
      <c r="GVI25" s="1266"/>
      <c r="GVJ25" s="1266"/>
      <c r="GVK25" s="1266"/>
      <c r="GVL25" s="1266"/>
      <c r="GVM25" s="1266"/>
      <c r="GVN25" s="1266"/>
      <c r="GVO25" s="1266"/>
      <c r="GVP25" s="1266"/>
      <c r="GVQ25" s="1266"/>
      <c r="GVR25" s="1266"/>
      <c r="GVS25" s="1266"/>
      <c r="GVT25" s="1266"/>
      <c r="GVU25" s="1266"/>
      <c r="GVV25" s="1266"/>
      <c r="GVW25" s="1266"/>
      <c r="GVX25" s="1266"/>
      <c r="GVY25" s="1266"/>
      <c r="GVZ25" s="1266"/>
      <c r="GWA25" s="1266"/>
      <c r="GWB25" s="1266"/>
      <c r="GWC25" s="1266"/>
      <c r="GWD25" s="1266"/>
      <c r="GWE25" s="1266"/>
      <c r="GWF25" s="1266"/>
      <c r="GWG25" s="1266"/>
      <c r="GWH25" s="1266"/>
      <c r="GWI25" s="1266"/>
      <c r="GWJ25" s="1266"/>
      <c r="GWK25" s="1266"/>
      <c r="GWL25" s="1266"/>
      <c r="GWM25" s="1266"/>
      <c r="GWN25" s="1266"/>
      <c r="GWO25" s="1266"/>
      <c r="GWP25" s="1266"/>
      <c r="GWQ25" s="1266"/>
      <c r="GWR25" s="1266"/>
      <c r="GWS25" s="1266"/>
      <c r="GWT25" s="1266"/>
      <c r="GWU25" s="1266"/>
      <c r="GWV25" s="1266"/>
      <c r="GWW25" s="1266"/>
      <c r="GWX25" s="1266"/>
      <c r="GWY25" s="1266"/>
      <c r="GWZ25" s="1266"/>
      <c r="GXA25" s="1266"/>
      <c r="GXB25" s="1266"/>
      <c r="GXC25" s="1266"/>
      <c r="GXD25" s="1266"/>
      <c r="GXE25" s="1266"/>
      <c r="GXF25" s="1266"/>
      <c r="GXG25" s="1266"/>
      <c r="GXH25" s="1266"/>
      <c r="GXI25" s="1266"/>
      <c r="GXJ25" s="1266"/>
      <c r="GXK25" s="1266"/>
      <c r="GXL25" s="1266"/>
      <c r="GXM25" s="1266"/>
      <c r="GXN25" s="1266"/>
      <c r="GXO25" s="1266"/>
      <c r="GXP25" s="1266"/>
      <c r="GXQ25" s="1266"/>
      <c r="GXR25" s="1266"/>
      <c r="GXS25" s="1266"/>
      <c r="GXT25" s="1266"/>
      <c r="GXU25" s="1266"/>
      <c r="GXV25" s="1266"/>
      <c r="GXW25" s="1266"/>
      <c r="GXX25" s="1266"/>
      <c r="GXY25" s="1266"/>
      <c r="GXZ25" s="1266"/>
      <c r="GYA25" s="1266"/>
      <c r="GYB25" s="1266"/>
      <c r="GYC25" s="1266"/>
      <c r="GYD25" s="1266"/>
      <c r="GYE25" s="1266"/>
      <c r="GYF25" s="1266"/>
      <c r="GYG25" s="1266"/>
      <c r="GYH25" s="1266"/>
      <c r="GYI25" s="1266"/>
      <c r="GYJ25" s="1266"/>
      <c r="GYK25" s="1266"/>
      <c r="GYL25" s="1266"/>
      <c r="GYM25" s="1266"/>
      <c r="GYN25" s="1266"/>
      <c r="GYO25" s="1266"/>
      <c r="GYP25" s="1266"/>
      <c r="GYQ25" s="1266"/>
      <c r="GYR25" s="1266"/>
      <c r="GYS25" s="1266"/>
      <c r="GYT25" s="1266"/>
      <c r="GYU25" s="1266"/>
      <c r="GYV25" s="1266"/>
      <c r="GYW25" s="1266"/>
      <c r="GYX25" s="1266"/>
      <c r="GYY25" s="1266"/>
      <c r="GYZ25" s="1266"/>
      <c r="GZA25" s="1266"/>
      <c r="GZB25" s="1266"/>
      <c r="GZC25" s="1266"/>
      <c r="GZD25" s="1266"/>
      <c r="GZE25" s="1266"/>
      <c r="GZF25" s="1266"/>
      <c r="GZG25" s="1266"/>
      <c r="GZH25" s="1266"/>
      <c r="GZI25" s="1266"/>
      <c r="GZJ25" s="1266"/>
      <c r="GZK25" s="1266"/>
      <c r="GZL25" s="1266"/>
      <c r="GZM25" s="1266"/>
      <c r="GZN25" s="1266"/>
      <c r="GZO25" s="1266"/>
      <c r="GZP25" s="1266"/>
      <c r="GZQ25" s="1266"/>
      <c r="GZR25" s="1266"/>
      <c r="GZS25" s="1266"/>
      <c r="GZT25" s="1266"/>
      <c r="GZU25" s="1266"/>
      <c r="GZV25" s="1266"/>
      <c r="GZW25" s="1266"/>
      <c r="GZX25" s="1266"/>
      <c r="GZY25" s="1266"/>
      <c r="GZZ25" s="1266"/>
      <c r="HAA25" s="1266"/>
      <c r="HAB25" s="1266"/>
      <c r="HAC25" s="1266"/>
      <c r="HAD25" s="1266"/>
      <c r="HAE25" s="1266"/>
      <c r="HAF25" s="1266"/>
      <c r="HAG25" s="1266"/>
      <c r="HAH25" s="1266"/>
      <c r="HAI25" s="1266"/>
      <c r="HAJ25" s="1266"/>
      <c r="HAK25" s="1266"/>
      <c r="HAL25" s="1266"/>
      <c r="HAM25" s="1266"/>
      <c r="HAN25" s="1266"/>
      <c r="HAO25" s="1266"/>
      <c r="HAP25" s="1266"/>
      <c r="HAQ25" s="1266"/>
      <c r="HAR25" s="1266"/>
      <c r="HAS25" s="1266"/>
      <c r="HAT25" s="1266"/>
      <c r="HAU25" s="1266"/>
      <c r="HAV25" s="1266"/>
      <c r="HAW25" s="1266"/>
      <c r="HAX25" s="1266"/>
      <c r="HAY25" s="1266"/>
      <c r="HAZ25" s="1266"/>
      <c r="HBA25" s="1266"/>
      <c r="HBB25" s="1266"/>
      <c r="HBC25" s="1266"/>
      <c r="HBD25" s="1266"/>
      <c r="HBE25" s="1266"/>
      <c r="HBF25" s="1266"/>
      <c r="HBG25" s="1266"/>
      <c r="HBH25" s="1266"/>
      <c r="HBI25" s="1266"/>
      <c r="HBJ25" s="1266"/>
      <c r="HBK25" s="1266"/>
      <c r="HBL25" s="1266"/>
      <c r="HBM25" s="1266"/>
      <c r="HBN25" s="1266"/>
      <c r="HBO25" s="1266"/>
      <c r="HBP25" s="1266"/>
      <c r="HBQ25" s="1266"/>
      <c r="HBR25" s="1266"/>
      <c r="HBS25" s="1266"/>
      <c r="HBT25" s="1266"/>
      <c r="HBU25" s="1266"/>
      <c r="HBV25" s="1266"/>
      <c r="HBW25" s="1266"/>
      <c r="HBX25" s="1266"/>
      <c r="HBY25" s="1266"/>
      <c r="HBZ25" s="1266"/>
      <c r="HCA25" s="1266"/>
      <c r="HCB25" s="1266"/>
      <c r="HCC25" s="1266"/>
      <c r="HCD25" s="1266"/>
      <c r="HCE25" s="1266"/>
      <c r="HCF25" s="1266"/>
      <c r="HCG25" s="1266"/>
      <c r="HCH25" s="1266"/>
      <c r="HCI25" s="1266"/>
      <c r="HCJ25" s="1266"/>
      <c r="HCK25" s="1266"/>
      <c r="HCL25" s="1266"/>
      <c r="HCM25" s="1266"/>
      <c r="HCN25" s="1266"/>
      <c r="HCO25" s="1266"/>
      <c r="HCP25" s="1266"/>
      <c r="HCQ25" s="1266"/>
      <c r="HCR25" s="1266"/>
      <c r="HCS25" s="1266"/>
      <c r="HCT25" s="1266"/>
      <c r="HCU25" s="1266"/>
      <c r="HCV25" s="1266"/>
      <c r="HCW25" s="1266"/>
      <c r="HCX25" s="1266"/>
      <c r="HCY25" s="1266"/>
      <c r="HCZ25" s="1266"/>
      <c r="HDA25" s="1266"/>
      <c r="HDB25" s="1266"/>
      <c r="HDC25" s="1266"/>
      <c r="HDD25" s="1266"/>
      <c r="HDE25" s="1266"/>
      <c r="HDF25" s="1266"/>
      <c r="HDG25" s="1266"/>
      <c r="HDH25" s="1266"/>
      <c r="HDI25" s="1266"/>
      <c r="HDJ25" s="1266"/>
      <c r="HDK25" s="1266"/>
      <c r="HDL25" s="1266"/>
      <c r="HDM25" s="1266"/>
      <c r="HDN25" s="1266"/>
      <c r="HDO25" s="1266"/>
      <c r="HDP25" s="1266"/>
      <c r="HDQ25" s="1266"/>
      <c r="HDR25" s="1266"/>
      <c r="HDS25" s="1266"/>
      <c r="HDT25" s="1266"/>
      <c r="HDU25" s="1266"/>
      <c r="HDV25" s="1266"/>
      <c r="HDW25" s="1266"/>
      <c r="HDX25" s="1266"/>
      <c r="HDY25" s="1266"/>
      <c r="HDZ25" s="1266"/>
      <c r="HEA25" s="1266"/>
      <c r="HEB25" s="1266"/>
      <c r="HEC25" s="1266"/>
      <c r="HED25" s="1266"/>
      <c r="HEE25" s="1266"/>
      <c r="HEF25" s="1266"/>
      <c r="HEG25" s="1266"/>
      <c r="HEH25" s="1266"/>
      <c r="HEI25" s="1266"/>
      <c r="HEJ25" s="1266"/>
      <c r="HEK25" s="1266"/>
      <c r="HEL25" s="1266"/>
      <c r="HEM25" s="1266"/>
      <c r="HEN25" s="1266"/>
      <c r="HEO25" s="1266"/>
      <c r="HEP25" s="1266"/>
      <c r="HEQ25" s="1266"/>
      <c r="HER25" s="1266"/>
      <c r="HES25" s="1266"/>
      <c r="HET25" s="1266"/>
      <c r="HEU25" s="1266"/>
      <c r="HEV25" s="1266"/>
      <c r="HEW25" s="1266"/>
      <c r="HEX25" s="1266"/>
      <c r="HEY25" s="1266"/>
      <c r="HEZ25" s="1266"/>
      <c r="HFA25" s="1266"/>
      <c r="HFB25" s="1266"/>
      <c r="HFC25" s="1266"/>
      <c r="HFD25" s="1266"/>
      <c r="HFE25" s="1266"/>
      <c r="HFF25" s="1266"/>
      <c r="HFG25" s="1266"/>
      <c r="HFH25" s="1266"/>
      <c r="HFI25" s="1266"/>
      <c r="HFJ25" s="1266"/>
      <c r="HFK25" s="1266"/>
      <c r="HFL25" s="1266"/>
      <c r="HFM25" s="1266"/>
      <c r="HFN25" s="1266"/>
      <c r="HFO25" s="1266"/>
      <c r="HFP25" s="1266"/>
      <c r="HFQ25" s="1266"/>
      <c r="HFR25" s="1266"/>
      <c r="HFS25" s="1266"/>
      <c r="HFT25" s="1266"/>
      <c r="HFU25" s="1266"/>
      <c r="HFV25" s="1266"/>
      <c r="HFW25" s="1266"/>
      <c r="HFX25" s="1266"/>
      <c r="HFY25" s="1266"/>
      <c r="HFZ25" s="1266"/>
      <c r="HGA25" s="1266"/>
      <c r="HGB25" s="1266"/>
      <c r="HGC25" s="1266"/>
      <c r="HGD25" s="1266"/>
      <c r="HGE25" s="1266"/>
      <c r="HGF25" s="1266"/>
      <c r="HGG25" s="1266"/>
      <c r="HGH25" s="1266"/>
      <c r="HGI25" s="1266"/>
      <c r="HGJ25" s="1266"/>
      <c r="HGK25" s="1266"/>
      <c r="HGL25" s="1266"/>
      <c r="HGM25" s="1266"/>
      <c r="HGN25" s="1266"/>
      <c r="HGO25" s="1266"/>
      <c r="HGP25" s="1266"/>
      <c r="HGQ25" s="1266"/>
      <c r="HGR25" s="1266"/>
      <c r="HGS25" s="1266"/>
      <c r="HGT25" s="1266"/>
      <c r="HGU25" s="1266"/>
      <c r="HGV25" s="1266"/>
      <c r="HGW25" s="1266"/>
      <c r="HGX25" s="1266"/>
      <c r="HGY25" s="1266"/>
      <c r="HGZ25" s="1266"/>
      <c r="HHA25" s="1266"/>
      <c r="HHB25" s="1266"/>
      <c r="HHC25" s="1266"/>
      <c r="HHD25" s="1266"/>
      <c r="HHE25" s="1266"/>
      <c r="HHF25" s="1266"/>
      <c r="HHG25" s="1266"/>
      <c r="HHH25" s="1266"/>
      <c r="HHI25" s="1266"/>
      <c r="HHJ25" s="1266"/>
      <c r="HHK25" s="1266"/>
      <c r="HHL25" s="1266"/>
      <c r="HHM25" s="1266"/>
      <c r="HHN25" s="1266"/>
      <c r="HHO25" s="1266"/>
      <c r="HHP25" s="1266"/>
      <c r="HHQ25" s="1266"/>
      <c r="HHR25" s="1266"/>
      <c r="HHS25" s="1266"/>
      <c r="HHT25" s="1266"/>
      <c r="HHU25" s="1266"/>
      <c r="HHV25" s="1266"/>
      <c r="HHW25" s="1266"/>
      <c r="HHX25" s="1266"/>
      <c r="HHY25" s="1266"/>
      <c r="HHZ25" s="1266"/>
      <c r="HIA25" s="1266"/>
      <c r="HIB25" s="1266"/>
      <c r="HIC25" s="1266"/>
      <c r="HID25" s="1266"/>
      <c r="HIE25" s="1266"/>
      <c r="HIF25" s="1266"/>
      <c r="HIG25" s="1266"/>
      <c r="HIH25" s="1266"/>
      <c r="HII25" s="1266"/>
      <c r="HIJ25" s="1266"/>
      <c r="HIK25" s="1266"/>
      <c r="HIL25" s="1266"/>
      <c r="HIM25" s="1266"/>
      <c r="HIN25" s="1266"/>
      <c r="HIO25" s="1266"/>
      <c r="HIP25" s="1266"/>
      <c r="HIQ25" s="1266"/>
      <c r="HIR25" s="1266"/>
      <c r="HIS25" s="1266"/>
      <c r="HIT25" s="1266"/>
      <c r="HIU25" s="1266"/>
      <c r="HIV25" s="1266"/>
      <c r="HIW25" s="1266"/>
      <c r="HIX25" s="1266"/>
      <c r="HIY25" s="1266"/>
      <c r="HIZ25" s="1266"/>
      <c r="HJA25" s="1266"/>
      <c r="HJB25" s="1266"/>
      <c r="HJC25" s="1266"/>
      <c r="HJD25" s="1266"/>
      <c r="HJE25" s="1266"/>
      <c r="HJF25" s="1266"/>
      <c r="HJG25" s="1266"/>
      <c r="HJH25" s="1266"/>
      <c r="HJI25" s="1266"/>
      <c r="HJJ25" s="1266"/>
      <c r="HJK25" s="1266"/>
      <c r="HJL25" s="1266"/>
      <c r="HJM25" s="1266"/>
      <c r="HJN25" s="1266"/>
      <c r="HJO25" s="1266"/>
      <c r="HJP25" s="1266"/>
      <c r="HJQ25" s="1266"/>
      <c r="HJR25" s="1266"/>
      <c r="HJS25" s="1266"/>
      <c r="HJT25" s="1266"/>
      <c r="HJU25" s="1266"/>
      <c r="HJV25" s="1266"/>
      <c r="HJW25" s="1266"/>
      <c r="HJX25" s="1266"/>
      <c r="HJY25" s="1266"/>
      <c r="HJZ25" s="1266"/>
      <c r="HKA25" s="1266"/>
      <c r="HKB25" s="1266"/>
      <c r="HKC25" s="1266"/>
      <c r="HKD25" s="1266"/>
      <c r="HKE25" s="1266"/>
      <c r="HKF25" s="1266"/>
      <c r="HKG25" s="1266"/>
      <c r="HKH25" s="1266"/>
      <c r="HKI25" s="1266"/>
      <c r="HKJ25" s="1266"/>
      <c r="HKK25" s="1266"/>
      <c r="HKL25" s="1266"/>
      <c r="HKM25" s="1266"/>
      <c r="HKN25" s="1266"/>
      <c r="HKO25" s="1266"/>
      <c r="HKP25" s="1266"/>
      <c r="HKQ25" s="1266"/>
      <c r="HKR25" s="1266"/>
      <c r="HKS25" s="1266"/>
      <c r="HKT25" s="1266"/>
      <c r="HKU25" s="1266"/>
      <c r="HKV25" s="1266"/>
      <c r="HKW25" s="1266"/>
      <c r="HKX25" s="1266"/>
      <c r="HKY25" s="1266"/>
      <c r="HKZ25" s="1266"/>
      <c r="HLA25" s="1266"/>
      <c r="HLB25" s="1266"/>
      <c r="HLC25" s="1266"/>
      <c r="HLD25" s="1266"/>
      <c r="HLE25" s="1266"/>
      <c r="HLF25" s="1266"/>
      <c r="HLG25" s="1266"/>
      <c r="HLH25" s="1266"/>
      <c r="HLI25" s="1266"/>
      <c r="HLJ25" s="1266"/>
      <c r="HLK25" s="1266"/>
      <c r="HLL25" s="1266"/>
      <c r="HLM25" s="1266"/>
      <c r="HLN25" s="1266"/>
      <c r="HLO25" s="1266"/>
      <c r="HLP25" s="1266"/>
      <c r="HLQ25" s="1266"/>
      <c r="HLR25" s="1266"/>
      <c r="HLS25" s="1266"/>
      <c r="HLT25" s="1266"/>
      <c r="HLU25" s="1266"/>
      <c r="HLV25" s="1266"/>
      <c r="HLW25" s="1266"/>
      <c r="HLX25" s="1266"/>
      <c r="HLY25" s="1266"/>
      <c r="HLZ25" s="1266"/>
      <c r="HMA25" s="1266"/>
      <c r="HMB25" s="1266"/>
      <c r="HMC25" s="1266"/>
      <c r="HMD25" s="1266"/>
      <c r="HME25" s="1266"/>
      <c r="HMF25" s="1266"/>
      <c r="HMG25" s="1266"/>
      <c r="HMH25" s="1266"/>
      <c r="HMI25" s="1266"/>
      <c r="HMJ25" s="1266"/>
      <c r="HMK25" s="1266"/>
      <c r="HML25" s="1266"/>
      <c r="HMM25" s="1266"/>
      <c r="HMN25" s="1266"/>
      <c r="HMO25" s="1266"/>
      <c r="HMP25" s="1266"/>
      <c r="HMQ25" s="1266"/>
      <c r="HMR25" s="1266"/>
      <c r="HMS25" s="1266"/>
      <c r="HMT25" s="1266"/>
      <c r="HMU25" s="1266"/>
      <c r="HMV25" s="1266"/>
      <c r="HMW25" s="1266"/>
      <c r="HMX25" s="1266"/>
      <c r="HMY25" s="1266"/>
      <c r="HMZ25" s="1266"/>
      <c r="HNA25" s="1266"/>
      <c r="HNB25" s="1266"/>
      <c r="HNC25" s="1266"/>
      <c r="HND25" s="1266"/>
      <c r="HNE25" s="1266"/>
      <c r="HNF25" s="1266"/>
      <c r="HNG25" s="1266"/>
      <c r="HNH25" s="1266"/>
      <c r="HNI25" s="1266"/>
      <c r="HNJ25" s="1266"/>
      <c r="HNK25" s="1266"/>
      <c r="HNL25" s="1266"/>
      <c r="HNM25" s="1266"/>
      <c r="HNN25" s="1266"/>
      <c r="HNO25" s="1266"/>
      <c r="HNP25" s="1266"/>
      <c r="HNQ25" s="1266"/>
      <c r="HNR25" s="1266"/>
      <c r="HNS25" s="1266"/>
      <c r="HNT25" s="1266"/>
      <c r="HNU25" s="1266"/>
      <c r="HNV25" s="1266"/>
      <c r="HNW25" s="1266"/>
      <c r="HNX25" s="1266"/>
      <c r="HNY25" s="1266"/>
      <c r="HNZ25" s="1266"/>
      <c r="HOA25" s="1266"/>
      <c r="HOB25" s="1266"/>
      <c r="HOC25" s="1266"/>
      <c r="HOD25" s="1266"/>
      <c r="HOE25" s="1266"/>
      <c r="HOF25" s="1266"/>
      <c r="HOG25" s="1266"/>
      <c r="HOH25" s="1266"/>
      <c r="HOI25" s="1266"/>
      <c r="HOJ25" s="1266"/>
      <c r="HOK25" s="1266"/>
      <c r="HOL25" s="1266"/>
      <c r="HOM25" s="1266"/>
      <c r="HON25" s="1266"/>
      <c r="HOO25" s="1266"/>
      <c r="HOP25" s="1266"/>
      <c r="HOQ25" s="1266"/>
      <c r="HOR25" s="1266"/>
      <c r="HOS25" s="1266"/>
      <c r="HOT25" s="1266"/>
      <c r="HOU25" s="1266"/>
      <c r="HOV25" s="1266"/>
      <c r="HOW25" s="1266"/>
      <c r="HOX25" s="1266"/>
      <c r="HOY25" s="1266"/>
      <c r="HOZ25" s="1266"/>
      <c r="HPA25" s="1266"/>
      <c r="HPB25" s="1266"/>
      <c r="HPC25" s="1266"/>
      <c r="HPD25" s="1266"/>
      <c r="HPE25" s="1266"/>
      <c r="HPF25" s="1266"/>
      <c r="HPG25" s="1266"/>
      <c r="HPH25" s="1266"/>
      <c r="HPI25" s="1266"/>
      <c r="HPJ25" s="1266"/>
      <c r="HPK25" s="1266"/>
      <c r="HPL25" s="1266"/>
      <c r="HPM25" s="1266"/>
      <c r="HPN25" s="1266"/>
      <c r="HPO25" s="1266"/>
      <c r="HPP25" s="1266"/>
      <c r="HPQ25" s="1266"/>
      <c r="HPR25" s="1266"/>
      <c r="HPS25" s="1266"/>
      <c r="HPT25" s="1266"/>
      <c r="HPU25" s="1266"/>
      <c r="HPV25" s="1266"/>
      <c r="HPW25" s="1266"/>
      <c r="HPX25" s="1266"/>
      <c r="HPY25" s="1266"/>
      <c r="HPZ25" s="1266"/>
      <c r="HQA25" s="1266"/>
      <c r="HQB25" s="1266"/>
      <c r="HQC25" s="1266"/>
      <c r="HQD25" s="1266"/>
      <c r="HQE25" s="1266"/>
      <c r="HQF25" s="1266"/>
      <c r="HQG25" s="1266"/>
      <c r="HQH25" s="1266"/>
      <c r="HQI25" s="1266"/>
      <c r="HQJ25" s="1266"/>
      <c r="HQK25" s="1266"/>
      <c r="HQL25" s="1266"/>
      <c r="HQM25" s="1266"/>
      <c r="HQN25" s="1266"/>
      <c r="HQO25" s="1266"/>
      <c r="HQP25" s="1266"/>
      <c r="HQQ25" s="1266"/>
      <c r="HQR25" s="1266"/>
      <c r="HQS25" s="1266"/>
      <c r="HQT25" s="1266"/>
      <c r="HQU25" s="1266"/>
      <c r="HQV25" s="1266"/>
      <c r="HQW25" s="1266"/>
      <c r="HQX25" s="1266"/>
      <c r="HQY25" s="1266"/>
      <c r="HQZ25" s="1266"/>
      <c r="HRA25" s="1266"/>
      <c r="HRB25" s="1266"/>
      <c r="HRC25" s="1266"/>
      <c r="HRD25" s="1266"/>
      <c r="HRE25" s="1266"/>
      <c r="HRF25" s="1266"/>
      <c r="HRG25" s="1266"/>
      <c r="HRH25" s="1266"/>
      <c r="HRI25" s="1266"/>
      <c r="HRJ25" s="1266"/>
      <c r="HRK25" s="1266"/>
      <c r="HRL25" s="1266"/>
      <c r="HRM25" s="1266"/>
      <c r="HRN25" s="1266"/>
      <c r="HRO25" s="1266"/>
      <c r="HRP25" s="1266"/>
      <c r="HRQ25" s="1266"/>
      <c r="HRR25" s="1266"/>
      <c r="HRS25" s="1266"/>
      <c r="HRT25" s="1266"/>
      <c r="HRU25" s="1266"/>
      <c r="HRV25" s="1266"/>
      <c r="HRW25" s="1266"/>
      <c r="HRX25" s="1266"/>
      <c r="HRY25" s="1266"/>
      <c r="HRZ25" s="1266"/>
      <c r="HSA25" s="1266"/>
      <c r="HSB25" s="1266"/>
      <c r="HSC25" s="1266"/>
      <c r="HSD25" s="1266"/>
      <c r="HSE25" s="1266"/>
      <c r="HSF25" s="1266"/>
      <c r="HSG25" s="1266"/>
      <c r="HSH25" s="1266"/>
      <c r="HSI25" s="1266"/>
      <c r="HSJ25" s="1266"/>
      <c r="HSK25" s="1266"/>
      <c r="HSL25" s="1266"/>
      <c r="HSM25" s="1266"/>
      <c r="HSN25" s="1266"/>
      <c r="HSO25" s="1266"/>
      <c r="HSP25" s="1266"/>
      <c r="HSQ25" s="1266"/>
      <c r="HSR25" s="1266"/>
      <c r="HSS25" s="1266"/>
      <c r="HST25" s="1266"/>
      <c r="HSU25" s="1266"/>
      <c r="HSV25" s="1266"/>
      <c r="HSW25" s="1266"/>
      <c r="HSX25" s="1266"/>
      <c r="HSY25" s="1266"/>
      <c r="HSZ25" s="1266"/>
      <c r="HTA25" s="1266"/>
      <c r="HTB25" s="1266"/>
      <c r="HTC25" s="1266"/>
      <c r="HTD25" s="1266"/>
      <c r="HTE25" s="1266"/>
      <c r="HTF25" s="1266"/>
      <c r="HTG25" s="1266"/>
      <c r="HTH25" s="1266"/>
      <c r="HTI25" s="1266"/>
      <c r="HTJ25" s="1266"/>
      <c r="HTK25" s="1266"/>
      <c r="HTL25" s="1266"/>
      <c r="HTM25" s="1266"/>
      <c r="HTN25" s="1266"/>
      <c r="HTO25" s="1266"/>
      <c r="HTP25" s="1266"/>
      <c r="HTQ25" s="1266"/>
      <c r="HTR25" s="1266"/>
      <c r="HTS25" s="1266"/>
      <c r="HTT25" s="1266"/>
      <c r="HTU25" s="1266"/>
      <c r="HTV25" s="1266"/>
      <c r="HTW25" s="1266"/>
      <c r="HTX25" s="1266"/>
      <c r="HTY25" s="1266"/>
      <c r="HTZ25" s="1266"/>
      <c r="HUA25" s="1266"/>
      <c r="HUB25" s="1266"/>
      <c r="HUC25" s="1266"/>
      <c r="HUD25" s="1266"/>
      <c r="HUE25" s="1266"/>
      <c r="HUF25" s="1266"/>
      <c r="HUG25" s="1266"/>
      <c r="HUH25" s="1266"/>
      <c r="HUI25" s="1266"/>
      <c r="HUJ25" s="1266"/>
      <c r="HUK25" s="1266"/>
      <c r="HUL25" s="1266"/>
      <c r="HUM25" s="1266"/>
      <c r="HUN25" s="1266"/>
      <c r="HUO25" s="1266"/>
      <c r="HUP25" s="1266"/>
      <c r="HUQ25" s="1266"/>
      <c r="HUR25" s="1266"/>
      <c r="HUS25" s="1266"/>
      <c r="HUT25" s="1266"/>
      <c r="HUU25" s="1266"/>
      <c r="HUV25" s="1266"/>
      <c r="HUW25" s="1266"/>
      <c r="HUX25" s="1266"/>
      <c r="HUY25" s="1266"/>
      <c r="HUZ25" s="1266"/>
      <c r="HVA25" s="1266"/>
      <c r="HVB25" s="1266"/>
      <c r="HVC25" s="1266"/>
      <c r="HVD25" s="1266"/>
      <c r="HVE25" s="1266"/>
      <c r="HVF25" s="1266"/>
      <c r="HVG25" s="1266"/>
      <c r="HVH25" s="1266"/>
      <c r="HVI25" s="1266"/>
      <c r="HVJ25" s="1266"/>
      <c r="HVK25" s="1266"/>
      <c r="HVL25" s="1266"/>
      <c r="HVM25" s="1266"/>
      <c r="HVN25" s="1266"/>
      <c r="HVO25" s="1266"/>
      <c r="HVP25" s="1266"/>
      <c r="HVQ25" s="1266"/>
      <c r="HVR25" s="1266"/>
      <c r="HVS25" s="1266"/>
      <c r="HVT25" s="1266"/>
      <c r="HVU25" s="1266"/>
      <c r="HVV25" s="1266"/>
      <c r="HVW25" s="1266"/>
      <c r="HVX25" s="1266"/>
      <c r="HVY25" s="1266"/>
      <c r="HVZ25" s="1266"/>
      <c r="HWA25" s="1266"/>
      <c r="HWB25" s="1266"/>
      <c r="HWC25" s="1266"/>
      <c r="HWD25" s="1266"/>
      <c r="HWE25" s="1266"/>
      <c r="HWF25" s="1266"/>
      <c r="HWG25" s="1266"/>
      <c r="HWH25" s="1266"/>
      <c r="HWI25" s="1266"/>
      <c r="HWJ25" s="1266"/>
      <c r="HWK25" s="1266"/>
      <c r="HWL25" s="1266"/>
      <c r="HWM25" s="1266"/>
      <c r="HWN25" s="1266"/>
      <c r="HWO25" s="1266"/>
      <c r="HWP25" s="1266"/>
      <c r="HWQ25" s="1266"/>
      <c r="HWR25" s="1266"/>
      <c r="HWS25" s="1266"/>
      <c r="HWT25" s="1266"/>
      <c r="HWU25" s="1266"/>
      <c r="HWV25" s="1266"/>
      <c r="HWW25" s="1266"/>
      <c r="HWX25" s="1266"/>
      <c r="HWY25" s="1266"/>
      <c r="HWZ25" s="1266"/>
      <c r="HXA25" s="1266"/>
      <c r="HXB25" s="1266"/>
      <c r="HXC25" s="1266"/>
      <c r="HXD25" s="1266"/>
      <c r="HXE25" s="1266"/>
      <c r="HXF25" s="1266"/>
      <c r="HXG25" s="1266"/>
      <c r="HXH25" s="1266"/>
      <c r="HXI25" s="1266"/>
      <c r="HXJ25" s="1266"/>
      <c r="HXK25" s="1266"/>
      <c r="HXL25" s="1266"/>
      <c r="HXM25" s="1266"/>
      <c r="HXN25" s="1266"/>
      <c r="HXO25" s="1266"/>
      <c r="HXP25" s="1266"/>
      <c r="HXQ25" s="1266"/>
      <c r="HXR25" s="1266"/>
      <c r="HXS25" s="1266"/>
      <c r="HXT25" s="1266"/>
      <c r="HXU25" s="1266"/>
      <c r="HXV25" s="1266"/>
      <c r="HXW25" s="1266"/>
      <c r="HXX25" s="1266"/>
      <c r="HXY25" s="1266"/>
      <c r="HXZ25" s="1266"/>
      <c r="HYA25" s="1266"/>
      <c r="HYB25" s="1266"/>
      <c r="HYC25" s="1266"/>
      <c r="HYD25" s="1266"/>
      <c r="HYE25" s="1266"/>
      <c r="HYF25" s="1266"/>
      <c r="HYG25" s="1266"/>
      <c r="HYH25" s="1266"/>
      <c r="HYI25" s="1266"/>
      <c r="HYJ25" s="1266"/>
      <c r="HYK25" s="1266"/>
      <c r="HYL25" s="1266"/>
      <c r="HYM25" s="1266"/>
      <c r="HYN25" s="1266"/>
      <c r="HYO25" s="1266"/>
      <c r="HYP25" s="1266"/>
      <c r="HYQ25" s="1266"/>
      <c r="HYR25" s="1266"/>
      <c r="HYS25" s="1266"/>
      <c r="HYT25" s="1266"/>
      <c r="HYU25" s="1266"/>
      <c r="HYV25" s="1266"/>
      <c r="HYW25" s="1266"/>
      <c r="HYX25" s="1266"/>
      <c r="HYY25" s="1266"/>
      <c r="HYZ25" s="1266"/>
      <c r="HZA25" s="1266"/>
      <c r="HZB25" s="1266"/>
      <c r="HZC25" s="1266"/>
      <c r="HZD25" s="1266"/>
      <c r="HZE25" s="1266"/>
      <c r="HZF25" s="1266"/>
      <c r="HZG25" s="1266"/>
      <c r="HZH25" s="1266"/>
      <c r="HZI25" s="1266"/>
      <c r="HZJ25" s="1266"/>
      <c r="HZK25" s="1266"/>
      <c r="HZL25" s="1266"/>
      <c r="HZM25" s="1266"/>
      <c r="HZN25" s="1266"/>
      <c r="HZO25" s="1266"/>
      <c r="HZP25" s="1266"/>
      <c r="HZQ25" s="1266"/>
      <c r="HZR25" s="1266"/>
      <c r="HZS25" s="1266"/>
      <c r="HZT25" s="1266"/>
      <c r="HZU25" s="1266"/>
      <c r="HZV25" s="1266"/>
      <c r="HZW25" s="1266"/>
      <c r="HZX25" s="1266"/>
      <c r="HZY25" s="1266"/>
      <c r="HZZ25" s="1266"/>
      <c r="IAA25" s="1266"/>
      <c r="IAB25" s="1266"/>
      <c r="IAC25" s="1266"/>
      <c r="IAD25" s="1266"/>
      <c r="IAE25" s="1266"/>
      <c r="IAF25" s="1266"/>
      <c r="IAG25" s="1266"/>
      <c r="IAH25" s="1266"/>
      <c r="IAI25" s="1266"/>
      <c r="IAJ25" s="1266"/>
      <c r="IAK25" s="1266"/>
      <c r="IAL25" s="1266"/>
      <c r="IAM25" s="1266"/>
      <c r="IAN25" s="1266"/>
      <c r="IAO25" s="1266"/>
      <c r="IAP25" s="1266"/>
      <c r="IAQ25" s="1266"/>
      <c r="IAR25" s="1266"/>
      <c r="IAS25" s="1266"/>
      <c r="IAT25" s="1266"/>
      <c r="IAU25" s="1266"/>
      <c r="IAV25" s="1266"/>
      <c r="IAW25" s="1266"/>
      <c r="IAX25" s="1266"/>
      <c r="IAY25" s="1266"/>
      <c r="IAZ25" s="1266"/>
      <c r="IBA25" s="1266"/>
      <c r="IBB25" s="1266"/>
      <c r="IBC25" s="1266"/>
      <c r="IBD25" s="1266"/>
      <c r="IBE25" s="1266"/>
      <c r="IBF25" s="1266"/>
      <c r="IBG25" s="1266"/>
      <c r="IBH25" s="1266"/>
      <c r="IBI25" s="1266"/>
      <c r="IBJ25" s="1266"/>
      <c r="IBK25" s="1266"/>
      <c r="IBL25" s="1266"/>
      <c r="IBM25" s="1266"/>
      <c r="IBN25" s="1266"/>
      <c r="IBO25" s="1266"/>
      <c r="IBP25" s="1266"/>
      <c r="IBQ25" s="1266"/>
      <c r="IBR25" s="1266"/>
      <c r="IBS25" s="1266"/>
      <c r="IBT25" s="1266"/>
      <c r="IBU25" s="1266"/>
      <c r="IBV25" s="1266"/>
      <c r="IBW25" s="1266"/>
      <c r="IBX25" s="1266"/>
      <c r="IBY25" s="1266"/>
      <c r="IBZ25" s="1266"/>
      <c r="ICA25" s="1266"/>
      <c r="ICB25" s="1266"/>
      <c r="ICC25" s="1266"/>
      <c r="ICD25" s="1266"/>
      <c r="ICE25" s="1266"/>
      <c r="ICF25" s="1266"/>
      <c r="ICG25" s="1266"/>
      <c r="ICH25" s="1266"/>
      <c r="ICI25" s="1266"/>
      <c r="ICJ25" s="1266"/>
      <c r="ICK25" s="1266"/>
      <c r="ICL25" s="1266"/>
      <c r="ICM25" s="1266"/>
      <c r="ICN25" s="1266"/>
      <c r="ICO25" s="1266"/>
      <c r="ICP25" s="1266"/>
      <c r="ICQ25" s="1266"/>
      <c r="ICR25" s="1266"/>
      <c r="ICS25" s="1266"/>
      <c r="ICT25" s="1266"/>
      <c r="ICU25" s="1266"/>
      <c r="ICV25" s="1266"/>
      <c r="ICW25" s="1266"/>
      <c r="ICX25" s="1266"/>
      <c r="ICY25" s="1266"/>
      <c r="ICZ25" s="1266"/>
      <c r="IDA25" s="1266"/>
      <c r="IDB25" s="1266"/>
      <c r="IDC25" s="1266"/>
      <c r="IDD25" s="1266"/>
      <c r="IDE25" s="1266"/>
      <c r="IDF25" s="1266"/>
      <c r="IDG25" s="1266"/>
      <c r="IDH25" s="1266"/>
      <c r="IDI25" s="1266"/>
      <c r="IDJ25" s="1266"/>
      <c r="IDK25" s="1266"/>
      <c r="IDL25" s="1266"/>
      <c r="IDM25" s="1266"/>
      <c r="IDN25" s="1266"/>
      <c r="IDO25" s="1266"/>
      <c r="IDP25" s="1266"/>
      <c r="IDQ25" s="1266"/>
      <c r="IDR25" s="1266"/>
      <c r="IDS25" s="1266"/>
      <c r="IDT25" s="1266"/>
      <c r="IDU25" s="1266"/>
      <c r="IDV25" s="1266"/>
      <c r="IDW25" s="1266"/>
      <c r="IDX25" s="1266"/>
      <c r="IDY25" s="1266"/>
      <c r="IDZ25" s="1266"/>
      <c r="IEA25" s="1266"/>
      <c r="IEB25" s="1266"/>
      <c r="IEC25" s="1266"/>
      <c r="IED25" s="1266"/>
      <c r="IEE25" s="1266"/>
      <c r="IEF25" s="1266"/>
      <c r="IEG25" s="1266"/>
      <c r="IEH25" s="1266"/>
      <c r="IEI25" s="1266"/>
      <c r="IEJ25" s="1266"/>
      <c r="IEK25" s="1266"/>
      <c r="IEL25" s="1266"/>
      <c r="IEM25" s="1266"/>
      <c r="IEN25" s="1266"/>
      <c r="IEO25" s="1266"/>
      <c r="IEP25" s="1266"/>
      <c r="IEQ25" s="1266"/>
      <c r="IER25" s="1266"/>
      <c r="IES25" s="1266"/>
      <c r="IET25" s="1266"/>
      <c r="IEU25" s="1266"/>
      <c r="IEV25" s="1266"/>
      <c r="IEW25" s="1266"/>
      <c r="IEX25" s="1266"/>
      <c r="IEY25" s="1266"/>
      <c r="IEZ25" s="1266"/>
      <c r="IFA25" s="1266"/>
      <c r="IFB25" s="1266"/>
      <c r="IFC25" s="1266"/>
      <c r="IFD25" s="1266"/>
      <c r="IFE25" s="1266"/>
      <c r="IFF25" s="1266"/>
      <c r="IFG25" s="1266"/>
      <c r="IFH25" s="1266"/>
      <c r="IFI25" s="1266"/>
      <c r="IFJ25" s="1266"/>
      <c r="IFK25" s="1266"/>
      <c r="IFL25" s="1266"/>
      <c r="IFM25" s="1266"/>
      <c r="IFN25" s="1266"/>
      <c r="IFO25" s="1266"/>
      <c r="IFP25" s="1266"/>
      <c r="IFQ25" s="1266"/>
      <c r="IFR25" s="1266"/>
      <c r="IFS25" s="1266"/>
      <c r="IFT25" s="1266"/>
      <c r="IFU25" s="1266"/>
      <c r="IFV25" s="1266"/>
      <c r="IFW25" s="1266"/>
      <c r="IFX25" s="1266"/>
      <c r="IFY25" s="1266"/>
      <c r="IFZ25" s="1266"/>
      <c r="IGA25" s="1266"/>
      <c r="IGB25" s="1266"/>
      <c r="IGC25" s="1266"/>
      <c r="IGD25" s="1266"/>
      <c r="IGE25" s="1266"/>
      <c r="IGF25" s="1266"/>
      <c r="IGG25" s="1266"/>
      <c r="IGH25" s="1266"/>
      <c r="IGI25" s="1266"/>
      <c r="IGJ25" s="1266"/>
      <c r="IGK25" s="1266"/>
      <c r="IGL25" s="1266"/>
      <c r="IGM25" s="1266"/>
      <c r="IGN25" s="1266"/>
      <c r="IGO25" s="1266"/>
      <c r="IGP25" s="1266"/>
      <c r="IGQ25" s="1266"/>
      <c r="IGR25" s="1266"/>
      <c r="IGS25" s="1266"/>
      <c r="IGT25" s="1266"/>
      <c r="IGU25" s="1266"/>
      <c r="IGV25" s="1266"/>
      <c r="IGW25" s="1266"/>
      <c r="IGX25" s="1266"/>
      <c r="IGY25" s="1266"/>
      <c r="IGZ25" s="1266"/>
      <c r="IHA25" s="1266"/>
      <c r="IHB25" s="1266"/>
      <c r="IHC25" s="1266"/>
      <c r="IHD25" s="1266"/>
      <c r="IHE25" s="1266"/>
      <c r="IHF25" s="1266"/>
      <c r="IHG25" s="1266"/>
      <c r="IHH25" s="1266"/>
      <c r="IHI25" s="1266"/>
      <c r="IHJ25" s="1266"/>
      <c r="IHK25" s="1266"/>
      <c r="IHL25" s="1266"/>
      <c r="IHM25" s="1266"/>
      <c r="IHN25" s="1266"/>
      <c r="IHO25" s="1266"/>
      <c r="IHP25" s="1266"/>
      <c r="IHQ25" s="1266"/>
      <c r="IHR25" s="1266"/>
      <c r="IHS25" s="1266"/>
      <c r="IHT25" s="1266"/>
      <c r="IHU25" s="1266"/>
      <c r="IHV25" s="1266"/>
      <c r="IHW25" s="1266"/>
      <c r="IHX25" s="1266"/>
      <c r="IHY25" s="1266"/>
      <c r="IHZ25" s="1266"/>
      <c r="IIA25" s="1266"/>
      <c r="IIB25" s="1266"/>
      <c r="IIC25" s="1266"/>
      <c r="IID25" s="1266"/>
      <c r="IIE25" s="1266"/>
      <c r="IIF25" s="1266"/>
      <c r="IIG25" s="1266"/>
      <c r="IIH25" s="1266"/>
      <c r="III25" s="1266"/>
      <c r="IIJ25" s="1266"/>
      <c r="IIK25" s="1266"/>
      <c r="IIL25" s="1266"/>
      <c r="IIM25" s="1266"/>
      <c r="IIN25" s="1266"/>
      <c r="IIO25" s="1266"/>
      <c r="IIP25" s="1266"/>
      <c r="IIQ25" s="1266"/>
      <c r="IIR25" s="1266"/>
      <c r="IIS25" s="1266"/>
      <c r="IIT25" s="1266"/>
      <c r="IIU25" s="1266"/>
      <c r="IIV25" s="1266"/>
      <c r="IIW25" s="1266"/>
      <c r="IIX25" s="1266"/>
      <c r="IIY25" s="1266"/>
      <c r="IIZ25" s="1266"/>
      <c r="IJA25" s="1266"/>
      <c r="IJB25" s="1266"/>
      <c r="IJC25" s="1266"/>
      <c r="IJD25" s="1266"/>
      <c r="IJE25" s="1266"/>
      <c r="IJF25" s="1266"/>
      <c r="IJG25" s="1266"/>
      <c r="IJH25" s="1266"/>
      <c r="IJI25" s="1266"/>
      <c r="IJJ25" s="1266"/>
      <c r="IJK25" s="1266"/>
      <c r="IJL25" s="1266"/>
      <c r="IJM25" s="1266"/>
      <c r="IJN25" s="1266"/>
      <c r="IJO25" s="1266"/>
      <c r="IJP25" s="1266"/>
      <c r="IJQ25" s="1266"/>
      <c r="IJR25" s="1266"/>
      <c r="IJS25" s="1266"/>
      <c r="IJT25" s="1266"/>
      <c r="IJU25" s="1266"/>
      <c r="IJV25" s="1266"/>
      <c r="IJW25" s="1266"/>
      <c r="IJX25" s="1266"/>
      <c r="IJY25" s="1266"/>
      <c r="IJZ25" s="1266"/>
      <c r="IKA25" s="1266"/>
      <c r="IKB25" s="1266"/>
      <c r="IKC25" s="1266"/>
      <c r="IKD25" s="1266"/>
      <c r="IKE25" s="1266"/>
      <c r="IKF25" s="1266"/>
      <c r="IKG25" s="1266"/>
      <c r="IKH25" s="1266"/>
      <c r="IKI25" s="1266"/>
      <c r="IKJ25" s="1266"/>
      <c r="IKK25" s="1266"/>
      <c r="IKL25" s="1266"/>
      <c r="IKM25" s="1266"/>
      <c r="IKN25" s="1266"/>
      <c r="IKO25" s="1266"/>
      <c r="IKP25" s="1266"/>
      <c r="IKQ25" s="1266"/>
      <c r="IKR25" s="1266"/>
      <c r="IKS25" s="1266"/>
      <c r="IKT25" s="1266"/>
      <c r="IKU25" s="1266"/>
      <c r="IKV25" s="1266"/>
      <c r="IKW25" s="1266"/>
      <c r="IKX25" s="1266"/>
      <c r="IKY25" s="1266"/>
      <c r="IKZ25" s="1266"/>
      <c r="ILA25" s="1266"/>
      <c r="ILB25" s="1266"/>
      <c r="ILC25" s="1266"/>
      <c r="ILD25" s="1266"/>
      <c r="ILE25" s="1266"/>
      <c r="ILF25" s="1266"/>
      <c r="ILG25" s="1266"/>
      <c r="ILH25" s="1266"/>
      <c r="ILI25" s="1266"/>
      <c r="ILJ25" s="1266"/>
      <c r="ILK25" s="1266"/>
      <c r="ILL25" s="1266"/>
      <c r="ILM25" s="1266"/>
      <c r="ILN25" s="1266"/>
      <c r="ILO25" s="1266"/>
      <c r="ILP25" s="1266"/>
      <c r="ILQ25" s="1266"/>
      <c r="ILR25" s="1266"/>
      <c r="ILS25" s="1266"/>
      <c r="ILT25" s="1266"/>
      <c r="ILU25" s="1266"/>
      <c r="ILV25" s="1266"/>
      <c r="ILW25" s="1266"/>
      <c r="ILX25" s="1266"/>
      <c r="ILY25" s="1266"/>
      <c r="ILZ25" s="1266"/>
      <c r="IMA25" s="1266"/>
      <c r="IMB25" s="1266"/>
      <c r="IMC25" s="1266"/>
      <c r="IMD25" s="1266"/>
      <c r="IME25" s="1266"/>
      <c r="IMF25" s="1266"/>
      <c r="IMG25" s="1266"/>
      <c r="IMH25" s="1266"/>
      <c r="IMI25" s="1266"/>
      <c r="IMJ25" s="1266"/>
      <c r="IMK25" s="1266"/>
      <c r="IML25" s="1266"/>
      <c r="IMM25" s="1266"/>
      <c r="IMN25" s="1266"/>
      <c r="IMO25" s="1266"/>
      <c r="IMP25" s="1266"/>
      <c r="IMQ25" s="1266"/>
      <c r="IMR25" s="1266"/>
      <c r="IMS25" s="1266"/>
      <c r="IMT25" s="1266"/>
      <c r="IMU25" s="1266"/>
      <c r="IMV25" s="1266"/>
      <c r="IMW25" s="1266"/>
      <c r="IMX25" s="1266"/>
      <c r="IMY25" s="1266"/>
      <c r="IMZ25" s="1266"/>
      <c r="INA25" s="1266"/>
      <c r="INB25" s="1266"/>
      <c r="INC25" s="1266"/>
      <c r="IND25" s="1266"/>
      <c r="INE25" s="1266"/>
      <c r="INF25" s="1266"/>
      <c r="ING25" s="1266"/>
      <c r="INH25" s="1266"/>
      <c r="INI25" s="1266"/>
      <c r="INJ25" s="1266"/>
      <c r="INK25" s="1266"/>
      <c r="INL25" s="1266"/>
      <c r="INM25" s="1266"/>
      <c r="INN25" s="1266"/>
      <c r="INO25" s="1266"/>
      <c r="INP25" s="1266"/>
      <c r="INQ25" s="1266"/>
      <c r="INR25" s="1266"/>
      <c r="INS25" s="1266"/>
      <c r="INT25" s="1266"/>
      <c r="INU25" s="1266"/>
      <c r="INV25" s="1266"/>
      <c r="INW25" s="1266"/>
      <c r="INX25" s="1266"/>
      <c r="INY25" s="1266"/>
      <c r="INZ25" s="1266"/>
      <c r="IOA25" s="1266"/>
      <c r="IOB25" s="1266"/>
      <c r="IOC25" s="1266"/>
      <c r="IOD25" s="1266"/>
      <c r="IOE25" s="1266"/>
      <c r="IOF25" s="1266"/>
      <c r="IOG25" s="1266"/>
      <c r="IOH25" s="1266"/>
      <c r="IOI25" s="1266"/>
      <c r="IOJ25" s="1266"/>
      <c r="IOK25" s="1266"/>
      <c r="IOL25" s="1266"/>
      <c r="IOM25" s="1266"/>
      <c r="ION25" s="1266"/>
      <c r="IOO25" s="1266"/>
      <c r="IOP25" s="1266"/>
      <c r="IOQ25" s="1266"/>
      <c r="IOR25" s="1266"/>
      <c r="IOS25" s="1266"/>
      <c r="IOT25" s="1266"/>
      <c r="IOU25" s="1266"/>
      <c r="IOV25" s="1266"/>
      <c r="IOW25" s="1266"/>
      <c r="IOX25" s="1266"/>
      <c r="IOY25" s="1266"/>
      <c r="IOZ25" s="1266"/>
      <c r="IPA25" s="1266"/>
      <c r="IPB25" s="1266"/>
      <c r="IPC25" s="1266"/>
      <c r="IPD25" s="1266"/>
      <c r="IPE25" s="1266"/>
      <c r="IPF25" s="1266"/>
      <c r="IPG25" s="1266"/>
      <c r="IPH25" s="1266"/>
      <c r="IPI25" s="1266"/>
      <c r="IPJ25" s="1266"/>
      <c r="IPK25" s="1266"/>
      <c r="IPL25" s="1266"/>
      <c r="IPM25" s="1266"/>
      <c r="IPN25" s="1266"/>
      <c r="IPO25" s="1266"/>
      <c r="IPP25" s="1266"/>
      <c r="IPQ25" s="1266"/>
      <c r="IPR25" s="1266"/>
      <c r="IPS25" s="1266"/>
      <c r="IPT25" s="1266"/>
      <c r="IPU25" s="1266"/>
      <c r="IPV25" s="1266"/>
      <c r="IPW25" s="1266"/>
      <c r="IPX25" s="1266"/>
      <c r="IPY25" s="1266"/>
      <c r="IPZ25" s="1266"/>
      <c r="IQA25" s="1266"/>
      <c r="IQB25" s="1266"/>
      <c r="IQC25" s="1266"/>
      <c r="IQD25" s="1266"/>
      <c r="IQE25" s="1266"/>
      <c r="IQF25" s="1266"/>
      <c r="IQG25" s="1266"/>
      <c r="IQH25" s="1266"/>
      <c r="IQI25" s="1266"/>
      <c r="IQJ25" s="1266"/>
      <c r="IQK25" s="1266"/>
      <c r="IQL25" s="1266"/>
      <c r="IQM25" s="1266"/>
      <c r="IQN25" s="1266"/>
      <c r="IQO25" s="1266"/>
      <c r="IQP25" s="1266"/>
      <c r="IQQ25" s="1266"/>
      <c r="IQR25" s="1266"/>
      <c r="IQS25" s="1266"/>
      <c r="IQT25" s="1266"/>
      <c r="IQU25" s="1266"/>
      <c r="IQV25" s="1266"/>
      <c r="IQW25" s="1266"/>
      <c r="IQX25" s="1266"/>
      <c r="IQY25" s="1266"/>
      <c r="IQZ25" s="1266"/>
      <c r="IRA25" s="1266"/>
      <c r="IRB25" s="1266"/>
      <c r="IRC25" s="1266"/>
      <c r="IRD25" s="1266"/>
      <c r="IRE25" s="1266"/>
      <c r="IRF25" s="1266"/>
      <c r="IRG25" s="1266"/>
      <c r="IRH25" s="1266"/>
      <c r="IRI25" s="1266"/>
      <c r="IRJ25" s="1266"/>
      <c r="IRK25" s="1266"/>
      <c r="IRL25" s="1266"/>
      <c r="IRM25" s="1266"/>
      <c r="IRN25" s="1266"/>
      <c r="IRO25" s="1266"/>
      <c r="IRP25" s="1266"/>
      <c r="IRQ25" s="1266"/>
      <c r="IRR25" s="1266"/>
      <c r="IRS25" s="1266"/>
      <c r="IRT25" s="1266"/>
      <c r="IRU25" s="1266"/>
      <c r="IRV25" s="1266"/>
      <c r="IRW25" s="1266"/>
      <c r="IRX25" s="1266"/>
      <c r="IRY25" s="1266"/>
      <c r="IRZ25" s="1266"/>
      <c r="ISA25" s="1266"/>
      <c r="ISB25" s="1266"/>
      <c r="ISC25" s="1266"/>
      <c r="ISD25" s="1266"/>
      <c r="ISE25" s="1266"/>
      <c r="ISF25" s="1266"/>
      <c r="ISG25" s="1266"/>
      <c r="ISH25" s="1266"/>
      <c r="ISI25" s="1266"/>
      <c r="ISJ25" s="1266"/>
      <c r="ISK25" s="1266"/>
      <c r="ISL25" s="1266"/>
      <c r="ISM25" s="1266"/>
      <c r="ISN25" s="1266"/>
      <c r="ISO25" s="1266"/>
      <c r="ISP25" s="1266"/>
      <c r="ISQ25" s="1266"/>
      <c r="ISR25" s="1266"/>
      <c r="ISS25" s="1266"/>
      <c r="IST25" s="1266"/>
      <c r="ISU25" s="1266"/>
      <c r="ISV25" s="1266"/>
      <c r="ISW25" s="1266"/>
      <c r="ISX25" s="1266"/>
      <c r="ISY25" s="1266"/>
      <c r="ISZ25" s="1266"/>
      <c r="ITA25" s="1266"/>
      <c r="ITB25" s="1266"/>
      <c r="ITC25" s="1266"/>
      <c r="ITD25" s="1266"/>
      <c r="ITE25" s="1266"/>
      <c r="ITF25" s="1266"/>
      <c r="ITG25" s="1266"/>
      <c r="ITH25" s="1266"/>
      <c r="ITI25" s="1266"/>
      <c r="ITJ25" s="1266"/>
      <c r="ITK25" s="1266"/>
      <c r="ITL25" s="1266"/>
      <c r="ITM25" s="1266"/>
      <c r="ITN25" s="1266"/>
      <c r="ITO25" s="1266"/>
      <c r="ITP25" s="1266"/>
      <c r="ITQ25" s="1266"/>
      <c r="ITR25" s="1266"/>
      <c r="ITS25" s="1266"/>
      <c r="ITT25" s="1266"/>
      <c r="ITU25" s="1266"/>
      <c r="ITV25" s="1266"/>
      <c r="ITW25" s="1266"/>
      <c r="ITX25" s="1266"/>
      <c r="ITY25" s="1266"/>
      <c r="ITZ25" s="1266"/>
      <c r="IUA25" s="1266"/>
      <c r="IUB25" s="1266"/>
      <c r="IUC25" s="1266"/>
      <c r="IUD25" s="1266"/>
      <c r="IUE25" s="1266"/>
      <c r="IUF25" s="1266"/>
      <c r="IUG25" s="1266"/>
      <c r="IUH25" s="1266"/>
      <c r="IUI25" s="1266"/>
      <c r="IUJ25" s="1266"/>
      <c r="IUK25" s="1266"/>
      <c r="IUL25" s="1266"/>
      <c r="IUM25" s="1266"/>
      <c r="IUN25" s="1266"/>
      <c r="IUO25" s="1266"/>
      <c r="IUP25" s="1266"/>
      <c r="IUQ25" s="1266"/>
      <c r="IUR25" s="1266"/>
      <c r="IUS25" s="1266"/>
      <c r="IUT25" s="1266"/>
      <c r="IUU25" s="1266"/>
      <c r="IUV25" s="1266"/>
      <c r="IUW25" s="1266"/>
      <c r="IUX25" s="1266"/>
      <c r="IUY25" s="1266"/>
      <c r="IUZ25" s="1266"/>
      <c r="IVA25" s="1266"/>
      <c r="IVB25" s="1266"/>
      <c r="IVC25" s="1266"/>
      <c r="IVD25" s="1266"/>
      <c r="IVE25" s="1266"/>
      <c r="IVF25" s="1266"/>
      <c r="IVG25" s="1266"/>
      <c r="IVH25" s="1266"/>
      <c r="IVI25" s="1266"/>
      <c r="IVJ25" s="1266"/>
      <c r="IVK25" s="1266"/>
      <c r="IVL25" s="1266"/>
      <c r="IVM25" s="1266"/>
      <c r="IVN25" s="1266"/>
      <c r="IVO25" s="1266"/>
      <c r="IVP25" s="1266"/>
      <c r="IVQ25" s="1266"/>
      <c r="IVR25" s="1266"/>
      <c r="IVS25" s="1266"/>
      <c r="IVT25" s="1266"/>
      <c r="IVU25" s="1266"/>
      <c r="IVV25" s="1266"/>
      <c r="IVW25" s="1266"/>
      <c r="IVX25" s="1266"/>
      <c r="IVY25" s="1266"/>
      <c r="IVZ25" s="1266"/>
      <c r="IWA25" s="1266"/>
      <c r="IWB25" s="1266"/>
      <c r="IWC25" s="1266"/>
      <c r="IWD25" s="1266"/>
      <c r="IWE25" s="1266"/>
      <c r="IWF25" s="1266"/>
      <c r="IWG25" s="1266"/>
      <c r="IWH25" s="1266"/>
      <c r="IWI25" s="1266"/>
      <c r="IWJ25" s="1266"/>
      <c r="IWK25" s="1266"/>
      <c r="IWL25" s="1266"/>
      <c r="IWM25" s="1266"/>
      <c r="IWN25" s="1266"/>
      <c r="IWO25" s="1266"/>
      <c r="IWP25" s="1266"/>
      <c r="IWQ25" s="1266"/>
      <c r="IWR25" s="1266"/>
      <c r="IWS25" s="1266"/>
      <c r="IWT25" s="1266"/>
      <c r="IWU25" s="1266"/>
      <c r="IWV25" s="1266"/>
      <c r="IWW25" s="1266"/>
      <c r="IWX25" s="1266"/>
      <c r="IWY25" s="1266"/>
      <c r="IWZ25" s="1266"/>
      <c r="IXA25" s="1266"/>
      <c r="IXB25" s="1266"/>
      <c r="IXC25" s="1266"/>
      <c r="IXD25" s="1266"/>
      <c r="IXE25" s="1266"/>
      <c r="IXF25" s="1266"/>
      <c r="IXG25" s="1266"/>
      <c r="IXH25" s="1266"/>
      <c r="IXI25" s="1266"/>
      <c r="IXJ25" s="1266"/>
      <c r="IXK25" s="1266"/>
      <c r="IXL25" s="1266"/>
      <c r="IXM25" s="1266"/>
      <c r="IXN25" s="1266"/>
      <c r="IXO25" s="1266"/>
      <c r="IXP25" s="1266"/>
      <c r="IXQ25" s="1266"/>
      <c r="IXR25" s="1266"/>
      <c r="IXS25" s="1266"/>
      <c r="IXT25" s="1266"/>
      <c r="IXU25" s="1266"/>
      <c r="IXV25" s="1266"/>
      <c r="IXW25" s="1266"/>
      <c r="IXX25" s="1266"/>
      <c r="IXY25" s="1266"/>
      <c r="IXZ25" s="1266"/>
      <c r="IYA25" s="1266"/>
      <c r="IYB25" s="1266"/>
      <c r="IYC25" s="1266"/>
      <c r="IYD25" s="1266"/>
      <c r="IYE25" s="1266"/>
      <c r="IYF25" s="1266"/>
      <c r="IYG25" s="1266"/>
      <c r="IYH25" s="1266"/>
      <c r="IYI25" s="1266"/>
      <c r="IYJ25" s="1266"/>
      <c r="IYK25" s="1266"/>
      <c r="IYL25" s="1266"/>
      <c r="IYM25" s="1266"/>
      <c r="IYN25" s="1266"/>
      <c r="IYO25" s="1266"/>
      <c r="IYP25" s="1266"/>
      <c r="IYQ25" s="1266"/>
      <c r="IYR25" s="1266"/>
      <c r="IYS25" s="1266"/>
      <c r="IYT25" s="1266"/>
      <c r="IYU25" s="1266"/>
      <c r="IYV25" s="1266"/>
      <c r="IYW25" s="1266"/>
      <c r="IYX25" s="1266"/>
      <c r="IYY25" s="1266"/>
      <c r="IYZ25" s="1266"/>
      <c r="IZA25" s="1266"/>
      <c r="IZB25" s="1266"/>
      <c r="IZC25" s="1266"/>
      <c r="IZD25" s="1266"/>
      <c r="IZE25" s="1266"/>
      <c r="IZF25" s="1266"/>
      <c r="IZG25" s="1266"/>
      <c r="IZH25" s="1266"/>
      <c r="IZI25" s="1266"/>
      <c r="IZJ25" s="1266"/>
      <c r="IZK25" s="1266"/>
      <c r="IZL25" s="1266"/>
      <c r="IZM25" s="1266"/>
      <c r="IZN25" s="1266"/>
      <c r="IZO25" s="1266"/>
      <c r="IZP25" s="1266"/>
      <c r="IZQ25" s="1266"/>
      <c r="IZR25" s="1266"/>
      <c r="IZS25" s="1266"/>
      <c r="IZT25" s="1266"/>
      <c r="IZU25" s="1266"/>
      <c r="IZV25" s="1266"/>
      <c r="IZW25" s="1266"/>
      <c r="IZX25" s="1266"/>
      <c r="IZY25" s="1266"/>
      <c r="IZZ25" s="1266"/>
      <c r="JAA25" s="1266"/>
      <c r="JAB25" s="1266"/>
      <c r="JAC25" s="1266"/>
      <c r="JAD25" s="1266"/>
      <c r="JAE25" s="1266"/>
      <c r="JAF25" s="1266"/>
      <c r="JAG25" s="1266"/>
      <c r="JAH25" s="1266"/>
      <c r="JAI25" s="1266"/>
      <c r="JAJ25" s="1266"/>
      <c r="JAK25" s="1266"/>
      <c r="JAL25" s="1266"/>
      <c r="JAM25" s="1266"/>
      <c r="JAN25" s="1266"/>
      <c r="JAO25" s="1266"/>
      <c r="JAP25" s="1266"/>
      <c r="JAQ25" s="1266"/>
      <c r="JAR25" s="1266"/>
      <c r="JAS25" s="1266"/>
      <c r="JAT25" s="1266"/>
      <c r="JAU25" s="1266"/>
      <c r="JAV25" s="1266"/>
      <c r="JAW25" s="1266"/>
      <c r="JAX25" s="1266"/>
      <c r="JAY25" s="1266"/>
      <c r="JAZ25" s="1266"/>
      <c r="JBA25" s="1266"/>
      <c r="JBB25" s="1266"/>
      <c r="JBC25" s="1266"/>
      <c r="JBD25" s="1266"/>
      <c r="JBE25" s="1266"/>
      <c r="JBF25" s="1266"/>
      <c r="JBG25" s="1266"/>
      <c r="JBH25" s="1266"/>
      <c r="JBI25" s="1266"/>
      <c r="JBJ25" s="1266"/>
      <c r="JBK25" s="1266"/>
      <c r="JBL25" s="1266"/>
      <c r="JBM25" s="1266"/>
      <c r="JBN25" s="1266"/>
      <c r="JBO25" s="1266"/>
      <c r="JBP25" s="1266"/>
      <c r="JBQ25" s="1266"/>
      <c r="JBR25" s="1266"/>
      <c r="JBS25" s="1266"/>
      <c r="JBT25" s="1266"/>
      <c r="JBU25" s="1266"/>
      <c r="JBV25" s="1266"/>
      <c r="JBW25" s="1266"/>
      <c r="JBX25" s="1266"/>
      <c r="JBY25" s="1266"/>
      <c r="JBZ25" s="1266"/>
      <c r="JCA25" s="1266"/>
      <c r="JCB25" s="1266"/>
      <c r="JCC25" s="1266"/>
      <c r="JCD25" s="1266"/>
      <c r="JCE25" s="1266"/>
      <c r="JCF25" s="1266"/>
      <c r="JCG25" s="1266"/>
      <c r="JCH25" s="1266"/>
      <c r="JCI25" s="1266"/>
      <c r="JCJ25" s="1266"/>
      <c r="JCK25" s="1266"/>
      <c r="JCL25" s="1266"/>
      <c r="JCM25" s="1266"/>
      <c r="JCN25" s="1266"/>
      <c r="JCO25" s="1266"/>
      <c r="JCP25" s="1266"/>
      <c r="JCQ25" s="1266"/>
      <c r="JCR25" s="1266"/>
      <c r="JCS25" s="1266"/>
      <c r="JCT25" s="1266"/>
      <c r="JCU25" s="1266"/>
      <c r="JCV25" s="1266"/>
      <c r="JCW25" s="1266"/>
      <c r="JCX25" s="1266"/>
      <c r="JCY25" s="1266"/>
      <c r="JCZ25" s="1266"/>
      <c r="JDA25" s="1266"/>
      <c r="JDB25" s="1266"/>
      <c r="JDC25" s="1266"/>
      <c r="JDD25" s="1266"/>
      <c r="JDE25" s="1266"/>
      <c r="JDF25" s="1266"/>
      <c r="JDG25" s="1266"/>
      <c r="JDH25" s="1266"/>
      <c r="JDI25" s="1266"/>
      <c r="JDJ25" s="1266"/>
      <c r="JDK25" s="1266"/>
      <c r="JDL25" s="1266"/>
      <c r="JDM25" s="1266"/>
      <c r="JDN25" s="1266"/>
      <c r="JDO25" s="1266"/>
      <c r="JDP25" s="1266"/>
      <c r="JDQ25" s="1266"/>
      <c r="JDR25" s="1266"/>
      <c r="JDS25" s="1266"/>
      <c r="JDT25" s="1266"/>
      <c r="JDU25" s="1266"/>
      <c r="JDV25" s="1266"/>
      <c r="JDW25" s="1266"/>
      <c r="JDX25" s="1266"/>
      <c r="JDY25" s="1266"/>
      <c r="JDZ25" s="1266"/>
      <c r="JEA25" s="1266"/>
      <c r="JEB25" s="1266"/>
      <c r="JEC25" s="1266"/>
      <c r="JED25" s="1266"/>
      <c r="JEE25" s="1266"/>
      <c r="JEF25" s="1266"/>
      <c r="JEG25" s="1266"/>
      <c r="JEH25" s="1266"/>
      <c r="JEI25" s="1266"/>
      <c r="JEJ25" s="1266"/>
      <c r="JEK25" s="1266"/>
      <c r="JEL25" s="1266"/>
      <c r="JEM25" s="1266"/>
      <c r="JEN25" s="1266"/>
      <c r="JEO25" s="1266"/>
      <c r="JEP25" s="1266"/>
      <c r="JEQ25" s="1266"/>
      <c r="JER25" s="1266"/>
      <c r="JES25" s="1266"/>
      <c r="JET25" s="1266"/>
      <c r="JEU25" s="1266"/>
      <c r="JEV25" s="1266"/>
      <c r="JEW25" s="1266"/>
      <c r="JEX25" s="1266"/>
      <c r="JEY25" s="1266"/>
      <c r="JEZ25" s="1266"/>
      <c r="JFA25" s="1266"/>
      <c r="JFB25" s="1266"/>
      <c r="JFC25" s="1266"/>
      <c r="JFD25" s="1266"/>
      <c r="JFE25" s="1266"/>
      <c r="JFF25" s="1266"/>
      <c r="JFG25" s="1266"/>
      <c r="JFH25" s="1266"/>
      <c r="JFI25" s="1266"/>
      <c r="JFJ25" s="1266"/>
      <c r="JFK25" s="1266"/>
      <c r="JFL25" s="1266"/>
      <c r="JFM25" s="1266"/>
      <c r="JFN25" s="1266"/>
      <c r="JFO25" s="1266"/>
      <c r="JFP25" s="1266"/>
      <c r="JFQ25" s="1266"/>
      <c r="JFR25" s="1266"/>
      <c r="JFS25" s="1266"/>
      <c r="JFT25" s="1266"/>
      <c r="JFU25" s="1266"/>
      <c r="JFV25" s="1266"/>
      <c r="JFW25" s="1266"/>
      <c r="JFX25" s="1266"/>
      <c r="JFY25" s="1266"/>
      <c r="JFZ25" s="1266"/>
      <c r="JGA25" s="1266"/>
      <c r="JGB25" s="1266"/>
      <c r="JGC25" s="1266"/>
      <c r="JGD25" s="1266"/>
      <c r="JGE25" s="1266"/>
      <c r="JGF25" s="1266"/>
      <c r="JGG25" s="1266"/>
      <c r="JGH25" s="1266"/>
      <c r="JGI25" s="1266"/>
      <c r="JGJ25" s="1266"/>
      <c r="JGK25" s="1266"/>
      <c r="JGL25" s="1266"/>
      <c r="JGM25" s="1266"/>
      <c r="JGN25" s="1266"/>
      <c r="JGO25" s="1266"/>
      <c r="JGP25" s="1266"/>
      <c r="JGQ25" s="1266"/>
      <c r="JGR25" s="1266"/>
      <c r="JGS25" s="1266"/>
      <c r="JGT25" s="1266"/>
      <c r="JGU25" s="1266"/>
      <c r="JGV25" s="1266"/>
      <c r="JGW25" s="1266"/>
      <c r="JGX25" s="1266"/>
      <c r="JGY25" s="1266"/>
      <c r="JGZ25" s="1266"/>
      <c r="JHA25" s="1266"/>
      <c r="JHB25" s="1266"/>
      <c r="JHC25" s="1266"/>
      <c r="JHD25" s="1266"/>
      <c r="JHE25" s="1266"/>
      <c r="JHF25" s="1266"/>
      <c r="JHG25" s="1266"/>
      <c r="JHH25" s="1266"/>
      <c r="JHI25" s="1266"/>
      <c r="JHJ25" s="1266"/>
      <c r="JHK25" s="1266"/>
      <c r="JHL25" s="1266"/>
      <c r="JHM25" s="1266"/>
      <c r="JHN25" s="1266"/>
      <c r="JHO25" s="1266"/>
      <c r="JHP25" s="1266"/>
      <c r="JHQ25" s="1266"/>
      <c r="JHR25" s="1266"/>
      <c r="JHS25" s="1266"/>
      <c r="JHT25" s="1266"/>
      <c r="JHU25" s="1266"/>
      <c r="JHV25" s="1266"/>
      <c r="JHW25" s="1266"/>
      <c r="JHX25" s="1266"/>
      <c r="JHY25" s="1266"/>
      <c r="JHZ25" s="1266"/>
      <c r="JIA25" s="1266"/>
      <c r="JIB25" s="1266"/>
      <c r="JIC25" s="1266"/>
      <c r="JID25" s="1266"/>
      <c r="JIE25" s="1266"/>
      <c r="JIF25" s="1266"/>
      <c r="JIG25" s="1266"/>
      <c r="JIH25" s="1266"/>
      <c r="JII25" s="1266"/>
      <c r="JIJ25" s="1266"/>
      <c r="JIK25" s="1266"/>
      <c r="JIL25" s="1266"/>
      <c r="JIM25" s="1266"/>
      <c r="JIN25" s="1266"/>
      <c r="JIO25" s="1266"/>
      <c r="JIP25" s="1266"/>
      <c r="JIQ25" s="1266"/>
      <c r="JIR25" s="1266"/>
      <c r="JIS25" s="1266"/>
      <c r="JIT25" s="1266"/>
      <c r="JIU25" s="1266"/>
      <c r="JIV25" s="1266"/>
      <c r="JIW25" s="1266"/>
      <c r="JIX25" s="1266"/>
      <c r="JIY25" s="1266"/>
      <c r="JIZ25" s="1266"/>
      <c r="JJA25" s="1266"/>
      <c r="JJB25" s="1266"/>
      <c r="JJC25" s="1266"/>
      <c r="JJD25" s="1266"/>
      <c r="JJE25" s="1266"/>
      <c r="JJF25" s="1266"/>
      <c r="JJG25" s="1266"/>
      <c r="JJH25" s="1266"/>
      <c r="JJI25" s="1266"/>
      <c r="JJJ25" s="1266"/>
      <c r="JJK25" s="1266"/>
      <c r="JJL25" s="1266"/>
      <c r="JJM25" s="1266"/>
      <c r="JJN25" s="1266"/>
      <c r="JJO25" s="1266"/>
      <c r="JJP25" s="1266"/>
      <c r="JJQ25" s="1266"/>
      <c r="JJR25" s="1266"/>
      <c r="JJS25" s="1266"/>
      <c r="JJT25" s="1266"/>
      <c r="JJU25" s="1266"/>
      <c r="JJV25" s="1266"/>
      <c r="JJW25" s="1266"/>
      <c r="JJX25" s="1266"/>
      <c r="JJY25" s="1266"/>
      <c r="JJZ25" s="1266"/>
      <c r="JKA25" s="1266"/>
      <c r="JKB25" s="1266"/>
      <c r="JKC25" s="1266"/>
      <c r="JKD25" s="1266"/>
      <c r="JKE25" s="1266"/>
      <c r="JKF25" s="1266"/>
      <c r="JKG25" s="1266"/>
      <c r="JKH25" s="1266"/>
      <c r="JKI25" s="1266"/>
      <c r="JKJ25" s="1266"/>
      <c r="JKK25" s="1266"/>
      <c r="JKL25" s="1266"/>
      <c r="JKM25" s="1266"/>
      <c r="JKN25" s="1266"/>
      <c r="JKO25" s="1266"/>
      <c r="JKP25" s="1266"/>
      <c r="JKQ25" s="1266"/>
      <c r="JKR25" s="1266"/>
      <c r="JKS25" s="1266"/>
      <c r="JKT25" s="1266"/>
      <c r="JKU25" s="1266"/>
      <c r="JKV25" s="1266"/>
      <c r="JKW25" s="1266"/>
      <c r="JKX25" s="1266"/>
      <c r="JKY25" s="1266"/>
      <c r="JKZ25" s="1266"/>
      <c r="JLA25" s="1266"/>
      <c r="JLB25" s="1266"/>
      <c r="JLC25" s="1266"/>
      <c r="JLD25" s="1266"/>
      <c r="JLE25" s="1266"/>
      <c r="JLF25" s="1266"/>
      <c r="JLG25" s="1266"/>
      <c r="JLH25" s="1266"/>
      <c r="JLI25" s="1266"/>
      <c r="JLJ25" s="1266"/>
      <c r="JLK25" s="1266"/>
      <c r="JLL25" s="1266"/>
      <c r="JLM25" s="1266"/>
      <c r="JLN25" s="1266"/>
      <c r="JLO25" s="1266"/>
      <c r="JLP25" s="1266"/>
      <c r="JLQ25" s="1266"/>
      <c r="JLR25" s="1266"/>
      <c r="JLS25" s="1266"/>
      <c r="JLT25" s="1266"/>
      <c r="JLU25" s="1266"/>
      <c r="JLV25" s="1266"/>
      <c r="JLW25" s="1266"/>
      <c r="JLX25" s="1266"/>
      <c r="JLY25" s="1266"/>
      <c r="JLZ25" s="1266"/>
      <c r="JMA25" s="1266"/>
      <c r="JMB25" s="1266"/>
      <c r="JMC25" s="1266"/>
      <c r="JMD25" s="1266"/>
      <c r="JME25" s="1266"/>
      <c r="JMF25" s="1266"/>
      <c r="JMG25" s="1266"/>
      <c r="JMH25" s="1266"/>
      <c r="JMI25" s="1266"/>
      <c r="JMJ25" s="1266"/>
      <c r="JMK25" s="1266"/>
      <c r="JML25" s="1266"/>
      <c r="JMM25" s="1266"/>
      <c r="JMN25" s="1266"/>
      <c r="JMO25" s="1266"/>
      <c r="JMP25" s="1266"/>
      <c r="JMQ25" s="1266"/>
      <c r="JMR25" s="1266"/>
      <c r="JMS25" s="1266"/>
      <c r="JMT25" s="1266"/>
      <c r="JMU25" s="1266"/>
      <c r="JMV25" s="1266"/>
      <c r="JMW25" s="1266"/>
      <c r="JMX25" s="1266"/>
      <c r="JMY25" s="1266"/>
      <c r="JMZ25" s="1266"/>
      <c r="JNA25" s="1266"/>
      <c r="JNB25" s="1266"/>
      <c r="JNC25" s="1266"/>
      <c r="JND25" s="1266"/>
      <c r="JNE25" s="1266"/>
      <c r="JNF25" s="1266"/>
      <c r="JNG25" s="1266"/>
      <c r="JNH25" s="1266"/>
      <c r="JNI25" s="1266"/>
      <c r="JNJ25" s="1266"/>
      <c r="JNK25" s="1266"/>
      <c r="JNL25" s="1266"/>
      <c r="JNM25" s="1266"/>
      <c r="JNN25" s="1266"/>
      <c r="JNO25" s="1266"/>
      <c r="JNP25" s="1266"/>
      <c r="JNQ25" s="1266"/>
      <c r="JNR25" s="1266"/>
      <c r="JNS25" s="1266"/>
      <c r="JNT25" s="1266"/>
      <c r="JNU25" s="1266"/>
      <c r="JNV25" s="1266"/>
      <c r="JNW25" s="1266"/>
      <c r="JNX25" s="1266"/>
      <c r="JNY25" s="1266"/>
      <c r="JNZ25" s="1266"/>
      <c r="JOA25" s="1266"/>
      <c r="JOB25" s="1266"/>
      <c r="JOC25" s="1266"/>
      <c r="JOD25" s="1266"/>
      <c r="JOE25" s="1266"/>
      <c r="JOF25" s="1266"/>
      <c r="JOG25" s="1266"/>
      <c r="JOH25" s="1266"/>
      <c r="JOI25" s="1266"/>
      <c r="JOJ25" s="1266"/>
      <c r="JOK25" s="1266"/>
      <c r="JOL25" s="1266"/>
      <c r="JOM25" s="1266"/>
      <c r="JON25" s="1266"/>
      <c r="JOO25" s="1266"/>
      <c r="JOP25" s="1266"/>
      <c r="JOQ25" s="1266"/>
      <c r="JOR25" s="1266"/>
      <c r="JOS25" s="1266"/>
      <c r="JOT25" s="1266"/>
      <c r="JOU25" s="1266"/>
      <c r="JOV25" s="1266"/>
      <c r="JOW25" s="1266"/>
      <c r="JOX25" s="1266"/>
      <c r="JOY25" s="1266"/>
      <c r="JOZ25" s="1266"/>
      <c r="JPA25" s="1266"/>
      <c r="JPB25" s="1266"/>
      <c r="JPC25" s="1266"/>
      <c r="JPD25" s="1266"/>
      <c r="JPE25" s="1266"/>
      <c r="JPF25" s="1266"/>
      <c r="JPG25" s="1266"/>
      <c r="JPH25" s="1266"/>
      <c r="JPI25" s="1266"/>
      <c r="JPJ25" s="1266"/>
      <c r="JPK25" s="1266"/>
      <c r="JPL25" s="1266"/>
      <c r="JPM25" s="1266"/>
      <c r="JPN25" s="1266"/>
      <c r="JPO25" s="1266"/>
      <c r="JPP25" s="1266"/>
      <c r="JPQ25" s="1266"/>
      <c r="JPR25" s="1266"/>
      <c r="JPS25" s="1266"/>
      <c r="JPT25" s="1266"/>
      <c r="JPU25" s="1266"/>
      <c r="JPV25" s="1266"/>
      <c r="JPW25" s="1266"/>
      <c r="JPX25" s="1266"/>
      <c r="JPY25" s="1266"/>
      <c r="JPZ25" s="1266"/>
      <c r="JQA25" s="1266"/>
      <c r="JQB25" s="1266"/>
      <c r="JQC25" s="1266"/>
      <c r="JQD25" s="1266"/>
      <c r="JQE25" s="1266"/>
      <c r="JQF25" s="1266"/>
      <c r="JQG25" s="1266"/>
      <c r="JQH25" s="1266"/>
      <c r="JQI25" s="1266"/>
      <c r="JQJ25" s="1266"/>
      <c r="JQK25" s="1266"/>
      <c r="JQL25" s="1266"/>
      <c r="JQM25" s="1266"/>
      <c r="JQN25" s="1266"/>
      <c r="JQO25" s="1266"/>
      <c r="JQP25" s="1266"/>
      <c r="JQQ25" s="1266"/>
      <c r="JQR25" s="1266"/>
      <c r="JQS25" s="1266"/>
      <c r="JQT25" s="1266"/>
      <c r="JQU25" s="1266"/>
      <c r="JQV25" s="1266"/>
      <c r="JQW25" s="1266"/>
      <c r="JQX25" s="1266"/>
      <c r="JQY25" s="1266"/>
      <c r="JQZ25" s="1266"/>
      <c r="JRA25" s="1266"/>
      <c r="JRB25" s="1266"/>
      <c r="JRC25" s="1266"/>
      <c r="JRD25" s="1266"/>
      <c r="JRE25" s="1266"/>
      <c r="JRF25" s="1266"/>
      <c r="JRG25" s="1266"/>
      <c r="JRH25" s="1266"/>
      <c r="JRI25" s="1266"/>
      <c r="JRJ25" s="1266"/>
      <c r="JRK25" s="1266"/>
      <c r="JRL25" s="1266"/>
      <c r="JRM25" s="1266"/>
      <c r="JRN25" s="1266"/>
      <c r="JRO25" s="1266"/>
      <c r="JRP25" s="1266"/>
      <c r="JRQ25" s="1266"/>
      <c r="JRR25" s="1266"/>
      <c r="JRS25" s="1266"/>
      <c r="JRT25" s="1266"/>
      <c r="JRU25" s="1266"/>
      <c r="JRV25" s="1266"/>
      <c r="JRW25" s="1266"/>
      <c r="JRX25" s="1266"/>
      <c r="JRY25" s="1266"/>
      <c r="JRZ25" s="1266"/>
      <c r="JSA25" s="1266"/>
      <c r="JSB25" s="1266"/>
      <c r="JSC25" s="1266"/>
      <c r="JSD25" s="1266"/>
      <c r="JSE25" s="1266"/>
      <c r="JSF25" s="1266"/>
      <c r="JSG25" s="1266"/>
      <c r="JSH25" s="1266"/>
      <c r="JSI25" s="1266"/>
      <c r="JSJ25" s="1266"/>
      <c r="JSK25" s="1266"/>
      <c r="JSL25" s="1266"/>
      <c r="JSM25" s="1266"/>
      <c r="JSN25" s="1266"/>
      <c r="JSO25" s="1266"/>
      <c r="JSP25" s="1266"/>
      <c r="JSQ25" s="1266"/>
      <c r="JSR25" s="1266"/>
      <c r="JSS25" s="1266"/>
      <c r="JST25" s="1266"/>
      <c r="JSU25" s="1266"/>
      <c r="JSV25" s="1266"/>
      <c r="JSW25" s="1266"/>
      <c r="JSX25" s="1266"/>
      <c r="JSY25" s="1266"/>
      <c r="JSZ25" s="1266"/>
      <c r="JTA25" s="1266"/>
      <c r="JTB25" s="1266"/>
      <c r="JTC25" s="1266"/>
      <c r="JTD25" s="1266"/>
      <c r="JTE25" s="1266"/>
      <c r="JTF25" s="1266"/>
      <c r="JTG25" s="1266"/>
      <c r="JTH25" s="1266"/>
      <c r="JTI25" s="1266"/>
      <c r="JTJ25" s="1266"/>
      <c r="JTK25" s="1266"/>
      <c r="JTL25" s="1266"/>
      <c r="JTM25" s="1266"/>
      <c r="JTN25" s="1266"/>
      <c r="JTO25" s="1266"/>
      <c r="JTP25" s="1266"/>
      <c r="JTQ25" s="1266"/>
      <c r="JTR25" s="1266"/>
      <c r="JTS25" s="1266"/>
      <c r="JTT25" s="1266"/>
      <c r="JTU25" s="1266"/>
      <c r="JTV25" s="1266"/>
      <c r="JTW25" s="1266"/>
      <c r="JTX25" s="1266"/>
      <c r="JTY25" s="1266"/>
      <c r="JTZ25" s="1266"/>
      <c r="JUA25" s="1266"/>
      <c r="JUB25" s="1266"/>
      <c r="JUC25" s="1266"/>
      <c r="JUD25" s="1266"/>
      <c r="JUE25" s="1266"/>
      <c r="JUF25" s="1266"/>
      <c r="JUG25" s="1266"/>
      <c r="JUH25" s="1266"/>
      <c r="JUI25" s="1266"/>
      <c r="JUJ25" s="1266"/>
      <c r="JUK25" s="1266"/>
      <c r="JUL25" s="1266"/>
      <c r="JUM25" s="1266"/>
      <c r="JUN25" s="1266"/>
      <c r="JUO25" s="1266"/>
      <c r="JUP25" s="1266"/>
      <c r="JUQ25" s="1266"/>
      <c r="JUR25" s="1266"/>
      <c r="JUS25" s="1266"/>
      <c r="JUT25" s="1266"/>
      <c r="JUU25" s="1266"/>
      <c r="JUV25" s="1266"/>
      <c r="JUW25" s="1266"/>
      <c r="JUX25" s="1266"/>
      <c r="JUY25" s="1266"/>
      <c r="JUZ25" s="1266"/>
      <c r="JVA25" s="1266"/>
      <c r="JVB25" s="1266"/>
      <c r="JVC25" s="1266"/>
      <c r="JVD25" s="1266"/>
      <c r="JVE25" s="1266"/>
      <c r="JVF25" s="1266"/>
      <c r="JVG25" s="1266"/>
      <c r="JVH25" s="1266"/>
      <c r="JVI25" s="1266"/>
      <c r="JVJ25" s="1266"/>
      <c r="JVK25" s="1266"/>
      <c r="JVL25" s="1266"/>
      <c r="JVM25" s="1266"/>
      <c r="JVN25" s="1266"/>
      <c r="JVO25" s="1266"/>
      <c r="JVP25" s="1266"/>
      <c r="JVQ25" s="1266"/>
      <c r="JVR25" s="1266"/>
      <c r="JVS25" s="1266"/>
      <c r="JVT25" s="1266"/>
      <c r="JVU25" s="1266"/>
      <c r="JVV25" s="1266"/>
      <c r="JVW25" s="1266"/>
      <c r="JVX25" s="1266"/>
      <c r="JVY25" s="1266"/>
      <c r="JVZ25" s="1266"/>
      <c r="JWA25" s="1266"/>
      <c r="JWB25" s="1266"/>
      <c r="JWC25" s="1266"/>
      <c r="JWD25" s="1266"/>
      <c r="JWE25" s="1266"/>
      <c r="JWF25" s="1266"/>
      <c r="JWG25" s="1266"/>
      <c r="JWH25" s="1266"/>
      <c r="JWI25" s="1266"/>
      <c r="JWJ25" s="1266"/>
      <c r="JWK25" s="1266"/>
      <c r="JWL25" s="1266"/>
      <c r="JWM25" s="1266"/>
      <c r="JWN25" s="1266"/>
      <c r="JWO25" s="1266"/>
      <c r="JWP25" s="1266"/>
      <c r="JWQ25" s="1266"/>
      <c r="JWR25" s="1266"/>
      <c r="JWS25" s="1266"/>
      <c r="JWT25" s="1266"/>
      <c r="JWU25" s="1266"/>
      <c r="JWV25" s="1266"/>
      <c r="JWW25" s="1266"/>
      <c r="JWX25" s="1266"/>
      <c r="JWY25" s="1266"/>
      <c r="JWZ25" s="1266"/>
      <c r="JXA25" s="1266"/>
      <c r="JXB25" s="1266"/>
      <c r="JXC25" s="1266"/>
      <c r="JXD25" s="1266"/>
      <c r="JXE25" s="1266"/>
      <c r="JXF25" s="1266"/>
      <c r="JXG25" s="1266"/>
      <c r="JXH25" s="1266"/>
      <c r="JXI25" s="1266"/>
      <c r="JXJ25" s="1266"/>
      <c r="JXK25" s="1266"/>
      <c r="JXL25" s="1266"/>
      <c r="JXM25" s="1266"/>
      <c r="JXN25" s="1266"/>
      <c r="JXO25" s="1266"/>
      <c r="JXP25" s="1266"/>
      <c r="JXQ25" s="1266"/>
      <c r="JXR25" s="1266"/>
      <c r="JXS25" s="1266"/>
      <c r="JXT25" s="1266"/>
      <c r="JXU25" s="1266"/>
      <c r="JXV25" s="1266"/>
      <c r="JXW25" s="1266"/>
      <c r="JXX25" s="1266"/>
      <c r="JXY25" s="1266"/>
      <c r="JXZ25" s="1266"/>
      <c r="JYA25" s="1266"/>
      <c r="JYB25" s="1266"/>
      <c r="JYC25" s="1266"/>
      <c r="JYD25" s="1266"/>
      <c r="JYE25" s="1266"/>
      <c r="JYF25" s="1266"/>
      <c r="JYG25" s="1266"/>
      <c r="JYH25" s="1266"/>
      <c r="JYI25" s="1266"/>
      <c r="JYJ25" s="1266"/>
      <c r="JYK25" s="1266"/>
      <c r="JYL25" s="1266"/>
      <c r="JYM25" s="1266"/>
      <c r="JYN25" s="1266"/>
      <c r="JYO25" s="1266"/>
      <c r="JYP25" s="1266"/>
      <c r="JYQ25" s="1266"/>
      <c r="JYR25" s="1266"/>
      <c r="JYS25" s="1266"/>
      <c r="JYT25" s="1266"/>
      <c r="JYU25" s="1266"/>
      <c r="JYV25" s="1266"/>
      <c r="JYW25" s="1266"/>
      <c r="JYX25" s="1266"/>
      <c r="JYY25" s="1266"/>
      <c r="JYZ25" s="1266"/>
      <c r="JZA25" s="1266"/>
      <c r="JZB25" s="1266"/>
      <c r="JZC25" s="1266"/>
      <c r="JZD25" s="1266"/>
      <c r="JZE25" s="1266"/>
      <c r="JZF25" s="1266"/>
      <c r="JZG25" s="1266"/>
      <c r="JZH25" s="1266"/>
      <c r="JZI25" s="1266"/>
      <c r="JZJ25" s="1266"/>
      <c r="JZK25" s="1266"/>
      <c r="JZL25" s="1266"/>
      <c r="JZM25" s="1266"/>
      <c r="JZN25" s="1266"/>
      <c r="JZO25" s="1266"/>
      <c r="JZP25" s="1266"/>
      <c r="JZQ25" s="1266"/>
      <c r="JZR25" s="1266"/>
      <c r="JZS25" s="1266"/>
      <c r="JZT25" s="1266"/>
      <c r="JZU25" s="1266"/>
      <c r="JZV25" s="1266"/>
      <c r="JZW25" s="1266"/>
      <c r="JZX25" s="1266"/>
      <c r="JZY25" s="1266"/>
      <c r="JZZ25" s="1266"/>
      <c r="KAA25" s="1266"/>
      <c r="KAB25" s="1266"/>
      <c r="KAC25" s="1266"/>
      <c r="KAD25" s="1266"/>
      <c r="KAE25" s="1266"/>
      <c r="KAF25" s="1266"/>
      <c r="KAG25" s="1266"/>
      <c r="KAH25" s="1266"/>
      <c r="KAI25" s="1266"/>
      <c r="KAJ25" s="1266"/>
      <c r="KAK25" s="1266"/>
      <c r="KAL25" s="1266"/>
      <c r="KAM25" s="1266"/>
      <c r="KAN25" s="1266"/>
      <c r="KAO25" s="1266"/>
      <c r="KAP25" s="1266"/>
      <c r="KAQ25" s="1266"/>
      <c r="KAR25" s="1266"/>
      <c r="KAS25" s="1266"/>
      <c r="KAT25" s="1266"/>
      <c r="KAU25" s="1266"/>
      <c r="KAV25" s="1266"/>
      <c r="KAW25" s="1266"/>
      <c r="KAX25" s="1266"/>
      <c r="KAY25" s="1266"/>
      <c r="KAZ25" s="1266"/>
      <c r="KBA25" s="1266"/>
      <c r="KBB25" s="1266"/>
      <c r="KBC25" s="1266"/>
      <c r="KBD25" s="1266"/>
      <c r="KBE25" s="1266"/>
      <c r="KBF25" s="1266"/>
      <c r="KBG25" s="1266"/>
      <c r="KBH25" s="1266"/>
      <c r="KBI25" s="1266"/>
      <c r="KBJ25" s="1266"/>
      <c r="KBK25" s="1266"/>
      <c r="KBL25" s="1266"/>
      <c r="KBM25" s="1266"/>
      <c r="KBN25" s="1266"/>
      <c r="KBO25" s="1266"/>
      <c r="KBP25" s="1266"/>
      <c r="KBQ25" s="1266"/>
      <c r="KBR25" s="1266"/>
      <c r="KBS25" s="1266"/>
      <c r="KBT25" s="1266"/>
      <c r="KBU25" s="1266"/>
      <c r="KBV25" s="1266"/>
      <c r="KBW25" s="1266"/>
      <c r="KBX25" s="1266"/>
      <c r="KBY25" s="1266"/>
      <c r="KBZ25" s="1266"/>
      <c r="KCA25" s="1266"/>
      <c r="KCB25" s="1266"/>
      <c r="KCC25" s="1266"/>
      <c r="KCD25" s="1266"/>
      <c r="KCE25" s="1266"/>
      <c r="KCF25" s="1266"/>
      <c r="KCG25" s="1266"/>
      <c r="KCH25" s="1266"/>
      <c r="KCI25" s="1266"/>
      <c r="KCJ25" s="1266"/>
      <c r="KCK25" s="1266"/>
      <c r="KCL25" s="1266"/>
      <c r="KCM25" s="1266"/>
      <c r="KCN25" s="1266"/>
      <c r="KCO25" s="1266"/>
      <c r="KCP25" s="1266"/>
      <c r="KCQ25" s="1266"/>
      <c r="KCR25" s="1266"/>
      <c r="KCS25" s="1266"/>
      <c r="KCT25" s="1266"/>
      <c r="KCU25" s="1266"/>
      <c r="KCV25" s="1266"/>
      <c r="KCW25" s="1266"/>
      <c r="KCX25" s="1266"/>
      <c r="KCY25" s="1266"/>
      <c r="KCZ25" s="1266"/>
      <c r="KDA25" s="1266"/>
      <c r="KDB25" s="1266"/>
      <c r="KDC25" s="1266"/>
      <c r="KDD25" s="1266"/>
      <c r="KDE25" s="1266"/>
      <c r="KDF25" s="1266"/>
      <c r="KDG25" s="1266"/>
      <c r="KDH25" s="1266"/>
      <c r="KDI25" s="1266"/>
      <c r="KDJ25" s="1266"/>
      <c r="KDK25" s="1266"/>
      <c r="KDL25" s="1266"/>
      <c r="KDM25" s="1266"/>
      <c r="KDN25" s="1266"/>
      <c r="KDO25" s="1266"/>
      <c r="KDP25" s="1266"/>
      <c r="KDQ25" s="1266"/>
      <c r="KDR25" s="1266"/>
      <c r="KDS25" s="1266"/>
      <c r="KDT25" s="1266"/>
      <c r="KDU25" s="1266"/>
      <c r="KDV25" s="1266"/>
      <c r="KDW25" s="1266"/>
      <c r="KDX25" s="1266"/>
      <c r="KDY25" s="1266"/>
      <c r="KDZ25" s="1266"/>
      <c r="KEA25" s="1266"/>
      <c r="KEB25" s="1266"/>
      <c r="KEC25" s="1266"/>
      <c r="KED25" s="1266"/>
      <c r="KEE25" s="1266"/>
      <c r="KEF25" s="1266"/>
      <c r="KEG25" s="1266"/>
      <c r="KEH25" s="1266"/>
      <c r="KEI25" s="1266"/>
      <c r="KEJ25" s="1266"/>
      <c r="KEK25" s="1266"/>
      <c r="KEL25" s="1266"/>
      <c r="KEM25" s="1266"/>
      <c r="KEN25" s="1266"/>
      <c r="KEO25" s="1266"/>
      <c r="KEP25" s="1266"/>
      <c r="KEQ25" s="1266"/>
      <c r="KER25" s="1266"/>
      <c r="KES25" s="1266"/>
      <c r="KET25" s="1266"/>
      <c r="KEU25" s="1266"/>
      <c r="KEV25" s="1266"/>
      <c r="KEW25" s="1266"/>
      <c r="KEX25" s="1266"/>
      <c r="KEY25" s="1266"/>
      <c r="KEZ25" s="1266"/>
      <c r="KFA25" s="1266"/>
      <c r="KFB25" s="1266"/>
      <c r="KFC25" s="1266"/>
      <c r="KFD25" s="1266"/>
      <c r="KFE25" s="1266"/>
      <c r="KFF25" s="1266"/>
      <c r="KFG25" s="1266"/>
      <c r="KFH25" s="1266"/>
      <c r="KFI25" s="1266"/>
      <c r="KFJ25" s="1266"/>
      <c r="KFK25" s="1266"/>
      <c r="KFL25" s="1266"/>
      <c r="KFM25" s="1266"/>
      <c r="KFN25" s="1266"/>
      <c r="KFO25" s="1266"/>
      <c r="KFP25" s="1266"/>
      <c r="KFQ25" s="1266"/>
      <c r="KFR25" s="1266"/>
      <c r="KFS25" s="1266"/>
      <c r="KFT25" s="1266"/>
      <c r="KFU25" s="1266"/>
      <c r="KFV25" s="1266"/>
      <c r="KFW25" s="1266"/>
      <c r="KFX25" s="1266"/>
      <c r="KFY25" s="1266"/>
      <c r="KFZ25" s="1266"/>
      <c r="KGA25" s="1266"/>
      <c r="KGB25" s="1266"/>
      <c r="KGC25" s="1266"/>
      <c r="KGD25" s="1266"/>
      <c r="KGE25" s="1266"/>
      <c r="KGF25" s="1266"/>
      <c r="KGG25" s="1266"/>
      <c r="KGH25" s="1266"/>
      <c r="KGI25" s="1266"/>
      <c r="KGJ25" s="1266"/>
      <c r="KGK25" s="1266"/>
      <c r="KGL25" s="1266"/>
      <c r="KGM25" s="1266"/>
      <c r="KGN25" s="1266"/>
      <c r="KGO25" s="1266"/>
      <c r="KGP25" s="1266"/>
      <c r="KGQ25" s="1266"/>
      <c r="KGR25" s="1266"/>
      <c r="KGS25" s="1266"/>
      <c r="KGT25" s="1266"/>
      <c r="KGU25" s="1266"/>
      <c r="KGV25" s="1266"/>
      <c r="KGW25" s="1266"/>
      <c r="KGX25" s="1266"/>
      <c r="KGY25" s="1266"/>
      <c r="KGZ25" s="1266"/>
      <c r="KHA25" s="1266"/>
      <c r="KHB25" s="1266"/>
      <c r="KHC25" s="1266"/>
      <c r="KHD25" s="1266"/>
      <c r="KHE25" s="1266"/>
      <c r="KHF25" s="1266"/>
      <c r="KHG25" s="1266"/>
      <c r="KHH25" s="1266"/>
      <c r="KHI25" s="1266"/>
      <c r="KHJ25" s="1266"/>
      <c r="KHK25" s="1266"/>
      <c r="KHL25" s="1266"/>
      <c r="KHM25" s="1266"/>
      <c r="KHN25" s="1266"/>
      <c r="KHO25" s="1266"/>
      <c r="KHP25" s="1266"/>
      <c r="KHQ25" s="1266"/>
      <c r="KHR25" s="1266"/>
      <c r="KHS25" s="1266"/>
      <c r="KHT25" s="1266"/>
      <c r="KHU25" s="1266"/>
      <c r="KHV25" s="1266"/>
      <c r="KHW25" s="1266"/>
      <c r="KHX25" s="1266"/>
      <c r="KHY25" s="1266"/>
      <c r="KHZ25" s="1266"/>
      <c r="KIA25" s="1266"/>
      <c r="KIB25" s="1266"/>
      <c r="KIC25" s="1266"/>
      <c r="KID25" s="1266"/>
      <c r="KIE25" s="1266"/>
      <c r="KIF25" s="1266"/>
      <c r="KIG25" s="1266"/>
      <c r="KIH25" s="1266"/>
      <c r="KII25" s="1266"/>
      <c r="KIJ25" s="1266"/>
      <c r="KIK25" s="1266"/>
      <c r="KIL25" s="1266"/>
      <c r="KIM25" s="1266"/>
      <c r="KIN25" s="1266"/>
      <c r="KIO25" s="1266"/>
      <c r="KIP25" s="1266"/>
      <c r="KIQ25" s="1266"/>
      <c r="KIR25" s="1266"/>
      <c r="KIS25" s="1266"/>
      <c r="KIT25" s="1266"/>
      <c r="KIU25" s="1266"/>
      <c r="KIV25" s="1266"/>
      <c r="KIW25" s="1266"/>
      <c r="KIX25" s="1266"/>
      <c r="KIY25" s="1266"/>
      <c r="KIZ25" s="1266"/>
      <c r="KJA25" s="1266"/>
      <c r="KJB25" s="1266"/>
      <c r="KJC25" s="1266"/>
      <c r="KJD25" s="1266"/>
      <c r="KJE25" s="1266"/>
      <c r="KJF25" s="1266"/>
      <c r="KJG25" s="1266"/>
      <c r="KJH25" s="1266"/>
      <c r="KJI25" s="1266"/>
      <c r="KJJ25" s="1266"/>
      <c r="KJK25" s="1266"/>
      <c r="KJL25" s="1266"/>
      <c r="KJM25" s="1266"/>
      <c r="KJN25" s="1266"/>
      <c r="KJO25" s="1266"/>
      <c r="KJP25" s="1266"/>
      <c r="KJQ25" s="1266"/>
      <c r="KJR25" s="1266"/>
      <c r="KJS25" s="1266"/>
      <c r="KJT25" s="1266"/>
      <c r="KJU25" s="1266"/>
      <c r="KJV25" s="1266"/>
      <c r="KJW25" s="1266"/>
      <c r="KJX25" s="1266"/>
      <c r="KJY25" s="1266"/>
      <c r="KJZ25" s="1266"/>
      <c r="KKA25" s="1266"/>
      <c r="KKB25" s="1266"/>
      <c r="KKC25" s="1266"/>
      <c r="KKD25" s="1266"/>
      <c r="KKE25" s="1266"/>
      <c r="KKF25" s="1266"/>
      <c r="KKG25" s="1266"/>
      <c r="KKH25" s="1266"/>
      <c r="KKI25" s="1266"/>
      <c r="KKJ25" s="1266"/>
      <c r="KKK25" s="1266"/>
      <c r="KKL25" s="1266"/>
      <c r="KKM25" s="1266"/>
      <c r="KKN25" s="1266"/>
      <c r="KKO25" s="1266"/>
      <c r="KKP25" s="1266"/>
      <c r="KKQ25" s="1266"/>
      <c r="KKR25" s="1266"/>
      <c r="KKS25" s="1266"/>
      <c r="KKT25" s="1266"/>
      <c r="KKU25" s="1266"/>
      <c r="KKV25" s="1266"/>
      <c r="KKW25" s="1266"/>
      <c r="KKX25" s="1266"/>
      <c r="KKY25" s="1266"/>
      <c r="KKZ25" s="1266"/>
      <c r="KLA25" s="1266"/>
      <c r="KLB25" s="1266"/>
      <c r="KLC25" s="1266"/>
      <c r="KLD25" s="1266"/>
      <c r="KLE25" s="1266"/>
      <c r="KLF25" s="1266"/>
      <c r="KLG25" s="1266"/>
      <c r="KLH25" s="1266"/>
      <c r="KLI25" s="1266"/>
      <c r="KLJ25" s="1266"/>
      <c r="KLK25" s="1266"/>
      <c r="KLL25" s="1266"/>
      <c r="KLM25" s="1266"/>
      <c r="KLN25" s="1266"/>
      <c r="KLO25" s="1266"/>
      <c r="KLP25" s="1266"/>
      <c r="KLQ25" s="1266"/>
      <c r="KLR25" s="1266"/>
      <c r="KLS25" s="1266"/>
      <c r="KLT25" s="1266"/>
      <c r="KLU25" s="1266"/>
      <c r="KLV25" s="1266"/>
      <c r="KLW25" s="1266"/>
      <c r="KLX25" s="1266"/>
      <c r="KLY25" s="1266"/>
      <c r="KLZ25" s="1266"/>
      <c r="KMA25" s="1266"/>
      <c r="KMB25" s="1266"/>
      <c r="KMC25" s="1266"/>
      <c r="KMD25" s="1266"/>
      <c r="KME25" s="1266"/>
      <c r="KMF25" s="1266"/>
      <c r="KMG25" s="1266"/>
      <c r="KMH25" s="1266"/>
      <c r="KMI25" s="1266"/>
      <c r="KMJ25" s="1266"/>
      <c r="KMK25" s="1266"/>
      <c r="KML25" s="1266"/>
      <c r="KMM25" s="1266"/>
      <c r="KMN25" s="1266"/>
      <c r="KMO25" s="1266"/>
      <c r="KMP25" s="1266"/>
      <c r="KMQ25" s="1266"/>
      <c r="KMR25" s="1266"/>
      <c r="KMS25" s="1266"/>
      <c r="KMT25" s="1266"/>
      <c r="KMU25" s="1266"/>
      <c r="KMV25" s="1266"/>
      <c r="KMW25" s="1266"/>
      <c r="KMX25" s="1266"/>
      <c r="KMY25" s="1266"/>
      <c r="KMZ25" s="1266"/>
      <c r="KNA25" s="1266"/>
      <c r="KNB25" s="1266"/>
      <c r="KNC25" s="1266"/>
      <c r="KND25" s="1266"/>
      <c r="KNE25" s="1266"/>
      <c r="KNF25" s="1266"/>
      <c r="KNG25" s="1266"/>
      <c r="KNH25" s="1266"/>
      <c r="KNI25" s="1266"/>
      <c r="KNJ25" s="1266"/>
      <c r="KNK25" s="1266"/>
      <c r="KNL25" s="1266"/>
      <c r="KNM25" s="1266"/>
      <c r="KNN25" s="1266"/>
      <c r="KNO25" s="1266"/>
      <c r="KNP25" s="1266"/>
      <c r="KNQ25" s="1266"/>
      <c r="KNR25" s="1266"/>
      <c r="KNS25" s="1266"/>
      <c r="KNT25" s="1266"/>
      <c r="KNU25" s="1266"/>
      <c r="KNV25" s="1266"/>
      <c r="KNW25" s="1266"/>
      <c r="KNX25" s="1266"/>
      <c r="KNY25" s="1266"/>
      <c r="KNZ25" s="1266"/>
      <c r="KOA25" s="1266"/>
      <c r="KOB25" s="1266"/>
      <c r="KOC25" s="1266"/>
      <c r="KOD25" s="1266"/>
      <c r="KOE25" s="1266"/>
      <c r="KOF25" s="1266"/>
      <c r="KOG25" s="1266"/>
      <c r="KOH25" s="1266"/>
      <c r="KOI25" s="1266"/>
      <c r="KOJ25" s="1266"/>
      <c r="KOK25" s="1266"/>
      <c r="KOL25" s="1266"/>
      <c r="KOM25" s="1266"/>
      <c r="KON25" s="1266"/>
      <c r="KOO25" s="1266"/>
      <c r="KOP25" s="1266"/>
      <c r="KOQ25" s="1266"/>
      <c r="KOR25" s="1266"/>
      <c r="KOS25" s="1266"/>
      <c r="KOT25" s="1266"/>
      <c r="KOU25" s="1266"/>
      <c r="KOV25" s="1266"/>
      <c r="KOW25" s="1266"/>
      <c r="KOX25" s="1266"/>
      <c r="KOY25" s="1266"/>
      <c r="KOZ25" s="1266"/>
      <c r="KPA25" s="1266"/>
      <c r="KPB25" s="1266"/>
      <c r="KPC25" s="1266"/>
      <c r="KPD25" s="1266"/>
      <c r="KPE25" s="1266"/>
      <c r="KPF25" s="1266"/>
      <c r="KPG25" s="1266"/>
      <c r="KPH25" s="1266"/>
      <c r="KPI25" s="1266"/>
      <c r="KPJ25" s="1266"/>
      <c r="KPK25" s="1266"/>
      <c r="KPL25" s="1266"/>
      <c r="KPM25" s="1266"/>
      <c r="KPN25" s="1266"/>
      <c r="KPO25" s="1266"/>
      <c r="KPP25" s="1266"/>
      <c r="KPQ25" s="1266"/>
      <c r="KPR25" s="1266"/>
      <c r="KPS25" s="1266"/>
      <c r="KPT25" s="1266"/>
      <c r="KPU25" s="1266"/>
      <c r="KPV25" s="1266"/>
      <c r="KPW25" s="1266"/>
      <c r="KPX25" s="1266"/>
      <c r="KPY25" s="1266"/>
      <c r="KPZ25" s="1266"/>
      <c r="KQA25" s="1266"/>
      <c r="KQB25" s="1266"/>
      <c r="KQC25" s="1266"/>
      <c r="KQD25" s="1266"/>
      <c r="KQE25" s="1266"/>
      <c r="KQF25" s="1266"/>
      <c r="KQG25" s="1266"/>
      <c r="KQH25" s="1266"/>
      <c r="KQI25" s="1266"/>
      <c r="KQJ25" s="1266"/>
      <c r="KQK25" s="1266"/>
      <c r="KQL25" s="1266"/>
      <c r="KQM25" s="1266"/>
      <c r="KQN25" s="1266"/>
      <c r="KQO25" s="1266"/>
      <c r="KQP25" s="1266"/>
      <c r="KQQ25" s="1266"/>
      <c r="KQR25" s="1266"/>
      <c r="KQS25" s="1266"/>
      <c r="KQT25" s="1266"/>
      <c r="KQU25" s="1266"/>
      <c r="KQV25" s="1266"/>
      <c r="KQW25" s="1266"/>
      <c r="KQX25" s="1266"/>
      <c r="KQY25" s="1266"/>
      <c r="KQZ25" s="1266"/>
      <c r="KRA25" s="1266"/>
      <c r="KRB25" s="1266"/>
      <c r="KRC25" s="1266"/>
      <c r="KRD25" s="1266"/>
      <c r="KRE25" s="1266"/>
      <c r="KRF25" s="1266"/>
      <c r="KRG25" s="1266"/>
      <c r="KRH25" s="1266"/>
      <c r="KRI25" s="1266"/>
      <c r="KRJ25" s="1266"/>
      <c r="KRK25" s="1266"/>
      <c r="KRL25" s="1266"/>
      <c r="KRM25" s="1266"/>
      <c r="KRN25" s="1266"/>
      <c r="KRO25" s="1266"/>
      <c r="KRP25" s="1266"/>
      <c r="KRQ25" s="1266"/>
      <c r="KRR25" s="1266"/>
      <c r="KRS25" s="1266"/>
      <c r="KRT25" s="1266"/>
      <c r="KRU25" s="1266"/>
      <c r="KRV25" s="1266"/>
      <c r="KRW25" s="1266"/>
      <c r="KRX25" s="1266"/>
      <c r="KRY25" s="1266"/>
      <c r="KRZ25" s="1266"/>
      <c r="KSA25" s="1266"/>
      <c r="KSB25" s="1266"/>
      <c r="KSC25" s="1266"/>
      <c r="KSD25" s="1266"/>
      <c r="KSE25" s="1266"/>
      <c r="KSF25" s="1266"/>
      <c r="KSG25" s="1266"/>
      <c r="KSH25" s="1266"/>
      <c r="KSI25" s="1266"/>
      <c r="KSJ25" s="1266"/>
      <c r="KSK25" s="1266"/>
      <c r="KSL25" s="1266"/>
      <c r="KSM25" s="1266"/>
      <c r="KSN25" s="1266"/>
      <c r="KSO25" s="1266"/>
      <c r="KSP25" s="1266"/>
      <c r="KSQ25" s="1266"/>
      <c r="KSR25" s="1266"/>
      <c r="KSS25" s="1266"/>
      <c r="KST25" s="1266"/>
      <c r="KSU25" s="1266"/>
      <c r="KSV25" s="1266"/>
      <c r="KSW25" s="1266"/>
      <c r="KSX25" s="1266"/>
      <c r="KSY25" s="1266"/>
      <c r="KSZ25" s="1266"/>
      <c r="KTA25" s="1266"/>
      <c r="KTB25" s="1266"/>
      <c r="KTC25" s="1266"/>
      <c r="KTD25" s="1266"/>
      <c r="KTE25" s="1266"/>
      <c r="KTF25" s="1266"/>
      <c r="KTG25" s="1266"/>
      <c r="KTH25" s="1266"/>
      <c r="KTI25" s="1266"/>
      <c r="KTJ25" s="1266"/>
      <c r="KTK25" s="1266"/>
      <c r="KTL25" s="1266"/>
      <c r="KTM25" s="1266"/>
      <c r="KTN25" s="1266"/>
      <c r="KTO25" s="1266"/>
      <c r="KTP25" s="1266"/>
      <c r="KTQ25" s="1266"/>
      <c r="KTR25" s="1266"/>
      <c r="KTS25" s="1266"/>
      <c r="KTT25" s="1266"/>
      <c r="KTU25" s="1266"/>
      <c r="KTV25" s="1266"/>
      <c r="KTW25" s="1266"/>
      <c r="KTX25" s="1266"/>
      <c r="KTY25" s="1266"/>
      <c r="KTZ25" s="1266"/>
      <c r="KUA25" s="1266"/>
      <c r="KUB25" s="1266"/>
      <c r="KUC25" s="1266"/>
      <c r="KUD25" s="1266"/>
      <c r="KUE25" s="1266"/>
      <c r="KUF25" s="1266"/>
      <c r="KUG25" s="1266"/>
      <c r="KUH25" s="1266"/>
      <c r="KUI25" s="1266"/>
      <c r="KUJ25" s="1266"/>
      <c r="KUK25" s="1266"/>
      <c r="KUL25" s="1266"/>
      <c r="KUM25" s="1266"/>
      <c r="KUN25" s="1266"/>
      <c r="KUO25" s="1266"/>
      <c r="KUP25" s="1266"/>
      <c r="KUQ25" s="1266"/>
      <c r="KUR25" s="1266"/>
      <c r="KUS25" s="1266"/>
      <c r="KUT25" s="1266"/>
      <c r="KUU25" s="1266"/>
      <c r="KUV25" s="1266"/>
      <c r="KUW25" s="1266"/>
      <c r="KUX25" s="1266"/>
      <c r="KUY25" s="1266"/>
      <c r="KUZ25" s="1266"/>
      <c r="KVA25" s="1266"/>
      <c r="KVB25" s="1266"/>
      <c r="KVC25" s="1266"/>
      <c r="KVD25" s="1266"/>
      <c r="KVE25" s="1266"/>
      <c r="KVF25" s="1266"/>
      <c r="KVG25" s="1266"/>
      <c r="KVH25" s="1266"/>
      <c r="KVI25" s="1266"/>
      <c r="KVJ25" s="1266"/>
      <c r="KVK25" s="1266"/>
      <c r="KVL25" s="1266"/>
      <c r="KVM25" s="1266"/>
      <c r="KVN25" s="1266"/>
      <c r="KVO25" s="1266"/>
      <c r="KVP25" s="1266"/>
      <c r="KVQ25" s="1266"/>
      <c r="KVR25" s="1266"/>
      <c r="KVS25" s="1266"/>
      <c r="KVT25" s="1266"/>
      <c r="KVU25" s="1266"/>
      <c r="KVV25" s="1266"/>
      <c r="KVW25" s="1266"/>
      <c r="KVX25" s="1266"/>
      <c r="KVY25" s="1266"/>
      <c r="KVZ25" s="1266"/>
      <c r="KWA25" s="1266"/>
      <c r="KWB25" s="1266"/>
      <c r="KWC25" s="1266"/>
      <c r="KWD25" s="1266"/>
      <c r="KWE25" s="1266"/>
      <c r="KWF25" s="1266"/>
      <c r="KWG25" s="1266"/>
      <c r="KWH25" s="1266"/>
      <c r="KWI25" s="1266"/>
      <c r="KWJ25" s="1266"/>
      <c r="KWK25" s="1266"/>
      <c r="KWL25" s="1266"/>
      <c r="KWM25" s="1266"/>
      <c r="KWN25" s="1266"/>
      <c r="KWO25" s="1266"/>
      <c r="KWP25" s="1266"/>
      <c r="KWQ25" s="1266"/>
      <c r="KWR25" s="1266"/>
      <c r="KWS25" s="1266"/>
      <c r="KWT25" s="1266"/>
      <c r="KWU25" s="1266"/>
      <c r="KWV25" s="1266"/>
      <c r="KWW25" s="1266"/>
      <c r="KWX25" s="1266"/>
      <c r="KWY25" s="1266"/>
      <c r="KWZ25" s="1266"/>
      <c r="KXA25" s="1266"/>
      <c r="KXB25" s="1266"/>
      <c r="KXC25" s="1266"/>
      <c r="KXD25" s="1266"/>
      <c r="KXE25" s="1266"/>
      <c r="KXF25" s="1266"/>
      <c r="KXG25" s="1266"/>
      <c r="KXH25" s="1266"/>
      <c r="KXI25" s="1266"/>
      <c r="KXJ25" s="1266"/>
      <c r="KXK25" s="1266"/>
      <c r="KXL25" s="1266"/>
      <c r="KXM25" s="1266"/>
      <c r="KXN25" s="1266"/>
      <c r="KXO25" s="1266"/>
      <c r="KXP25" s="1266"/>
      <c r="KXQ25" s="1266"/>
      <c r="KXR25" s="1266"/>
      <c r="KXS25" s="1266"/>
      <c r="KXT25" s="1266"/>
      <c r="KXU25" s="1266"/>
      <c r="KXV25" s="1266"/>
      <c r="KXW25" s="1266"/>
      <c r="KXX25" s="1266"/>
      <c r="KXY25" s="1266"/>
      <c r="KXZ25" s="1266"/>
      <c r="KYA25" s="1266"/>
      <c r="KYB25" s="1266"/>
      <c r="KYC25" s="1266"/>
      <c r="KYD25" s="1266"/>
      <c r="KYE25" s="1266"/>
      <c r="KYF25" s="1266"/>
      <c r="KYG25" s="1266"/>
      <c r="KYH25" s="1266"/>
      <c r="KYI25" s="1266"/>
      <c r="KYJ25" s="1266"/>
      <c r="KYK25" s="1266"/>
      <c r="KYL25" s="1266"/>
      <c r="KYM25" s="1266"/>
      <c r="KYN25" s="1266"/>
      <c r="KYO25" s="1266"/>
      <c r="KYP25" s="1266"/>
      <c r="KYQ25" s="1266"/>
      <c r="KYR25" s="1266"/>
      <c r="KYS25" s="1266"/>
      <c r="KYT25" s="1266"/>
      <c r="KYU25" s="1266"/>
      <c r="KYV25" s="1266"/>
      <c r="KYW25" s="1266"/>
      <c r="KYX25" s="1266"/>
      <c r="KYY25" s="1266"/>
      <c r="KYZ25" s="1266"/>
      <c r="KZA25" s="1266"/>
      <c r="KZB25" s="1266"/>
      <c r="KZC25" s="1266"/>
      <c r="KZD25" s="1266"/>
      <c r="KZE25" s="1266"/>
      <c r="KZF25" s="1266"/>
      <c r="KZG25" s="1266"/>
      <c r="KZH25" s="1266"/>
      <c r="KZI25" s="1266"/>
      <c r="KZJ25" s="1266"/>
      <c r="KZK25" s="1266"/>
      <c r="KZL25" s="1266"/>
      <c r="KZM25" s="1266"/>
      <c r="KZN25" s="1266"/>
      <c r="KZO25" s="1266"/>
      <c r="KZP25" s="1266"/>
      <c r="KZQ25" s="1266"/>
      <c r="KZR25" s="1266"/>
      <c r="KZS25" s="1266"/>
      <c r="KZT25" s="1266"/>
      <c r="KZU25" s="1266"/>
      <c r="KZV25" s="1266"/>
      <c r="KZW25" s="1266"/>
      <c r="KZX25" s="1266"/>
      <c r="KZY25" s="1266"/>
      <c r="KZZ25" s="1266"/>
      <c r="LAA25" s="1266"/>
      <c r="LAB25" s="1266"/>
      <c r="LAC25" s="1266"/>
      <c r="LAD25" s="1266"/>
      <c r="LAE25" s="1266"/>
      <c r="LAF25" s="1266"/>
      <c r="LAG25" s="1266"/>
      <c r="LAH25" s="1266"/>
      <c r="LAI25" s="1266"/>
      <c r="LAJ25" s="1266"/>
      <c r="LAK25" s="1266"/>
      <c r="LAL25" s="1266"/>
      <c r="LAM25" s="1266"/>
      <c r="LAN25" s="1266"/>
      <c r="LAO25" s="1266"/>
      <c r="LAP25" s="1266"/>
      <c r="LAQ25" s="1266"/>
      <c r="LAR25" s="1266"/>
      <c r="LAS25" s="1266"/>
      <c r="LAT25" s="1266"/>
      <c r="LAU25" s="1266"/>
      <c r="LAV25" s="1266"/>
      <c r="LAW25" s="1266"/>
      <c r="LAX25" s="1266"/>
      <c r="LAY25" s="1266"/>
      <c r="LAZ25" s="1266"/>
      <c r="LBA25" s="1266"/>
      <c r="LBB25" s="1266"/>
      <c r="LBC25" s="1266"/>
      <c r="LBD25" s="1266"/>
      <c r="LBE25" s="1266"/>
      <c r="LBF25" s="1266"/>
      <c r="LBG25" s="1266"/>
      <c r="LBH25" s="1266"/>
      <c r="LBI25" s="1266"/>
      <c r="LBJ25" s="1266"/>
      <c r="LBK25" s="1266"/>
      <c r="LBL25" s="1266"/>
      <c r="LBM25" s="1266"/>
      <c r="LBN25" s="1266"/>
      <c r="LBO25" s="1266"/>
      <c r="LBP25" s="1266"/>
      <c r="LBQ25" s="1266"/>
      <c r="LBR25" s="1266"/>
      <c r="LBS25" s="1266"/>
      <c r="LBT25" s="1266"/>
      <c r="LBU25" s="1266"/>
      <c r="LBV25" s="1266"/>
      <c r="LBW25" s="1266"/>
      <c r="LBX25" s="1266"/>
      <c r="LBY25" s="1266"/>
      <c r="LBZ25" s="1266"/>
      <c r="LCA25" s="1266"/>
      <c r="LCB25" s="1266"/>
      <c r="LCC25" s="1266"/>
      <c r="LCD25" s="1266"/>
      <c r="LCE25" s="1266"/>
      <c r="LCF25" s="1266"/>
      <c r="LCG25" s="1266"/>
      <c r="LCH25" s="1266"/>
      <c r="LCI25" s="1266"/>
      <c r="LCJ25" s="1266"/>
      <c r="LCK25" s="1266"/>
      <c r="LCL25" s="1266"/>
      <c r="LCM25" s="1266"/>
      <c r="LCN25" s="1266"/>
      <c r="LCO25" s="1266"/>
      <c r="LCP25" s="1266"/>
      <c r="LCQ25" s="1266"/>
      <c r="LCR25" s="1266"/>
      <c r="LCS25" s="1266"/>
      <c r="LCT25" s="1266"/>
      <c r="LCU25" s="1266"/>
      <c r="LCV25" s="1266"/>
      <c r="LCW25" s="1266"/>
      <c r="LCX25" s="1266"/>
      <c r="LCY25" s="1266"/>
      <c r="LCZ25" s="1266"/>
      <c r="LDA25" s="1266"/>
      <c r="LDB25" s="1266"/>
      <c r="LDC25" s="1266"/>
      <c r="LDD25" s="1266"/>
      <c r="LDE25" s="1266"/>
      <c r="LDF25" s="1266"/>
      <c r="LDG25" s="1266"/>
      <c r="LDH25" s="1266"/>
      <c r="LDI25" s="1266"/>
      <c r="LDJ25" s="1266"/>
      <c r="LDK25" s="1266"/>
      <c r="LDL25" s="1266"/>
      <c r="LDM25" s="1266"/>
      <c r="LDN25" s="1266"/>
      <c r="LDO25" s="1266"/>
      <c r="LDP25" s="1266"/>
      <c r="LDQ25" s="1266"/>
      <c r="LDR25" s="1266"/>
      <c r="LDS25" s="1266"/>
      <c r="LDT25" s="1266"/>
      <c r="LDU25" s="1266"/>
      <c r="LDV25" s="1266"/>
      <c r="LDW25" s="1266"/>
      <c r="LDX25" s="1266"/>
      <c r="LDY25" s="1266"/>
      <c r="LDZ25" s="1266"/>
      <c r="LEA25" s="1266"/>
      <c r="LEB25" s="1266"/>
      <c r="LEC25" s="1266"/>
      <c r="LED25" s="1266"/>
      <c r="LEE25" s="1266"/>
      <c r="LEF25" s="1266"/>
      <c r="LEG25" s="1266"/>
      <c r="LEH25" s="1266"/>
      <c r="LEI25" s="1266"/>
      <c r="LEJ25" s="1266"/>
      <c r="LEK25" s="1266"/>
      <c r="LEL25" s="1266"/>
      <c r="LEM25" s="1266"/>
      <c r="LEN25" s="1266"/>
      <c r="LEO25" s="1266"/>
      <c r="LEP25" s="1266"/>
      <c r="LEQ25" s="1266"/>
      <c r="LER25" s="1266"/>
      <c r="LES25" s="1266"/>
      <c r="LET25" s="1266"/>
      <c r="LEU25" s="1266"/>
      <c r="LEV25" s="1266"/>
      <c r="LEW25" s="1266"/>
      <c r="LEX25" s="1266"/>
      <c r="LEY25" s="1266"/>
      <c r="LEZ25" s="1266"/>
      <c r="LFA25" s="1266"/>
      <c r="LFB25" s="1266"/>
      <c r="LFC25" s="1266"/>
      <c r="LFD25" s="1266"/>
      <c r="LFE25" s="1266"/>
      <c r="LFF25" s="1266"/>
      <c r="LFG25" s="1266"/>
      <c r="LFH25" s="1266"/>
      <c r="LFI25" s="1266"/>
      <c r="LFJ25" s="1266"/>
      <c r="LFK25" s="1266"/>
      <c r="LFL25" s="1266"/>
      <c r="LFM25" s="1266"/>
      <c r="LFN25" s="1266"/>
      <c r="LFO25" s="1266"/>
      <c r="LFP25" s="1266"/>
      <c r="LFQ25" s="1266"/>
      <c r="LFR25" s="1266"/>
      <c r="LFS25" s="1266"/>
      <c r="LFT25" s="1266"/>
      <c r="LFU25" s="1266"/>
      <c r="LFV25" s="1266"/>
      <c r="LFW25" s="1266"/>
      <c r="LFX25" s="1266"/>
      <c r="LFY25" s="1266"/>
      <c r="LFZ25" s="1266"/>
      <c r="LGA25" s="1266"/>
      <c r="LGB25" s="1266"/>
      <c r="LGC25" s="1266"/>
      <c r="LGD25" s="1266"/>
      <c r="LGE25" s="1266"/>
      <c r="LGF25" s="1266"/>
      <c r="LGG25" s="1266"/>
      <c r="LGH25" s="1266"/>
      <c r="LGI25" s="1266"/>
      <c r="LGJ25" s="1266"/>
      <c r="LGK25" s="1266"/>
      <c r="LGL25" s="1266"/>
      <c r="LGM25" s="1266"/>
      <c r="LGN25" s="1266"/>
      <c r="LGO25" s="1266"/>
      <c r="LGP25" s="1266"/>
      <c r="LGQ25" s="1266"/>
      <c r="LGR25" s="1266"/>
      <c r="LGS25" s="1266"/>
      <c r="LGT25" s="1266"/>
      <c r="LGU25" s="1266"/>
      <c r="LGV25" s="1266"/>
      <c r="LGW25" s="1266"/>
      <c r="LGX25" s="1266"/>
      <c r="LGY25" s="1266"/>
      <c r="LGZ25" s="1266"/>
      <c r="LHA25" s="1266"/>
      <c r="LHB25" s="1266"/>
      <c r="LHC25" s="1266"/>
      <c r="LHD25" s="1266"/>
      <c r="LHE25" s="1266"/>
      <c r="LHF25" s="1266"/>
      <c r="LHG25" s="1266"/>
      <c r="LHH25" s="1266"/>
      <c r="LHI25" s="1266"/>
      <c r="LHJ25" s="1266"/>
      <c r="LHK25" s="1266"/>
      <c r="LHL25" s="1266"/>
      <c r="LHM25" s="1266"/>
      <c r="LHN25" s="1266"/>
      <c r="LHO25" s="1266"/>
      <c r="LHP25" s="1266"/>
      <c r="LHQ25" s="1266"/>
      <c r="LHR25" s="1266"/>
      <c r="LHS25" s="1266"/>
      <c r="LHT25" s="1266"/>
      <c r="LHU25" s="1266"/>
      <c r="LHV25" s="1266"/>
      <c r="LHW25" s="1266"/>
      <c r="LHX25" s="1266"/>
      <c r="LHY25" s="1266"/>
      <c r="LHZ25" s="1266"/>
      <c r="LIA25" s="1266"/>
      <c r="LIB25" s="1266"/>
      <c r="LIC25" s="1266"/>
      <c r="LID25" s="1266"/>
      <c r="LIE25" s="1266"/>
      <c r="LIF25" s="1266"/>
      <c r="LIG25" s="1266"/>
      <c r="LIH25" s="1266"/>
      <c r="LII25" s="1266"/>
      <c r="LIJ25" s="1266"/>
      <c r="LIK25" s="1266"/>
      <c r="LIL25" s="1266"/>
      <c r="LIM25" s="1266"/>
      <c r="LIN25" s="1266"/>
      <c r="LIO25" s="1266"/>
      <c r="LIP25" s="1266"/>
      <c r="LIQ25" s="1266"/>
      <c r="LIR25" s="1266"/>
      <c r="LIS25" s="1266"/>
      <c r="LIT25" s="1266"/>
      <c r="LIU25" s="1266"/>
      <c r="LIV25" s="1266"/>
      <c r="LIW25" s="1266"/>
      <c r="LIX25" s="1266"/>
      <c r="LIY25" s="1266"/>
      <c r="LIZ25" s="1266"/>
      <c r="LJA25" s="1266"/>
      <c r="LJB25" s="1266"/>
      <c r="LJC25" s="1266"/>
      <c r="LJD25" s="1266"/>
      <c r="LJE25" s="1266"/>
      <c r="LJF25" s="1266"/>
      <c r="LJG25" s="1266"/>
      <c r="LJH25" s="1266"/>
      <c r="LJI25" s="1266"/>
      <c r="LJJ25" s="1266"/>
      <c r="LJK25" s="1266"/>
      <c r="LJL25" s="1266"/>
      <c r="LJM25" s="1266"/>
      <c r="LJN25" s="1266"/>
      <c r="LJO25" s="1266"/>
      <c r="LJP25" s="1266"/>
      <c r="LJQ25" s="1266"/>
      <c r="LJR25" s="1266"/>
      <c r="LJS25" s="1266"/>
      <c r="LJT25" s="1266"/>
      <c r="LJU25" s="1266"/>
      <c r="LJV25" s="1266"/>
      <c r="LJW25" s="1266"/>
      <c r="LJX25" s="1266"/>
      <c r="LJY25" s="1266"/>
      <c r="LJZ25" s="1266"/>
      <c r="LKA25" s="1266"/>
      <c r="LKB25" s="1266"/>
      <c r="LKC25" s="1266"/>
      <c r="LKD25" s="1266"/>
      <c r="LKE25" s="1266"/>
      <c r="LKF25" s="1266"/>
      <c r="LKG25" s="1266"/>
      <c r="LKH25" s="1266"/>
      <c r="LKI25" s="1266"/>
      <c r="LKJ25" s="1266"/>
      <c r="LKK25" s="1266"/>
      <c r="LKL25" s="1266"/>
      <c r="LKM25" s="1266"/>
      <c r="LKN25" s="1266"/>
      <c r="LKO25" s="1266"/>
      <c r="LKP25" s="1266"/>
      <c r="LKQ25" s="1266"/>
      <c r="LKR25" s="1266"/>
      <c r="LKS25" s="1266"/>
      <c r="LKT25" s="1266"/>
      <c r="LKU25" s="1266"/>
      <c r="LKV25" s="1266"/>
      <c r="LKW25" s="1266"/>
      <c r="LKX25" s="1266"/>
      <c r="LKY25" s="1266"/>
      <c r="LKZ25" s="1266"/>
      <c r="LLA25" s="1266"/>
      <c r="LLB25" s="1266"/>
      <c r="LLC25" s="1266"/>
      <c r="LLD25" s="1266"/>
      <c r="LLE25" s="1266"/>
      <c r="LLF25" s="1266"/>
      <c r="LLG25" s="1266"/>
      <c r="LLH25" s="1266"/>
      <c r="LLI25" s="1266"/>
      <c r="LLJ25" s="1266"/>
      <c r="LLK25" s="1266"/>
      <c r="LLL25" s="1266"/>
      <c r="LLM25" s="1266"/>
      <c r="LLN25" s="1266"/>
      <c r="LLO25" s="1266"/>
      <c r="LLP25" s="1266"/>
      <c r="LLQ25" s="1266"/>
      <c r="LLR25" s="1266"/>
      <c r="LLS25" s="1266"/>
      <c r="LLT25" s="1266"/>
      <c r="LLU25" s="1266"/>
      <c r="LLV25" s="1266"/>
      <c r="LLW25" s="1266"/>
      <c r="LLX25" s="1266"/>
      <c r="LLY25" s="1266"/>
      <c r="LLZ25" s="1266"/>
      <c r="LMA25" s="1266"/>
      <c r="LMB25" s="1266"/>
      <c r="LMC25" s="1266"/>
      <c r="LMD25" s="1266"/>
      <c r="LME25" s="1266"/>
      <c r="LMF25" s="1266"/>
      <c r="LMG25" s="1266"/>
      <c r="LMH25" s="1266"/>
      <c r="LMI25" s="1266"/>
      <c r="LMJ25" s="1266"/>
      <c r="LMK25" s="1266"/>
      <c r="LML25" s="1266"/>
      <c r="LMM25" s="1266"/>
      <c r="LMN25" s="1266"/>
      <c r="LMO25" s="1266"/>
      <c r="LMP25" s="1266"/>
      <c r="LMQ25" s="1266"/>
      <c r="LMR25" s="1266"/>
      <c r="LMS25" s="1266"/>
      <c r="LMT25" s="1266"/>
      <c r="LMU25" s="1266"/>
      <c r="LMV25" s="1266"/>
      <c r="LMW25" s="1266"/>
      <c r="LMX25" s="1266"/>
      <c r="LMY25" s="1266"/>
      <c r="LMZ25" s="1266"/>
      <c r="LNA25" s="1266"/>
      <c r="LNB25" s="1266"/>
      <c r="LNC25" s="1266"/>
      <c r="LND25" s="1266"/>
      <c r="LNE25" s="1266"/>
      <c r="LNF25" s="1266"/>
      <c r="LNG25" s="1266"/>
      <c r="LNH25" s="1266"/>
      <c r="LNI25" s="1266"/>
      <c r="LNJ25" s="1266"/>
      <c r="LNK25" s="1266"/>
      <c r="LNL25" s="1266"/>
      <c r="LNM25" s="1266"/>
      <c r="LNN25" s="1266"/>
      <c r="LNO25" s="1266"/>
      <c r="LNP25" s="1266"/>
      <c r="LNQ25" s="1266"/>
      <c r="LNR25" s="1266"/>
      <c r="LNS25" s="1266"/>
      <c r="LNT25" s="1266"/>
      <c r="LNU25" s="1266"/>
      <c r="LNV25" s="1266"/>
      <c r="LNW25" s="1266"/>
      <c r="LNX25" s="1266"/>
      <c r="LNY25" s="1266"/>
      <c r="LNZ25" s="1266"/>
      <c r="LOA25" s="1266"/>
      <c r="LOB25" s="1266"/>
      <c r="LOC25" s="1266"/>
      <c r="LOD25" s="1266"/>
      <c r="LOE25" s="1266"/>
      <c r="LOF25" s="1266"/>
      <c r="LOG25" s="1266"/>
      <c r="LOH25" s="1266"/>
      <c r="LOI25" s="1266"/>
      <c r="LOJ25" s="1266"/>
      <c r="LOK25" s="1266"/>
      <c r="LOL25" s="1266"/>
      <c r="LOM25" s="1266"/>
      <c r="LON25" s="1266"/>
      <c r="LOO25" s="1266"/>
      <c r="LOP25" s="1266"/>
      <c r="LOQ25" s="1266"/>
      <c r="LOR25" s="1266"/>
      <c r="LOS25" s="1266"/>
      <c r="LOT25" s="1266"/>
      <c r="LOU25" s="1266"/>
      <c r="LOV25" s="1266"/>
      <c r="LOW25" s="1266"/>
      <c r="LOX25" s="1266"/>
      <c r="LOY25" s="1266"/>
      <c r="LOZ25" s="1266"/>
      <c r="LPA25" s="1266"/>
      <c r="LPB25" s="1266"/>
      <c r="LPC25" s="1266"/>
      <c r="LPD25" s="1266"/>
      <c r="LPE25" s="1266"/>
      <c r="LPF25" s="1266"/>
      <c r="LPG25" s="1266"/>
      <c r="LPH25" s="1266"/>
      <c r="LPI25" s="1266"/>
      <c r="LPJ25" s="1266"/>
      <c r="LPK25" s="1266"/>
      <c r="LPL25" s="1266"/>
      <c r="LPM25" s="1266"/>
      <c r="LPN25" s="1266"/>
      <c r="LPO25" s="1266"/>
      <c r="LPP25" s="1266"/>
      <c r="LPQ25" s="1266"/>
      <c r="LPR25" s="1266"/>
      <c r="LPS25" s="1266"/>
      <c r="LPT25" s="1266"/>
      <c r="LPU25" s="1266"/>
      <c r="LPV25" s="1266"/>
      <c r="LPW25" s="1266"/>
      <c r="LPX25" s="1266"/>
      <c r="LPY25" s="1266"/>
      <c r="LPZ25" s="1266"/>
      <c r="LQA25" s="1266"/>
      <c r="LQB25" s="1266"/>
      <c r="LQC25" s="1266"/>
      <c r="LQD25" s="1266"/>
      <c r="LQE25" s="1266"/>
      <c r="LQF25" s="1266"/>
      <c r="LQG25" s="1266"/>
      <c r="LQH25" s="1266"/>
      <c r="LQI25" s="1266"/>
      <c r="LQJ25" s="1266"/>
      <c r="LQK25" s="1266"/>
      <c r="LQL25" s="1266"/>
      <c r="LQM25" s="1266"/>
      <c r="LQN25" s="1266"/>
      <c r="LQO25" s="1266"/>
      <c r="LQP25" s="1266"/>
      <c r="LQQ25" s="1266"/>
      <c r="LQR25" s="1266"/>
      <c r="LQS25" s="1266"/>
      <c r="LQT25" s="1266"/>
      <c r="LQU25" s="1266"/>
      <c r="LQV25" s="1266"/>
      <c r="LQW25" s="1266"/>
      <c r="LQX25" s="1266"/>
      <c r="LQY25" s="1266"/>
      <c r="LQZ25" s="1266"/>
      <c r="LRA25" s="1266"/>
      <c r="LRB25" s="1266"/>
      <c r="LRC25" s="1266"/>
      <c r="LRD25" s="1266"/>
      <c r="LRE25" s="1266"/>
      <c r="LRF25" s="1266"/>
      <c r="LRG25" s="1266"/>
      <c r="LRH25" s="1266"/>
      <c r="LRI25" s="1266"/>
      <c r="LRJ25" s="1266"/>
      <c r="LRK25" s="1266"/>
      <c r="LRL25" s="1266"/>
      <c r="LRM25" s="1266"/>
      <c r="LRN25" s="1266"/>
      <c r="LRO25" s="1266"/>
      <c r="LRP25" s="1266"/>
      <c r="LRQ25" s="1266"/>
      <c r="LRR25" s="1266"/>
      <c r="LRS25" s="1266"/>
      <c r="LRT25" s="1266"/>
      <c r="LRU25" s="1266"/>
      <c r="LRV25" s="1266"/>
      <c r="LRW25" s="1266"/>
      <c r="LRX25" s="1266"/>
      <c r="LRY25" s="1266"/>
      <c r="LRZ25" s="1266"/>
      <c r="LSA25" s="1266"/>
      <c r="LSB25" s="1266"/>
      <c r="LSC25" s="1266"/>
      <c r="LSD25" s="1266"/>
      <c r="LSE25" s="1266"/>
      <c r="LSF25" s="1266"/>
      <c r="LSG25" s="1266"/>
      <c r="LSH25" s="1266"/>
      <c r="LSI25" s="1266"/>
      <c r="LSJ25" s="1266"/>
      <c r="LSK25" s="1266"/>
      <c r="LSL25" s="1266"/>
      <c r="LSM25" s="1266"/>
      <c r="LSN25" s="1266"/>
      <c r="LSO25" s="1266"/>
      <c r="LSP25" s="1266"/>
      <c r="LSQ25" s="1266"/>
      <c r="LSR25" s="1266"/>
      <c r="LSS25" s="1266"/>
      <c r="LST25" s="1266"/>
      <c r="LSU25" s="1266"/>
      <c r="LSV25" s="1266"/>
      <c r="LSW25" s="1266"/>
      <c r="LSX25" s="1266"/>
      <c r="LSY25" s="1266"/>
      <c r="LSZ25" s="1266"/>
      <c r="LTA25" s="1266"/>
      <c r="LTB25" s="1266"/>
      <c r="LTC25" s="1266"/>
      <c r="LTD25" s="1266"/>
      <c r="LTE25" s="1266"/>
      <c r="LTF25" s="1266"/>
      <c r="LTG25" s="1266"/>
      <c r="LTH25" s="1266"/>
      <c r="LTI25" s="1266"/>
      <c r="LTJ25" s="1266"/>
      <c r="LTK25" s="1266"/>
      <c r="LTL25" s="1266"/>
      <c r="LTM25" s="1266"/>
      <c r="LTN25" s="1266"/>
      <c r="LTO25" s="1266"/>
      <c r="LTP25" s="1266"/>
      <c r="LTQ25" s="1266"/>
      <c r="LTR25" s="1266"/>
      <c r="LTS25" s="1266"/>
      <c r="LTT25" s="1266"/>
      <c r="LTU25" s="1266"/>
      <c r="LTV25" s="1266"/>
      <c r="LTW25" s="1266"/>
      <c r="LTX25" s="1266"/>
      <c r="LTY25" s="1266"/>
      <c r="LTZ25" s="1266"/>
      <c r="LUA25" s="1266"/>
      <c r="LUB25" s="1266"/>
      <c r="LUC25" s="1266"/>
      <c r="LUD25" s="1266"/>
      <c r="LUE25" s="1266"/>
      <c r="LUF25" s="1266"/>
      <c r="LUG25" s="1266"/>
      <c r="LUH25" s="1266"/>
      <c r="LUI25" s="1266"/>
      <c r="LUJ25" s="1266"/>
      <c r="LUK25" s="1266"/>
      <c r="LUL25" s="1266"/>
      <c r="LUM25" s="1266"/>
      <c r="LUN25" s="1266"/>
      <c r="LUO25" s="1266"/>
      <c r="LUP25" s="1266"/>
      <c r="LUQ25" s="1266"/>
      <c r="LUR25" s="1266"/>
      <c r="LUS25" s="1266"/>
      <c r="LUT25" s="1266"/>
      <c r="LUU25" s="1266"/>
      <c r="LUV25" s="1266"/>
      <c r="LUW25" s="1266"/>
      <c r="LUX25" s="1266"/>
      <c r="LUY25" s="1266"/>
      <c r="LUZ25" s="1266"/>
      <c r="LVA25" s="1266"/>
      <c r="LVB25" s="1266"/>
      <c r="LVC25" s="1266"/>
      <c r="LVD25" s="1266"/>
      <c r="LVE25" s="1266"/>
      <c r="LVF25" s="1266"/>
      <c r="LVG25" s="1266"/>
      <c r="LVH25" s="1266"/>
      <c r="LVI25" s="1266"/>
      <c r="LVJ25" s="1266"/>
      <c r="LVK25" s="1266"/>
      <c r="LVL25" s="1266"/>
      <c r="LVM25" s="1266"/>
      <c r="LVN25" s="1266"/>
      <c r="LVO25" s="1266"/>
      <c r="LVP25" s="1266"/>
      <c r="LVQ25" s="1266"/>
      <c r="LVR25" s="1266"/>
      <c r="LVS25" s="1266"/>
      <c r="LVT25" s="1266"/>
      <c r="LVU25" s="1266"/>
      <c r="LVV25" s="1266"/>
      <c r="LVW25" s="1266"/>
      <c r="LVX25" s="1266"/>
      <c r="LVY25" s="1266"/>
      <c r="LVZ25" s="1266"/>
      <c r="LWA25" s="1266"/>
      <c r="LWB25" s="1266"/>
      <c r="LWC25" s="1266"/>
      <c r="LWD25" s="1266"/>
      <c r="LWE25" s="1266"/>
      <c r="LWF25" s="1266"/>
      <c r="LWG25" s="1266"/>
      <c r="LWH25" s="1266"/>
      <c r="LWI25" s="1266"/>
      <c r="LWJ25" s="1266"/>
      <c r="LWK25" s="1266"/>
      <c r="LWL25" s="1266"/>
      <c r="LWM25" s="1266"/>
      <c r="LWN25" s="1266"/>
      <c r="LWO25" s="1266"/>
      <c r="LWP25" s="1266"/>
      <c r="LWQ25" s="1266"/>
      <c r="LWR25" s="1266"/>
      <c r="LWS25" s="1266"/>
      <c r="LWT25" s="1266"/>
      <c r="LWU25" s="1266"/>
      <c r="LWV25" s="1266"/>
      <c r="LWW25" s="1266"/>
      <c r="LWX25" s="1266"/>
      <c r="LWY25" s="1266"/>
      <c r="LWZ25" s="1266"/>
      <c r="LXA25" s="1266"/>
      <c r="LXB25" s="1266"/>
      <c r="LXC25" s="1266"/>
      <c r="LXD25" s="1266"/>
      <c r="LXE25" s="1266"/>
      <c r="LXF25" s="1266"/>
      <c r="LXG25" s="1266"/>
      <c r="LXH25" s="1266"/>
      <c r="LXI25" s="1266"/>
      <c r="LXJ25" s="1266"/>
      <c r="LXK25" s="1266"/>
      <c r="LXL25" s="1266"/>
      <c r="LXM25" s="1266"/>
      <c r="LXN25" s="1266"/>
      <c r="LXO25" s="1266"/>
      <c r="LXP25" s="1266"/>
      <c r="LXQ25" s="1266"/>
      <c r="LXR25" s="1266"/>
      <c r="LXS25" s="1266"/>
      <c r="LXT25" s="1266"/>
      <c r="LXU25" s="1266"/>
      <c r="LXV25" s="1266"/>
      <c r="LXW25" s="1266"/>
      <c r="LXX25" s="1266"/>
      <c r="LXY25" s="1266"/>
      <c r="LXZ25" s="1266"/>
      <c r="LYA25" s="1266"/>
      <c r="LYB25" s="1266"/>
      <c r="LYC25" s="1266"/>
      <c r="LYD25" s="1266"/>
      <c r="LYE25" s="1266"/>
      <c r="LYF25" s="1266"/>
      <c r="LYG25" s="1266"/>
      <c r="LYH25" s="1266"/>
      <c r="LYI25" s="1266"/>
      <c r="LYJ25" s="1266"/>
      <c r="LYK25" s="1266"/>
      <c r="LYL25" s="1266"/>
      <c r="LYM25" s="1266"/>
      <c r="LYN25" s="1266"/>
      <c r="LYO25" s="1266"/>
      <c r="LYP25" s="1266"/>
      <c r="LYQ25" s="1266"/>
      <c r="LYR25" s="1266"/>
      <c r="LYS25" s="1266"/>
      <c r="LYT25" s="1266"/>
      <c r="LYU25" s="1266"/>
      <c r="LYV25" s="1266"/>
      <c r="LYW25" s="1266"/>
      <c r="LYX25" s="1266"/>
      <c r="LYY25" s="1266"/>
      <c r="LYZ25" s="1266"/>
      <c r="LZA25" s="1266"/>
      <c r="LZB25" s="1266"/>
      <c r="LZC25" s="1266"/>
      <c r="LZD25" s="1266"/>
      <c r="LZE25" s="1266"/>
      <c r="LZF25" s="1266"/>
      <c r="LZG25" s="1266"/>
      <c r="LZH25" s="1266"/>
      <c r="LZI25" s="1266"/>
      <c r="LZJ25" s="1266"/>
      <c r="LZK25" s="1266"/>
      <c r="LZL25" s="1266"/>
      <c r="LZM25" s="1266"/>
      <c r="LZN25" s="1266"/>
      <c r="LZO25" s="1266"/>
      <c r="LZP25" s="1266"/>
      <c r="LZQ25" s="1266"/>
      <c r="LZR25" s="1266"/>
      <c r="LZS25" s="1266"/>
      <c r="LZT25" s="1266"/>
      <c r="LZU25" s="1266"/>
      <c r="LZV25" s="1266"/>
      <c r="LZW25" s="1266"/>
      <c r="LZX25" s="1266"/>
      <c r="LZY25" s="1266"/>
      <c r="LZZ25" s="1266"/>
      <c r="MAA25" s="1266"/>
      <c r="MAB25" s="1266"/>
      <c r="MAC25" s="1266"/>
      <c r="MAD25" s="1266"/>
      <c r="MAE25" s="1266"/>
      <c r="MAF25" s="1266"/>
      <c r="MAG25" s="1266"/>
      <c r="MAH25" s="1266"/>
      <c r="MAI25" s="1266"/>
      <c r="MAJ25" s="1266"/>
      <c r="MAK25" s="1266"/>
      <c r="MAL25" s="1266"/>
      <c r="MAM25" s="1266"/>
      <c r="MAN25" s="1266"/>
      <c r="MAO25" s="1266"/>
      <c r="MAP25" s="1266"/>
      <c r="MAQ25" s="1266"/>
      <c r="MAR25" s="1266"/>
      <c r="MAS25" s="1266"/>
      <c r="MAT25" s="1266"/>
      <c r="MAU25" s="1266"/>
      <c r="MAV25" s="1266"/>
      <c r="MAW25" s="1266"/>
      <c r="MAX25" s="1266"/>
      <c r="MAY25" s="1266"/>
      <c r="MAZ25" s="1266"/>
      <c r="MBA25" s="1266"/>
      <c r="MBB25" s="1266"/>
      <c r="MBC25" s="1266"/>
      <c r="MBD25" s="1266"/>
      <c r="MBE25" s="1266"/>
      <c r="MBF25" s="1266"/>
      <c r="MBG25" s="1266"/>
      <c r="MBH25" s="1266"/>
      <c r="MBI25" s="1266"/>
      <c r="MBJ25" s="1266"/>
      <c r="MBK25" s="1266"/>
      <c r="MBL25" s="1266"/>
      <c r="MBM25" s="1266"/>
      <c r="MBN25" s="1266"/>
      <c r="MBO25" s="1266"/>
      <c r="MBP25" s="1266"/>
      <c r="MBQ25" s="1266"/>
      <c r="MBR25" s="1266"/>
      <c r="MBS25" s="1266"/>
      <c r="MBT25" s="1266"/>
      <c r="MBU25" s="1266"/>
      <c r="MBV25" s="1266"/>
      <c r="MBW25" s="1266"/>
      <c r="MBX25" s="1266"/>
      <c r="MBY25" s="1266"/>
      <c r="MBZ25" s="1266"/>
      <c r="MCA25" s="1266"/>
      <c r="MCB25" s="1266"/>
      <c r="MCC25" s="1266"/>
      <c r="MCD25" s="1266"/>
      <c r="MCE25" s="1266"/>
      <c r="MCF25" s="1266"/>
      <c r="MCG25" s="1266"/>
      <c r="MCH25" s="1266"/>
      <c r="MCI25" s="1266"/>
      <c r="MCJ25" s="1266"/>
      <c r="MCK25" s="1266"/>
      <c r="MCL25" s="1266"/>
      <c r="MCM25" s="1266"/>
      <c r="MCN25" s="1266"/>
      <c r="MCO25" s="1266"/>
      <c r="MCP25" s="1266"/>
      <c r="MCQ25" s="1266"/>
      <c r="MCR25" s="1266"/>
      <c r="MCS25" s="1266"/>
      <c r="MCT25" s="1266"/>
      <c r="MCU25" s="1266"/>
      <c r="MCV25" s="1266"/>
      <c r="MCW25" s="1266"/>
      <c r="MCX25" s="1266"/>
      <c r="MCY25" s="1266"/>
      <c r="MCZ25" s="1266"/>
      <c r="MDA25" s="1266"/>
      <c r="MDB25" s="1266"/>
      <c r="MDC25" s="1266"/>
      <c r="MDD25" s="1266"/>
      <c r="MDE25" s="1266"/>
      <c r="MDF25" s="1266"/>
      <c r="MDG25" s="1266"/>
      <c r="MDH25" s="1266"/>
      <c r="MDI25" s="1266"/>
      <c r="MDJ25" s="1266"/>
      <c r="MDK25" s="1266"/>
      <c r="MDL25" s="1266"/>
      <c r="MDM25" s="1266"/>
      <c r="MDN25" s="1266"/>
      <c r="MDO25" s="1266"/>
      <c r="MDP25" s="1266"/>
      <c r="MDQ25" s="1266"/>
      <c r="MDR25" s="1266"/>
      <c r="MDS25" s="1266"/>
      <c r="MDT25" s="1266"/>
      <c r="MDU25" s="1266"/>
      <c r="MDV25" s="1266"/>
      <c r="MDW25" s="1266"/>
      <c r="MDX25" s="1266"/>
      <c r="MDY25" s="1266"/>
      <c r="MDZ25" s="1266"/>
      <c r="MEA25" s="1266"/>
      <c r="MEB25" s="1266"/>
      <c r="MEC25" s="1266"/>
      <c r="MED25" s="1266"/>
      <c r="MEE25" s="1266"/>
      <c r="MEF25" s="1266"/>
      <c r="MEG25" s="1266"/>
      <c r="MEH25" s="1266"/>
      <c r="MEI25" s="1266"/>
      <c r="MEJ25" s="1266"/>
      <c r="MEK25" s="1266"/>
      <c r="MEL25" s="1266"/>
      <c r="MEM25" s="1266"/>
      <c r="MEN25" s="1266"/>
      <c r="MEO25" s="1266"/>
      <c r="MEP25" s="1266"/>
      <c r="MEQ25" s="1266"/>
      <c r="MER25" s="1266"/>
      <c r="MES25" s="1266"/>
      <c r="MET25" s="1266"/>
      <c r="MEU25" s="1266"/>
      <c r="MEV25" s="1266"/>
      <c r="MEW25" s="1266"/>
      <c r="MEX25" s="1266"/>
      <c r="MEY25" s="1266"/>
      <c r="MEZ25" s="1266"/>
      <c r="MFA25" s="1266"/>
      <c r="MFB25" s="1266"/>
      <c r="MFC25" s="1266"/>
      <c r="MFD25" s="1266"/>
      <c r="MFE25" s="1266"/>
      <c r="MFF25" s="1266"/>
      <c r="MFG25" s="1266"/>
      <c r="MFH25" s="1266"/>
      <c r="MFI25" s="1266"/>
      <c r="MFJ25" s="1266"/>
      <c r="MFK25" s="1266"/>
      <c r="MFL25" s="1266"/>
      <c r="MFM25" s="1266"/>
      <c r="MFN25" s="1266"/>
      <c r="MFO25" s="1266"/>
      <c r="MFP25" s="1266"/>
      <c r="MFQ25" s="1266"/>
      <c r="MFR25" s="1266"/>
      <c r="MFS25" s="1266"/>
      <c r="MFT25" s="1266"/>
      <c r="MFU25" s="1266"/>
      <c r="MFV25" s="1266"/>
      <c r="MFW25" s="1266"/>
      <c r="MFX25" s="1266"/>
      <c r="MFY25" s="1266"/>
      <c r="MFZ25" s="1266"/>
      <c r="MGA25" s="1266"/>
      <c r="MGB25" s="1266"/>
      <c r="MGC25" s="1266"/>
      <c r="MGD25" s="1266"/>
      <c r="MGE25" s="1266"/>
      <c r="MGF25" s="1266"/>
      <c r="MGG25" s="1266"/>
      <c r="MGH25" s="1266"/>
      <c r="MGI25" s="1266"/>
      <c r="MGJ25" s="1266"/>
      <c r="MGK25" s="1266"/>
      <c r="MGL25" s="1266"/>
      <c r="MGM25" s="1266"/>
      <c r="MGN25" s="1266"/>
      <c r="MGO25" s="1266"/>
      <c r="MGP25" s="1266"/>
      <c r="MGQ25" s="1266"/>
      <c r="MGR25" s="1266"/>
      <c r="MGS25" s="1266"/>
      <c r="MGT25" s="1266"/>
      <c r="MGU25" s="1266"/>
      <c r="MGV25" s="1266"/>
      <c r="MGW25" s="1266"/>
      <c r="MGX25" s="1266"/>
      <c r="MGY25" s="1266"/>
      <c r="MGZ25" s="1266"/>
      <c r="MHA25" s="1266"/>
      <c r="MHB25" s="1266"/>
      <c r="MHC25" s="1266"/>
      <c r="MHD25" s="1266"/>
      <c r="MHE25" s="1266"/>
      <c r="MHF25" s="1266"/>
      <c r="MHG25" s="1266"/>
      <c r="MHH25" s="1266"/>
      <c r="MHI25" s="1266"/>
      <c r="MHJ25" s="1266"/>
      <c r="MHK25" s="1266"/>
      <c r="MHL25" s="1266"/>
      <c r="MHM25" s="1266"/>
      <c r="MHN25" s="1266"/>
      <c r="MHO25" s="1266"/>
      <c r="MHP25" s="1266"/>
      <c r="MHQ25" s="1266"/>
      <c r="MHR25" s="1266"/>
      <c r="MHS25" s="1266"/>
      <c r="MHT25" s="1266"/>
      <c r="MHU25" s="1266"/>
      <c r="MHV25" s="1266"/>
      <c r="MHW25" s="1266"/>
      <c r="MHX25" s="1266"/>
      <c r="MHY25" s="1266"/>
      <c r="MHZ25" s="1266"/>
      <c r="MIA25" s="1266"/>
      <c r="MIB25" s="1266"/>
      <c r="MIC25" s="1266"/>
      <c r="MID25" s="1266"/>
      <c r="MIE25" s="1266"/>
      <c r="MIF25" s="1266"/>
      <c r="MIG25" s="1266"/>
      <c r="MIH25" s="1266"/>
      <c r="MII25" s="1266"/>
      <c r="MIJ25" s="1266"/>
      <c r="MIK25" s="1266"/>
      <c r="MIL25" s="1266"/>
      <c r="MIM25" s="1266"/>
      <c r="MIN25" s="1266"/>
      <c r="MIO25" s="1266"/>
      <c r="MIP25" s="1266"/>
      <c r="MIQ25" s="1266"/>
      <c r="MIR25" s="1266"/>
      <c r="MIS25" s="1266"/>
      <c r="MIT25" s="1266"/>
      <c r="MIU25" s="1266"/>
      <c r="MIV25" s="1266"/>
      <c r="MIW25" s="1266"/>
      <c r="MIX25" s="1266"/>
      <c r="MIY25" s="1266"/>
      <c r="MIZ25" s="1266"/>
      <c r="MJA25" s="1266"/>
      <c r="MJB25" s="1266"/>
      <c r="MJC25" s="1266"/>
      <c r="MJD25" s="1266"/>
      <c r="MJE25" s="1266"/>
      <c r="MJF25" s="1266"/>
      <c r="MJG25" s="1266"/>
      <c r="MJH25" s="1266"/>
      <c r="MJI25" s="1266"/>
      <c r="MJJ25" s="1266"/>
      <c r="MJK25" s="1266"/>
      <c r="MJL25" s="1266"/>
      <c r="MJM25" s="1266"/>
      <c r="MJN25" s="1266"/>
      <c r="MJO25" s="1266"/>
      <c r="MJP25" s="1266"/>
      <c r="MJQ25" s="1266"/>
      <c r="MJR25" s="1266"/>
      <c r="MJS25" s="1266"/>
      <c r="MJT25" s="1266"/>
      <c r="MJU25" s="1266"/>
      <c r="MJV25" s="1266"/>
      <c r="MJW25" s="1266"/>
      <c r="MJX25" s="1266"/>
      <c r="MJY25" s="1266"/>
      <c r="MJZ25" s="1266"/>
      <c r="MKA25" s="1266"/>
      <c r="MKB25" s="1266"/>
      <c r="MKC25" s="1266"/>
      <c r="MKD25" s="1266"/>
      <c r="MKE25" s="1266"/>
      <c r="MKF25" s="1266"/>
      <c r="MKG25" s="1266"/>
      <c r="MKH25" s="1266"/>
      <c r="MKI25" s="1266"/>
      <c r="MKJ25" s="1266"/>
      <c r="MKK25" s="1266"/>
      <c r="MKL25" s="1266"/>
      <c r="MKM25" s="1266"/>
      <c r="MKN25" s="1266"/>
      <c r="MKO25" s="1266"/>
      <c r="MKP25" s="1266"/>
      <c r="MKQ25" s="1266"/>
      <c r="MKR25" s="1266"/>
      <c r="MKS25" s="1266"/>
      <c r="MKT25" s="1266"/>
      <c r="MKU25" s="1266"/>
      <c r="MKV25" s="1266"/>
      <c r="MKW25" s="1266"/>
      <c r="MKX25" s="1266"/>
      <c r="MKY25" s="1266"/>
      <c r="MKZ25" s="1266"/>
      <c r="MLA25" s="1266"/>
      <c r="MLB25" s="1266"/>
      <c r="MLC25" s="1266"/>
      <c r="MLD25" s="1266"/>
      <c r="MLE25" s="1266"/>
      <c r="MLF25" s="1266"/>
      <c r="MLG25" s="1266"/>
      <c r="MLH25" s="1266"/>
      <c r="MLI25" s="1266"/>
      <c r="MLJ25" s="1266"/>
      <c r="MLK25" s="1266"/>
      <c r="MLL25" s="1266"/>
      <c r="MLM25" s="1266"/>
      <c r="MLN25" s="1266"/>
      <c r="MLO25" s="1266"/>
      <c r="MLP25" s="1266"/>
      <c r="MLQ25" s="1266"/>
      <c r="MLR25" s="1266"/>
      <c r="MLS25" s="1266"/>
      <c r="MLT25" s="1266"/>
      <c r="MLU25" s="1266"/>
      <c r="MLV25" s="1266"/>
      <c r="MLW25" s="1266"/>
      <c r="MLX25" s="1266"/>
      <c r="MLY25" s="1266"/>
      <c r="MLZ25" s="1266"/>
      <c r="MMA25" s="1266"/>
      <c r="MMB25" s="1266"/>
      <c r="MMC25" s="1266"/>
      <c r="MMD25" s="1266"/>
      <c r="MME25" s="1266"/>
      <c r="MMF25" s="1266"/>
      <c r="MMG25" s="1266"/>
      <c r="MMH25" s="1266"/>
      <c r="MMI25" s="1266"/>
      <c r="MMJ25" s="1266"/>
      <c r="MMK25" s="1266"/>
      <c r="MML25" s="1266"/>
      <c r="MMM25" s="1266"/>
      <c r="MMN25" s="1266"/>
      <c r="MMO25" s="1266"/>
      <c r="MMP25" s="1266"/>
      <c r="MMQ25" s="1266"/>
      <c r="MMR25" s="1266"/>
      <c r="MMS25" s="1266"/>
      <c r="MMT25" s="1266"/>
      <c r="MMU25" s="1266"/>
      <c r="MMV25" s="1266"/>
      <c r="MMW25" s="1266"/>
      <c r="MMX25" s="1266"/>
      <c r="MMY25" s="1266"/>
      <c r="MMZ25" s="1266"/>
      <c r="MNA25" s="1266"/>
      <c r="MNB25" s="1266"/>
      <c r="MNC25" s="1266"/>
      <c r="MND25" s="1266"/>
      <c r="MNE25" s="1266"/>
      <c r="MNF25" s="1266"/>
      <c r="MNG25" s="1266"/>
      <c r="MNH25" s="1266"/>
      <c r="MNI25" s="1266"/>
      <c r="MNJ25" s="1266"/>
      <c r="MNK25" s="1266"/>
      <c r="MNL25" s="1266"/>
      <c r="MNM25" s="1266"/>
      <c r="MNN25" s="1266"/>
      <c r="MNO25" s="1266"/>
      <c r="MNP25" s="1266"/>
      <c r="MNQ25" s="1266"/>
      <c r="MNR25" s="1266"/>
      <c r="MNS25" s="1266"/>
      <c r="MNT25" s="1266"/>
      <c r="MNU25" s="1266"/>
      <c r="MNV25" s="1266"/>
      <c r="MNW25" s="1266"/>
      <c r="MNX25" s="1266"/>
      <c r="MNY25" s="1266"/>
      <c r="MNZ25" s="1266"/>
      <c r="MOA25" s="1266"/>
      <c r="MOB25" s="1266"/>
      <c r="MOC25" s="1266"/>
      <c r="MOD25" s="1266"/>
      <c r="MOE25" s="1266"/>
      <c r="MOF25" s="1266"/>
      <c r="MOG25" s="1266"/>
      <c r="MOH25" s="1266"/>
      <c r="MOI25" s="1266"/>
      <c r="MOJ25" s="1266"/>
      <c r="MOK25" s="1266"/>
      <c r="MOL25" s="1266"/>
      <c r="MOM25" s="1266"/>
      <c r="MON25" s="1266"/>
      <c r="MOO25" s="1266"/>
      <c r="MOP25" s="1266"/>
      <c r="MOQ25" s="1266"/>
      <c r="MOR25" s="1266"/>
      <c r="MOS25" s="1266"/>
      <c r="MOT25" s="1266"/>
      <c r="MOU25" s="1266"/>
      <c r="MOV25" s="1266"/>
      <c r="MOW25" s="1266"/>
      <c r="MOX25" s="1266"/>
      <c r="MOY25" s="1266"/>
      <c r="MOZ25" s="1266"/>
      <c r="MPA25" s="1266"/>
      <c r="MPB25" s="1266"/>
      <c r="MPC25" s="1266"/>
      <c r="MPD25" s="1266"/>
      <c r="MPE25" s="1266"/>
      <c r="MPF25" s="1266"/>
      <c r="MPG25" s="1266"/>
      <c r="MPH25" s="1266"/>
      <c r="MPI25" s="1266"/>
      <c r="MPJ25" s="1266"/>
      <c r="MPK25" s="1266"/>
      <c r="MPL25" s="1266"/>
      <c r="MPM25" s="1266"/>
      <c r="MPN25" s="1266"/>
      <c r="MPO25" s="1266"/>
      <c r="MPP25" s="1266"/>
      <c r="MPQ25" s="1266"/>
      <c r="MPR25" s="1266"/>
      <c r="MPS25" s="1266"/>
      <c r="MPT25" s="1266"/>
      <c r="MPU25" s="1266"/>
      <c r="MPV25" s="1266"/>
      <c r="MPW25" s="1266"/>
      <c r="MPX25" s="1266"/>
      <c r="MPY25" s="1266"/>
      <c r="MPZ25" s="1266"/>
      <c r="MQA25" s="1266"/>
      <c r="MQB25" s="1266"/>
      <c r="MQC25" s="1266"/>
      <c r="MQD25" s="1266"/>
      <c r="MQE25" s="1266"/>
      <c r="MQF25" s="1266"/>
      <c r="MQG25" s="1266"/>
      <c r="MQH25" s="1266"/>
      <c r="MQI25" s="1266"/>
      <c r="MQJ25" s="1266"/>
      <c r="MQK25" s="1266"/>
      <c r="MQL25" s="1266"/>
      <c r="MQM25" s="1266"/>
      <c r="MQN25" s="1266"/>
      <c r="MQO25" s="1266"/>
      <c r="MQP25" s="1266"/>
      <c r="MQQ25" s="1266"/>
      <c r="MQR25" s="1266"/>
      <c r="MQS25" s="1266"/>
      <c r="MQT25" s="1266"/>
      <c r="MQU25" s="1266"/>
      <c r="MQV25" s="1266"/>
      <c r="MQW25" s="1266"/>
      <c r="MQX25" s="1266"/>
      <c r="MQY25" s="1266"/>
      <c r="MQZ25" s="1266"/>
      <c r="MRA25" s="1266"/>
      <c r="MRB25" s="1266"/>
      <c r="MRC25" s="1266"/>
      <c r="MRD25" s="1266"/>
      <c r="MRE25" s="1266"/>
      <c r="MRF25" s="1266"/>
      <c r="MRG25" s="1266"/>
      <c r="MRH25" s="1266"/>
      <c r="MRI25" s="1266"/>
      <c r="MRJ25" s="1266"/>
      <c r="MRK25" s="1266"/>
      <c r="MRL25" s="1266"/>
      <c r="MRM25" s="1266"/>
      <c r="MRN25" s="1266"/>
      <c r="MRO25" s="1266"/>
      <c r="MRP25" s="1266"/>
      <c r="MRQ25" s="1266"/>
      <c r="MRR25" s="1266"/>
      <c r="MRS25" s="1266"/>
      <c r="MRT25" s="1266"/>
      <c r="MRU25" s="1266"/>
      <c r="MRV25" s="1266"/>
      <c r="MRW25" s="1266"/>
      <c r="MRX25" s="1266"/>
      <c r="MRY25" s="1266"/>
      <c r="MRZ25" s="1266"/>
      <c r="MSA25" s="1266"/>
      <c r="MSB25" s="1266"/>
      <c r="MSC25" s="1266"/>
      <c r="MSD25" s="1266"/>
      <c r="MSE25" s="1266"/>
      <c r="MSF25" s="1266"/>
      <c r="MSG25" s="1266"/>
      <c r="MSH25" s="1266"/>
      <c r="MSI25" s="1266"/>
      <c r="MSJ25" s="1266"/>
      <c r="MSK25" s="1266"/>
      <c r="MSL25" s="1266"/>
      <c r="MSM25" s="1266"/>
      <c r="MSN25" s="1266"/>
      <c r="MSO25" s="1266"/>
      <c r="MSP25" s="1266"/>
      <c r="MSQ25" s="1266"/>
      <c r="MSR25" s="1266"/>
      <c r="MSS25" s="1266"/>
      <c r="MST25" s="1266"/>
      <c r="MSU25" s="1266"/>
      <c r="MSV25" s="1266"/>
      <c r="MSW25" s="1266"/>
      <c r="MSX25" s="1266"/>
      <c r="MSY25" s="1266"/>
      <c r="MSZ25" s="1266"/>
      <c r="MTA25" s="1266"/>
      <c r="MTB25" s="1266"/>
      <c r="MTC25" s="1266"/>
      <c r="MTD25" s="1266"/>
      <c r="MTE25" s="1266"/>
      <c r="MTF25" s="1266"/>
      <c r="MTG25" s="1266"/>
      <c r="MTH25" s="1266"/>
      <c r="MTI25" s="1266"/>
      <c r="MTJ25" s="1266"/>
      <c r="MTK25" s="1266"/>
      <c r="MTL25" s="1266"/>
      <c r="MTM25" s="1266"/>
      <c r="MTN25" s="1266"/>
      <c r="MTO25" s="1266"/>
      <c r="MTP25" s="1266"/>
      <c r="MTQ25" s="1266"/>
      <c r="MTR25" s="1266"/>
      <c r="MTS25" s="1266"/>
      <c r="MTT25" s="1266"/>
      <c r="MTU25" s="1266"/>
      <c r="MTV25" s="1266"/>
      <c r="MTW25" s="1266"/>
      <c r="MTX25" s="1266"/>
      <c r="MTY25" s="1266"/>
      <c r="MTZ25" s="1266"/>
      <c r="MUA25" s="1266"/>
      <c r="MUB25" s="1266"/>
      <c r="MUC25" s="1266"/>
      <c r="MUD25" s="1266"/>
      <c r="MUE25" s="1266"/>
      <c r="MUF25" s="1266"/>
      <c r="MUG25" s="1266"/>
      <c r="MUH25" s="1266"/>
      <c r="MUI25" s="1266"/>
      <c r="MUJ25" s="1266"/>
      <c r="MUK25" s="1266"/>
      <c r="MUL25" s="1266"/>
      <c r="MUM25" s="1266"/>
      <c r="MUN25" s="1266"/>
      <c r="MUO25" s="1266"/>
      <c r="MUP25" s="1266"/>
      <c r="MUQ25" s="1266"/>
      <c r="MUR25" s="1266"/>
      <c r="MUS25" s="1266"/>
      <c r="MUT25" s="1266"/>
      <c r="MUU25" s="1266"/>
      <c r="MUV25" s="1266"/>
      <c r="MUW25" s="1266"/>
      <c r="MUX25" s="1266"/>
      <c r="MUY25" s="1266"/>
      <c r="MUZ25" s="1266"/>
      <c r="MVA25" s="1266"/>
      <c r="MVB25" s="1266"/>
      <c r="MVC25" s="1266"/>
      <c r="MVD25" s="1266"/>
      <c r="MVE25" s="1266"/>
      <c r="MVF25" s="1266"/>
      <c r="MVG25" s="1266"/>
      <c r="MVH25" s="1266"/>
      <c r="MVI25" s="1266"/>
      <c r="MVJ25" s="1266"/>
      <c r="MVK25" s="1266"/>
      <c r="MVL25" s="1266"/>
      <c r="MVM25" s="1266"/>
      <c r="MVN25" s="1266"/>
      <c r="MVO25" s="1266"/>
      <c r="MVP25" s="1266"/>
      <c r="MVQ25" s="1266"/>
      <c r="MVR25" s="1266"/>
      <c r="MVS25" s="1266"/>
      <c r="MVT25" s="1266"/>
      <c r="MVU25" s="1266"/>
      <c r="MVV25" s="1266"/>
      <c r="MVW25" s="1266"/>
      <c r="MVX25" s="1266"/>
      <c r="MVY25" s="1266"/>
      <c r="MVZ25" s="1266"/>
      <c r="MWA25" s="1266"/>
      <c r="MWB25" s="1266"/>
      <c r="MWC25" s="1266"/>
      <c r="MWD25" s="1266"/>
      <c r="MWE25" s="1266"/>
      <c r="MWF25" s="1266"/>
      <c r="MWG25" s="1266"/>
      <c r="MWH25" s="1266"/>
      <c r="MWI25" s="1266"/>
      <c r="MWJ25" s="1266"/>
      <c r="MWK25" s="1266"/>
      <c r="MWL25" s="1266"/>
      <c r="MWM25" s="1266"/>
      <c r="MWN25" s="1266"/>
      <c r="MWO25" s="1266"/>
      <c r="MWP25" s="1266"/>
      <c r="MWQ25" s="1266"/>
      <c r="MWR25" s="1266"/>
      <c r="MWS25" s="1266"/>
      <c r="MWT25" s="1266"/>
      <c r="MWU25" s="1266"/>
      <c r="MWV25" s="1266"/>
      <c r="MWW25" s="1266"/>
      <c r="MWX25" s="1266"/>
      <c r="MWY25" s="1266"/>
      <c r="MWZ25" s="1266"/>
      <c r="MXA25" s="1266"/>
      <c r="MXB25" s="1266"/>
      <c r="MXC25" s="1266"/>
      <c r="MXD25" s="1266"/>
      <c r="MXE25" s="1266"/>
      <c r="MXF25" s="1266"/>
      <c r="MXG25" s="1266"/>
      <c r="MXH25" s="1266"/>
      <c r="MXI25" s="1266"/>
      <c r="MXJ25" s="1266"/>
      <c r="MXK25" s="1266"/>
      <c r="MXL25" s="1266"/>
      <c r="MXM25" s="1266"/>
      <c r="MXN25" s="1266"/>
      <c r="MXO25" s="1266"/>
      <c r="MXP25" s="1266"/>
      <c r="MXQ25" s="1266"/>
      <c r="MXR25" s="1266"/>
      <c r="MXS25" s="1266"/>
      <c r="MXT25" s="1266"/>
      <c r="MXU25" s="1266"/>
      <c r="MXV25" s="1266"/>
      <c r="MXW25" s="1266"/>
      <c r="MXX25" s="1266"/>
      <c r="MXY25" s="1266"/>
      <c r="MXZ25" s="1266"/>
      <c r="MYA25" s="1266"/>
      <c r="MYB25" s="1266"/>
      <c r="MYC25" s="1266"/>
      <c r="MYD25" s="1266"/>
      <c r="MYE25" s="1266"/>
      <c r="MYF25" s="1266"/>
      <c r="MYG25" s="1266"/>
      <c r="MYH25" s="1266"/>
      <c r="MYI25" s="1266"/>
      <c r="MYJ25" s="1266"/>
      <c r="MYK25" s="1266"/>
      <c r="MYL25" s="1266"/>
      <c r="MYM25" s="1266"/>
      <c r="MYN25" s="1266"/>
      <c r="MYO25" s="1266"/>
      <c r="MYP25" s="1266"/>
      <c r="MYQ25" s="1266"/>
      <c r="MYR25" s="1266"/>
      <c r="MYS25" s="1266"/>
      <c r="MYT25" s="1266"/>
      <c r="MYU25" s="1266"/>
      <c r="MYV25" s="1266"/>
      <c r="MYW25" s="1266"/>
      <c r="MYX25" s="1266"/>
      <c r="MYY25" s="1266"/>
      <c r="MYZ25" s="1266"/>
      <c r="MZA25" s="1266"/>
      <c r="MZB25" s="1266"/>
      <c r="MZC25" s="1266"/>
      <c r="MZD25" s="1266"/>
      <c r="MZE25" s="1266"/>
      <c r="MZF25" s="1266"/>
      <c r="MZG25" s="1266"/>
      <c r="MZH25" s="1266"/>
      <c r="MZI25" s="1266"/>
      <c r="MZJ25" s="1266"/>
      <c r="MZK25" s="1266"/>
      <c r="MZL25" s="1266"/>
      <c r="MZM25" s="1266"/>
      <c r="MZN25" s="1266"/>
      <c r="MZO25" s="1266"/>
      <c r="MZP25" s="1266"/>
      <c r="MZQ25" s="1266"/>
      <c r="MZR25" s="1266"/>
      <c r="MZS25" s="1266"/>
      <c r="MZT25" s="1266"/>
      <c r="MZU25" s="1266"/>
      <c r="MZV25" s="1266"/>
      <c r="MZW25" s="1266"/>
      <c r="MZX25" s="1266"/>
      <c r="MZY25" s="1266"/>
      <c r="MZZ25" s="1266"/>
      <c r="NAA25" s="1266"/>
      <c r="NAB25" s="1266"/>
      <c r="NAC25" s="1266"/>
      <c r="NAD25" s="1266"/>
      <c r="NAE25" s="1266"/>
      <c r="NAF25" s="1266"/>
      <c r="NAG25" s="1266"/>
      <c r="NAH25" s="1266"/>
      <c r="NAI25" s="1266"/>
      <c r="NAJ25" s="1266"/>
      <c r="NAK25" s="1266"/>
      <c r="NAL25" s="1266"/>
      <c r="NAM25" s="1266"/>
      <c r="NAN25" s="1266"/>
      <c r="NAO25" s="1266"/>
      <c r="NAP25" s="1266"/>
      <c r="NAQ25" s="1266"/>
      <c r="NAR25" s="1266"/>
      <c r="NAS25" s="1266"/>
      <c r="NAT25" s="1266"/>
      <c r="NAU25" s="1266"/>
      <c r="NAV25" s="1266"/>
      <c r="NAW25" s="1266"/>
      <c r="NAX25" s="1266"/>
      <c r="NAY25" s="1266"/>
      <c r="NAZ25" s="1266"/>
      <c r="NBA25" s="1266"/>
      <c r="NBB25" s="1266"/>
      <c r="NBC25" s="1266"/>
      <c r="NBD25" s="1266"/>
      <c r="NBE25" s="1266"/>
      <c r="NBF25" s="1266"/>
      <c r="NBG25" s="1266"/>
      <c r="NBH25" s="1266"/>
      <c r="NBI25" s="1266"/>
      <c r="NBJ25" s="1266"/>
      <c r="NBK25" s="1266"/>
      <c r="NBL25" s="1266"/>
      <c r="NBM25" s="1266"/>
      <c r="NBN25" s="1266"/>
      <c r="NBO25" s="1266"/>
      <c r="NBP25" s="1266"/>
      <c r="NBQ25" s="1266"/>
      <c r="NBR25" s="1266"/>
      <c r="NBS25" s="1266"/>
      <c r="NBT25" s="1266"/>
      <c r="NBU25" s="1266"/>
      <c r="NBV25" s="1266"/>
      <c r="NBW25" s="1266"/>
      <c r="NBX25" s="1266"/>
      <c r="NBY25" s="1266"/>
      <c r="NBZ25" s="1266"/>
      <c r="NCA25" s="1266"/>
      <c r="NCB25" s="1266"/>
      <c r="NCC25" s="1266"/>
      <c r="NCD25" s="1266"/>
      <c r="NCE25" s="1266"/>
      <c r="NCF25" s="1266"/>
      <c r="NCG25" s="1266"/>
      <c r="NCH25" s="1266"/>
      <c r="NCI25" s="1266"/>
      <c r="NCJ25" s="1266"/>
      <c r="NCK25" s="1266"/>
      <c r="NCL25" s="1266"/>
      <c r="NCM25" s="1266"/>
      <c r="NCN25" s="1266"/>
      <c r="NCO25" s="1266"/>
      <c r="NCP25" s="1266"/>
      <c r="NCQ25" s="1266"/>
      <c r="NCR25" s="1266"/>
      <c r="NCS25" s="1266"/>
      <c r="NCT25" s="1266"/>
      <c r="NCU25" s="1266"/>
      <c r="NCV25" s="1266"/>
      <c r="NCW25" s="1266"/>
      <c r="NCX25" s="1266"/>
      <c r="NCY25" s="1266"/>
      <c r="NCZ25" s="1266"/>
      <c r="NDA25" s="1266"/>
      <c r="NDB25" s="1266"/>
      <c r="NDC25" s="1266"/>
      <c r="NDD25" s="1266"/>
      <c r="NDE25" s="1266"/>
      <c r="NDF25" s="1266"/>
      <c r="NDG25" s="1266"/>
      <c r="NDH25" s="1266"/>
      <c r="NDI25" s="1266"/>
      <c r="NDJ25" s="1266"/>
      <c r="NDK25" s="1266"/>
      <c r="NDL25" s="1266"/>
      <c r="NDM25" s="1266"/>
      <c r="NDN25" s="1266"/>
      <c r="NDO25" s="1266"/>
      <c r="NDP25" s="1266"/>
      <c r="NDQ25" s="1266"/>
      <c r="NDR25" s="1266"/>
      <c r="NDS25" s="1266"/>
      <c r="NDT25" s="1266"/>
      <c r="NDU25" s="1266"/>
      <c r="NDV25" s="1266"/>
      <c r="NDW25" s="1266"/>
      <c r="NDX25" s="1266"/>
      <c r="NDY25" s="1266"/>
      <c r="NDZ25" s="1266"/>
      <c r="NEA25" s="1266"/>
      <c r="NEB25" s="1266"/>
      <c r="NEC25" s="1266"/>
      <c r="NED25" s="1266"/>
      <c r="NEE25" s="1266"/>
      <c r="NEF25" s="1266"/>
      <c r="NEG25" s="1266"/>
      <c r="NEH25" s="1266"/>
      <c r="NEI25" s="1266"/>
      <c r="NEJ25" s="1266"/>
      <c r="NEK25" s="1266"/>
      <c r="NEL25" s="1266"/>
      <c r="NEM25" s="1266"/>
      <c r="NEN25" s="1266"/>
      <c r="NEO25" s="1266"/>
      <c r="NEP25" s="1266"/>
      <c r="NEQ25" s="1266"/>
      <c r="NER25" s="1266"/>
      <c r="NES25" s="1266"/>
      <c r="NET25" s="1266"/>
      <c r="NEU25" s="1266"/>
      <c r="NEV25" s="1266"/>
      <c r="NEW25" s="1266"/>
      <c r="NEX25" s="1266"/>
      <c r="NEY25" s="1266"/>
      <c r="NEZ25" s="1266"/>
      <c r="NFA25" s="1266"/>
      <c r="NFB25" s="1266"/>
      <c r="NFC25" s="1266"/>
      <c r="NFD25" s="1266"/>
      <c r="NFE25" s="1266"/>
      <c r="NFF25" s="1266"/>
      <c r="NFG25" s="1266"/>
      <c r="NFH25" s="1266"/>
      <c r="NFI25" s="1266"/>
      <c r="NFJ25" s="1266"/>
      <c r="NFK25" s="1266"/>
      <c r="NFL25" s="1266"/>
      <c r="NFM25" s="1266"/>
      <c r="NFN25" s="1266"/>
      <c r="NFO25" s="1266"/>
      <c r="NFP25" s="1266"/>
      <c r="NFQ25" s="1266"/>
      <c r="NFR25" s="1266"/>
      <c r="NFS25" s="1266"/>
      <c r="NFT25" s="1266"/>
      <c r="NFU25" s="1266"/>
      <c r="NFV25" s="1266"/>
      <c r="NFW25" s="1266"/>
      <c r="NFX25" s="1266"/>
      <c r="NFY25" s="1266"/>
      <c r="NFZ25" s="1266"/>
      <c r="NGA25" s="1266"/>
      <c r="NGB25" s="1266"/>
      <c r="NGC25" s="1266"/>
      <c r="NGD25" s="1266"/>
      <c r="NGE25" s="1266"/>
      <c r="NGF25" s="1266"/>
      <c r="NGG25" s="1266"/>
      <c r="NGH25" s="1266"/>
      <c r="NGI25" s="1266"/>
      <c r="NGJ25" s="1266"/>
      <c r="NGK25" s="1266"/>
      <c r="NGL25" s="1266"/>
      <c r="NGM25" s="1266"/>
      <c r="NGN25" s="1266"/>
      <c r="NGO25" s="1266"/>
      <c r="NGP25" s="1266"/>
      <c r="NGQ25" s="1266"/>
      <c r="NGR25" s="1266"/>
      <c r="NGS25" s="1266"/>
      <c r="NGT25" s="1266"/>
      <c r="NGU25" s="1266"/>
      <c r="NGV25" s="1266"/>
      <c r="NGW25" s="1266"/>
      <c r="NGX25" s="1266"/>
      <c r="NGY25" s="1266"/>
      <c r="NGZ25" s="1266"/>
      <c r="NHA25" s="1266"/>
      <c r="NHB25" s="1266"/>
      <c r="NHC25" s="1266"/>
      <c r="NHD25" s="1266"/>
      <c r="NHE25" s="1266"/>
      <c r="NHF25" s="1266"/>
      <c r="NHG25" s="1266"/>
      <c r="NHH25" s="1266"/>
      <c r="NHI25" s="1266"/>
      <c r="NHJ25" s="1266"/>
      <c r="NHK25" s="1266"/>
      <c r="NHL25" s="1266"/>
      <c r="NHM25" s="1266"/>
      <c r="NHN25" s="1266"/>
      <c r="NHO25" s="1266"/>
      <c r="NHP25" s="1266"/>
      <c r="NHQ25" s="1266"/>
      <c r="NHR25" s="1266"/>
      <c r="NHS25" s="1266"/>
      <c r="NHT25" s="1266"/>
      <c r="NHU25" s="1266"/>
      <c r="NHV25" s="1266"/>
      <c r="NHW25" s="1266"/>
      <c r="NHX25" s="1266"/>
      <c r="NHY25" s="1266"/>
      <c r="NHZ25" s="1266"/>
      <c r="NIA25" s="1266"/>
      <c r="NIB25" s="1266"/>
      <c r="NIC25" s="1266"/>
      <c r="NID25" s="1266"/>
      <c r="NIE25" s="1266"/>
      <c r="NIF25" s="1266"/>
      <c r="NIG25" s="1266"/>
      <c r="NIH25" s="1266"/>
      <c r="NII25" s="1266"/>
      <c r="NIJ25" s="1266"/>
      <c r="NIK25" s="1266"/>
      <c r="NIL25" s="1266"/>
      <c r="NIM25" s="1266"/>
      <c r="NIN25" s="1266"/>
      <c r="NIO25" s="1266"/>
      <c r="NIP25" s="1266"/>
      <c r="NIQ25" s="1266"/>
      <c r="NIR25" s="1266"/>
      <c r="NIS25" s="1266"/>
      <c r="NIT25" s="1266"/>
      <c r="NIU25" s="1266"/>
      <c r="NIV25" s="1266"/>
      <c r="NIW25" s="1266"/>
      <c r="NIX25" s="1266"/>
      <c r="NIY25" s="1266"/>
      <c r="NIZ25" s="1266"/>
      <c r="NJA25" s="1266"/>
      <c r="NJB25" s="1266"/>
      <c r="NJC25" s="1266"/>
      <c r="NJD25" s="1266"/>
      <c r="NJE25" s="1266"/>
      <c r="NJF25" s="1266"/>
      <c r="NJG25" s="1266"/>
      <c r="NJH25" s="1266"/>
      <c r="NJI25" s="1266"/>
      <c r="NJJ25" s="1266"/>
      <c r="NJK25" s="1266"/>
      <c r="NJL25" s="1266"/>
      <c r="NJM25" s="1266"/>
      <c r="NJN25" s="1266"/>
      <c r="NJO25" s="1266"/>
      <c r="NJP25" s="1266"/>
      <c r="NJQ25" s="1266"/>
      <c r="NJR25" s="1266"/>
      <c r="NJS25" s="1266"/>
      <c r="NJT25" s="1266"/>
      <c r="NJU25" s="1266"/>
      <c r="NJV25" s="1266"/>
      <c r="NJW25" s="1266"/>
      <c r="NJX25" s="1266"/>
      <c r="NJY25" s="1266"/>
      <c r="NJZ25" s="1266"/>
      <c r="NKA25" s="1266"/>
      <c r="NKB25" s="1266"/>
      <c r="NKC25" s="1266"/>
      <c r="NKD25" s="1266"/>
      <c r="NKE25" s="1266"/>
      <c r="NKF25" s="1266"/>
      <c r="NKG25" s="1266"/>
      <c r="NKH25" s="1266"/>
      <c r="NKI25" s="1266"/>
      <c r="NKJ25" s="1266"/>
      <c r="NKK25" s="1266"/>
      <c r="NKL25" s="1266"/>
      <c r="NKM25" s="1266"/>
      <c r="NKN25" s="1266"/>
      <c r="NKO25" s="1266"/>
      <c r="NKP25" s="1266"/>
      <c r="NKQ25" s="1266"/>
      <c r="NKR25" s="1266"/>
      <c r="NKS25" s="1266"/>
      <c r="NKT25" s="1266"/>
      <c r="NKU25" s="1266"/>
      <c r="NKV25" s="1266"/>
      <c r="NKW25" s="1266"/>
      <c r="NKX25" s="1266"/>
      <c r="NKY25" s="1266"/>
      <c r="NKZ25" s="1266"/>
      <c r="NLA25" s="1266"/>
      <c r="NLB25" s="1266"/>
      <c r="NLC25" s="1266"/>
      <c r="NLD25" s="1266"/>
      <c r="NLE25" s="1266"/>
      <c r="NLF25" s="1266"/>
      <c r="NLG25" s="1266"/>
      <c r="NLH25" s="1266"/>
      <c r="NLI25" s="1266"/>
      <c r="NLJ25" s="1266"/>
      <c r="NLK25" s="1266"/>
      <c r="NLL25" s="1266"/>
      <c r="NLM25" s="1266"/>
      <c r="NLN25" s="1266"/>
      <c r="NLO25" s="1266"/>
      <c r="NLP25" s="1266"/>
      <c r="NLQ25" s="1266"/>
      <c r="NLR25" s="1266"/>
      <c r="NLS25" s="1266"/>
      <c r="NLT25" s="1266"/>
      <c r="NLU25" s="1266"/>
      <c r="NLV25" s="1266"/>
      <c r="NLW25" s="1266"/>
      <c r="NLX25" s="1266"/>
      <c r="NLY25" s="1266"/>
      <c r="NLZ25" s="1266"/>
      <c r="NMA25" s="1266"/>
      <c r="NMB25" s="1266"/>
      <c r="NMC25" s="1266"/>
      <c r="NMD25" s="1266"/>
      <c r="NME25" s="1266"/>
      <c r="NMF25" s="1266"/>
      <c r="NMG25" s="1266"/>
      <c r="NMH25" s="1266"/>
      <c r="NMI25" s="1266"/>
      <c r="NMJ25" s="1266"/>
      <c r="NMK25" s="1266"/>
      <c r="NML25" s="1266"/>
      <c r="NMM25" s="1266"/>
      <c r="NMN25" s="1266"/>
      <c r="NMO25" s="1266"/>
      <c r="NMP25" s="1266"/>
      <c r="NMQ25" s="1266"/>
      <c r="NMR25" s="1266"/>
      <c r="NMS25" s="1266"/>
      <c r="NMT25" s="1266"/>
      <c r="NMU25" s="1266"/>
      <c r="NMV25" s="1266"/>
      <c r="NMW25" s="1266"/>
      <c r="NMX25" s="1266"/>
      <c r="NMY25" s="1266"/>
      <c r="NMZ25" s="1266"/>
      <c r="NNA25" s="1266"/>
      <c r="NNB25" s="1266"/>
      <c r="NNC25" s="1266"/>
      <c r="NND25" s="1266"/>
      <c r="NNE25" s="1266"/>
      <c r="NNF25" s="1266"/>
      <c r="NNG25" s="1266"/>
      <c r="NNH25" s="1266"/>
      <c r="NNI25" s="1266"/>
      <c r="NNJ25" s="1266"/>
      <c r="NNK25" s="1266"/>
      <c r="NNL25" s="1266"/>
      <c r="NNM25" s="1266"/>
      <c r="NNN25" s="1266"/>
      <c r="NNO25" s="1266"/>
      <c r="NNP25" s="1266"/>
      <c r="NNQ25" s="1266"/>
      <c r="NNR25" s="1266"/>
      <c r="NNS25" s="1266"/>
      <c r="NNT25" s="1266"/>
      <c r="NNU25" s="1266"/>
      <c r="NNV25" s="1266"/>
      <c r="NNW25" s="1266"/>
      <c r="NNX25" s="1266"/>
      <c r="NNY25" s="1266"/>
      <c r="NNZ25" s="1266"/>
      <c r="NOA25" s="1266"/>
      <c r="NOB25" s="1266"/>
      <c r="NOC25" s="1266"/>
      <c r="NOD25" s="1266"/>
      <c r="NOE25" s="1266"/>
      <c r="NOF25" s="1266"/>
      <c r="NOG25" s="1266"/>
      <c r="NOH25" s="1266"/>
      <c r="NOI25" s="1266"/>
      <c r="NOJ25" s="1266"/>
      <c r="NOK25" s="1266"/>
      <c r="NOL25" s="1266"/>
      <c r="NOM25" s="1266"/>
      <c r="NON25" s="1266"/>
      <c r="NOO25" s="1266"/>
      <c r="NOP25" s="1266"/>
      <c r="NOQ25" s="1266"/>
      <c r="NOR25" s="1266"/>
      <c r="NOS25" s="1266"/>
      <c r="NOT25" s="1266"/>
      <c r="NOU25" s="1266"/>
      <c r="NOV25" s="1266"/>
      <c r="NOW25" s="1266"/>
      <c r="NOX25" s="1266"/>
      <c r="NOY25" s="1266"/>
      <c r="NOZ25" s="1266"/>
      <c r="NPA25" s="1266"/>
      <c r="NPB25" s="1266"/>
      <c r="NPC25" s="1266"/>
      <c r="NPD25" s="1266"/>
      <c r="NPE25" s="1266"/>
      <c r="NPF25" s="1266"/>
      <c r="NPG25" s="1266"/>
      <c r="NPH25" s="1266"/>
      <c r="NPI25" s="1266"/>
      <c r="NPJ25" s="1266"/>
      <c r="NPK25" s="1266"/>
      <c r="NPL25" s="1266"/>
      <c r="NPM25" s="1266"/>
      <c r="NPN25" s="1266"/>
      <c r="NPO25" s="1266"/>
      <c r="NPP25" s="1266"/>
      <c r="NPQ25" s="1266"/>
      <c r="NPR25" s="1266"/>
      <c r="NPS25" s="1266"/>
      <c r="NPT25" s="1266"/>
      <c r="NPU25" s="1266"/>
      <c r="NPV25" s="1266"/>
      <c r="NPW25" s="1266"/>
      <c r="NPX25" s="1266"/>
      <c r="NPY25" s="1266"/>
      <c r="NPZ25" s="1266"/>
      <c r="NQA25" s="1266"/>
      <c r="NQB25" s="1266"/>
      <c r="NQC25" s="1266"/>
      <c r="NQD25" s="1266"/>
      <c r="NQE25" s="1266"/>
      <c r="NQF25" s="1266"/>
      <c r="NQG25" s="1266"/>
      <c r="NQH25" s="1266"/>
      <c r="NQI25" s="1266"/>
      <c r="NQJ25" s="1266"/>
      <c r="NQK25" s="1266"/>
      <c r="NQL25" s="1266"/>
      <c r="NQM25" s="1266"/>
      <c r="NQN25" s="1266"/>
      <c r="NQO25" s="1266"/>
      <c r="NQP25" s="1266"/>
      <c r="NQQ25" s="1266"/>
      <c r="NQR25" s="1266"/>
      <c r="NQS25" s="1266"/>
      <c r="NQT25" s="1266"/>
      <c r="NQU25" s="1266"/>
      <c r="NQV25" s="1266"/>
      <c r="NQW25" s="1266"/>
      <c r="NQX25" s="1266"/>
      <c r="NQY25" s="1266"/>
      <c r="NQZ25" s="1266"/>
      <c r="NRA25" s="1266"/>
      <c r="NRB25" s="1266"/>
      <c r="NRC25" s="1266"/>
      <c r="NRD25" s="1266"/>
      <c r="NRE25" s="1266"/>
      <c r="NRF25" s="1266"/>
      <c r="NRG25" s="1266"/>
      <c r="NRH25" s="1266"/>
      <c r="NRI25" s="1266"/>
      <c r="NRJ25" s="1266"/>
      <c r="NRK25" s="1266"/>
      <c r="NRL25" s="1266"/>
      <c r="NRM25" s="1266"/>
      <c r="NRN25" s="1266"/>
      <c r="NRO25" s="1266"/>
      <c r="NRP25" s="1266"/>
      <c r="NRQ25" s="1266"/>
      <c r="NRR25" s="1266"/>
      <c r="NRS25" s="1266"/>
      <c r="NRT25" s="1266"/>
      <c r="NRU25" s="1266"/>
      <c r="NRV25" s="1266"/>
      <c r="NRW25" s="1266"/>
      <c r="NRX25" s="1266"/>
      <c r="NRY25" s="1266"/>
      <c r="NRZ25" s="1266"/>
      <c r="NSA25" s="1266"/>
      <c r="NSB25" s="1266"/>
      <c r="NSC25" s="1266"/>
      <c r="NSD25" s="1266"/>
      <c r="NSE25" s="1266"/>
      <c r="NSF25" s="1266"/>
      <c r="NSG25" s="1266"/>
      <c r="NSH25" s="1266"/>
      <c r="NSI25" s="1266"/>
      <c r="NSJ25" s="1266"/>
      <c r="NSK25" s="1266"/>
      <c r="NSL25" s="1266"/>
      <c r="NSM25" s="1266"/>
      <c r="NSN25" s="1266"/>
      <c r="NSO25" s="1266"/>
      <c r="NSP25" s="1266"/>
      <c r="NSQ25" s="1266"/>
      <c r="NSR25" s="1266"/>
      <c r="NSS25" s="1266"/>
      <c r="NST25" s="1266"/>
      <c r="NSU25" s="1266"/>
      <c r="NSV25" s="1266"/>
      <c r="NSW25" s="1266"/>
      <c r="NSX25" s="1266"/>
      <c r="NSY25" s="1266"/>
      <c r="NSZ25" s="1266"/>
      <c r="NTA25" s="1266"/>
      <c r="NTB25" s="1266"/>
      <c r="NTC25" s="1266"/>
      <c r="NTD25" s="1266"/>
      <c r="NTE25" s="1266"/>
      <c r="NTF25" s="1266"/>
      <c r="NTG25" s="1266"/>
      <c r="NTH25" s="1266"/>
      <c r="NTI25" s="1266"/>
      <c r="NTJ25" s="1266"/>
      <c r="NTK25" s="1266"/>
      <c r="NTL25" s="1266"/>
      <c r="NTM25" s="1266"/>
      <c r="NTN25" s="1266"/>
      <c r="NTO25" s="1266"/>
      <c r="NTP25" s="1266"/>
      <c r="NTQ25" s="1266"/>
      <c r="NTR25" s="1266"/>
      <c r="NTS25" s="1266"/>
      <c r="NTT25" s="1266"/>
      <c r="NTU25" s="1266"/>
      <c r="NTV25" s="1266"/>
      <c r="NTW25" s="1266"/>
      <c r="NTX25" s="1266"/>
      <c r="NTY25" s="1266"/>
      <c r="NTZ25" s="1266"/>
      <c r="NUA25" s="1266"/>
      <c r="NUB25" s="1266"/>
      <c r="NUC25" s="1266"/>
      <c r="NUD25" s="1266"/>
      <c r="NUE25" s="1266"/>
      <c r="NUF25" s="1266"/>
      <c r="NUG25" s="1266"/>
      <c r="NUH25" s="1266"/>
      <c r="NUI25" s="1266"/>
      <c r="NUJ25" s="1266"/>
      <c r="NUK25" s="1266"/>
      <c r="NUL25" s="1266"/>
      <c r="NUM25" s="1266"/>
      <c r="NUN25" s="1266"/>
      <c r="NUO25" s="1266"/>
      <c r="NUP25" s="1266"/>
      <c r="NUQ25" s="1266"/>
      <c r="NUR25" s="1266"/>
      <c r="NUS25" s="1266"/>
      <c r="NUT25" s="1266"/>
      <c r="NUU25" s="1266"/>
      <c r="NUV25" s="1266"/>
      <c r="NUW25" s="1266"/>
      <c r="NUX25" s="1266"/>
      <c r="NUY25" s="1266"/>
      <c r="NUZ25" s="1266"/>
      <c r="NVA25" s="1266"/>
      <c r="NVB25" s="1266"/>
      <c r="NVC25" s="1266"/>
      <c r="NVD25" s="1266"/>
      <c r="NVE25" s="1266"/>
      <c r="NVF25" s="1266"/>
      <c r="NVG25" s="1266"/>
      <c r="NVH25" s="1266"/>
      <c r="NVI25" s="1266"/>
      <c r="NVJ25" s="1266"/>
      <c r="NVK25" s="1266"/>
      <c r="NVL25" s="1266"/>
      <c r="NVM25" s="1266"/>
      <c r="NVN25" s="1266"/>
      <c r="NVO25" s="1266"/>
      <c r="NVP25" s="1266"/>
      <c r="NVQ25" s="1266"/>
      <c r="NVR25" s="1266"/>
      <c r="NVS25" s="1266"/>
      <c r="NVT25" s="1266"/>
      <c r="NVU25" s="1266"/>
      <c r="NVV25" s="1266"/>
      <c r="NVW25" s="1266"/>
      <c r="NVX25" s="1266"/>
      <c r="NVY25" s="1266"/>
      <c r="NVZ25" s="1266"/>
      <c r="NWA25" s="1266"/>
      <c r="NWB25" s="1266"/>
      <c r="NWC25" s="1266"/>
      <c r="NWD25" s="1266"/>
      <c r="NWE25" s="1266"/>
      <c r="NWF25" s="1266"/>
      <c r="NWG25" s="1266"/>
      <c r="NWH25" s="1266"/>
      <c r="NWI25" s="1266"/>
      <c r="NWJ25" s="1266"/>
      <c r="NWK25" s="1266"/>
      <c r="NWL25" s="1266"/>
      <c r="NWM25" s="1266"/>
      <c r="NWN25" s="1266"/>
      <c r="NWO25" s="1266"/>
      <c r="NWP25" s="1266"/>
      <c r="NWQ25" s="1266"/>
      <c r="NWR25" s="1266"/>
      <c r="NWS25" s="1266"/>
      <c r="NWT25" s="1266"/>
      <c r="NWU25" s="1266"/>
      <c r="NWV25" s="1266"/>
      <c r="NWW25" s="1266"/>
      <c r="NWX25" s="1266"/>
      <c r="NWY25" s="1266"/>
      <c r="NWZ25" s="1266"/>
      <c r="NXA25" s="1266"/>
      <c r="NXB25" s="1266"/>
      <c r="NXC25" s="1266"/>
      <c r="NXD25" s="1266"/>
      <c r="NXE25" s="1266"/>
      <c r="NXF25" s="1266"/>
      <c r="NXG25" s="1266"/>
      <c r="NXH25" s="1266"/>
      <c r="NXI25" s="1266"/>
      <c r="NXJ25" s="1266"/>
      <c r="NXK25" s="1266"/>
      <c r="NXL25" s="1266"/>
      <c r="NXM25" s="1266"/>
      <c r="NXN25" s="1266"/>
      <c r="NXO25" s="1266"/>
      <c r="NXP25" s="1266"/>
      <c r="NXQ25" s="1266"/>
      <c r="NXR25" s="1266"/>
      <c r="NXS25" s="1266"/>
      <c r="NXT25" s="1266"/>
      <c r="NXU25" s="1266"/>
      <c r="NXV25" s="1266"/>
      <c r="NXW25" s="1266"/>
      <c r="NXX25" s="1266"/>
      <c r="NXY25" s="1266"/>
      <c r="NXZ25" s="1266"/>
      <c r="NYA25" s="1266"/>
      <c r="NYB25" s="1266"/>
      <c r="NYC25" s="1266"/>
      <c r="NYD25" s="1266"/>
      <c r="NYE25" s="1266"/>
      <c r="NYF25" s="1266"/>
      <c r="NYG25" s="1266"/>
      <c r="NYH25" s="1266"/>
      <c r="NYI25" s="1266"/>
      <c r="NYJ25" s="1266"/>
      <c r="NYK25" s="1266"/>
      <c r="NYL25" s="1266"/>
      <c r="NYM25" s="1266"/>
      <c r="NYN25" s="1266"/>
      <c r="NYO25" s="1266"/>
      <c r="NYP25" s="1266"/>
      <c r="NYQ25" s="1266"/>
      <c r="NYR25" s="1266"/>
      <c r="NYS25" s="1266"/>
      <c r="NYT25" s="1266"/>
      <c r="NYU25" s="1266"/>
      <c r="NYV25" s="1266"/>
      <c r="NYW25" s="1266"/>
      <c r="NYX25" s="1266"/>
      <c r="NYY25" s="1266"/>
      <c r="NYZ25" s="1266"/>
      <c r="NZA25" s="1266"/>
      <c r="NZB25" s="1266"/>
      <c r="NZC25" s="1266"/>
      <c r="NZD25" s="1266"/>
      <c r="NZE25" s="1266"/>
      <c r="NZF25" s="1266"/>
      <c r="NZG25" s="1266"/>
      <c r="NZH25" s="1266"/>
      <c r="NZI25" s="1266"/>
      <c r="NZJ25" s="1266"/>
      <c r="NZK25" s="1266"/>
      <c r="NZL25" s="1266"/>
      <c r="NZM25" s="1266"/>
      <c r="NZN25" s="1266"/>
      <c r="NZO25" s="1266"/>
      <c r="NZP25" s="1266"/>
      <c r="NZQ25" s="1266"/>
      <c r="NZR25" s="1266"/>
      <c r="NZS25" s="1266"/>
      <c r="NZT25" s="1266"/>
      <c r="NZU25" s="1266"/>
      <c r="NZV25" s="1266"/>
      <c r="NZW25" s="1266"/>
      <c r="NZX25" s="1266"/>
      <c r="NZY25" s="1266"/>
      <c r="NZZ25" s="1266"/>
      <c r="OAA25" s="1266"/>
      <c r="OAB25" s="1266"/>
      <c r="OAC25" s="1266"/>
      <c r="OAD25" s="1266"/>
      <c r="OAE25" s="1266"/>
      <c r="OAF25" s="1266"/>
      <c r="OAG25" s="1266"/>
      <c r="OAH25" s="1266"/>
      <c r="OAI25" s="1266"/>
      <c r="OAJ25" s="1266"/>
      <c r="OAK25" s="1266"/>
      <c r="OAL25" s="1266"/>
      <c r="OAM25" s="1266"/>
      <c r="OAN25" s="1266"/>
      <c r="OAO25" s="1266"/>
      <c r="OAP25" s="1266"/>
      <c r="OAQ25" s="1266"/>
      <c r="OAR25" s="1266"/>
      <c r="OAS25" s="1266"/>
      <c r="OAT25" s="1266"/>
      <c r="OAU25" s="1266"/>
      <c r="OAV25" s="1266"/>
      <c r="OAW25" s="1266"/>
      <c r="OAX25" s="1266"/>
      <c r="OAY25" s="1266"/>
      <c r="OAZ25" s="1266"/>
      <c r="OBA25" s="1266"/>
      <c r="OBB25" s="1266"/>
      <c r="OBC25" s="1266"/>
      <c r="OBD25" s="1266"/>
      <c r="OBE25" s="1266"/>
      <c r="OBF25" s="1266"/>
      <c r="OBG25" s="1266"/>
      <c r="OBH25" s="1266"/>
      <c r="OBI25" s="1266"/>
      <c r="OBJ25" s="1266"/>
      <c r="OBK25" s="1266"/>
      <c r="OBL25" s="1266"/>
      <c r="OBM25" s="1266"/>
      <c r="OBN25" s="1266"/>
      <c r="OBO25" s="1266"/>
      <c r="OBP25" s="1266"/>
      <c r="OBQ25" s="1266"/>
      <c r="OBR25" s="1266"/>
      <c r="OBS25" s="1266"/>
      <c r="OBT25" s="1266"/>
      <c r="OBU25" s="1266"/>
      <c r="OBV25" s="1266"/>
      <c r="OBW25" s="1266"/>
      <c r="OBX25" s="1266"/>
      <c r="OBY25" s="1266"/>
      <c r="OBZ25" s="1266"/>
      <c r="OCA25" s="1266"/>
      <c r="OCB25" s="1266"/>
      <c r="OCC25" s="1266"/>
      <c r="OCD25" s="1266"/>
      <c r="OCE25" s="1266"/>
      <c r="OCF25" s="1266"/>
      <c r="OCG25" s="1266"/>
      <c r="OCH25" s="1266"/>
      <c r="OCI25" s="1266"/>
      <c r="OCJ25" s="1266"/>
      <c r="OCK25" s="1266"/>
      <c r="OCL25" s="1266"/>
      <c r="OCM25" s="1266"/>
      <c r="OCN25" s="1266"/>
      <c r="OCO25" s="1266"/>
      <c r="OCP25" s="1266"/>
      <c r="OCQ25" s="1266"/>
      <c r="OCR25" s="1266"/>
      <c r="OCS25" s="1266"/>
      <c r="OCT25" s="1266"/>
      <c r="OCU25" s="1266"/>
      <c r="OCV25" s="1266"/>
      <c r="OCW25" s="1266"/>
      <c r="OCX25" s="1266"/>
      <c r="OCY25" s="1266"/>
      <c r="OCZ25" s="1266"/>
      <c r="ODA25" s="1266"/>
      <c r="ODB25" s="1266"/>
      <c r="ODC25" s="1266"/>
      <c r="ODD25" s="1266"/>
      <c r="ODE25" s="1266"/>
      <c r="ODF25" s="1266"/>
      <c r="ODG25" s="1266"/>
      <c r="ODH25" s="1266"/>
      <c r="ODI25" s="1266"/>
      <c r="ODJ25" s="1266"/>
      <c r="ODK25" s="1266"/>
      <c r="ODL25" s="1266"/>
      <c r="ODM25" s="1266"/>
      <c r="ODN25" s="1266"/>
      <c r="ODO25" s="1266"/>
      <c r="ODP25" s="1266"/>
      <c r="ODQ25" s="1266"/>
      <c r="ODR25" s="1266"/>
      <c r="ODS25" s="1266"/>
      <c r="ODT25" s="1266"/>
      <c r="ODU25" s="1266"/>
      <c r="ODV25" s="1266"/>
      <c r="ODW25" s="1266"/>
      <c r="ODX25" s="1266"/>
      <c r="ODY25" s="1266"/>
      <c r="ODZ25" s="1266"/>
      <c r="OEA25" s="1266"/>
      <c r="OEB25" s="1266"/>
      <c r="OEC25" s="1266"/>
      <c r="OED25" s="1266"/>
      <c r="OEE25" s="1266"/>
      <c r="OEF25" s="1266"/>
      <c r="OEG25" s="1266"/>
      <c r="OEH25" s="1266"/>
      <c r="OEI25" s="1266"/>
      <c r="OEJ25" s="1266"/>
      <c r="OEK25" s="1266"/>
      <c r="OEL25" s="1266"/>
      <c r="OEM25" s="1266"/>
      <c r="OEN25" s="1266"/>
      <c r="OEO25" s="1266"/>
      <c r="OEP25" s="1266"/>
      <c r="OEQ25" s="1266"/>
      <c r="OER25" s="1266"/>
      <c r="OES25" s="1266"/>
      <c r="OET25" s="1266"/>
      <c r="OEU25" s="1266"/>
      <c r="OEV25" s="1266"/>
      <c r="OEW25" s="1266"/>
      <c r="OEX25" s="1266"/>
      <c r="OEY25" s="1266"/>
      <c r="OEZ25" s="1266"/>
      <c r="OFA25" s="1266"/>
      <c r="OFB25" s="1266"/>
      <c r="OFC25" s="1266"/>
      <c r="OFD25" s="1266"/>
      <c r="OFE25" s="1266"/>
      <c r="OFF25" s="1266"/>
      <c r="OFG25" s="1266"/>
      <c r="OFH25" s="1266"/>
      <c r="OFI25" s="1266"/>
      <c r="OFJ25" s="1266"/>
      <c r="OFK25" s="1266"/>
      <c r="OFL25" s="1266"/>
      <c r="OFM25" s="1266"/>
      <c r="OFN25" s="1266"/>
      <c r="OFO25" s="1266"/>
      <c r="OFP25" s="1266"/>
      <c r="OFQ25" s="1266"/>
      <c r="OFR25" s="1266"/>
      <c r="OFS25" s="1266"/>
      <c r="OFT25" s="1266"/>
      <c r="OFU25" s="1266"/>
      <c r="OFV25" s="1266"/>
      <c r="OFW25" s="1266"/>
      <c r="OFX25" s="1266"/>
      <c r="OFY25" s="1266"/>
      <c r="OFZ25" s="1266"/>
      <c r="OGA25" s="1266"/>
      <c r="OGB25" s="1266"/>
      <c r="OGC25" s="1266"/>
      <c r="OGD25" s="1266"/>
      <c r="OGE25" s="1266"/>
      <c r="OGF25" s="1266"/>
      <c r="OGG25" s="1266"/>
      <c r="OGH25" s="1266"/>
      <c r="OGI25" s="1266"/>
      <c r="OGJ25" s="1266"/>
      <c r="OGK25" s="1266"/>
      <c r="OGL25" s="1266"/>
      <c r="OGM25" s="1266"/>
      <c r="OGN25" s="1266"/>
      <c r="OGO25" s="1266"/>
      <c r="OGP25" s="1266"/>
      <c r="OGQ25" s="1266"/>
      <c r="OGR25" s="1266"/>
      <c r="OGS25" s="1266"/>
      <c r="OGT25" s="1266"/>
      <c r="OGU25" s="1266"/>
      <c r="OGV25" s="1266"/>
      <c r="OGW25" s="1266"/>
      <c r="OGX25" s="1266"/>
      <c r="OGY25" s="1266"/>
      <c r="OGZ25" s="1266"/>
      <c r="OHA25" s="1266"/>
      <c r="OHB25" s="1266"/>
      <c r="OHC25" s="1266"/>
      <c r="OHD25" s="1266"/>
      <c r="OHE25" s="1266"/>
      <c r="OHF25" s="1266"/>
      <c r="OHG25" s="1266"/>
      <c r="OHH25" s="1266"/>
      <c r="OHI25" s="1266"/>
      <c r="OHJ25" s="1266"/>
      <c r="OHK25" s="1266"/>
      <c r="OHL25" s="1266"/>
      <c r="OHM25" s="1266"/>
      <c r="OHN25" s="1266"/>
      <c r="OHO25" s="1266"/>
      <c r="OHP25" s="1266"/>
      <c r="OHQ25" s="1266"/>
      <c r="OHR25" s="1266"/>
      <c r="OHS25" s="1266"/>
      <c r="OHT25" s="1266"/>
      <c r="OHU25" s="1266"/>
      <c r="OHV25" s="1266"/>
      <c r="OHW25" s="1266"/>
      <c r="OHX25" s="1266"/>
      <c r="OHY25" s="1266"/>
      <c r="OHZ25" s="1266"/>
      <c r="OIA25" s="1266"/>
      <c r="OIB25" s="1266"/>
      <c r="OIC25" s="1266"/>
      <c r="OID25" s="1266"/>
      <c r="OIE25" s="1266"/>
      <c r="OIF25" s="1266"/>
      <c r="OIG25" s="1266"/>
      <c r="OIH25" s="1266"/>
      <c r="OII25" s="1266"/>
      <c r="OIJ25" s="1266"/>
      <c r="OIK25" s="1266"/>
      <c r="OIL25" s="1266"/>
      <c r="OIM25" s="1266"/>
      <c r="OIN25" s="1266"/>
      <c r="OIO25" s="1266"/>
      <c r="OIP25" s="1266"/>
      <c r="OIQ25" s="1266"/>
      <c r="OIR25" s="1266"/>
      <c r="OIS25" s="1266"/>
      <c r="OIT25" s="1266"/>
      <c r="OIU25" s="1266"/>
      <c r="OIV25" s="1266"/>
      <c r="OIW25" s="1266"/>
      <c r="OIX25" s="1266"/>
      <c r="OIY25" s="1266"/>
      <c r="OIZ25" s="1266"/>
      <c r="OJA25" s="1266"/>
      <c r="OJB25" s="1266"/>
      <c r="OJC25" s="1266"/>
      <c r="OJD25" s="1266"/>
      <c r="OJE25" s="1266"/>
      <c r="OJF25" s="1266"/>
      <c r="OJG25" s="1266"/>
      <c r="OJH25" s="1266"/>
      <c r="OJI25" s="1266"/>
      <c r="OJJ25" s="1266"/>
      <c r="OJK25" s="1266"/>
      <c r="OJL25" s="1266"/>
      <c r="OJM25" s="1266"/>
      <c r="OJN25" s="1266"/>
      <c r="OJO25" s="1266"/>
      <c r="OJP25" s="1266"/>
      <c r="OJQ25" s="1266"/>
      <c r="OJR25" s="1266"/>
      <c r="OJS25" s="1266"/>
      <c r="OJT25" s="1266"/>
      <c r="OJU25" s="1266"/>
      <c r="OJV25" s="1266"/>
      <c r="OJW25" s="1266"/>
      <c r="OJX25" s="1266"/>
      <c r="OJY25" s="1266"/>
      <c r="OJZ25" s="1266"/>
      <c r="OKA25" s="1266"/>
      <c r="OKB25" s="1266"/>
      <c r="OKC25" s="1266"/>
      <c r="OKD25" s="1266"/>
      <c r="OKE25" s="1266"/>
      <c r="OKF25" s="1266"/>
      <c r="OKG25" s="1266"/>
      <c r="OKH25" s="1266"/>
      <c r="OKI25" s="1266"/>
      <c r="OKJ25" s="1266"/>
      <c r="OKK25" s="1266"/>
      <c r="OKL25" s="1266"/>
      <c r="OKM25" s="1266"/>
      <c r="OKN25" s="1266"/>
      <c r="OKO25" s="1266"/>
      <c r="OKP25" s="1266"/>
      <c r="OKQ25" s="1266"/>
      <c r="OKR25" s="1266"/>
      <c r="OKS25" s="1266"/>
      <c r="OKT25" s="1266"/>
      <c r="OKU25" s="1266"/>
      <c r="OKV25" s="1266"/>
      <c r="OKW25" s="1266"/>
      <c r="OKX25" s="1266"/>
      <c r="OKY25" s="1266"/>
      <c r="OKZ25" s="1266"/>
      <c r="OLA25" s="1266"/>
      <c r="OLB25" s="1266"/>
      <c r="OLC25" s="1266"/>
      <c r="OLD25" s="1266"/>
      <c r="OLE25" s="1266"/>
      <c r="OLF25" s="1266"/>
      <c r="OLG25" s="1266"/>
      <c r="OLH25" s="1266"/>
      <c r="OLI25" s="1266"/>
      <c r="OLJ25" s="1266"/>
      <c r="OLK25" s="1266"/>
      <c r="OLL25" s="1266"/>
      <c r="OLM25" s="1266"/>
      <c r="OLN25" s="1266"/>
      <c r="OLO25" s="1266"/>
      <c r="OLP25" s="1266"/>
      <c r="OLQ25" s="1266"/>
      <c r="OLR25" s="1266"/>
      <c r="OLS25" s="1266"/>
      <c r="OLT25" s="1266"/>
      <c r="OLU25" s="1266"/>
      <c r="OLV25" s="1266"/>
      <c r="OLW25" s="1266"/>
      <c r="OLX25" s="1266"/>
      <c r="OLY25" s="1266"/>
      <c r="OLZ25" s="1266"/>
      <c r="OMA25" s="1266"/>
      <c r="OMB25" s="1266"/>
      <c r="OMC25" s="1266"/>
      <c r="OMD25" s="1266"/>
      <c r="OME25" s="1266"/>
      <c r="OMF25" s="1266"/>
      <c r="OMG25" s="1266"/>
      <c r="OMH25" s="1266"/>
      <c r="OMI25" s="1266"/>
      <c r="OMJ25" s="1266"/>
      <c r="OMK25" s="1266"/>
      <c r="OML25" s="1266"/>
      <c r="OMM25" s="1266"/>
      <c r="OMN25" s="1266"/>
      <c r="OMO25" s="1266"/>
      <c r="OMP25" s="1266"/>
      <c r="OMQ25" s="1266"/>
      <c r="OMR25" s="1266"/>
      <c r="OMS25" s="1266"/>
      <c r="OMT25" s="1266"/>
      <c r="OMU25" s="1266"/>
      <c r="OMV25" s="1266"/>
      <c r="OMW25" s="1266"/>
      <c r="OMX25" s="1266"/>
      <c r="OMY25" s="1266"/>
      <c r="OMZ25" s="1266"/>
      <c r="ONA25" s="1266"/>
      <c r="ONB25" s="1266"/>
      <c r="ONC25" s="1266"/>
      <c r="OND25" s="1266"/>
      <c r="ONE25" s="1266"/>
      <c r="ONF25" s="1266"/>
      <c r="ONG25" s="1266"/>
      <c r="ONH25" s="1266"/>
      <c r="ONI25" s="1266"/>
      <c r="ONJ25" s="1266"/>
      <c r="ONK25" s="1266"/>
      <c r="ONL25" s="1266"/>
      <c r="ONM25" s="1266"/>
      <c r="ONN25" s="1266"/>
      <c r="ONO25" s="1266"/>
      <c r="ONP25" s="1266"/>
      <c r="ONQ25" s="1266"/>
      <c r="ONR25" s="1266"/>
      <c r="ONS25" s="1266"/>
      <c r="ONT25" s="1266"/>
      <c r="ONU25" s="1266"/>
      <c r="ONV25" s="1266"/>
      <c r="ONW25" s="1266"/>
      <c r="ONX25" s="1266"/>
      <c r="ONY25" s="1266"/>
      <c r="ONZ25" s="1266"/>
      <c r="OOA25" s="1266"/>
      <c r="OOB25" s="1266"/>
      <c r="OOC25" s="1266"/>
      <c r="OOD25" s="1266"/>
      <c r="OOE25" s="1266"/>
      <c r="OOF25" s="1266"/>
      <c r="OOG25" s="1266"/>
      <c r="OOH25" s="1266"/>
      <c r="OOI25" s="1266"/>
      <c r="OOJ25" s="1266"/>
      <c r="OOK25" s="1266"/>
      <c r="OOL25" s="1266"/>
      <c r="OOM25" s="1266"/>
      <c r="OON25" s="1266"/>
      <c r="OOO25" s="1266"/>
      <c r="OOP25" s="1266"/>
      <c r="OOQ25" s="1266"/>
      <c r="OOR25" s="1266"/>
      <c r="OOS25" s="1266"/>
      <c r="OOT25" s="1266"/>
      <c r="OOU25" s="1266"/>
      <c r="OOV25" s="1266"/>
      <c r="OOW25" s="1266"/>
      <c r="OOX25" s="1266"/>
      <c r="OOY25" s="1266"/>
      <c r="OOZ25" s="1266"/>
      <c r="OPA25" s="1266"/>
      <c r="OPB25" s="1266"/>
      <c r="OPC25" s="1266"/>
      <c r="OPD25" s="1266"/>
      <c r="OPE25" s="1266"/>
      <c r="OPF25" s="1266"/>
      <c r="OPG25" s="1266"/>
      <c r="OPH25" s="1266"/>
      <c r="OPI25" s="1266"/>
      <c r="OPJ25" s="1266"/>
      <c r="OPK25" s="1266"/>
      <c r="OPL25" s="1266"/>
      <c r="OPM25" s="1266"/>
      <c r="OPN25" s="1266"/>
      <c r="OPO25" s="1266"/>
      <c r="OPP25" s="1266"/>
      <c r="OPQ25" s="1266"/>
      <c r="OPR25" s="1266"/>
      <c r="OPS25" s="1266"/>
      <c r="OPT25" s="1266"/>
      <c r="OPU25" s="1266"/>
      <c r="OPV25" s="1266"/>
      <c r="OPW25" s="1266"/>
      <c r="OPX25" s="1266"/>
      <c r="OPY25" s="1266"/>
      <c r="OPZ25" s="1266"/>
      <c r="OQA25" s="1266"/>
      <c r="OQB25" s="1266"/>
      <c r="OQC25" s="1266"/>
      <c r="OQD25" s="1266"/>
      <c r="OQE25" s="1266"/>
      <c r="OQF25" s="1266"/>
      <c r="OQG25" s="1266"/>
      <c r="OQH25" s="1266"/>
      <c r="OQI25" s="1266"/>
      <c r="OQJ25" s="1266"/>
      <c r="OQK25" s="1266"/>
      <c r="OQL25" s="1266"/>
      <c r="OQM25" s="1266"/>
      <c r="OQN25" s="1266"/>
      <c r="OQO25" s="1266"/>
      <c r="OQP25" s="1266"/>
      <c r="OQQ25" s="1266"/>
      <c r="OQR25" s="1266"/>
      <c r="OQS25" s="1266"/>
      <c r="OQT25" s="1266"/>
      <c r="OQU25" s="1266"/>
      <c r="OQV25" s="1266"/>
      <c r="OQW25" s="1266"/>
      <c r="OQX25" s="1266"/>
      <c r="OQY25" s="1266"/>
      <c r="OQZ25" s="1266"/>
      <c r="ORA25" s="1266"/>
      <c r="ORB25" s="1266"/>
      <c r="ORC25" s="1266"/>
      <c r="ORD25" s="1266"/>
      <c r="ORE25" s="1266"/>
      <c r="ORF25" s="1266"/>
      <c r="ORG25" s="1266"/>
      <c r="ORH25" s="1266"/>
      <c r="ORI25" s="1266"/>
      <c r="ORJ25" s="1266"/>
      <c r="ORK25" s="1266"/>
      <c r="ORL25" s="1266"/>
      <c r="ORM25" s="1266"/>
      <c r="ORN25" s="1266"/>
      <c r="ORO25" s="1266"/>
      <c r="ORP25" s="1266"/>
      <c r="ORQ25" s="1266"/>
      <c r="ORR25" s="1266"/>
      <c r="ORS25" s="1266"/>
      <c r="ORT25" s="1266"/>
      <c r="ORU25" s="1266"/>
      <c r="ORV25" s="1266"/>
      <c r="ORW25" s="1266"/>
      <c r="ORX25" s="1266"/>
      <c r="ORY25" s="1266"/>
      <c r="ORZ25" s="1266"/>
      <c r="OSA25" s="1266"/>
      <c r="OSB25" s="1266"/>
      <c r="OSC25" s="1266"/>
      <c r="OSD25" s="1266"/>
      <c r="OSE25" s="1266"/>
      <c r="OSF25" s="1266"/>
      <c r="OSG25" s="1266"/>
      <c r="OSH25" s="1266"/>
      <c r="OSI25" s="1266"/>
      <c r="OSJ25" s="1266"/>
      <c r="OSK25" s="1266"/>
      <c r="OSL25" s="1266"/>
      <c r="OSM25" s="1266"/>
      <c r="OSN25" s="1266"/>
      <c r="OSO25" s="1266"/>
      <c r="OSP25" s="1266"/>
      <c r="OSQ25" s="1266"/>
      <c r="OSR25" s="1266"/>
      <c r="OSS25" s="1266"/>
      <c r="OST25" s="1266"/>
      <c r="OSU25" s="1266"/>
      <c r="OSV25" s="1266"/>
      <c r="OSW25" s="1266"/>
      <c r="OSX25" s="1266"/>
      <c r="OSY25" s="1266"/>
      <c r="OSZ25" s="1266"/>
      <c r="OTA25" s="1266"/>
      <c r="OTB25" s="1266"/>
      <c r="OTC25" s="1266"/>
      <c r="OTD25" s="1266"/>
      <c r="OTE25" s="1266"/>
      <c r="OTF25" s="1266"/>
      <c r="OTG25" s="1266"/>
      <c r="OTH25" s="1266"/>
      <c r="OTI25" s="1266"/>
      <c r="OTJ25" s="1266"/>
      <c r="OTK25" s="1266"/>
      <c r="OTL25" s="1266"/>
      <c r="OTM25" s="1266"/>
      <c r="OTN25" s="1266"/>
      <c r="OTO25" s="1266"/>
      <c r="OTP25" s="1266"/>
      <c r="OTQ25" s="1266"/>
      <c r="OTR25" s="1266"/>
      <c r="OTS25" s="1266"/>
      <c r="OTT25" s="1266"/>
      <c r="OTU25" s="1266"/>
      <c r="OTV25" s="1266"/>
      <c r="OTW25" s="1266"/>
      <c r="OTX25" s="1266"/>
      <c r="OTY25" s="1266"/>
      <c r="OTZ25" s="1266"/>
      <c r="OUA25" s="1266"/>
      <c r="OUB25" s="1266"/>
      <c r="OUC25" s="1266"/>
      <c r="OUD25" s="1266"/>
      <c r="OUE25" s="1266"/>
      <c r="OUF25" s="1266"/>
      <c r="OUG25" s="1266"/>
      <c r="OUH25" s="1266"/>
      <c r="OUI25" s="1266"/>
      <c r="OUJ25" s="1266"/>
      <c r="OUK25" s="1266"/>
      <c r="OUL25" s="1266"/>
      <c r="OUM25" s="1266"/>
      <c r="OUN25" s="1266"/>
      <c r="OUO25" s="1266"/>
      <c r="OUP25" s="1266"/>
      <c r="OUQ25" s="1266"/>
      <c r="OUR25" s="1266"/>
      <c r="OUS25" s="1266"/>
      <c r="OUT25" s="1266"/>
      <c r="OUU25" s="1266"/>
      <c r="OUV25" s="1266"/>
      <c r="OUW25" s="1266"/>
      <c r="OUX25" s="1266"/>
      <c r="OUY25" s="1266"/>
      <c r="OUZ25" s="1266"/>
      <c r="OVA25" s="1266"/>
      <c r="OVB25" s="1266"/>
      <c r="OVC25" s="1266"/>
      <c r="OVD25" s="1266"/>
      <c r="OVE25" s="1266"/>
      <c r="OVF25" s="1266"/>
      <c r="OVG25" s="1266"/>
      <c r="OVH25" s="1266"/>
      <c r="OVI25" s="1266"/>
      <c r="OVJ25" s="1266"/>
      <c r="OVK25" s="1266"/>
      <c r="OVL25" s="1266"/>
      <c r="OVM25" s="1266"/>
      <c r="OVN25" s="1266"/>
      <c r="OVO25" s="1266"/>
      <c r="OVP25" s="1266"/>
      <c r="OVQ25" s="1266"/>
      <c r="OVR25" s="1266"/>
      <c r="OVS25" s="1266"/>
      <c r="OVT25" s="1266"/>
      <c r="OVU25" s="1266"/>
      <c r="OVV25" s="1266"/>
      <c r="OVW25" s="1266"/>
      <c r="OVX25" s="1266"/>
      <c r="OVY25" s="1266"/>
      <c r="OVZ25" s="1266"/>
      <c r="OWA25" s="1266"/>
      <c r="OWB25" s="1266"/>
      <c r="OWC25" s="1266"/>
      <c r="OWD25" s="1266"/>
      <c r="OWE25" s="1266"/>
      <c r="OWF25" s="1266"/>
      <c r="OWG25" s="1266"/>
      <c r="OWH25" s="1266"/>
      <c r="OWI25" s="1266"/>
      <c r="OWJ25" s="1266"/>
      <c r="OWK25" s="1266"/>
      <c r="OWL25" s="1266"/>
      <c r="OWM25" s="1266"/>
      <c r="OWN25" s="1266"/>
      <c r="OWO25" s="1266"/>
      <c r="OWP25" s="1266"/>
      <c r="OWQ25" s="1266"/>
      <c r="OWR25" s="1266"/>
      <c r="OWS25" s="1266"/>
      <c r="OWT25" s="1266"/>
      <c r="OWU25" s="1266"/>
      <c r="OWV25" s="1266"/>
      <c r="OWW25" s="1266"/>
      <c r="OWX25" s="1266"/>
      <c r="OWY25" s="1266"/>
      <c r="OWZ25" s="1266"/>
      <c r="OXA25" s="1266"/>
      <c r="OXB25" s="1266"/>
      <c r="OXC25" s="1266"/>
      <c r="OXD25" s="1266"/>
      <c r="OXE25" s="1266"/>
      <c r="OXF25" s="1266"/>
      <c r="OXG25" s="1266"/>
      <c r="OXH25" s="1266"/>
      <c r="OXI25" s="1266"/>
      <c r="OXJ25" s="1266"/>
      <c r="OXK25" s="1266"/>
      <c r="OXL25" s="1266"/>
      <c r="OXM25" s="1266"/>
      <c r="OXN25" s="1266"/>
      <c r="OXO25" s="1266"/>
      <c r="OXP25" s="1266"/>
      <c r="OXQ25" s="1266"/>
      <c r="OXR25" s="1266"/>
      <c r="OXS25" s="1266"/>
      <c r="OXT25" s="1266"/>
      <c r="OXU25" s="1266"/>
      <c r="OXV25" s="1266"/>
      <c r="OXW25" s="1266"/>
      <c r="OXX25" s="1266"/>
      <c r="OXY25" s="1266"/>
      <c r="OXZ25" s="1266"/>
      <c r="OYA25" s="1266"/>
      <c r="OYB25" s="1266"/>
      <c r="OYC25" s="1266"/>
      <c r="OYD25" s="1266"/>
      <c r="OYE25" s="1266"/>
      <c r="OYF25" s="1266"/>
      <c r="OYG25" s="1266"/>
      <c r="OYH25" s="1266"/>
      <c r="OYI25" s="1266"/>
      <c r="OYJ25" s="1266"/>
      <c r="OYK25" s="1266"/>
      <c r="OYL25" s="1266"/>
      <c r="OYM25" s="1266"/>
      <c r="OYN25" s="1266"/>
      <c r="OYO25" s="1266"/>
      <c r="OYP25" s="1266"/>
      <c r="OYQ25" s="1266"/>
      <c r="OYR25" s="1266"/>
      <c r="OYS25" s="1266"/>
      <c r="OYT25" s="1266"/>
      <c r="OYU25" s="1266"/>
      <c r="OYV25" s="1266"/>
      <c r="OYW25" s="1266"/>
      <c r="OYX25" s="1266"/>
      <c r="OYY25" s="1266"/>
      <c r="OYZ25" s="1266"/>
      <c r="OZA25" s="1266"/>
      <c r="OZB25" s="1266"/>
      <c r="OZC25" s="1266"/>
      <c r="OZD25" s="1266"/>
      <c r="OZE25" s="1266"/>
      <c r="OZF25" s="1266"/>
      <c r="OZG25" s="1266"/>
      <c r="OZH25" s="1266"/>
      <c r="OZI25" s="1266"/>
      <c r="OZJ25" s="1266"/>
      <c r="OZK25" s="1266"/>
      <c r="OZL25" s="1266"/>
      <c r="OZM25" s="1266"/>
      <c r="OZN25" s="1266"/>
      <c r="OZO25" s="1266"/>
      <c r="OZP25" s="1266"/>
      <c r="OZQ25" s="1266"/>
      <c r="OZR25" s="1266"/>
      <c r="OZS25" s="1266"/>
      <c r="OZT25" s="1266"/>
      <c r="OZU25" s="1266"/>
      <c r="OZV25" s="1266"/>
      <c r="OZW25" s="1266"/>
      <c r="OZX25" s="1266"/>
      <c r="OZY25" s="1266"/>
      <c r="OZZ25" s="1266"/>
      <c r="PAA25" s="1266"/>
      <c r="PAB25" s="1266"/>
      <c r="PAC25" s="1266"/>
      <c r="PAD25" s="1266"/>
      <c r="PAE25" s="1266"/>
      <c r="PAF25" s="1266"/>
      <c r="PAG25" s="1266"/>
      <c r="PAH25" s="1266"/>
      <c r="PAI25" s="1266"/>
      <c r="PAJ25" s="1266"/>
      <c r="PAK25" s="1266"/>
      <c r="PAL25" s="1266"/>
      <c r="PAM25" s="1266"/>
      <c r="PAN25" s="1266"/>
      <c r="PAO25" s="1266"/>
      <c r="PAP25" s="1266"/>
      <c r="PAQ25" s="1266"/>
      <c r="PAR25" s="1266"/>
      <c r="PAS25" s="1266"/>
      <c r="PAT25" s="1266"/>
      <c r="PAU25" s="1266"/>
      <c r="PAV25" s="1266"/>
      <c r="PAW25" s="1266"/>
      <c r="PAX25" s="1266"/>
      <c r="PAY25" s="1266"/>
      <c r="PAZ25" s="1266"/>
      <c r="PBA25" s="1266"/>
      <c r="PBB25" s="1266"/>
      <c r="PBC25" s="1266"/>
      <c r="PBD25" s="1266"/>
      <c r="PBE25" s="1266"/>
      <c r="PBF25" s="1266"/>
      <c r="PBG25" s="1266"/>
      <c r="PBH25" s="1266"/>
      <c r="PBI25" s="1266"/>
      <c r="PBJ25" s="1266"/>
      <c r="PBK25" s="1266"/>
      <c r="PBL25" s="1266"/>
      <c r="PBM25" s="1266"/>
      <c r="PBN25" s="1266"/>
      <c r="PBO25" s="1266"/>
      <c r="PBP25" s="1266"/>
      <c r="PBQ25" s="1266"/>
      <c r="PBR25" s="1266"/>
      <c r="PBS25" s="1266"/>
      <c r="PBT25" s="1266"/>
      <c r="PBU25" s="1266"/>
      <c r="PBV25" s="1266"/>
      <c r="PBW25" s="1266"/>
      <c r="PBX25" s="1266"/>
      <c r="PBY25" s="1266"/>
      <c r="PBZ25" s="1266"/>
      <c r="PCA25" s="1266"/>
      <c r="PCB25" s="1266"/>
      <c r="PCC25" s="1266"/>
      <c r="PCD25" s="1266"/>
      <c r="PCE25" s="1266"/>
      <c r="PCF25" s="1266"/>
      <c r="PCG25" s="1266"/>
      <c r="PCH25" s="1266"/>
      <c r="PCI25" s="1266"/>
      <c r="PCJ25" s="1266"/>
      <c r="PCK25" s="1266"/>
      <c r="PCL25" s="1266"/>
      <c r="PCM25" s="1266"/>
      <c r="PCN25" s="1266"/>
      <c r="PCO25" s="1266"/>
      <c r="PCP25" s="1266"/>
      <c r="PCQ25" s="1266"/>
      <c r="PCR25" s="1266"/>
      <c r="PCS25" s="1266"/>
      <c r="PCT25" s="1266"/>
      <c r="PCU25" s="1266"/>
      <c r="PCV25" s="1266"/>
      <c r="PCW25" s="1266"/>
      <c r="PCX25" s="1266"/>
      <c r="PCY25" s="1266"/>
      <c r="PCZ25" s="1266"/>
      <c r="PDA25" s="1266"/>
      <c r="PDB25" s="1266"/>
      <c r="PDC25" s="1266"/>
      <c r="PDD25" s="1266"/>
      <c r="PDE25" s="1266"/>
      <c r="PDF25" s="1266"/>
      <c r="PDG25" s="1266"/>
      <c r="PDH25" s="1266"/>
      <c r="PDI25" s="1266"/>
      <c r="PDJ25" s="1266"/>
      <c r="PDK25" s="1266"/>
      <c r="PDL25" s="1266"/>
      <c r="PDM25" s="1266"/>
      <c r="PDN25" s="1266"/>
      <c r="PDO25" s="1266"/>
      <c r="PDP25" s="1266"/>
      <c r="PDQ25" s="1266"/>
      <c r="PDR25" s="1266"/>
      <c r="PDS25" s="1266"/>
      <c r="PDT25" s="1266"/>
      <c r="PDU25" s="1266"/>
      <c r="PDV25" s="1266"/>
      <c r="PDW25" s="1266"/>
      <c r="PDX25" s="1266"/>
      <c r="PDY25" s="1266"/>
      <c r="PDZ25" s="1266"/>
      <c r="PEA25" s="1266"/>
      <c r="PEB25" s="1266"/>
      <c r="PEC25" s="1266"/>
      <c r="PED25" s="1266"/>
      <c r="PEE25" s="1266"/>
      <c r="PEF25" s="1266"/>
      <c r="PEG25" s="1266"/>
      <c r="PEH25" s="1266"/>
      <c r="PEI25" s="1266"/>
      <c r="PEJ25" s="1266"/>
      <c r="PEK25" s="1266"/>
      <c r="PEL25" s="1266"/>
      <c r="PEM25" s="1266"/>
      <c r="PEN25" s="1266"/>
      <c r="PEO25" s="1266"/>
      <c r="PEP25" s="1266"/>
      <c r="PEQ25" s="1266"/>
      <c r="PER25" s="1266"/>
      <c r="PES25" s="1266"/>
      <c r="PET25" s="1266"/>
      <c r="PEU25" s="1266"/>
      <c r="PEV25" s="1266"/>
      <c r="PEW25" s="1266"/>
      <c r="PEX25" s="1266"/>
      <c r="PEY25" s="1266"/>
      <c r="PEZ25" s="1266"/>
      <c r="PFA25" s="1266"/>
      <c r="PFB25" s="1266"/>
      <c r="PFC25" s="1266"/>
      <c r="PFD25" s="1266"/>
      <c r="PFE25" s="1266"/>
      <c r="PFF25" s="1266"/>
      <c r="PFG25" s="1266"/>
      <c r="PFH25" s="1266"/>
      <c r="PFI25" s="1266"/>
      <c r="PFJ25" s="1266"/>
      <c r="PFK25" s="1266"/>
      <c r="PFL25" s="1266"/>
      <c r="PFM25" s="1266"/>
      <c r="PFN25" s="1266"/>
      <c r="PFO25" s="1266"/>
      <c r="PFP25" s="1266"/>
      <c r="PFQ25" s="1266"/>
      <c r="PFR25" s="1266"/>
      <c r="PFS25" s="1266"/>
      <c r="PFT25" s="1266"/>
      <c r="PFU25" s="1266"/>
      <c r="PFV25" s="1266"/>
      <c r="PFW25" s="1266"/>
      <c r="PFX25" s="1266"/>
      <c r="PFY25" s="1266"/>
      <c r="PFZ25" s="1266"/>
      <c r="PGA25" s="1266"/>
      <c r="PGB25" s="1266"/>
      <c r="PGC25" s="1266"/>
      <c r="PGD25" s="1266"/>
      <c r="PGE25" s="1266"/>
      <c r="PGF25" s="1266"/>
      <c r="PGG25" s="1266"/>
      <c r="PGH25" s="1266"/>
      <c r="PGI25" s="1266"/>
      <c r="PGJ25" s="1266"/>
      <c r="PGK25" s="1266"/>
      <c r="PGL25" s="1266"/>
      <c r="PGM25" s="1266"/>
      <c r="PGN25" s="1266"/>
      <c r="PGO25" s="1266"/>
      <c r="PGP25" s="1266"/>
      <c r="PGQ25" s="1266"/>
      <c r="PGR25" s="1266"/>
      <c r="PGS25" s="1266"/>
      <c r="PGT25" s="1266"/>
      <c r="PGU25" s="1266"/>
      <c r="PGV25" s="1266"/>
      <c r="PGW25" s="1266"/>
      <c r="PGX25" s="1266"/>
      <c r="PGY25" s="1266"/>
      <c r="PGZ25" s="1266"/>
      <c r="PHA25" s="1266"/>
      <c r="PHB25" s="1266"/>
      <c r="PHC25" s="1266"/>
      <c r="PHD25" s="1266"/>
      <c r="PHE25" s="1266"/>
      <c r="PHF25" s="1266"/>
      <c r="PHG25" s="1266"/>
      <c r="PHH25" s="1266"/>
      <c r="PHI25" s="1266"/>
      <c r="PHJ25" s="1266"/>
      <c r="PHK25" s="1266"/>
      <c r="PHL25" s="1266"/>
      <c r="PHM25" s="1266"/>
      <c r="PHN25" s="1266"/>
      <c r="PHO25" s="1266"/>
      <c r="PHP25" s="1266"/>
      <c r="PHQ25" s="1266"/>
      <c r="PHR25" s="1266"/>
      <c r="PHS25" s="1266"/>
      <c r="PHT25" s="1266"/>
      <c r="PHU25" s="1266"/>
      <c r="PHV25" s="1266"/>
      <c r="PHW25" s="1266"/>
      <c r="PHX25" s="1266"/>
      <c r="PHY25" s="1266"/>
      <c r="PHZ25" s="1266"/>
      <c r="PIA25" s="1266"/>
      <c r="PIB25" s="1266"/>
      <c r="PIC25" s="1266"/>
      <c r="PID25" s="1266"/>
      <c r="PIE25" s="1266"/>
      <c r="PIF25" s="1266"/>
      <c r="PIG25" s="1266"/>
      <c r="PIH25" s="1266"/>
      <c r="PII25" s="1266"/>
      <c r="PIJ25" s="1266"/>
      <c r="PIK25" s="1266"/>
      <c r="PIL25" s="1266"/>
      <c r="PIM25" s="1266"/>
      <c r="PIN25" s="1266"/>
      <c r="PIO25" s="1266"/>
      <c r="PIP25" s="1266"/>
      <c r="PIQ25" s="1266"/>
      <c r="PIR25" s="1266"/>
      <c r="PIS25" s="1266"/>
      <c r="PIT25" s="1266"/>
      <c r="PIU25" s="1266"/>
      <c r="PIV25" s="1266"/>
      <c r="PIW25" s="1266"/>
      <c r="PIX25" s="1266"/>
      <c r="PIY25" s="1266"/>
      <c r="PIZ25" s="1266"/>
      <c r="PJA25" s="1266"/>
      <c r="PJB25" s="1266"/>
      <c r="PJC25" s="1266"/>
      <c r="PJD25" s="1266"/>
      <c r="PJE25" s="1266"/>
      <c r="PJF25" s="1266"/>
      <c r="PJG25" s="1266"/>
      <c r="PJH25" s="1266"/>
      <c r="PJI25" s="1266"/>
      <c r="PJJ25" s="1266"/>
      <c r="PJK25" s="1266"/>
      <c r="PJL25" s="1266"/>
      <c r="PJM25" s="1266"/>
      <c r="PJN25" s="1266"/>
      <c r="PJO25" s="1266"/>
      <c r="PJP25" s="1266"/>
      <c r="PJQ25" s="1266"/>
      <c r="PJR25" s="1266"/>
      <c r="PJS25" s="1266"/>
      <c r="PJT25" s="1266"/>
      <c r="PJU25" s="1266"/>
      <c r="PJV25" s="1266"/>
      <c r="PJW25" s="1266"/>
      <c r="PJX25" s="1266"/>
      <c r="PJY25" s="1266"/>
      <c r="PJZ25" s="1266"/>
      <c r="PKA25" s="1266"/>
      <c r="PKB25" s="1266"/>
      <c r="PKC25" s="1266"/>
      <c r="PKD25" s="1266"/>
      <c r="PKE25" s="1266"/>
      <c r="PKF25" s="1266"/>
      <c r="PKG25" s="1266"/>
      <c r="PKH25" s="1266"/>
      <c r="PKI25" s="1266"/>
      <c r="PKJ25" s="1266"/>
      <c r="PKK25" s="1266"/>
      <c r="PKL25" s="1266"/>
      <c r="PKM25" s="1266"/>
      <c r="PKN25" s="1266"/>
      <c r="PKO25" s="1266"/>
      <c r="PKP25" s="1266"/>
      <c r="PKQ25" s="1266"/>
      <c r="PKR25" s="1266"/>
      <c r="PKS25" s="1266"/>
      <c r="PKT25" s="1266"/>
      <c r="PKU25" s="1266"/>
      <c r="PKV25" s="1266"/>
      <c r="PKW25" s="1266"/>
      <c r="PKX25" s="1266"/>
      <c r="PKY25" s="1266"/>
      <c r="PKZ25" s="1266"/>
      <c r="PLA25" s="1266"/>
      <c r="PLB25" s="1266"/>
      <c r="PLC25" s="1266"/>
      <c r="PLD25" s="1266"/>
      <c r="PLE25" s="1266"/>
      <c r="PLF25" s="1266"/>
      <c r="PLG25" s="1266"/>
      <c r="PLH25" s="1266"/>
      <c r="PLI25" s="1266"/>
      <c r="PLJ25" s="1266"/>
      <c r="PLK25" s="1266"/>
      <c r="PLL25" s="1266"/>
      <c r="PLM25" s="1266"/>
      <c r="PLN25" s="1266"/>
      <c r="PLO25" s="1266"/>
      <c r="PLP25" s="1266"/>
      <c r="PLQ25" s="1266"/>
      <c r="PLR25" s="1266"/>
      <c r="PLS25" s="1266"/>
      <c r="PLT25" s="1266"/>
      <c r="PLU25" s="1266"/>
      <c r="PLV25" s="1266"/>
      <c r="PLW25" s="1266"/>
      <c r="PLX25" s="1266"/>
      <c r="PLY25" s="1266"/>
      <c r="PLZ25" s="1266"/>
      <c r="PMA25" s="1266"/>
      <c r="PMB25" s="1266"/>
      <c r="PMC25" s="1266"/>
      <c r="PMD25" s="1266"/>
      <c r="PME25" s="1266"/>
      <c r="PMF25" s="1266"/>
      <c r="PMG25" s="1266"/>
      <c r="PMH25" s="1266"/>
      <c r="PMI25" s="1266"/>
      <c r="PMJ25" s="1266"/>
      <c r="PMK25" s="1266"/>
      <c r="PML25" s="1266"/>
      <c r="PMM25" s="1266"/>
      <c r="PMN25" s="1266"/>
      <c r="PMO25" s="1266"/>
      <c r="PMP25" s="1266"/>
      <c r="PMQ25" s="1266"/>
      <c r="PMR25" s="1266"/>
      <c r="PMS25" s="1266"/>
      <c r="PMT25" s="1266"/>
      <c r="PMU25" s="1266"/>
      <c r="PMV25" s="1266"/>
      <c r="PMW25" s="1266"/>
      <c r="PMX25" s="1266"/>
      <c r="PMY25" s="1266"/>
      <c r="PMZ25" s="1266"/>
      <c r="PNA25" s="1266"/>
      <c r="PNB25" s="1266"/>
      <c r="PNC25" s="1266"/>
      <c r="PND25" s="1266"/>
      <c r="PNE25" s="1266"/>
      <c r="PNF25" s="1266"/>
      <c r="PNG25" s="1266"/>
      <c r="PNH25" s="1266"/>
      <c r="PNI25" s="1266"/>
      <c r="PNJ25" s="1266"/>
      <c r="PNK25" s="1266"/>
      <c r="PNL25" s="1266"/>
      <c r="PNM25" s="1266"/>
      <c r="PNN25" s="1266"/>
      <c r="PNO25" s="1266"/>
      <c r="PNP25" s="1266"/>
      <c r="PNQ25" s="1266"/>
      <c r="PNR25" s="1266"/>
      <c r="PNS25" s="1266"/>
      <c r="PNT25" s="1266"/>
      <c r="PNU25" s="1266"/>
      <c r="PNV25" s="1266"/>
      <c r="PNW25" s="1266"/>
      <c r="PNX25" s="1266"/>
      <c r="PNY25" s="1266"/>
      <c r="PNZ25" s="1266"/>
      <c r="POA25" s="1266"/>
      <c r="POB25" s="1266"/>
      <c r="POC25" s="1266"/>
      <c r="POD25" s="1266"/>
      <c r="POE25" s="1266"/>
      <c r="POF25" s="1266"/>
      <c r="POG25" s="1266"/>
      <c r="POH25" s="1266"/>
      <c r="POI25" s="1266"/>
      <c r="POJ25" s="1266"/>
      <c r="POK25" s="1266"/>
      <c r="POL25" s="1266"/>
      <c r="POM25" s="1266"/>
      <c r="PON25" s="1266"/>
      <c r="POO25" s="1266"/>
      <c r="POP25" s="1266"/>
      <c r="POQ25" s="1266"/>
      <c r="POR25" s="1266"/>
      <c r="POS25" s="1266"/>
      <c r="POT25" s="1266"/>
      <c r="POU25" s="1266"/>
      <c r="POV25" s="1266"/>
      <c r="POW25" s="1266"/>
      <c r="POX25" s="1266"/>
      <c r="POY25" s="1266"/>
      <c r="POZ25" s="1266"/>
      <c r="PPA25" s="1266"/>
      <c r="PPB25" s="1266"/>
      <c r="PPC25" s="1266"/>
      <c r="PPD25" s="1266"/>
      <c r="PPE25" s="1266"/>
      <c r="PPF25" s="1266"/>
      <c r="PPG25" s="1266"/>
      <c r="PPH25" s="1266"/>
      <c r="PPI25" s="1266"/>
      <c r="PPJ25" s="1266"/>
      <c r="PPK25" s="1266"/>
      <c r="PPL25" s="1266"/>
      <c r="PPM25" s="1266"/>
      <c r="PPN25" s="1266"/>
      <c r="PPO25" s="1266"/>
      <c r="PPP25" s="1266"/>
      <c r="PPQ25" s="1266"/>
      <c r="PPR25" s="1266"/>
      <c r="PPS25" s="1266"/>
      <c r="PPT25" s="1266"/>
      <c r="PPU25" s="1266"/>
      <c r="PPV25" s="1266"/>
      <c r="PPW25" s="1266"/>
      <c r="PPX25" s="1266"/>
      <c r="PPY25" s="1266"/>
      <c r="PPZ25" s="1266"/>
      <c r="PQA25" s="1266"/>
      <c r="PQB25" s="1266"/>
      <c r="PQC25" s="1266"/>
      <c r="PQD25" s="1266"/>
      <c r="PQE25" s="1266"/>
      <c r="PQF25" s="1266"/>
      <c r="PQG25" s="1266"/>
      <c r="PQH25" s="1266"/>
      <c r="PQI25" s="1266"/>
      <c r="PQJ25" s="1266"/>
      <c r="PQK25" s="1266"/>
      <c r="PQL25" s="1266"/>
      <c r="PQM25" s="1266"/>
      <c r="PQN25" s="1266"/>
      <c r="PQO25" s="1266"/>
      <c r="PQP25" s="1266"/>
      <c r="PQQ25" s="1266"/>
      <c r="PQR25" s="1266"/>
      <c r="PQS25" s="1266"/>
      <c r="PQT25" s="1266"/>
      <c r="PQU25" s="1266"/>
      <c r="PQV25" s="1266"/>
      <c r="PQW25" s="1266"/>
      <c r="PQX25" s="1266"/>
      <c r="PQY25" s="1266"/>
      <c r="PQZ25" s="1266"/>
      <c r="PRA25" s="1266"/>
      <c r="PRB25" s="1266"/>
      <c r="PRC25" s="1266"/>
      <c r="PRD25" s="1266"/>
      <c r="PRE25" s="1266"/>
      <c r="PRF25" s="1266"/>
      <c r="PRG25" s="1266"/>
      <c r="PRH25" s="1266"/>
      <c r="PRI25" s="1266"/>
      <c r="PRJ25" s="1266"/>
      <c r="PRK25" s="1266"/>
      <c r="PRL25" s="1266"/>
      <c r="PRM25" s="1266"/>
      <c r="PRN25" s="1266"/>
      <c r="PRO25" s="1266"/>
      <c r="PRP25" s="1266"/>
      <c r="PRQ25" s="1266"/>
      <c r="PRR25" s="1266"/>
      <c r="PRS25" s="1266"/>
      <c r="PRT25" s="1266"/>
      <c r="PRU25" s="1266"/>
      <c r="PRV25" s="1266"/>
      <c r="PRW25" s="1266"/>
      <c r="PRX25" s="1266"/>
      <c r="PRY25" s="1266"/>
      <c r="PRZ25" s="1266"/>
      <c r="PSA25" s="1266"/>
      <c r="PSB25" s="1266"/>
      <c r="PSC25" s="1266"/>
      <c r="PSD25" s="1266"/>
      <c r="PSE25" s="1266"/>
      <c r="PSF25" s="1266"/>
      <c r="PSG25" s="1266"/>
      <c r="PSH25" s="1266"/>
      <c r="PSI25" s="1266"/>
      <c r="PSJ25" s="1266"/>
      <c r="PSK25" s="1266"/>
      <c r="PSL25" s="1266"/>
      <c r="PSM25" s="1266"/>
      <c r="PSN25" s="1266"/>
      <c r="PSO25" s="1266"/>
      <c r="PSP25" s="1266"/>
      <c r="PSQ25" s="1266"/>
      <c r="PSR25" s="1266"/>
      <c r="PSS25" s="1266"/>
      <c r="PST25" s="1266"/>
      <c r="PSU25" s="1266"/>
      <c r="PSV25" s="1266"/>
      <c r="PSW25" s="1266"/>
      <c r="PSX25" s="1266"/>
      <c r="PSY25" s="1266"/>
      <c r="PSZ25" s="1266"/>
      <c r="PTA25" s="1266"/>
      <c r="PTB25" s="1266"/>
      <c r="PTC25" s="1266"/>
      <c r="PTD25" s="1266"/>
      <c r="PTE25" s="1266"/>
      <c r="PTF25" s="1266"/>
      <c r="PTG25" s="1266"/>
      <c r="PTH25" s="1266"/>
      <c r="PTI25" s="1266"/>
      <c r="PTJ25" s="1266"/>
      <c r="PTK25" s="1266"/>
      <c r="PTL25" s="1266"/>
      <c r="PTM25" s="1266"/>
      <c r="PTN25" s="1266"/>
      <c r="PTO25" s="1266"/>
      <c r="PTP25" s="1266"/>
      <c r="PTQ25" s="1266"/>
      <c r="PTR25" s="1266"/>
      <c r="PTS25" s="1266"/>
      <c r="PTT25" s="1266"/>
      <c r="PTU25" s="1266"/>
      <c r="PTV25" s="1266"/>
      <c r="PTW25" s="1266"/>
      <c r="PTX25" s="1266"/>
      <c r="PTY25" s="1266"/>
      <c r="PTZ25" s="1266"/>
      <c r="PUA25" s="1266"/>
      <c r="PUB25" s="1266"/>
      <c r="PUC25" s="1266"/>
      <c r="PUD25" s="1266"/>
      <c r="PUE25" s="1266"/>
      <c r="PUF25" s="1266"/>
      <c r="PUG25" s="1266"/>
      <c r="PUH25" s="1266"/>
      <c r="PUI25" s="1266"/>
      <c r="PUJ25" s="1266"/>
      <c r="PUK25" s="1266"/>
      <c r="PUL25" s="1266"/>
      <c r="PUM25" s="1266"/>
      <c r="PUN25" s="1266"/>
      <c r="PUO25" s="1266"/>
      <c r="PUP25" s="1266"/>
      <c r="PUQ25" s="1266"/>
      <c r="PUR25" s="1266"/>
      <c r="PUS25" s="1266"/>
      <c r="PUT25" s="1266"/>
      <c r="PUU25" s="1266"/>
      <c r="PUV25" s="1266"/>
      <c r="PUW25" s="1266"/>
      <c r="PUX25" s="1266"/>
      <c r="PUY25" s="1266"/>
      <c r="PUZ25" s="1266"/>
      <c r="PVA25" s="1266"/>
      <c r="PVB25" s="1266"/>
      <c r="PVC25" s="1266"/>
      <c r="PVD25" s="1266"/>
      <c r="PVE25" s="1266"/>
      <c r="PVF25" s="1266"/>
      <c r="PVG25" s="1266"/>
      <c r="PVH25" s="1266"/>
      <c r="PVI25" s="1266"/>
      <c r="PVJ25" s="1266"/>
      <c r="PVK25" s="1266"/>
      <c r="PVL25" s="1266"/>
      <c r="PVM25" s="1266"/>
      <c r="PVN25" s="1266"/>
      <c r="PVO25" s="1266"/>
      <c r="PVP25" s="1266"/>
      <c r="PVQ25" s="1266"/>
      <c r="PVR25" s="1266"/>
      <c r="PVS25" s="1266"/>
      <c r="PVT25" s="1266"/>
      <c r="PVU25" s="1266"/>
      <c r="PVV25" s="1266"/>
      <c r="PVW25" s="1266"/>
      <c r="PVX25" s="1266"/>
      <c r="PVY25" s="1266"/>
      <c r="PVZ25" s="1266"/>
      <c r="PWA25" s="1266"/>
      <c r="PWB25" s="1266"/>
      <c r="PWC25" s="1266"/>
      <c r="PWD25" s="1266"/>
      <c r="PWE25" s="1266"/>
      <c r="PWF25" s="1266"/>
      <c r="PWG25" s="1266"/>
      <c r="PWH25" s="1266"/>
      <c r="PWI25" s="1266"/>
      <c r="PWJ25" s="1266"/>
      <c r="PWK25" s="1266"/>
      <c r="PWL25" s="1266"/>
      <c r="PWM25" s="1266"/>
      <c r="PWN25" s="1266"/>
      <c r="PWO25" s="1266"/>
      <c r="PWP25" s="1266"/>
      <c r="PWQ25" s="1266"/>
      <c r="PWR25" s="1266"/>
      <c r="PWS25" s="1266"/>
      <c r="PWT25" s="1266"/>
      <c r="PWU25" s="1266"/>
      <c r="PWV25" s="1266"/>
      <c r="PWW25" s="1266"/>
      <c r="PWX25" s="1266"/>
      <c r="PWY25" s="1266"/>
      <c r="PWZ25" s="1266"/>
      <c r="PXA25" s="1266"/>
      <c r="PXB25" s="1266"/>
      <c r="PXC25" s="1266"/>
      <c r="PXD25" s="1266"/>
      <c r="PXE25" s="1266"/>
      <c r="PXF25" s="1266"/>
      <c r="PXG25" s="1266"/>
      <c r="PXH25" s="1266"/>
      <c r="PXI25" s="1266"/>
      <c r="PXJ25" s="1266"/>
      <c r="PXK25" s="1266"/>
      <c r="PXL25" s="1266"/>
      <c r="PXM25" s="1266"/>
      <c r="PXN25" s="1266"/>
      <c r="PXO25" s="1266"/>
      <c r="PXP25" s="1266"/>
      <c r="PXQ25" s="1266"/>
      <c r="PXR25" s="1266"/>
      <c r="PXS25" s="1266"/>
      <c r="PXT25" s="1266"/>
      <c r="PXU25" s="1266"/>
      <c r="PXV25" s="1266"/>
      <c r="PXW25" s="1266"/>
      <c r="PXX25" s="1266"/>
      <c r="PXY25" s="1266"/>
      <c r="PXZ25" s="1266"/>
      <c r="PYA25" s="1266"/>
      <c r="PYB25" s="1266"/>
      <c r="PYC25" s="1266"/>
      <c r="PYD25" s="1266"/>
      <c r="PYE25" s="1266"/>
      <c r="PYF25" s="1266"/>
      <c r="PYG25" s="1266"/>
      <c r="PYH25" s="1266"/>
      <c r="PYI25" s="1266"/>
      <c r="PYJ25" s="1266"/>
      <c r="PYK25" s="1266"/>
      <c r="PYL25" s="1266"/>
      <c r="PYM25" s="1266"/>
      <c r="PYN25" s="1266"/>
      <c r="PYO25" s="1266"/>
      <c r="PYP25" s="1266"/>
      <c r="PYQ25" s="1266"/>
      <c r="PYR25" s="1266"/>
      <c r="PYS25" s="1266"/>
      <c r="PYT25" s="1266"/>
      <c r="PYU25" s="1266"/>
      <c r="PYV25" s="1266"/>
      <c r="PYW25" s="1266"/>
      <c r="PYX25" s="1266"/>
      <c r="PYY25" s="1266"/>
      <c r="PYZ25" s="1266"/>
      <c r="PZA25" s="1266"/>
      <c r="PZB25" s="1266"/>
      <c r="PZC25" s="1266"/>
      <c r="PZD25" s="1266"/>
      <c r="PZE25" s="1266"/>
      <c r="PZF25" s="1266"/>
      <c r="PZG25" s="1266"/>
      <c r="PZH25" s="1266"/>
      <c r="PZI25" s="1266"/>
      <c r="PZJ25" s="1266"/>
      <c r="PZK25" s="1266"/>
      <c r="PZL25" s="1266"/>
      <c r="PZM25" s="1266"/>
      <c r="PZN25" s="1266"/>
      <c r="PZO25" s="1266"/>
      <c r="PZP25" s="1266"/>
      <c r="PZQ25" s="1266"/>
      <c r="PZR25" s="1266"/>
      <c r="PZS25" s="1266"/>
      <c r="PZT25" s="1266"/>
      <c r="PZU25" s="1266"/>
      <c r="PZV25" s="1266"/>
      <c r="PZW25" s="1266"/>
      <c r="PZX25" s="1266"/>
      <c r="PZY25" s="1266"/>
      <c r="PZZ25" s="1266"/>
      <c r="QAA25" s="1266"/>
      <c r="QAB25" s="1266"/>
      <c r="QAC25" s="1266"/>
      <c r="QAD25" s="1266"/>
      <c r="QAE25" s="1266"/>
      <c r="QAF25" s="1266"/>
      <c r="QAG25" s="1266"/>
      <c r="QAH25" s="1266"/>
      <c r="QAI25" s="1266"/>
      <c r="QAJ25" s="1266"/>
      <c r="QAK25" s="1266"/>
      <c r="QAL25" s="1266"/>
      <c r="QAM25" s="1266"/>
      <c r="QAN25" s="1266"/>
      <c r="QAO25" s="1266"/>
      <c r="QAP25" s="1266"/>
      <c r="QAQ25" s="1266"/>
      <c r="QAR25" s="1266"/>
      <c r="QAS25" s="1266"/>
      <c r="QAT25" s="1266"/>
      <c r="QAU25" s="1266"/>
      <c r="QAV25" s="1266"/>
      <c r="QAW25" s="1266"/>
      <c r="QAX25" s="1266"/>
      <c r="QAY25" s="1266"/>
      <c r="QAZ25" s="1266"/>
      <c r="QBA25" s="1266"/>
      <c r="QBB25" s="1266"/>
      <c r="QBC25" s="1266"/>
      <c r="QBD25" s="1266"/>
      <c r="QBE25" s="1266"/>
      <c r="QBF25" s="1266"/>
      <c r="QBG25" s="1266"/>
      <c r="QBH25" s="1266"/>
      <c r="QBI25" s="1266"/>
      <c r="QBJ25" s="1266"/>
      <c r="QBK25" s="1266"/>
      <c r="QBL25" s="1266"/>
      <c r="QBM25" s="1266"/>
      <c r="QBN25" s="1266"/>
      <c r="QBO25" s="1266"/>
      <c r="QBP25" s="1266"/>
      <c r="QBQ25" s="1266"/>
      <c r="QBR25" s="1266"/>
      <c r="QBS25" s="1266"/>
      <c r="QBT25" s="1266"/>
      <c r="QBU25" s="1266"/>
      <c r="QBV25" s="1266"/>
      <c r="QBW25" s="1266"/>
      <c r="QBX25" s="1266"/>
      <c r="QBY25" s="1266"/>
      <c r="QBZ25" s="1266"/>
      <c r="QCA25" s="1266"/>
      <c r="QCB25" s="1266"/>
      <c r="QCC25" s="1266"/>
      <c r="QCD25" s="1266"/>
      <c r="QCE25" s="1266"/>
      <c r="QCF25" s="1266"/>
      <c r="QCG25" s="1266"/>
      <c r="QCH25" s="1266"/>
      <c r="QCI25" s="1266"/>
      <c r="QCJ25" s="1266"/>
      <c r="QCK25" s="1266"/>
      <c r="QCL25" s="1266"/>
      <c r="QCM25" s="1266"/>
      <c r="QCN25" s="1266"/>
      <c r="QCO25" s="1266"/>
      <c r="QCP25" s="1266"/>
      <c r="QCQ25" s="1266"/>
      <c r="QCR25" s="1266"/>
      <c r="QCS25" s="1266"/>
      <c r="QCT25" s="1266"/>
      <c r="QCU25" s="1266"/>
      <c r="QCV25" s="1266"/>
      <c r="QCW25" s="1266"/>
      <c r="QCX25" s="1266"/>
      <c r="QCY25" s="1266"/>
      <c r="QCZ25" s="1266"/>
      <c r="QDA25" s="1266"/>
      <c r="QDB25" s="1266"/>
      <c r="QDC25" s="1266"/>
      <c r="QDD25" s="1266"/>
      <c r="QDE25" s="1266"/>
      <c r="QDF25" s="1266"/>
      <c r="QDG25" s="1266"/>
      <c r="QDH25" s="1266"/>
      <c r="QDI25" s="1266"/>
      <c r="QDJ25" s="1266"/>
      <c r="QDK25" s="1266"/>
      <c r="QDL25" s="1266"/>
      <c r="QDM25" s="1266"/>
      <c r="QDN25" s="1266"/>
      <c r="QDO25" s="1266"/>
      <c r="QDP25" s="1266"/>
      <c r="QDQ25" s="1266"/>
      <c r="QDR25" s="1266"/>
      <c r="QDS25" s="1266"/>
      <c r="QDT25" s="1266"/>
      <c r="QDU25" s="1266"/>
      <c r="QDV25" s="1266"/>
      <c r="QDW25" s="1266"/>
      <c r="QDX25" s="1266"/>
      <c r="QDY25" s="1266"/>
      <c r="QDZ25" s="1266"/>
      <c r="QEA25" s="1266"/>
      <c r="QEB25" s="1266"/>
      <c r="QEC25" s="1266"/>
      <c r="QED25" s="1266"/>
      <c r="QEE25" s="1266"/>
      <c r="QEF25" s="1266"/>
      <c r="QEG25" s="1266"/>
      <c r="QEH25" s="1266"/>
      <c r="QEI25" s="1266"/>
      <c r="QEJ25" s="1266"/>
      <c r="QEK25" s="1266"/>
      <c r="QEL25" s="1266"/>
      <c r="QEM25" s="1266"/>
      <c r="QEN25" s="1266"/>
      <c r="QEO25" s="1266"/>
      <c r="QEP25" s="1266"/>
      <c r="QEQ25" s="1266"/>
      <c r="QER25" s="1266"/>
      <c r="QES25" s="1266"/>
      <c r="QET25" s="1266"/>
      <c r="QEU25" s="1266"/>
      <c r="QEV25" s="1266"/>
      <c r="QEW25" s="1266"/>
      <c r="QEX25" s="1266"/>
      <c r="QEY25" s="1266"/>
      <c r="QEZ25" s="1266"/>
      <c r="QFA25" s="1266"/>
      <c r="QFB25" s="1266"/>
      <c r="QFC25" s="1266"/>
      <c r="QFD25" s="1266"/>
      <c r="QFE25" s="1266"/>
      <c r="QFF25" s="1266"/>
      <c r="QFG25" s="1266"/>
      <c r="QFH25" s="1266"/>
      <c r="QFI25" s="1266"/>
      <c r="QFJ25" s="1266"/>
      <c r="QFK25" s="1266"/>
      <c r="QFL25" s="1266"/>
      <c r="QFM25" s="1266"/>
      <c r="QFN25" s="1266"/>
      <c r="QFO25" s="1266"/>
      <c r="QFP25" s="1266"/>
      <c r="QFQ25" s="1266"/>
      <c r="QFR25" s="1266"/>
      <c r="QFS25" s="1266"/>
      <c r="QFT25" s="1266"/>
      <c r="QFU25" s="1266"/>
      <c r="QFV25" s="1266"/>
      <c r="QFW25" s="1266"/>
      <c r="QFX25" s="1266"/>
      <c r="QFY25" s="1266"/>
      <c r="QFZ25" s="1266"/>
      <c r="QGA25" s="1266"/>
      <c r="QGB25" s="1266"/>
      <c r="QGC25" s="1266"/>
      <c r="QGD25" s="1266"/>
      <c r="QGE25" s="1266"/>
      <c r="QGF25" s="1266"/>
      <c r="QGG25" s="1266"/>
      <c r="QGH25" s="1266"/>
      <c r="QGI25" s="1266"/>
      <c r="QGJ25" s="1266"/>
      <c r="QGK25" s="1266"/>
      <c r="QGL25" s="1266"/>
      <c r="QGM25" s="1266"/>
      <c r="QGN25" s="1266"/>
      <c r="QGO25" s="1266"/>
      <c r="QGP25" s="1266"/>
      <c r="QGQ25" s="1266"/>
      <c r="QGR25" s="1266"/>
      <c r="QGS25" s="1266"/>
      <c r="QGT25" s="1266"/>
      <c r="QGU25" s="1266"/>
      <c r="QGV25" s="1266"/>
      <c r="QGW25" s="1266"/>
      <c r="QGX25" s="1266"/>
      <c r="QGY25" s="1266"/>
      <c r="QGZ25" s="1266"/>
      <c r="QHA25" s="1266"/>
      <c r="QHB25" s="1266"/>
      <c r="QHC25" s="1266"/>
      <c r="QHD25" s="1266"/>
      <c r="QHE25" s="1266"/>
      <c r="QHF25" s="1266"/>
      <c r="QHG25" s="1266"/>
      <c r="QHH25" s="1266"/>
      <c r="QHI25" s="1266"/>
      <c r="QHJ25" s="1266"/>
      <c r="QHK25" s="1266"/>
      <c r="QHL25" s="1266"/>
      <c r="QHM25" s="1266"/>
      <c r="QHN25" s="1266"/>
      <c r="QHO25" s="1266"/>
      <c r="QHP25" s="1266"/>
      <c r="QHQ25" s="1266"/>
      <c r="QHR25" s="1266"/>
      <c r="QHS25" s="1266"/>
      <c r="QHT25" s="1266"/>
      <c r="QHU25" s="1266"/>
      <c r="QHV25" s="1266"/>
      <c r="QHW25" s="1266"/>
      <c r="QHX25" s="1266"/>
      <c r="QHY25" s="1266"/>
      <c r="QHZ25" s="1266"/>
      <c r="QIA25" s="1266"/>
      <c r="QIB25" s="1266"/>
      <c r="QIC25" s="1266"/>
      <c r="QID25" s="1266"/>
      <c r="QIE25" s="1266"/>
      <c r="QIF25" s="1266"/>
      <c r="QIG25" s="1266"/>
      <c r="QIH25" s="1266"/>
      <c r="QII25" s="1266"/>
      <c r="QIJ25" s="1266"/>
      <c r="QIK25" s="1266"/>
      <c r="QIL25" s="1266"/>
      <c r="QIM25" s="1266"/>
      <c r="QIN25" s="1266"/>
      <c r="QIO25" s="1266"/>
      <c r="QIP25" s="1266"/>
      <c r="QIQ25" s="1266"/>
      <c r="QIR25" s="1266"/>
      <c r="QIS25" s="1266"/>
      <c r="QIT25" s="1266"/>
      <c r="QIU25" s="1266"/>
      <c r="QIV25" s="1266"/>
      <c r="QIW25" s="1266"/>
      <c r="QIX25" s="1266"/>
      <c r="QIY25" s="1266"/>
      <c r="QIZ25" s="1266"/>
      <c r="QJA25" s="1266"/>
      <c r="QJB25" s="1266"/>
      <c r="QJC25" s="1266"/>
      <c r="QJD25" s="1266"/>
      <c r="QJE25" s="1266"/>
      <c r="QJF25" s="1266"/>
      <c r="QJG25" s="1266"/>
      <c r="QJH25" s="1266"/>
      <c r="QJI25" s="1266"/>
      <c r="QJJ25" s="1266"/>
      <c r="QJK25" s="1266"/>
      <c r="QJL25" s="1266"/>
      <c r="QJM25" s="1266"/>
      <c r="QJN25" s="1266"/>
      <c r="QJO25" s="1266"/>
      <c r="QJP25" s="1266"/>
      <c r="QJQ25" s="1266"/>
      <c r="QJR25" s="1266"/>
      <c r="QJS25" s="1266"/>
      <c r="QJT25" s="1266"/>
      <c r="QJU25" s="1266"/>
      <c r="QJV25" s="1266"/>
      <c r="QJW25" s="1266"/>
      <c r="QJX25" s="1266"/>
      <c r="QJY25" s="1266"/>
      <c r="QJZ25" s="1266"/>
      <c r="QKA25" s="1266"/>
      <c r="QKB25" s="1266"/>
      <c r="QKC25" s="1266"/>
      <c r="QKD25" s="1266"/>
      <c r="QKE25" s="1266"/>
      <c r="QKF25" s="1266"/>
      <c r="QKG25" s="1266"/>
      <c r="QKH25" s="1266"/>
      <c r="QKI25" s="1266"/>
      <c r="QKJ25" s="1266"/>
      <c r="QKK25" s="1266"/>
      <c r="QKL25" s="1266"/>
      <c r="QKM25" s="1266"/>
      <c r="QKN25" s="1266"/>
      <c r="QKO25" s="1266"/>
      <c r="QKP25" s="1266"/>
      <c r="QKQ25" s="1266"/>
      <c r="QKR25" s="1266"/>
      <c r="QKS25" s="1266"/>
      <c r="QKT25" s="1266"/>
      <c r="QKU25" s="1266"/>
      <c r="QKV25" s="1266"/>
      <c r="QKW25" s="1266"/>
      <c r="QKX25" s="1266"/>
      <c r="QKY25" s="1266"/>
      <c r="QKZ25" s="1266"/>
      <c r="QLA25" s="1266"/>
      <c r="QLB25" s="1266"/>
      <c r="QLC25" s="1266"/>
      <c r="QLD25" s="1266"/>
      <c r="QLE25" s="1266"/>
      <c r="QLF25" s="1266"/>
      <c r="QLG25" s="1266"/>
      <c r="QLH25" s="1266"/>
      <c r="QLI25" s="1266"/>
      <c r="QLJ25" s="1266"/>
      <c r="QLK25" s="1266"/>
      <c r="QLL25" s="1266"/>
      <c r="QLM25" s="1266"/>
      <c r="QLN25" s="1266"/>
      <c r="QLO25" s="1266"/>
      <c r="QLP25" s="1266"/>
      <c r="QLQ25" s="1266"/>
      <c r="QLR25" s="1266"/>
      <c r="QLS25" s="1266"/>
      <c r="QLT25" s="1266"/>
      <c r="QLU25" s="1266"/>
      <c r="QLV25" s="1266"/>
      <c r="QLW25" s="1266"/>
      <c r="QLX25" s="1266"/>
      <c r="QLY25" s="1266"/>
      <c r="QLZ25" s="1266"/>
      <c r="QMA25" s="1266"/>
      <c r="QMB25" s="1266"/>
      <c r="QMC25" s="1266"/>
      <c r="QMD25" s="1266"/>
      <c r="QME25" s="1266"/>
      <c r="QMF25" s="1266"/>
      <c r="QMG25" s="1266"/>
      <c r="QMH25" s="1266"/>
      <c r="QMI25" s="1266"/>
      <c r="QMJ25" s="1266"/>
      <c r="QMK25" s="1266"/>
      <c r="QML25" s="1266"/>
      <c r="QMM25" s="1266"/>
      <c r="QMN25" s="1266"/>
      <c r="QMO25" s="1266"/>
      <c r="QMP25" s="1266"/>
      <c r="QMQ25" s="1266"/>
      <c r="QMR25" s="1266"/>
      <c r="QMS25" s="1266"/>
      <c r="QMT25" s="1266"/>
      <c r="QMU25" s="1266"/>
      <c r="QMV25" s="1266"/>
      <c r="QMW25" s="1266"/>
      <c r="QMX25" s="1266"/>
      <c r="QMY25" s="1266"/>
      <c r="QMZ25" s="1266"/>
      <c r="QNA25" s="1266"/>
      <c r="QNB25" s="1266"/>
      <c r="QNC25" s="1266"/>
      <c r="QND25" s="1266"/>
      <c r="QNE25" s="1266"/>
      <c r="QNF25" s="1266"/>
      <c r="QNG25" s="1266"/>
      <c r="QNH25" s="1266"/>
      <c r="QNI25" s="1266"/>
      <c r="QNJ25" s="1266"/>
      <c r="QNK25" s="1266"/>
      <c r="QNL25" s="1266"/>
      <c r="QNM25" s="1266"/>
      <c r="QNN25" s="1266"/>
      <c r="QNO25" s="1266"/>
      <c r="QNP25" s="1266"/>
      <c r="QNQ25" s="1266"/>
      <c r="QNR25" s="1266"/>
      <c r="QNS25" s="1266"/>
      <c r="QNT25" s="1266"/>
      <c r="QNU25" s="1266"/>
      <c r="QNV25" s="1266"/>
      <c r="QNW25" s="1266"/>
      <c r="QNX25" s="1266"/>
      <c r="QNY25" s="1266"/>
      <c r="QNZ25" s="1266"/>
      <c r="QOA25" s="1266"/>
      <c r="QOB25" s="1266"/>
      <c r="QOC25" s="1266"/>
      <c r="QOD25" s="1266"/>
      <c r="QOE25" s="1266"/>
      <c r="QOF25" s="1266"/>
      <c r="QOG25" s="1266"/>
      <c r="QOH25" s="1266"/>
      <c r="QOI25" s="1266"/>
      <c r="QOJ25" s="1266"/>
      <c r="QOK25" s="1266"/>
      <c r="QOL25" s="1266"/>
      <c r="QOM25" s="1266"/>
      <c r="QON25" s="1266"/>
      <c r="QOO25" s="1266"/>
      <c r="QOP25" s="1266"/>
      <c r="QOQ25" s="1266"/>
      <c r="QOR25" s="1266"/>
      <c r="QOS25" s="1266"/>
      <c r="QOT25" s="1266"/>
      <c r="QOU25" s="1266"/>
      <c r="QOV25" s="1266"/>
      <c r="QOW25" s="1266"/>
      <c r="QOX25" s="1266"/>
      <c r="QOY25" s="1266"/>
      <c r="QOZ25" s="1266"/>
      <c r="QPA25" s="1266"/>
      <c r="QPB25" s="1266"/>
      <c r="QPC25" s="1266"/>
      <c r="QPD25" s="1266"/>
      <c r="QPE25" s="1266"/>
      <c r="QPF25" s="1266"/>
      <c r="QPG25" s="1266"/>
      <c r="QPH25" s="1266"/>
      <c r="QPI25" s="1266"/>
      <c r="QPJ25" s="1266"/>
      <c r="QPK25" s="1266"/>
      <c r="QPL25" s="1266"/>
      <c r="QPM25" s="1266"/>
      <c r="QPN25" s="1266"/>
      <c r="QPO25" s="1266"/>
      <c r="QPP25" s="1266"/>
      <c r="QPQ25" s="1266"/>
      <c r="QPR25" s="1266"/>
      <c r="QPS25" s="1266"/>
      <c r="QPT25" s="1266"/>
      <c r="QPU25" s="1266"/>
      <c r="QPV25" s="1266"/>
      <c r="QPW25" s="1266"/>
      <c r="QPX25" s="1266"/>
      <c r="QPY25" s="1266"/>
      <c r="QPZ25" s="1266"/>
      <c r="QQA25" s="1266"/>
      <c r="QQB25" s="1266"/>
      <c r="QQC25" s="1266"/>
      <c r="QQD25" s="1266"/>
      <c r="QQE25" s="1266"/>
      <c r="QQF25" s="1266"/>
      <c r="QQG25" s="1266"/>
      <c r="QQH25" s="1266"/>
      <c r="QQI25" s="1266"/>
      <c r="QQJ25" s="1266"/>
      <c r="QQK25" s="1266"/>
      <c r="QQL25" s="1266"/>
      <c r="QQM25" s="1266"/>
      <c r="QQN25" s="1266"/>
      <c r="QQO25" s="1266"/>
      <c r="QQP25" s="1266"/>
      <c r="QQQ25" s="1266"/>
      <c r="QQR25" s="1266"/>
      <c r="QQS25" s="1266"/>
      <c r="QQT25" s="1266"/>
      <c r="QQU25" s="1266"/>
      <c r="QQV25" s="1266"/>
      <c r="QQW25" s="1266"/>
      <c r="QQX25" s="1266"/>
      <c r="QQY25" s="1266"/>
      <c r="QQZ25" s="1266"/>
      <c r="QRA25" s="1266"/>
      <c r="QRB25" s="1266"/>
      <c r="QRC25" s="1266"/>
      <c r="QRD25" s="1266"/>
      <c r="QRE25" s="1266"/>
      <c r="QRF25" s="1266"/>
      <c r="QRG25" s="1266"/>
      <c r="QRH25" s="1266"/>
      <c r="QRI25" s="1266"/>
      <c r="QRJ25" s="1266"/>
      <c r="QRK25" s="1266"/>
      <c r="QRL25" s="1266"/>
      <c r="QRM25" s="1266"/>
      <c r="QRN25" s="1266"/>
      <c r="QRO25" s="1266"/>
      <c r="QRP25" s="1266"/>
      <c r="QRQ25" s="1266"/>
      <c r="QRR25" s="1266"/>
      <c r="QRS25" s="1266"/>
      <c r="QRT25" s="1266"/>
      <c r="QRU25" s="1266"/>
      <c r="QRV25" s="1266"/>
      <c r="QRW25" s="1266"/>
      <c r="QRX25" s="1266"/>
      <c r="QRY25" s="1266"/>
      <c r="QRZ25" s="1266"/>
      <c r="QSA25" s="1266"/>
      <c r="QSB25" s="1266"/>
      <c r="QSC25" s="1266"/>
      <c r="QSD25" s="1266"/>
      <c r="QSE25" s="1266"/>
      <c r="QSF25" s="1266"/>
      <c r="QSG25" s="1266"/>
      <c r="QSH25" s="1266"/>
      <c r="QSI25" s="1266"/>
      <c r="QSJ25" s="1266"/>
      <c r="QSK25" s="1266"/>
      <c r="QSL25" s="1266"/>
      <c r="QSM25" s="1266"/>
      <c r="QSN25" s="1266"/>
      <c r="QSO25" s="1266"/>
      <c r="QSP25" s="1266"/>
      <c r="QSQ25" s="1266"/>
      <c r="QSR25" s="1266"/>
      <c r="QSS25" s="1266"/>
      <c r="QST25" s="1266"/>
      <c r="QSU25" s="1266"/>
      <c r="QSV25" s="1266"/>
      <c r="QSW25" s="1266"/>
      <c r="QSX25" s="1266"/>
      <c r="QSY25" s="1266"/>
      <c r="QSZ25" s="1266"/>
      <c r="QTA25" s="1266"/>
      <c r="QTB25" s="1266"/>
      <c r="QTC25" s="1266"/>
      <c r="QTD25" s="1266"/>
      <c r="QTE25" s="1266"/>
      <c r="QTF25" s="1266"/>
      <c r="QTG25" s="1266"/>
      <c r="QTH25" s="1266"/>
      <c r="QTI25" s="1266"/>
      <c r="QTJ25" s="1266"/>
      <c r="QTK25" s="1266"/>
      <c r="QTL25" s="1266"/>
      <c r="QTM25" s="1266"/>
      <c r="QTN25" s="1266"/>
      <c r="QTO25" s="1266"/>
      <c r="QTP25" s="1266"/>
      <c r="QTQ25" s="1266"/>
      <c r="QTR25" s="1266"/>
      <c r="QTS25" s="1266"/>
      <c r="QTT25" s="1266"/>
      <c r="QTU25" s="1266"/>
      <c r="QTV25" s="1266"/>
      <c r="QTW25" s="1266"/>
      <c r="QTX25" s="1266"/>
      <c r="QTY25" s="1266"/>
      <c r="QTZ25" s="1266"/>
      <c r="QUA25" s="1266"/>
      <c r="QUB25" s="1266"/>
      <c r="QUC25" s="1266"/>
      <c r="QUD25" s="1266"/>
      <c r="QUE25" s="1266"/>
      <c r="QUF25" s="1266"/>
      <c r="QUG25" s="1266"/>
      <c r="QUH25" s="1266"/>
      <c r="QUI25" s="1266"/>
      <c r="QUJ25" s="1266"/>
      <c r="QUK25" s="1266"/>
      <c r="QUL25" s="1266"/>
      <c r="QUM25" s="1266"/>
      <c r="QUN25" s="1266"/>
      <c r="QUO25" s="1266"/>
      <c r="QUP25" s="1266"/>
      <c r="QUQ25" s="1266"/>
      <c r="QUR25" s="1266"/>
      <c r="QUS25" s="1266"/>
      <c r="QUT25" s="1266"/>
      <c r="QUU25" s="1266"/>
      <c r="QUV25" s="1266"/>
      <c r="QUW25" s="1266"/>
      <c r="QUX25" s="1266"/>
      <c r="QUY25" s="1266"/>
      <c r="QUZ25" s="1266"/>
      <c r="QVA25" s="1266"/>
      <c r="QVB25" s="1266"/>
      <c r="QVC25" s="1266"/>
      <c r="QVD25" s="1266"/>
      <c r="QVE25" s="1266"/>
      <c r="QVF25" s="1266"/>
      <c r="QVG25" s="1266"/>
      <c r="QVH25" s="1266"/>
      <c r="QVI25" s="1266"/>
      <c r="QVJ25" s="1266"/>
      <c r="QVK25" s="1266"/>
      <c r="QVL25" s="1266"/>
      <c r="QVM25" s="1266"/>
      <c r="QVN25" s="1266"/>
      <c r="QVO25" s="1266"/>
      <c r="QVP25" s="1266"/>
      <c r="QVQ25" s="1266"/>
      <c r="QVR25" s="1266"/>
      <c r="QVS25" s="1266"/>
      <c r="QVT25" s="1266"/>
      <c r="QVU25" s="1266"/>
      <c r="QVV25" s="1266"/>
      <c r="QVW25" s="1266"/>
      <c r="QVX25" s="1266"/>
      <c r="QVY25" s="1266"/>
      <c r="QVZ25" s="1266"/>
      <c r="QWA25" s="1266"/>
      <c r="QWB25" s="1266"/>
      <c r="QWC25" s="1266"/>
      <c r="QWD25" s="1266"/>
      <c r="QWE25" s="1266"/>
      <c r="QWF25" s="1266"/>
      <c r="QWG25" s="1266"/>
      <c r="QWH25" s="1266"/>
      <c r="QWI25" s="1266"/>
      <c r="QWJ25" s="1266"/>
      <c r="QWK25" s="1266"/>
      <c r="QWL25" s="1266"/>
      <c r="QWM25" s="1266"/>
      <c r="QWN25" s="1266"/>
      <c r="QWO25" s="1266"/>
      <c r="QWP25" s="1266"/>
      <c r="QWQ25" s="1266"/>
      <c r="QWR25" s="1266"/>
      <c r="QWS25" s="1266"/>
      <c r="QWT25" s="1266"/>
      <c r="QWU25" s="1266"/>
      <c r="QWV25" s="1266"/>
      <c r="QWW25" s="1266"/>
      <c r="QWX25" s="1266"/>
      <c r="QWY25" s="1266"/>
      <c r="QWZ25" s="1266"/>
      <c r="QXA25" s="1266"/>
      <c r="QXB25" s="1266"/>
      <c r="QXC25" s="1266"/>
      <c r="QXD25" s="1266"/>
      <c r="QXE25" s="1266"/>
      <c r="QXF25" s="1266"/>
      <c r="QXG25" s="1266"/>
      <c r="QXH25" s="1266"/>
      <c r="QXI25" s="1266"/>
      <c r="QXJ25" s="1266"/>
      <c r="QXK25" s="1266"/>
      <c r="QXL25" s="1266"/>
      <c r="QXM25" s="1266"/>
      <c r="QXN25" s="1266"/>
      <c r="QXO25" s="1266"/>
      <c r="QXP25" s="1266"/>
      <c r="QXQ25" s="1266"/>
      <c r="QXR25" s="1266"/>
      <c r="QXS25" s="1266"/>
      <c r="QXT25" s="1266"/>
      <c r="QXU25" s="1266"/>
      <c r="QXV25" s="1266"/>
      <c r="QXW25" s="1266"/>
      <c r="QXX25" s="1266"/>
      <c r="QXY25" s="1266"/>
      <c r="QXZ25" s="1266"/>
      <c r="QYA25" s="1266"/>
      <c r="QYB25" s="1266"/>
      <c r="QYC25" s="1266"/>
      <c r="QYD25" s="1266"/>
      <c r="QYE25" s="1266"/>
      <c r="QYF25" s="1266"/>
      <c r="QYG25" s="1266"/>
      <c r="QYH25" s="1266"/>
      <c r="QYI25" s="1266"/>
      <c r="QYJ25" s="1266"/>
      <c r="QYK25" s="1266"/>
      <c r="QYL25" s="1266"/>
      <c r="QYM25" s="1266"/>
      <c r="QYN25" s="1266"/>
      <c r="QYO25" s="1266"/>
      <c r="QYP25" s="1266"/>
      <c r="QYQ25" s="1266"/>
      <c r="QYR25" s="1266"/>
      <c r="QYS25" s="1266"/>
      <c r="QYT25" s="1266"/>
      <c r="QYU25" s="1266"/>
      <c r="QYV25" s="1266"/>
      <c r="QYW25" s="1266"/>
      <c r="QYX25" s="1266"/>
      <c r="QYY25" s="1266"/>
      <c r="QYZ25" s="1266"/>
      <c r="QZA25" s="1266"/>
      <c r="QZB25" s="1266"/>
      <c r="QZC25" s="1266"/>
      <c r="QZD25" s="1266"/>
      <c r="QZE25" s="1266"/>
      <c r="QZF25" s="1266"/>
      <c r="QZG25" s="1266"/>
      <c r="QZH25" s="1266"/>
      <c r="QZI25" s="1266"/>
      <c r="QZJ25" s="1266"/>
      <c r="QZK25" s="1266"/>
      <c r="QZL25" s="1266"/>
      <c r="QZM25" s="1266"/>
      <c r="QZN25" s="1266"/>
      <c r="QZO25" s="1266"/>
      <c r="QZP25" s="1266"/>
      <c r="QZQ25" s="1266"/>
      <c r="QZR25" s="1266"/>
      <c r="QZS25" s="1266"/>
      <c r="QZT25" s="1266"/>
      <c r="QZU25" s="1266"/>
      <c r="QZV25" s="1266"/>
      <c r="QZW25" s="1266"/>
      <c r="QZX25" s="1266"/>
      <c r="QZY25" s="1266"/>
      <c r="QZZ25" s="1266"/>
      <c r="RAA25" s="1266"/>
      <c r="RAB25" s="1266"/>
      <c r="RAC25" s="1266"/>
      <c r="RAD25" s="1266"/>
      <c r="RAE25" s="1266"/>
      <c r="RAF25" s="1266"/>
      <c r="RAG25" s="1266"/>
      <c r="RAH25" s="1266"/>
      <c r="RAI25" s="1266"/>
      <c r="RAJ25" s="1266"/>
      <c r="RAK25" s="1266"/>
      <c r="RAL25" s="1266"/>
      <c r="RAM25" s="1266"/>
      <c r="RAN25" s="1266"/>
      <c r="RAO25" s="1266"/>
      <c r="RAP25" s="1266"/>
      <c r="RAQ25" s="1266"/>
      <c r="RAR25" s="1266"/>
      <c r="RAS25" s="1266"/>
      <c r="RAT25" s="1266"/>
      <c r="RAU25" s="1266"/>
      <c r="RAV25" s="1266"/>
      <c r="RAW25" s="1266"/>
      <c r="RAX25" s="1266"/>
      <c r="RAY25" s="1266"/>
      <c r="RAZ25" s="1266"/>
      <c r="RBA25" s="1266"/>
      <c r="RBB25" s="1266"/>
      <c r="RBC25" s="1266"/>
      <c r="RBD25" s="1266"/>
      <c r="RBE25" s="1266"/>
      <c r="RBF25" s="1266"/>
      <c r="RBG25" s="1266"/>
      <c r="RBH25" s="1266"/>
      <c r="RBI25" s="1266"/>
      <c r="RBJ25" s="1266"/>
      <c r="RBK25" s="1266"/>
      <c r="RBL25" s="1266"/>
      <c r="RBM25" s="1266"/>
      <c r="RBN25" s="1266"/>
      <c r="RBO25" s="1266"/>
      <c r="RBP25" s="1266"/>
      <c r="RBQ25" s="1266"/>
      <c r="RBR25" s="1266"/>
      <c r="RBS25" s="1266"/>
      <c r="RBT25" s="1266"/>
      <c r="RBU25" s="1266"/>
      <c r="RBV25" s="1266"/>
      <c r="RBW25" s="1266"/>
      <c r="RBX25" s="1266"/>
      <c r="RBY25" s="1266"/>
      <c r="RBZ25" s="1266"/>
      <c r="RCA25" s="1266"/>
      <c r="RCB25" s="1266"/>
      <c r="RCC25" s="1266"/>
      <c r="RCD25" s="1266"/>
      <c r="RCE25" s="1266"/>
      <c r="RCF25" s="1266"/>
      <c r="RCG25" s="1266"/>
      <c r="RCH25" s="1266"/>
      <c r="RCI25" s="1266"/>
      <c r="RCJ25" s="1266"/>
      <c r="RCK25" s="1266"/>
      <c r="RCL25" s="1266"/>
      <c r="RCM25" s="1266"/>
      <c r="RCN25" s="1266"/>
      <c r="RCO25" s="1266"/>
      <c r="RCP25" s="1266"/>
      <c r="RCQ25" s="1266"/>
      <c r="RCR25" s="1266"/>
      <c r="RCS25" s="1266"/>
      <c r="RCT25" s="1266"/>
      <c r="RCU25" s="1266"/>
      <c r="RCV25" s="1266"/>
      <c r="RCW25" s="1266"/>
      <c r="RCX25" s="1266"/>
      <c r="RCY25" s="1266"/>
      <c r="RCZ25" s="1266"/>
      <c r="RDA25" s="1266"/>
      <c r="RDB25" s="1266"/>
      <c r="RDC25" s="1266"/>
      <c r="RDD25" s="1266"/>
      <c r="RDE25" s="1266"/>
      <c r="RDF25" s="1266"/>
      <c r="RDG25" s="1266"/>
      <c r="RDH25" s="1266"/>
      <c r="RDI25" s="1266"/>
      <c r="RDJ25" s="1266"/>
      <c r="RDK25" s="1266"/>
      <c r="RDL25" s="1266"/>
      <c r="RDM25" s="1266"/>
      <c r="RDN25" s="1266"/>
      <c r="RDO25" s="1266"/>
      <c r="RDP25" s="1266"/>
      <c r="RDQ25" s="1266"/>
      <c r="RDR25" s="1266"/>
      <c r="RDS25" s="1266"/>
      <c r="RDT25" s="1266"/>
      <c r="RDU25" s="1266"/>
      <c r="RDV25" s="1266"/>
      <c r="RDW25" s="1266"/>
      <c r="RDX25" s="1266"/>
      <c r="RDY25" s="1266"/>
      <c r="RDZ25" s="1266"/>
      <c r="REA25" s="1266"/>
      <c r="REB25" s="1266"/>
      <c r="REC25" s="1266"/>
      <c r="RED25" s="1266"/>
      <c r="REE25" s="1266"/>
      <c r="REF25" s="1266"/>
      <c r="REG25" s="1266"/>
      <c r="REH25" s="1266"/>
      <c r="REI25" s="1266"/>
      <c r="REJ25" s="1266"/>
      <c r="REK25" s="1266"/>
      <c r="REL25" s="1266"/>
      <c r="REM25" s="1266"/>
      <c r="REN25" s="1266"/>
      <c r="REO25" s="1266"/>
      <c r="REP25" s="1266"/>
      <c r="REQ25" s="1266"/>
      <c r="RER25" s="1266"/>
      <c r="RES25" s="1266"/>
      <c r="RET25" s="1266"/>
      <c r="REU25" s="1266"/>
      <c r="REV25" s="1266"/>
      <c r="REW25" s="1266"/>
      <c r="REX25" s="1266"/>
      <c r="REY25" s="1266"/>
      <c r="REZ25" s="1266"/>
      <c r="RFA25" s="1266"/>
      <c r="RFB25" s="1266"/>
      <c r="RFC25" s="1266"/>
      <c r="RFD25" s="1266"/>
      <c r="RFE25" s="1266"/>
      <c r="RFF25" s="1266"/>
      <c r="RFG25" s="1266"/>
      <c r="RFH25" s="1266"/>
      <c r="RFI25" s="1266"/>
      <c r="RFJ25" s="1266"/>
      <c r="RFK25" s="1266"/>
      <c r="RFL25" s="1266"/>
      <c r="RFM25" s="1266"/>
      <c r="RFN25" s="1266"/>
      <c r="RFO25" s="1266"/>
      <c r="RFP25" s="1266"/>
      <c r="RFQ25" s="1266"/>
      <c r="RFR25" s="1266"/>
      <c r="RFS25" s="1266"/>
      <c r="RFT25" s="1266"/>
      <c r="RFU25" s="1266"/>
      <c r="RFV25" s="1266"/>
      <c r="RFW25" s="1266"/>
      <c r="RFX25" s="1266"/>
      <c r="RFY25" s="1266"/>
      <c r="RFZ25" s="1266"/>
      <c r="RGA25" s="1266"/>
      <c r="RGB25" s="1266"/>
      <c r="RGC25" s="1266"/>
      <c r="RGD25" s="1266"/>
      <c r="RGE25" s="1266"/>
      <c r="RGF25" s="1266"/>
      <c r="RGG25" s="1266"/>
      <c r="RGH25" s="1266"/>
      <c r="RGI25" s="1266"/>
      <c r="RGJ25" s="1266"/>
      <c r="RGK25" s="1266"/>
      <c r="RGL25" s="1266"/>
      <c r="RGM25" s="1266"/>
      <c r="RGN25" s="1266"/>
      <c r="RGO25" s="1266"/>
      <c r="RGP25" s="1266"/>
      <c r="RGQ25" s="1266"/>
      <c r="RGR25" s="1266"/>
      <c r="RGS25" s="1266"/>
      <c r="RGT25" s="1266"/>
      <c r="RGU25" s="1266"/>
      <c r="RGV25" s="1266"/>
      <c r="RGW25" s="1266"/>
      <c r="RGX25" s="1266"/>
      <c r="RGY25" s="1266"/>
      <c r="RGZ25" s="1266"/>
      <c r="RHA25" s="1266"/>
      <c r="RHB25" s="1266"/>
      <c r="RHC25" s="1266"/>
      <c r="RHD25" s="1266"/>
      <c r="RHE25" s="1266"/>
      <c r="RHF25" s="1266"/>
      <c r="RHG25" s="1266"/>
      <c r="RHH25" s="1266"/>
      <c r="RHI25" s="1266"/>
      <c r="RHJ25" s="1266"/>
      <c r="RHK25" s="1266"/>
      <c r="RHL25" s="1266"/>
      <c r="RHM25" s="1266"/>
      <c r="RHN25" s="1266"/>
      <c r="RHO25" s="1266"/>
      <c r="RHP25" s="1266"/>
      <c r="RHQ25" s="1266"/>
      <c r="RHR25" s="1266"/>
      <c r="RHS25" s="1266"/>
      <c r="RHT25" s="1266"/>
      <c r="RHU25" s="1266"/>
      <c r="RHV25" s="1266"/>
      <c r="RHW25" s="1266"/>
      <c r="RHX25" s="1266"/>
      <c r="RHY25" s="1266"/>
      <c r="RHZ25" s="1266"/>
      <c r="RIA25" s="1266"/>
      <c r="RIB25" s="1266"/>
      <c r="RIC25" s="1266"/>
      <c r="RID25" s="1266"/>
      <c r="RIE25" s="1266"/>
      <c r="RIF25" s="1266"/>
      <c r="RIG25" s="1266"/>
      <c r="RIH25" s="1266"/>
      <c r="RII25" s="1266"/>
      <c r="RIJ25" s="1266"/>
      <c r="RIK25" s="1266"/>
      <c r="RIL25" s="1266"/>
      <c r="RIM25" s="1266"/>
      <c r="RIN25" s="1266"/>
      <c r="RIO25" s="1266"/>
      <c r="RIP25" s="1266"/>
      <c r="RIQ25" s="1266"/>
      <c r="RIR25" s="1266"/>
      <c r="RIS25" s="1266"/>
      <c r="RIT25" s="1266"/>
      <c r="RIU25" s="1266"/>
      <c r="RIV25" s="1266"/>
      <c r="RIW25" s="1266"/>
      <c r="RIX25" s="1266"/>
      <c r="RIY25" s="1266"/>
      <c r="RIZ25" s="1266"/>
      <c r="RJA25" s="1266"/>
      <c r="RJB25" s="1266"/>
      <c r="RJC25" s="1266"/>
      <c r="RJD25" s="1266"/>
      <c r="RJE25" s="1266"/>
      <c r="RJF25" s="1266"/>
      <c r="RJG25" s="1266"/>
      <c r="RJH25" s="1266"/>
      <c r="RJI25" s="1266"/>
      <c r="RJJ25" s="1266"/>
      <c r="RJK25" s="1266"/>
      <c r="RJL25" s="1266"/>
      <c r="RJM25" s="1266"/>
      <c r="RJN25" s="1266"/>
      <c r="RJO25" s="1266"/>
      <c r="RJP25" s="1266"/>
      <c r="RJQ25" s="1266"/>
      <c r="RJR25" s="1266"/>
      <c r="RJS25" s="1266"/>
      <c r="RJT25" s="1266"/>
      <c r="RJU25" s="1266"/>
      <c r="RJV25" s="1266"/>
      <c r="RJW25" s="1266"/>
      <c r="RJX25" s="1266"/>
      <c r="RJY25" s="1266"/>
      <c r="RJZ25" s="1266"/>
      <c r="RKA25" s="1266"/>
      <c r="RKB25" s="1266"/>
      <c r="RKC25" s="1266"/>
      <c r="RKD25" s="1266"/>
      <c r="RKE25" s="1266"/>
      <c r="RKF25" s="1266"/>
      <c r="RKG25" s="1266"/>
      <c r="RKH25" s="1266"/>
      <c r="RKI25" s="1266"/>
      <c r="RKJ25" s="1266"/>
      <c r="RKK25" s="1266"/>
      <c r="RKL25" s="1266"/>
      <c r="RKM25" s="1266"/>
      <c r="RKN25" s="1266"/>
      <c r="RKO25" s="1266"/>
      <c r="RKP25" s="1266"/>
      <c r="RKQ25" s="1266"/>
      <c r="RKR25" s="1266"/>
      <c r="RKS25" s="1266"/>
      <c r="RKT25" s="1266"/>
      <c r="RKU25" s="1266"/>
      <c r="RKV25" s="1266"/>
      <c r="RKW25" s="1266"/>
      <c r="RKX25" s="1266"/>
      <c r="RKY25" s="1266"/>
      <c r="RKZ25" s="1266"/>
      <c r="RLA25" s="1266"/>
      <c r="RLB25" s="1266"/>
      <c r="RLC25" s="1266"/>
      <c r="RLD25" s="1266"/>
      <c r="RLE25" s="1266"/>
      <c r="RLF25" s="1266"/>
      <c r="RLG25" s="1266"/>
      <c r="RLH25" s="1266"/>
      <c r="RLI25" s="1266"/>
      <c r="RLJ25" s="1266"/>
      <c r="RLK25" s="1266"/>
      <c r="RLL25" s="1266"/>
      <c r="RLM25" s="1266"/>
      <c r="RLN25" s="1266"/>
      <c r="RLO25" s="1266"/>
      <c r="RLP25" s="1266"/>
      <c r="RLQ25" s="1266"/>
      <c r="RLR25" s="1266"/>
      <c r="RLS25" s="1266"/>
      <c r="RLT25" s="1266"/>
      <c r="RLU25" s="1266"/>
      <c r="RLV25" s="1266"/>
      <c r="RLW25" s="1266"/>
      <c r="RLX25" s="1266"/>
      <c r="RLY25" s="1266"/>
      <c r="RLZ25" s="1266"/>
      <c r="RMA25" s="1266"/>
      <c r="RMB25" s="1266"/>
      <c r="RMC25" s="1266"/>
      <c r="RMD25" s="1266"/>
      <c r="RME25" s="1266"/>
      <c r="RMF25" s="1266"/>
      <c r="RMG25" s="1266"/>
      <c r="RMH25" s="1266"/>
      <c r="RMI25" s="1266"/>
      <c r="RMJ25" s="1266"/>
      <c r="RMK25" s="1266"/>
      <c r="RML25" s="1266"/>
      <c r="RMM25" s="1266"/>
      <c r="RMN25" s="1266"/>
      <c r="RMO25" s="1266"/>
      <c r="RMP25" s="1266"/>
      <c r="RMQ25" s="1266"/>
      <c r="RMR25" s="1266"/>
      <c r="RMS25" s="1266"/>
      <c r="RMT25" s="1266"/>
      <c r="RMU25" s="1266"/>
      <c r="RMV25" s="1266"/>
      <c r="RMW25" s="1266"/>
      <c r="RMX25" s="1266"/>
      <c r="RMY25" s="1266"/>
      <c r="RMZ25" s="1266"/>
      <c r="RNA25" s="1266"/>
      <c r="RNB25" s="1266"/>
      <c r="RNC25" s="1266"/>
      <c r="RND25" s="1266"/>
      <c r="RNE25" s="1266"/>
      <c r="RNF25" s="1266"/>
      <c r="RNG25" s="1266"/>
      <c r="RNH25" s="1266"/>
      <c r="RNI25" s="1266"/>
      <c r="RNJ25" s="1266"/>
      <c r="RNK25" s="1266"/>
      <c r="RNL25" s="1266"/>
      <c r="RNM25" s="1266"/>
      <c r="RNN25" s="1266"/>
      <c r="RNO25" s="1266"/>
      <c r="RNP25" s="1266"/>
      <c r="RNQ25" s="1266"/>
      <c r="RNR25" s="1266"/>
      <c r="RNS25" s="1266"/>
      <c r="RNT25" s="1266"/>
      <c r="RNU25" s="1266"/>
      <c r="RNV25" s="1266"/>
      <c r="RNW25" s="1266"/>
      <c r="RNX25" s="1266"/>
      <c r="RNY25" s="1266"/>
      <c r="RNZ25" s="1266"/>
      <c r="ROA25" s="1266"/>
      <c r="ROB25" s="1266"/>
      <c r="ROC25" s="1266"/>
      <c r="ROD25" s="1266"/>
      <c r="ROE25" s="1266"/>
      <c r="ROF25" s="1266"/>
      <c r="ROG25" s="1266"/>
      <c r="ROH25" s="1266"/>
      <c r="ROI25" s="1266"/>
      <c r="ROJ25" s="1266"/>
      <c r="ROK25" s="1266"/>
      <c r="ROL25" s="1266"/>
      <c r="ROM25" s="1266"/>
      <c r="RON25" s="1266"/>
      <c r="ROO25" s="1266"/>
      <c r="ROP25" s="1266"/>
      <c r="ROQ25" s="1266"/>
      <c r="ROR25" s="1266"/>
      <c r="ROS25" s="1266"/>
      <c r="ROT25" s="1266"/>
      <c r="ROU25" s="1266"/>
      <c r="ROV25" s="1266"/>
      <c r="ROW25" s="1266"/>
      <c r="ROX25" s="1266"/>
      <c r="ROY25" s="1266"/>
      <c r="ROZ25" s="1266"/>
      <c r="RPA25" s="1266"/>
      <c r="RPB25" s="1266"/>
      <c r="RPC25" s="1266"/>
      <c r="RPD25" s="1266"/>
      <c r="RPE25" s="1266"/>
      <c r="RPF25" s="1266"/>
      <c r="RPG25" s="1266"/>
      <c r="RPH25" s="1266"/>
      <c r="RPI25" s="1266"/>
      <c r="RPJ25" s="1266"/>
      <c r="RPK25" s="1266"/>
      <c r="RPL25" s="1266"/>
      <c r="RPM25" s="1266"/>
      <c r="RPN25" s="1266"/>
      <c r="RPO25" s="1266"/>
      <c r="RPP25" s="1266"/>
      <c r="RPQ25" s="1266"/>
      <c r="RPR25" s="1266"/>
      <c r="RPS25" s="1266"/>
      <c r="RPT25" s="1266"/>
      <c r="RPU25" s="1266"/>
      <c r="RPV25" s="1266"/>
      <c r="RPW25" s="1266"/>
      <c r="RPX25" s="1266"/>
      <c r="RPY25" s="1266"/>
      <c r="RPZ25" s="1266"/>
      <c r="RQA25" s="1266"/>
      <c r="RQB25" s="1266"/>
      <c r="RQC25" s="1266"/>
      <c r="RQD25" s="1266"/>
      <c r="RQE25" s="1266"/>
      <c r="RQF25" s="1266"/>
      <c r="RQG25" s="1266"/>
      <c r="RQH25" s="1266"/>
      <c r="RQI25" s="1266"/>
      <c r="RQJ25" s="1266"/>
      <c r="RQK25" s="1266"/>
      <c r="RQL25" s="1266"/>
      <c r="RQM25" s="1266"/>
      <c r="RQN25" s="1266"/>
      <c r="RQO25" s="1266"/>
      <c r="RQP25" s="1266"/>
      <c r="RQQ25" s="1266"/>
      <c r="RQR25" s="1266"/>
      <c r="RQS25" s="1266"/>
      <c r="RQT25" s="1266"/>
      <c r="RQU25" s="1266"/>
      <c r="RQV25" s="1266"/>
      <c r="RQW25" s="1266"/>
      <c r="RQX25" s="1266"/>
      <c r="RQY25" s="1266"/>
      <c r="RQZ25" s="1266"/>
      <c r="RRA25" s="1266"/>
      <c r="RRB25" s="1266"/>
      <c r="RRC25" s="1266"/>
      <c r="RRD25" s="1266"/>
      <c r="RRE25" s="1266"/>
      <c r="RRF25" s="1266"/>
      <c r="RRG25" s="1266"/>
      <c r="RRH25" s="1266"/>
      <c r="RRI25" s="1266"/>
      <c r="RRJ25" s="1266"/>
      <c r="RRK25" s="1266"/>
      <c r="RRL25" s="1266"/>
      <c r="RRM25" s="1266"/>
      <c r="RRN25" s="1266"/>
      <c r="RRO25" s="1266"/>
      <c r="RRP25" s="1266"/>
      <c r="RRQ25" s="1266"/>
      <c r="RRR25" s="1266"/>
      <c r="RRS25" s="1266"/>
      <c r="RRT25" s="1266"/>
      <c r="RRU25" s="1266"/>
      <c r="RRV25" s="1266"/>
      <c r="RRW25" s="1266"/>
      <c r="RRX25" s="1266"/>
      <c r="RRY25" s="1266"/>
      <c r="RRZ25" s="1266"/>
      <c r="RSA25" s="1266"/>
      <c r="RSB25" s="1266"/>
      <c r="RSC25" s="1266"/>
      <c r="RSD25" s="1266"/>
      <c r="RSE25" s="1266"/>
      <c r="RSF25" s="1266"/>
      <c r="RSG25" s="1266"/>
      <c r="RSH25" s="1266"/>
      <c r="RSI25" s="1266"/>
      <c r="RSJ25" s="1266"/>
      <c r="RSK25" s="1266"/>
      <c r="RSL25" s="1266"/>
      <c r="RSM25" s="1266"/>
      <c r="RSN25" s="1266"/>
      <c r="RSO25" s="1266"/>
      <c r="RSP25" s="1266"/>
      <c r="RSQ25" s="1266"/>
      <c r="RSR25" s="1266"/>
      <c r="RSS25" s="1266"/>
      <c r="RST25" s="1266"/>
      <c r="RSU25" s="1266"/>
      <c r="RSV25" s="1266"/>
      <c r="RSW25" s="1266"/>
      <c r="RSX25" s="1266"/>
      <c r="RSY25" s="1266"/>
      <c r="RSZ25" s="1266"/>
      <c r="RTA25" s="1266"/>
      <c r="RTB25" s="1266"/>
      <c r="RTC25" s="1266"/>
      <c r="RTD25" s="1266"/>
      <c r="RTE25" s="1266"/>
      <c r="RTF25" s="1266"/>
      <c r="RTG25" s="1266"/>
      <c r="RTH25" s="1266"/>
      <c r="RTI25" s="1266"/>
      <c r="RTJ25" s="1266"/>
      <c r="RTK25" s="1266"/>
      <c r="RTL25" s="1266"/>
      <c r="RTM25" s="1266"/>
      <c r="RTN25" s="1266"/>
      <c r="RTO25" s="1266"/>
      <c r="RTP25" s="1266"/>
      <c r="RTQ25" s="1266"/>
      <c r="RTR25" s="1266"/>
      <c r="RTS25" s="1266"/>
      <c r="RTT25" s="1266"/>
      <c r="RTU25" s="1266"/>
      <c r="RTV25" s="1266"/>
      <c r="RTW25" s="1266"/>
      <c r="RTX25" s="1266"/>
      <c r="RTY25" s="1266"/>
      <c r="RTZ25" s="1266"/>
      <c r="RUA25" s="1266"/>
      <c r="RUB25" s="1266"/>
      <c r="RUC25" s="1266"/>
      <c r="RUD25" s="1266"/>
      <c r="RUE25" s="1266"/>
      <c r="RUF25" s="1266"/>
      <c r="RUG25" s="1266"/>
      <c r="RUH25" s="1266"/>
      <c r="RUI25" s="1266"/>
      <c r="RUJ25" s="1266"/>
      <c r="RUK25" s="1266"/>
      <c r="RUL25" s="1266"/>
      <c r="RUM25" s="1266"/>
      <c r="RUN25" s="1266"/>
      <c r="RUO25" s="1266"/>
      <c r="RUP25" s="1266"/>
      <c r="RUQ25" s="1266"/>
      <c r="RUR25" s="1266"/>
      <c r="RUS25" s="1266"/>
      <c r="RUT25" s="1266"/>
      <c r="RUU25" s="1266"/>
      <c r="RUV25" s="1266"/>
      <c r="RUW25" s="1266"/>
      <c r="RUX25" s="1266"/>
      <c r="RUY25" s="1266"/>
      <c r="RUZ25" s="1266"/>
      <c r="RVA25" s="1266"/>
      <c r="RVB25" s="1266"/>
      <c r="RVC25" s="1266"/>
      <c r="RVD25" s="1266"/>
      <c r="RVE25" s="1266"/>
      <c r="RVF25" s="1266"/>
      <c r="RVG25" s="1266"/>
      <c r="RVH25" s="1266"/>
      <c r="RVI25" s="1266"/>
      <c r="RVJ25" s="1266"/>
      <c r="RVK25" s="1266"/>
      <c r="RVL25" s="1266"/>
      <c r="RVM25" s="1266"/>
      <c r="RVN25" s="1266"/>
      <c r="RVO25" s="1266"/>
      <c r="RVP25" s="1266"/>
      <c r="RVQ25" s="1266"/>
      <c r="RVR25" s="1266"/>
      <c r="RVS25" s="1266"/>
      <c r="RVT25" s="1266"/>
      <c r="RVU25" s="1266"/>
      <c r="RVV25" s="1266"/>
      <c r="RVW25" s="1266"/>
      <c r="RVX25" s="1266"/>
      <c r="RVY25" s="1266"/>
      <c r="RVZ25" s="1266"/>
      <c r="RWA25" s="1266"/>
      <c r="RWB25" s="1266"/>
      <c r="RWC25" s="1266"/>
      <c r="RWD25" s="1266"/>
      <c r="RWE25" s="1266"/>
      <c r="RWF25" s="1266"/>
      <c r="RWG25" s="1266"/>
      <c r="RWH25" s="1266"/>
      <c r="RWI25" s="1266"/>
      <c r="RWJ25" s="1266"/>
      <c r="RWK25" s="1266"/>
      <c r="RWL25" s="1266"/>
      <c r="RWM25" s="1266"/>
      <c r="RWN25" s="1266"/>
      <c r="RWO25" s="1266"/>
      <c r="RWP25" s="1266"/>
      <c r="RWQ25" s="1266"/>
      <c r="RWR25" s="1266"/>
      <c r="RWS25" s="1266"/>
      <c r="RWT25" s="1266"/>
      <c r="RWU25" s="1266"/>
      <c r="RWV25" s="1266"/>
      <c r="RWW25" s="1266"/>
      <c r="RWX25" s="1266"/>
      <c r="RWY25" s="1266"/>
      <c r="RWZ25" s="1266"/>
      <c r="RXA25" s="1266"/>
      <c r="RXB25" s="1266"/>
      <c r="RXC25" s="1266"/>
      <c r="RXD25" s="1266"/>
      <c r="RXE25" s="1266"/>
      <c r="RXF25" s="1266"/>
      <c r="RXG25" s="1266"/>
      <c r="RXH25" s="1266"/>
      <c r="RXI25" s="1266"/>
      <c r="RXJ25" s="1266"/>
      <c r="RXK25" s="1266"/>
      <c r="RXL25" s="1266"/>
      <c r="RXM25" s="1266"/>
      <c r="RXN25" s="1266"/>
      <c r="RXO25" s="1266"/>
      <c r="RXP25" s="1266"/>
      <c r="RXQ25" s="1266"/>
      <c r="RXR25" s="1266"/>
      <c r="RXS25" s="1266"/>
      <c r="RXT25" s="1266"/>
      <c r="RXU25" s="1266"/>
      <c r="RXV25" s="1266"/>
      <c r="RXW25" s="1266"/>
      <c r="RXX25" s="1266"/>
      <c r="RXY25" s="1266"/>
      <c r="RXZ25" s="1266"/>
      <c r="RYA25" s="1266"/>
      <c r="RYB25" s="1266"/>
      <c r="RYC25" s="1266"/>
      <c r="RYD25" s="1266"/>
      <c r="RYE25" s="1266"/>
      <c r="RYF25" s="1266"/>
      <c r="RYG25" s="1266"/>
      <c r="RYH25" s="1266"/>
      <c r="RYI25" s="1266"/>
      <c r="RYJ25" s="1266"/>
      <c r="RYK25" s="1266"/>
      <c r="RYL25" s="1266"/>
      <c r="RYM25" s="1266"/>
      <c r="RYN25" s="1266"/>
      <c r="RYO25" s="1266"/>
      <c r="RYP25" s="1266"/>
      <c r="RYQ25" s="1266"/>
      <c r="RYR25" s="1266"/>
      <c r="RYS25" s="1266"/>
      <c r="RYT25" s="1266"/>
      <c r="RYU25" s="1266"/>
      <c r="RYV25" s="1266"/>
      <c r="RYW25" s="1266"/>
      <c r="RYX25" s="1266"/>
      <c r="RYY25" s="1266"/>
      <c r="RYZ25" s="1266"/>
      <c r="RZA25" s="1266"/>
      <c r="RZB25" s="1266"/>
      <c r="RZC25" s="1266"/>
      <c r="RZD25" s="1266"/>
      <c r="RZE25" s="1266"/>
      <c r="RZF25" s="1266"/>
      <c r="RZG25" s="1266"/>
      <c r="RZH25" s="1266"/>
      <c r="RZI25" s="1266"/>
      <c r="RZJ25" s="1266"/>
      <c r="RZK25" s="1266"/>
      <c r="RZL25" s="1266"/>
      <c r="RZM25" s="1266"/>
      <c r="RZN25" s="1266"/>
      <c r="RZO25" s="1266"/>
      <c r="RZP25" s="1266"/>
      <c r="RZQ25" s="1266"/>
      <c r="RZR25" s="1266"/>
      <c r="RZS25" s="1266"/>
      <c r="RZT25" s="1266"/>
      <c r="RZU25" s="1266"/>
      <c r="RZV25" s="1266"/>
      <c r="RZW25" s="1266"/>
      <c r="RZX25" s="1266"/>
      <c r="RZY25" s="1266"/>
      <c r="RZZ25" s="1266"/>
      <c r="SAA25" s="1266"/>
      <c r="SAB25" s="1266"/>
      <c r="SAC25" s="1266"/>
      <c r="SAD25" s="1266"/>
      <c r="SAE25" s="1266"/>
      <c r="SAF25" s="1266"/>
      <c r="SAG25" s="1266"/>
      <c r="SAH25" s="1266"/>
      <c r="SAI25" s="1266"/>
      <c r="SAJ25" s="1266"/>
      <c r="SAK25" s="1266"/>
      <c r="SAL25" s="1266"/>
      <c r="SAM25" s="1266"/>
      <c r="SAN25" s="1266"/>
      <c r="SAO25" s="1266"/>
      <c r="SAP25" s="1266"/>
      <c r="SAQ25" s="1266"/>
      <c r="SAR25" s="1266"/>
      <c r="SAS25" s="1266"/>
      <c r="SAT25" s="1266"/>
      <c r="SAU25" s="1266"/>
      <c r="SAV25" s="1266"/>
      <c r="SAW25" s="1266"/>
      <c r="SAX25" s="1266"/>
      <c r="SAY25" s="1266"/>
      <c r="SAZ25" s="1266"/>
      <c r="SBA25" s="1266"/>
      <c r="SBB25" s="1266"/>
      <c r="SBC25" s="1266"/>
      <c r="SBD25" s="1266"/>
      <c r="SBE25" s="1266"/>
      <c r="SBF25" s="1266"/>
      <c r="SBG25" s="1266"/>
      <c r="SBH25" s="1266"/>
      <c r="SBI25" s="1266"/>
      <c r="SBJ25" s="1266"/>
      <c r="SBK25" s="1266"/>
      <c r="SBL25" s="1266"/>
      <c r="SBM25" s="1266"/>
      <c r="SBN25" s="1266"/>
      <c r="SBO25" s="1266"/>
      <c r="SBP25" s="1266"/>
      <c r="SBQ25" s="1266"/>
      <c r="SBR25" s="1266"/>
      <c r="SBS25" s="1266"/>
      <c r="SBT25" s="1266"/>
      <c r="SBU25" s="1266"/>
      <c r="SBV25" s="1266"/>
      <c r="SBW25" s="1266"/>
      <c r="SBX25" s="1266"/>
      <c r="SBY25" s="1266"/>
      <c r="SBZ25" s="1266"/>
      <c r="SCA25" s="1266"/>
      <c r="SCB25" s="1266"/>
      <c r="SCC25" s="1266"/>
      <c r="SCD25" s="1266"/>
      <c r="SCE25" s="1266"/>
      <c r="SCF25" s="1266"/>
      <c r="SCG25" s="1266"/>
      <c r="SCH25" s="1266"/>
      <c r="SCI25" s="1266"/>
      <c r="SCJ25" s="1266"/>
      <c r="SCK25" s="1266"/>
      <c r="SCL25" s="1266"/>
      <c r="SCM25" s="1266"/>
      <c r="SCN25" s="1266"/>
      <c r="SCO25" s="1266"/>
      <c r="SCP25" s="1266"/>
      <c r="SCQ25" s="1266"/>
      <c r="SCR25" s="1266"/>
      <c r="SCS25" s="1266"/>
      <c r="SCT25" s="1266"/>
      <c r="SCU25" s="1266"/>
      <c r="SCV25" s="1266"/>
      <c r="SCW25" s="1266"/>
      <c r="SCX25" s="1266"/>
      <c r="SCY25" s="1266"/>
      <c r="SCZ25" s="1266"/>
      <c r="SDA25" s="1266"/>
      <c r="SDB25" s="1266"/>
      <c r="SDC25" s="1266"/>
      <c r="SDD25" s="1266"/>
      <c r="SDE25" s="1266"/>
      <c r="SDF25" s="1266"/>
      <c r="SDG25" s="1266"/>
      <c r="SDH25" s="1266"/>
      <c r="SDI25" s="1266"/>
      <c r="SDJ25" s="1266"/>
      <c r="SDK25" s="1266"/>
      <c r="SDL25" s="1266"/>
      <c r="SDM25" s="1266"/>
      <c r="SDN25" s="1266"/>
      <c r="SDO25" s="1266"/>
      <c r="SDP25" s="1266"/>
      <c r="SDQ25" s="1266"/>
      <c r="SDR25" s="1266"/>
      <c r="SDS25" s="1266"/>
      <c r="SDT25" s="1266"/>
      <c r="SDU25" s="1266"/>
      <c r="SDV25" s="1266"/>
      <c r="SDW25" s="1266"/>
      <c r="SDX25" s="1266"/>
      <c r="SDY25" s="1266"/>
      <c r="SDZ25" s="1266"/>
      <c r="SEA25" s="1266"/>
      <c r="SEB25" s="1266"/>
      <c r="SEC25" s="1266"/>
      <c r="SED25" s="1266"/>
      <c r="SEE25" s="1266"/>
      <c r="SEF25" s="1266"/>
      <c r="SEG25" s="1266"/>
      <c r="SEH25" s="1266"/>
      <c r="SEI25" s="1266"/>
      <c r="SEJ25" s="1266"/>
      <c r="SEK25" s="1266"/>
      <c r="SEL25" s="1266"/>
      <c r="SEM25" s="1266"/>
      <c r="SEN25" s="1266"/>
      <c r="SEO25" s="1266"/>
      <c r="SEP25" s="1266"/>
      <c r="SEQ25" s="1266"/>
      <c r="SER25" s="1266"/>
      <c r="SES25" s="1266"/>
      <c r="SET25" s="1266"/>
      <c r="SEU25" s="1266"/>
      <c r="SEV25" s="1266"/>
      <c r="SEW25" s="1266"/>
      <c r="SEX25" s="1266"/>
      <c r="SEY25" s="1266"/>
      <c r="SEZ25" s="1266"/>
      <c r="SFA25" s="1266"/>
      <c r="SFB25" s="1266"/>
      <c r="SFC25" s="1266"/>
      <c r="SFD25" s="1266"/>
      <c r="SFE25" s="1266"/>
      <c r="SFF25" s="1266"/>
      <c r="SFG25" s="1266"/>
      <c r="SFH25" s="1266"/>
      <c r="SFI25" s="1266"/>
      <c r="SFJ25" s="1266"/>
      <c r="SFK25" s="1266"/>
      <c r="SFL25" s="1266"/>
      <c r="SFM25" s="1266"/>
      <c r="SFN25" s="1266"/>
      <c r="SFO25" s="1266"/>
      <c r="SFP25" s="1266"/>
      <c r="SFQ25" s="1266"/>
      <c r="SFR25" s="1266"/>
      <c r="SFS25" s="1266"/>
      <c r="SFT25" s="1266"/>
      <c r="SFU25" s="1266"/>
      <c r="SFV25" s="1266"/>
      <c r="SFW25" s="1266"/>
      <c r="SFX25" s="1266"/>
      <c r="SFY25" s="1266"/>
      <c r="SFZ25" s="1266"/>
      <c r="SGA25" s="1266"/>
      <c r="SGB25" s="1266"/>
      <c r="SGC25" s="1266"/>
      <c r="SGD25" s="1266"/>
      <c r="SGE25" s="1266"/>
      <c r="SGF25" s="1266"/>
      <c r="SGG25" s="1266"/>
      <c r="SGH25" s="1266"/>
      <c r="SGI25" s="1266"/>
      <c r="SGJ25" s="1266"/>
      <c r="SGK25" s="1266"/>
      <c r="SGL25" s="1266"/>
      <c r="SGM25" s="1266"/>
      <c r="SGN25" s="1266"/>
      <c r="SGO25" s="1266"/>
      <c r="SGP25" s="1266"/>
      <c r="SGQ25" s="1266"/>
      <c r="SGR25" s="1266"/>
      <c r="SGS25" s="1266"/>
      <c r="SGT25" s="1266"/>
      <c r="SGU25" s="1266"/>
      <c r="SGV25" s="1266"/>
      <c r="SGW25" s="1266"/>
      <c r="SGX25" s="1266"/>
      <c r="SGY25" s="1266"/>
      <c r="SGZ25" s="1266"/>
      <c r="SHA25" s="1266"/>
      <c r="SHB25" s="1266"/>
      <c r="SHC25" s="1266"/>
      <c r="SHD25" s="1266"/>
      <c r="SHE25" s="1266"/>
      <c r="SHF25" s="1266"/>
      <c r="SHG25" s="1266"/>
      <c r="SHH25" s="1266"/>
      <c r="SHI25" s="1266"/>
      <c r="SHJ25" s="1266"/>
      <c r="SHK25" s="1266"/>
      <c r="SHL25" s="1266"/>
      <c r="SHM25" s="1266"/>
      <c r="SHN25" s="1266"/>
      <c r="SHO25" s="1266"/>
      <c r="SHP25" s="1266"/>
      <c r="SHQ25" s="1266"/>
      <c r="SHR25" s="1266"/>
      <c r="SHS25" s="1266"/>
      <c r="SHT25" s="1266"/>
      <c r="SHU25" s="1266"/>
      <c r="SHV25" s="1266"/>
      <c r="SHW25" s="1266"/>
      <c r="SHX25" s="1266"/>
      <c r="SHY25" s="1266"/>
      <c r="SHZ25" s="1266"/>
      <c r="SIA25" s="1266"/>
      <c r="SIB25" s="1266"/>
      <c r="SIC25" s="1266"/>
      <c r="SID25" s="1266"/>
      <c r="SIE25" s="1266"/>
      <c r="SIF25" s="1266"/>
      <c r="SIG25" s="1266"/>
      <c r="SIH25" s="1266"/>
      <c r="SII25" s="1266"/>
      <c r="SIJ25" s="1266"/>
      <c r="SIK25" s="1266"/>
      <c r="SIL25" s="1266"/>
      <c r="SIM25" s="1266"/>
      <c r="SIN25" s="1266"/>
      <c r="SIO25" s="1266"/>
      <c r="SIP25" s="1266"/>
      <c r="SIQ25" s="1266"/>
      <c r="SIR25" s="1266"/>
      <c r="SIS25" s="1266"/>
      <c r="SIT25" s="1266"/>
      <c r="SIU25" s="1266"/>
      <c r="SIV25" s="1266"/>
      <c r="SIW25" s="1266"/>
      <c r="SIX25" s="1266"/>
      <c r="SIY25" s="1266"/>
      <c r="SIZ25" s="1266"/>
      <c r="SJA25" s="1266"/>
      <c r="SJB25" s="1266"/>
      <c r="SJC25" s="1266"/>
      <c r="SJD25" s="1266"/>
      <c r="SJE25" s="1266"/>
      <c r="SJF25" s="1266"/>
      <c r="SJG25" s="1266"/>
      <c r="SJH25" s="1266"/>
      <c r="SJI25" s="1266"/>
      <c r="SJJ25" s="1266"/>
      <c r="SJK25" s="1266"/>
      <c r="SJL25" s="1266"/>
      <c r="SJM25" s="1266"/>
      <c r="SJN25" s="1266"/>
      <c r="SJO25" s="1266"/>
      <c r="SJP25" s="1266"/>
      <c r="SJQ25" s="1266"/>
      <c r="SJR25" s="1266"/>
      <c r="SJS25" s="1266"/>
      <c r="SJT25" s="1266"/>
      <c r="SJU25" s="1266"/>
      <c r="SJV25" s="1266"/>
      <c r="SJW25" s="1266"/>
      <c r="SJX25" s="1266"/>
      <c r="SJY25" s="1266"/>
      <c r="SJZ25" s="1266"/>
      <c r="SKA25" s="1266"/>
      <c r="SKB25" s="1266"/>
      <c r="SKC25" s="1266"/>
      <c r="SKD25" s="1266"/>
      <c r="SKE25" s="1266"/>
      <c r="SKF25" s="1266"/>
      <c r="SKG25" s="1266"/>
      <c r="SKH25" s="1266"/>
      <c r="SKI25" s="1266"/>
      <c r="SKJ25" s="1266"/>
      <c r="SKK25" s="1266"/>
      <c r="SKL25" s="1266"/>
      <c r="SKM25" s="1266"/>
      <c r="SKN25" s="1266"/>
      <c r="SKO25" s="1266"/>
      <c r="SKP25" s="1266"/>
      <c r="SKQ25" s="1266"/>
      <c r="SKR25" s="1266"/>
      <c r="SKS25" s="1266"/>
      <c r="SKT25" s="1266"/>
      <c r="SKU25" s="1266"/>
      <c r="SKV25" s="1266"/>
      <c r="SKW25" s="1266"/>
      <c r="SKX25" s="1266"/>
      <c r="SKY25" s="1266"/>
      <c r="SKZ25" s="1266"/>
      <c r="SLA25" s="1266"/>
      <c r="SLB25" s="1266"/>
      <c r="SLC25" s="1266"/>
      <c r="SLD25" s="1266"/>
      <c r="SLE25" s="1266"/>
      <c r="SLF25" s="1266"/>
      <c r="SLG25" s="1266"/>
      <c r="SLH25" s="1266"/>
      <c r="SLI25" s="1266"/>
      <c r="SLJ25" s="1266"/>
      <c r="SLK25" s="1266"/>
      <c r="SLL25" s="1266"/>
      <c r="SLM25" s="1266"/>
      <c r="SLN25" s="1266"/>
      <c r="SLO25" s="1266"/>
      <c r="SLP25" s="1266"/>
      <c r="SLQ25" s="1266"/>
      <c r="SLR25" s="1266"/>
      <c r="SLS25" s="1266"/>
      <c r="SLT25" s="1266"/>
      <c r="SLU25" s="1266"/>
      <c r="SLV25" s="1266"/>
      <c r="SLW25" s="1266"/>
      <c r="SLX25" s="1266"/>
      <c r="SLY25" s="1266"/>
      <c r="SLZ25" s="1266"/>
      <c r="SMA25" s="1266"/>
      <c r="SMB25" s="1266"/>
      <c r="SMC25" s="1266"/>
      <c r="SMD25" s="1266"/>
      <c r="SME25" s="1266"/>
      <c r="SMF25" s="1266"/>
      <c r="SMG25" s="1266"/>
      <c r="SMH25" s="1266"/>
      <c r="SMI25" s="1266"/>
      <c r="SMJ25" s="1266"/>
      <c r="SMK25" s="1266"/>
      <c r="SML25" s="1266"/>
      <c r="SMM25" s="1266"/>
      <c r="SMN25" s="1266"/>
      <c r="SMO25" s="1266"/>
      <c r="SMP25" s="1266"/>
      <c r="SMQ25" s="1266"/>
      <c r="SMR25" s="1266"/>
      <c r="SMS25" s="1266"/>
      <c r="SMT25" s="1266"/>
      <c r="SMU25" s="1266"/>
      <c r="SMV25" s="1266"/>
      <c r="SMW25" s="1266"/>
      <c r="SMX25" s="1266"/>
      <c r="SMY25" s="1266"/>
      <c r="SMZ25" s="1266"/>
      <c r="SNA25" s="1266"/>
      <c r="SNB25" s="1266"/>
      <c r="SNC25" s="1266"/>
      <c r="SND25" s="1266"/>
      <c r="SNE25" s="1266"/>
      <c r="SNF25" s="1266"/>
      <c r="SNG25" s="1266"/>
      <c r="SNH25" s="1266"/>
      <c r="SNI25" s="1266"/>
      <c r="SNJ25" s="1266"/>
      <c r="SNK25" s="1266"/>
      <c r="SNL25" s="1266"/>
      <c r="SNM25" s="1266"/>
      <c r="SNN25" s="1266"/>
      <c r="SNO25" s="1266"/>
      <c r="SNP25" s="1266"/>
      <c r="SNQ25" s="1266"/>
      <c r="SNR25" s="1266"/>
      <c r="SNS25" s="1266"/>
      <c r="SNT25" s="1266"/>
      <c r="SNU25" s="1266"/>
      <c r="SNV25" s="1266"/>
      <c r="SNW25" s="1266"/>
      <c r="SNX25" s="1266"/>
      <c r="SNY25" s="1266"/>
      <c r="SNZ25" s="1266"/>
      <c r="SOA25" s="1266"/>
      <c r="SOB25" s="1266"/>
      <c r="SOC25" s="1266"/>
      <c r="SOD25" s="1266"/>
      <c r="SOE25" s="1266"/>
      <c r="SOF25" s="1266"/>
      <c r="SOG25" s="1266"/>
      <c r="SOH25" s="1266"/>
      <c r="SOI25" s="1266"/>
      <c r="SOJ25" s="1266"/>
      <c r="SOK25" s="1266"/>
      <c r="SOL25" s="1266"/>
      <c r="SOM25" s="1266"/>
      <c r="SON25" s="1266"/>
      <c r="SOO25" s="1266"/>
      <c r="SOP25" s="1266"/>
      <c r="SOQ25" s="1266"/>
      <c r="SOR25" s="1266"/>
      <c r="SOS25" s="1266"/>
      <c r="SOT25" s="1266"/>
      <c r="SOU25" s="1266"/>
      <c r="SOV25" s="1266"/>
      <c r="SOW25" s="1266"/>
      <c r="SOX25" s="1266"/>
      <c r="SOY25" s="1266"/>
      <c r="SOZ25" s="1266"/>
      <c r="SPA25" s="1266"/>
      <c r="SPB25" s="1266"/>
      <c r="SPC25" s="1266"/>
      <c r="SPD25" s="1266"/>
      <c r="SPE25" s="1266"/>
      <c r="SPF25" s="1266"/>
      <c r="SPG25" s="1266"/>
      <c r="SPH25" s="1266"/>
      <c r="SPI25" s="1266"/>
      <c r="SPJ25" s="1266"/>
      <c r="SPK25" s="1266"/>
      <c r="SPL25" s="1266"/>
      <c r="SPM25" s="1266"/>
      <c r="SPN25" s="1266"/>
      <c r="SPO25" s="1266"/>
      <c r="SPP25" s="1266"/>
      <c r="SPQ25" s="1266"/>
      <c r="SPR25" s="1266"/>
      <c r="SPS25" s="1266"/>
      <c r="SPT25" s="1266"/>
      <c r="SPU25" s="1266"/>
      <c r="SPV25" s="1266"/>
      <c r="SPW25" s="1266"/>
      <c r="SPX25" s="1266"/>
      <c r="SPY25" s="1266"/>
      <c r="SPZ25" s="1266"/>
      <c r="SQA25" s="1266"/>
      <c r="SQB25" s="1266"/>
      <c r="SQC25" s="1266"/>
      <c r="SQD25" s="1266"/>
      <c r="SQE25" s="1266"/>
      <c r="SQF25" s="1266"/>
      <c r="SQG25" s="1266"/>
      <c r="SQH25" s="1266"/>
      <c r="SQI25" s="1266"/>
      <c r="SQJ25" s="1266"/>
      <c r="SQK25" s="1266"/>
      <c r="SQL25" s="1266"/>
      <c r="SQM25" s="1266"/>
      <c r="SQN25" s="1266"/>
      <c r="SQO25" s="1266"/>
      <c r="SQP25" s="1266"/>
      <c r="SQQ25" s="1266"/>
      <c r="SQR25" s="1266"/>
      <c r="SQS25" s="1266"/>
      <c r="SQT25" s="1266"/>
      <c r="SQU25" s="1266"/>
      <c r="SQV25" s="1266"/>
      <c r="SQW25" s="1266"/>
      <c r="SQX25" s="1266"/>
      <c r="SQY25" s="1266"/>
      <c r="SQZ25" s="1266"/>
      <c r="SRA25" s="1266"/>
      <c r="SRB25" s="1266"/>
      <c r="SRC25" s="1266"/>
      <c r="SRD25" s="1266"/>
      <c r="SRE25" s="1266"/>
      <c r="SRF25" s="1266"/>
      <c r="SRG25" s="1266"/>
      <c r="SRH25" s="1266"/>
      <c r="SRI25" s="1266"/>
      <c r="SRJ25" s="1266"/>
      <c r="SRK25" s="1266"/>
      <c r="SRL25" s="1266"/>
      <c r="SRM25" s="1266"/>
      <c r="SRN25" s="1266"/>
      <c r="SRO25" s="1266"/>
      <c r="SRP25" s="1266"/>
      <c r="SRQ25" s="1266"/>
      <c r="SRR25" s="1266"/>
      <c r="SRS25" s="1266"/>
      <c r="SRT25" s="1266"/>
      <c r="SRU25" s="1266"/>
      <c r="SRV25" s="1266"/>
      <c r="SRW25" s="1266"/>
      <c r="SRX25" s="1266"/>
      <c r="SRY25" s="1266"/>
      <c r="SRZ25" s="1266"/>
      <c r="SSA25" s="1266"/>
      <c r="SSB25" s="1266"/>
      <c r="SSC25" s="1266"/>
      <c r="SSD25" s="1266"/>
      <c r="SSE25" s="1266"/>
      <c r="SSF25" s="1266"/>
      <c r="SSG25" s="1266"/>
      <c r="SSH25" s="1266"/>
      <c r="SSI25" s="1266"/>
      <c r="SSJ25" s="1266"/>
      <c r="SSK25" s="1266"/>
      <c r="SSL25" s="1266"/>
      <c r="SSM25" s="1266"/>
      <c r="SSN25" s="1266"/>
      <c r="SSO25" s="1266"/>
      <c r="SSP25" s="1266"/>
      <c r="SSQ25" s="1266"/>
      <c r="SSR25" s="1266"/>
      <c r="SSS25" s="1266"/>
      <c r="SST25" s="1266"/>
      <c r="SSU25" s="1266"/>
      <c r="SSV25" s="1266"/>
      <c r="SSW25" s="1266"/>
      <c r="SSX25" s="1266"/>
      <c r="SSY25" s="1266"/>
      <c r="SSZ25" s="1266"/>
      <c r="STA25" s="1266"/>
      <c r="STB25" s="1266"/>
      <c r="STC25" s="1266"/>
      <c r="STD25" s="1266"/>
      <c r="STE25" s="1266"/>
      <c r="STF25" s="1266"/>
      <c r="STG25" s="1266"/>
      <c r="STH25" s="1266"/>
      <c r="STI25" s="1266"/>
      <c r="STJ25" s="1266"/>
      <c r="STK25" s="1266"/>
      <c r="STL25" s="1266"/>
      <c r="STM25" s="1266"/>
      <c r="STN25" s="1266"/>
      <c r="STO25" s="1266"/>
      <c r="STP25" s="1266"/>
      <c r="STQ25" s="1266"/>
      <c r="STR25" s="1266"/>
      <c r="STS25" s="1266"/>
      <c r="STT25" s="1266"/>
      <c r="STU25" s="1266"/>
      <c r="STV25" s="1266"/>
      <c r="STW25" s="1266"/>
      <c r="STX25" s="1266"/>
      <c r="STY25" s="1266"/>
      <c r="STZ25" s="1266"/>
      <c r="SUA25" s="1266"/>
      <c r="SUB25" s="1266"/>
      <c r="SUC25" s="1266"/>
      <c r="SUD25" s="1266"/>
      <c r="SUE25" s="1266"/>
      <c r="SUF25" s="1266"/>
      <c r="SUG25" s="1266"/>
      <c r="SUH25" s="1266"/>
      <c r="SUI25" s="1266"/>
      <c r="SUJ25" s="1266"/>
      <c r="SUK25" s="1266"/>
      <c r="SUL25" s="1266"/>
      <c r="SUM25" s="1266"/>
      <c r="SUN25" s="1266"/>
      <c r="SUO25" s="1266"/>
      <c r="SUP25" s="1266"/>
      <c r="SUQ25" s="1266"/>
      <c r="SUR25" s="1266"/>
      <c r="SUS25" s="1266"/>
      <c r="SUT25" s="1266"/>
      <c r="SUU25" s="1266"/>
      <c r="SUV25" s="1266"/>
      <c r="SUW25" s="1266"/>
      <c r="SUX25" s="1266"/>
      <c r="SUY25" s="1266"/>
      <c r="SUZ25" s="1266"/>
      <c r="SVA25" s="1266"/>
      <c r="SVB25" s="1266"/>
      <c r="SVC25" s="1266"/>
      <c r="SVD25" s="1266"/>
      <c r="SVE25" s="1266"/>
      <c r="SVF25" s="1266"/>
      <c r="SVG25" s="1266"/>
      <c r="SVH25" s="1266"/>
      <c r="SVI25" s="1266"/>
      <c r="SVJ25" s="1266"/>
      <c r="SVK25" s="1266"/>
      <c r="SVL25" s="1266"/>
      <c r="SVM25" s="1266"/>
      <c r="SVN25" s="1266"/>
      <c r="SVO25" s="1266"/>
      <c r="SVP25" s="1266"/>
      <c r="SVQ25" s="1266"/>
      <c r="SVR25" s="1266"/>
      <c r="SVS25" s="1266"/>
      <c r="SVT25" s="1266"/>
      <c r="SVU25" s="1266"/>
      <c r="SVV25" s="1266"/>
      <c r="SVW25" s="1266"/>
      <c r="SVX25" s="1266"/>
      <c r="SVY25" s="1266"/>
      <c r="SVZ25" s="1266"/>
      <c r="SWA25" s="1266"/>
      <c r="SWB25" s="1266"/>
      <c r="SWC25" s="1266"/>
      <c r="SWD25" s="1266"/>
      <c r="SWE25" s="1266"/>
      <c r="SWF25" s="1266"/>
      <c r="SWG25" s="1266"/>
      <c r="SWH25" s="1266"/>
      <c r="SWI25" s="1266"/>
      <c r="SWJ25" s="1266"/>
      <c r="SWK25" s="1266"/>
      <c r="SWL25" s="1266"/>
      <c r="SWM25" s="1266"/>
      <c r="SWN25" s="1266"/>
      <c r="SWO25" s="1266"/>
      <c r="SWP25" s="1266"/>
      <c r="SWQ25" s="1266"/>
      <c r="SWR25" s="1266"/>
      <c r="SWS25" s="1266"/>
      <c r="SWT25" s="1266"/>
      <c r="SWU25" s="1266"/>
      <c r="SWV25" s="1266"/>
      <c r="SWW25" s="1266"/>
      <c r="SWX25" s="1266"/>
      <c r="SWY25" s="1266"/>
      <c r="SWZ25" s="1266"/>
      <c r="SXA25" s="1266"/>
      <c r="SXB25" s="1266"/>
      <c r="SXC25" s="1266"/>
      <c r="SXD25" s="1266"/>
      <c r="SXE25" s="1266"/>
      <c r="SXF25" s="1266"/>
      <c r="SXG25" s="1266"/>
      <c r="SXH25" s="1266"/>
      <c r="SXI25" s="1266"/>
      <c r="SXJ25" s="1266"/>
      <c r="SXK25" s="1266"/>
      <c r="SXL25" s="1266"/>
      <c r="SXM25" s="1266"/>
      <c r="SXN25" s="1266"/>
      <c r="SXO25" s="1266"/>
      <c r="SXP25" s="1266"/>
      <c r="SXQ25" s="1266"/>
      <c r="SXR25" s="1266"/>
      <c r="SXS25" s="1266"/>
      <c r="SXT25" s="1266"/>
      <c r="SXU25" s="1266"/>
      <c r="SXV25" s="1266"/>
      <c r="SXW25" s="1266"/>
      <c r="SXX25" s="1266"/>
      <c r="SXY25" s="1266"/>
      <c r="SXZ25" s="1266"/>
      <c r="SYA25" s="1266"/>
      <c r="SYB25" s="1266"/>
      <c r="SYC25" s="1266"/>
      <c r="SYD25" s="1266"/>
      <c r="SYE25" s="1266"/>
      <c r="SYF25" s="1266"/>
      <c r="SYG25" s="1266"/>
      <c r="SYH25" s="1266"/>
      <c r="SYI25" s="1266"/>
      <c r="SYJ25" s="1266"/>
      <c r="SYK25" s="1266"/>
      <c r="SYL25" s="1266"/>
      <c r="SYM25" s="1266"/>
      <c r="SYN25" s="1266"/>
      <c r="SYO25" s="1266"/>
      <c r="SYP25" s="1266"/>
      <c r="SYQ25" s="1266"/>
      <c r="SYR25" s="1266"/>
      <c r="SYS25" s="1266"/>
      <c r="SYT25" s="1266"/>
      <c r="SYU25" s="1266"/>
      <c r="SYV25" s="1266"/>
      <c r="SYW25" s="1266"/>
      <c r="SYX25" s="1266"/>
      <c r="SYY25" s="1266"/>
      <c r="SYZ25" s="1266"/>
      <c r="SZA25" s="1266"/>
      <c r="SZB25" s="1266"/>
      <c r="SZC25" s="1266"/>
      <c r="SZD25" s="1266"/>
      <c r="SZE25" s="1266"/>
      <c r="SZF25" s="1266"/>
      <c r="SZG25" s="1266"/>
      <c r="SZH25" s="1266"/>
      <c r="SZI25" s="1266"/>
      <c r="SZJ25" s="1266"/>
      <c r="SZK25" s="1266"/>
      <c r="SZL25" s="1266"/>
      <c r="SZM25" s="1266"/>
      <c r="SZN25" s="1266"/>
      <c r="SZO25" s="1266"/>
      <c r="SZP25" s="1266"/>
      <c r="SZQ25" s="1266"/>
      <c r="SZR25" s="1266"/>
      <c r="SZS25" s="1266"/>
      <c r="SZT25" s="1266"/>
      <c r="SZU25" s="1266"/>
      <c r="SZV25" s="1266"/>
      <c r="SZW25" s="1266"/>
      <c r="SZX25" s="1266"/>
      <c r="SZY25" s="1266"/>
      <c r="SZZ25" s="1266"/>
      <c r="TAA25" s="1266"/>
      <c r="TAB25" s="1266"/>
      <c r="TAC25" s="1266"/>
      <c r="TAD25" s="1266"/>
      <c r="TAE25" s="1266"/>
      <c r="TAF25" s="1266"/>
      <c r="TAG25" s="1266"/>
      <c r="TAH25" s="1266"/>
      <c r="TAI25" s="1266"/>
      <c r="TAJ25" s="1266"/>
      <c r="TAK25" s="1266"/>
      <c r="TAL25" s="1266"/>
      <c r="TAM25" s="1266"/>
      <c r="TAN25" s="1266"/>
      <c r="TAO25" s="1266"/>
      <c r="TAP25" s="1266"/>
      <c r="TAQ25" s="1266"/>
      <c r="TAR25" s="1266"/>
      <c r="TAS25" s="1266"/>
      <c r="TAT25" s="1266"/>
      <c r="TAU25" s="1266"/>
      <c r="TAV25" s="1266"/>
      <c r="TAW25" s="1266"/>
      <c r="TAX25" s="1266"/>
      <c r="TAY25" s="1266"/>
      <c r="TAZ25" s="1266"/>
      <c r="TBA25" s="1266"/>
      <c r="TBB25" s="1266"/>
      <c r="TBC25" s="1266"/>
      <c r="TBD25" s="1266"/>
      <c r="TBE25" s="1266"/>
      <c r="TBF25" s="1266"/>
      <c r="TBG25" s="1266"/>
      <c r="TBH25" s="1266"/>
      <c r="TBI25" s="1266"/>
      <c r="TBJ25" s="1266"/>
      <c r="TBK25" s="1266"/>
      <c r="TBL25" s="1266"/>
      <c r="TBM25" s="1266"/>
      <c r="TBN25" s="1266"/>
      <c r="TBO25" s="1266"/>
      <c r="TBP25" s="1266"/>
      <c r="TBQ25" s="1266"/>
      <c r="TBR25" s="1266"/>
      <c r="TBS25" s="1266"/>
      <c r="TBT25" s="1266"/>
      <c r="TBU25" s="1266"/>
      <c r="TBV25" s="1266"/>
      <c r="TBW25" s="1266"/>
      <c r="TBX25" s="1266"/>
      <c r="TBY25" s="1266"/>
      <c r="TBZ25" s="1266"/>
      <c r="TCA25" s="1266"/>
      <c r="TCB25" s="1266"/>
      <c r="TCC25" s="1266"/>
      <c r="TCD25" s="1266"/>
      <c r="TCE25" s="1266"/>
      <c r="TCF25" s="1266"/>
      <c r="TCG25" s="1266"/>
      <c r="TCH25" s="1266"/>
      <c r="TCI25" s="1266"/>
      <c r="TCJ25" s="1266"/>
      <c r="TCK25" s="1266"/>
      <c r="TCL25" s="1266"/>
      <c r="TCM25" s="1266"/>
      <c r="TCN25" s="1266"/>
      <c r="TCO25" s="1266"/>
      <c r="TCP25" s="1266"/>
      <c r="TCQ25" s="1266"/>
      <c r="TCR25" s="1266"/>
      <c r="TCS25" s="1266"/>
      <c r="TCT25" s="1266"/>
      <c r="TCU25" s="1266"/>
      <c r="TCV25" s="1266"/>
      <c r="TCW25" s="1266"/>
      <c r="TCX25" s="1266"/>
      <c r="TCY25" s="1266"/>
      <c r="TCZ25" s="1266"/>
      <c r="TDA25" s="1266"/>
      <c r="TDB25" s="1266"/>
      <c r="TDC25" s="1266"/>
      <c r="TDD25" s="1266"/>
      <c r="TDE25" s="1266"/>
      <c r="TDF25" s="1266"/>
      <c r="TDG25" s="1266"/>
      <c r="TDH25" s="1266"/>
      <c r="TDI25" s="1266"/>
      <c r="TDJ25" s="1266"/>
      <c r="TDK25" s="1266"/>
      <c r="TDL25" s="1266"/>
      <c r="TDM25" s="1266"/>
      <c r="TDN25" s="1266"/>
      <c r="TDO25" s="1266"/>
      <c r="TDP25" s="1266"/>
      <c r="TDQ25" s="1266"/>
      <c r="TDR25" s="1266"/>
      <c r="TDS25" s="1266"/>
      <c r="TDT25" s="1266"/>
      <c r="TDU25" s="1266"/>
      <c r="TDV25" s="1266"/>
      <c r="TDW25" s="1266"/>
      <c r="TDX25" s="1266"/>
      <c r="TDY25" s="1266"/>
      <c r="TDZ25" s="1266"/>
      <c r="TEA25" s="1266"/>
      <c r="TEB25" s="1266"/>
      <c r="TEC25" s="1266"/>
      <c r="TED25" s="1266"/>
      <c r="TEE25" s="1266"/>
      <c r="TEF25" s="1266"/>
      <c r="TEG25" s="1266"/>
      <c r="TEH25" s="1266"/>
      <c r="TEI25" s="1266"/>
      <c r="TEJ25" s="1266"/>
      <c r="TEK25" s="1266"/>
      <c r="TEL25" s="1266"/>
      <c r="TEM25" s="1266"/>
      <c r="TEN25" s="1266"/>
      <c r="TEO25" s="1266"/>
      <c r="TEP25" s="1266"/>
      <c r="TEQ25" s="1266"/>
      <c r="TER25" s="1266"/>
      <c r="TES25" s="1266"/>
      <c r="TET25" s="1266"/>
      <c r="TEU25" s="1266"/>
      <c r="TEV25" s="1266"/>
      <c r="TEW25" s="1266"/>
      <c r="TEX25" s="1266"/>
      <c r="TEY25" s="1266"/>
      <c r="TEZ25" s="1266"/>
      <c r="TFA25" s="1266"/>
      <c r="TFB25" s="1266"/>
      <c r="TFC25" s="1266"/>
      <c r="TFD25" s="1266"/>
      <c r="TFE25" s="1266"/>
      <c r="TFF25" s="1266"/>
      <c r="TFG25" s="1266"/>
      <c r="TFH25" s="1266"/>
      <c r="TFI25" s="1266"/>
      <c r="TFJ25" s="1266"/>
      <c r="TFK25" s="1266"/>
      <c r="TFL25" s="1266"/>
      <c r="TFM25" s="1266"/>
      <c r="TFN25" s="1266"/>
      <c r="TFO25" s="1266"/>
      <c r="TFP25" s="1266"/>
      <c r="TFQ25" s="1266"/>
      <c r="TFR25" s="1266"/>
      <c r="TFS25" s="1266"/>
      <c r="TFT25" s="1266"/>
      <c r="TFU25" s="1266"/>
      <c r="TFV25" s="1266"/>
      <c r="TFW25" s="1266"/>
      <c r="TFX25" s="1266"/>
      <c r="TFY25" s="1266"/>
      <c r="TFZ25" s="1266"/>
      <c r="TGA25" s="1266"/>
      <c r="TGB25" s="1266"/>
      <c r="TGC25" s="1266"/>
      <c r="TGD25" s="1266"/>
      <c r="TGE25" s="1266"/>
      <c r="TGF25" s="1266"/>
      <c r="TGG25" s="1266"/>
      <c r="TGH25" s="1266"/>
      <c r="TGI25" s="1266"/>
      <c r="TGJ25" s="1266"/>
      <c r="TGK25" s="1266"/>
      <c r="TGL25" s="1266"/>
      <c r="TGM25" s="1266"/>
      <c r="TGN25" s="1266"/>
      <c r="TGO25" s="1266"/>
      <c r="TGP25" s="1266"/>
      <c r="TGQ25" s="1266"/>
      <c r="TGR25" s="1266"/>
      <c r="TGS25" s="1266"/>
      <c r="TGT25" s="1266"/>
      <c r="TGU25" s="1266"/>
      <c r="TGV25" s="1266"/>
      <c r="TGW25" s="1266"/>
      <c r="TGX25" s="1266"/>
      <c r="TGY25" s="1266"/>
      <c r="TGZ25" s="1266"/>
      <c r="THA25" s="1266"/>
      <c r="THB25" s="1266"/>
      <c r="THC25" s="1266"/>
      <c r="THD25" s="1266"/>
      <c r="THE25" s="1266"/>
      <c r="THF25" s="1266"/>
      <c r="THG25" s="1266"/>
      <c r="THH25" s="1266"/>
      <c r="THI25" s="1266"/>
      <c r="THJ25" s="1266"/>
      <c r="THK25" s="1266"/>
      <c r="THL25" s="1266"/>
      <c r="THM25" s="1266"/>
      <c r="THN25" s="1266"/>
      <c r="THO25" s="1266"/>
      <c r="THP25" s="1266"/>
      <c r="THQ25" s="1266"/>
      <c r="THR25" s="1266"/>
      <c r="THS25" s="1266"/>
      <c r="THT25" s="1266"/>
      <c r="THU25" s="1266"/>
      <c r="THV25" s="1266"/>
      <c r="THW25" s="1266"/>
      <c r="THX25" s="1266"/>
      <c r="THY25" s="1266"/>
      <c r="THZ25" s="1266"/>
      <c r="TIA25" s="1266"/>
      <c r="TIB25" s="1266"/>
      <c r="TIC25" s="1266"/>
      <c r="TID25" s="1266"/>
      <c r="TIE25" s="1266"/>
      <c r="TIF25" s="1266"/>
      <c r="TIG25" s="1266"/>
      <c r="TIH25" s="1266"/>
      <c r="TII25" s="1266"/>
      <c r="TIJ25" s="1266"/>
      <c r="TIK25" s="1266"/>
      <c r="TIL25" s="1266"/>
      <c r="TIM25" s="1266"/>
      <c r="TIN25" s="1266"/>
      <c r="TIO25" s="1266"/>
      <c r="TIP25" s="1266"/>
      <c r="TIQ25" s="1266"/>
      <c r="TIR25" s="1266"/>
      <c r="TIS25" s="1266"/>
      <c r="TIT25" s="1266"/>
      <c r="TIU25" s="1266"/>
      <c r="TIV25" s="1266"/>
      <c r="TIW25" s="1266"/>
      <c r="TIX25" s="1266"/>
      <c r="TIY25" s="1266"/>
      <c r="TIZ25" s="1266"/>
      <c r="TJA25" s="1266"/>
      <c r="TJB25" s="1266"/>
      <c r="TJC25" s="1266"/>
      <c r="TJD25" s="1266"/>
      <c r="TJE25" s="1266"/>
      <c r="TJF25" s="1266"/>
      <c r="TJG25" s="1266"/>
      <c r="TJH25" s="1266"/>
      <c r="TJI25" s="1266"/>
      <c r="TJJ25" s="1266"/>
      <c r="TJK25" s="1266"/>
      <c r="TJL25" s="1266"/>
      <c r="TJM25" s="1266"/>
      <c r="TJN25" s="1266"/>
      <c r="TJO25" s="1266"/>
      <c r="TJP25" s="1266"/>
      <c r="TJQ25" s="1266"/>
      <c r="TJR25" s="1266"/>
      <c r="TJS25" s="1266"/>
      <c r="TJT25" s="1266"/>
      <c r="TJU25" s="1266"/>
      <c r="TJV25" s="1266"/>
      <c r="TJW25" s="1266"/>
      <c r="TJX25" s="1266"/>
      <c r="TJY25" s="1266"/>
      <c r="TJZ25" s="1266"/>
      <c r="TKA25" s="1266"/>
      <c r="TKB25" s="1266"/>
      <c r="TKC25" s="1266"/>
      <c r="TKD25" s="1266"/>
      <c r="TKE25" s="1266"/>
      <c r="TKF25" s="1266"/>
      <c r="TKG25" s="1266"/>
      <c r="TKH25" s="1266"/>
      <c r="TKI25" s="1266"/>
      <c r="TKJ25" s="1266"/>
      <c r="TKK25" s="1266"/>
      <c r="TKL25" s="1266"/>
      <c r="TKM25" s="1266"/>
      <c r="TKN25" s="1266"/>
      <c r="TKO25" s="1266"/>
      <c r="TKP25" s="1266"/>
      <c r="TKQ25" s="1266"/>
      <c r="TKR25" s="1266"/>
      <c r="TKS25" s="1266"/>
      <c r="TKT25" s="1266"/>
      <c r="TKU25" s="1266"/>
      <c r="TKV25" s="1266"/>
      <c r="TKW25" s="1266"/>
      <c r="TKX25" s="1266"/>
      <c r="TKY25" s="1266"/>
      <c r="TKZ25" s="1266"/>
      <c r="TLA25" s="1266"/>
      <c r="TLB25" s="1266"/>
      <c r="TLC25" s="1266"/>
      <c r="TLD25" s="1266"/>
      <c r="TLE25" s="1266"/>
      <c r="TLF25" s="1266"/>
      <c r="TLG25" s="1266"/>
      <c r="TLH25" s="1266"/>
      <c r="TLI25" s="1266"/>
      <c r="TLJ25" s="1266"/>
      <c r="TLK25" s="1266"/>
      <c r="TLL25" s="1266"/>
      <c r="TLM25" s="1266"/>
      <c r="TLN25" s="1266"/>
      <c r="TLO25" s="1266"/>
      <c r="TLP25" s="1266"/>
      <c r="TLQ25" s="1266"/>
      <c r="TLR25" s="1266"/>
      <c r="TLS25" s="1266"/>
      <c r="TLT25" s="1266"/>
      <c r="TLU25" s="1266"/>
      <c r="TLV25" s="1266"/>
      <c r="TLW25" s="1266"/>
      <c r="TLX25" s="1266"/>
      <c r="TLY25" s="1266"/>
      <c r="TLZ25" s="1266"/>
      <c r="TMA25" s="1266"/>
      <c r="TMB25" s="1266"/>
      <c r="TMC25" s="1266"/>
      <c r="TMD25" s="1266"/>
      <c r="TME25" s="1266"/>
      <c r="TMF25" s="1266"/>
      <c r="TMG25" s="1266"/>
      <c r="TMH25" s="1266"/>
      <c r="TMI25" s="1266"/>
      <c r="TMJ25" s="1266"/>
      <c r="TMK25" s="1266"/>
      <c r="TML25" s="1266"/>
      <c r="TMM25" s="1266"/>
      <c r="TMN25" s="1266"/>
      <c r="TMO25" s="1266"/>
      <c r="TMP25" s="1266"/>
      <c r="TMQ25" s="1266"/>
      <c r="TMR25" s="1266"/>
      <c r="TMS25" s="1266"/>
      <c r="TMT25" s="1266"/>
      <c r="TMU25" s="1266"/>
      <c r="TMV25" s="1266"/>
      <c r="TMW25" s="1266"/>
      <c r="TMX25" s="1266"/>
      <c r="TMY25" s="1266"/>
      <c r="TMZ25" s="1266"/>
      <c r="TNA25" s="1266"/>
      <c r="TNB25" s="1266"/>
      <c r="TNC25" s="1266"/>
      <c r="TND25" s="1266"/>
      <c r="TNE25" s="1266"/>
      <c r="TNF25" s="1266"/>
      <c r="TNG25" s="1266"/>
      <c r="TNH25" s="1266"/>
      <c r="TNI25" s="1266"/>
      <c r="TNJ25" s="1266"/>
      <c r="TNK25" s="1266"/>
      <c r="TNL25" s="1266"/>
      <c r="TNM25" s="1266"/>
      <c r="TNN25" s="1266"/>
      <c r="TNO25" s="1266"/>
      <c r="TNP25" s="1266"/>
      <c r="TNQ25" s="1266"/>
      <c r="TNR25" s="1266"/>
      <c r="TNS25" s="1266"/>
      <c r="TNT25" s="1266"/>
      <c r="TNU25" s="1266"/>
      <c r="TNV25" s="1266"/>
      <c r="TNW25" s="1266"/>
      <c r="TNX25" s="1266"/>
      <c r="TNY25" s="1266"/>
      <c r="TNZ25" s="1266"/>
      <c r="TOA25" s="1266"/>
      <c r="TOB25" s="1266"/>
      <c r="TOC25" s="1266"/>
      <c r="TOD25" s="1266"/>
      <c r="TOE25" s="1266"/>
      <c r="TOF25" s="1266"/>
      <c r="TOG25" s="1266"/>
      <c r="TOH25" s="1266"/>
      <c r="TOI25" s="1266"/>
      <c r="TOJ25" s="1266"/>
      <c r="TOK25" s="1266"/>
      <c r="TOL25" s="1266"/>
      <c r="TOM25" s="1266"/>
      <c r="TON25" s="1266"/>
      <c r="TOO25" s="1266"/>
      <c r="TOP25" s="1266"/>
      <c r="TOQ25" s="1266"/>
      <c r="TOR25" s="1266"/>
      <c r="TOS25" s="1266"/>
      <c r="TOT25" s="1266"/>
      <c r="TOU25" s="1266"/>
      <c r="TOV25" s="1266"/>
      <c r="TOW25" s="1266"/>
      <c r="TOX25" s="1266"/>
      <c r="TOY25" s="1266"/>
      <c r="TOZ25" s="1266"/>
      <c r="TPA25" s="1266"/>
      <c r="TPB25" s="1266"/>
      <c r="TPC25" s="1266"/>
      <c r="TPD25" s="1266"/>
      <c r="TPE25" s="1266"/>
      <c r="TPF25" s="1266"/>
      <c r="TPG25" s="1266"/>
      <c r="TPH25" s="1266"/>
      <c r="TPI25" s="1266"/>
      <c r="TPJ25" s="1266"/>
      <c r="TPK25" s="1266"/>
      <c r="TPL25" s="1266"/>
      <c r="TPM25" s="1266"/>
      <c r="TPN25" s="1266"/>
      <c r="TPO25" s="1266"/>
      <c r="TPP25" s="1266"/>
      <c r="TPQ25" s="1266"/>
      <c r="TPR25" s="1266"/>
      <c r="TPS25" s="1266"/>
      <c r="TPT25" s="1266"/>
      <c r="TPU25" s="1266"/>
      <c r="TPV25" s="1266"/>
      <c r="TPW25" s="1266"/>
      <c r="TPX25" s="1266"/>
      <c r="TPY25" s="1266"/>
      <c r="TPZ25" s="1266"/>
      <c r="TQA25" s="1266"/>
      <c r="TQB25" s="1266"/>
      <c r="TQC25" s="1266"/>
      <c r="TQD25" s="1266"/>
      <c r="TQE25" s="1266"/>
      <c r="TQF25" s="1266"/>
      <c r="TQG25" s="1266"/>
      <c r="TQH25" s="1266"/>
      <c r="TQI25" s="1266"/>
      <c r="TQJ25" s="1266"/>
      <c r="TQK25" s="1266"/>
      <c r="TQL25" s="1266"/>
      <c r="TQM25" s="1266"/>
      <c r="TQN25" s="1266"/>
      <c r="TQO25" s="1266"/>
      <c r="TQP25" s="1266"/>
      <c r="TQQ25" s="1266"/>
      <c r="TQR25" s="1266"/>
      <c r="TQS25" s="1266"/>
      <c r="TQT25" s="1266"/>
      <c r="TQU25" s="1266"/>
      <c r="TQV25" s="1266"/>
      <c r="TQW25" s="1266"/>
      <c r="TQX25" s="1266"/>
      <c r="TQY25" s="1266"/>
      <c r="TQZ25" s="1266"/>
      <c r="TRA25" s="1266"/>
      <c r="TRB25" s="1266"/>
      <c r="TRC25" s="1266"/>
      <c r="TRD25" s="1266"/>
      <c r="TRE25" s="1266"/>
      <c r="TRF25" s="1266"/>
      <c r="TRG25" s="1266"/>
      <c r="TRH25" s="1266"/>
      <c r="TRI25" s="1266"/>
      <c r="TRJ25" s="1266"/>
      <c r="TRK25" s="1266"/>
      <c r="TRL25" s="1266"/>
      <c r="TRM25" s="1266"/>
      <c r="TRN25" s="1266"/>
      <c r="TRO25" s="1266"/>
      <c r="TRP25" s="1266"/>
      <c r="TRQ25" s="1266"/>
      <c r="TRR25" s="1266"/>
      <c r="TRS25" s="1266"/>
      <c r="TRT25" s="1266"/>
      <c r="TRU25" s="1266"/>
      <c r="TRV25" s="1266"/>
      <c r="TRW25" s="1266"/>
      <c r="TRX25" s="1266"/>
      <c r="TRY25" s="1266"/>
      <c r="TRZ25" s="1266"/>
      <c r="TSA25" s="1266"/>
      <c r="TSB25" s="1266"/>
      <c r="TSC25" s="1266"/>
      <c r="TSD25" s="1266"/>
      <c r="TSE25" s="1266"/>
      <c r="TSF25" s="1266"/>
      <c r="TSG25" s="1266"/>
      <c r="TSH25" s="1266"/>
      <c r="TSI25" s="1266"/>
      <c r="TSJ25" s="1266"/>
      <c r="TSK25" s="1266"/>
      <c r="TSL25" s="1266"/>
      <c r="TSM25" s="1266"/>
      <c r="TSN25" s="1266"/>
      <c r="TSO25" s="1266"/>
      <c r="TSP25" s="1266"/>
      <c r="TSQ25" s="1266"/>
      <c r="TSR25" s="1266"/>
      <c r="TSS25" s="1266"/>
      <c r="TST25" s="1266"/>
      <c r="TSU25" s="1266"/>
      <c r="TSV25" s="1266"/>
      <c r="TSW25" s="1266"/>
      <c r="TSX25" s="1266"/>
      <c r="TSY25" s="1266"/>
      <c r="TSZ25" s="1266"/>
      <c r="TTA25" s="1266"/>
      <c r="TTB25" s="1266"/>
      <c r="TTC25" s="1266"/>
      <c r="TTD25" s="1266"/>
      <c r="TTE25" s="1266"/>
      <c r="TTF25" s="1266"/>
      <c r="TTG25" s="1266"/>
      <c r="TTH25" s="1266"/>
      <c r="TTI25" s="1266"/>
      <c r="TTJ25" s="1266"/>
      <c r="TTK25" s="1266"/>
      <c r="TTL25" s="1266"/>
      <c r="TTM25" s="1266"/>
      <c r="TTN25" s="1266"/>
      <c r="TTO25" s="1266"/>
      <c r="TTP25" s="1266"/>
      <c r="TTQ25" s="1266"/>
      <c r="TTR25" s="1266"/>
      <c r="TTS25" s="1266"/>
      <c r="TTT25" s="1266"/>
      <c r="TTU25" s="1266"/>
      <c r="TTV25" s="1266"/>
      <c r="TTW25" s="1266"/>
      <c r="TTX25" s="1266"/>
      <c r="TTY25" s="1266"/>
      <c r="TTZ25" s="1266"/>
      <c r="TUA25" s="1266"/>
      <c r="TUB25" s="1266"/>
      <c r="TUC25" s="1266"/>
      <c r="TUD25" s="1266"/>
      <c r="TUE25" s="1266"/>
      <c r="TUF25" s="1266"/>
      <c r="TUG25" s="1266"/>
      <c r="TUH25" s="1266"/>
      <c r="TUI25" s="1266"/>
      <c r="TUJ25" s="1266"/>
      <c r="TUK25" s="1266"/>
      <c r="TUL25" s="1266"/>
      <c r="TUM25" s="1266"/>
      <c r="TUN25" s="1266"/>
      <c r="TUO25" s="1266"/>
      <c r="TUP25" s="1266"/>
      <c r="TUQ25" s="1266"/>
      <c r="TUR25" s="1266"/>
      <c r="TUS25" s="1266"/>
      <c r="TUT25" s="1266"/>
      <c r="TUU25" s="1266"/>
      <c r="TUV25" s="1266"/>
      <c r="TUW25" s="1266"/>
      <c r="TUX25" s="1266"/>
      <c r="TUY25" s="1266"/>
      <c r="TUZ25" s="1266"/>
      <c r="TVA25" s="1266"/>
      <c r="TVB25" s="1266"/>
      <c r="TVC25" s="1266"/>
      <c r="TVD25" s="1266"/>
      <c r="TVE25" s="1266"/>
      <c r="TVF25" s="1266"/>
      <c r="TVG25" s="1266"/>
      <c r="TVH25" s="1266"/>
      <c r="TVI25" s="1266"/>
      <c r="TVJ25" s="1266"/>
      <c r="TVK25" s="1266"/>
      <c r="TVL25" s="1266"/>
      <c r="TVM25" s="1266"/>
      <c r="TVN25" s="1266"/>
      <c r="TVO25" s="1266"/>
      <c r="TVP25" s="1266"/>
      <c r="TVQ25" s="1266"/>
      <c r="TVR25" s="1266"/>
      <c r="TVS25" s="1266"/>
      <c r="TVT25" s="1266"/>
      <c r="TVU25" s="1266"/>
      <c r="TVV25" s="1266"/>
      <c r="TVW25" s="1266"/>
      <c r="TVX25" s="1266"/>
      <c r="TVY25" s="1266"/>
      <c r="TVZ25" s="1266"/>
      <c r="TWA25" s="1266"/>
      <c r="TWB25" s="1266"/>
      <c r="TWC25" s="1266"/>
      <c r="TWD25" s="1266"/>
      <c r="TWE25" s="1266"/>
      <c r="TWF25" s="1266"/>
      <c r="TWG25" s="1266"/>
      <c r="TWH25" s="1266"/>
      <c r="TWI25" s="1266"/>
      <c r="TWJ25" s="1266"/>
      <c r="TWK25" s="1266"/>
      <c r="TWL25" s="1266"/>
      <c r="TWM25" s="1266"/>
      <c r="TWN25" s="1266"/>
      <c r="TWO25" s="1266"/>
      <c r="TWP25" s="1266"/>
      <c r="TWQ25" s="1266"/>
      <c r="TWR25" s="1266"/>
      <c r="TWS25" s="1266"/>
      <c r="TWT25" s="1266"/>
      <c r="TWU25" s="1266"/>
      <c r="TWV25" s="1266"/>
      <c r="TWW25" s="1266"/>
      <c r="TWX25" s="1266"/>
      <c r="TWY25" s="1266"/>
      <c r="TWZ25" s="1266"/>
      <c r="TXA25" s="1266"/>
      <c r="TXB25" s="1266"/>
      <c r="TXC25" s="1266"/>
      <c r="TXD25" s="1266"/>
      <c r="TXE25" s="1266"/>
      <c r="TXF25" s="1266"/>
      <c r="TXG25" s="1266"/>
      <c r="TXH25" s="1266"/>
      <c r="TXI25" s="1266"/>
      <c r="TXJ25" s="1266"/>
      <c r="TXK25" s="1266"/>
      <c r="TXL25" s="1266"/>
      <c r="TXM25" s="1266"/>
      <c r="TXN25" s="1266"/>
      <c r="TXO25" s="1266"/>
      <c r="TXP25" s="1266"/>
      <c r="TXQ25" s="1266"/>
      <c r="TXR25" s="1266"/>
      <c r="TXS25" s="1266"/>
      <c r="TXT25" s="1266"/>
      <c r="TXU25" s="1266"/>
      <c r="TXV25" s="1266"/>
      <c r="TXW25" s="1266"/>
      <c r="TXX25" s="1266"/>
      <c r="TXY25" s="1266"/>
      <c r="TXZ25" s="1266"/>
      <c r="TYA25" s="1266"/>
      <c r="TYB25" s="1266"/>
      <c r="TYC25" s="1266"/>
      <c r="TYD25" s="1266"/>
      <c r="TYE25" s="1266"/>
      <c r="TYF25" s="1266"/>
      <c r="TYG25" s="1266"/>
      <c r="TYH25" s="1266"/>
      <c r="TYI25" s="1266"/>
      <c r="TYJ25" s="1266"/>
      <c r="TYK25" s="1266"/>
      <c r="TYL25" s="1266"/>
      <c r="TYM25" s="1266"/>
      <c r="TYN25" s="1266"/>
      <c r="TYO25" s="1266"/>
      <c r="TYP25" s="1266"/>
      <c r="TYQ25" s="1266"/>
      <c r="TYR25" s="1266"/>
      <c r="TYS25" s="1266"/>
      <c r="TYT25" s="1266"/>
      <c r="TYU25" s="1266"/>
      <c r="TYV25" s="1266"/>
      <c r="TYW25" s="1266"/>
      <c r="TYX25" s="1266"/>
      <c r="TYY25" s="1266"/>
      <c r="TYZ25" s="1266"/>
      <c r="TZA25" s="1266"/>
      <c r="TZB25" s="1266"/>
      <c r="TZC25" s="1266"/>
      <c r="TZD25" s="1266"/>
      <c r="TZE25" s="1266"/>
      <c r="TZF25" s="1266"/>
      <c r="TZG25" s="1266"/>
      <c r="TZH25" s="1266"/>
      <c r="TZI25" s="1266"/>
      <c r="TZJ25" s="1266"/>
      <c r="TZK25" s="1266"/>
      <c r="TZL25" s="1266"/>
      <c r="TZM25" s="1266"/>
      <c r="TZN25" s="1266"/>
      <c r="TZO25" s="1266"/>
      <c r="TZP25" s="1266"/>
      <c r="TZQ25" s="1266"/>
      <c r="TZR25" s="1266"/>
      <c r="TZS25" s="1266"/>
      <c r="TZT25" s="1266"/>
      <c r="TZU25" s="1266"/>
      <c r="TZV25" s="1266"/>
      <c r="TZW25" s="1266"/>
      <c r="TZX25" s="1266"/>
      <c r="TZY25" s="1266"/>
      <c r="TZZ25" s="1266"/>
      <c r="UAA25" s="1266"/>
      <c r="UAB25" s="1266"/>
      <c r="UAC25" s="1266"/>
      <c r="UAD25" s="1266"/>
      <c r="UAE25" s="1266"/>
      <c r="UAF25" s="1266"/>
      <c r="UAG25" s="1266"/>
      <c r="UAH25" s="1266"/>
      <c r="UAI25" s="1266"/>
      <c r="UAJ25" s="1266"/>
      <c r="UAK25" s="1266"/>
      <c r="UAL25" s="1266"/>
      <c r="UAM25" s="1266"/>
      <c r="UAN25" s="1266"/>
      <c r="UAO25" s="1266"/>
      <c r="UAP25" s="1266"/>
      <c r="UAQ25" s="1266"/>
      <c r="UAR25" s="1266"/>
      <c r="UAS25" s="1266"/>
      <c r="UAT25" s="1266"/>
      <c r="UAU25" s="1266"/>
      <c r="UAV25" s="1266"/>
      <c r="UAW25" s="1266"/>
      <c r="UAX25" s="1266"/>
      <c r="UAY25" s="1266"/>
      <c r="UAZ25" s="1266"/>
      <c r="UBA25" s="1266"/>
      <c r="UBB25" s="1266"/>
      <c r="UBC25" s="1266"/>
      <c r="UBD25" s="1266"/>
      <c r="UBE25" s="1266"/>
      <c r="UBF25" s="1266"/>
      <c r="UBG25" s="1266"/>
      <c r="UBH25" s="1266"/>
      <c r="UBI25" s="1266"/>
      <c r="UBJ25" s="1266"/>
      <c r="UBK25" s="1266"/>
      <c r="UBL25" s="1266"/>
      <c r="UBM25" s="1266"/>
      <c r="UBN25" s="1266"/>
      <c r="UBO25" s="1266"/>
      <c r="UBP25" s="1266"/>
      <c r="UBQ25" s="1266"/>
      <c r="UBR25" s="1266"/>
      <c r="UBS25" s="1266"/>
      <c r="UBT25" s="1266"/>
      <c r="UBU25" s="1266"/>
      <c r="UBV25" s="1266"/>
      <c r="UBW25" s="1266"/>
      <c r="UBX25" s="1266"/>
      <c r="UBY25" s="1266"/>
      <c r="UBZ25" s="1266"/>
      <c r="UCA25" s="1266"/>
      <c r="UCB25" s="1266"/>
      <c r="UCC25" s="1266"/>
      <c r="UCD25" s="1266"/>
      <c r="UCE25" s="1266"/>
      <c r="UCF25" s="1266"/>
      <c r="UCG25" s="1266"/>
      <c r="UCH25" s="1266"/>
      <c r="UCI25" s="1266"/>
      <c r="UCJ25" s="1266"/>
      <c r="UCK25" s="1266"/>
      <c r="UCL25" s="1266"/>
      <c r="UCM25" s="1266"/>
      <c r="UCN25" s="1266"/>
      <c r="UCO25" s="1266"/>
      <c r="UCP25" s="1266"/>
      <c r="UCQ25" s="1266"/>
      <c r="UCR25" s="1266"/>
      <c r="UCS25" s="1266"/>
      <c r="UCT25" s="1266"/>
      <c r="UCU25" s="1266"/>
      <c r="UCV25" s="1266"/>
      <c r="UCW25" s="1266"/>
      <c r="UCX25" s="1266"/>
      <c r="UCY25" s="1266"/>
      <c r="UCZ25" s="1266"/>
      <c r="UDA25" s="1266"/>
      <c r="UDB25" s="1266"/>
      <c r="UDC25" s="1266"/>
      <c r="UDD25" s="1266"/>
      <c r="UDE25" s="1266"/>
      <c r="UDF25" s="1266"/>
      <c r="UDG25" s="1266"/>
      <c r="UDH25" s="1266"/>
      <c r="UDI25" s="1266"/>
      <c r="UDJ25" s="1266"/>
      <c r="UDK25" s="1266"/>
      <c r="UDL25" s="1266"/>
      <c r="UDM25" s="1266"/>
      <c r="UDN25" s="1266"/>
      <c r="UDO25" s="1266"/>
      <c r="UDP25" s="1266"/>
      <c r="UDQ25" s="1266"/>
      <c r="UDR25" s="1266"/>
      <c r="UDS25" s="1266"/>
      <c r="UDT25" s="1266"/>
      <c r="UDU25" s="1266"/>
      <c r="UDV25" s="1266"/>
      <c r="UDW25" s="1266"/>
      <c r="UDX25" s="1266"/>
      <c r="UDY25" s="1266"/>
      <c r="UDZ25" s="1266"/>
      <c r="UEA25" s="1266"/>
      <c r="UEB25" s="1266"/>
      <c r="UEC25" s="1266"/>
      <c r="UED25" s="1266"/>
      <c r="UEE25" s="1266"/>
      <c r="UEF25" s="1266"/>
      <c r="UEG25" s="1266"/>
      <c r="UEH25" s="1266"/>
      <c r="UEI25" s="1266"/>
      <c r="UEJ25" s="1266"/>
      <c r="UEK25" s="1266"/>
      <c r="UEL25" s="1266"/>
      <c r="UEM25" s="1266"/>
      <c r="UEN25" s="1266"/>
      <c r="UEO25" s="1266"/>
      <c r="UEP25" s="1266"/>
      <c r="UEQ25" s="1266"/>
      <c r="UER25" s="1266"/>
      <c r="UES25" s="1266"/>
      <c r="UET25" s="1266"/>
      <c r="UEU25" s="1266"/>
      <c r="UEV25" s="1266"/>
      <c r="UEW25" s="1266"/>
      <c r="UEX25" s="1266"/>
      <c r="UEY25" s="1266"/>
      <c r="UEZ25" s="1266"/>
      <c r="UFA25" s="1266"/>
      <c r="UFB25" s="1266"/>
      <c r="UFC25" s="1266"/>
      <c r="UFD25" s="1266"/>
      <c r="UFE25" s="1266"/>
      <c r="UFF25" s="1266"/>
      <c r="UFG25" s="1266"/>
      <c r="UFH25" s="1266"/>
      <c r="UFI25" s="1266"/>
      <c r="UFJ25" s="1266"/>
      <c r="UFK25" s="1266"/>
      <c r="UFL25" s="1266"/>
      <c r="UFM25" s="1266"/>
      <c r="UFN25" s="1266"/>
      <c r="UFO25" s="1266"/>
      <c r="UFP25" s="1266"/>
      <c r="UFQ25" s="1266"/>
      <c r="UFR25" s="1266"/>
      <c r="UFS25" s="1266"/>
      <c r="UFT25" s="1266"/>
      <c r="UFU25" s="1266"/>
      <c r="UFV25" s="1266"/>
      <c r="UFW25" s="1266"/>
      <c r="UFX25" s="1266"/>
      <c r="UFY25" s="1266"/>
      <c r="UFZ25" s="1266"/>
      <c r="UGA25" s="1266"/>
      <c r="UGB25" s="1266"/>
      <c r="UGC25" s="1266"/>
      <c r="UGD25" s="1266"/>
      <c r="UGE25" s="1266"/>
      <c r="UGF25" s="1266"/>
      <c r="UGG25" s="1266"/>
      <c r="UGH25" s="1266"/>
      <c r="UGI25" s="1266"/>
      <c r="UGJ25" s="1266"/>
      <c r="UGK25" s="1266"/>
      <c r="UGL25" s="1266"/>
      <c r="UGM25" s="1266"/>
      <c r="UGN25" s="1266"/>
      <c r="UGO25" s="1266"/>
      <c r="UGP25" s="1266"/>
      <c r="UGQ25" s="1266"/>
      <c r="UGR25" s="1266"/>
      <c r="UGS25" s="1266"/>
      <c r="UGT25" s="1266"/>
      <c r="UGU25" s="1266"/>
      <c r="UGV25" s="1266"/>
      <c r="UGW25" s="1266"/>
      <c r="UGX25" s="1266"/>
      <c r="UGY25" s="1266"/>
      <c r="UGZ25" s="1266"/>
      <c r="UHA25" s="1266"/>
      <c r="UHB25" s="1266"/>
      <c r="UHC25" s="1266"/>
      <c r="UHD25" s="1266"/>
      <c r="UHE25" s="1266"/>
      <c r="UHF25" s="1266"/>
      <c r="UHG25" s="1266"/>
      <c r="UHH25" s="1266"/>
      <c r="UHI25" s="1266"/>
      <c r="UHJ25" s="1266"/>
      <c r="UHK25" s="1266"/>
      <c r="UHL25" s="1266"/>
      <c r="UHM25" s="1266"/>
      <c r="UHN25" s="1266"/>
      <c r="UHO25" s="1266"/>
      <c r="UHP25" s="1266"/>
      <c r="UHQ25" s="1266"/>
      <c r="UHR25" s="1266"/>
      <c r="UHS25" s="1266"/>
      <c r="UHT25" s="1266"/>
      <c r="UHU25" s="1266"/>
      <c r="UHV25" s="1266"/>
      <c r="UHW25" s="1266"/>
      <c r="UHX25" s="1266"/>
      <c r="UHY25" s="1266"/>
      <c r="UHZ25" s="1266"/>
      <c r="UIA25" s="1266"/>
      <c r="UIB25" s="1266"/>
      <c r="UIC25" s="1266"/>
      <c r="UID25" s="1266"/>
      <c r="UIE25" s="1266"/>
      <c r="UIF25" s="1266"/>
      <c r="UIG25" s="1266"/>
      <c r="UIH25" s="1266"/>
      <c r="UII25" s="1266"/>
      <c r="UIJ25" s="1266"/>
      <c r="UIK25" s="1266"/>
      <c r="UIL25" s="1266"/>
      <c r="UIM25" s="1266"/>
      <c r="UIN25" s="1266"/>
      <c r="UIO25" s="1266"/>
      <c r="UIP25" s="1266"/>
      <c r="UIQ25" s="1266"/>
      <c r="UIR25" s="1266"/>
      <c r="UIS25" s="1266"/>
      <c r="UIT25" s="1266"/>
      <c r="UIU25" s="1266"/>
      <c r="UIV25" s="1266"/>
      <c r="UIW25" s="1266"/>
      <c r="UIX25" s="1266"/>
      <c r="UIY25" s="1266"/>
      <c r="UIZ25" s="1266"/>
      <c r="UJA25" s="1266"/>
      <c r="UJB25" s="1266"/>
      <c r="UJC25" s="1266"/>
      <c r="UJD25" s="1266"/>
      <c r="UJE25" s="1266"/>
      <c r="UJF25" s="1266"/>
      <c r="UJG25" s="1266"/>
      <c r="UJH25" s="1266"/>
      <c r="UJI25" s="1266"/>
      <c r="UJJ25" s="1266"/>
      <c r="UJK25" s="1266"/>
      <c r="UJL25" s="1266"/>
      <c r="UJM25" s="1266"/>
      <c r="UJN25" s="1266"/>
      <c r="UJO25" s="1266"/>
      <c r="UJP25" s="1266"/>
      <c r="UJQ25" s="1266"/>
      <c r="UJR25" s="1266"/>
      <c r="UJS25" s="1266"/>
      <c r="UJT25" s="1266"/>
      <c r="UJU25" s="1266"/>
      <c r="UJV25" s="1266"/>
      <c r="UJW25" s="1266"/>
      <c r="UJX25" s="1266"/>
      <c r="UJY25" s="1266"/>
      <c r="UJZ25" s="1266"/>
      <c r="UKA25" s="1266"/>
      <c r="UKB25" s="1266"/>
      <c r="UKC25" s="1266"/>
      <c r="UKD25" s="1266"/>
      <c r="UKE25" s="1266"/>
      <c r="UKF25" s="1266"/>
      <c r="UKG25" s="1266"/>
      <c r="UKH25" s="1266"/>
      <c r="UKI25" s="1266"/>
      <c r="UKJ25" s="1266"/>
      <c r="UKK25" s="1266"/>
      <c r="UKL25" s="1266"/>
      <c r="UKM25" s="1266"/>
      <c r="UKN25" s="1266"/>
      <c r="UKO25" s="1266"/>
      <c r="UKP25" s="1266"/>
      <c r="UKQ25" s="1266"/>
      <c r="UKR25" s="1266"/>
      <c r="UKS25" s="1266"/>
      <c r="UKT25" s="1266"/>
      <c r="UKU25" s="1266"/>
      <c r="UKV25" s="1266"/>
      <c r="UKW25" s="1266"/>
      <c r="UKX25" s="1266"/>
      <c r="UKY25" s="1266"/>
      <c r="UKZ25" s="1266"/>
      <c r="ULA25" s="1266"/>
      <c r="ULB25" s="1266"/>
      <c r="ULC25" s="1266"/>
      <c r="ULD25" s="1266"/>
      <c r="ULE25" s="1266"/>
      <c r="ULF25" s="1266"/>
      <c r="ULG25" s="1266"/>
      <c r="ULH25" s="1266"/>
      <c r="ULI25" s="1266"/>
      <c r="ULJ25" s="1266"/>
      <c r="ULK25" s="1266"/>
      <c r="ULL25" s="1266"/>
      <c r="ULM25" s="1266"/>
      <c r="ULN25" s="1266"/>
      <c r="ULO25" s="1266"/>
      <c r="ULP25" s="1266"/>
      <c r="ULQ25" s="1266"/>
      <c r="ULR25" s="1266"/>
      <c r="ULS25" s="1266"/>
      <c r="ULT25" s="1266"/>
      <c r="ULU25" s="1266"/>
      <c r="ULV25" s="1266"/>
      <c r="ULW25" s="1266"/>
      <c r="ULX25" s="1266"/>
      <c r="ULY25" s="1266"/>
      <c r="ULZ25" s="1266"/>
      <c r="UMA25" s="1266"/>
      <c r="UMB25" s="1266"/>
      <c r="UMC25" s="1266"/>
      <c r="UMD25" s="1266"/>
      <c r="UME25" s="1266"/>
      <c r="UMF25" s="1266"/>
      <c r="UMG25" s="1266"/>
      <c r="UMH25" s="1266"/>
      <c r="UMI25" s="1266"/>
      <c r="UMJ25" s="1266"/>
      <c r="UMK25" s="1266"/>
      <c r="UML25" s="1266"/>
      <c r="UMM25" s="1266"/>
      <c r="UMN25" s="1266"/>
      <c r="UMO25" s="1266"/>
      <c r="UMP25" s="1266"/>
      <c r="UMQ25" s="1266"/>
      <c r="UMR25" s="1266"/>
      <c r="UMS25" s="1266"/>
      <c r="UMT25" s="1266"/>
      <c r="UMU25" s="1266"/>
      <c r="UMV25" s="1266"/>
      <c r="UMW25" s="1266"/>
      <c r="UMX25" s="1266"/>
      <c r="UMY25" s="1266"/>
      <c r="UMZ25" s="1266"/>
      <c r="UNA25" s="1266"/>
      <c r="UNB25" s="1266"/>
      <c r="UNC25" s="1266"/>
      <c r="UND25" s="1266"/>
      <c r="UNE25" s="1266"/>
      <c r="UNF25" s="1266"/>
      <c r="UNG25" s="1266"/>
      <c r="UNH25" s="1266"/>
      <c r="UNI25" s="1266"/>
      <c r="UNJ25" s="1266"/>
      <c r="UNK25" s="1266"/>
      <c r="UNL25" s="1266"/>
      <c r="UNM25" s="1266"/>
      <c r="UNN25" s="1266"/>
      <c r="UNO25" s="1266"/>
      <c r="UNP25" s="1266"/>
      <c r="UNQ25" s="1266"/>
      <c r="UNR25" s="1266"/>
      <c r="UNS25" s="1266"/>
      <c r="UNT25" s="1266"/>
      <c r="UNU25" s="1266"/>
      <c r="UNV25" s="1266"/>
      <c r="UNW25" s="1266"/>
      <c r="UNX25" s="1266"/>
      <c r="UNY25" s="1266"/>
      <c r="UNZ25" s="1266"/>
      <c r="UOA25" s="1266"/>
      <c r="UOB25" s="1266"/>
      <c r="UOC25" s="1266"/>
      <c r="UOD25" s="1266"/>
      <c r="UOE25" s="1266"/>
      <c r="UOF25" s="1266"/>
      <c r="UOG25" s="1266"/>
      <c r="UOH25" s="1266"/>
      <c r="UOI25" s="1266"/>
      <c r="UOJ25" s="1266"/>
      <c r="UOK25" s="1266"/>
      <c r="UOL25" s="1266"/>
      <c r="UOM25" s="1266"/>
      <c r="UON25" s="1266"/>
      <c r="UOO25" s="1266"/>
      <c r="UOP25" s="1266"/>
      <c r="UOQ25" s="1266"/>
      <c r="UOR25" s="1266"/>
      <c r="UOS25" s="1266"/>
      <c r="UOT25" s="1266"/>
      <c r="UOU25" s="1266"/>
      <c r="UOV25" s="1266"/>
      <c r="UOW25" s="1266"/>
      <c r="UOX25" s="1266"/>
      <c r="UOY25" s="1266"/>
      <c r="UOZ25" s="1266"/>
      <c r="UPA25" s="1266"/>
      <c r="UPB25" s="1266"/>
      <c r="UPC25" s="1266"/>
      <c r="UPD25" s="1266"/>
      <c r="UPE25" s="1266"/>
      <c r="UPF25" s="1266"/>
      <c r="UPG25" s="1266"/>
      <c r="UPH25" s="1266"/>
      <c r="UPI25" s="1266"/>
      <c r="UPJ25" s="1266"/>
      <c r="UPK25" s="1266"/>
      <c r="UPL25" s="1266"/>
      <c r="UPM25" s="1266"/>
      <c r="UPN25" s="1266"/>
      <c r="UPO25" s="1266"/>
      <c r="UPP25" s="1266"/>
      <c r="UPQ25" s="1266"/>
      <c r="UPR25" s="1266"/>
      <c r="UPS25" s="1266"/>
      <c r="UPT25" s="1266"/>
      <c r="UPU25" s="1266"/>
      <c r="UPV25" s="1266"/>
      <c r="UPW25" s="1266"/>
      <c r="UPX25" s="1266"/>
      <c r="UPY25" s="1266"/>
      <c r="UPZ25" s="1266"/>
      <c r="UQA25" s="1266"/>
      <c r="UQB25" s="1266"/>
      <c r="UQC25" s="1266"/>
      <c r="UQD25" s="1266"/>
      <c r="UQE25" s="1266"/>
      <c r="UQF25" s="1266"/>
      <c r="UQG25" s="1266"/>
      <c r="UQH25" s="1266"/>
      <c r="UQI25" s="1266"/>
      <c r="UQJ25" s="1266"/>
      <c r="UQK25" s="1266"/>
      <c r="UQL25" s="1266"/>
      <c r="UQM25" s="1266"/>
      <c r="UQN25" s="1266"/>
      <c r="UQO25" s="1266"/>
      <c r="UQP25" s="1266"/>
      <c r="UQQ25" s="1266"/>
      <c r="UQR25" s="1266"/>
      <c r="UQS25" s="1266"/>
      <c r="UQT25" s="1266"/>
      <c r="UQU25" s="1266"/>
      <c r="UQV25" s="1266"/>
      <c r="UQW25" s="1266"/>
      <c r="UQX25" s="1266"/>
      <c r="UQY25" s="1266"/>
      <c r="UQZ25" s="1266"/>
      <c r="URA25" s="1266"/>
      <c r="URB25" s="1266"/>
      <c r="URC25" s="1266"/>
      <c r="URD25" s="1266"/>
      <c r="URE25" s="1266"/>
      <c r="URF25" s="1266"/>
      <c r="URG25" s="1266"/>
      <c r="URH25" s="1266"/>
      <c r="URI25" s="1266"/>
      <c r="URJ25" s="1266"/>
      <c r="URK25" s="1266"/>
      <c r="URL25" s="1266"/>
      <c r="URM25" s="1266"/>
      <c r="URN25" s="1266"/>
      <c r="URO25" s="1266"/>
      <c r="URP25" s="1266"/>
      <c r="URQ25" s="1266"/>
      <c r="URR25" s="1266"/>
      <c r="URS25" s="1266"/>
      <c r="URT25" s="1266"/>
      <c r="URU25" s="1266"/>
      <c r="URV25" s="1266"/>
      <c r="URW25" s="1266"/>
      <c r="URX25" s="1266"/>
      <c r="URY25" s="1266"/>
      <c r="URZ25" s="1266"/>
      <c r="USA25" s="1266"/>
      <c r="USB25" s="1266"/>
      <c r="USC25" s="1266"/>
      <c r="USD25" s="1266"/>
      <c r="USE25" s="1266"/>
      <c r="USF25" s="1266"/>
      <c r="USG25" s="1266"/>
      <c r="USH25" s="1266"/>
      <c r="USI25" s="1266"/>
      <c r="USJ25" s="1266"/>
      <c r="USK25" s="1266"/>
      <c r="USL25" s="1266"/>
      <c r="USM25" s="1266"/>
      <c r="USN25" s="1266"/>
      <c r="USO25" s="1266"/>
      <c r="USP25" s="1266"/>
      <c r="USQ25" s="1266"/>
      <c r="USR25" s="1266"/>
      <c r="USS25" s="1266"/>
      <c r="UST25" s="1266"/>
      <c r="USU25" s="1266"/>
      <c r="USV25" s="1266"/>
      <c r="USW25" s="1266"/>
      <c r="USX25" s="1266"/>
      <c r="USY25" s="1266"/>
      <c r="USZ25" s="1266"/>
      <c r="UTA25" s="1266"/>
      <c r="UTB25" s="1266"/>
      <c r="UTC25" s="1266"/>
      <c r="UTD25" s="1266"/>
      <c r="UTE25" s="1266"/>
      <c r="UTF25" s="1266"/>
      <c r="UTG25" s="1266"/>
      <c r="UTH25" s="1266"/>
      <c r="UTI25" s="1266"/>
      <c r="UTJ25" s="1266"/>
      <c r="UTK25" s="1266"/>
      <c r="UTL25" s="1266"/>
      <c r="UTM25" s="1266"/>
      <c r="UTN25" s="1266"/>
      <c r="UTO25" s="1266"/>
      <c r="UTP25" s="1266"/>
      <c r="UTQ25" s="1266"/>
      <c r="UTR25" s="1266"/>
      <c r="UTS25" s="1266"/>
      <c r="UTT25" s="1266"/>
      <c r="UTU25" s="1266"/>
      <c r="UTV25" s="1266"/>
      <c r="UTW25" s="1266"/>
      <c r="UTX25" s="1266"/>
      <c r="UTY25" s="1266"/>
      <c r="UTZ25" s="1266"/>
      <c r="UUA25" s="1266"/>
      <c r="UUB25" s="1266"/>
      <c r="UUC25" s="1266"/>
      <c r="UUD25" s="1266"/>
      <c r="UUE25" s="1266"/>
      <c r="UUF25" s="1266"/>
      <c r="UUG25" s="1266"/>
      <c r="UUH25" s="1266"/>
      <c r="UUI25" s="1266"/>
      <c r="UUJ25" s="1266"/>
      <c r="UUK25" s="1266"/>
      <c r="UUL25" s="1266"/>
      <c r="UUM25" s="1266"/>
      <c r="UUN25" s="1266"/>
      <c r="UUO25" s="1266"/>
      <c r="UUP25" s="1266"/>
      <c r="UUQ25" s="1266"/>
      <c r="UUR25" s="1266"/>
      <c r="UUS25" s="1266"/>
      <c r="UUT25" s="1266"/>
      <c r="UUU25" s="1266"/>
      <c r="UUV25" s="1266"/>
      <c r="UUW25" s="1266"/>
      <c r="UUX25" s="1266"/>
      <c r="UUY25" s="1266"/>
      <c r="UUZ25" s="1266"/>
      <c r="UVA25" s="1266"/>
      <c r="UVB25" s="1266"/>
      <c r="UVC25" s="1266"/>
      <c r="UVD25" s="1266"/>
      <c r="UVE25" s="1266"/>
      <c r="UVF25" s="1266"/>
      <c r="UVG25" s="1266"/>
      <c r="UVH25" s="1266"/>
      <c r="UVI25" s="1266"/>
      <c r="UVJ25" s="1266"/>
      <c r="UVK25" s="1266"/>
      <c r="UVL25" s="1266"/>
      <c r="UVM25" s="1266"/>
      <c r="UVN25" s="1266"/>
      <c r="UVO25" s="1266"/>
      <c r="UVP25" s="1266"/>
      <c r="UVQ25" s="1266"/>
      <c r="UVR25" s="1266"/>
      <c r="UVS25" s="1266"/>
      <c r="UVT25" s="1266"/>
      <c r="UVU25" s="1266"/>
      <c r="UVV25" s="1266"/>
      <c r="UVW25" s="1266"/>
      <c r="UVX25" s="1266"/>
      <c r="UVY25" s="1266"/>
      <c r="UVZ25" s="1266"/>
      <c r="UWA25" s="1266"/>
      <c r="UWB25" s="1266"/>
      <c r="UWC25" s="1266"/>
      <c r="UWD25" s="1266"/>
      <c r="UWE25" s="1266"/>
      <c r="UWF25" s="1266"/>
      <c r="UWG25" s="1266"/>
      <c r="UWH25" s="1266"/>
      <c r="UWI25" s="1266"/>
      <c r="UWJ25" s="1266"/>
      <c r="UWK25" s="1266"/>
      <c r="UWL25" s="1266"/>
      <c r="UWM25" s="1266"/>
      <c r="UWN25" s="1266"/>
      <c r="UWO25" s="1266"/>
      <c r="UWP25" s="1266"/>
      <c r="UWQ25" s="1266"/>
      <c r="UWR25" s="1266"/>
      <c r="UWS25" s="1266"/>
      <c r="UWT25" s="1266"/>
      <c r="UWU25" s="1266"/>
      <c r="UWV25" s="1266"/>
      <c r="UWW25" s="1266"/>
      <c r="UWX25" s="1266"/>
      <c r="UWY25" s="1266"/>
      <c r="UWZ25" s="1266"/>
      <c r="UXA25" s="1266"/>
      <c r="UXB25" s="1266"/>
      <c r="UXC25" s="1266"/>
      <c r="UXD25" s="1266"/>
      <c r="UXE25" s="1266"/>
      <c r="UXF25" s="1266"/>
      <c r="UXG25" s="1266"/>
      <c r="UXH25" s="1266"/>
      <c r="UXI25" s="1266"/>
      <c r="UXJ25" s="1266"/>
      <c r="UXK25" s="1266"/>
      <c r="UXL25" s="1266"/>
      <c r="UXM25" s="1266"/>
      <c r="UXN25" s="1266"/>
      <c r="UXO25" s="1266"/>
      <c r="UXP25" s="1266"/>
      <c r="UXQ25" s="1266"/>
      <c r="UXR25" s="1266"/>
      <c r="UXS25" s="1266"/>
      <c r="UXT25" s="1266"/>
      <c r="UXU25" s="1266"/>
      <c r="UXV25" s="1266"/>
      <c r="UXW25" s="1266"/>
      <c r="UXX25" s="1266"/>
      <c r="UXY25" s="1266"/>
      <c r="UXZ25" s="1266"/>
      <c r="UYA25" s="1266"/>
      <c r="UYB25" s="1266"/>
      <c r="UYC25" s="1266"/>
      <c r="UYD25" s="1266"/>
      <c r="UYE25" s="1266"/>
      <c r="UYF25" s="1266"/>
      <c r="UYG25" s="1266"/>
      <c r="UYH25" s="1266"/>
      <c r="UYI25" s="1266"/>
      <c r="UYJ25" s="1266"/>
      <c r="UYK25" s="1266"/>
      <c r="UYL25" s="1266"/>
      <c r="UYM25" s="1266"/>
      <c r="UYN25" s="1266"/>
      <c r="UYO25" s="1266"/>
      <c r="UYP25" s="1266"/>
      <c r="UYQ25" s="1266"/>
      <c r="UYR25" s="1266"/>
      <c r="UYS25" s="1266"/>
      <c r="UYT25" s="1266"/>
      <c r="UYU25" s="1266"/>
      <c r="UYV25" s="1266"/>
      <c r="UYW25" s="1266"/>
      <c r="UYX25" s="1266"/>
      <c r="UYY25" s="1266"/>
      <c r="UYZ25" s="1266"/>
      <c r="UZA25" s="1266"/>
      <c r="UZB25" s="1266"/>
      <c r="UZC25" s="1266"/>
      <c r="UZD25" s="1266"/>
      <c r="UZE25" s="1266"/>
      <c r="UZF25" s="1266"/>
      <c r="UZG25" s="1266"/>
      <c r="UZH25" s="1266"/>
      <c r="UZI25" s="1266"/>
      <c r="UZJ25" s="1266"/>
      <c r="UZK25" s="1266"/>
      <c r="UZL25" s="1266"/>
      <c r="UZM25" s="1266"/>
      <c r="UZN25" s="1266"/>
      <c r="UZO25" s="1266"/>
      <c r="UZP25" s="1266"/>
      <c r="UZQ25" s="1266"/>
      <c r="UZR25" s="1266"/>
      <c r="UZS25" s="1266"/>
      <c r="UZT25" s="1266"/>
      <c r="UZU25" s="1266"/>
      <c r="UZV25" s="1266"/>
      <c r="UZW25" s="1266"/>
      <c r="UZX25" s="1266"/>
      <c r="UZY25" s="1266"/>
      <c r="UZZ25" s="1266"/>
      <c r="VAA25" s="1266"/>
      <c r="VAB25" s="1266"/>
      <c r="VAC25" s="1266"/>
      <c r="VAD25" s="1266"/>
      <c r="VAE25" s="1266"/>
      <c r="VAF25" s="1266"/>
      <c r="VAG25" s="1266"/>
      <c r="VAH25" s="1266"/>
      <c r="VAI25" s="1266"/>
      <c r="VAJ25" s="1266"/>
      <c r="VAK25" s="1266"/>
      <c r="VAL25" s="1266"/>
      <c r="VAM25" s="1266"/>
      <c r="VAN25" s="1266"/>
      <c r="VAO25" s="1266"/>
      <c r="VAP25" s="1266"/>
      <c r="VAQ25" s="1266"/>
      <c r="VAR25" s="1266"/>
      <c r="VAS25" s="1266"/>
      <c r="VAT25" s="1266"/>
      <c r="VAU25" s="1266"/>
      <c r="VAV25" s="1266"/>
      <c r="VAW25" s="1266"/>
      <c r="VAX25" s="1266"/>
      <c r="VAY25" s="1266"/>
      <c r="VAZ25" s="1266"/>
      <c r="VBA25" s="1266"/>
      <c r="VBB25" s="1266"/>
      <c r="VBC25" s="1266"/>
      <c r="VBD25" s="1266"/>
      <c r="VBE25" s="1266"/>
      <c r="VBF25" s="1266"/>
      <c r="VBG25" s="1266"/>
      <c r="VBH25" s="1266"/>
      <c r="VBI25" s="1266"/>
      <c r="VBJ25" s="1266"/>
      <c r="VBK25" s="1266"/>
      <c r="VBL25" s="1266"/>
      <c r="VBM25" s="1266"/>
      <c r="VBN25" s="1266"/>
      <c r="VBO25" s="1266"/>
      <c r="VBP25" s="1266"/>
      <c r="VBQ25" s="1266"/>
      <c r="VBR25" s="1266"/>
      <c r="VBS25" s="1266"/>
      <c r="VBT25" s="1266"/>
      <c r="VBU25" s="1266"/>
      <c r="VBV25" s="1266"/>
      <c r="VBW25" s="1266"/>
      <c r="VBX25" s="1266"/>
      <c r="VBY25" s="1266"/>
      <c r="VBZ25" s="1266"/>
      <c r="VCA25" s="1266"/>
      <c r="VCB25" s="1266"/>
      <c r="VCC25" s="1266"/>
      <c r="VCD25" s="1266"/>
      <c r="VCE25" s="1266"/>
      <c r="VCF25" s="1266"/>
      <c r="VCG25" s="1266"/>
      <c r="VCH25" s="1266"/>
      <c r="VCI25" s="1266"/>
      <c r="VCJ25" s="1266"/>
      <c r="VCK25" s="1266"/>
      <c r="VCL25" s="1266"/>
      <c r="VCM25" s="1266"/>
      <c r="VCN25" s="1266"/>
      <c r="VCO25" s="1266"/>
      <c r="VCP25" s="1266"/>
      <c r="VCQ25" s="1266"/>
      <c r="VCR25" s="1266"/>
      <c r="VCS25" s="1266"/>
      <c r="VCT25" s="1266"/>
      <c r="VCU25" s="1266"/>
      <c r="VCV25" s="1266"/>
      <c r="VCW25" s="1266"/>
      <c r="VCX25" s="1266"/>
      <c r="VCY25" s="1266"/>
      <c r="VCZ25" s="1266"/>
      <c r="VDA25" s="1266"/>
      <c r="VDB25" s="1266"/>
      <c r="VDC25" s="1266"/>
      <c r="VDD25" s="1266"/>
      <c r="VDE25" s="1266"/>
      <c r="VDF25" s="1266"/>
      <c r="VDG25" s="1266"/>
      <c r="VDH25" s="1266"/>
      <c r="VDI25" s="1266"/>
      <c r="VDJ25" s="1266"/>
      <c r="VDK25" s="1266"/>
      <c r="VDL25" s="1266"/>
      <c r="VDM25" s="1266"/>
      <c r="VDN25" s="1266"/>
      <c r="VDO25" s="1266"/>
      <c r="VDP25" s="1266"/>
      <c r="VDQ25" s="1266"/>
      <c r="VDR25" s="1266"/>
      <c r="VDS25" s="1266"/>
      <c r="VDT25" s="1266"/>
      <c r="VDU25" s="1266"/>
      <c r="VDV25" s="1266"/>
      <c r="VDW25" s="1266"/>
      <c r="VDX25" s="1266"/>
      <c r="VDY25" s="1266"/>
      <c r="VDZ25" s="1266"/>
      <c r="VEA25" s="1266"/>
      <c r="VEB25" s="1266"/>
      <c r="VEC25" s="1266"/>
      <c r="VED25" s="1266"/>
      <c r="VEE25" s="1266"/>
      <c r="VEF25" s="1266"/>
      <c r="VEG25" s="1266"/>
      <c r="VEH25" s="1266"/>
      <c r="VEI25" s="1266"/>
      <c r="VEJ25" s="1266"/>
      <c r="VEK25" s="1266"/>
      <c r="VEL25" s="1266"/>
      <c r="VEM25" s="1266"/>
      <c r="VEN25" s="1266"/>
      <c r="VEO25" s="1266"/>
      <c r="VEP25" s="1266"/>
      <c r="VEQ25" s="1266"/>
      <c r="VER25" s="1266"/>
      <c r="VES25" s="1266"/>
      <c r="VET25" s="1266"/>
      <c r="VEU25" s="1266"/>
      <c r="VEV25" s="1266"/>
      <c r="VEW25" s="1266"/>
      <c r="VEX25" s="1266"/>
      <c r="VEY25" s="1266"/>
      <c r="VEZ25" s="1266"/>
      <c r="VFA25" s="1266"/>
      <c r="VFB25" s="1266"/>
      <c r="VFC25" s="1266"/>
      <c r="VFD25" s="1266"/>
      <c r="VFE25" s="1266"/>
      <c r="VFF25" s="1266"/>
      <c r="VFG25" s="1266"/>
      <c r="VFH25" s="1266"/>
      <c r="VFI25" s="1266"/>
      <c r="VFJ25" s="1266"/>
      <c r="VFK25" s="1266"/>
      <c r="VFL25" s="1266"/>
      <c r="VFM25" s="1266"/>
      <c r="VFN25" s="1266"/>
      <c r="VFO25" s="1266"/>
      <c r="VFP25" s="1266"/>
      <c r="VFQ25" s="1266"/>
      <c r="VFR25" s="1266"/>
      <c r="VFS25" s="1266"/>
      <c r="VFT25" s="1266"/>
      <c r="VFU25" s="1266"/>
      <c r="VFV25" s="1266"/>
      <c r="VFW25" s="1266"/>
      <c r="VFX25" s="1266"/>
      <c r="VFY25" s="1266"/>
      <c r="VFZ25" s="1266"/>
      <c r="VGA25" s="1266"/>
      <c r="VGB25" s="1266"/>
      <c r="VGC25" s="1266"/>
      <c r="VGD25" s="1266"/>
      <c r="VGE25" s="1266"/>
      <c r="VGF25" s="1266"/>
      <c r="VGG25" s="1266"/>
      <c r="VGH25" s="1266"/>
      <c r="VGI25" s="1266"/>
      <c r="VGJ25" s="1266"/>
      <c r="VGK25" s="1266"/>
      <c r="VGL25" s="1266"/>
      <c r="VGM25" s="1266"/>
      <c r="VGN25" s="1266"/>
      <c r="VGO25" s="1266"/>
      <c r="VGP25" s="1266"/>
      <c r="VGQ25" s="1266"/>
      <c r="VGR25" s="1266"/>
      <c r="VGS25" s="1266"/>
      <c r="VGT25" s="1266"/>
      <c r="VGU25" s="1266"/>
      <c r="VGV25" s="1266"/>
      <c r="VGW25" s="1266"/>
      <c r="VGX25" s="1266"/>
      <c r="VGY25" s="1266"/>
      <c r="VGZ25" s="1266"/>
      <c r="VHA25" s="1266"/>
      <c r="VHB25" s="1266"/>
      <c r="VHC25" s="1266"/>
      <c r="VHD25" s="1266"/>
      <c r="VHE25" s="1266"/>
      <c r="VHF25" s="1266"/>
      <c r="VHG25" s="1266"/>
      <c r="VHH25" s="1266"/>
      <c r="VHI25" s="1266"/>
      <c r="VHJ25" s="1266"/>
      <c r="VHK25" s="1266"/>
      <c r="VHL25" s="1266"/>
      <c r="VHM25" s="1266"/>
      <c r="VHN25" s="1266"/>
      <c r="VHO25" s="1266"/>
      <c r="VHP25" s="1266"/>
      <c r="VHQ25" s="1266"/>
      <c r="VHR25" s="1266"/>
      <c r="VHS25" s="1266"/>
      <c r="VHT25" s="1266"/>
      <c r="VHU25" s="1266"/>
      <c r="VHV25" s="1266"/>
      <c r="VHW25" s="1266"/>
      <c r="VHX25" s="1266"/>
      <c r="VHY25" s="1266"/>
      <c r="VHZ25" s="1266"/>
      <c r="VIA25" s="1266"/>
      <c r="VIB25" s="1266"/>
      <c r="VIC25" s="1266"/>
      <c r="VID25" s="1266"/>
      <c r="VIE25" s="1266"/>
      <c r="VIF25" s="1266"/>
      <c r="VIG25" s="1266"/>
      <c r="VIH25" s="1266"/>
      <c r="VII25" s="1266"/>
      <c r="VIJ25" s="1266"/>
      <c r="VIK25" s="1266"/>
      <c r="VIL25" s="1266"/>
      <c r="VIM25" s="1266"/>
      <c r="VIN25" s="1266"/>
      <c r="VIO25" s="1266"/>
      <c r="VIP25" s="1266"/>
      <c r="VIQ25" s="1266"/>
      <c r="VIR25" s="1266"/>
      <c r="VIS25" s="1266"/>
      <c r="VIT25" s="1266"/>
      <c r="VIU25" s="1266"/>
      <c r="VIV25" s="1266"/>
      <c r="VIW25" s="1266"/>
      <c r="VIX25" s="1266"/>
      <c r="VIY25" s="1266"/>
      <c r="VIZ25" s="1266"/>
      <c r="VJA25" s="1266"/>
      <c r="VJB25" s="1266"/>
      <c r="VJC25" s="1266"/>
      <c r="VJD25" s="1266"/>
      <c r="VJE25" s="1266"/>
      <c r="VJF25" s="1266"/>
      <c r="VJG25" s="1266"/>
      <c r="VJH25" s="1266"/>
      <c r="VJI25" s="1266"/>
      <c r="VJJ25" s="1266"/>
      <c r="VJK25" s="1266"/>
      <c r="VJL25" s="1266"/>
      <c r="VJM25" s="1266"/>
      <c r="VJN25" s="1266"/>
      <c r="VJO25" s="1266"/>
      <c r="VJP25" s="1266"/>
      <c r="VJQ25" s="1266"/>
      <c r="VJR25" s="1266"/>
      <c r="VJS25" s="1266"/>
      <c r="VJT25" s="1266"/>
      <c r="VJU25" s="1266"/>
      <c r="VJV25" s="1266"/>
      <c r="VJW25" s="1266"/>
      <c r="VJX25" s="1266"/>
      <c r="VJY25" s="1266"/>
      <c r="VJZ25" s="1266"/>
      <c r="VKA25" s="1266"/>
      <c r="VKB25" s="1266"/>
      <c r="VKC25" s="1266"/>
      <c r="VKD25" s="1266"/>
      <c r="VKE25" s="1266"/>
      <c r="VKF25" s="1266"/>
      <c r="VKG25" s="1266"/>
      <c r="VKH25" s="1266"/>
      <c r="VKI25" s="1266"/>
      <c r="VKJ25" s="1266"/>
      <c r="VKK25" s="1266"/>
      <c r="VKL25" s="1266"/>
      <c r="VKM25" s="1266"/>
      <c r="VKN25" s="1266"/>
      <c r="VKO25" s="1266"/>
      <c r="VKP25" s="1266"/>
      <c r="VKQ25" s="1266"/>
      <c r="VKR25" s="1266"/>
      <c r="VKS25" s="1266"/>
      <c r="VKT25" s="1266"/>
      <c r="VKU25" s="1266"/>
      <c r="VKV25" s="1266"/>
      <c r="VKW25" s="1266"/>
      <c r="VKX25" s="1266"/>
      <c r="VKY25" s="1266"/>
      <c r="VKZ25" s="1266"/>
      <c r="VLA25" s="1266"/>
      <c r="VLB25" s="1266"/>
      <c r="VLC25" s="1266"/>
      <c r="VLD25" s="1266"/>
      <c r="VLE25" s="1266"/>
      <c r="VLF25" s="1266"/>
      <c r="VLG25" s="1266"/>
      <c r="VLH25" s="1266"/>
      <c r="VLI25" s="1266"/>
      <c r="VLJ25" s="1266"/>
      <c r="VLK25" s="1266"/>
      <c r="VLL25" s="1266"/>
      <c r="VLM25" s="1266"/>
      <c r="VLN25" s="1266"/>
      <c r="VLO25" s="1266"/>
      <c r="VLP25" s="1266"/>
      <c r="VLQ25" s="1266"/>
      <c r="VLR25" s="1266"/>
      <c r="VLS25" s="1266"/>
      <c r="VLT25" s="1266"/>
      <c r="VLU25" s="1266"/>
      <c r="VLV25" s="1266"/>
      <c r="VLW25" s="1266"/>
      <c r="VLX25" s="1266"/>
      <c r="VLY25" s="1266"/>
      <c r="VLZ25" s="1266"/>
      <c r="VMA25" s="1266"/>
      <c r="VMB25" s="1266"/>
      <c r="VMC25" s="1266"/>
      <c r="VMD25" s="1266"/>
      <c r="VME25" s="1266"/>
      <c r="VMF25" s="1266"/>
      <c r="VMG25" s="1266"/>
      <c r="VMH25" s="1266"/>
      <c r="VMI25" s="1266"/>
      <c r="VMJ25" s="1266"/>
      <c r="VMK25" s="1266"/>
      <c r="VML25" s="1266"/>
      <c r="VMM25" s="1266"/>
      <c r="VMN25" s="1266"/>
      <c r="VMO25" s="1266"/>
      <c r="VMP25" s="1266"/>
      <c r="VMQ25" s="1266"/>
      <c r="VMR25" s="1266"/>
      <c r="VMS25" s="1266"/>
      <c r="VMT25" s="1266"/>
      <c r="VMU25" s="1266"/>
      <c r="VMV25" s="1266"/>
      <c r="VMW25" s="1266"/>
      <c r="VMX25" s="1266"/>
      <c r="VMY25" s="1266"/>
      <c r="VMZ25" s="1266"/>
      <c r="VNA25" s="1266"/>
      <c r="VNB25" s="1266"/>
      <c r="VNC25" s="1266"/>
      <c r="VND25" s="1266"/>
      <c r="VNE25" s="1266"/>
      <c r="VNF25" s="1266"/>
      <c r="VNG25" s="1266"/>
      <c r="VNH25" s="1266"/>
      <c r="VNI25" s="1266"/>
      <c r="VNJ25" s="1266"/>
      <c r="VNK25" s="1266"/>
      <c r="VNL25" s="1266"/>
      <c r="VNM25" s="1266"/>
      <c r="VNN25" s="1266"/>
      <c r="VNO25" s="1266"/>
      <c r="VNP25" s="1266"/>
      <c r="VNQ25" s="1266"/>
      <c r="VNR25" s="1266"/>
      <c r="VNS25" s="1266"/>
      <c r="VNT25" s="1266"/>
      <c r="VNU25" s="1266"/>
      <c r="VNV25" s="1266"/>
      <c r="VNW25" s="1266"/>
      <c r="VNX25" s="1266"/>
      <c r="VNY25" s="1266"/>
      <c r="VNZ25" s="1266"/>
      <c r="VOA25" s="1266"/>
      <c r="VOB25" s="1266"/>
      <c r="VOC25" s="1266"/>
      <c r="VOD25" s="1266"/>
      <c r="VOE25" s="1266"/>
      <c r="VOF25" s="1266"/>
      <c r="VOG25" s="1266"/>
      <c r="VOH25" s="1266"/>
      <c r="VOI25" s="1266"/>
      <c r="VOJ25" s="1266"/>
      <c r="VOK25" s="1266"/>
      <c r="VOL25" s="1266"/>
      <c r="VOM25" s="1266"/>
      <c r="VON25" s="1266"/>
      <c r="VOO25" s="1266"/>
      <c r="VOP25" s="1266"/>
      <c r="VOQ25" s="1266"/>
      <c r="VOR25" s="1266"/>
      <c r="VOS25" s="1266"/>
      <c r="VOT25" s="1266"/>
      <c r="VOU25" s="1266"/>
      <c r="VOV25" s="1266"/>
      <c r="VOW25" s="1266"/>
      <c r="VOX25" s="1266"/>
      <c r="VOY25" s="1266"/>
      <c r="VOZ25" s="1266"/>
      <c r="VPA25" s="1266"/>
      <c r="VPB25" s="1266"/>
      <c r="VPC25" s="1266"/>
      <c r="VPD25" s="1266"/>
      <c r="VPE25" s="1266"/>
      <c r="VPF25" s="1266"/>
      <c r="VPG25" s="1266"/>
      <c r="VPH25" s="1266"/>
      <c r="VPI25" s="1266"/>
      <c r="VPJ25" s="1266"/>
      <c r="VPK25" s="1266"/>
      <c r="VPL25" s="1266"/>
      <c r="VPM25" s="1266"/>
      <c r="VPN25" s="1266"/>
      <c r="VPO25" s="1266"/>
      <c r="VPP25" s="1266"/>
      <c r="VPQ25" s="1266"/>
      <c r="VPR25" s="1266"/>
      <c r="VPS25" s="1266"/>
      <c r="VPT25" s="1266"/>
      <c r="VPU25" s="1266"/>
      <c r="VPV25" s="1266"/>
      <c r="VPW25" s="1266"/>
      <c r="VPX25" s="1266"/>
      <c r="VPY25" s="1266"/>
      <c r="VPZ25" s="1266"/>
      <c r="VQA25" s="1266"/>
      <c r="VQB25" s="1266"/>
      <c r="VQC25" s="1266"/>
      <c r="VQD25" s="1266"/>
      <c r="VQE25" s="1266"/>
      <c r="VQF25" s="1266"/>
      <c r="VQG25" s="1266"/>
      <c r="VQH25" s="1266"/>
      <c r="VQI25" s="1266"/>
      <c r="VQJ25" s="1266"/>
      <c r="VQK25" s="1266"/>
      <c r="VQL25" s="1266"/>
      <c r="VQM25" s="1266"/>
      <c r="VQN25" s="1266"/>
      <c r="VQO25" s="1266"/>
      <c r="VQP25" s="1266"/>
      <c r="VQQ25" s="1266"/>
      <c r="VQR25" s="1266"/>
      <c r="VQS25" s="1266"/>
      <c r="VQT25" s="1266"/>
      <c r="VQU25" s="1266"/>
      <c r="VQV25" s="1266"/>
      <c r="VQW25" s="1266"/>
      <c r="VQX25" s="1266"/>
      <c r="VQY25" s="1266"/>
      <c r="VQZ25" s="1266"/>
      <c r="VRA25" s="1266"/>
      <c r="VRB25" s="1266"/>
      <c r="VRC25" s="1266"/>
      <c r="VRD25" s="1266"/>
      <c r="VRE25" s="1266"/>
      <c r="VRF25" s="1266"/>
      <c r="VRG25" s="1266"/>
      <c r="VRH25" s="1266"/>
      <c r="VRI25" s="1266"/>
      <c r="VRJ25" s="1266"/>
      <c r="VRK25" s="1266"/>
      <c r="VRL25" s="1266"/>
      <c r="VRM25" s="1266"/>
      <c r="VRN25" s="1266"/>
      <c r="VRO25" s="1266"/>
      <c r="VRP25" s="1266"/>
      <c r="VRQ25" s="1266"/>
      <c r="VRR25" s="1266"/>
      <c r="VRS25" s="1266"/>
      <c r="VRT25" s="1266"/>
      <c r="VRU25" s="1266"/>
      <c r="VRV25" s="1266"/>
      <c r="VRW25" s="1266"/>
      <c r="VRX25" s="1266"/>
      <c r="VRY25" s="1266"/>
      <c r="VRZ25" s="1266"/>
      <c r="VSA25" s="1266"/>
      <c r="VSB25" s="1266"/>
      <c r="VSC25" s="1266"/>
      <c r="VSD25" s="1266"/>
      <c r="VSE25" s="1266"/>
      <c r="VSF25" s="1266"/>
      <c r="VSG25" s="1266"/>
      <c r="VSH25" s="1266"/>
      <c r="VSI25" s="1266"/>
      <c r="VSJ25" s="1266"/>
      <c r="VSK25" s="1266"/>
      <c r="VSL25" s="1266"/>
      <c r="VSM25" s="1266"/>
      <c r="VSN25" s="1266"/>
      <c r="VSO25" s="1266"/>
      <c r="VSP25" s="1266"/>
      <c r="VSQ25" s="1266"/>
      <c r="VSR25" s="1266"/>
      <c r="VSS25" s="1266"/>
      <c r="VST25" s="1266"/>
      <c r="VSU25" s="1266"/>
      <c r="VSV25" s="1266"/>
      <c r="VSW25" s="1266"/>
      <c r="VSX25" s="1266"/>
      <c r="VSY25" s="1266"/>
      <c r="VSZ25" s="1266"/>
      <c r="VTA25" s="1266"/>
      <c r="VTB25" s="1266"/>
      <c r="VTC25" s="1266"/>
      <c r="VTD25" s="1266"/>
      <c r="VTE25" s="1266"/>
      <c r="VTF25" s="1266"/>
      <c r="VTG25" s="1266"/>
      <c r="VTH25" s="1266"/>
      <c r="VTI25" s="1266"/>
      <c r="VTJ25" s="1266"/>
      <c r="VTK25" s="1266"/>
      <c r="VTL25" s="1266"/>
      <c r="VTM25" s="1266"/>
      <c r="VTN25" s="1266"/>
      <c r="VTO25" s="1266"/>
      <c r="VTP25" s="1266"/>
      <c r="VTQ25" s="1266"/>
      <c r="VTR25" s="1266"/>
      <c r="VTS25" s="1266"/>
      <c r="VTT25" s="1266"/>
      <c r="VTU25" s="1266"/>
      <c r="VTV25" s="1266"/>
      <c r="VTW25" s="1266"/>
      <c r="VTX25" s="1266"/>
      <c r="VTY25" s="1266"/>
      <c r="VTZ25" s="1266"/>
      <c r="VUA25" s="1266"/>
      <c r="VUB25" s="1266"/>
      <c r="VUC25" s="1266"/>
      <c r="VUD25" s="1266"/>
      <c r="VUE25" s="1266"/>
      <c r="VUF25" s="1266"/>
      <c r="VUG25" s="1266"/>
      <c r="VUH25" s="1266"/>
      <c r="VUI25" s="1266"/>
      <c r="VUJ25" s="1266"/>
      <c r="VUK25" s="1266"/>
      <c r="VUL25" s="1266"/>
      <c r="VUM25" s="1266"/>
      <c r="VUN25" s="1266"/>
      <c r="VUO25" s="1266"/>
      <c r="VUP25" s="1266"/>
      <c r="VUQ25" s="1266"/>
      <c r="VUR25" s="1266"/>
      <c r="VUS25" s="1266"/>
      <c r="VUT25" s="1266"/>
      <c r="VUU25" s="1266"/>
      <c r="VUV25" s="1266"/>
      <c r="VUW25" s="1266"/>
      <c r="VUX25" s="1266"/>
      <c r="VUY25" s="1266"/>
      <c r="VUZ25" s="1266"/>
      <c r="VVA25" s="1266"/>
      <c r="VVB25" s="1266"/>
      <c r="VVC25" s="1266"/>
      <c r="VVD25" s="1266"/>
      <c r="VVE25" s="1266"/>
      <c r="VVF25" s="1266"/>
      <c r="VVG25" s="1266"/>
      <c r="VVH25" s="1266"/>
      <c r="VVI25" s="1266"/>
      <c r="VVJ25" s="1266"/>
      <c r="VVK25" s="1266"/>
      <c r="VVL25" s="1266"/>
      <c r="VVM25" s="1266"/>
      <c r="VVN25" s="1266"/>
      <c r="VVO25" s="1266"/>
      <c r="VVP25" s="1266"/>
      <c r="VVQ25" s="1266"/>
      <c r="VVR25" s="1266"/>
      <c r="VVS25" s="1266"/>
      <c r="VVT25" s="1266"/>
      <c r="VVU25" s="1266"/>
      <c r="VVV25" s="1266"/>
      <c r="VVW25" s="1266"/>
      <c r="VVX25" s="1266"/>
      <c r="VVY25" s="1266"/>
      <c r="VVZ25" s="1266"/>
      <c r="VWA25" s="1266"/>
      <c r="VWB25" s="1266"/>
      <c r="VWC25" s="1266"/>
      <c r="VWD25" s="1266"/>
      <c r="VWE25" s="1266"/>
      <c r="VWF25" s="1266"/>
      <c r="VWG25" s="1266"/>
      <c r="VWH25" s="1266"/>
      <c r="VWI25" s="1266"/>
      <c r="VWJ25" s="1266"/>
      <c r="VWK25" s="1266"/>
      <c r="VWL25" s="1266"/>
      <c r="VWM25" s="1266"/>
      <c r="VWN25" s="1266"/>
      <c r="VWO25" s="1266"/>
      <c r="VWP25" s="1266"/>
      <c r="VWQ25" s="1266"/>
      <c r="VWR25" s="1266"/>
      <c r="VWS25" s="1266"/>
      <c r="VWT25" s="1266"/>
      <c r="VWU25" s="1266"/>
      <c r="VWV25" s="1266"/>
      <c r="VWW25" s="1266"/>
      <c r="VWX25" s="1266"/>
      <c r="VWY25" s="1266"/>
      <c r="VWZ25" s="1266"/>
      <c r="VXA25" s="1266"/>
      <c r="VXB25" s="1266"/>
      <c r="VXC25" s="1266"/>
      <c r="VXD25" s="1266"/>
      <c r="VXE25" s="1266"/>
      <c r="VXF25" s="1266"/>
      <c r="VXG25" s="1266"/>
      <c r="VXH25" s="1266"/>
      <c r="VXI25" s="1266"/>
      <c r="VXJ25" s="1266"/>
      <c r="VXK25" s="1266"/>
      <c r="VXL25" s="1266"/>
      <c r="VXM25" s="1266"/>
      <c r="VXN25" s="1266"/>
      <c r="VXO25" s="1266"/>
      <c r="VXP25" s="1266"/>
      <c r="VXQ25" s="1266"/>
      <c r="VXR25" s="1266"/>
      <c r="VXS25" s="1266"/>
      <c r="VXT25" s="1266"/>
      <c r="VXU25" s="1266"/>
      <c r="VXV25" s="1266"/>
      <c r="VXW25" s="1266"/>
      <c r="VXX25" s="1266"/>
      <c r="VXY25" s="1266"/>
      <c r="VXZ25" s="1266"/>
      <c r="VYA25" s="1266"/>
      <c r="VYB25" s="1266"/>
      <c r="VYC25" s="1266"/>
      <c r="VYD25" s="1266"/>
      <c r="VYE25" s="1266"/>
      <c r="VYF25" s="1266"/>
      <c r="VYG25" s="1266"/>
      <c r="VYH25" s="1266"/>
      <c r="VYI25" s="1266"/>
      <c r="VYJ25" s="1266"/>
      <c r="VYK25" s="1266"/>
      <c r="VYL25" s="1266"/>
      <c r="VYM25" s="1266"/>
      <c r="VYN25" s="1266"/>
      <c r="VYO25" s="1266"/>
      <c r="VYP25" s="1266"/>
      <c r="VYQ25" s="1266"/>
      <c r="VYR25" s="1266"/>
      <c r="VYS25" s="1266"/>
      <c r="VYT25" s="1266"/>
      <c r="VYU25" s="1266"/>
      <c r="VYV25" s="1266"/>
      <c r="VYW25" s="1266"/>
      <c r="VYX25" s="1266"/>
      <c r="VYY25" s="1266"/>
      <c r="VYZ25" s="1266"/>
      <c r="VZA25" s="1266"/>
      <c r="VZB25" s="1266"/>
      <c r="VZC25" s="1266"/>
      <c r="VZD25" s="1266"/>
      <c r="VZE25" s="1266"/>
      <c r="VZF25" s="1266"/>
      <c r="VZG25" s="1266"/>
      <c r="VZH25" s="1266"/>
      <c r="VZI25" s="1266"/>
      <c r="VZJ25" s="1266"/>
      <c r="VZK25" s="1266"/>
      <c r="VZL25" s="1266"/>
      <c r="VZM25" s="1266"/>
      <c r="VZN25" s="1266"/>
      <c r="VZO25" s="1266"/>
      <c r="VZP25" s="1266"/>
      <c r="VZQ25" s="1266"/>
      <c r="VZR25" s="1266"/>
      <c r="VZS25" s="1266"/>
      <c r="VZT25" s="1266"/>
      <c r="VZU25" s="1266"/>
      <c r="VZV25" s="1266"/>
      <c r="VZW25" s="1266"/>
      <c r="VZX25" s="1266"/>
      <c r="VZY25" s="1266"/>
      <c r="VZZ25" s="1266"/>
      <c r="WAA25" s="1266"/>
      <c r="WAB25" s="1266"/>
      <c r="WAC25" s="1266"/>
      <c r="WAD25" s="1266"/>
      <c r="WAE25" s="1266"/>
      <c r="WAF25" s="1266"/>
      <c r="WAG25" s="1266"/>
      <c r="WAH25" s="1266"/>
      <c r="WAI25" s="1266"/>
      <c r="WAJ25" s="1266"/>
      <c r="WAK25" s="1266"/>
      <c r="WAL25" s="1266"/>
      <c r="WAM25" s="1266"/>
      <c r="WAN25" s="1266"/>
      <c r="WAO25" s="1266"/>
      <c r="WAP25" s="1266"/>
      <c r="WAQ25" s="1266"/>
      <c r="WAR25" s="1266"/>
      <c r="WAS25" s="1266"/>
      <c r="WAT25" s="1266"/>
      <c r="WAU25" s="1266"/>
      <c r="WAV25" s="1266"/>
      <c r="WAW25" s="1266"/>
      <c r="WAX25" s="1266"/>
      <c r="WAY25" s="1266"/>
      <c r="WAZ25" s="1266"/>
      <c r="WBA25" s="1266"/>
      <c r="WBB25" s="1266"/>
      <c r="WBC25" s="1266"/>
      <c r="WBD25" s="1266"/>
      <c r="WBE25" s="1266"/>
      <c r="WBF25" s="1266"/>
      <c r="WBG25" s="1266"/>
      <c r="WBH25" s="1266"/>
      <c r="WBI25" s="1266"/>
      <c r="WBJ25" s="1266"/>
      <c r="WBK25" s="1266"/>
      <c r="WBL25" s="1266"/>
      <c r="WBM25" s="1266"/>
      <c r="WBN25" s="1266"/>
      <c r="WBO25" s="1266"/>
      <c r="WBP25" s="1266"/>
      <c r="WBQ25" s="1266"/>
      <c r="WBR25" s="1266"/>
      <c r="WBS25" s="1266"/>
      <c r="WBT25" s="1266"/>
      <c r="WBU25" s="1266"/>
      <c r="WBV25" s="1266"/>
      <c r="WBW25" s="1266"/>
      <c r="WBX25" s="1266"/>
      <c r="WBY25" s="1266"/>
      <c r="WBZ25" s="1266"/>
      <c r="WCA25" s="1266"/>
      <c r="WCB25" s="1266"/>
      <c r="WCC25" s="1266"/>
      <c r="WCD25" s="1266"/>
      <c r="WCE25" s="1266"/>
      <c r="WCF25" s="1266"/>
      <c r="WCG25" s="1266"/>
      <c r="WCH25" s="1266"/>
      <c r="WCI25" s="1266"/>
      <c r="WCJ25" s="1266"/>
      <c r="WCK25" s="1266"/>
      <c r="WCL25" s="1266"/>
      <c r="WCM25" s="1266"/>
      <c r="WCN25" s="1266"/>
      <c r="WCO25" s="1266"/>
      <c r="WCP25" s="1266"/>
      <c r="WCQ25" s="1266"/>
      <c r="WCR25" s="1266"/>
      <c r="WCS25" s="1266"/>
      <c r="WCT25" s="1266"/>
      <c r="WCU25" s="1266"/>
      <c r="WCV25" s="1266"/>
      <c r="WCW25" s="1266"/>
      <c r="WCX25" s="1266"/>
      <c r="WCY25" s="1266"/>
      <c r="WCZ25" s="1266"/>
      <c r="WDA25" s="1266"/>
      <c r="WDB25" s="1266"/>
      <c r="WDC25" s="1266"/>
      <c r="WDD25" s="1266"/>
      <c r="WDE25" s="1266"/>
      <c r="WDF25" s="1266"/>
      <c r="WDG25" s="1266"/>
      <c r="WDH25" s="1266"/>
      <c r="WDI25" s="1266"/>
      <c r="WDJ25" s="1266"/>
      <c r="WDK25" s="1266"/>
      <c r="WDL25" s="1266"/>
      <c r="WDM25" s="1266"/>
      <c r="WDN25" s="1266"/>
      <c r="WDO25" s="1266"/>
      <c r="WDP25" s="1266"/>
      <c r="WDQ25" s="1266"/>
      <c r="WDR25" s="1266"/>
      <c r="WDS25" s="1266"/>
      <c r="WDT25" s="1266"/>
      <c r="WDU25" s="1266"/>
      <c r="WDV25" s="1266"/>
      <c r="WDW25" s="1266"/>
      <c r="WDX25" s="1266"/>
      <c r="WDY25" s="1266"/>
      <c r="WDZ25" s="1266"/>
      <c r="WEA25" s="1266"/>
      <c r="WEB25" s="1266"/>
      <c r="WEC25" s="1266"/>
      <c r="WED25" s="1266"/>
      <c r="WEE25" s="1266"/>
      <c r="WEF25" s="1266"/>
      <c r="WEG25" s="1266"/>
      <c r="WEH25" s="1266"/>
      <c r="WEI25" s="1266"/>
      <c r="WEJ25" s="1266"/>
      <c r="WEK25" s="1266"/>
      <c r="WEL25" s="1266"/>
      <c r="WEM25" s="1266"/>
      <c r="WEN25" s="1266"/>
      <c r="WEO25" s="1266"/>
      <c r="WEP25" s="1266"/>
      <c r="WEQ25" s="1266"/>
      <c r="WER25" s="1266"/>
      <c r="WES25" s="1266"/>
      <c r="WET25" s="1266"/>
      <c r="WEU25" s="1266"/>
      <c r="WEV25" s="1266"/>
      <c r="WEW25" s="1266"/>
      <c r="WEX25" s="1266"/>
      <c r="WEY25" s="1266"/>
      <c r="WEZ25" s="1266"/>
      <c r="WFA25" s="1266"/>
      <c r="WFB25" s="1266"/>
      <c r="WFC25" s="1266"/>
      <c r="WFD25" s="1266"/>
      <c r="WFE25" s="1266"/>
      <c r="WFF25" s="1266"/>
      <c r="WFG25" s="1266"/>
      <c r="WFH25" s="1266"/>
      <c r="WFI25" s="1266"/>
      <c r="WFJ25" s="1266"/>
      <c r="WFK25" s="1266"/>
      <c r="WFL25" s="1266"/>
      <c r="WFM25" s="1266"/>
      <c r="WFN25" s="1266"/>
      <c r="WFO25" s="1266"/>
      <c r="WFP25" s="1266"/>
      <c r="WFQ25" s="1266"/>
      <c r="WFR25" s="1266"/>
      <c r="WFS25" s="1266"/>
      <c r="WFT25" s="1266"/>
      <c r="WFU25" s="1266"/>
      <c r="WFV25" s="1266"/>
      <c r="WFW25" s="1266"/>
      <c r="WFX25" s="1266"/>
      <c r="WFY25" s="1266"/>
      <c r="WFZ25" s="1266"/>
      <c r="WGA25" s="1266"/>
      <c r="WGB25" s="1266"/>
      <c r="WGC25" s="1266"/>
      <c r="WGD25" s="1266"/>
      <c r="WGE25" s="1266"/>
      <c r="WGF25" s="1266"/>
      <c r="WGG25" s="1266"/>
      <c r="WGH25" s="1266"/>
      <c r="WGI25" s="1266"/>
      <c r="WGJ25" s="1266"/>
      <c r="WGK25" s="1266"/>
      <c r="WGL25" s="1266"/>
      <c r="WGM25" s="1266"/>
      <c r="WGN25" s="1266"/>
      <c r="WGO25" s="1266"/>
      <c r="WGP25" s="1266"/>
      <c r="WGQ25" s="1266"/>
      <c r="WGR25" s="1266"/>
      <c r="WGS25" s="1266"/>
      <c r="WGT25" s="1266"/>
      <c r="WGU25" s="1266"/>
      <c r="WGV25" s="1266"/>
      <c r="WGW25" s="1266"/>
      <c r="WGX25" s="1266"/>
      <c r="WGY25" s="1266"/>
      <c r="WGZ25" s="1266"/>
      <c r="WHA25" s="1266"/>
      <c r="WHB25" s="1266"/>
      <c r="WHC25" s="1266"/>
      <c r="WHD25" s="1266"/>
      <c r="WHE25" s="1266"/>
      <c r="WHF25" s="1266"/>
      <c r="WHG25" s="1266"/>
      <c r="WHH25" s="1266"/>
      <c r="WHI25" s="1266"/>
      <c r="WHJ25" s="1266"/>
      <c r="WHK25" s="1266"/>
      <c r="WHL25" s="1266"/>
      <c r="WHM25" s="1266"/>
      <c r="WHN25" s="1266"/>
      <c r="WHO25" s="1266"/>
      <c r="WHP25" s="1266"/>
      <c r="WHQ25" s="1266"/>
      <c r="WHR25" s="1266"/>
      <c r="WHS25" s="1266"/>
      <c r="WHT25" s="1266"/>
      <c r="WHU25" s="1266"/>
      <c r="WHV25" s="1266"/>
      <c r="WHW25" s="1266"/>
      <c r="WHX25" s="1266"/>
      <c r="WHY25" s="1266"/>
      <c r="WHZ25" s="1266"/>
      <c r="WIA25" s="1266"/>
      <c r="WIB25" s="1266"/>
      <c r="WIC25" s="1266"/>
      <c r="WID25" s="1266"/>
      <c r="WIE25" s="1266"/>
      <c r="WIF25" s="1266"/>
      <c r="WIG25" s="1266"/>
      <c r="WIH25" s="1266"/>
      <c r="WII25" s="1266"/>
      <c r="WIJ25" s="1266"/>
      <c r="WIK25" s="1266"/>
      <c r="WIL25" s="1266"/>
      <c r="WIM25" s="1266"/>
      <c r="WIN25" s="1266"/>
      <c r="WIO25" s="1266"/>
      <c r="WIP25" s="1266"/>
      <c r="WIQ25" s="1266"/>
      <c r="WIR25" s="1266"/>
      <c r="WIS25" s="1266"/>
      <c r="WIT25" s="1266"/>
      <c r="WIU25" s="1266"/>
      <c r="WIV25" s="1266"/>
      <c r="WIW25" s="1266"/>
      <c r="WIX25" s="1266"/>
      <c r="WIY25" s="1266"/>
      <c r="WIZ25" s="1266"/>
      <c r="WJA25" s="1266"/>
      <c r="WJB25" s="1266"/>
      <c r="WJC25" s="1266"/>
      <c r="WJD25" s="1266"/>
      <c r="WJE25" s="1266"/>
      <c r="WJF25" s="1266"/>
      <c r="WJG25" s="1266"/>
      <c r="WJH25" s="1266"/>
      <c r="WJI25" s="1266"/>
      <c r="WJJ25" s="1266"/>
      <c r="WJK25" s="1266"/>
      <c r="WJL25" s="1266"/>
      <c r="WJM25" s="1266"/>
      <c r="WJN25" s="1266"/>
      <c r="WJO25" s="1266"/>
      <c r="WJP25" s="1266"/>
      <c r="WJQ25" s="1266"/>
      <c r="WJR25" s="1266"/>
      <c r="WJS25" s="1266"/>
      <c r="WJT25" s="1266"/>
      <c r="WJU25" s="1266"/>
      <c r="WJV25" s="1266"/>
      <c r="WJW25" s="1266"/>
      <c r="WJX25" s="1266"/>
      <c r="WJY25" s="1266"/>
      <c r="WJZ25" s="1266"/>
      <c r="WKA25" s="1266"/>
      <c r="WKB25" s="1266"/>
      <c r="WKC25" s="1266"/>
      <c r="WKD25" s="1266"/>
      <c r="WKE25" s="1266"/>
      <c r="WKF25" s="1266"/>
      <c r="WKG25" s="1266"/>
      <c r="WKH25" s="1266"/>
      <c r="WKI25" s="1266"/>
      <c r="WKJ25" s="1266"/>
      <c r="WKK25" s="1266"/>
      <c r="WKL25" s="1266"/>
      <c r="WKM25" s="1266"/>
      <c r="WKN25" s="1266"/>
      <c r="WKO25" s="1266"/>
      <c r="WKP25" s="1266"/>
      <c r="WKQ25" s="1266"/>
      <c r="WKR25" s="1266"/>
      <c r="WKS25" s="1266"/>
      <c r="WKT25" s="1266"/>
      <c r="WKU25" s="1266"/>
      <c r="WKV25" s="1266"/>
      <c r="WKW25" s="1266"/>
      <c r="WKX25" s="1266"/>
      <c r="WKY25" s="1266"/>
      <c r="WKZ25" s="1266"/>
      <c r="WLA25" s="1266"/>
      <c r="WLB25" s="1266"/>
      <c r="WLC25" s="1266"/>
      <c r="WLD25" s="1266"/>
      <c r="WLE25" s="1266"/>
      <c r="WLF25" s="1266"/>
      <c r="WLG25" s="1266"/>
      <c r="WLH25" s="1266"/>
      <c r="WLI25" s="1266"/>
      <c r="WLJ25" s="1266"/>
      <c r="WLK25" s="1266"/>
      <c r="WLL25" s="1266"/>
      <c r="WLM25" s="1266"/>
      <c r="WLN25" s="1266"/>
      <c r="WLO25" s="1266"/>
      <c r="WLP25" s="1266"/>
      <c r="WLQ25" s="1266"/>
      <c r="WLR25" s="1266"/>
      <c r="WLS25" s="1266"/>
      <c r="WLT25" s="1266"/>
      <c r="WLU25" s="1266"/>
      <c r="WLV25" s="1266"/>
      <c r="WLW25" s="1266"/>
      <c r="WLX25" s="1266"/>
      <c r="WLY25" s="1266"/>
      <c r="WLZ25" s="1266"/>
      <c r="WMA25" s="1266"/>
      <c r="WMB25" s="1266"/>
      <c r="WMC25" s="1266"/>
      <c r="WMD25" s="1266"/>
      <c r="WME25" s="1266"/>
      <c r="WMF25" s="1266"/>
      <c r="WMG25" s="1266"/>
      <c r="WMH25" s="1266"/>
      <c r="WMI25" s="1266"/>
      <c r="WMJ25" s="1266"/>
      <c r="WMK25" s="1266"/>
      <c r="WML25" s="1266"/>
      <c r="WMM25" s="1266"/>
      <c r="WMN25" s="1266"/>
      <c r="WMO25" s="1266"/>
      <c r="WMP25" s="1266"/>
      <c r="WMQ25" s="1266"/>
      <c r="WMR25" s="1266"/>
      <c r="WMS25" s="1266"/>
      <c r="WMT25" s="1266"/>
      <c r="WMU25" s="1266"/>
      <c r="WMV25" s="1266"/>
      <c r="WMW25" s="1266"/>
      <c r="WMX25" s="1266"/>
      <c r="WMY25" s="1266"/>
      <c r="WMZ25" s="1266"/>
      <c r="WNA25" s="1266"/>
      <c r="WNB25" s="1266"/>
      <c r="WNC25" s="1266"/>
      <c r="WND25" s="1266"/>
      <c r="WNE25" s="1266"/>
      <c r="WNF25" s="1266"/>
      <c r="WNG25" s="1266"/>
      <c r="WNH25" s="1266"/>
      <c r="WNI25" s="1266"/>
      <c r="WNJ25" s="1266"/>
      <c r="WNK25" s="1266"/>
      <c r="WNL25" s="1266"/>
      <c r="WNM25" s="1266"/>
      <c r="WNN25" s="1266"/>
      <c r="WNO25" s="1266"/>
      <c r="WNP25" s="1266"/>
      <c r="WNQ25" s="1266"/>
      <c r="WNR25" s="1266"/>
      <c r="WNS25" s="1266"/>
      <c r="WNT25" s="1266"/>
      <c r="WNU25" s="1266"/>
      <c r="WNV25" s="1266"/>
      <c r="WNW25" s="1266"/>
      <c r="WNX25" s="1266"/>
      <c r="WNY25" s="1266"/>
      <c r="WNZ25" s="1266"/>
      <c r="WOA25" s="1266"/>
      <c r="WOB25" s="1266"/>
      <c r="WOC25" s="1266"/>
      <c r="WOD25" s="1266"/>
      <c r="WOE25" s="1266"/>
      <c r="WOF25" s="1266"/>
      <c r="WOG25" s="1266"/>
      <c r="WOH25" s="1266"/>
      <c r="WOI25" s="1266"/>
      <c r="WOJ25" s="1266"/>
      <c r="WOK25" s="1266"/>
      <c r="WOL25" s="1266"/>
      <c r="WOM25" s="1266"/>
      <c r="WON25" s="1266"/>
      <c r="WOO25" s="1266"/>
      <c r="WOP25" s="1266"/>
      <c r="WOQ25" s="1266"/>
      <c r="WOR25" s="1266"/>
      <c r="WOS25" s="1266"/>
      <c r="WOT25" s="1266"/>
      <c r="WOU25" s="1266"/>
      <c r="WOV25" s="1266"/>
      <c r="WOW25" s="1266"/>
      <c r="WOX25" s="1266"/>
      <c r="WOY25" s="1266"/>
      <c r="WOZ25" s="1266"/>
      <c r="WPA25" s="1266"/>
      <c r="WPB25" s="1266"/>
      <c r="WPC25" s="1266"/>
      <c r="WPD25" s="1266"/>
      <c r="WPE25" s="1266"/>
      <c r="WPF25" s="1266"/>
      <c r="WPG25" s="1266"/>
      <c r="WPH25" s="1266"/>
      <c r="WPI25" s="1266"/>
      <c r="WPJ25" s="1266"/>
      <c r="WPK25" s="1266"/>
      <c r="WPL25" s="1266"/>
      <c r="WPM25" s="1266"/>
      <c r="WPN25" s="1266"/>
      <c r="WPO25" s="1266"/>
      <c r="WPP25" s="1266"/>
      <c r="WPQ25" s="1266"/>
      <c r="WPR25" s="1266"/>
      <c r="WPS25" s="1266"/>
      <c r="WPT25" s="1266"/>
      <c r="WPU25" s="1266"/>
      <c r="WPV25" s="1266"/>
      <c r="WPW25" s="1266"/>
      <c r="WPX25" s="1266"/>
      <c r="WPY25" s="1266"/>
      <c r="WPZ25" s="1266"/>
      <c r="WQA25" s="1266"/>
      <c r="WQB25" s="1266"/>
      <c r="WQC25" s="1266"/>
      <c r="WQD25" s="1266"/>
      <c r="WQE25" s="1266"/>
      <c r="WQF25" s="1266"/>
      <c r="WQG25" s="1266"/>
      <c r="WQH25" s="1266"/>
      <c r="WQI25" s="1266"/>
      <c r="WQJ25" s="1266"/>
      <c r="WQK25" s="1266"/>
      <c r="WQL25" s="1266"/>
      <c r="WQM25" s="1266"/>
      <c r="WQN25" s="1266"/>
      <c r="WQO25" s="1266"/>
      <c r="WQP25" s="1266"/>
      <c r="WQQ25" s="1266"/>
      <c r="WQR25" s="1266"/>
      <c r="WQS25" s="1266"/>
      <c r="WQT25" s="1266"/>
      <c r="WQU25" s="1266"/>
      <c r="WQV25" s="1266"/>
      <c r="WQW25" s="1266"/>
      <c r="WQX25" s="1266"/>
      <c r="WQY25" s="1266"/>
      <c r="WQZ25" s="1266"/>
      <c r="WRA25" s="1266"/>
      <c r="WRB25" s="1266"/>
      <c r="WRC25" s="1266"/>
      <c r="WRD25" s="1266"/>
      <c r="WRE25" s="1266"/>
      <c r="WRF25" s="1266"/>
      <c r="WRG25" s="1266"/>
      <c r="WRH25" s="1266"/>
      <c r="WRI25" s="1266"/>
      <c r="WRJ25" s="1266"/>
      <c r="WRK25" s="1266"/>
      <c r="WRL25" s="1266"/>
      <c r="WRM25" s="1266"/>
      <c r="WRN25" s="1266"/>
      <c r="WRO25" s="1266"/>
      <c r="WRP25" s="1266"/>
      <c r="WRQ25" s="1266"/>
      <c r="WRR25" s="1266"/>
      <c r="WRS25" s="1266"/>
      <c r="WRT25" s="1266"/>
      <c r="WRU25" s="1266"/>
      <c r="WRV25" s="1266"/>
      <c r="WRW25" s="1266"/>
      <c r="WRX25" s="1266"/>
      <c r="WRY25" s="1266"/>
      <c r="WRZ25" s="1266"/>
      <c r="WSA25" s="1266"/>
      <c r="WSB25" s="1266"/>
      <c r="WSC25" s="1266"/>
      <c r="WSD25" s="1266"/>
      <c r="WSE25" s="1266"/>
      <c r="WSF25" s="1266"/>
      <c r="WSG25" s="1266"/>
      <c r="WSH25" s="1266"/>
      <c r="WSI25" s="1266"/>
      <c r="WSJ25" s="1266"/>
      <c r="WSK25" s="1266"/>
      <c r="WSL25" s="1266"/>
      <c r="WSM25" s="1266"/>
      <c r="WSN25" s="1266"/>
      <c r="WSO25" s="1266"/>
      <c r="WSP25" s="1266"/>
      <c r="WSQ25" s="1266"/>
      <c r="WSR25" s="1266"/>
      <c r="WSS25" s="1266"/>
      <c r="WST25" s="1266"/>
      <c r="WSU25" s="1266"/>
      <c r="WSV25" s="1266"/>
      <c r="WSW25" s="1266"/>
      <c r="WSX25" s="1266"/>
      <c r="WSY25" s="1266"/>
      <c r="WSZ25" s="1266"/>
      <c r="WTA25" s="1266"/>
      <c r="WTB25" s="1266"/>
      <c r="WTC25" s="1266"/>
      <c r="WTD25" s="1266"/>
      <c r="WTE25" s="1266"/>
      <c r="WTF25" s="1266"/>
      <c r="WTG25" s="1266"/>
      <c r="WTH25" s="1266"/>
      <c r="WTI25" s="1266"/>
      <c r="WTJ25" s="1266"/>
      <c r="WTK25" s="1266"/>
      <c r="WTL25" s="1266"/>
      <c r="WTM25" s="1266"/>
      <c r="WTN25" s="1266"/>
      <c r="WTO25" s="1266"/>
      <c r="WTP25" s="1266"/>
      <c r="WTQ25" s="1266"/>
      <c r="WTR25" s="1266"/>
      <c r="WTS25" s="1266"/>
      <c r="WTT25" s="1266"/>
      <c r="WTU25" s="1266"/>
      <c r="WTV25" s="1266"/>
      <c r="WTW25" s="1266"/>
      <c r="WTX25" s="1266"/>
      <c r="WTY25" s="1266"/>
      <c r="WTZ25" s="1266"/>
      <c r="WUA25" s="1266"/>
      <c r="WUB25" s="1266"/>
      <c r="WUC25" s="1266"/>
      <c r="WUD25" s="1266"/>
      <c r="WUE25" s="1266"/>
      <c r="WUF25" s="1266"/>
      <c r="WUG25" s="1266"/>
      <c r="WUH25" s="1266"/>
      <c r="WUI25" s="1266"/>
      <c r="WUJ25" s="1266"/>
      <c r="WUK25" s="1266"/>
      <c r="WUL25" s="1266"/>
      <c r="WUM25" s="1266"/>
      <c r="WUN25" s="1266"/>
      <c r="WUO25" s="1266"/>
      <c r="WUP25" s="1266"/>
      <c r="WUQ25" s="1266"/>
      <c r="WUR25" s="1266"/>
      <c r="WUS25" s="1266"/>
      <c r="WUT25" s="1266"/>
      <c r="WUU25" s="1266"/>
      <c r="WUV25" s="1266"/>
      <c r="WUW25" s="1266"/>
      <c r="WUX25" s="1266"/>
      <c r="WUY25" s="1266"/>
      <c r="WUZ25" s="1266"/>
      <c r="WVA25" s="1266"/>
      <c r="WVB25" s="1266"/>
      <c r="WVC25" s="1266"/>
      <c r="WVD25" s="1266"/>
      <c r="WVE25" s="1266"/>
      <c r="WVF25" s="1266"/>
      <c r="WVG25" s="1266"/>
      <c r="WVH25" s="1266"/>
      <c r="WVI25" s="1266"/>
      <c r="WVJ25" s="1266"/>
      <c r="WVK25" s="1266"/>
      <c r="WVL25" s="1266"/>
      <c r="WVM25" s="1266"/>
      <c r="WVN25" s="1266"/>
      <c r="WVO25" s="1266"/>
      <c r="WVP25" s="1266"/>
      <c r="WVQ25" s="1266"/>
      <c r="WVR25" s="1266"/>
      <c r="WVS25" s="1266"/>
      <c r="WVT25" s="1266"/>
      <c r="WVU25" s="1266"/>
      <c r="WVV25" s="1266"/>
      <c r="WVW25" s="1266"/>
      <c r="WVX25" s="1266"/>
      <c r="WVY25" s="1266"/>
      <c r="WVZ25" s="1266"/>
      <c r="WWA25" s="1266"/>
      <c r="WWB25" s="1266"/>
      <c r="WWC25" s="1266"/>
      <c r="WWD25" s="1266"/>
      <c r="WWE25" s="1266"/>
      <c r="WWF25" s="1266"/>
      <c r="WWG25" s="1266"/>
      <c r="WWH25" s="1266"/>
      <c r="WWI25" s="1266"/>
      <c r="WWJ25" s="1266"/>
      <c r="WWK25" s="1266"/>
      <c r="WWL25" s="1266"/>
      <c r="WWM25" s="1266"/>
      <c r="WWN25" s="1266"/>
      <c r="WWO25" s="1266"/>
      <c r="WWP25" s="1266"/>
      <c r="WWQ25" s="1266"/>
      <c r="WWR25" s="1266"/>
      <c r="WWS25" s="1266"/>
      <c r="WWT25" s="1266"/>
      <c r="WWU25" s="1266"/>
      <c r="WWV25" s="1266"/>
      <c r="WWW25" s="1266"/>
      <c r="WWX25" s="1266"/>
      <c r="WWY25" s="1266"/>
      <c r="WWZ25" s="1266"/>
      <c r="WXA25" s="1266"/>
      <c r="WXB25" s="1266"/>
      <c r="WXC25" s="1266"/>
      <c r="WXD25" s="1266"/>
      <c r="WXE25" s="1266"/>
      <c r="WXF25" s="1266"/>
      <c r="WXG25" s="1266"/>
      <c r="WXH25" s="1266"/>
      <c r="WXI25" s="1266"/>
      <c r="WXJ25" s="1266"/>
      <c r="WXK25" s="1266"/>
      <c r="WXL25" s="1266"/>
      <c r="WXM25" s="1266"/>
      <c r="WXN25" s="1266"/>
      <c r="WXO25" s="1266"/>
      <c r="WXP25" s="1266"/>
      <c r="WXQ25" s="1266"/>
      <c r="WXR25" s="1266"/>
      <c r="WXS25" s="1266"/>
      <c r="WXT25" s="1266"/>
      <c r="WXU25" s="1266"/>
      <c r="WXV25" s="1266"/>
      <c r="WXW25" s="1266"/>
      <c r="WXX25" s="1266"/>
      <c r="WXY25" s="1266"/>
      <c r="WXZ25" s="1266"/>
      <c r="WYA25" s="1266"/>
      <c r="WYB25" s="1266"/>
      <c r="WYC25" s="1266"/>
      <c r="WYD25" s="1266"/>
      <c r="WYE25" s="1266"/>
      <c r="WYF25" s="1266"/>
      <c r="WYG25" s="1266"/>
      <c r="WYH25" s="1266"/>
      <c r="WYI25" s="1266"/>
      <c r="WYJ25" s="1266"/>
      <c r="WYK25" s="1266"/>
      <c r="WYL25" s="1266"/>
      <c r="WYM25" s="1266"/>
      <c r="WYN25" s="1266"/>
      <c r="WYO25" s="1266"/>
      <c r="WYP25" s="1266"/>
      <c r="WYQ25" s="1266"/>
      <c r="WYR25" s="1266"/>
      <c r="WYS25" s="1266"/>
      <c r="WYT25" s="1266"/>
      <c r="WYU25" s="1266"/>
      <c r="WYV25" s="1266"/>
      <c r="WYW25" s="1266"/>
      <c r="WYX25" s="1266"/>
      <c r="WYY25" s="1266"/>
      <c r="WYZ25" s="1266"/>
      <c r="WZA25" s="1266"/>
      <c r="WZB25" s="1266"/>
      <c r="WZC25" s="1266"/>
      <c r="WZD25" s="1266"/>
      <c r="WZE25" s="1266"/>
      <c r="WZF25" s="1266"/>
      <c r="WZG25" s="1266"/>
      <c r="WZH25" s="1266"/>
      <c r="WZI25" s="1266"/>
      <c r="WZJ25" s="1266"/>
      <c r="WZK25" s="1266"/>
      <c r="WZL25" s="1266"/>
      <c r="WZM25" s="1266"/>
      <c r="WZN25" s="1266"/>
      <c r="WZO25" s="1266"/>
      <c r="WZP25" s="1266"/>
      <c r="WZQ25" s="1266"/>
      <c r="WZR25" s="1266"/>
      <c r="WZS25" s="1266"/>
      <c r="WZT25" s="1266"/>
      <c r="WZU25" s="1266"/>
      <c r="WZV25" s="1266"/>
      <c r="WZW25" s="1266"/>
      <c r="WZX25" s="1266"/>
      <c r="WZY25" s="1266"/>
      <c r="WZZ25" s="1266"/>
      <c r="XAA25" s="1266"/>
      <c r="XAB25" s="1266"/>
      <c r="XAC25" s="1266"/>
      <c r="XAD25" s="1266"/>
      <c r="XAE25" s="1266"/>
      <c r="XAF25" s="1266"/>
      <c r="XAG25" s="1266"/>
      <c r="XAH25" s="1266"/>
      <c r="XAI25" s="1266"/>
      <c r="XAJ25" s="1266"/>
      <c r="XAK25" s="1266"/>
      <c r="XAL25" s="1266"/>
      <c r="XAM25" s="1266"/>
      <c r="XAN25" s="1266"/>
      <c r="XAO25" s="1266"/>
      <c r="XAP25" s="1266"/>
      <c r="XAQ25" s="1266"/>
      <c r="XAR25" s="1266"/>
      <c r="XAS25" s="1266"/>
      <c r="XAT25" s="1266"/>
      <c r="XAU25" s="1266"/>
      <c r="XAV25" s="1266"/>
      <c r="XAW25" s="1266"/>
      <c r="XAX25" s="1266"/>
      <c r="XAY25" s="1266"/>
      <c r="XAZ25" s="1266"/>
      <c r="XBA25" s="1266"/>
      <c r="XBB25" s="1266"/>
      <c r="XBC25" s="1266"/>
      <c r="XBD25" s="1266"/>
      <c r="XBE25" s="1266"/>
      <c r="XBF25" s="1266"/>
      <c r="XBG25" s="1266"/>
      <c r="XBH25" s="1266"/>
      <c r="XBI25" s="1266"/>
      <c r="XBJ25" s="1266"/>
      <c r="XBK25" s="1266"/>
      <c r="XBL25" s="1266"/>
      <c r="XBM25" s="1266"/>
      <c r="XBN25" s="1266"/>
      <c r="XBO25" s="1266"/>
      <c r="XBP25" s="1266"/>
      <c r="XBQ25" s="1266"/>
      <c r="XBR25" s="1266"/>
      <c r="XBS25" s="1266"/>
      <c r="XBT25" s="1266"/>
      <c r="XBU25" s="1266"/>
      <c r="XBV25" s="1266"/>
      <c r="XBW25" s="1266"/>
      <c r="XBX25" s="1266"/>
      <c r="XBY25" s="1266"/>
      <c r="XBZ25" s="1266"/>
      <c r="XCA25" s="1266"/>
      <c r="XCB25" s="1266"/>
      <c r="XCC25" s="1266"/>
      <c r="XCD25" s="1266"/>
      <c r="XCE25" s="1266"/>
      <c r="XCF25" s="1266"/>
      <c r="XCG25" s="1266"/>
      <c r="XCH25" s="1266"/>
      <c r="XCI25" s="1266"/>
      <c r="XCJ25" s="1266"/>
      <c r="XCK25" s="1266"/>
      <c r="XCL25" s="1266"/>
      <c r="XCM25" s="1266"/>
      <c r="XCN25" s="1266"/>
      <c r="XCO25" s="1266"/>
      <c r="XCP25" s="1266"/>
      <c r="XCQ25" s="1266"/>
      <c r="XCR25" s="1266"/>
      <c r="XCS25" s="1266"/>
      <c r="XCT25" s="1266"/>
      <c r="XCU25" s="1266"/>
      <c r="XCV25" s="1266"/>
      <c r="XCW25" s="1266"/>
      <c r="XCX25" s="1266"/>
      <c r="XCY25" s="1266"/>
      <c r="XCZ25" s="1266"/>
      <c r="XDA25" s="1266"/>
      <c r="XDB25" s="1266"/>
      <c r="XDC25" s="1266"/>
      <c r="XDD25" s="1266"/>
      <c r="XDE25" s="1266"/>
      <c r="XDF25" s="1266"/>
      <c r="XDG25" s="1266"/>
      <c r="XDH25" s="1266"/>
      <c r="XDI25" s="1266"/>
      <c r="XDJ25" s="1266"/>
      <c r="XDK25" s="1266"/>
      <c r="XDL25" s="1266"/>
      <c r="XDM25" s="1266"/>
      <c r="XDN25" s="1266"/>
      <c r="XDO25" s="1266"/>
      <c r="XDP25" s="1266"/>
      <c r="XDQ25" s="1266"/>
      <c r="XDR25" s="1266"/>
      <c r="XDS25" s="1266"/>
      <c r="XDT25" s="1266"/>
      <c r="XDU25" s="1266"/>
      <c r="XDV25" s="1266"/>
      <c r="XDW25" s="1266"/>
      <c r="XDX25" s="1266"/>
      <c r="XDY25" s="1266"/>
      <c r="XDZ25" s="1266"/>
      <c r="XEA25" s="1266"/>
      <c r="XEB25" s="1266"/>
      <c r="XEC25" s="1266"/>
      <c r="XED25" s="1266"/>
      <c r="XEE25" s="1266"/>
      <c r="XEF25" s="1266"/>
      <c r="XEG25" s="1266"/>
      <c r="XEH25" s="1266"/>
      <c r="XEI25" s="1266"/>
      <c r="XEJ25" s="1266"/>
      <c r="XEK25" s="1266"/>
      <c r="XEL25" s="1266"/>
      <c r="XEM25" s="1266"/>
      <c r="XEN25" s="1266"/>
      <c r="XEO25" s="1266"/>
      <c r="XEP25" s="1266"/>
      <c r="XEQ25" s="1266"/>
      <c r="XER25" s="1266"/>
      <c r="XES25" s="1266"/>
      <c r="XET25" s="1266"/>
      <c r="XEU25" s="1266"/>
      <c r="XEV25" s="1266"/>
      <c r="XEW25" s="1266"/>
      <c r="XEX25" s="1266"/>
      <c r="XEY25" s="1266"/>
      <c r="XEZ25" s="1266"/>
      <c r="XFA25" s="1266"/>
      <c r="XFB25" s="1266"/>
      <c r="XFC25" s="1266"/>
      <c r="XFD25" s="1266"/>
    </row>
    <row r="26" spans="1:16384" s="972" customFormat="1" ht="42.75" customHeight="1">
      <c r="A26" s="1267" t="s">
        <v>699</v>
      </c>
      <c r="B26" s="1267"/>
      <c r="C26" s="1268">
        <f>+cuadro!L9</f>
        <v>0</v>
      </c>
      <c r="D26" s="1268"/>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c r="CB26" s="1266"/>
      <c r="CC26" s="1266"/>
      <c r="CD26" s="1266"/>
      <c r="CE26" s="1266"/>
      <c r="CF26" s="1266"/>
      <c r="CG26" s="1266"/>
      <c r="CH26" s="1266"/>
      <c r="CI26" s="1266"/>
      <c r="CJ26" s="1266"/>
      <c r="CK26" s="1266"/>
      <c r="CL26" s="1266"/>
      <c r="CM26" s="1266"/>
      <c r="CN26" s="1266"/>
      <c r="CO26" s="1266"/>
      <c r="CP26" s="1266"/>
      <c r="CQ26" s="1266"/>
      <c r="CR26" s="1266"/>
      <c r="CS26" s="1266"/>
      <c r="CT26" s="1266"/>
      <c r="CU26" s="1266"/>
      <c r="CV26" s="1266"/>
      <c r="CW26" s="1266"/>
      <c r="CX26" s="1266"/>
      <c r="CY26" s="1266"/>
      <c r="CZ26" s="1266"/>
      <c r="DA26" s="1266"/>
      <c r="DB26" s="1266"/>
      <c r="DC26" s="1266"/>
      <c r="DD26" s="1266"/>
      <c r="DE26" s="1266"/>
      <c r="DF26" s="1266"/>
      <c r="DG26" s="1266"/>
      <c r="DH26" s="1266"/>
      <c r="DI26" s="1266"/>
      <c r="DJ26" s="1266"/>
      <c r="DK26" s="1266"/>
      <c r="DL26" s="1266"/>
      <c r="DM26" s="1266"/>
      <c r="DN26" s="1266"/>
      <c r="DO26" s="1266"/>
      <c r="DP26" s="1266"/>
      <c r="DQ26" s="1266"/>
      <c r="DR26" s="1266"/>
      <c r="DS26" s="1266"/>
      <c r="DT26" s="1266"/>
      <c r="DU26" s="1266"/>
      <c r="DV26" s="1266"/>
      <c r="DW26" s="1266"/>
      <c r="DX26" s="1266"/>
      <c r="DY26" s="1266"/>
      <c r="DZ26" s="1266"/>
      <c r="EA26" s="1266"/>
      <c r="EB26" s="1266"/>
      <c r="EC26" s="1266"/>
      <c r="ED26" s="1266"/>
      <c r="EE26" s="1266"/>
      <c r="EF26" s="1266"/>
      <c r="EG26" s="1266"/>
      <c r="EH26" s="1266"/>
      <c r="EI26" s="1266"/>
      <c r="EJ26" s="1266"/>
      <c r="EK26" s="1266"/>
      <c r="EL26" s="1266"/>
      <c r="EM26" s="1266"/>
      <c r="EN26" s="1266"/>
      <c r="EO26" s="1266"/>
      <c r="EP26" s="1266"/>
      <c r="EQ26" s="1266"/>
      <c r="ER26" s="1266"/>
      <c r="ES26" s="1266"/>
      <c r="ET26" s="1266"/>
      <c r="EU26" s="1266"/>
      <c r="EV26" s="1266"/>
      <c r="EW26" s="1266"/>
      <c r="EX26" s="1266"/>
      <c r="EY26" s="1266"/>
      <c r="EZ26" s="1266"/>
      <c r="FA26" s="1266"/>
      <c r="FB26" s="1266"/>
      <c r="FC26" s="1266"/>
      <c r="FD26" s="1266"/>
      <c r="FE26" s="1266"/>
      <c r="FF26" s="1266"/>
      <c r="FG26" s="1266"/>
      <c r="FH26" s="1266"/>
      <c r="FI26" s="1266"/>
      <c r="FJ26" s="1266"/>
      <c r="FK26" s="1266"/>
      <c r="FL26" s="1266"/>
      <c r="FM26" s="1266"/>
      <c r="FN26" s="1266"/>
      <c r="FO26" s="1266"/>
      <c r="FP26" s="1266"/>
      <c r="FQ26" s="1266"/>
      <c r="FR26" s="1266"/>
      <c r="FS26" s="1266"/>
      <c r="FT26" s="1266"/>
      <c r="FU26" s="1266"/>
      <c r="FV26" s="1266"/>
      <c r="FW26" s="1266"/>
      <c r="FX26" s="1266"/>
      <c r="FY26" s="1266"/>
      <c r="FZ26" s="1266"/>
      <c r="GA26" s="1266"/>
      <c r="GB26" s="1266"/>
      <c r="GC26" s="1266"/>
      <c r="GD26" s="1266"/>
      <c r="GE26" s="1266"/>
      <c r="GF26" s="1266"/>
      <c r="GG26" s="1266"/>
      <c r="GH26" s="1266"/>
      <c r="GI26" s="1266"/>
      <c r="GJ26" s="1266"/>
      <c r="GK26" s="1266"/>
      <c r="GL26" s="1266"/>
      <c r="GM26" s="1266"/>
      <c r="GN26" s="1266"/>
      <c r="GO26" s="1266"/>
      <c r="GP26" s="1266"/>
      <c r="GQ26" s="1266"/>
      <c r="GR26" s="1266"/>
      <c r="GS26" s="1266"/>
      <c r="GT26" s="1266"/>
      <c r="GU26" s="1266"/>
      <c r="GV26" s="1266"/>
      <c r="GW26" s="1266"/>
      <c r="GX26" s="1266"/>
      <c r="GY26" s="1266"/>
      <c r="GZ26" s="1266"/>
      <c r="HA26" s="1266"/>
      <c r="HB26" s="1266"/>
      <c r="HC26" s="1266"/>
      <c r="HD26" s="1266"/>
      <c r="HE26" s="1266"/>
      <c r="HF26" s="1266"/>
      <c r="HG26" s="1266"/>
      <c r="HH26" s="1266"/>
      <c r="HI26" s="1266"/>
      <c r="HJ26" s="1266"/>
      <c r="HK26" s="1266"/>
      <c r="HL26" s="1266"/>
      <c r="HM26" s="1266"/>
      <c r="HN26" s="1266"/>
      <c r="HO26" s="1266"/>
      <c r="HP26" s="1266"/>
      <c r="HQ26" s="1266"/>
      <c r="HR26" s="1266"/>
      <c r="HS26" s="1266"/>
      <c r="HT26" s="1266"/>
      <c r="HU26" s="1266"/>
      <c r="HV26" s="1266"/>
      <c r="HW26" s="1266"/>
      <c r="HX26" s="1266"/>
      <c r="HY26" s="1266"/>
      <c r="HZ26" s="1266"/>
      <c r="IA26" s="1266"/>
      <c r="IB26" s="1266"/>
      <c r="IC26" s="1266"/>
      <c r="ID26" s="1266"/>
      <c r="IE26" s="1266"/>
      <c r="IF26" s="1266"/>
      <c r="IG26" s="1266"/>
      <c r="IH26" s="1266"/>
      <c r="II26" s="1266"/>
      <c r="IJ26" s="1266"/>
      <c r="IK26" s="1266"/>
      <c r="IL26" s="1266"/>
      <c r="IM26" s="1266"/>
      <c r="IN26" s="1266"/>
      <c r="IO26" s="1266"/>
      <c r="IP26" s="1266"/>
      <c r="IQ26" s="1266"/>
      <c r="IR26" s="1266"/>
      <c r="IS26" s="1266"/>
      <c r="IT26" s="1266"/>
      <c r="IU26" s="1266"/>
      <c r="IV26" s="1266"/>
      <c r="IW26" s="1266"/>
      <c r="IX26" s="1266"/>
      <c r="IY26" s="1266"/>
      <c r="IZ26" s="1266"/>
      <c r="JA26" s="1266"/>
      <c r="JB26" s="1266"/>
      <c r="JC26" s="1266"/>
      <c r="JD26" s="1266"/>
      <c r="JE26" s="1266"/>
      <c r="JF26" s="1266"/>
      <c r="JG26" s="1266"/>
      <c r="JH26" s="1266"/>
      <c r="JI26" s="1266"/>
      <c r="JJ26" s="1266"/>
      <c r="JK26" s="1266"/>
      <c r="JL26" s="1266"/>
      <c r="JM26" s="1266"/>
      <c r="JN26" s="1266"/>
      <c r="JO26" s="1266"/>
      <c r="JP26" s="1266"/>
      <c r="JQ26" s="1266"/>
      <c r="JR26" s="1266"/>
      <c r="JS26" s="1266"/>
      <c r="JT26" s="1266"/>
      <c r="JU26" s="1266"/>
      <c r="JV26" s="1266"/>
      <c r="JW26" s="1266"/>
      <c r="JX26" s="1266"/>
      <c r="JY26" s="1266"/>
      <c r="JZ26" s="1266"/>
      <c r="KA26" s="1266"/>
      <c r="KB26" s="1266"/>
      <c r="KC26" s="1266"/>
      <c r="KD26" s="1266"/>
      <c r="KE26" s="1266"/>
      <c r="KF26" s="1266"/>
      <c r="KG26" s="1266"/>
      <c r="KH26" s="1266"/>
      <c r="KI26" s="1266"/>
      <c r="KJ26" s="1266"/>
      <c r="KK26" s="1266"/>
      <c r="KL26" s="1266"/>
      <c r="KM26" s="1266"/>
      <c r="KN26" s="1266"/>
      <c r="KO26" s="1266"/>
      <c r="KP26" s="1266"/>
      <c r="KQ26" s="1266"/>
      <c r="KR26" s="1266"/>
      <c r="KS26" s="1266"/>
      <c r="KT26" s="1266"/>
      <c r="KU26" s="1266"/>
      <c r="KV26" s="1266"/>
      <c r="KW26" s="1266"/>
      <c r="KX26" s="1266"/>
      <c r="KY26" s="1266"/>
      <c r="KZ26" s="1266"/>
      <c r="LA26" s="1266"/>
      <c r="LB26" s="1266"/>
      <c r="LC26" s="1266"/>
      <c r="LD26" s="1266"/>
      <c r="LE26" s="1266"/>
      <c r="LF26" s="1266"/>
      <c r="LG26" s="1266"/>
      <c r="LH26" s="1266"/>
      <c r="LI26" s="1266"/>
      <c r="LJ26" s="1266"/>
      <c r="LK26" s="1266"/>
      <c r="LL26" s="1266"/>
      <c r="LM26" s="1266"/>
      <c r="LN26" s="1266"/>
      <c r="LO26" s="1266"/>
      <c r="LP26" s="1266"/>
      <c r="LQ26" s="1266"/>
      <c r="LR26" s="1266"/>
      <c r="LS26" s="1266"/>
      <c r="LT26" s="1266"/>
      <c r="LU26" s="1266"/>
      <c r="LV26" s="1266"/>
      <c r="LW26" s="1266"/>
      <c r="LX26" s="1266"/>
      <c r="LY26" s="1266"/>
      <c r="LZ26" s="1266"/>
      <c r="MA26" s="1266"/>
      <c r="MB26" s="1266"/>
      <c r="MC26" s="1266"/>
      <c r="MD26" s="1266"/>
      <c r="ME26" s="1266"/>
      <c r="MF26" s="1266"/>
      <c r="MG26" s="1266"/>
      <c r="MH26" s="1266"/>
      <c r="MI26" s="1266"/>
      <c r="MJ26" s="1266"/>
      <c r="MK26" s="1266"/>
      <c r="ML26" s="1266"/>
      <c r="MM26" s="1266"/>
      <c r="MN26" s="1266"/>
      <c r="MO26" s="1266"/>
      <c r="MP26" s="1266"/>
      <c r="MQ26" s="1266"/>
      <c r="MR26" s="1266"/>
      <c r="MS26" s="1266"/>
      <c r="MT26" s="1266"/>
      <c r="MU26" s="1266"/>
      <c r="MV26" s="1266"/>
      <c r="MW26" s="1266"/>
      <c r="MX26" s="1266"/>
      <c r="MY26" s="1266"/>
      <c r="MZ26" s="1266"/>
      <c r="NA26" s="1266"/>
      <c r="NB26" s="1266"/>
      <c r="NC26" s="1266"/>
      <c r="ND26" s="1266"/>
      <c r="NE26" s="1266"/>
      <c r="NF26" s="1266"/>
      <c r="NG26" s="1266"/>
      <c r="NH26" s="1266"/>
      <c r="NI26" s="1266"/>
      <c r="NJ26" s="1266"/>
      <c r="NK26" s="1266"/>
      <c r="NL26" s="1266"/>
      <c r="NM26" s="1266"/>
      <c r="NN26" s="1266"/>
      <c r="NO26" s="1266"/>
      <c r="NP26" s="1266"/>
      <c r="NQ26" s="1266"/>
      <c r="NR26" s="1266"/>
      <c r="NS26" s="1266"/>
      <c r="NT26" s="1266"/>
      <c r="NU26" s="1266"/>
      <c r="NV26" s="1266"/>
      <c r="NW26" s="1266"/>
      <c r="NX26" s="1266"/>
      <c r="NY26" s="1266"/>
      <c r="NZ26" s="1266"/>
      <c r="OA26" s="1266"/>
      <c r="OB26" s="1266"/>
      <c r="OC26" s="1266"/>
      <c r="OD26" s="1266"/>
      <c r="OE26" s="1266"/>
      <c r="OF26" s="1266"/>
      <c r="OG26" s="1266"/>
      <c r="OH26" s="1266"/>
      <c r="OI26" s="1266"/>
      <c r="OJ26" s="1266"/>
      <c r="OK26" s="1266"/>
      <c r="OL26" s="1266"/>
      <c r="OM26" s="1266"/>
      <c r="ON26" s="1266"/>
      <c r="OO26" s="1266"/>
      <c r="OP26" s="1266"/>
      <c r="OQ26" s="1266"/>
      <c r="OR26" s="1266"/>
      <c r="OS26" s="1266"/>
      <c r="OT26" s="1266"/>
      <c r="OU26" s="1266"/>
      <c r="OV26" s="1266"/>
      <c r="OW26" s="1266"/>
      <c r="OX26" s="1266"/>
      <c r="OY26" s="1266"/>
      <c r="OZ26" s="1266"/>
      <c r="PA26" s="1266"/>
      <c r="PB26" s="1266"/>
      <c r="PC26" s="1266"/>
      <c r="PD26" s="1266"/>
      <c r="PE26" s="1266"/>
      <c r="PF26" s="1266"/>
      <c r="PG26" s="1266"/>
      <c r="PH26" s="1266"/>
      <c r="PI26" s="1266"/>
      <c r="PJ26" s="1266"/>
      <c r="PK26" s="1266"/>
      <c r="PL26" s="1266"/>
      <c r="PM26" s="1266"/>
      <c r="PN26" s="1266"/>
      <c r="PO26" s="1266"/>
      <c r="PP26" s="1266"/>
      <c r="PQ26" s="1266"/>
      <c r="PR26" s="1266"/>
      <c r="PS26" s="1266"/>
      <c r="PT26" s="1266"/>
      <c r="PU26" s="1266"/>
      <c r="PV26" s="1266"/>
      <c r="PW26" s="1266"/>
      <c r="PX26" s="1266"/>
      <c r="PY26" s="1266"/>
      <c r="PZ26" s="1266"/>
      <c r="QA26" s="1266"/>
      <c r="QB26" s="1266"/>
      <c r="QC26" s="1266"/>
      <c r="QD26" s="1266"/>
      <c r="QE26" s="1266"/>
      <c r="QF26" s="1266"/>
      <c r="QG26" s="1266"/>
      <c r="QH26" s="1266"/>
      <c r="QI26" s="1266"/>
      <c r="QJ26" s="1266"/>
      <c r="QK26" s="1266"/>
      <c r="QL26" s="1266"/>
      <c r="QM26" s="1266"/>
      <c r="QN26" s="1266"/>
      <c r="QO26" s="1266"/>
      <c r="QP26" s="1266"/>
      <c r="QQ26" s="1266"/>
      <c r="QR26" s="1266"/>
      <c r="QS26" s="1266"/>
      <c r="QT26" s="1266"/>
      <c r="QU26" s="1266"/>
      <c r="QV26" s="1266"/>
      <c r="QW26" s="1266"/>
      <c r="QX26" s="1266"/>
      <c r="QY26" s="1266"/>
      <c r="QZ26" s="1266"/>
      <c r="RA26" s="1266"/>
      <c r="RB26" s="1266"/>
      <c r="RC26" s="1266"/>
      <c r="RD26" s="1266"/>
      <c r="RE26" s="1266"/>
      <c r="RF26" s="1266"/>
      <c r="RG26" s="1266"/>
      <c r="RH26" s="1266"/>
      <c r="RI26" s="1266"/>
      <c r="RJ26" s="1266"/>
      <c r="RK26" s="1266"/>
      <c r="RL26" s="1266"/>
      <c r="RM26" s="1266"/>
      <c r="RN26" s="1266"/>
      <c r="RO26" s="1266"/>
      <c r="RP26" s="1266"/>
      <c r="RQ26" s="1266"/>
      <c r="RR26" s="1266"/>
      <c r="RS26" s="1266"/>
      <c r="RT26" s="1266"/>
      <c r="RU26" s="1266"/>
      <c r="RV26" s="1266"/>
      <c r="RW26" s="1266"/>
      <c r="RX26" s="1266"/>
      <c r="RY26" s="1266"/>
      <c r="RZ26" s="1266"/>
      <c r="SA26" s="1266"/>
      <c r="SB26" s="1266"/>
      <c r="SC26" s="1266"/>
      <c r="SD26" s="1266"/>
      <c r="SE26" s="1266"/>
      <c r="SF26" s="1266"/>
      <c r="SG26" s="1266"/>
      <c r="SH26" s="1266"/>
      <c r="SI26" s="1266"/>
      <c r="SJ26" s="1266"/>
      <c r="SK26" s="1266"/>
      <c r="SL26" s="1266"/>
      <c r="SM26" s="1266"/>
      <c r="SN26" s="1266"/>
      <c r="SO26" s="1266"/>
      <c r="SP26" s="1266"/>
      <c r="SQ26" s="1266"/>
      <c r="SR26" s="1266"/>
      <c r="SS26" s="1266"/>
      <c r="ST26" s="1266"/>
      <c r="SU26" s="1266"/>
      <c r="SV26" s="1266"/>
      <c r="SW26" s="1266"/>
      <c r="SX26" s="1266"/>
      <c r="SY26" s="1266"/>
      <c r="SZ26" s="1266"/>
      <c r="TA26" s="1266"/>
      <c r="TB26" s="1266"/>
      <c r="TC26" s="1266"/>
      <c r="TD26" s="1266"/>
      <c r="TE26" s="1266"/>
      <c r="TF26" s="1266"/>
      <c r="TG26" s="1266"/>
      <c r="TH26" s="1266"/>
      <c r="TI26" s="1266"/>
      <c r="TJ26" s="1266"/>
      <c r="TK26" s="1266"/>
      <c r="TL26" s="1266"/>
      <c r="TM26" s="1266"/>
      <c r="TN26" s="1266"/>
      <c r="TO26" s="1266"/>
      <c r="TP26" s="1266"/>
      <c r="TQ26" s="1266"/>
      <c r="TR26" s="1266"/>
      <c r="TS26" s="1266"/>
      <c r="TT26" s="1266"/>
      <c r="TU26" s="1266"/>
      <c r="TV26" s="1266"/>
      <c r="TW26" s="1266"/>
      <c r="TX26" s="1266"/>
      <c r="TY26" s="1266"/>
      <c r="TZ26" s="1266"/>
      <c r="UA26" s="1266"/>
      <c r="UB26" s="1266"/>
      <c r="UC26" s="1266"/>
      <c r="UD26" s="1266"/>
      <c r="UE26" s="1266"/>
      <c r="UF26" s="1266"/>
      <c r="UG26" s="1266"/>
      <c r="UH26" s="1266"/>
      <c r="UI26" s="1266"/>
      <c r="UJ26" s="1266"/>
      <c r="UK26" s="1266"/>
      <c r="UL26" s="1266"/>
      <c r="UM26" s="1266"/>
      <c r="UN26" s="1266"/>
      <c r="UO26" s="1266"/>
      <c r="UP26" s="1266"/>
      <c r="UQ26" s="1266"/>
      <c r="UR26" s="1266"/>
      <c r="US26" s="1266"/>
      <c r="UT26" s="1266"/>
      <c r="UU26" s="1266"/>
      <c r="UV26" s="1266"/>
      <c r="UW26" s="1266"/>
      <c r="UX26" s="1266"/>
      <c r="UY26" s="1266"/>
      <c r="UZ26" s="1266"/>
      <c r="VA26" s="1266"/>
      <c r="VB26" s="1266"/>
      <c r="VC26" s="1266"/>
      <c r="VD26" s="1266"/>
      <c r="VE26" s="1266"/>
      <c r="VF26" s="1266"/>
      <c r="VG26" s="1266"/>
      <c r="VH26" s="1266"/>
      <c r="VI26" s="1266"/>
      <c r="VJ26" s="1266"/>
      <c r="VK26" s="1266"/>
      <c r="VL26" s="1266"/>
      <c r="VM26" s="1266"/>
      <c r="VN26" s="1266"/>
      <c r="VO26" s="1266"/>
      <c r="VP26" s="1266"/>
      <c r="VQ26" s="1266"/>
      <c r="VR26" s="1266"/>
      <c r="VS26" s="1266"/>
      <c r="VT26" s="1266"/>
      <c r="VU26" s="1266"/>
      <c r="VV26" s="1266"/>
      <c r="VW26" s="1266"/>
      <c r="VX26" s="1266"/>
      <c r="VY26" s="1266"/>
      <c r="VZ26" s="1266"/>
      <c r="WA26" s="1266"/>
      <c r="WB26" s="1266"/>
      <c r="WC26" s="1266"/>
      <c r="WD26" s="1266"/>
      <c r="WE26" s="1266"/>
      <c r="WF26" s="1266"/>
      <c r="WG26" s="1266"/>
      <c r="WH26" s="1266"/>
      <c r="WI26" s="1266"/>
      <c r="WJ26" s="1266"/>
      <c r="WK26" s="1266"/>
      <c r="WL26" s="1266"/>
      <c r="WM26" s="1266"/>
      <c r="WN26" s="1266"/>
      <c r="WO26" s="1266"/>
      <c r="WP26" s="1266"/>
      <c r="WQ26" s="1266"/>
      <c r="WR26" s="1266"/>
      <c r="WS26" s="1266"/>
      <c r="WT26" s="1266"/>
      <c r="WU26" s="1266"/>
      <c r="WV26" s="1266"/>
      <c r="WW26" s="1266"/>
      <c r="WX26" s="1266"/>
      <c r="WY26" s="1266"/>
      <c r="WZ26" s="1266"/>
      <c r="XA26" s="1266"/>
      <c r="XB26" s="1266"/>
      <c r="XC26" s="1266"/>
      <c r="XD26" s="1266"/>
      <c r="XE26" s="1266"/>
      <c r="XF26" s="1266"/>
      <c r="XG26" s="1266"/>
      <c r="XH26" s="1266"/>
      <c r="XI26" s="1266"/>
      <c r="XJ26" s="1266"/>
      <c r="XK26" s="1266"/>
      <c r="XL26" s="1266"/>
      <c r="XM26" s="1266"/>
      <c r="XN26" s="1266"/>
      <c r="XO26" s="1266"/>
      <c r="XP26" s="1266"/>
      <c r="XQ26" s="1266"/>
      <c r="XR26" s="1266"/>
      <c r="XS26" s="1266"/>
      <c r="XT26" s="1266"/>
      <c r="XU26" s="1266"/>
      <c r="XV26" s="1266"/>
      <c r="XW26" s="1266"/>
      <c r="XX26" s="1266"/>
      <c r="XY26" s="1266"/>
      <c r="XZ26" s="1266"/>
      <c r="YA26" s="1266"/>
      <c r="YB26" s="1266"/>
      <c r="YC26" s="1266"/>
      <c r="YD26" s="1266"/>
      <c r="YE26" s="1266"/>
      <c r="YF26" s="1266"/>
      <c r="YG26" s="1266"/>
      <c r="YH26" s="1266"/>
      <c r="YI26" s="1266"/>
      <c r="YJ26" s="1266"/>
      <c r="YK26" s="1266"/>
      <c r="YL26" s="1266"/>
      <c r="YM26" s="1266"/>
      <c r="YN26" s="1266"/>
      <c r="YO26" s="1266"/>
      <c r="YP26" s="1266"/>
      <c r="YQ26" s="1266"/>
      <c r="YR26" s="1266"/>
      <c r="YS26" s="1266"/>
      <c r="YT26" s="1266"/>
      <c r="YU26" s="1266"/>
      <c r="YV26" s="1266"/>
      <c r="YW26" s="1266"/>
      <c r="YX26" s="1266"/>
      <c r="YY26" s="1266"/>
      <c r="YZ26" s="1266"/>
      <c r="ZA26" s="1266"/>
      <c r="ZB26" s="1266"/>
      <c r="ZC26" s="1266"/>
      <c r="ZD26" s="1266"/>
      <c r="ZE26" s="1266"/>
      <c r="ZF26" s="1266"/>
      <c r="ZG26" s="1266"/>
      <c r="ZH26" s="1266"/>
      <c r="ZI26" s="1266"/>
      <c r="ZJ26" s="1266"/>
      <c r="ZK26" s="1266"/>
      <c r="ZL26" s="1266"/>
      <c r="ZM26" s="1266"/>
      <c r="ZN26" s="1266"/>
      <c r="ZO26" s="1266"/>
      <c r="ZP26" s="1266"/>
      <c r="ZQ26" s="1266"/>
      <c r="ZR26" s="1266"/>
      <c r="ZS26" s="1266"/>
      <c r="ZT26" s="1266"/>
      <c r="ZU26" s="1266"/>
      <c r="ZV26" s="1266"/>
      <c r="ZW26" s="1266"/>
      <c r="ZX26" s="1266"/>
      <c r="ZY26" s="1266"/>
      <c r="ZZ26" s="1266"/>
      <c r="AAA26" s="1266"/>
      <c r="AAB26" s="1266"/>
      <c r="AAC26" s="1266"/>
      <c r="AAD26" s="1266"/>
      <c r="AAE26" s="1266"/>
      <c r="AAF26" s="1266"/>
      <c r="AAG26" s="1266"/>
      <c r="AAH26" s="1266"/>
      <c r="AAI26" s="1266"/>
      <c r="AAJ26" s="1266"/>
      <c r="AAK26" s="1266"/>
      <c r="AAL26" s="1266"/>
      <c r="AAM26" s="1266"/>
      <c r="AAN26" s="1266"/>
      <c r="AAO26" s="1266"/>
      <c r="AAP26" s="1266"/>
      <c r="AAQ26" s="1266"/>
      <c r="AAR26" s="1266"/>
      <c r="AAS26" s="1266"/>
      <c r="AAT26" s="1266"/>
      <c r="AAU26" s="1266"/>
      <c r="AAV26" s="1266"/>
      <c r="AAW26" s="1266"/>
      <c r="AAX26" s="1266"/>
      <c r="AAY26" s="1266"/>
      <c r="AAZ26" s="1266"/>
      <c r="ABA26" s="1266"/>
      <c r="ABB26" s="1266"/>
      <c r="ABC26" s="1266"/>
      <c r="ABD26" s="1266"/>
      <c r="ABE26" s="1266"/>
      <c r="ABF26" s="1266"/>
      <c r="ABG26" s="1266"/>
      <c r="ABH26" s="1266"/>
      <c r="ABI26" s="1266"/>
      <c r="ABJ26" s="1266"/>
      <c r="ABK26" s="1266"/>
      <c r="ABL26" s="1266"/>
      <c r="ABM26" s="1266"/>
      <c r="ABN26" s="1266"/>
      <c r="ABO26" s="1266"/>
      <c r="ABP26" s="1266"/>
      <c r="ABQ26" s="1266"/>
      <c r="ABR26" s="1266"/>
      <c r="ABS26" s="1266"/>
      <c r="ABT26" s="1266"/>
      <c r="ABU26" s="1266"/>
      <c r="ABV26" s="1266"/>
      <c r="ABW26" s="1266"/>
      <c r="ABX26" s="1266"/>
      <c r="ABY26" s="1266"/>
      <c r="ABZ26" s="1266"/>
      <c r="ACA26" s="1266"/>
      <c r="ACB26" s="1266"/>
      <c r="ACC26" s="1266"/>
      <c r="ACD26" s="1266"/>
      <c r="ACE26" s="1266"/>
      <c r="ACF26" s="1266"/>
      <c r="ACG26" s="1266"/>
      <c r="ACH26" s="1266"/>
      <c r="ACI26" s="1266"/>
      <c r="ACJ26" s="1266"/>
      <c r="ACK26" s="1266"/>
      <c r="ACL26" s="1266"/>
      <c r="ACM26" s="1266"/>
      <c r="ACN26" s="1266"/>
      <c r="ACO26" s="1266"/>
      <c r="ACP26" s="1266"/>
      <c r="ACQ26" s="1266"/>
      <c r="ACR26" s="1266"/>
      <c r="ACS26" s="1266"/>
      <c r="ACT26" s="1266"/>
      <c r="ACU26" s="1266"/>
      <c r="ACV26" s="1266"/>
      <c r="ACW26" s="1266"/>
      <c r="ACX26" s="1266"/>
      <c r="ACY26" s="1266"/>
      <c r="ACZ26" s="1266"/>
      <c r="ADA26" s="1266"/>
      <c r="ADB26" s="1266"/>
      <c r="ADC26" s="1266"/>
      <c r="ADD26" s="1266"/>
      <c r="ADE26" s="1266"/>
      <c r="ADF26" s="1266"/>
      <c r="ADG26" s="1266"/>
      <c r="ADH26" s="1266"/>
      <c r="ADI26" s="1266"/>
      <c r="ADJ26" s="1266"/>
      <c r="ADK26" s="1266"/>
      <c r="ADL26" s="1266"/>
      <c r="ADM26" s="1266"/>
      <c r="ADN26" s="1266"/>
      <c r="ADO26" s="1266"/>
      <c r="ADP26" s="1266"/>
      <c r="ADQ26" s="1266"/>
      <c r="ADR26" s="1266"/>
      <c r="ADS26" s="1266"/>
      <c r="ADT26" s="1266"/>
      <c r="ADU26" s="1266"/>
      <c r="ADV26" s="1266"/>
      <c r="ADW26" s="1266"/>
      <c r="ADX26" s="1266"/>
      <c r="ADY26" s="1266"/>
      <c r="ADZ26" s="1266"/>
      <c r="AEA26" s="1266"/>
      <c r="AEB26" s="1266"/>
      <c r="AEC26" s="1266"/>
      <c r="AED26" s="1266"/>
      <c r="AEE26" s="1266"/>
      <c r="AEF26" s="1266"/>
      <c r="AEG26" s="1266"/>
      <c r="AEH26" s="1266"/>
      <c r="AEI26" s="1266"/>
      <c r="AEJ26" s="1266"/>
      <c r="AEK26" s="1266"/>
      <c r="AEL26" s="1266"/>
      <c r="AEM26" s="1266"/>
      <c r="AEN26" s="1266"/>
      <c r="AEO26" s="1266"/>
      <c r="AEP26" s="1266"/>
      <c r="AEQ26" s="1266"/>
      <c r="AER26" s="1266"/>
      <c r="AES26" s="1266"/>
      <c r="AET26" s="1266"/>
      <c r="AEU26" s="1266"/>
      <c r="AEV26" s="1266"/>
      <c r="AEW26" s="1266"/>
      <c r="AEX26" s="1266"/>
      <c r="AEY26" s="1266"/>
      <c r="AEZ26" s="1266"/>
      <c r="AFA26" s="1266"/>
      <c r="AFB26" s="1266"/>
      <c r="AFC26" s="1266"/>
      <c r="AFD26" s="1266"/>
      <c r="AFE26" s="1266"/>
      <c r="AFF26" s="1266"/>
      <c r="AFG26" s="1266"/>
      <c r="AFH26" s="1266"/>
      <c r="AFI26" s="1266"/>
      <c r="AFJ26" s="1266"/>
      <c r="AFK26" s="1266"/>
      <c r="AFL26" s="1266"/>
      <c r="AFM26" s="1266"/>
      <c r="AFN26" s="1266"/>
      <c r="AFO26" s="1266"/>
      <c r="AFP26" s="1266"/>
      <c r="AFQ26" s="1266"/>
      <c r="AFR26" s="1266"/>
      <c r="AFS26" s="1266"/>
      <c r="AFT26" s="1266"/>
      <c r="AFU26" s="1266"/>
      <c r="AFV26" s="1266"/>
      <c r="AFW26" s="1266"/>
      <c r="AFX26" s="1266"/>
      <c r="AFY26" s="1266"/>
      <c r="AFZ26" s="1266"/>
      <c r="AGA26" s="1266"/>
      <c r="AGB26" s="1266"/>
      <c r="AGC26" s="1266"/>
      <c r="AGD26" s="1266"/>
      <c r="AGE26" s="1266"/>
      <c r="AGF26" s="1266"/>
      <c r="AGG26" s="1266"/>
      <c r="AGH26" s="1266"/>
      <c r="AGI26" s="1266"/>
      <c r="AGJ26" s="1266"/>
      <c r="AGK26" s="1266"/>
      <c r="AGL26" s="1266"/>
      <c r="AGM26" s="1266"/>
      <c r="AGN26" s="1266"/>
      <c r="AGO26" s="1266"/>
      <c r="AGP26" s="1266"/>
      <c r="AGQ26" s="1266"/>
      <c r="AGR26" s="1266"/>
      <c r="AGS26" s="1266"/>
      <c r="AGT26" s="1266"/>
      <c r="AGU26" s="1266"/>
      <c r="AGV26" s="1266"/>
      <c r="AGW26" s="1266"/>
      <c r="AGX26" s="1266"/>
      <c r="AGY26" s="1266"/>
      <c r="AGZ26" s="1266"/>
      <c r="AHA26" s="1266"/>
      <c r="AHB26" s="1266"/>
      <c r="AHC26" s="1266"/>
      <c r="AHD26" s="1266"/>
      <c r="AHE26" s="1266"/>
      <c r="AHF26" s="1266"/>
      <c r="AHG26" s="1266"/>
      <c r="AHH26" s="1266"/>
      <c r="AHI26" s="1266"/>
      <c r="AHJ26" s="1266"/>
      <c r="AHK26" s="1266"/>
      <c r="AHL26" s="1266"/>
      <c r="AHM26" s="1266"/>
      <c r="AHN26" s="1266"/>
      <c r="AHO26" s="1266"/>
      <c r="AHP26" s="1266"/>
      <c r="AHQ26" s="1266"/>
      <c r="AHR26" s="1266"/>
      <c r="AHS26" s="1266"/>
      <c r="AHT26" s="1266"/>
      <c r="AHU26" s="1266"/>
      <c r="AHV26" s="1266"/>
      <c r="AHW26" s="1266"/>
      <c r="AHX26" s="1266"/>
      <c r="AHY26" s="1266"/>
      <c r="AHZ26" s="1266"/>
      <c r="AIA26" s="1266"/>
      <c r="AIB26" s="1266"/>
      <c r="AIC26" s="1266"/>
      <c r="AID26" s="1266"/>
      <c r="AIE26" s="1266"/>
      <c r="AIF26" s="1266"/>
      <c r="AIG26" s="1266"/>
      <c r="AIH26" s="1266"/>
      <c r="AII26" s="1266"/>
      <c r="AIJ26" s="1266"/>
      <c r="AIK26" s="1266"/>
      <c r="AIL26" s="1266"/>
      <c r="AIM26" s="1266"/>
      <c r="AIN26" s="1266"/>
      <c r="AIO26" s="1266"/>
      <c r="AIP26" s="1266"/>
      <c r="AIQ26" s="1266"/>
      <c r="AIR26" s="1266"/>
      <c r="AIS26" s="1266"/>
      <c r="AIT26" s="1266"/>
      <c r="AIU26" s="1266"/>
      <c r="AIV26" s="1266"/>
      <c r="AIW26" s="1266"/>
      <c r="AIX26" s="1266"/>
      <c r="AIY26" s="1266"/>
      <c r="AIZ26" s="1266"/>
      <c r="AJA26" s="1266"/>
      <c r="AJB26" s="1266"/>
      <c r="AJC26" s="1266"/>
      <c r="AJD26" s="1266"/>
      <c r="AJE26" s="1266"/>
      <c r="AJF26" s="1266"/>
      <c r="AJG26" s="1266"/>
      <c r="AJH26" s="1266"/>
      <c r="AJI26" s="1266"/>
      <c r="AJJ26" s="1266"/>
      <c r="AJK26" s="1266"/>
      <c r="AJL26" s="1266"/>
      <c r="AJM26" s="1266"/>
      <c r="AJN26" s="1266"/>
      <c r="AJO26" s="1266"/>
      <c r="AJP26" s="1266"/>
      <c r="AJQ26" s="1266"/>
      <c r="AJR26" s="1266"/>
      <c r="AJS26" s="1266"/>
      <c r="AJT26" s="1266"/>
      <c r="AJU26" s="1266"/>
      <c r="AJV26" s="1266"/>
      <c r="AJW26" s="1266"/>
      <c r="AJX26" s="1266"/>
      <c r="AJY26" s="1266"/>
      <c r="AJZ26" s="1266"/>
      <c r="AKA26" s="1266"/>
      <c r="AKB26" s="1266"/>
      <c r="AKC26" s="1266"/>
      <c r="AKD26" s="1266"/>
      <c r="AKE26" s="1266"/>
      <c r="AKF26" s="1266"/>
      <c r="AKG26" s="1266"/>
      <c r="AKH26" s="1266"/>
      <c r="AKI26" s="1266"/>
      <c r="AKJ26" s="1266"/>
      <c r="AKK26" s="1266"/>
      <c r="AKL26" s="1266"/>
      <c r="AKM26" s="1266"/>
      <c r="AKN26" s="1266"/>
      <c r="AKO26" s="1266"/>
      <c r="AKP26" s="1266"/>
      <c r="AKQ26" s="1266"/>
      <c r="AKR26" s="1266"/>
      <c r="AKS26" s="1266"/>
      <c r="AKT26" s="1266"/>
      <c r="AKU26" s="1266"/>
      <c r="AKV26" s="1266"/>
      <c r="AKW26" s="1266"/>
      <c r="AKX26" s="1266"/>
      <c r="AKY26" s="1266"/>
      <c r="AKZ26" s="1266"/>
      <c r="ALA26" s="1266"/>
      <c r="ALB26" s="1266"/>
      <c r="ALC26" s="1266"/>
      <c r="ALD26" s="1266"/>
      <c r="ALE26" s="1266"/>
      <c r="ALF26" s="1266"/>
      <c r="ALG26" s="1266"/>
      <c r="ALH26" s="1266"/>
      <c r="ALI26" s="1266"/>
      <c r="ALJ26" s="1266"/>
      <c r="ALK26" s="1266"/>
      <c r="ALL26" s="1266"/>
      <c r="ALM26" s="1266"/>
      <c r="ALN26" s="1266"/>
      <c r="ALO26" s="1266"/>
      <c r="ALP26" s="1266"/>
      <c r="ALQ26" s="1266"/>
      <c r="ALR26" s="1266"/>
      <c r="ALS26" s="1266"/>
      <c r="ALT26" s="1266"/>
      <c r="ALU26" s="1266"/>
      <c r="ALV26" s="1266"/>
      <c r="ALW26" s="1266"/>
      <c r="ALX26" s="1266"/>
      <c r="ALY26" s="1266"/>
      <c r="ALZ26" s="1266"/>
      <c r="AMA26" s="1266"/>
      <c r="AMB26" s="1266"/>
      <c r="AMC26" s="1266"/>
      <c r="AMD26" s="1266"/>
      <c r="AME26" s="1266"/>
      <c r="AMF26" s="1266"/>
      <c r="AMG26" s="1266"/>
      <c r="AMH26" s="1266"/>
      <c r="AMI26" s="1266"/>
      <c r="AMJ26" s="1266"/>
      <c r="AMK26" s="1266"/>
      <c r="AML26" s="1266"/>
      <c r="AMM26" s="1266"/>
      <c r="AMN26" s="1266"/>
      <c r="AMO26" s="1266"/>
      <c r="AMP26" s="1266"/>
      <c r="AMQ26" s="1266"/>
      <c r="AMR26" s="1266"/>
      <c r="AMS26" s="1266"/>
      <c r="AMT26" s="1266"/>
      <c r="AMU26" s="1266"/>
      <c r="AMV26" s="1266"/>
      <c r="AMW26" s="1266"/>
      <c r="AMX26" s="1266"/>
      <c r="AMY26" s="1266"/>
      <c r="AMZ26" s="1266"/>
      <c r="ANA26" s="1266"/>
      <c r="ANB26" s="1266"/>
      <c r="ANC26" s="1266"/>
      <c r="AND26" s="1266"/>
      <c r="ANE26" s="1266"/>
      <c r="ANF26" s="1266"/>
      <c r="ANG26" s="1266"/>
      <c r="ANH26" s="1266"/>
      <c r="ANI26" s="1266"/>
      <c r="ANJ26" s="1266"/>
      <c r="ANK26" s="1266"/>
      <c r="ANL26" s="1266"/>
      <c r="ANM26" s="1266"/>
      <c r="ANN26" s="1266"/>
      <c r="ANO26" s="1266"/>
      <c r="ANP26" s="1266"/>
      <c r="ANQ26" s="1266"/>
      <c r="ANR26" s="1266"/>
      <c r="ANS26" s="1266"/>
      <c r="ANT26" s="1266"/>
      <c r="ANU26" s="1266"/>
      <c r="ANV26" s="1266"/>
      <c r="ANW26" s="1266"/>
      <c r="ANX26" s="1266"/>
      <c r="ANY26" s="1266"/>
      <c r="ANZ26" s="1266"/>
      <c r="AOA26" s="1266"/>
      <c r="AOB26" s="1266"/>
      <c r="AOC26" s="1266"/>
      <c r="AOD26" s="1266"/>
      <c r="AOE26" s="1266"/>
      <c r="AOF26" s="1266"/>
      <c r="AOG26" s="1266"/>
      <c r="AOH26" s="1266"/>
      <c r="AOI26" s="1266"/>
      <c r="AOJ26" s="1266"/>
      <c r="AOK26" s="1266"/>
      <c r="AOL26" s="1266"/>
      <c r="AOM26" s="1266"/>
      <c r="AON26" s="1266"/>
      <c r="AOO26" s="1266"/>
      <c r="AOP26" s="1266"/>
      <c r="AOQ26" s="1266"/>
      <c r="AOR26" s="1266"/>
      <c r="AOS26" s="1266"/>
      <c r="AOT26" s="1266"/>
      <c r="AOU26" s="1266"/>
      <c r="AOV26" s="1266"/>
      <c r="AOW26" s="1266"/>
      <c r="AOX26" s="1266"/>
      <c r="AOY26" s="1266"/>
      <c r="AOZ26" s="1266"/>
      <c r="APA26" s="1266"/>
      <c r="APB26" s="1266"/>
      <c r="APC26" s="1266"/>
      <c r="APD26" s="1266"/>
      <c r="APE26" s="1266"/>
      <c r="APF26" s="1266"/>
      <c r="APG26" s="1266"/>
      <c r="APH26" s="1266"/>
      <c r="API26" s="1266"/>
      <c r="APJ26" s="1266"/>
      <c r="APK26" s="1266"/>
      <c r="APL26" s="1266"/>
      <c r="APM26" s="1266"/>
      <c r="APN26" s="1266"/>
      <c r="APO26" s="1266"/>
      <c r="APP26" s="1266"/>
      <c r="APQ26" s="1266"/>
      <c r="APR26" s="1266"/>
      <c r="APS26" s="1266"/>
      <c r="APT26" s="1266"/>
      <c r="APU26" s="1266"/>
      <c r="APV26" s="1266"/>
      <c r="APW26" s="1266"/>
      <c r="APX26" s="1266"/>
      <c r="APY26" s="1266"/>
      <c r="APZ26" s="1266"/>
      <c r="AQA26" s="1266"/>
      <c r="AQB26" s="1266"/>
      <c r="AQC26" s="1266"/>
      <c r="AQD26" s="1266"/>
      <c r="AQE26" s="1266"/>
      <c r="AQF26" s="1266"/>
      <c r="AQG26" s="1266"/>
      <c r="AQH26" s="1266"/>
      <c r="AQI26" s="1266"/>
      <c r="AQJ26" s="1266"/>
      <c r="AQK26" s="1266"/>
      <c r="AQL26" s="1266"/>
      <c r="AQM26" s="1266"/>
      <c r="AQN26" s="1266"/>
      <c r="AQO26" s="1266"/>
      <c r="AQP26" s="1266"/>
      <c r="AQQ26" s="1266"/>
      <c r="AQR26" s="1266"/>
      <c r="AQS26" s="1266"/>
      <c r="AQT26" s="1266"/>
      <c r="AQU26" s="1266"/>
      <c r="AQV26" s="1266"/>
      <c r="AQW26" s="1266"/>
      <c r="AQX26" s="1266"/>
      <c r="AQY26" s="1266"/>
      <c r="AQZ26" s="1266"/>
      <c r="ARA26" s="1266"/>
      <c r="ARB26" s="1266"/>
      <c r="ARC26" s="1266"/>
      <c r="ARD26" s="1266"/>
      <c r="ARE26" s="1266"/>
      <c r="ARF26" s="1266"/>
      <c r="ARG26" s="1266"/>
      <c r="ARH26" s="1266"/>
      <c r="ARI26" s="1266"/>
      <c r="ARJ26" s="1266"/>
      <c r="ARK26" s="1266"/>
      <c r="ARL26" s="1266"/>
      <c r="ARM26" s="1266"/>
      <c r="ARN26" s="1266"/>
      <c r="ARO26" s="1266"/>
      <c r="ARP26" s="1266"/>
      <c r="ARQ26" s="1266"/>
      <c r="ARR26" s="1266"/>
      <c r="ARS26" s="1266"/>
      <c r="ART26" s="1266"/>
      <c r="ARU26" s="1266"/>
      <c r="ARV26" s="1266"/>
      <c r="ARW26" s="1266"/>
      <c r="ARX26" s="1266"/>
      <c r="ARY26" s="1266"/>
      <c r="ARZ26" s="1266"/>
      <c r="ASA26" s="1266"/>
      <c r="ASB26" s="1266"/>
      <c r="ASC26" s="1266"/>
      <c r="ASD26" s="1266"/>
      <c r="ASE26" s="1266"/>
      <c r="ASF26" s="1266"/>
      <c r="ASG26" s="1266"/>
      <c r="ASH26" s="1266"/>
      <c r="ASI26" s="1266"/>
      <c r="ASJ26" s="1266"/>
      <c r="ASK26" s="1266"/>
      <c r="ASL26" s="1266"/>
      <c r="ASM26" s="1266"/>
      <c r="ASN26" s="1266"/>
      <c r="ASO26" s="1266"/>
      <c r="ASP26" s="1266"/>
      <c r="ASQ26" s="1266"/>
      <c r="ASR26" s="1266"/>
      <c r="ASS26" s="1266"/>
      <c r="AST26" s="1266"/>
      <c r="ASU26" s="1266"/>
      <c r="ASV26" s="1266"/>
      <c r="ASW26" s="1266"/>
      <c r="ASX26" s="1266"/>
      <c r="ASY26" s="1266"/>
      <c r="ASZ26" s="1266"/>
      <c r="ATA26" s="1266"/>
      <c r="ATB26" s="1266"/>
      <c r="ATC26" s="1266"/>
      <c r="ATD26" s="1266"/>
      <c r="ATE26" s="1266"/>
      <c r="ATF26" s="1266"/>
      <c r="ATG26" s="1266"/>
      <c r="ATH26" s="1266"/>
      <c r="ATI26" s="1266"/>
      <c r="ATJ26" s="1266"/>
      <c r="ATK26" s="1266"/>
      <c r="ATL26" s="1266"/>
      <c r="ATM26" s="1266"/>
      <c r="ATN26" s="1266"/>
      <c r="ATO26" s="1266"/>
      <c r="ATP26" s="1266"/>
      <c r="ATQ26" s="1266"/>
      <c r="ATR26" s="1266"/>
      <c r="ATS26" s="1266"/>
      <c r="ATT26" s="1266"/>
      <c r="ATU26" s="1266"/>
      <c r="ATV26" s="1266"/>
      <c r="ATW26" s="1266"/>
      <c r="ATX26" s="1266"/>
      <c r="ATY26" s="1266"/>
      <c r="ATZ26" s="1266"/>
      <c r="AUA26" s="1266"/>
      <c r="AUB26" s="1266"/>
      <c r="AUC26" s="1266"/>
      <c r="AUD26" s="1266"/>
      <c r="AUE26" s="1266"/>
      <c r="AUF26" s="1266"/>
      <c r="AUG26" s="1266"/>
      <c r="AUH26" s="1266"/>
      <c r="AUI26" s="1266"/>
      <c r="AUJ26" s="1266"/>
      <c r="AUK26" s="1266"/>
      <c r="AUL26" s="1266"/>
      <c r="AUM26" s="1266"/>
      <c r="AUN26" s="1266"/>
      <c r="AUO26" s="1266"/>
      <c r="AUP26" s="1266"/>
      <c r="AUQ26" s="1266"/>
      <c r="AUR26" s="1266"/>
      <c r="AUS26" s="1266"/>
      <c r="AUT26" s="1266"/>
      <c r="AUU26" s="1266"/>
      <c r="AUV26" s="1266"/>
      <c r="AUW26" s="1266"/>
      <c r="AUX26" s="1266"/>
      <c r="AUY26" s="1266"/>
      <c r="AUZ26" s="1266"/>
      <c r="AVA26" s="1266"/>
      <c r="AVB26" s="1266"/>
      <c r="AVC26" s="1266"/>
      <c r="AVD26" s="1266"/>
      <c r="AVE26" s="1266"/>
      <c r="AVF26" s="1266"/>
      <c r="AVG26" s="1266"/>
      <c r="AVH26" s="1266"/>
      <c r="AVI26" s="1266"/>
      <c r="AVJ26" s="1266"/>
      <c r="AVK26" s="1266"/>
      <c r="AVL26" s="1266"/>
      <c r="AVM26" s="1266"/>
      <c r="AVN26" s="1266"/>
      <c r="AVO26" s="1266"/>
      <c r="AVP26" s="1266"/>
      <c r="AVQ26" s="1266"/>
      <c r="AVR26" s="1266"/>
      <c r="AVS26" s="1266"/>
      <c r="AVT26" s="1266"/>
      <c r="AVU26" s="1266"/>
      <c r="AVV26" s="1266"/>
      <c r="AVW26" s="1266"/>
      <c r="AVX26" s="1266"/>
      <c r="AVY26" s="1266"/>
      <c r="AVZ26" s="1266"/>
      <c r="AWA26" s="1266"/>
      <c r="AWB26" s="1266"/>
      <c r="AWC26" s="1266"/>
      <c r="AWD26" s="1266"/>
      <c r="AWE26" s="1266"/>
      <c r="AWF26" s="1266"/>
      <c r="AWG26" s="1266"/>
      <c r="AWH26" s="1266"/>
      <c r="AWI26" s="1266"/>
      <c r="AWJ26" s="1266"/>
      <c r="AWK26" s="1266"/>
      <c r="AWL26" s="1266"/>
      <c r="AWM26" s="1266"/>
      <c r="AWN26" s="1266"/>
      <c r="AWO26" s="1266"/>
      <c r="AWP26" s="1266"/>
      <c r="AWQ26" s="1266"/>
      <c r="AWR26" s="1266"/>
      <c r="AWS26" s="1266"/>
      <c r="AWT26" s="1266"/>
      <c r="AWU26" s="1266"/>
      <c r="AWV26" s="1266"/>
      <c r="AWW26" s="1266"/>
      <c r="AWX26" s="1266"/>
      <c r="AWY26" s="1266"/>
      <c r="AWZ26" s="1266"/>
      <c r="AXA26" s="1266"/>
      <c r="AXB26" s="1266"/>
      <c r="AXC26" s="1266"/>
      <c r="AXD26" s="1266"/>
      <c r="AXE26" s="1266"/>
      <c r="AXF26" s="1266"/>
      <c r="AXG26" s="1266"/>
      <c r="AXH26" s="1266"/>
      <c r="AXI26" s="1266"/>
      <c r="AXJ26" s="1266"/>
      <c r="AXK26" s="1266"/>
      <c r="AXL26" s="1266"/>
      <c r="AXM26" s="1266"/>
      <c r="AXN26" s="1266"/>
      <c r="AXO26" s="1266"/>
      <c r="AXP26" s="1266"/>
      <c r="AXQ26" s="1266"/>
      <c r="AXR26" s="1266"/>
      <c r="AXS26" s="1266"/>
      <c r="AXT26" s="1266"/>
      <c r="AXU26" s="1266"/>
      <c r="AXV26" s="1266"/>
      <c r="AXW26" s="1266"/>
      <c r="AXX26" s="1266"/>
      <c r="AXY26" s="1266"/>
      <c r="AXZ26" s="1266"/>
      <c r="AYA26" s="1266"/>
      <c r="AYB26" s="1266"/>
      <c r="AYC26" s="1266"/>
      <c r="AYD26" s="1266"/>
      <c r="AYE26" s="1266"/>
      <c r="AYF26" s="1266"/>
      <c r="AYG26" s="1266"/>
      <c r="AYH26" s="1266"/>
      <c r="AYI26" s="1266"/>
      <c r="AYJ26" s="1266"/>
      <c r="AYK26" s="1266"/>
      <c r="AYL26" s="1266"/>
      <c r="AYM26" s="1266"/>
      <c r="AYN26" s="1266"/>
      <c r="AYO26" s="1266"/>
      <c r="AYP26" s="1266"/>
      <c r="AYQ26" s="1266"/>
      <c r="AYR26" s="1266"/>
      <c r="AYS26" s="1266"/>
      <c r="AYT26" s="1266"/>
      <c r="AYU26" s="1266"/>
      <c r="AYV26" s="1266"/>
      <c r="AYW26" s="1266"/>
      <c r="AYX26" s="1266"/>
      <c r="AYY26" s="1266"/>
      <c r="AYZ26" s="1266"/>
      <c r="AZA26" s="1266"/>
      <c r="AZB26" s="1266"/>
      <c r="AZC26" s="1266"/>
      <c r="AZD26" s="1266"/>
      <c r="AZE26" s="1266"/>
      <c r="AZF26" s="1266"/>
      <c r="AZG26" s="1266"/>
      <c r="AZH26" s="1266"/>
      <c r="AZI26" s="1266"/>
      <c r="AZJ26" s="1266"/>
      <c r="AZK26" s="1266"/>
      <c r="AZL26" s="1266"/>
      <c r="AZM26" s="1266"/>
      <c r="AZN26" s="1266"/>
      <c r="AZO26" s="1266"/>
      <c r="AZP26" s="1266"/>
      <c r="AZQ26" s="1266"/>
      <c r="AZR26" s="1266"/>
      <c r="AZS26" s="1266"/>
      <c r="AZT26" s="1266"/>
      <c r="AZU26" s="1266"/>
      <c r="AZV26" s="1266"/>
      <c r="AZW26" s="1266"/>
      <c r="AZX26" s="1266"/>
      <c r="AZY26" s="1266"/>
      <c r="AZZ26" s="1266"/>
      <c r="BAA26" s="1266"/>
      <c r="BAB26" s="1266"/>
      <c r="BAC26" s="1266"/>
      <c r="BAD26" s="1266"/>
      <c r="BAE26" s="1266"/>
      <c r="BAF26" s="1266"/>
      <c r="BAG26" s="1266"/>
      <c r="BAH26" s="1266"/>
      <c r="BAI26" s="1266"/>
      <c r="BAJ26" s="1266"/>
      <c r="BAK26" s="1266"/>
      <c r="BAL26" s="1266"/>
      <c r="BAM26" s="1266"/>
      <c r="BAN26" s="1266"/>
      <c r="BAO26" s="1266"/>
      <c r="BAP26" s="1266"/>
      <c r="BAQ26" s="1266"/>
      <c r="BAR26" s="1266"/>
      <c r="BAS26" s="1266"/>
      <c r="BAT26" s="1266"/>
      <c r="BAU26" s="1266"/>
      <c r="BAV26" s="1266"/>
      <c r="BAW26" s="1266"/>
      <c r="BAX26" s="1266"/>
      <c r="BAY26" s="1266"/>
      <c r="BAZ26" s="1266"/>
      <c r="BBA26" s="1266"/>
      <c r="BBB26" s="1266"/>
      <c r="BBC26" s="1266"/>
      <c r="BBD26" s="1266"/>
      <c r="BBE26" s="1266"/>
      <c r="BBF26" s="1266"/>
      <c r="BBG26" s="1266"/>
      <c r="BBH26" s="1266"/>
      <c r="BBI26" s="1266"/>
      <c r="BBJ26" s="1266"/>
      <c r="BBK26" s="1266"/>
      <c r="BBL26" s="1266"/>
      <c r="BBM26" s="1266"/>
      <c r="BBN26" s="1266"/>
      <c r="BBO26" s="1266"/>
      <c r="BBP26" s="1266"/>
      <c r="BBQ26" s="1266"/>
      <c r="BBR26" s="1266"/>
      <c r="BBS26" s="1266"/>
      <c r="BBT26" s="1266"/>
      <c r="BBU26" s="1266"/>
      <c r="BBV26" s="1266"/>
      <c r="BBW26" s="1266"/>
      <c r="BBX26" s="1266"/>
      <c r="BBY26" s="1266"/>
      <c r="BBZ26" s="1266"/>
      <c r="BCA26" s="1266"/>
      <c r="BCB26" s="1266"/>
      <c r="BCC26" s="1266"/>
      <c r="BCD26" s="1266"/>
      <c r="BCE26" s="1266"/>
      <c r="BCF26" s="1266"/>
      <c r="BCG26" s="1266"/>
      <c r="BCH26" s="1266"/>
      <c r="BCI26" s="1266"/>
      <c r="BCJ26" s="1266"/>
      <c r="BCK26" s="1266"/>
      <c r="BCL26" s="1266"/>
      <c r="BCM26" s="1266"/>
      <c r="BCN26" s="1266"/>
      <c r="BCO26" s="1266"/>
      <c r="BCP26" s="1266"/>
      <c r="BCQ26" s="1266"/>
      <c r="BCR26" s="1266"/>
      <c r="BCS26" s="1266"/>
      <c r="BCT26" s="1266"/>
      <c r="BCU26" s="1266"/>
      <c r="BCV26" s="1266"/>
      <c r="BCW26" s="1266"/>
      <c r="BCX26" s="1266"/>
      <c r="BCY26" s="1266"/>
      <c r="BCZ26" s="1266"/>
      <c r="BDA26" s="1266"/>
      <c r="BDB26" s="1266"/>
      <c r="BDC26" s="1266"/>
      <c r="BDD26" s="1266"/>
      <c r="BDE26" s="1266"/>
      <c r="BDF26" s="1266"/>
      <c r="BDG26" s="1266"/>
      <c r="BDH26" s="1266"/>
      <c r="BDI26" s="1266"/>
      <c r="BDJ26" s="1266"/>
      <c r="BDK26" s="1266"/>
      <c r="BDL26" s="1266"/>
      <c r="BDM26" s="1266"/>
      <c r="BDN26" s="1266"/>
      <c r="BDO26" s="1266"/>
      <c r="BDP26" s="1266"/>
      <c r="BDQ26" s="1266"/>
      <c r="BDR26" s="1266"/>
      <c r="BDS26" s="1266"/>
      <c r="BDT26" s="1266"/>
      <c r="BDU26" s="1266"/>
      <c r="BDV26" s="1266"/>
      <c r="BDW26" s="1266"/>
      <c r="BDX26" s="1266"/>
      <c r="BDY26" s="1266"/>
      <c r="BDZ26" s="1266"/>
      <c r="BEA26" s="1266"/>
      <c r="BEB26" s="1266"/>
      <c r="BEC26" s="1266"/>
      <c r="BED26" s="1266"/>
      <c r="BEE26" s="1266"/>
      <c r="BEF26" s="1266"/>
      <c r="BEG26" s="1266"/>
      <c r="BEH26" s="1266"/>
      <c r="BEI26" s="1266"/>
      <c r="BEJ26" s="1266"/>
      <c r="BEK26" s="1266"/>
      <c r="BEL26" s="1266"/>
      <c r="BEM26" s="1266"/>
      <c r="BEN26" s="1266"/>
      <c r="BEO26" s="1266"/>
      <c r="BEP26" s="1266"/>
      <c r="BEQ26" s="1266"/>
      <c r="BER26" s="1266"/>
      <c r="BES26" s="1266"/>
      <c r="BET26" s="1266"/>
      <c r="BEU26" s="1266"/>
      <c r="BEV26" s="1266"/>
      <c r="BEW26" s="1266"/>
      <c r="BEX26" s="1266"/>
      <c r="BEY26" s="1266"/>
      <c r="BEZ26" s="1266"/>
      <c r="BFA26" s="1266"/>
      <c r="BFB26" s="1266"/>
      <c r="BFC26" s="1266"/>
      <c r="BFD26" s="1266"/>
      <c r="BFE26" s="1266"/>
      <c r="BFF26" s="1266"/>
      <c r="BFG26" s="1266"/>
      <c r="BFH26" s="1266"/>
      <c r="BFI26" s="1266"/>
      <c r="BFJ26" s="1266"/>
      <c r="BFK26" s="1266"/>
      <c r="BFL26" s="1266"/>
      <c r="BFM26" s="1266"/>
      <c r="BFN26" s="1266"/>
      <c r="BFO26" s="1266"/>
      <c r="BFP26" s="1266"/>
      <c r="BFQ26" s="1266"/>
      <c r="BFR26" s="1266"/>
      <c r="BFS26" s="1266"/>
      <c r="BFT26" s="1266"/>
      <c r="BFU26" s="1266"/>
      <c r="BFV26" s="1266"/>
      <c r="BFW26" s="1266"/>
      <c r="BFX26" s="1266"/>
      <c r="BFY26" s="1266"/>
      <c r="BFZ26" s="1266"/>
      <c r="BGA26" s="1266"/>
      <c r="BGB26" s="1266"/>
      <c r="BGC26" s="1266"/>
      <c r="BGD26" s="1266"/>
      <c r="BGE26" s="1266"/>
      <c r="BGF26" s="1266"/>
      <c r="BGG26" s="1266"/>
      <c r="BGH26" s="1266"/>
      <c r="BGI26" s="1266"/>
      <c r="BGJ26" s="1266"/>
      <c r="BGK26" s="1266"/>
      <c r="BGL26" s="1266"/>
      <c r="BGM26" s="1266"/>
      <c r="BGN26" s="1266"/>
      <c r="BGO26" s="1266"/>
      <c r="BGP26" s="1266"/>
      <c r="BGQ26" s="1266"/>
      <c r="BGR26" s="1266"/>
      <c r="BGS26" s="1266"/>
      <c r="BGT26" s="1266"/>
      <c r="BGU26" s="1266"/>
      <c r="BGV26" s="1266"/>
      <c r="BGW26" s="1266"/>
      <c r="BGX26" s="1266"/>
      <c r="BGY26" s="1266"/>
      <c r="BGZ26" s="1266"/>
      <c r="BHA26" s="1266"/>
      <c r="BHB26" s="1266"/>
      <c r="BHC26" s="1266"/>
      <c r="BHD26" s="1266"/>
      <c r="BHE26" s="1266"/>
      <c r="BHF26" s="1266"/>
      <c r="BHG26" s="1266"/>
      <c r="BHH26" s="1266"/>
      <c r="BHI26" s="1266"/>
      <c r="BHJ26" s="1266"/>
      <c r="BHK26" s="1266"/>
      <c r="BHL26" s="1266"/>
      <c r="BHM26" s="1266"/>
      <c r="BHN26" s="1266"/>
      <c r="BHO26" s="1266"/>
      <c r="BHP26" s="1266"/>
      <c r="BHQ26" s="1266"/>
      <c r="BHR26" s="1266"/>
      <c r="BHS26" s="1266"/>
      <c r="BHT26" s="1266"/>
      <c r="BHU26" s="1266"/>
      <c r="BHV26" s="1266"/>
      <c r="BHW26" s="1266"/>
      <c r="BHX26" s="1266"/>
      <c r="BHY26" s="1266"/>
      <c r="BHZ26" s="1266"/>
      <c r="BIA26" s="1266"/>
      <c r="BIB26" s="1266"/>
      <c r="BIC26" s="1266"/>
      <c r="BID26" s="1266"/>
      <c r="BIE26" s="1266"/>
      <c r="BIF26" s="1266"/>
      <c r="BIG26" s="1266"/>
      <c r="BIH26" s="1266"/>
      <c r="BII26" s="1266"/>
      <c r="BIJ26" s="1266"/>
      <c r="BIK26" s="1266"/>
      <c r="BIL26" s="1266"/>
      <c r="BIM26" s="1266"/>
      <c r="BIN26" s="1266"/>
      <c r="BIO26" s="1266"/>
      <c r="BIP26" s="1266"/>
      <c r="BIQ26" s="1266"/>
      <c r="BIR26" s="1266"/>
      <c r="BIS26" s="1266"/>
      <c r="BIT26" s="1266"/>
      <c r="BIU26" s="1266"/>
      <c r="BIV26" s="1266"/>
      <c r="BIW26" s="1266"/>
      <c r="BIX26" s="1266"/>
      <c r="BIY26" s="1266"/>
      <c r="BIZ26" s="1266"/>
      <c r="BJA26" s="1266"/>
      <c r="BJB26" s="1266"/>
      <c r="BJC26" s="1266"/>
      <c r="BJD26" s="1266"/>
      <c r="BJE26" s="1266"/>
      <c r="BJF26" s="1266"/>
      <c r="BJG26" s="1266"/>
      <c r="BJH26" s="1266"/>
      <c r="BJI26" s="1266"/>
      <c r="BJJ26" s="1266"/>
      <c r="BJK26" s="1266"/>
      <c r="BJL26" s="1266"/>
      <c r="BJM26" s="1266"/>
      <c r="BJN26" s="1266"/>
      <c r="BJO26" s="1266"/>
      <c r="BJP26" s="1266"/>
      <c r="BJQ26" s="1266"/>
      <c r="BJR26" s="1266"/>
      <c r="BJS26" s="1266"/>
      <c r="BJT26" s="1266"/>
      <c r="BJU26" s="1266"/>
      <c r="BJV26" s="1266"/>
      <c r="BJW26" s="1266"/>
      <c r="BJX26" s="1266"/>
      <c r="BJY26" s="1266"/>
      <c r="BJZ26" s="1266"/>
      <c r="BKA26" s="1266"/>
      <c r="BKB26" s="1266"/>
      <c r="BKC26" s="1266"/>
      <c r="BKD26" s="1266"/>
      <c r="BKE26" s="1266"/>
      <c r="BKF26" s="1266"/>
      <c r="BKG26" s="1266"/>
      <c r="BKH26" s="1266"/>
      <c r="BKI26" s="1266"/>
      <c r="BKJ26" s="1266"/>
      <c r="BKK26" s="1266"/>
      <c r="BKL26" s="1266"/>
      <c r="BKM26" s="1266"/>
      <c r="BKN26" s="1266"/>
      <c r="BKO26" s="1266"/>
      <c r="BKP26" s="1266"/>
      <c r="BKQ26" s="1266"/>
      <c r="BKR26" s="1266"/>
      <c r="BKS26" s="1266"/>
      <c r="BKT26" s="1266"/>
      <c r="BKU26" s="1266"/>
      <c r="BKV26" s="1266"/>
      <c r="BKW26" s="1266"/>
      <c r="BKX26" s="1266"/>
      <c r="BKY26" s="1266"/>
      <c r="BKZ26" s="1266"/>
      <c r="BLA26" s="1266"/>
      <c r="BLB26" s="1266"/>
      <c r="BLC26" s="1266"/>
      <c r="BLD26" s="1266"/>
      <c r="BLE26" s="1266"/>
      <c r="BLF26" s="1266"/>
      <c r="BLG26" s="1266"/>
      <c r="BLH26" s="1266"/>
      <c r="BLI26" s="1266"/>
      <c r="BLJ26" s="1266"/>
      <c r="BLK26" s="1266"/>
      <c r="BLL26" s="1266"/>
      <c r="BLM26" s="1266"/>
      <c r="BLN26" s="1266"/>
      <c r="BLO26" s="1266"/>
      <c r="BLP26" s="1266"/>
      <c r="BLQ26" s="1266"/>
      <c r="BLR26" s="1266"/>
      <c r="BLS26" s="1266"/>
      <c r="BLT26" s="1266"/>
      <c r="BLU26" s="1266"/>
      <c r="BLV26" s="1266"/>
      <c r="BLW26" s="1266"/>
      <c r="BLX26" s="1266"/>
      <c r="BLY26" s="1266"/>
      <c r="BLZ26" s="1266"/>
      <c r="BMA26" s="1266"/>
      <c r="BMB26" s="1266"/>
      <c r="BMC26" s="1266"/>
      <c r="BMD26" s="1266"/>
      <c r="BME26" s="1266"/>
      <c r="BMF26" s="1266"/>
      <c r="BMG26" s="1266"/>
      <c r="BMH26" s="1266"/>
      <c r="BMI26" s="1266"/>
      <c r="BMJ26" s="1266"/>
      <c r="BMK26" s="1266"/>
      <c r="BML26" s="1266"/>
      <c r="BMM26" s="1266"/>
      <c r="BMN26" s="1266"/>
      <c r="BMO26" s="1266"/>
      <c r="BMP26" s="1266"/>
      <c r="BMQ26" s="1266"/>
      <c r="BMR26" s="1266"/>
      <c r="BMS26" s="1266"/>
      <c r="BMT26" s="1266"/>
      <c r="BMU26" s="1266"/>
      <c r="BMV26" s="1266"/>
      <c r="BMW26" s="1266"/>
      <c r="BMX26" s="1266"/>
      <c r="BMY26" s="1266"/>
      <c r="BMZ26" s="1266"/>
      <c r="BNA26" s="1266"/>
      <c r="BNB26" s="1266"/>
      <c r="BNC26" s="1266"/>
      <c r="BND26" s="1266"/>
      <c r="BNE26" s="1266"/>
      <c r="BNF26" s="1266"/>
      <c r="BNG26" s="1266"/>
      <c r="BNH26" s="1266"/>
      <c r="BNI26" s="1266"/>
      <c r="BNJ26" s="1266"/>
      <c r="BNK26" s="1266"/>
      <c r="BNL26" s="1266"/>
      <c r="BNM26" s="1266"/>
      <c r="BNN26" s="1266"/>
      <c r="BNO26" s="1266"/>
      <c r="BNP26" s="1266"/>
      <c r="BNQ26" s="1266"/>
      <c r="BNR26" s="1266"/>
      <c r="BNS26" s="1266"/>
      <c r="BNT26" s="1266"/>
      <c r="BNU26" s="1266"/>
      <c r="BNV26" s="1266"/>
      <c r="BNW26" s="1266"/>
      <c r="BNX26" s="1266"/>
      <c r="BNY26" s="1266"/>
      <c r="BNZ26" s="1266"/>
      <c r="BOA26" s="1266"/>
      <c r="BOB26" s="1266"/>
      <c r="BOC26" s="1266"/>
      <c r="BOD26" s="1266"/>
      <c r="BOE26" s="1266"/>
      <c r="BOF26" s="1266"/>
      <c r="BOG26" s="1266"/>
      <c r="BOH26" s="1266"/>
      <c r="BOI26" s="1266"/>
      <c r="BOJ26" s="1266"/>
      <c r="BOK26" s="1266"/>
      <c r="BOL26" s="1266"/>
      <c r="BOM26" s="1266"/>
      <c r="BON26" s="1266"/>
      <c r="BOO26" s="1266"/>
      <c r="BOP26" s="1266"/>
      <c r="BOQ26" s="1266"/>
      <c r="BOR26" s="1266"/>
      <c r="BOS26" s="1266"/>
      <c r="BOT26" s="1266"/>
      <c r="BOU26" s="1266"/>
      <c r="BOV26" s="1266"/>
      <c r="BOW26" s="1266"/>
      <c r="BOX26" s="1266"/>
      <c r="BOY26" s="1266"/>
      <c r="BOZ26" s="1266"/>
      <c r="BPA26" s="1266"/>
      <c r="BPB26" s="1266"/>
      <c r="BPC26" s="1266"/>
      <c r="BPD26" s="1266"/>
      <c r="BPE26" s="1266"/>
      <c r="BPF26" s="1266"/>
      <c r="BPG26" s="1266"/>
      <c r="BPH26" s="1266"/>
      <c r="BPI26" s="1266"/>
      <c r="BPJ26" s="1266"/>
      <c r="BPK26" s="1266"/>
      <c r="BPL26" s="1266"/>
      <c r="BPM26" s="1266"/>
      <c r="BPN26" s="1266"/>
      <c r="BPO26" s="1266"/>
      <c r="BPP26" s="1266"/>
      <c r="BPQ26" s="1266"/>
      <c r="BPR26" s="1266"/>
      <c r="BPS26" s="1266"/>
      <c r="BPT26" s="1266"/>
      <c r="BPU26" s="1266"/>
      <c r="BPV26" s="1266"/>
      <c r="BPW26" s="1266"/>
      <c r="BPX26" s="1266"/>
      <c r="BPY26" s="1266"/>
      <c r="BPZ26" s="1266"/>
      <c r="BQA26" s="1266"/>
      <c r="BQB26" s="1266"/>
      <c r="BQC26" s="1266"/>
      <c r="BQD26" s="1266"/>
      <c r="BQE26" s="1266"/>
      <c r="BQF26" s="1266"/>
      <c r="BQG26" s="1266"/>
      <c r="BQH26" s="1266"/>
      <c r="BQI26" s="1266"/>
      <c r="BQJ26" s="1266"/>
      <c r="BQK26" s="1266"/>
      <c r="BQL26" s="1266"/>
      <c r="BQM26" s="1266"/>
      <c r="BQN26" s="1266"/>
      <c r="BQO26" s="1266"/>
      <c r="BQP26" s="1266"/>
      <c r="BQQ26" s="1266"/>
      <c r="BQR26" s="1266"/>
      <c r="BQS26" s="1266"/>
      <c r="BQT26" s="1266"/>
      <c r="BQU26" s="1266"/>
      <c r="BQV26" s="1266"/>
      <c r="BQW26" s="1266"/>
      <c r="BQX26" s="1266"/>
      <c r="BQY26" s="1266"/>
      <c r="BQZ26" s="1266"/>
      <c r="BRA26" s="1266"/>
      <c r="BRB26" s="1266"/>
      <c r="BRC26" s="1266"/>
      <c r="BRD26" s="1266"/>
      <c r="BRE26" s="1266"/>
      <c r="BRF26" s="1266"/>
      <c r="BRG26" s="1266"/>
      <c r="BRH26" s="1266"/>
      <c r="BRI26" s="1266"/>
      <c r="BRJ26" s="1266"/>
      <c r="BRK26" s="1266"/>
      <c r="BRL26" s="1266"/>
      <c r="BRM26" s="1266"/>
      <c r="BRN26" s="1266"/>
      <c r="BRO26" s="1266"/>
      <c r="BRP26" s="1266"/>
      <c r="BRQ26" s="1266"/>
      <c r="BRR26" s="1266"/>
      <c r="BRS26" s="1266"/>
      <c r="BRT26" s="1266"/>
      <c r="BRU26" s="1266"/>
      <c r="BRV26" s="1266"/>
      <c r="BRW26" s="1266"/>
      <c r="BRX26" s="1266"/>
      <c r="BRY26" s="1266"/>
      <c r="BRZ26" s="1266"/>
      <c r="BSA26" s="1266"/>
      <c r="BSB26" s="1266"/>
      <c r="BSC26" s="1266"/>
      <c r="BSD26" s="1266"/>
      <c r="BSE26" s="1266"/>
      <c r="BSF26" s="1266"/>
      <c r="BSG26" s="1266"/>
      <c r="BSH26" s="1266"/>
      <c r="BSI26" s="1266"/>
      <c r="BSJ26" s="1266"/>
      <c r="BSK26" s="1266"/>
      <c r="BSL26" s="1266"/>
      <c r="BSM26" s="1266"/>
      <c r="BSN26" s="1266"/>
      <c r="BSO26" s="1266"/>
      <c r="BSP26" s="1266"/>
      <c r="BSQ26" s="1266"/>
      <c r="BSR26" s="1266"/>
      <c r="BSS26" s="1266"/>
      <c r="BST26" s="1266"/>
      <c r="BSU26" s="1266"/>
      <c r="BSV26" s="1266"/>
      <c r="BSW26" s="1266"/>
      <c r="BSX26" s="1266"/>
      <c r="BSY26" s="1266"/>
      <c r="BSZ26" s="1266"/>
      <c r="BTA26" s="1266"/>
      <c r="BTB26" s="1266"/>
      <c r="BTC26" s="1266"/>
      <c r="BTD26" s="1266"/>
      <c r="BTE26" s="1266"/>
      <c r="BTF26" s="1266"/>
      <c r="BTG26" s="1266"/>
      <c r="BTH26" s="1266"/>
      <c r="BTI26" s="1266"/>
      <c r="BTJ26" s="1266"/>
      <c r="BTK26" s="1266"/>
      <c r="BTL26" s="1266"/>
      <c r="BTM26" s="1266"/>
      <c r="BTN26" s="1266"/>
      <c r="BTO26" s="1266"/>
      <c r="BTP26" s="1266"/>
      <c r="BTQ26" s="1266"/>
      <c r="BTR26" s="1266"/>
      <c r="BTS26" s="1266"/>
      <c r="BTT26" s="1266"/>
      <c r="BTU26" s="1266"/>
      <c r="BTV26" s="1266"/>
      <c r="BTW26" s="1266"/>
      <c r="BTX26" s="1266"/>
      <c r="BTY26" s="1266"/>
      <c r="BTZ26" s="1266"/>
      <c r="BUA26" s="1266"/>
      <c r="BUB26" s="1266"/>
      <c r="BUC26" s="1266"/>
      <c r="BUD26" s="1266"/>
      <c r="BUE26" s="1266"/>
      <c r="BUF26" s="1266"/>
      <c r="BUG26" s="1266"/>
      <c r="BUH26" s="1266"/>
      <c r="BUI26" s="1266"/>
      <c r="BUJ26" s="1266"/>
      <c r="BUK26" s="1266"/>
      <c r="BUL26" s="1266"/>
      <c r="BUM26" s="1266"/>
      <c r="BUN26" s="1266"/>
      <c r="BUO26" s="1266"/>
      <c r="BUP26" s="1266"/>
      <c r="BUQ26" s="1266"/>
      <c r="BUR26" s="1266"/>
      <c r="BUS26" s="1266"/>
      <c r="BUT26" s="1266"/>
      <c r="BUU26" s="1266"/>
      <c r="BUV26" s="1266"/>
      <c r="BUW26" s="1266"/>
      <c r="BUX26" s="1266"/>
      <c r="BUY26" s="1266"/>
      <c r="BUZ26" s="1266"/>
      <c r="BVA26" s="1266"/>
      <c r="BVB26" s="1266"/>
      <c r="BVC26" s="1266"/>
      <c r="BVD26" s="1266"/>
      <c r="BVE26" s="1266"/>
      <c r="BVF26" s="1266"/>
      <c r="BVG26" s="1266"/>
      <c r="BVH26" s="1266"/>
      <c r="BVI26" s="1266"/>
      <c r="BVJ26" s="1266"/>
      <c r="BVK26" s="1266"/>
      <c r="BVL26" s="1266"/>
      <c r="BVM26" s="1266"/>
      <c r="BVN26" s="1266"/>
      <c r="BVO26" s="1266"/>
      <c r="BVP26" s="1266"/>
      <c r="BVQ26" s="1266"/>
      <c r="BVR26" s="1266"/>
      <c r="BVS26" s="1266"/>
      <c r="BVT26" s="1266"/>
      <c r="BVU26" s="1266"/>
      <c r="BVV26" s="1266"/>
      <c r="BVW26" s="1266"/>
      <c r="BVX26" s="1266"/>
      <c r="BVY26" s="1266"/>
      <c r="BVZ26" s="1266"/>
      <c r="BWA26" s="1266"/>
      <c r="BWB26" s="1266"/>
      <c r="BWC26" s="1266"/>
      <c r="BWD26" s="1266"/>
      <c r="BWE26" s="1266"/>
      <c r="BWF26" s="1266"/>
      <c r="BWG26" s="1266"/>
      <c r="BWH26" s="1266"/>
      <c r="BWI26" s="1266"/>
      <c r="BWJ26" s="1266"/>
      <c r="BWK26" s="1266"/>
      <c r="BWL26" s="1266"/>
      <c r="BWM26" s="1266"/>
      <c r="BWN26" s="1266"/>
      <c r="BWO26" s="1266"/>
      <c r="BWP26" s="1266"/>
      <c r="BWQ26" s="1266"/>
      <c r="BWR26" s="1266"/>
      <c r="BWS26" s="1266"/>
      <c r="BWT26" s="1266"/>
      <c r="BWU26" s="1266"/>
      <c r="BWV26" s="1266"/>
      <c r="BWW26" s="1266"/>
      <c r="BWX26" s="1266"/>
      <c r="BWY26" s="1266"/>
      <c r="BWZ26" s="1266"/>
      <c r="BXA26" s="1266"/>
      <c r="BXB26" s="1266"/>
      <c r="BXC26" s="1266"/>
      <c r="BXD26" s="1266"/>
      <c r="BXE26" s="1266"/>
      <c r="BXF26" s="1266"/>
      <c r="BXG26" s="1266"/>
      <c r="BXH26" s="1266"/>
      <c r="BXI26" s="1266"/>
      <c r="BXJ26" s="1266"/>
      <c r="BXK26" s="1266"/>
      <c r="BXL26" s="1266"/>
      <c r="BXM26" s="1266"/>
      <c r="BXN26" s="1266"/>
      <c r="BXO26" s="1266"/>
      <c r="BXP26" s="1266"/>
      <c r="BXQ26" s="1266"/>
      <c r="BXR26" s="1266"/>
      <c r="BXS26" s="1266"/>
      <c r="BXT26" s="1266"/>
      <c r="BXU26" s="1266"/>
      <c r="BXV26" s="1266"/>
      <c r="BXW26" s="1266"/>
      <c r="BXX26" s="1266"/>
      <c r="BXY26" s="1266"/>
      <c r="BXZ26" s="1266"/>
      <c r="BYA26" s="1266"/>
      <c r="BYB26" s="1266"/>
      <c r="BYC26" s="1266"/>
      <c r="BYD26" s="1266"/>
      <c r="BYE26" s="1266"/>
      <c r="BYF26" s="1266"/>
      <c r="BYG26" s="1266"/>
      <c r="BYH26" s="1266"/>
      <c r="BYI26" s="1266"/>
      <c r="BYJ26" s="1266"/>
      <c r="BYK26" s="1266"/>
      <c r="BYL26" s="1266"/>
      <c r="BYM26" s="1266"/>
      <c r="BYN26" s="1266"/>
      <c r="BYO26" s="1266"/>
      <c r="BYP26" s="1266"/>
      <c r="BYQ26" s="1266"/>
      <c r="BYR26" s="1266"/>
      <c r="BYS26" s="1266"/>
      <c r="BYT26" s="1266"/>
      <c r="BYU26" s="1266"/>
      <c r="BYV26" s="1266"/>
      <c r="BYW26" s="1266"/>
      <c r="BYX26" s="1266"/>
      <c r="BYY26" s="1266"/>
      <c r="BYZ26" s="1266"/>
      <c r="BZA26" s="1266"/>
      <c r="BZB26" s="1266"/>
      <c r="BZC26" s="1266"/>
      <c r="BZD26" s="1266"/>
      <c r="BZE26" s="1266"/>
      <c r="BZF26" s="1266"/>
      <c r="BZG26" s="1266"/>
      <c r="BZH26" s="1266"/>
      <c r="BZI26" s="1266"/>
      <c r="BZJ26" s="1266"/>
      <c r="BZK26" s="1266"/>
      <c r="BZL26" s="1266"/>
      <c r="BZM26" s="1266"/>
      <c r="BZN26" s="1266"/>
      <c r="BZO26" s="1266"/>
      <c r="BZP26" s="1266"/>
      <c r="BZQ26" s="1266"/>
      <c r="BZR26" s="1266"/>
      <c r="BZS26" s="1266"/>
      <c r="BZT26" s="1266"/>
      <c r="BZU26" s="1266"/>
      <c r="BZV26" s="1266"/>
      <c r="BZW26" s="1266"/>
      <c r="BZX26" s="1266"/>
      <c r="BZY26" s="1266"/>
      <c r="BZZ26" s="1266"/>
      <c r="CAA26" s="1266"/>
      <c r="CAB26" s="1266"/>
      <c r="CAC26" s="1266"/>
      <c r="CAD26" s="1266"/>
      <c r="CAE26" s="1266"/>
      <c r="CAF26" s="1266"/>
      <c r="CAG26" s="1266"/>
      <c r="CAH26" s="1266"/>
      <c r="CAI26" s="1266"/>
      <c r="CAJ26" s="1266"/>
      <c r="CAK26" s="1266"/>
      <c r="CAL26" s="1266"/>
      <c r="CAM26" s="1266"/>
      <c r="CAN26" s="1266"/>
      <c r="CAO26" s="1266"/>
      <c r="CAP26" s="1266"/>
      <c r="CAQ26" s="1266"/>
      <c r="CAR26" s="1266"/>
      <c r="CAS26" s="1266"/>
      <c r="CAT26" s="1266"/>
      <c r="CAU26" s="1266"/>
      <c r="CAV26" s="1266"/>
      <c r="CAW26" s="1266"/>
      <c r="CAX26" s="1266"/>
      <c r="CAY26" s="1266"/>
      <c r="CAZ26" s="1266"/>
      <c r="CBA26" s="1266"/>
      <c r="CBB26" s="1266"/>
      <c r="CBC26" s="1266"/>
      <c r="CBD26" s="1266"/>
      <c r="CBE26" s="1266"/>
      <c r="CBF26" s="1266"/>
      <c r="CBG26" s="1266"/>
      <c r="CBH26" s="1266"/>
      <c r="CBI26" s="1266"/>
      <c r="CBJ26" s="1266"/>
      <c r="CBK26" s="1266"/>
      <c r="CBL26" s="1266"/>
      <c r="CBM26" s="1266"/>
      <c r="CBN26" s="1266"/>
      <c r="CBO26" s="1266"/>
      <c r="CBP26" s="1266"/>
      <c r="CBQ26" s="1266"/>
      <c r="CBR26" s="1266"/>
      <c r="CBS26" s="1266"/>
      <c r="CBT26" s="1266"/>
      <c r="CBU26" s="1266"/>
      <c r="CBV26" s="1266"/>
      <c r="CBW26" s="1266"/>
      <c r="CBX26" s="1266"/>
      <c r="CBY26" s="1266"/>
      <c r="CBZ26" s="1266"/>
      <c r="CCA26" s="1266"/>
      <c r="CCB26" s="1266"/>
      <c r="CCC26" s="1266"/>
      <c r="CCD26" s="1266"/>
      <c r="CCE26" s="1266"/>
      <c r="CCF26" s="1266"/>
      <c r="CCG26" s="1266"/>
      <c r="CCH26" s="1266"/>
      <c r="CCI26" s="1266"/>
      <c r="CCJ26" s="1266"/>
      <c r="CCK26" s="1266"/>
      <c r="CCL26" s="1266"/>
      <c r="CCM26" s="1266"/>
      <c r="CCN26" s="1266"/>
      <c r="CCO26" s="1266"/>
      <c r="CCP26" s="1266"/>
      <c r="CCQ26" s="1266"/>
      <c r="CCR26" s="1266"/>
      <c r="CCS26" s="1266"/>
      <c r="CCT26" s="1266"/>
      <c r="CCU26" s="1266"/>
      <c r="CCV26" s="1266"/>
      <c r="CCW26" s="1266"/>
      <c r="CCX26" s="1266"/>
      <c r="CCY26" s="1266"/>
      <c r="CCZ26" s="1266"/>
      <c r="CDA26" s="1266"/>
      <c r="CDB26" s="1266"/>
      <c r="CDC26" s="1266"/>
      <c r="CDD26" s="1266"/>
      <c r="CDE26" s="1266"/>
      <c r="CDF26" s="1266"/>
      <c r="CDG26" s="1266"/>
      <c r="CDH26" s="1266"/>
      <c r="CDI26" s="1266"/>
      <c r="CDJ26" s="1266"/>
      <c r="CDK26" s="1266"/>
      <c r="CDL26" s="1266"/>
      <c r="CDM26" s="1266"/>
      <c r="CDN26" s="1266"/>
      <c r="CDO26" s="1266"/>
      <c r="CDP26" s="1266"/>
      <c r="CDQ26" s="1266"/>
      <c r="CDR26" s="1266"/>
      <c r="CDS26" s="1266"/>
      <c r="CDT26" s="1266"/>
      <c r="CDU26" s="1266"/>
      <c r="CDV26" s="1266"/>
      <c r="CDW26" s="1266"/>
      <c r="CDX26" s="1266"/>
      <c r="CDY26" s="1266"/>
      <c r="CDZ26" s="1266"/>
      <c r="CEA26" s="1266"/>
      <c r="CEB26" s="1266"/>
      <c r="CEC26" s="1266"/>
      <c r="CED26" s="1266"/>
      <c r="CEE26" s="1266"/>
      <c r="CEF26" s="1266"/>
      <c r="CEG26" s="1266"/>
      <c r="CEH26" s="1266"/>
      <c r="CEI26" s="1266"/>
      <c r="CEJ26" s="1266"/>
      <c r="CEK26" s="1266"/>
      <c r="CEL26" s="1266"/>
      <c r="CEM26" s="1266"/>
      <c r="CEN26" s="1266"/>
      <c r="CEO26" s="1266"/>
      <c r="CEP26" s="1266"/>
      <c r="CEQ26" s="1266"/>
      <c r="CER26" s="1266"/>
      <c r="CES26" s="1266"/>
      <c r="CET26" s="1266"/>
      <c r="CEU26" s="1266"/>
      <c r="CEV26" s="1266"/>
      <c r="CEW26" s="1266"/>
      <c r="CEX26" s="1266"/>
      <c r="CEY26" s="1266"/>
      <c r="CEZ26" s="1266"/>
      <c r="CFA26" s="1266"/>
      <c r="CFB26" s="1266"/>
      <c r="CFC26" s="1266"/>
      <c r="CFD26" s="1266"/>
      <c r="CFE26" s="1266"/>
      <c r="CFF26" s="1266"/>
      <c r="CFG26" s="1266"/>
      <c r="CFH26" s="1266"/>
      <c r="CFI26" s="1266"/>
      <c r="CFJ26" s="1266"/>
      <c r="CFK26" s="1266"/>
      <c r="CFL26" s="1266"/>
      <c r="CFM26" s="1266"/>
      <c r="CFN26" s="1266"/>
      <c r="CFO26" s="1266"/>
      <c r="CFP26" s="1266"/>
      <c r="CFQ26" s="1266"/>
      <c r="CFR26" s="1266"/>
      <c r="CFS26" s="1266"/>
      <c r="CFT26" s="1266"/>
      <c r="CFU26" s="1266"/>
      <c r="CFV26" s="1266"/>
      <c r="CFW26" s="1266"/>
      <c r="CFX26" s="1266"/>
      <c r="CFY26" s="1266"/>
      <c r="CFZ26" s="1266"/>
      <c r="CGA26" s="1266"/>
      <c r="CGB26" s="1266"/>
      <c r="CGC26" s="1266"/>
      <c r="CGD26" s="1266"/>
      <c r="CGE26" s="1266"/>
      <c r="CGF26" s="1266"/>
      <c r="CGG26" s="1266"/>
      <c r="CGH26" s="1266"/>
      <c r="CGI26" s="1266"/>
      <c r="CGJ26" s="1266"/>
      <c r="CGK26" s="1266"/>
      <c r="CGL26" s="1266"/>
      <c r="CGM26" s="1266"/>
      <c r="CGN26" s="1266"/>
      <c r="CGO26" s="1266"/>
      <c r="CGP26" s="1266"/>
      <c r="CGQ26" s="1266"/>
      <c r="CGR26" s="1266"/>
      <c r="CGS26" s="1266"/>
      <c r="CGT26" s="1266"/>
      <c r="CGU26" s="1266"/>
      <c r="CGV26" s="1266"/>
      <c r="CGW26" s="1266"/>
      <c r="CGX26" s="1266"/>
      <c r="CGY26" s="1266"/>
      <c r="CGZ26" s="1266"/>
      <c r="CHA26" s="1266"/>
      <c r="CHB26" s="1266"/>
      <c r="CHC26" s="1266"/>
      <c r="CHD26" s="1266"/>
      <c r="CHE26" s="1266"/>
      <c r="CHF26" s="1266"/>
      <c r="CHG26" s="1266"/>
      <c r="CHH26" s="1266"/>
      <c r="CHI26" s="1266"/>
      <c r="CHJ26" s="1266"/>
      <c r="CHK26" s="1266"/>
      <c r="CHL26" s="1266"/>
      <c r="CHM26" s="1266"/>
      <c r="CHN26" s="1266"/>
      <c r="CHO26" s="1266"/>
      <c r="CHP26" s="1266"/>
      <c r="CHQ26" s="1266"/>
      <c r="CHR26" s="1266"/>
      <c r="CHS26" s="1266"/>
      <c r="CHT26" s="1266"/>
      <c r="CHU26" s="1266"/>
      <c r="CHV26" s="1266"/>
      <c r="CHW26" s="1266"/>
      <c r="CHX26" s="1266"/>
      <c r="CHY26" s="1266"/>
      <c r="CHZ26" s="1266"/>
      <c r="CIA26" s="1266"/>
      <c r="CIB26" s="1266"/>
      <c r="CIC26" s="1266"/>
      <c r="CID26" s="1266"/>
      <c r="CIE26" s="1266"/>
      <c r="CIF26" s="1266"/>
      <c r="CIG26" s="1266"/>
      <c r="CIH26" s="1266"/>
      <c r="CII26" s="1266"/>
      <c r="CIJ26" s="1266"/>
      <c r="CIK26" s="1266"/>
      <c r="CIL26" s="1266"/>
      <c r="CIM26" s="1266"/>
      <c r="CIN26" s="1266"/>
      <c r="CIO26" s="1266"/>
      <c r="CIP26" s="1266"/>
      <c r="CIQ26" s="1266"/>
      <c r="CIR26" s="1266"/>
      <c r="CIS26" s="1266"/>
      <c r="CIT26" s="1266"/>
      <c r="CIU26" s="1266"/>
      <c r="CIV26" s="1266"/>
      <c r="CIW26" s="1266"/>
      <c r="CIX26" s="1266"/>
      <c r="CIY26" s="1266"/>
      <c r="CIZ26" s="1266"/>
      <c r="CJA26" s="1266"/>
      <c r="CJB26" s="1266"/>
      <c r="CJC26" s="1266"/>
      <c r="CJD26" s="1266"/>
      <c r="CJE26" s="1266"/>
      <c r="CJF26" s="1266"/>
      <c r="CJG26" s="1266"/>
      <c r="CJH26" s="1266"/>
      <c r="CJI26" s="1266"/>
      <c r="CJJ26" s="1266"/>
      <c r="CJK26" s="1266"/>
      <c r="CJL26" s="1266"/>
      <c r="CJM26" s="1266"/>
      <c r="CJN26" s="1266"/>
      <c r="CJO26" s="1266"/>
      <c r="CJP26" s="1266"/>
      <c r="CJQ26" s="1266"/>
      <c r="CJR26" s="1266"/>
      <c r="CJS26" s="1266"/>
      <c r="CJT26" s="1266"/>
      <c r="CJU26" s="1266"/>
      <c r="CJV26" s="1266"/>
      <c r="CJW26" s="1266"/>
      <c r="CJX26" s="1266"/>
      <c r="CJY26" s="1266"/>
      <c r="CJZ26" s="1266"/>
      <c r="CKA26" s="1266"/>
      <c r="CKB26" s="1266"/>
      <c r="CKC26" s="1266"/>
      <c r="CKD26" s="1266"/>
      <c r="CKE26" s="1266"/>
      <c r="CKF26" s="1266"/>
      <c r="CKG26" s="1266"/>
      <c r="CKH26" s="1266"/>
      <c r="CKI26" s="1266"/>
      <c r="CKJ26" s="1266"/>
      <c r="CKK26" s="1266"/>
      <c r="CKL26" s="1266"/>
      <c r="CKM26" s="1266"/>
      <c r="CKN26" s="1266"/>
      <c r="CKO26" s="1266"/>
      <c r="CKP26" s="1266"/>
      <c r="CKQ26" s="1266"/>
      <c r="CKR26" s="1266"/>
      <c r="CKS26" s="1266"/>
      <c r="CKT26" s="1266"/>
      <c r="CKU26" s="1266"/>
      <c r="CKV26" s="1266"/>
      <c r="CKW26" s="1266"/>
      <c r="CKX26" s="1266"/>
      <c r="CKY26" s="1266"/>
      <c r="CKZ26" s="1266"/>
      <c r="CLA26" s="1266"/>
      <c r="CLB26" s="1266"/>
      <c r="CLC26" s="1266"/>
      <c r="CLD26" s="1266"/>
      <c r="CLE26" s="1266"/>
      <c r="CLF26" s="1266"/>
      <c r="CLG26" s="1266"/>
      <c r="CLH26" s="1266"/>
      <c r="CLI26" s="1266"/>
      <c r="CLJ26" s="1266"/>
      <c r="CLK26" s="1266"/>
      <c r="CLL26" s="1266"/>
      <c r="CLM26" s="1266"/>
      <c r="CLN26" s="1266"/>
      <c r="CLO26" s="1266"/>
      <c r="CLP26" s="1266"/>
      <c r="CLQ26" s="1266"/>
      <c r="CLR26" s="1266"/>
      <c r="CLS26" s="1266"/>
      <c r="CLT26" s="1266"/>
      <c r="CLU26" s="1266"/>
      <c r="CLV26" s="1266"/>
      <c r="CLW26" s="1266"/>
      <c r="CLX26" s="1266"/>
      <c r="CLY26" s="1266"/>
      <c r="CLZ26" s="1266"/>
      <c r="CMA26" s="1266"/>
      <c r="CMB26" s="1266"/>
      <c r="CMC26" s="1266"/>
      <c r="CMD26" s="1266"/>
      <c r="CME26" s="1266"/>
      <c r="CMF26" s="1266"/>
      <c r="CMG26" s="1266"/>
      <c r="CMH26" s="1266"/>
      <c r="CMI26" s="1266"/>
      <c r="CMJ26" s="1266"/>
      <c r="CMK26" s="1266"/>
      <c r="CML26" s="1266"/>
      <c r="CMM26" s="1266"/>
      <c r="CMN26" s="1266"/>
      <c r="CMO26" s="1266"/>
      <c r="CMP26" s="1266"/>
      <c r="CMQ26" s="1266"/>
      <c r="CMR26" s="1266"/>
      <c r="CMS26" s="1266"/>
      <c r="CMT26" s="1266"/>
      <c r="CMU26" s="1266"/>
      <c r="CMV26" s="1266"/>
      <c r="CMW26" s="1266"/>
      <c r="CMX26" s="1266"/>
      <c r="CMY26" s="1266"/>
      <c r="CMZ26" s="1266"/>
      <c r="CNA26" s="1266"/>
      <c r="CNB26" s="1266"/>
      <c r="CNC26" s="1266"/>
      <c r="CND26" s="1266"/>
      <c r="CNE26" s="1266"/>
      <c r="CNF26" s="1266"/>
      <c r="CNG26" s="1266"/>
      <c r="CNH26" s="1266"/>
      <c r="CNI26" s="1266"/>
      <c r="CNJ26" s="1266"/>
      <c r="CNK26" s="1266"/>
      <c r="CNL26" s="1266"/>
      <c r="CNM26" s="1266"/>
      <c r="CNN26" s="1266"/>
      <c r="CNO26" s="1266"/>
      <c r="CNP26" s="1266"/>
      <c r="CNQ26" s="1266"/>
      <c r="CNR26" s="1266"/>
      <c r="CNS26" s="1266"/>
      <c r="CNT26" s="1266"/>
      <c r="CNU26" s="1266"/>
      <c r="CNV26" s="1266"/>
      <c r="CNW26" s="1266"/>
      <c r="CNX26" s="1266"/>
      <c r="CNY26" s="1266"/>
      <c r="CNZ26" s="1266"/>
      <c r="COA26" s="1266"/>
      <c r="COB26" s="1266"/>
      <c r="COC26" s="1266"/>
      <c r="COD26" s="1266"/>
      <c r="COE26" s="1266"/>
      <c r="COF26" s="1266"/>
      <c r="COG26" s="1266"/>
      <c r="COH26" s="1266"/>
      <c r="COI26" s="1266"/>
      <c r="COJ26" s="1266"/>
      <c r="COK26" s="1266"/>
      <c r="COL26" s="1266"/>
      <c r="COM26" s="1266"/>
      <c r="CON26" s="1266"/>
      <c r="COO26" s="1266"/>
      <c r="COP26" s="1266"/>
      <c r="COQ26" s="1266"/>
      <c r="COR26" s="1266"/>
      <c r="COS26" s="1266"/>
      <c r="COT26" s="1266"/>
      <c r="COU26" s="1266"/>
      <c r="COV26" s="1266"/>
      <c r="COW26" s="1266"/>
      <c r="COX26" s="1266"/>
      <c r="COY26" s="1266"/>
      <c r="COZ26" s="1266"/>
      <c r="CPA26" s="1266"/>
      <c r="CPB26" s="1266"/>
      <c r="CPC26" s="1266"/>
      <c r="CPD26" s="1266"/>
      <c r="CPE26" s="1266"/>
      <c r="CPF26" s="1266"/>
      <c r="CPG26" s="1266"/>
      <c r="CPH26" s="1266"/>
      <c r="CPI26" s="1266"/>
      <c r="CPJ26" s="1266"/>
      <c r="CPK26" s="1266"/>
      <c r="CPL26" s="1266"/>
      <c r="CPM26" s="1266"/>
      <c r="CPN26" s="1266"/>
      <c r="CPO26" s="1266"/>
      <c r="CPP26" s="1266"/>
      <c r="CPQ26" s="1266"/>
      <c r="CPR26" s="1266"/>
      <c r="CPS26" s="1266"/>
      <c r="CPT26" s="1266"/>
      <c r="CPU26" s="1266"/>
      <c r="CPV26" s="1266"/>
      <c r="CPW26" s="1266"/>
      <c r="CPX26" s="1266"/>
      <c r="CPY26" s="1266"/>
      <c r="CPZ26" s="1266"/>
      <c r="CQA26" s="1266"/>
      <c r="CQB26" s="1266"/>
      <c r="CQC26" s="1266"/>
      <c r="CQD26" s="1266"/>
      <c r="CQE26" s="1266"/>
      <c r="CQF26" s="1266"/>
      <c r="CQG26" s="1266"/>
      <c r="CQH26" s="1266"/>
      <c r="CQI26" s="1266"/>
      <c r="CQJ26" s="1266"/>
      <c r="CQK26" s="1266"/>
      <c r="CQL26" s="1266"/>
      <c r="CQM26" s="1266"/>
      <c r="CQN26" s="1266"/>
      <c r="CQO26" s="1266"/>
      <c r="CQP26" s="1266"/>
      <c r="CQQ26" s="1266"/>
      <c r="CQR26" s="1266"/>
      <c r="CQS26" s="1266"/>
      <c r="CQT26" s="1266"/>
      <c r="CQU26" s="1266"/>
      <c r="CQV26" s="1266"/>
      <c r="CQW26" s="1266"/>
      <c r="CQX26" s="1266"/>
      <c r="CQY26" s="1266"/>
      <c r="CQZ26" s="1266"/>
      <c r="CRA26" s="1266"/>
      <c r="CRB26" s="1266"/>
      <c r="CRC26" s="1266"/>
      <c r="CRD26" s="1266"/>
      <c r="CRE26" s="1266"/>
      <c r="CRF26" s="1266"/>
      <c r="CRG26" s="1266"/>
      <c r="CRH26" s="1266"/>
      <c r="CRI26" s="1266"/>
      <c r="CRJ26" s="1266"/>
      <c r="CRK26" s="1266"/>
      <c r="CRL26" s="1266"/>
      <c r="CRM26" s="1266"/>
      <c r="CRN26" s="1266"/>
      <c r="CRO26" s="1266"/>
      <c r="CRP26" s="1266"/>
      <c r="CRQ26" s="1266"/>
      <c r="CRR26" s="1266"/>
      <c r="CRS26" s="1266"/>
      <c r="CRT26" s="1266"/>
      <c r="CRU26" s="1266"/>
      <c r="CRV26" s="1266"/>
      <c r="CRW26" s="1266"/>
      <c r="CRX26" s="1266"/>
      <c r="CRY26" s="1266"/>
      <c r="CRZ26" s="1266"/>
      <c r="CSA26" s="1266"/>
      <c r="CSB26" s="1266"/>
      <c r="CSC26" s="1266"/>
      <c r="CSD26" s="1266"/>
      <c r="CSE26" s="1266"/>
      <c r="CSF26" s="1266"/>
      <c r="CSG26" s="1266"/>
      <c r="CSH26" s="1266"/>
      <c r="CSI26" s="1266"/>
      <c r="CSJ26" s="1266"/>
      <c r="CSK26" s="1266"/>
      <c r="CSL26" s="1266"/>
      <c r="CSM26" s="1266"/>
      <c r="CSN26" s="1266"/>
      <c r="CSO26" s="1266"/>
      <c r="CSP26" s="1266"/>
      <c r="CSQ26" s="1266"/>
      <c r="CSR26" s="1266"/>
      <c r="CSS26" s="1266"/>
      <c r="CST26" s="1266"/>
      <c r="CSU26" s="1266"/>
      <c r="CSV26" s="1266"/>
      <c r="CSW26" s="1266"/>
      <c r="CSX26" s="1266"/>
      <c r="CSY26" s="1266"/>
      <c r="CSZ26" s="1266"/>
      <c r="CTA26" s="1266"/>
      <c r="CTB26" s="1266"/>
      <c r="CTC26" s="1266"/>
      <c r="CTD26" s="1266"/>
      <c r="CTE26" s="1266"/>
      <c r="CTF26" s="1266"/>
      <c r="CTG26" s="1266"/>
      <c r="CTH26" s="1266"/>
      <c r="CTI26" s="1266"/>
      <c r="CTJ26" s="1266"/>
      <c r="CTK26" s="1266"/>
      <c r="CTL26" s="1266"/>
      <c r="CTM26" s="1266"/>
      <c r="CTN26" s="1266"/>
      <c r="CTO26" s="1266"/>
      <c r="CTP26" s="1266"/>
      <c r="CTQ26" s="1266"/>
      <c r="CTR26" s="1266"/>
      <c r="CTS26" s="1266"/>
      <c r="CTT26" s="1266"/>
      <c r="CTU26" s="1266"/>
      <c r="CTV26" s="1266"/>
      <c r="CTW26" s="1266"/>
      <c r="CTX26" s="1266"/>
      <c r="CTY26" s="1266"/>
      <c r="CTZ26" s="1266"/>
      <c r="CUA26" s="1266"/>
      <c r="CUB26" s="1266"/>
      <c r="CUC26" s="1266"/>
      <c r="CUD26" s="1266"/>
      <c r="CUE26" s="1266"/>
      <c r="CUF26" s="1266"/>
      <c r="CUG26" s="1266"/>
      <c r="CUH26" s="1266"/>
      <c r="CUI26" s="1266"/>
      <c r="CUJ26" s="1266"/>
      <c r="CUK26" s="1266"/>
      <c r="CUL26" s="1266"/>
      <c r="CUM26" s="1266"/>
      <c r="CUN26" s="1266"/>
      <c r="CUO26" s="1266"/>
      <c r="CUP26" s="1266"/>
      <c r="CUQ26" s="1266"/>
      <c r="CUR26" s="1266"/>
      <c r="CUS26" s="1266"/>
      <c r="CUT26" s="1266"/>
      <c r="CUU26" s="1266"/>
      <c r="CUV26" s="1266"/>
      <c r="CUW26" s="1266"/>
      <c r="CUX26" s="1266"/>
      <c r="CUY26" s="1266"/>
      <c r="CUZ26" s="1266"/>
      <c r="CVA26" s="1266"/>
      <c r="CVB26" s="1266"/>
      <c r="CVC26" s="1266"/>
      <c r="CVD26" s="1266"/>
      <c r="CVE26" s="1266"/>
      <c r="CVF26" s="1266"/>
      <c r="CVG26" s="1266"/>
      <c r="CVH26" s="1266"/>
      <c r="CVI26" s="1266"/>
      <c r="CVJ26" s="1266"/>
      <c r="CVK26" s="1266"/>
      <c r="CVL26" s="1266"/>
      <c r="CVM26" s="1266"/>
      <c r="CVN26" s="1266"/>
      <c r="CVO26" s="1266"/>
      <c r="CVP26" s="1266"/>
      <c r="CVQ26" s="1266"/>
      <c r="CVR26" s="1266"/>
      <c r="CVS26" s="1266"/>
      <c r="CVT26" s="1266"/>
      <c r="CVU26" s="1266"/>
      <c r="CVV26" s="1266"/>
      <c r="CVW26" s="1266"/>
      <c r="CVX26" s="1266"/>
      <c r="CVY26" s="1266"/>
      <c r="CVZ26" s="1266"/>
      <c r="CWA26" s="1266"/>
      <c r="CWB26" s="1266"/>
      <c r="CWC26" s="1266"/>
      <c r="CWD26" s="1266"/>
      <c r="CWE26" s="1266"/>
      <c r="CWF26" s="1266"/>
      <c r="CWG26" s="1266"/>
      <c r="CWH26" s="1266"/>
      <c r="CWI26" s="1266"/>
      <c r="CWJ26" s="1266"/>
      <c r="CWK26" s="1266"/>
      <c r="CWL26" s="1266"/>
      <c r="CWM26" s="1266"/>
      <c r="CWN26" s="1266"/>
      <c r="CWO26" s="1266"/>
      <c r="CWP26" s="1266"/>
      <c r="CWQ26" s="1266"/>
      <c r="CWR26" s="1266"/>
      <c r="CWS26" s="1266"/>
      <c r="CWT26" s="1266"/>
      <c r="CWU26" s="1266"/>
      <c r="CWV26" s="1266"/>
      <c r="CWW26" s="1266"/>
      <c r="CWX26" s="1266"/>
      <c r="CWY26" s="1266"/>
      <c r="CWZ26" s="1266"/>
      <c r="CXA26" s="1266"/>
      <c r="CXB26" s="1266"/>
      <c r="CXC26" s="1266"/>
      <c r="CXD26" s="1266"/>
      <c r="CXE26" s="1266"/>
      <c r="CXF26" s="1266"/>
      <c r="CXG26" s="1266"/>
      <c r="CXH26" s="1266"/>
      <c r="CXI26" s="1266"/>
      <c r="CXJ26" s="1266"/>
      <c r="CXK26" s="1266"/>
      <c r="CXL26" s="1266"/>
      <c r="CXM26" s="1266"/>
      <c r="CXN26" s="1266"/>
      <c r="CXO26" s="1266"/>
      <c r="CXP26" s="1266"/>
      <c r="CXQ26" s="1266"/>
      <c r="CXR26" s="1266"/>
      <c r="CXS26" s="1266"/>
      <c r="CXT26" s="1266"/>
      <c r="CXU26" s="1266"/>
      <c r="CXV26" s="1266"/>
      <c r="CXW26" s="1266"/>
      <c r="CXX26" s="1266"/>
      <c r="CXY26" s="1266"/>
      <c r="CXZ26" s="1266"/>
      <c r="CYA26" s="1266"/>
      <c r="CYB26" s="1266"/>
      <c r="CYC26" s="1266"/>
      <c r="CYD26" s="1266"/>
      <c r="CYE26" s="1266"/>
      <c r="CYF26" s="1266"/>
      <c r="CYG26" s="1266"/>
      <c r="CYH26" s="1266"/>
      <c r="CYI26" s="1266"/>
      <c r="CYJ26" s="1266"/>
      <c r="CYK26" s="1266"/>
      <c r="CYL26" s="1266"/>
      <c r="CYM26" s="1266"/>
      <c r="CYN26" s="1266"/>
      <c r="CYO26" s="1266"/>
      <c r="CYP26" s="1266"/>
      <c r="CYQ26" s="1266"/>
      <c r="CYR26" s="1266"/>
      <c r="CYS26" s="1266"/>
      <c r="CYT26" s="1266"/>
      <c r="CYU26" s="1266"/>
      <c r="CYV26" s="1266"/>
      <c r="CYW26" s="1266"/>
      <c r="CYX26" s="1266"/>
      <c r="CYY26" s="1266"/>
      <c r="CYZ26" s="1266"/>
      <c r="CZA26" s="1266"/>
      <c r="CZB26" s="1266"/>
      <c r="CZC26" s="1266"/>
      <c r="CZD26" s="1266"/>
      <c r="CZE26" s="1266"/>
      <c r="CZF26" s="1266"/>
      <c r="CZG26" s="1266"/>
      <c r="CZH26" s="1266"/>
      <c r="CZI26" s="1266"/>
      <c r="CZJ26" s="1266"/>
      <c r="CZK26" s="1266"/>
      <c r="CZL26" s="1266"/>
      <c r="CZM26" s="1266"/>
      <c r="CZN26" s="1266"/>
      <c r="CZO26" s="1266"/>
      <c r="CZP26" s="1266"/>
      <c r="CZQ26" s="1266"/>
      <c r="CZR26" s="1266"/>
      <c r="CZS26" s="1266"/>
      <c r="CZT26" s="1266"/>
      <c r="CZU26" s="1266"/>
      <c r="CZV26" s="1266"/>
      <c r="CZW26" s="1266"/>
      <c r="CZX26" s="1266"/>
      <c r="CZY26" s="1266"/>
      <c r="CZZ26" s="1266"/>
      <c r="DAA26" s="1266"/>
      <c r="DAB26" s="1266"/>
      <c r="DAC26" s="1266"/>
      <c r="DAD26" s="1266"/>
      <c r="DAE26" s="1266"/>
      <c r="DAF26" s="1266"/>
      <c r="DAG26" s="1266"/>
      <c r="DAH26" s="1266"/>
      <c r="DAI26" s="1266"/>
      <c r="DAJ26" s="1266"/>
      <c r="DAK26" s="1266"/>
      <c r="DAL26" s="1266"/>
      <c r="DAM26" s="1266"/>
      <c r="DAN26" s="1266"/>
      <c r="DAO26" s="1266"/>
      <c r="DAP26" s="1266"/>
      <c r="DAQ26" s="1266"/>
      <c r="DAR26" s="1266"/>
      <c r="DAS26" s="1266"/>
      <c r="DAT26" s="1266"/>
      <c r="DAU26" s="1266"/>
      <c r="DAV26" s="1266"/>
      <c r="DAW26" s="1266"/>
      <c r="DAX26" s="1266"/>
      <c r="DAY26" s="1266"/>
      <c r="DAZ26" s="1266"/>
      <c r="DBA26" s="1266"/>
      <c r="DBB26" s="1266"/>
      <c r="DBC26" s="1266"/>
      <c r="DBD26" s="1266"/>
      <c r="DBE26" s="1266"/>
      <c r="DBF26" s="1266"/>
      <c r="DBG26" s="1266"/>
      <c r="DBH26" s="1266"/>
      <c r="DBI26" s="1266"/>
      <c r="DBJ26" s="1266"/>
      <c r="DBK26" s="1266"/>
      <c r="DBL26" s="1266"/>
      <c r="DBM26" s="1266"/>
      <c r="DBN26" s="1266"/>
      <c r="DBO26" s="1266"/>
      <c r="DBP26" s="1266"/>
      <c r="DBQ26" s="1266"/>
      <c r="DBR26" s="1266"/>
      <c r="DBS26" s="1266"/>
      <c r="DBT26" s="1266"/>
      <c r="DBU26" s="1266"/>
      <c r="DBV26" s="1266"/>
      <c r="DBW26" s="1266"/>
      <c r="DBX26" s="1266"/>
      <c r="DBY26" s="1266"/>
      <c r="DBZ26" s="1266"/>
      <c r="DCA26" s="1266"/>
      <c r="DCB26" s="1266"/>
      <c r="DCC26" s="1266"/>
      <c r="DCD26" s="1266"/>
      <c r="DCE26" s="1266"/>
      <c r="DCF26" s="1266"/>
      <c r="DCG26" s="1266"/>
      <c r="DCH26" s="1266"/>
      <c r="DCI26" s="1266"/>
      <c r="DCJ26" s="1266"/>
      <c r="DCK26" s="1266"/>
      <c r="DCL26" s="1266"/>
      <c r="DCM26" s="1266"/>
      <c r="DCN26" s="1266"/>
      <c r="DCO26" s="1266"/>
      <c r="DCP26" s="1266"/>
      <c r="DCQ26" s="1266"/>
      <c r="DCR26" s="1266"/>
      <c r="DCS26" s="1266"/>
      <c r="DCT26" s="1266"/>
      <c r="DCU26" s="1266"/>
      <c r="DCV26" s="1266"/>
      <c r="DCW26" s="1266"/>
      <c r="DCX26" s="1266"/>
      <c r="DCY26" s="1266"/>
      <c r="DCZ26" s="1266"/>
      <c r="DDA26" s="1266"/>
      <c r="DDB26" s="1266"/>
      <c r="DDC26" s="1266"/>
      <c r="DDD26" s="1266"/>
      <c r="DDE26" s="1266"/>
      <c r="DDF26" s="1266"/>
      <c r="DDG26" s="1266"/>
      <c r="DDH26" s="1266"/>
      <c r="DDI26" s="1266"/>
      <c r="DDJ26" s="1266"/>
      <c r="DDK26" s="1266"/>
      <c r="DDL26" s="1266"/>
      <c r="DDM26" s="1266"/>
      <c r="DDN26" s="1266"/>
      <c r="DDO26" s="1266"/>
      <c r="DDP26" s="1266"/>
      <c r="DDQ26" s="1266"/>
      <c r="DDR26" s="1266"/>
      <c r="DDS26" s="1266"/>
      <c r="DDT26" s="1266"/>
      <c r="DDU26" s="1266"/>
      <c r="DDV26" s="1266"/>
      <c r="DDW26" s="1266"/>
      <c r="DDX26" s="1266"/>
      <c r="DDY26" s="1266"/>
      <c r="DDZ26" s="1266"/>
      <c r="DEA26" s="1266"/>
      <c r="DEB26" s="1266"/>
      <c r="DEC26" s="1266"/>
      <c r="DED26" s="1266"/>
      <c r="DEE26" s="1266"/>
      <c r="DEF26" s="1266"/>
      <c r="DEG26" s="1266"/>
      <c r="DEH26" s="1266"/>
      <c r="DEI26" s="1266"/>
      <c r="DEJ26" s="1266"/>
      <c r="DEK26" s="1266"/>
      <c r="DEL26" s="1266"/>
      <c r="DEM26" s="1266"/>
      <c r="DEN26" s="1266"/>
      <c r="DEO26" s="1266"/>
      <c r="DEP26" s="1266"/>
      <c r="DEQ26" s="1266"/>
      <c r="DER26" s="1266"/>
      <c r="DES26" s="1266"/>
      <c r="DET26" s="1266"/>
      <c r="DEU26" s="1266"/>
      <c r="DEV26" s="1266"/>
      <c r="DEW26" s="1266"/>
      <c r="DEX26" s="1266"/>
      <c r="DEY26" s="1266"/>
      <c r="DEZ26" s="1266"/>
      <c r="DFA26" s="1266"/>
      <c r="DFB26" s="1266"/>
      <c r="DFC26" s="1266"/>
      <c r="DFD26" s="1266"/>
      <c r="DFE26" s="1266"/>
      <c r="DFF26" s="1266"/>
      <c r="DFG26" s="1266"/>
      <c r="DFH26" s="1266"/>
      <c r="DFI26" s="1266"/>
      <c r="DFJ26" s="1266"/>
      <c r="DFK26" s="1266"/>
      <c r="DFL26" s="1266"/>
      <c r="DFM26" s="1266"/>
      <c r="DFN26" s="1266"/>
      <c r="DFO26" s="1266"/>
      <c r="DFP26" s="1266"/>
      <c r="DFQ26" s="1266"/>
      <c r="DFR26" s="1266"/>
      <c r="DFS26" s="1266"/>
      <c r="DFT26" s="1266"/>
      <c r="DFU26" s="1266"/>
      <c r="DFV26" s="1266"/>
      <c r="DFW26" s="1266"/>
      <c r="DFX26" s="1266"/>
      <c r="DFY26" s="1266"/>
      <c r="DFZ26" s="1266"/>
      <c r="DGA26" s="1266"/>
      <c r="DGB26" s="1266"/>
      <c r="DGC26" s="1266"/>
      <c r="DGD26" s="1266"/>
      <c r="DGE26" s="1266"/>
      <c r="DGF26" s="1266"/>
      <c r="DGG26" s="1266"/>
      <c r="DGH26" s="1266"/>
      <c r="DGI26" s="1266"/>
      <c r="DGJ26" s="1266"/>
      <c r="DGK26" s="1266"/>
      <c r="DGL26" s="1266"/>
      <c r="DGM26" s="1266"/>
      <c r="DGN26" s="1266"/>
      <c r="DGO26" s="1266"/>
      <c r="DGP26" s="1266"/>
      <c r="DGQ26" s="1266"/>
      <c r="DGR26" s="1266"/>
      <c r="DGS26" s="1266"/>
      <c r="DGT26" s="1266"/>
      <c r="DGU26" s="1266"/>
      <c r="DGV26" s="1266"/>
      <c r="DGW26" s="1266"/>
      <c r="DGX26" s="1266"/>
      <c r="DGY26" s="1266"/>
      <c r="DGZ26" s="1266"/>
      <c r="DHA26" s="1266"/>
      <c r="DHB26" s="1266"/>
      <c r="DHC26" s="1266"/>
      <c r="DHD26" s="1266"/>
      <c r="DHE26" s="1266"/>
      <c r="DHF26" s="1266"/>
      <c r="DHG26" s="1266"/>
      <c r="DHH26" s="1266"/>
      <c r="DHI26" s="1266"/>
      <c r="DHJ26" s="1266"/>
      <c r="DHK26" s="1266"/>
      <c r="DHL26" s="1266"/>
      <c r="DHM26" s="1266"/>
      <c r="DHN26" s="1266"/>
      <c r="DHO26" s="1266"/>
      <c r="DHP26" s="1266"/>
      <c r="DHQ26" s="1266"/>
      <c r="DHR26" s="1266"/>
      <c r="DHS26" s="1266"/>
      <c r="DHT26" s="1266"/>
      <c r="DHU26" s="1266"/>
      <c r="DHV26" s="1266"/>
      <c r="DHW26" s="1266"/>
      <c r="DHX26" s="1266"/>
      <c r="DHY26" s="1266"/>
      <c r="DHZ26" s="1266"/>
      <c r="DIA26" s="1266"/>
      <c r="DIB26" s="1266"/>
      <c r="DIC26" s="1266"/>
      <c r="DID26" s="1266"/>
      <c r="DIE26" s="1266"/>
      <c r="DIF26" s="1266"/>
      <c r="DIG26" s="1266"/>
      <c r="DIH26" s="1266"/>
      <c r="DII26" s="1266"/>
      <c r="DIJ26" s="1266"/>
      <c r="DIK26" s="1266"/>
      <c r="DIL26" s="1266"/>
      <c r="DIM26" s="1266"/>
      <c r="DIN26" s="1266"/>
      <c r="DIO26" s="1266"/>
      <c r="DIP26" s="1266"/>
      <c r="DIQ26" s="1266"/>
      <c r="DIR26" s="1266"/>
      <c r="DIS26" s="1266"/>
      <c r="DIT26" s="1266"/>
      <c r="DIU26" s="1266"/>
      <c r="DIV26" s="1266"/>
      <c r="DIW26" s="1266"/>
      <c r="DIX26" s="1266"/>
      <c r="DIY26" s="1266"/>
      <c r="DIZ26" s="1266"/>
      <c r="DJA26" s="1266"/>
      <c r="DJB26" s="1266"/>
      <c r="DJC26" s="1266"/>
      <c r="DJD26" s="1266"/>
      <c r="DJE26" s="1266"/>
      <c r="DJF26" s="1266"/>
      <c r="DJG26" s="1266"/>
      <c r="DJH26" s="1266"/>
      <c r="DJI26" s="1266"/>
      <c r="DJJ26" s="1266"/>
      <c r="DJK26" s="1266"/>
      <c r="DJL26" s="1266"/>
      <c r="DJM26" s="1266"/>
      <c r="DJN26" s="1266"/>
      <c r="DJO26" s="1266"/>
      <c r="DJP26" s="1266"/>
      <c r="DJQ26" s="1266"/>
      <c r="DJR26" s="1266"/>
      <c r="DJS26" s="1266"/>
      <c r="DJT26" s="1266"/>
      <c r="DJU26" s="1266"/>
      <c r="DJV26" s="1266"/>
      <c r="DJW26" s="1266"/>
      <c r="DJX26" s="1266"/>
      <c r="DJY26" s="1266"/>
      <c r="DJZ26" s="1266"/>
      <c r="DKA26" s="1266"/>
      <c r="DKB26" s="1266"/>
      <c r="DKC26" s="1266"/>
      <c r="DKD26" s="1266"/>
      <c r="DKE26" s="1266"/>
      <c r="DKF26" s="1266"/>
      <c r="DKG26" s="1266"/>
      <c r="DKH26" s="1266"/>
      <c r="DKI26" s="1266"/>
      <c r="DKJ26" s="1266"/>
      <c r="DKK26" s="1266"/>
      <c r="DKL26" s="1266"/>
      <c r="DKM26" s="1266"/>
      <c r="DKN26" s="1266"/>
      <c r="DKO26" s="1266"/>
      <c r="DKP26" s="1266"/>
      <c r="DKQ26" s="1266"/>
      <c r="DKR26" s="1266"/>
      <c r="DKS26" s="1266"/>
      <c r="DKT26" s="1266"/>
      <c r="DKU26" s="1266"/>
      <c r="DKV26" s="1266"/>
      <c r="DKW26" s="1266"/>
      <c r="DKX26" s="1266"/>
      <c r="DKY26" s="1266"/>
      <c r="DKZ26" s="1266"/>
      <c r="DLA26" s="1266"/>
      <c r="DLB26" s="1266"/>
      <c r="DLC26" s="1266"/>
      <c r="DLD26" s="1266"/>
      <c r="DLE26" s="1266"/>
      <c r="DLF26" s="1266"/>
      <c r="DLG26" s="1266"/>
      <c r="DLH26" s="1266"/>
      <c r="DLI26" s="1266"/>
      <c r="DLJ26" s="1266"/>
      <c r="DLK26" s="1266"/>
      <c r="DLL26" s="1266"/>
      <c r="DLM26" s="1266"/>
      <c r="DLN26" s="1266"/>
      <c r="DLO26" s="1266"/>
      <c r="DLP26" s="1266"/>
      <c r="DLQ26" s="1266"/>
      <c r="DLR26" s="1266"/>
      <c r="DLS26" s="1266"/>
      <c r="DLT26" s="1266"/>
      <c r="DLU26" s="1266"/>
      <c r="DLV26" s="1266"/>
      <c r="DLW26" s="1266"/>
      <c r="DLX26" s="1266"/>
      <c r="DLY26" s="1266"/>
      <c r="DLZ26" s="1266"/>
      <c r="DMA26" s="1266"/>
      <c r="DMB26" s="1266"/>
      <c r="DMC26" s="1266"/>
      <c r="DMD26" s="1266"/>
      <c r="DME26" s="1266"/>
      <c r="DMF26" s="1266"/>
      <c r="DMG26" s="1266"/>
      <c r="DMH26" s="1266"/>
      <c r="DMI26" s="1266"/>
      <c r="DMJ26" s="1266"/>
      <c r="DMK26" s="1266"/>
      <c r="DML26" s="1266"/>
      <c r="DMM26" s="1266"/>
      <c r="DMN26" s="1266"/>
      <c r="DMO26" s="1266"/>
      <c r="DMP26" s="1266"/>
      <c r="DMQ26" s="1266"/>
      <c r="DMR26" s="1266"/>
      <c r="DMS26" s="1266"/>
      <c r="DMT26" s="1266"/>
      <c r="DMU26" s="1266"/>
      <c r="DMV26" s="1266"/>
      <c r="DMW26" s="1266"/>
      <c r="DMX26" s="1266"/>
      <c r="DMY26" s="1266"/>
      <c r="DMZ26" s="1266"/>
      <c r="DNA26" s="1266"/>
      <c r="DNB26" s="1266"/>
      <c r="DNC26" s="1266"/>
      <c r="DND26" s="1266"/>
      <c r="DNE26" s="1266"/>
      <c r="DNF26" s="1266"/>
      <c r="DNG26" s="1266"/>
      <c r="DNH26" s="1266"/>
      <c r="DNI26" s="1266"/>
      <c r="DNJ26" s="1266"/>
      <c r="DNK26" s="1266"/>
      <c r="DNL26" s="1266"/>
      <c r="DNM26" s="1266"/>
      <c r="DNN26" s="1266"/>
      <c r="DNO26" s="1266"/>
      <c r="DNP26" s="1266"/>
      <c r="DNQ26" s="1266"/>
      <c r="DNR26" s="1266"/>
      <c r="DNS26" s="1266"/>
      <c r="DNT26" s="1266"/>
      <c r="DNU26" s="1266"/>
      <c r="DNV26" s="1266"/>
      <c r="DNW26" s="1266"/>
      <c r="DNX26" s="1266"/>
      <c r="DNY26" s="1266"/>
      <c r="DNZ26" s="1266"/>
      <c r="DOA26" s="1266"/>
      <c r="DOB26" s="1266"/>
      <c r="DOC26" s="1266"/>
      <c r="DOD26" s="1266"/>
      <c r="DOE26" s="1266"/>
      <c r="DOF26" s="1266"/>
      <c r="DOG26" s="1266"/>
      <c r="DOH26" s="1266"/>
      <c r="DOI26" s="1266"/>
      <c r="DOJ26" s="1266"/>
      <c r="DOK26" s="1266"/>
      <c r="DOL26" s="1266"/>
      <c r="DOM26" s="1266"/>
      <c r="DON26" s="1266"/>
      <c r="DOO26" s="1266"/>
      <c r="DOP26" s="1266"/>
      <c r="DOQ26" s="1266"/>
      <c r="DOR26" s="1266"/>
      <c r="DOS26" s="1266"/>
      <c r="DOT26" s="1266"/>
      <c r="DOU26" s="1266"/>
      <c r="DOV26" s="1266"/>
      <c r="DOW26" s="1266"/>
      <c r="DOX26" s="1266"/>
      <c r="DOY26" s="1266"/>
      <c r="DOZ26" s="1266"/>
      <c r="DPA26" s="1266"/>
      <c r="DPB26" s="1266"/>
      <c r="DPC26" s="1266"/>
      <c r="DPD26" s="1266"/>
      <c r="DPE26" s="1266"/>
      <c r="DPF26" s="1266"/>
      <c r="DPG26" s="1266"/>
      <c r="DPH26" s="1266"/>
      <c r="DPI26" s="1266"/>
      <c r="DPJ26" s="1266"/>
      <c r="DPK26" s="1266"/>
      <c r="DPL26" s="1266"/>
      <c r="DPM26" s="1266"/>
      <c r="DPN26" s="1266"/>
      <c r="DPO26" s="1266"/>
      <c r="DPP26" s="1266"/>
      <c r="DPQ26" s="1266"/>
      <c r="DPR26" s="1266"/>
      <c r="DPS26" s="1266"/>
      <c r="DPT26" s="1266"/>
      <c r="DPU26" s="1266"/>
      <c r="DPV26" s="1266"/>
      <c r="DPW26" s="1266"/>
      <c r="DPX26" s="1266"/>
      <c r="DPY26" s="1266"/>
      <c r="DPZ26" s="1266"/>
      <c r="DQA26" s="1266"/>
      <c r="DQB26" s="1266"/>
      <c r="DQC26" s="1266"/>
      <c r="DQD26" s="1266"/>
      <c r="DQE26" s="1266"/>
      <c r="DQF26" s="1266"/>
      <c r="DQG26" s="1266"/>
      <c r="DQH26" s="1266"/>
      <c r="DQI26" s="1266"/>
      <c r="DQJ26" s="1266"/>
      <c r="DQK26" s="1266"/>
      <c r="DQL26" s="1266"/>
      <c r="DQM26" s="1266"/>
      <c r="DQN26" s="1266"/>
      <c r="DQO26" s="1266"/>
      <c r="DQP26" s="1266"/>
      <c r="DQQ26" s="1266"/>
      <c r="DQR26" s="1266"/>
      <c r="DQS26" s="1266"/>
      <c r="DQT26" s="1266"/>
      <c r="DQU26" s="1266"/>
      <c r="DQV26" s="1266"/>
      <c r="DQW26" s="1266"/>
      <c r="DQX26" s="1266"/>
      <c r="DQY26" s="1266"/>
      <c r="DQZ26" s="1266"/>
      <c r="DRA26" s="1266"/>
      <c r="DRB26" s="1266"/>
      <c r="DRC26" s="1266"/>
      <c r="DRD26" s="1266"/>
      <c r="DRE26" s="1266"/>
      <c r="DRF26" s="1266"/>
      <c r="DRG26" s="1266"/>
      <c r="DRH26" s="1266"/>
      <c r="DRI26" s="1266"/>
      <c r="DRJ26" s="1266"/>
      <c r="DRK26" s="1266"/>
      <c r="DRL26" s="1266"/>
      <c r="DRM26" s="1266"/>
      <c r="DRN26" s="1266"/>
      <c r="DRO26" s="1266"/>
      <c r="DRP26" s="1266"/>
      <c r="DRQ26" s="1266"/>
      <c r="DRR26" s="1266"/>
      <c r="DRS26" s="1266"/>
      <c r="DRT26" s="1266"/>
      <c r="DRU26" s="1266"/>
      <c r="DRV26" s="1266"/>
      <c r="DRW26" s="1266"/>
      <c r="DRX26" s="1266"/>
      <c r="DRY26" s="1266"/>
      <c r="DRZ26" s="1266"/>
      <c r="DSA26" s="1266"/>
      <c r="DSB26" s="1266"/>
      <c r="DSC26" s="1266"/>
      <c r="DSD26" s="1266"/>
      <c r="DSE26" s="1266"/>
      <c r="DSF26" s="1266"/>
      <c r="DSG26" s="1266"/>
      <c r="DSH26" s="1266"/>
      <c r="DSI26" s="1266"/>
      <c r="DSJ26" s="1266"/>
      <c r="DSK26" s="1266"/>
      <c r="DSL26" s="1266"/>
      <c r="DSM26" s="1266"/>
      <c r="DSN26" s="1266"/>
      <c r="DSO26" s="1266"/>
      <c r="DSP26" s="1266"/>
      <c r="DSQ26" s="1266"/>
      <c r="DSR26" s="1266"/>
      <c r="DSS26" s="1266"/>
      <c r="DST26" s="1266"/>
      <c r="DSU26" s="1266"/>
      <c r="DSV26" s="1266"/>
      <c r="DSW26" s="1266"/>
      <c r="DSX26" s="1266"/>
      <c r="DSY26" s="1266"/>
      <c r="DSZ26" s="1266"/>
      <c r="DTA26" s="1266"/>
      <c r="DTB26" s="1266"/>
      <c r="DTC26" s="1266"/>
      <c r="DTD26" s="1266"/>
      <c r="DTE26" s="1266"/>
      <c r="DTF26" s="1266"/>
      <c r="DTG26" s="1266"/>
      <c r="DTH26" s="1266"/>
      <c r="DTI26" s="1266"/>
      <c r="DTJ26" s="1266"/>
      <c r="DTK26" s="1266"/>
      <c r="DTL26" s="1266"/>
      <c r="DTM26" s="1266"/>
      <c r="DTN26" s="1266"/>
      <c r="DTO26" s="1266"/>
      <c r="DTP26" s="1266"/>
      <c r="DTQ26" s="1266"/>
      <c r="DTR26" s="1266"/>
      <c r="DTS26" s="1266"/>
      <c r="DTT26" s="1266"/>
      <c r="DTU26" s="1266"/>
      <c r="DTV26" s="1266"/>
      <c r="DTW26" s="1266"/>
      <c r="DTX26" s="1266"/>
      <c r="DTY26" s="1266"/>
      <c r="DTZ26" s="1266"/>
      <c r="DUA26" s="1266"/>
      <c r="DUB26" s="1266"/>
      <c r="DUC26" s="1266"/>
      <c r="DUD26" s="1266"/>
      <c r="DUE26" s="1266"/>
      <c r="DUF26" s="1266"/>
      <c r="DUG26" s="1266"/>
      <c r="DUH26" s="1266"/>
      <c r="DUI26" s="1266"/>
      <c r="DUJ26" s="1266"/>
      <c r="DUK26" s="1266"/>
      <c r="DUL26" s="1266"/>
      <c r="DUM26" s="1266"/>
      <c r="DUN26" s="1266"/>
      <c r="DUO26" s="1266"/>
      <c r="DUP26" s="1266"/>
      <c r="DUQ26" s="1266"/>
      <c r="DUR26" s="1266"/>
      <c r="DUS26" s="1266"/>
      <c r="DUT26" s="1266"/>
      <c r="DUU26" s="1266"/>
      <c r="DUV26" s="1266"/>
      <c r="DUW26" s="1266"/>
      <c r="DUX26" s="1266"/>
      <c r="DUY26" s="1266"/>
      <c r="DUZ26" s="1266"/>
      <c r="DVA26" s="1266"/>
      <c r="DVB26" s="1266"/>
      <c r="DVC26" s="1266"/>
      <c r="DVD26" s="1266"/>
      <c r="DVE26" s="1266"/>
      <c r="DVF26" s="1266"/>
      <c r="DVG26" s="1266"/>
      <c r="DVH26" s="1266"/>
      <c r="DVI26" s="1266"/>
      <c r="DVJ26" s="1266"/>
      <c r="DVK26" s="1266"/>
      <c r="DVL26" s="1266"/>
      <c r="DVM26" s="1266"/>
      <c r="DVN26" s="1266"/>
      <c r="DVO26" s="1266"/>
      <c r="DVP26" s="1266"/>
      <c r="DVQ26" s="1266"/>
      <c r="DVR26" s="1266"/>
      <c r="DVS26" s="1266"/>
      <c r="DVT26" s="1266"/>
      <c r="DVU26" s="1266"/>
      <c r="DVV26" s="1266"/>
      <c r="DVW26" s="1266"/>
      <c r="DVX26" s="1266"/>
      <c r="DVY26" s="1266"/>
      <c r="DVZ26" s="1266"/>
      <c r="DWA26" s="1266"/>
      <c r="DWB26" s="1266"/>
      <c r="DWC26" s="1266"/>
      <c r="DWD26" s="1266"/>
      <c r="DWE26" s="1266"/>
      <c r="DWF26" s="1266"/>
      <c r="DWG26" s="1266"/>
      <c r="DWH26" s="1266"/>
      <c r="DWI26" s="1266"/>
      <c r="DWJ26" s="1266"/>
      <c r="DWK26" s="1266"/>
      <c r="DWL26" s="1266"/>
      <c r="DWM26" s="1266"/>
      <c r="DWN26" s="1266"/>
      <c r="DWO26" s="1266"/>
      <c r="DWP26" s="1266"/>
      <c r="DWQ26" s="1266"/>
      <c r="DWR26" s="1266"/>
      <c r="DWS26" s="1266"/>
      <c r="DWT26" s="1266"/>
      <c r="DWU26" s="1266"/>
      <c r="DWV26" s="1266"/>
      <c r="DWW26" s="1266"/>
      <c r="DWX26" s="1266"/>
      <c r="DWY26" s="1266"/>
      <c r="DWZ26" s="1266"/>
      <c r="DXA26" s="1266"/>
      <c r="DXB26" s="1266"/>
      <c r="DXC26" s="1266"/>
      <c r="DXD26" s="1266"/>
      <c r="DXE26" s="1266"/>
      <c r="DXF26" s="1266"/>
      <c r="DXG26" s="1266"/>
      <c r="DXH26" s="1266"/>
      <c r="DXI26" s="1266"/>
      <c r="DXJ26" s="1266"/>
      <c r="DXK26" s="1266"/>
      <c r="DXL26" s="1266"/>
      <c r="DXM26" s="1266"/>
      <c r="DXN26" s="1266"/>
      <c r="DXO26" s="1266"/>
      <c r="DXP26" s="1266"/>
      <c r="DXQ26" s="1266"/>
      <c r="DXR26" s="1266"/>
      <c r="DXS26" s="1266"/>
      <c r="DXT26" s="1266"/>
      <c r="DXU26" s="1266"/>
      <c r="DXV26" s="1266"/>
      <c r="DXW26" s="1266"/>
      <c r="DXX26" s="1266"/>
      <c r="DXY26" s="1266"/>
      <c r="DXZ26" s="1266"/>
      <c r="DYA26" s="1266"/>
      <c r="DYB26" s="1266"/>
      <c r="DYC26" s="1266"/>
      <c r="DYD26" s="1266"/>
      <c r="DYE26" s="1266"/>
      <c r="DYF26" s="1266"/>
      <c r="DYG26" s="1266"/>
      <c r="DYH26" s="1266"/>
      <c r="DYI26" s="1266"/>
      <c r="DYJ26" s="1266"/>
      <c r="DYK26" s="1266"/>
      <c r="DYL26" s="1266"/>
      <c r="DYM26" s="1266"/>
      <c r="DYN26" s="1266"/>
      <c r="DYO26" s="1266"/>
      <c r="DYP26" s="1266"/>
      <c r="DYQ26" s="1266"/>
      <c r="DYR26" s="1266"/>
      <c r="DYS26" s="1266"/>
      <c r="DYT26" s="1266"/>
      <c r="DYU26" s="1266"/>
      <c r="DYV26" s="1266"/>
      <c r="DYW26" s="1266"/>
      <c r="DYX26" s="1266"/>
      <c r="DYY26" s="1266"/>
      <c r="DYZ26" s="1266"/>
      <c r="DZA26" s="1266"/>
      <c r="DZB26" s="1266"/>
      <c r="DZC26" s="1266"/>
      <c r="DZD26" s="1266"/>
      <c r="DZE26" s="1266"/>
      <c r="DZF26" s="1266"/>
      <c r="DZG26" s="1266"/>
      <c r="DZH26" s="1266"/>
      <c r="DZI26" s="1266"/>
      <c r="DZJ26" s="1266"/>
      <c r="DZK26" s="1266"/>
      <c r="DZL26" s="1266"/>
      <c r="DZM26" s="1266"/>
      <c r="DZN26" s="1266"/>
      <c r="DZO26" s="1266"/>
      <c r="DZP26" s="1266"/>
      <c r="DZQ26" s="1266"/>
      <c r="DZR26" s="1266"/>
      <c r="DZS26" s="1266"/>
      <c r="DZT26" s="1266"/>
      <c r="DZU26" s="1266"/>
      <c r="DZV26" s="1266"/>
      <c r="DZW26" s="1266"/>
      <c r="DZX26" s="1266"/>
      <c r="DZY26" s="1266"/>
      <c r="DZZ26" s="1266"/>
      <c r="EAA26" s="1266"/>
      <c r="EAB26" s="1266"/>
      <c r="EAC26" s="1266"/>
      <c r="EAD26" s="1266"/>
      <c r="EAE26" s="1266"/>
      <c r="EAF26" s="1266"/>
      <c r="EAG26" s="1266"/>
      <c r="EAH26" s="1266"/>
      <c r="EAI26" s="1266"/>
      <c r="EAJ26" s="1266"/>
      <c r="EAK26" s="1266"/>
      <c r="EAL26" s="1266"/>
      <c r="EAM26" s="1266"/>
      <c r="EAN26" s="1266"/>
      <c r="EAO26" s="1266"/>
      <c r="EAP26" s="1266"/>
      <c r="EAQ26" s="1266"/>
      <c r="EAR26" s="1266"/>
      <c r="EAS26" s="1266"/>
      <c r="EAT26" s="1266"/>
      <c r="EAU26" s="1266"/>
      <c r="EAV26" s="1266"/>
      <c r="EAW26" s="1266"/>
      <c r="EAX26" s="1266"/>
      <c r="EAY26" s="1266"/>
      <c r="EAZ26" s="1266"/>
      <c r="EBA26" s="1266"/>
      <c r="EBB26" s="1266"/>
      <c r="EBC26" s="1266"/>
      <c r="EBD26" s="1266"/>
      <c r="EBE26" s="1266"/>
      <c r="EBF26" s="1266"/>
      <c r="EBG26" s="1266"/>
      <c r="EBH26" s="1266"/>
      <c r="EBI26" s="1266"/>
      <c r="EBJ26" s="1266"/>
      <c r="EBK26" s="1266"/>
      <c r="EBL26" s="1266"/>
      <c r="EBM26" s="1266"/>
      <c r="EBN26" s="1266"/>
      <c r="EBO26" s="1266"/>
      <c r="EBP26" s="1266"/>
      <c r="EBQ26" s="1266"/>
      <c r="EBR26" s="1266"/>
      <c r="EBS26" s="1266"/>
      <c r="EBT26" s="1266"/>
      <c r="EBU26" s="1266"/>
      <c r="EBV26" s="1266"/>
      <c r="EBW26" s="1266"/>
      <c r="EBX26" s="1266"/>
      <c r="EBY26" s="1266"/>
      <c r="EBZ26" s="1266"/>
      <c r="ECA26" s="1266"/>
      <c r="ECB26" s="1266"/>
      <c r="ECC26" s="1266"/>
      <c r="ECD26" s="1266"/>
      <c r="ECE26" s="1266"/>
      <c r="ECF26" s="1266"/>
      <c r="ECG26" s="1266"/>
      <c r="ECH26" s="1266"/>
      <c r="ECI26" s="1266"/>
      <c r="ECJ26" s="1266"/>
      <c r="ECK26" s="1266"/>
      <c r="ECL26" s="1266"/>
      <c r="ECM26" s="1266"/>
      <c r="ECN26" s="1266"/>
      <c r="ECO26" s="1266"/>
      <c r="ECP26" s="1266"/>
      <c r="ECQ26" s="1266"/>
      <c r="ECR26" s="1266"/>
      <c r="ECS26" s="1266"/>
      <c r="ECT26" s="1266"/>
      <c r="ECU26" s="1266"/>
      <c r="ECV26" s="1266"/>
      <c r="ECW26" s="1266"/>
      <c r="ECX26" s="1266"/>
      <c r="ECY26" s="1266"/>
      <c r="ECZ26" s="1266"/>
      <c r="EDA26" s="1266"/>
      <c r="EDB26" s="1266"/>
      <c r="EDC26" s="1266"/>
      <c r="EDD26" s="1266"/>
      <c r="EDE26" s="1266"/>
      <c r="EDF26" s="1266"/>
      <c r="EDG26" s="1266"/>
      <c r="EDH26" s="1266"/>
      <c r="EDI26" s="1266"/>
      <c r="EDJ26" s="1266"/>
      <c r="EDK26" s="1266"/>
      <c r="EDL26" s="1266"/>
      <c r="EDM26" s="1266"/>
      <c r="EDN26" s="1266"/>
      <c r="EDO26" s="1266"/>
      <c r="EDP26" s="1266"/>
      <c r="EDQ26" s="1266"/>
      <c r="EDR26" s="1266"/>
      <c r="EDS26" s="1266"/>
      <c r="EDT26" s="1266"/>
      <c r="EDU26" s="1266"/>
      <c r="EDV26" s="1266"/>
      <c r="EDW26" s="1266"/>
      <c r="EDX26" s="1266"/>
      <c r="EDY26" s="1266"/>
      <c r="EDZ26" s="1266"/>
      <c r="EEA26" s="1266"/>
      <c r="EEB26" s="1266"/>
      <c r="EEC26" s="1266"/>
      <c r="EED26" s="1266"/>
      <c r="EEE26" s="1266"/>
      <c r="EEF26" s="1266"/>
      <c r="EEG26" s="1266"/>
      <c r="EEH26" s="1266"/>
      <c r="EEI26" s="1266"/>
      <c r="EEJ26" s="1266"/>
      <c r="EEK26" s="1266"/>
      <c r="EEL26" s="1266"/>
      <c r="EEM26" s="1266"/>
      <c r="EEN26" s="1266"/>
      <c r="EEO26" s="1266"/>
      <c r="EEP26" s="1266"/>
      <c r="EEQ26" s="1266"/>
      <c r="EER26" s="1266"/>
      <c r="EES26" s="1266"/>
      <c r="EET26" s="1266"/>
      <c r="EEU26" s="1266"/>
      <c r="EEV26" s="1266"/>
      <c r="EEW26" s="1266"/>
      <c r="EEX26" s="1266"/>
      <c r="EEY26" s="1266"/>
      <c r="EEZ26" s="1266"/>
      <c r="EFA26" s="1266"/>
      <c r="EFB26" s="1266"/>
      <c r="EFC26" s="1266"/>
      <c r="EFD26" s="1266"/>
      <c r="EFE26" s="1266"/>
      <c r="EFF26" s="1266"/>
      <c r="EFG26" s="1266"/>
      <c r="EFH26" s="1266"/>
      <c r="EFI26" s="1266"/>
      <c r="EFJ26" s="1266"/>
      <c r="EFK26" s="1266"/>
      <c r="EFL26" s="1266"/>
      <c r="EFM26" s="1266"/>
      <c r="EFN26" s="1266"/>
      <c r="EFO26" s="1266"/>
      <c r="EFP26" s="1266"/>
      <c r="EFQ26" s="1266"/>
      <c r="EFR26" s="1266"/>
      <c r="EFS26" s="1266"/>
      <c r="EFT26" s="1266"/>
      <c r="EFU26" s="1266"/>
      <c r="EFV26" s="1266"/>
      <c r="EFW26" s="1266"/>
      <c r="EFX26" s="1266"/>
      <c r="EFY26" s="1266"/>
      <c r="EFZ26" s="1266"/>
      <c r="EGA26" s="1266"/>
      <c r="EGB26" s="1266"/>
      <c r="EGC26" s="1266"/>
      <c r="EGD26" s="1266"/>
      <c r="EGE26" s="1266"/>
      <c r="EGF26" s="1266"/>
      <c r="EGG26" s="1266"/>
      <c r="EGH26" s="1266"/>
      <c r="EGI26" s="1266"/>
      <c r="EGJ26" s="1266"/>
      <c r="EGK26" s="1266"/>
      <c r="EGL26" s="1266"/>
      <c r="EGM26" s="1266"/>
      <c r="EGN26" s="1266"/>
      <c r="EGO26" s="1266"/>
      <c r="EGP26" s="1266"/>
      <c r="EGQ26" s="1266"/>
      <c r="EGR26" s="1266"/>
      <c r="EGS26" s="1266"/>
      <c r="EGT26" s="1266"/>
      <c r="EGU26" s="1266"/>
      <c r="EGV26" s="1266"/>
      <c r="EGW26" s="1266"/>
      <c r="EGX26" s="1266"/>
      <c r="EGY26" s="1266"/>
      <c r="EGZ26" s="1266"/>
      <c r="EHA26" s="1266"/>
      <c r="EHB26" s="1266"/>
      <c r="EHC26" s="1266"/>
      <c r="EHD26" s="1266"/>
      <c r="EHE26" s="1266"/>
      <c r="EHF26" s="1266"/>
      <c r="EHG26" s="1266"/>
      <c r="EHH26" s="1266"/>
      <c r="EHI26" s="1266"/>
      <c r="EHJ26" s="1266"/>
      <c r="EHK26" s="1266"/>
      <c r="EHL26" s="1266"/>
      <c r="EHM26" s="1266"/>
      <c r="EHN26" s="1266"/>
      <c r="EHO26" s="1266"/>
      <c r="EHP26" s="1266"/>
      <c r="EHQ26" s="1266"/>
      <c r="EHR26" s="1266"/>
      <c r="EHS26" s="1266"/>
      <c r="EHT26" s="1266"/>
      <c r="EHU26" s="1266"/>
      <c r="EHV26" s="1266"/>
      <c r="EHW26" s="1266"/>
      <c r="EHX26" s="1266"/>
      <c r="EHY26" s="1266"/>
      <c r="EHZ26" s="1266"/>
      <c r="EIA26" s="1266"/>
      <c r="EIB26" s="1266"/>
      <c r="EIC26" s="1266"/>
      <c r="EID26" s="1266"/>
      <c r="EIE26" s="1266"/>
      <c r="EIF26" s="1266"/>
      <c r="EIG26" s="1266"/>
      <c r="EIH26" s="1266"/>
      <c r="EII26" s="1266"/>
      <c r="EIJ26" s="1266"/>
      <c r="EIK26" s="1266"/>
      <c r="EIL26" s="1266"/>
      <c r="EIM26" s="1266"/>
      <c r="EIN26" s="1266"/>
      <c r="EIO26" s="1266"/>
      <c r="EIP26" s="1266"/>
      <c r="EIQ26" s="1266"/>
      <c r="EIR26" s="1266"/>
      <c r="EIS26" s="1266"/>
      <c r="EIT26" s="1266"/>
      <c r="EIU26" s="1266"/>
      <c r="EIV26" s="1266"/>
      <c r="EIW26" s="1266"/>
      <c r="EIX26" s="1266"/>
      <c r="EIY26" s="1266"/>
      <c r="EIZ26" s="1266"/>
      <c r="EJA26" s="1266"/>
      <c r="EJB26" s="1266"/>
      <c r="EJC26" s="1266"/>
      <c r="EJD26" s="1266"/>
      <c r="EJE26" s="1266"/>
      <c r="EJF26" s="1266"/>
      <c r="EJG26" s="1266"/>
      <c r="EJH26" s="1266"/>
      <c r="EJI26" s="1266"/>
      <c r="EJJ26" s="1266"/>
      <c r="EJK26" s="1266"/>
      <c r="EJL26" s="1266"/>
      <c r="EJM26" s="1266"/>
      <c r="EJN26" s="1266"/>
      <c r="EJO26" s="1266"/>
      <c r="EJP26" s="1266"/>
      <c r="EJQ26" s="1266"/>
      <c r="EJR26" s="1266"/>
      <c r="EJS26" s="1266"/>
      <c r="EJT26" s="1266"/>
      <c r="EJU26" s="1266"/>
      <c r="EJV26" s="1266"/>
      <c r="EJW26" s="1266"/>
      <c r="EJX26" s="1266"/>
      <c r="EJY26" s="1266"/>
      <c r="EJZ26" s="1266"/>
      <c r="EKA26" s="1266"/>
      <c r="EKB26" s="1266"/>
      <c r="EKC26" s="1266"/>
      <c r="EKD26" s="1266"/>
      <c r="EKE26" s="1266"/>
      <c r="EKF26" s="1266"/>
      <c r="EKG26" s="1266"/>
      <c r="EKH26" s="1266"/>
      <c r="EKI26" s="1266"/>
      <c r="EKJ26" s="1266"/>
      <c r="EKK26" s="1266"/>
      <c r="EKL26" s="1266"/>
      <c r="EKM26" s="1266"/>
      <c r="EKN26" s="1266"/>
      <c r="EKO26" s="1266"/>
      <c r="EKP26" s="1266"/>
      <c r="EKQ26" s="1266"/>
      <c r="EKR26" s="1266"/>
      <c r="EKS26" s="1266"/>
      <c r="EKT26" s="1266"/>
      <c r="EKU26" s="1266"/>
      <c r="EKV26" s="1266"/>
      <c r="EKW26" s="1266"/>
      <c r="EKX26" s="1266"/>
      <c r="EKY26" s="1266"/>
      <c r="EKZ26" s="1266"/>
      <c r="ELA26" s="1266"/>
      <c r="ELB26" s="1266"/>
      <c r="ELC26" s="1266"/>
      <c r="ELD26" s="1266"/>
      <c r="ELE26" s="1266"/>
      <c r="ELF26" s="1266"/>
      <c r="ELG26" s="1266"/>
      <c r="ELH26" s="1266"/>
      <c r="ELI26" s="1266"/>
      <c r="ELJ26" s="1266"/>
      <c r="ELK26" s="1266"/>
      <c r="ELL26" s="1266"/>
      <c r="ELM26" s="1266"/>
      <c r="ELN26" s="1266"/>
      <c r="ELO26" s="1266"/>
      <c r="ELP26" s="1266"/>
      <c r="ELQ26" s="1266"/>
      <c r="ELR26" s="1266"/>
      <c r="ELS26" s="1266"/>
      <c r="ELT26" s="1266"/>
      <c r="ELU26" s="1266"/>
      <c r="ELV26" s="1266"/>
      <c r="ELW26" s="1266"/>
      <c r="ELX26" s="1266"/>
      <c r="ELY26" s="1266"/>
      <c r="ELZ26" s="1266"/>
      <c r="EMA26" s="1266"/>
      <c r="EMB26" s="1266"/>
      <c r="EMC26" s="1266"/>
      <c r="EMD26" s="1266"/>
      <c r="EME26" s="1266"/>
      <c r="EMF26" s="1266"/>
      <c r="EMG26" s="1266"/>
      <c r="EMH26" s="1266"/>
      <c r="EMI26" s="1266"/>
      <c r="EMJ26" s="1266"/>
      <c r="EMK26" s="1266"/>
      <c r="EML26" s="1266"/>
      <c r="EMM26" s="1266"/>
      <c r="EMN26" s="1266"/>
      <c r="EMO26" s="1266"/>
      <c r="EMP26" s="1266"/>
      <c r="EMQ26" s="1266"/>
      <c r="EMR26" s="1266"/>
      <c r="EMS26" s="1266"/>
      <c r="EMT26" s="1266"/>
      <c r="EMU26" s="1266"/>
      <c r="EMV26" s="1266"/>
      <c r="EMW26" s="1266"/>
      <c r="EMX26" s="1266"/>
      <c r="EMY26" s="1266"/>
      <c r="EMZ26" s="1266"/>
      <c r="ENA26" s="1266"/>
      <c r="ENB26" s="1266"/>
      <c r="ENC26" s="1266"/>
      <c r="END26" s="1266"/>
      <c r="ENE26" s="1266"/>
      <c r="ENF26" s="1266"/>
      <c r="ENG26" s="1266"/>
      <c r="ENH26" s="1266"/>
      <c r="ENI26" s="1266"/>
      <c r="ENJ26" s="1266"/>
      <c r="ENK26" s="1266"/>
      <c r="ENL26" s="1266"/>
      <c r="ENM26" s="1266"/>
      <c r="ENN26" s="1266"/>
      <c r="ENO26" s="1266"/>
      <c r="ENP26" s="1266"/>
      <c r="ENQ26" s="1266"/>
      <c r="ENR26" s="1266"/>
      <c r="ENS26" s="1266"/>
      <c r="ENT26" s="1266"/>
      <c r="ENU26" s="1266"/>
      <c r="ENV26" s="1266"/>
      <c r="ENW26" s="1266"/>
      <c r="ENX26" s="1266"/>
      <c r="ENY26" s="1266"/>
      <c r="ENZ26" s="1266"/>
      <c r="EOA26" s="1266"/>
      <c r="EOB26" s="1266"/>
      <c r="EOC26" s="1266"/>
      <c r="EOD26" s="1266"/>
      <c r="EOE26" s="1266"/>
      <c r="EOF26" s="1266"/>
      <c r="EOG26" s="1266"/>
      <c r="EOH26" s="1266"/>
      <c r="EOI26" s="1266"/>
      <c r="EOJ26" s="1266"/>
      <c r="EOK26" s="1266"/>
      <c r="EOL26" s="1266"/>
      <c r="EOM26" s="1266"/>
      <c r="EON26" s="1266"/>
      <c r="EOO26" s="1266"/>
      <c r="EOP26" s="1266"/>
      <c r="EOQ26" s="1266"/>
      <c r="EOR26" s="1266"/>
      <c r="EOS26" s="1266"/>
      <c r="EOT26" s="1266"/>
      <c r="EOU26" s="1266"/>
      <c r="EOV26" s="1266"/>
      <c r="EOW26" s="1266"/>
      <c r="EOX26" s="1266"/>
      <c r="EOY26" s="1266"/>
      <c r="EOZ26" s="1266"/>
      <c r="EPA26" s="1266"/>
      <c r="EPB26" s="1266"/>
      <c r="EPC26" s="1266"/>
      <c r="EPD26" s="1266"/>
      <c r="EPE26" s="1266"/>
      <c r="EPF26" s="1266"/>
      <c r="EPG26" s="1266"/>
      <c r="EPH26" s="1266"/>
      <c r="EPI26" s="1266"/>
      <c r="EPJ26" s="1266"/>
      <c r="EPK26" s="1266"/>
      <c r="EPL26" s="1266"/>
      <c r="EPM26" s="1266"/>
      <c r="EPN26" s="1266"/>
      <c r="EPO26" s="1266"/>
      <c r="EPP26" s="1266"/>
      <c r="EPQ26" s="1266"/>
      <c r="EPR26" s="1266"/>
      <c r="EPS26" s="1266"/>
      <c r="EPT26" s="1266"/>
      <c r="EPU26" s="1266"/>
      <c r="EPV26" s="1266"/>
      <c r="EPW26" s="1266"/>
      <c r="EPX26" s="1266"/>
      <c r="EPY26" s="1266"/>
      <c r="EPZ26" s="1266"/>
      <c r="EQA26" s="1266"/>
      <c r="EQB26" s="1266"/>
      <c r="EQC26" s="1266"/>
      <c r="EQD26" s="1266"/>
      <c r="EQE26" s="1266"/>
      <c r="EQF26" s="1266"/>
      <c r="EQG26" s="1266"/>
      <c r="EQH26" s="1266"/>
      <c r="EQI26" s="1266"/>
      <c r="EQJ26" s="1266"/>
      <c r="EQK26" s="1266"/>
      <c r="EQL26" s="1266"/>
      <c r="EQM26" s="1266"/>
      <c r="EQN26" s="1266"/>
      <c r="EQO26" s="1266"/>
      <c r="EQP26" s="1266"/>
      <c r="EQQ26" s="1266"/>
      <c r="EQR26" s="1266"/>
      <c r="EQS26" s="1266"/>
      <c r="EQT26" s="1266"/>
      <c r="EQU26" s="1266"/>
      <c r="EQV26" s="1266"/>
      <c r="EQW26" s="1266"/>
      <c r="EQX26" s="1266"/>
      <c r="EQY26" s="1266"/>
      <c r="EQZ26" s="1266"/>
      <c r="ERA26" s="1266"/>
      <c r="ERB26" s="1266"/>
      <c r="ERC26" s="1266"/>
      <c r="ERD26" s="1266"/>
      <c r="ERE26" s="1266"/>
      <c r="ERF26" s="1266"/>
      <c r="ERG26" s="1266"/>
      <c r="ERH26" s="1266"/>
      <c r="ERI26" s="1266"/>
      <c r="ERJ26" s="1266"/>
      <c r="ERK26" s="1266"/>
      <c r="ERL26" s="1266"/>
      <c r="ERM26" s="1266"/>
      <c r="ERN26" s="1266"/>
      <c r="ERO26" s="1266"/>
      <c r="ERP26" s="1266"/>
      <c r="ERQ26" s="1266"/>
      <c r="ERR26" s="1266"/>
      <c r="ERS26" s="1266"/>
      <c r="ERT26" s="1266"/>
      <c r="ERU26" s="1266"/>
      <c r="ERV26" s="1266"/>
      <c r="ERW26" s="1266"/>
      <c r="ERX26" s="1266"/>
      <c r="ERY26" s="1266"/>
      <c r="ERZ26" s="1266"/>
      <c r="ESA26" s="1266"/>
      <c r="ESB26" s="1266"/>
      <c r="ESC26" s="1266"/>
      <c r="ESD26" s="1266"/>
      <c r="ESE26" s="1266"/>
      <c r="ESF26" s="1266"/>
      <c r="ESG26" s="1266"/>
      <c r="ESH26" s="1266"/>
      <c r="ESI26" s="1266"/>
      <c r="ESJ26" s="1266"/>
      <c r="ESK26" s="1266"/>
      <c r="ESL26" s="1266"/>
      <c r="ESM26" s="1266"/>
      <c r="ESN26" s="1266"/>
      <c r="ESO26" s="1266"/>
      <c r="ESP26" s="1266"/>
      <c r="ESQ26" s="1266"/>
      <c r="ESR26" s="1266"/>
      <c r="ESS26" s="1266"/>
      <c r="EST26" s="1266"/>
      <c r="ESU26" s="1266"/>
      <c r="ESV26" s="1266"/>
      <c r="ESW26" s="1266"/>
      <c r="ESX26" s="1266"/>
      <c r="ESY26" s="1266"/>
      <c r="ESZ26" s="1266"/>
      <c r="ETA26" s="1266"/>
      <c r="ETB26" s="1266"/>
      <c r="ETC26" s="1266"/>
      <c r="ETD26" s="1266"/>
      <c r="ETE26" s="1266"/>
      <c r="ETF26" s="1266"/>
      <c r="ETG26" s="1266"/>
      <c r="ETH26" s="1266"/>
      <c r="ETI26" s="1266"/>
      <c r="ETJ26" s="1266"/>
      <c r="ETK26" s="1266"/>
      <c r="ETL26" s="1266"/>
      <c r="ETM26" s="1266"/>
      <c r="ETN26" s="1266"/>
      <c r="ETO26" s="1266"/>
      <c r="ETP26" s="1266"/>
      <c r="ETQ26" s="1266"/>
      <c r="ETR26" s="1266"/>
      <c r="ETS26" s="1266"/>
      <c r="ETT26" s="1266"/>
      <c r="ETU26" s="1266"/>
      <c r="ETV26" s="1266"/>
      <c r="ETW26" s="1266"/>
      <c r="ETX26" s="1266"/>
      <c r="ETY26" s="1266"/>
      <c r="ETZ26" s="1266"/>
      <c r="EUA26" s="1266"/>
      <c r="EUB26" s="1266"/>
      <c r="EUC26" s="1266"/>
      <c r="EUD26" s="1266"/>
      <c r="EUE26" s="1266"/>
      <c r="EUF26" s="1266"/>
      <c r="EUG26" s="1266"/>
      <c r="EUH26" s="1266"/>
      <c r="EUI26" s="1266"/>
      <c r="EUJ26" s="1266"/>
      <c r="EUK26" s="1266"/>
      <c r="EUL26" s="1266"/>
      <c r="EUM26" s="1266"/>
      <c r="EUN26" s="1266"/>
      <c r="EUO26" s="1266"/>
      <c r="EUP26" s="1266"/>
      <c r="EUQ26" s="1266"/>
      <c r="EUR26" s="1266"/>
      <c r="EUS26" s="1266"/>
      <c r="EUT26" s="1266"/>
      <c r="EUU26" s="1266"/>
      <c r="EUV26" s="1266"/>
      <c r="EUW26" s="1266"/>
      <c r="EUX26" s="1266"/>
      <c r="EUY26" s="1266"/>
      <c r="EUZ26" s="1266"/>
      <c r="EVA26" s="1266"/>
      <c r="EVB26" s="1266"/>
      <c r="EVC26" s="1266"/>
      <c r="EVD26" s="1266"/>
      <c r="EVE26" s="1266"/>
      <c r="EVF26" s="1266"/>
      <c r="EVG26" s="1266"/>
      <c r="EVH26" s="1266"/>
      <c r="EVI26" s="1266"/>
      <c r="EVJ26" s="1266"/>
      <c r="EVK26" s="1266"/>
      <c r="EVL26" s="1266"/>
      <c r="EVM26" s="1266"/>
      <c r="EVN26" s="1266"/>
      <c r="EVO26" s="1266"/>
      <c r="EVP26" s="1266"/>
      <c r="EVQ26" s="1266"/>
      <c r="EVR26" s="1266"/>
      <c r="EVS26" s="1266"/>
      <c r="EVT26" s="1266"/>
      <c r="EVU26" s="1266"/>
      <c r="EVV26" s="1266"/>
      <c r="EVW26" s="1266"/>
      <c r="EVX26" s="1266"/>
      <c r="EVY26" s="1266"/>
      <c r="EVZ26" s="1266"/>
      <c r="EWA26" s="1266"/>
      <c r="EWB26" s="1266"/>
      <c r="EWC26" s="1266"/>
      <c r="EWD26" s="1266"/>
      <c r="EWE26" s="1266"/>
      <c r="EWF26" s="1266"/>
      <c r="EWG26" s="1266"/>
      <c r="EWH26" s="1266"/>
      <c r="EWI26" s="1266"/>
      <c r="EWJ26" s="1266"/>
      <c r="EWK26" s="1266"/>
      <c r="EWL26" s="1266"/>
      <c r="EWM26" s="1266"/>
      <c r="EWN26" s="1266"/>
      <c r="EWO26" s="1266"/>
      <c r="EWP26" s="1266"/>
      <c r="EWQ26" s="1266"/>
      <c r="EWR26" s="1266"/>
      <c r="EWS26" s="1266"/>
      <c r="EWT26" s="1266"/>
      <c r="EWU26" s="1266"/>
      <c r="EWV26" s="1266"/>
      <c r="EWW26" s="1266"/>
      <c r="EWX26" s="1266"/>
      <c r="EWY26" s="1266"/>
      <c r="EWZ26" s="1266"/>
      <c r="EXA26" s="1266"/>
      <c r="EXB26" s="1266"/>
      <c r="EXC26" s="1266"/>
      <c r="EXD26" s="1266"/>
      <c r="EXE26" s="1266"/>
      <c r="EXF26" s="1266"/>
      <c r="EXG26" s="1266"/>
      <c r="EXH26" s="1266"/>
      <c r="EXI26" s="1266"/>
      <c r="EXJ26" s="1266"/>
      <c r="EXK26" s="1266"/>
      <c r="EXL26" s="1266"/>
      <c r="EXM26" s="1266"/>
      <c r="EXN26" s="1266"/>
      <c r="EXO26" s="1266"/>
      <c r="EXP26" s="1266"/>
      <c r="EXQ26" s="1266"/>
      <c r="EXR26" s="1266"/>
      <c r="EXS26" s="1266"/>
      <c r="EXT26" s="1266"/>
      <c r="EXU26" s="1266"/>
      <c r="EXV26" s="1266"/>
      <c r="EXW26" s="1266"/>
      <c r="EXX26" s="1266"/>
      <c r="EXY26" s="1266"/>
      <c r="EXZ26" s="1266"/>
      <c r="EYA26" s="1266"/>
      <c r="EYB26" s="1266"/>
      <c r="EYC26" s="1266"/>
      <c r="EYD26" s="1266"/>
      <c r="EYE26" s="1266"/>
      <c r="EYF26" s="1266"/>
      <c r="EYG26" s="1266"/>
      <c r="EYH26" s="1266"/>
      <c r="EYI26" s="1266"/>
      <c r="EYJ26" s="1266"/>
      <c r="EYK26" s="1266"/>
      <c r="EYL26" s="1266"/>
      <c r="EYM26" s="1266"/>
      <c r="EYN26" s="1266"/>
      <c r="EYO26" s="1266"/>
      <c r="EYP26" s="1266"/>
      <c r="EYQ26" s="1266"/>
      <c r="EYR26" s="1266"/>
      <c r="EYS26" s="1266"/>
      <c r="EYT26" s="1266"/>
      <c r="EYU26" s="1266"/>
      <c r="EYV26" s="1266"/>
      <c r="EYW26" s="1266"/>
      <c r="EYX26" s="1266"/>
      <c r="EYY26" s="1266"/>
      <c r="EYZ26" s="1266"/>
      <c r="EZA26" s="1266"/>
      <c r="EZB26" s="1266"/>
      <c r="EZC26" s="1266"/>
      <c r="EZD26" s="1266"/>
      <c r="EZE26" s="1266"/>
      <c r="EZF26" s="1266"/>
      <c r="EZG26" s="1266"/>
      <c r="EZH26" s="1266"/>
      <c r="EZI26" s="1266"/>
      <c r="EZJ26" s="1266"/>
      <c r="EZK26" s="1266"/>
      <c r="EZL26" s="1266"/>
      <c r="EZM26" s="1266"/>
      <c r="EZN26" s="1266"/>
      <c r="EZO26" s="1266"/>
      <c r="EZP26" s="1266"/>
      <c r="EZQ26" s="1266"/>
      <c r="EZR26" s="1266"/>
      <c r="EZS26" s="1266"/>
      <c r="EZT26" s="1266"/>
      <c r="EZU26" s="1266"/>
      <c r="EZV26" s="1266"/>
      <c r="EZW26" s="1266"/>
      <c r="EZX26" s="1266"/>
      <c r="EZY26" s="1266"/>
      <c r="EZZ26" s="1266"/>
      <c r="FAA26" s="1266"/>
      <c r="FAB26" s="1266"/>
      <c r="FAC26" s="1266"/>
      <c r="FAD26" s="1266"/>
      <c r="FAE26" s="1266"/>
      <c r="FAF26" s="1266"/>
      <c r="FAG26" s="1266"/>
      <c r="FAH26" s="1266"/>
      <c r="FAI26" s="1266"/>
      <c r="FAJ26" s="1266"/>
      <c r="FAK26" s="1266"/>
      <c r="FAL26" s="1266"/>
      <c r="FAM26" s="1266"/>
      <c r="FAN26" s="1266"/>
      <c r="FAO26" s="1266"/>
      <c r="FAP26" s="1266"/>
      <c r="FAQ26" s="1266"/>
      <c r="FAR26" s="1266"/>
      <c r="FAS26" s="1266"/>
      <c r="FAT26" s="1266"/>
      <c r="FAU26" s="1266"/>
      <c r="FAV26" s="1266"/>
      <c r="FAW26" s="1266"/>
      <c r="FAX26" s="1266"/>
      <c r="FAY26" s="1266"/>
      <c r="FAZ26" s="1266"/>
      <c r="FBA26" s="1266"/>
      <c r="FBB26" s="1266"/>
      <c r="FBC26" s="1266"/>
      <c r="FBD26" s="1266"/>
      <c r="FBE26" s="1266"/>
      <c r="FBF26" s="1266"/>
      <c r="FBG26" s="1266"/>
      <c r="FBH26" s="1266"/>
      <c r="FBI26" s="1266"/>
      <c r="FBJ26" s="1266"/>
      <c r="FBK26" s="1266"/>
      <c r="FBL26" s="1266"/>
      <c r="FBM26" s="1266"/>
      <c r="FBN26" s="1266"/>
      <c r="FBO26" s="1266"/>
      <c r="FBP26" s="1266"/>
      <c r="FBQ26" s="1266"/>
      <c r="FBR26" s="1266"/>
      <c r="FBS26" s="1266"/>
      <c r="FBT26" s="1266"/>
      <c r="FBU26" s="1266"/>
      <c r="FBV26" s="1266"/>
      <c r="FBW26" s="1266"/>
      <c r="FBX26" s="1266"/>
      <c r="FBY26" s="1266"/>
      <c r="FBZ26" s="1266"/>
      <c r="FCA26" s="1266"/>
      <c r="FCB26" s="1266"/>
      <c r="FCC26" s="1266"/>
      <c r="FCD26" s="1266"/>
      <c r="FCE26" s="1266"/>
      <c r="FCF26" s="1266"/>
      <c r="FCG26" s="1266"/>
      <c r="FCH26" s="1266"/>
      <c r="FCI26" s="1266"/>
      <c r="FCJ26" s="1266"/>
      <c r="FCK26" s="1266"/>
      <c r="FCL26" s="1266"/>
      <c r="FCM26" s="1266"/>
      <c r="FCN26" s="1266"/>
      <c r="FCO26" s="1266"/>
      <c r="FCP26" s="1266"/>
      <c r="FCQ26" s="1266"/>
      <c r="FCR26" s="1266"/>
      <c r="FCS26" s="1266"/>
      <c r="FCT26" s="1266"/>
      <c r="FCU26" s="1266"/>
      <c r="FCV26" s="1266"/>
      <c r="FCW26" s="1266"/>
      <c r="FCX26" s="1266"/>
      <c r="FCY26" s="1266"/>
      <c r="FCZ26" s="1266"/>
      <c r="FDA26" s="1266"/>
      <c r="FDB26" s="1266"/>
      <c r="FDC26" s="1266"/>
      <c r="FDD26" s="1266"/>
      <c r="FDE26" s="1266"/>
      <c r="FDF26" s="1266"/>
      <c r="FDG26" s="1266"/>
      <c r="FDH26" s="1266"/>
      <c r="FDI26" s="1266"/>
      <c r="FDJ26" s="1266"/>
      <c r="FDK26" s="1266"/>
      <c r="FDL26" s="1266"/>
      <c r="FDM26" s="1266"/>
      <c r="FDN26" s="1266"/>
      <c r="FDO26" s="1266"/>
      <c r="FDP26" s="1266"/>
      <c r="FDQ26" s="1266"/>
      <c r="FDR26" s="1266"/>
      <c r="FDS26" s="1266"/>
      <c r="FDT26" s="1266"/>
      <c r="FDU26" s="1266"/>
      <c r="FDV26" s="1266"/>
      <c r="FDW26" s="1266"/>
      <c r="FDX26" s="1266"/>
      <c r="FDY26" s="1266"/>
      <c r="FDZ26" s="1266"/>
      <c r="FEA26" s="1266"/>
      <c r="FEB26" s="1266"/>
      <c r="FEC26" s="1266"/>
      <c r="FED26" s="1266"/>
      <c r="FEE26" s="1266"/>
      <c r="FEF26" s="1266"/>
      <c r="FEG26" s="1266"/>
      <c r="FEH26" s="1266"/>
      <c r="FEI26" s="1266"/>
      <c r="FEJ26" s="1266"/>
      <c r="FEK26" s="1266"/>
      <c r="FEL26" s="1266"/>
      <c r="FEM26" s="1266"/>
      <c r="FEN26" s="1266"/>
      <c r="FEO26" s="1266"/>
      <c r="FEP26" s="1266"/>
      <c r="FEQ26" s="1266"/>
      <c r="FER26" s="1266"/>
      <c r="FES26" s="1266"/>
      <c r="FET26" s="1266"/>
      <c r="FEU26" s="1266"/>
      <c r="FEV26" s="1266"/>
      <c r="FEW26" s="1266"/>
      <c r="FEX26" s="1266"/>
      <c r="FEY26" s="1266"/>
      <c r="FEZ26" s="1266"/>
      <c r="FFA26" s="1266"/>
      <c r="FFB26" s="1266"/>
      <c r="FFC26" s="1266"/>
      <c r="FFD26" s="1266"/>
      <c r="FFE26" s="1266"/>
      <c r="FFF26" s="1266"/>
      <c r="FFG26" s="1266"/>
      <c r="FFH26" s="1266"/>
      <c r="FFI26" s="1266"/>
      <c r="FFJ26" s="1266"/>
      <c r="FFK26" s="1266"/>
      <c r="FFL26" s="1266"/>
      <c r="FFM26" s="1266"/>
      <c r="FFN26" s="1266"/>
      <c r="FFO26" s="1266"/>
      <c r="FFP26" s="1266"/>
      <c r="FFQ26" s="1266"/>
      <c r="FFR26" s="1266"/>
      <c r="FFS26" s="1266"/>
      <c r="FFT26" s="1266"/>
      <c r="FFU26" s="1266"/>
      <c r="FFV26" s="1266"/>
      <c r="FFW26" s="1266"/>
      <c r="FFX26" s="1266"/>
      <c r="FFY26" s="1266"/>
      <c r="FFZ26" s="1266"/>
      <c r="FGA26" s="1266"/>
      <c r="FGB26" s="1266"/>
      <c r="FGC26" s="1266"/>
      <c r="FGD26" s="1266"/>
      <c r="FGE26" s="1266"/>
      <c r="FGF26" s="1266"/>
      <c r="FGG26" s="1266"/>
      <c r="FGH26" s="1266"/>
      <c r="FGI26" s="1266"/>
      <c r="FGJ26" s="1266"/>
      <c r="FGK26" s="1266"/>
      <c r="FGL26" s="1266"/>
      <c r="FGM26" s="1266"/>
      <c r="FGN26" s="1266"/>
      <c r="FGO26" s="1266"/>
      <c r="FGP26" s="1266"/>
      <c r="FGQ26" s="1266"/>
      <c r="FGR26" s="1266"/>
      <c r="FGS26" s="1266"/>
      <c r="FGT26" s="1266"/>
      <c r="FGU26" s="1266"/>
      <c r="FGV26" s="1266"/>
      <c r="FGW26" s="1266"/>
      <c r="FGX26" s="1266"/>
      <c r="FGY26" s="1266"/>
      <c r="FGZ26" s="1266"/>
      <c r="FHA26" s="1266"/>
      <c r="FHB26" s="1266"/>
      <c r="FHC26" s="1266"/>
      <c r="FHD26" s="1266"/>
      <c r="FHE26" s="1266"/>
      <c r="FHF26" s="1266"/>
      <c r="FHG26" s="1266"/>
      <c r="FHH26" s="1266"/>
      <c r="FHI26" s="1266"/>
      <c r="FHJ26" s="1266"/>
      <c r="FHK26" s="1266"/>
      <c r="FHL26" s="1266"/>
      <c r="FHM26" s="1266"/>
      <c r="FHN26" s="1266"/>
      <c r="FHO26" s="1266"/>
      <c r="FHP26" s="1266"/>
      <c r="FHQ26" s="1266"/>
      <c r="FHR26" s="1266"/>
      <c r="FHS26" s="1266"/>
      <c r="FHT26" s="1266"/>
      <c r="FHU26" s="1266"/>
      <c r="FHV26" s="1266"/>
      <c r="FHW26" s="1266"/>
      <c r="FHX26" s="1266"/>
      <c r="FHY26" s="1266"/>
      <c r="FHZ26" s="1266"/>
      <c r="FIA26" s="1266"/>
      <c r="FIB26" s="1266"/>
      <c r="FIC26" s="1266"/>
      <c r="FID26" s="1266"/>
      <c r="FIE26" s="1266"/>
      <c r="FIF26" s="1266"/>
      <c r="FIG26" s="1266"/>
      <c r="FIH26" s="1266"/>
      <c r="FII26" s="1266"/>
      <c r="FIJ26" s="1266"/>
      <c r="FIK26" s="1266"/>
      <c r="FIL26" s="1266"/>
      <c r="FIM26" s="1266"/>
      <c r="FIN26" s="1266"/>
      <c r="FIO26" s="1266"/>
      <c r="FIP26" s="1266"/>
      <c r="FIQ26" s="1266"/>
      <c r="FIR26" s="1266"/>
      <c r="FIS26" s="1266"/>
      <c r="FIT26" s="1266"/>
      <c r="FIU26" s="1266"/>
      <c r="FIV26" s="1266"/>
      <c r="FIW26" s="1266"/>
      <c r="FIX26" s="1266"/>
      <c r="FIY26" s="1266"/>
      <c r="FIZ26" s="1266"/>
      <c r="FJA26" s="1266"/>
      <c r="FJB26" s="1266"/>
      <c r="FJC26" s="1266"/>
      <c r="FJD26" s="1266"/>
      <c r="FJE26" s="1266"/>
      <c r="FJF26" s="1266"/>
      <c r="FJG26" s="1266"/>
      <c r="FJH26" s="1266"/>
      <c r="FJI26" s="1266"/>
      <c r="FJJ26" s="1266"/>
      <c r="FJK26" s="1266"/>
      <c r="FJL26" s="1266"/>
      <c r="FJM26" s="1266"/>
      <c r="FJN26" s="1266"/>
      <c r="FJO26" s="1266"/>
      <c r="FJP26" s="1266"/>
      <c r="FJQ26" s="1266"/>
      <c r="FJR26" s="1266"/>
      <c r="FJS26" s="1266"/>
      <c r="FJT26" s="1266"/>
      <c r="FJU26" s="1266"/>
      <c r="FJV26" s="1266"/>
      <c r="FJW26" s="1266"/>
      <c r="FJX26" s="1266"/>
      <c r="FJY26" s="1266"/>
      <c r="FJZ26" s="1266"/>
      <c r="FKA26" s="1266"/>
      <c r="FKB26" s="1266"/>
      <c r="FKC26" s="1266"/>
      <c r="FKD26" s="1266"/>
      <c r="FKE26" s="1266"/>
      <c r="FKF26" s="1266"/>
      <c r="FKG26" s="1266"/>
      <c r="FKH26" s="1266"/>
      <c r="FKI26" s="1266"/>
      <c r="FKJ26" s="1266"/>
      <c r="FKK26" s="1266"/>
      <c r="FKL26" s="1266"/>
      <c r="FKM26" s="1266"/>
      <c r="FKN26" s="1266"/>
      <c r="FKO26" s="1266"/>
      <c r="FKP26" s="1266"/>
      <c r="FKQ26" s="1266"/>
      <c r="FKR26" s="1266"/>
      <c r="FKS26" s="1266"/>
      <c r="FKT26" s="1266"/>
      <c r="FKU26" s="1266"/>
      <c r="FKV26" s="1266"/>
      <c r="FKW26" s="1266"/>
      <c r="FKX26" s="1266"/>
      <c r="FKY26" s="1266"/>
      <c r="FKZ26" s="1266"/>
      <c r="FLA26" s="1266"/>
      <c r="FLB26" s="1266"/>
      <c r="FLC26" s="1266"/>
      <c r="FLD26" s="1266"/>
      <c r="FLE26" s="1266"/>
      <c r="FLF26" s="1266"/>
      <c r="FLG26" s="1266"/>
      <c r="FLH26" s="1266"/>
      <c r="FLI26" s="1266"/>
      <c r="FLJ26" s="1266"/>
      <c r="FLK26" s="1266"/>
      <c r="FLL26" s="1266"/>
      <c r="FLM26" s="1266"/>
      <c r="FLN26" s="1266"/>
      <c r="FLO26" s="1266"/>
      <c r="FLP26" s="1266"/>
      <c r="FLQ26" s="1266"/>
      <c r="FLR26" s="1266"/>
      <c r="FLS26" s="1266"/>
      <c r="FLT26" s="1266"/>
      <c r="FLU26" s="1266"/>
      <c r="FLV26" s="1266"/>
      <c r="FLW26" s="1266"/>
      <c r="FLX26" s="1266"/>
      <c r="FLY26" s="1266"/>
      <c r="FLZ26" s="1266"/>
      <c r="FMA26" s="1266"/>
      <c r="FMB26" s="1266"/>
      <c r="FMC26" s="1266"/>
      <c r="FMD26" s="1266"/>
      <c r="FME26" s="1266"/>
      <c r="FMF26" s="1266"/>
      <c r="FMG26" s="1266"/>
      <c r="FMH26" s="1266"/>
      <c r="FMI26" s="1266"/>
      <c r="FMJ26" s="1266"/>
      <c r="FMK26" s="1266"/>
      <c r="FML26" s="1266"/>
      <c r="FMM26" s="1266"/>
      <c r="FMN26" s="1266"/>
      <c r="FMO26" s="1266"/>
      <c r="FMP26" s="1266"/>
      <c r="FMQ26" s="1266"/>
      <c r="FMR26" s="1266"/>
      <c r="FMS26" s="1266"/>
      <c r="FMT26" s="1266"/>
      <c r="FMU26" s="1266"/>
      <c r="FMV26" s="1266"/>
      <c r="FMW26" s="1266"/>
      <c r="FMX26" s="1266"/>
      <c r="FMY26" s="1266"/>
      <c r="FMZ26" s="1266"/>
      <c r="FNA26" s="1266"/>
      <c r="FNB26" s="1266"/>
      <c r="FNC26" s="1266"/>
      <c r="FND26" s="1266"/>
      <c r="FNE26" s="1266"/>
      <c r="FNF26" s="1266"/>
      <c r="FNG26" s="1266"/>
      <c r="FNH26" s="1266"/>
      <c r="FNI26" s="1266"/>
      <c r="FNJ26" s="1266"/>
      <c r="FNK26" s="1266"/>
      <c r="FNL26" s="1266"/>
      <c r="FNM26" s="1266"/>
      <c r="FNN26" s="1266"/>
      <c r="FNO26" s="1266"/>
      <c r="FNP26" s="1266"/>
      <c r="FNQ26" s="1266"/>
      <c r="FNR26" s="1266"/>
      <c r="FNS26" s="1266"/>
      <c r="FNT26" s="1266"/>
      <c r="FNU26" s="1266"/>
      <c r="FNV26" s="1266"/>
      <c r="FNW26" s="1266"/>
      <c r="FNX26" s="1266"/>
      <c r="FNY26" s="1266"/>
      <c r="FNZ26" s="1266"/>
      <c r="FOA26" s="1266"/>
      <c r="FOB26" s="1266"/>
      <c r="FOC26" s="1266"/>
      <c r="FOD26" s="1266"/>
      <c r="FOE26" s="1266"/>
      <c r="FOF26" s="1266"/>
      <c r="FOG26" s="1266"/>
      <c r="FOH26" s="1266"/>
      <c r="FOI26" s="1266"/>
      <c r="FOJ26" s="1266"/>
      <c r="FOK26" s="1266"/>
      <c r="FOL26" s="1266"/>
      <c r="FOM26" s="1266"/>
      <c r="FON26" s="1266"/>
      <c r="FOO26" s="1266"/>
      <c r="FOP26" s="1266"/>
      <c r="FOQ26" s="1266"/>
      <c r="FOR26" s="1266"/>
      <c r="FOS26" s="1266"/>
      <c r="FOT26" s="1266"/>
      <c r="FOU26" s="1266"/>
      <c r="FOV26" s="1266"/>
      <c r="FOW26" s="1266"/>
      <c r="FOX26" s="1266"/>
      <c r="FOY26" s="1266"/>
      <c r="FOZ26" s="1266"/>
      <c r="FPA26" s="1266"/>
      <c r="FPB26" s="1266"/>
      <c r="FPC26" s="1266"/>
      <c r="FPD26" s="1266"/>
      <c r="FPE26" s="1266"/>
      <c r="FPF26" s="1266"/>
      <c r="FPG26" s="1266"/>
      <c r="FPH26" s="1266"/>
      <c r="FPI26" s="1266"/>
      <c r="FPJ26" s="1266"/>
      <c r="FPK26" s="1266"/>
      <c r="FPL26" s="1266"/>
      <c r="FPM26" s="1266"/>
      <c r="FPN26" s="1266"/>
      <c r="FPO26" s="1266"/>
      <c r="FPP26" s="1266"/>
      <c r="FPQ26" s="1266"/>
      <c r="FPR26" s="1266"/>
      <c r="FPS26" s="1266"/>
      <c r="FPT26" s="1266"/>
      <c r="FPU26" s="1266"/>
      <c r="FPV26" s="1266"/>
      <c r="FPW26" s="1266"/>
      <c r="FPX26" s="1266"/>
      <c r="FPY26" s="1266"/>
      <c r="FPZ26" s="1266"/>
      <c r="FQA26" s="1266"/>
      <c r="FQB26" s="1266"/>
      <c r="FQC26" s="1266"/>
      <c r="FQD26" s="1266"/>
      <c r="FQE26" s="1266"/>
      <c r="FQF26" s="1266"/>
      <c r="FQG26" s="1266"/>
      <c r="FQH26" s="1266"/>
      <c r="FQI26" s="1266"/>
      <c r="FQJ26" s="1266"/>
      <c r="FQK26" s="1266"/>
      <c r="FQL26" s="1266"/>
      <c r="FQM26" s="1266"/>
      <c r="FQN26" s="1266"/>
      <c r="FQO26" s="1266"/>
      <c r="FQP26" s="1266"/>
      <c r="FQQ26" s="1266"/>
      <c r="FQR26" s="1266"/>
      <c r="FQS26" s="1266"/>
      <c r="FQT26" s="1266"/>
      <c r="FQU26" s="1266"/>
      <c r="FQV26" s="1266"/>
      <c r="FQW26" s="1266"/>
      <c r="FQX26" s="1266"/>
      <c r="FQY26" s="1266"/>
      <c r="FQZ26" s="1266"/>
      <c r="FRA26" s="1266"/>
      <c r="FRB26" s="1266"/>
      <c r="FRC26" s="1266"/>
      <c r="FRD26" s="1266"/>
      <c r="FRE26" s="1266"/>
      <c r="FRF26" s="1266"/>
      <c r="FRG26" s="1266"/>
      <c r="FRH26" s="1266"/>
      <c r="FRI26" s="1266"/>
      <c r="FRJ26" s="1266"/>
      <c r="FRK26" s="1266"/>
      <c r="FRL26" s="1266"/>
      <c r="FRM26" s="1266"/>
      <c r="FRN26" s="1266"/>
      <c r="FRO26" s="1266"/>
      <c r="FRP26" s="1266"/>
      <c r="FRQ26" s="1266"/>
      <c r="FRR26" s="1266"/>
      <c r="FRS26" s="1266"/>
      <c r="FRT26" s="1266"/>
      <c r="FRU26" s="1266"/>
      <c r="FRV26" s="1266"/>
      <c r="FRW26" s="1266"/>
      <c r="FRX26" s="1266"/>
      <c r="FRY26" s="1266"/>
      <c r="FRZ26" s="1266"/>
      <c r="FSA26" s="1266"/>
      <c r="FSB26" s="1266"/>
      <c r="FSC26" s="1266"/>
      <c r="FSD26" s="1266"/>
      <c r="FSE26" s="1266"/>
      <c r="FSF26" s="1266"/>
      <c r="FSG26" s="1266"/>
      <c r="FSH26" s="1266"/>
      <c r="FSI26" s="1266"/>
      <c r="FSJ26" s="1266"/>
      <c r="FSK26" s="1266"/>
      <c r="FSL26" s="1266"/>
      <c r="FSM26" s="1266"/>
      <c r="FSN26" s="1266"/>
      <c r="FSO26" s="1266"/>
      <c r="FSP26" s="1266"/>
      <c r="FSQ26" s="1266"/>
      <c r="FSR26" s="1266"/>
      <c r="FSS26" s="1266"/>
      <c r="FST26" s="1266"/>
      <c r="FSU26" s="1266"/>
      <c r="FSV26" s="1266"/>
      <c r="FSW26" s="1266"/>
      <c r="FSX26" s="1266"/>
      <c r="FSY26" s="1266"/>
      <c r="FSZ26" s="1266"/>
      <c r="FTA26" s="1266"/>
      <c r="FTB26" s="1266"/>
      <c r="FTC26" s="1266"/>
      <c r="FTD26" s="1266"/>
      <c r="FTE26" s="1266"/>
      <c r="FTF26" s="1266"/>
      <c r="FTG26" s="1266"/>
      <c r="FTH26" s="1266"/>
      <c r="FTI26" s="1266"/>
      <c r="FTJ26" s="1266"/>
      <c r="FTK26" s="1266"/>
      <c r="FTL26" s="1266"/>
      <c r="FTM26" s="1266"/>
      <c r="FTN26" s="1266"/>
      <c r="FTO26" s="1266"/>
      <c r="FTP26" s="1266"/>
      <c r="FTQ26" s="1266"/>
      <c r="FTR26" s="1266"/>
      <c r="FTS26" s="1266"/>
      <c r="FTT26" s="1266"/>
      <c r="FTU26" s="1266"/>
      <c r="FTV26" s="1266"/>
      <c r="FTW26" s="1266"/>
      <c r="FTX26" s="1266"/>
      <c r="FTY26" s="1266"/>
      <c r="FTZ26" s="1266"/>
      <c r="FUA26" s="1266"/>
      <c r="FUB26" s="1266"/>
      <c r="FUC26" s="1266"/>
      <c r="FUD26" s="1266"/>
      <c r="FUE26" s="1266"/>
      <c r="FUF26" s="1266"/>
      <c r="FUG26" s="1266"/>
      <c r="FUH26" s="1266"/>
      <c r="FUI26" s="1266"/>
      <c r="FUJ26" s="1266"/>
      <c r="FUK26" s="1266"/>
      <c r="FUL26" s="1266"/>
      <c r="FUM26" s="1266"/>
      <c r="FUN26" s="1266"/>
      <c r="FUO26" s="1266"/>
      <c r="FUP26" s="1266"/>
      <c r="FUQ26" s="1266"/>
      <c r="FUR26" s="1266"/>
      <c r="FUS26" s="1266"/>
      <c r="FUT26" s="1266"/>
      <c r="FUU26" s="1266"/>
      <c r="FUV26" s="1266"/>
      <c r="FUW26" s="1266"/>
      <c r="FUX26" s="1266"/>
      <c r="FUY26" s="1266"/>
      <c r="FUZ26" s="1266"/>
      <c r="FVA26" s="1266"/>
      <c r="FVB26" s="1266"/>
      <c r="FVC26" s="1266"/>
      <c r="FVD26" s="1266"/>
      <c r="FVE26" s="1266"/>
      <c r="FVF26" s="1266"/>
      <c r="FVG26" s="1266"/>
      <c r="FVH26" s="1266"/>
      <c r="FVI26" s="1266"/>
      <c r="FVJ26" s="1266"/>
      <c r="FVK26" s="1266"/>
      <c r="FVL26" s="1266"/>
      <c r="FVM26" s="1266"/>
      <c r="FVN26" s="1266"/>
      <c r="FVO26" s="1266"/>
      <c r="FVP26" s="1266"/>
      <c r="FVQ26" s="1266"/>
      <c r="FVR26" s="1266"/>
      <c r="FVS26" s="1266"/>
      <c r="FVT26" s="1266"/>
      <c r="FVU26" s="1266"/>
      <c r="FVV26" s="1266"/>
      <c r="FVW26" s="1266"/>
      <c r="FVX26" s="1266"/>
      <c r="FVY26" s="1266"/>
      <c r="FVZ26" s="1266"/>
      <c r="FWA26" s="1266"/>
      <c r="FWB26" s="1266"/>
      <c r="FWC26" s="1266"/>
      <c r="FWD26" s="1266"/>
      <c r="FWE26" s="1266"/>
      <c r="FWF26" s="1266"/>
      <c r="FWG26" s="1266"/>
      <c r="FWH26" s="1266"/>
      <c r="FWI26" s="1266"/>
      <c r="FWJ26" s="1266"/>
      <c r="FWK26" s="1266"/>
      <c r="FWL26" s="1266"/>
      <c r="FWM26" s="1266"/>
      <c r="FWN26" s="1266"/>
      <c r="FWO26" s="1266"/>
      <c r="FWP26" s="1266"/>
      <c r="FWQ26" s="1266"/>
      <c r="FWR26" s="1266"/>
      <c r="FWS26" s="1266"/>
      <c r="FWT26" s="1266"/>
      <c r="FWU26" s="1266"/>
      <c r="FWV26" s="1266"/>
      <c r="FWW26" s="1266"/>
      <c r="FWX26" s="1266"/>
      <c r="FWY26" s="1266"/>
      <c r="FWZ26" s="1266"/>
      <c r="FXA26" s="1266"/>
      <c r="FXB26" s="1266"/>
      <c r="FXC26" s="1266"/>
      <c r="FXD26" s="1266"/>
      <c r="FXE26" s="1266"/>
      <c r="FXF26" s="1266"/>
      <c r="FXG26" s="1266"/>
      <c r="FXH26" s="1266"/>
      <c r="FXI26" s="1266"/>
      <c r="FXJ26" s="1266"/>
      <c r="FXK26" s="1266"/>
      <c r="FXL26" s="1266"/>
      <c r="FXM26" s="1266"/>
      <c r="FXN26" s="1266"/>
      <c r="FXO26" s="1266"/>
      <c r="FXP26" s="1266"/>
      <c r="FXQ26" s="1266"/>
      <c r="FXR26" s="1266"/>
      <c r="FXS26" s="1266"/>
      <c r="FXT26" s="1266"/>
      <c r="FXU26" s="1266"/>
      <c r="FXV26" s="1266"/>
      <c r="FXW26" s="1266"/>
      <c r="FXX26" s="1266"/>
      <c r="FXY26" s="1266"/>
      <c r="FXZ26" s="1266"/>
      <c r="FYA26" s="1266"/>
      <c r="FYB26" s="1266"/>
      <c r="FYC26" s="1266"/>
      <c r="FYD26" s="1266"/>
      <c r="FYE26" s="1266"/>
      <c r="FYF26" s="1266"/>
      <c r="FYG26" s="1266"/>
      <c r="FYH26" s="1266"/>
      <c r="FYI26" s="1266"/>
      <c r="FYJ26" s="1266"/>
      <c r="FYK26" s="1266"/>
      <c r="FYL26" s="1266"/>
      <c r="FYM26" s="1266"/>
      <c r="FYN26" s="1266"/>
      <c r="FYO26" s="1266"/>
      <c r="FYP26" s="1266"/>
      <c r="FYQ26" s="1266"/>
      <c r="FYR26" s="1266"/>
      <c r="FYS26" s="1266"/>
      <c r="FYT26" s="1266"/>
      <c r="FYU26" s="1266"/>
      <c r="FYV26" s="1266"/>
      <c r="FYW26" s="1266"/>
      <c r="FYX26" s="1266"/>
      <c r="FYY26" s="1266"/>
      <c r="FYZ26" s="1266"/>
      <c r="FZA26" s="1266"/>
      <c r="FZB26" s="1266"/>
      <c r="FZC26" s="1266"/>
      <c r="FZD26" s="1266"/>
      <c r="FZE26" s="1266"/>
      <c r="FZF26" s="1266"/>
      <c r="FZG26" s="1266"/>
      <c r="FZH26" s="1266"/>
      <c r="FZI26" s="1266"/>
      <c r="FZJ26" s="1266"/>
      <c r="FZK26" s="1266"/>
      <c r="FZL26" s="1266"/>
      <c r="FZM26" s="1266"/>
      <c r="FZN26" s="1266"/>
      <c r="FZO26" s="1266"/>
      <c r="FZP26" s="1266"/>
      <c r="FZQ26" s="1266"/>
      <c r="FZR26" s="1266"/>
      <c r="FZS26" s="1266"/>
      <c r="FZT26" s="1266"/>
      <c r="FZU26" s="1266"/>
      <c r="FZV26" s="1266"/>
      <c r="FZW26" s="1266"/>
      <c r="FZX26" s="1266"/>
      <c r="FZY26" s="1266"/>
      <c r="FZZ26" s="1266"/>
      <c r="GAA26" s="1266"/>
      <c r="GAB26" s="1266"/>
      <c r="GAC26" s="1266"/>
      <c r="GAD26" s="1266"/>
      <c r="GAE26" s="1266"/>
      <c r="GAF26" s="1266"/>
      <c r="GAG26" s="1266"/>
      <c r="GAH26" s="1266"/>
      <c r="GAI26" s="1266"/>
      <c r="GAJ26" s="1266"/>
      <c r="GAK26" s="1266"/>
      <c r="GAL26" s="1266"/>
      <c r="GAM26" s="1266"/>
      <c r="GAN26" s="1266"/>
      <c r="GAO26" s="1266"/>
      <c r="GAP26" s="1266"/>
      <c r="GAQ26" s="1266"/>
      <c r="GAR26" s="1266"/>
      <c r="GAS26" s="1266"/>
      <c r="GAT26" s="1266"/>
      <c r="GAU26" s="1266"/>
      <c r="GAV26" s="1266"/>
      <c r="GAW26" s="1266"/>
      <c r="GAX26" s="1266"/>
      <c r="GAY26" s="1266"/>
      <c r="GAZ26" s="1266"/>
      <c r="GBA26" s="1266"/>
      <c r="GBB26" s="1266"/>
      <c r="GBC26" s="1266"/>
      <c r="GBD26" s="1266"/>
      <c r="GBE26" s="1266"/>
      <c r="GBF26" s="1266"/>
      <c r="GBG26" s="1266"/>
      <c r="GBH26" s="1266"/>
      <c r="GBI26" s="1266"/>
      <c r="GBJ26" s="1266"/>
      <c r="GBK26" s="1266"/>
      <c r="GBL26" s="1266"/>
      <c r="GBM26" s="1266"/>
      <c r="GBN26" s="1266"/>
      <c r="GBO26" s="1266"/>
      <c r="GBP26" s="1266"/>
      <c r="GBQ26" s="1266"/>
      <c r="GBR26" s="1266"/>
      <c r="GBS26" s="1266"/>
      <c r="GBT26" s="1266"/>
      <c r="GBU26" s="1266"/>
      <c r="GBV26" s="1266"/>
      <c r="GBW26" s="1266"/>
      <c r="GBX26" s="1266"/>
      <c r="GBY26" s="1266"/>
      <c r="GBZ26" s="1266"/>
      <c r="GCA26" s="1266"/>
      <c r="GCB26" s="1266"/>
      <c r="GCC26" s="1266"/>
      <c r="GCD26" s="1266"/>
      <c r="GCE26" s="1266"/>
      <c r="GCF26" s="1266"/>
      <c r="GCG26" s="1266"/>
      <c r="GCH26" s="1266"/>
      <c r="GCI26" s="1266"/>
      <c r="GCJ26" s="1266"/>
      <c r="GCK26" s="1266"/>
      <c r="GCL26" s="1266"/>
      <c r="GCM26" s="1266"/>
      <c r="GCN26" s="1266"/>
      <c r="GCO26" s="1266"/>
      <c r="GCP26" s="1266"/>
      <c r="GCQ26" s="1266"/>
      <c r="GCR26" s="1266"/>
      <c r="GCS26" s="1266"/>
      <c r="GCT26" s="1266"/>
      <c r="GCU26" s="1266"/>
      <c r="GCV26" s="1266"/>
      <c r="GCW26" s="1266"/>
      <c r="GCX26" s="1266"/>
      <c r="GCY26" s="1266"/>
      <c r="GCZ26" s="1266"/>
      <c r="GDA26" s="1266"/>
      <c r="GDB26" s="1266"/>
      <c r="GDC26" s="1266"/>
      <c r="GDD26" s="1266"/>
      <c r="GDE26" s="1266"/>
      <c r="GDF26" s="1266"/>
      <c r="GDG26" s="1266"/>
      <c r="GDH26" s="1266"/>
      <c r="GDI26" s="1266"/>
      <c r="GDJ26" s="1266"/>
      <c r="GDK26" s="1266"/>
      <c r="GDL26" s="1266"/>
      <c r="GDM26" s="1266"/>
      <c r="GDN26" s="1266"/>
      <c r="GDO26" s="1266"/>
      <c r="GDP26" s="1266"/>
      <c r="GDQ26" s="1266"/>
      <c r="GDR26" s="1266"/>
      <c r="GDS26" s="1266"/>
      <c r="GDT26" s="1266"/>
      <c r="GDU26" s="1266"/>
      <c r="GDV26" s="1266"/>
      <c r="GDW26" s="1266"/>
      <c r="GDX26" s="1266"/>
      <c r="GDY26" s="1266"/>
      <c r="GDZ26" s="1266"/>
      <c r="GEA26" s="1266"/>
      <c r="GEB26" s="1266"/>
      <c r="GEC26" s="1266"/>
      <c r="GED26" s="1266"/>
      <c r="GEE26" s="1266"/>
      <c r="GEF26" s="1266"/>
      <c r="GEG26" s="1266"/>
      <c r="GEH26" s="1266"/>
      <c r="GEI26" s="1266"/>
      <c r="GEJ26" s="1266"/>
      <c r="GEK26" s="1266"/>
      <c r="GEL26" s="1266"/>
      <c r="GEM26" s="1266"/>
      <c r="GEN26" s="1266"/>
      <c r="GEO26" s="1266"/>
      <c r="GEP26" s="1266"/>
      <c r="GEQ26" s="1266"/>
      <c r="GER26" s="1266"/>
      <c r="GES26" s="1266"/>
      <c r="GET26" s="1266"/>
      <c r="GEU26" s="1266"/>
      <c r="GEV26" s="1266"/>
      <c r="GEW26" s="1266"/>
      <c r="GEX26" s="1266"/>
      <c r="GEY26" s="1266"/>
      <c r="GEZ26" s="1266"/>
      <c r="GFA26" s="1266"/>
      <c r="GFB26" s="1266"/>
      <c r="GFC26" s="1266"/>
      <c r="GFD26" s="1266"/>
      <c r="GFE26" s="1266"/>
      <c r="GFF26" s="1266"/>
      <c r="GFG26" s="1266"/>
      <c r="GFH26" s="1266"/>
      <c r="GFI26" s="1266"/>
      <c r="GFJ26" s="1266"/>
      <c r="GFK26" s="1266"/>
      <c r="GFL26" s="1266"/>
      <c r="GFM26" s="1266"/>
      <c r="GFN26" s="1266"/>
      <c r="GFO26" s="1266"/>
      <c r="GFP26" s="1266"/>
      <c r="GFQ26" s="1266"/>
      <c r="GFR26" s="1266"/>
      <c r="GFS26" s="1266"/>
      <c r="GFT26" s="1266"/>
      <c r="GFU26" s="1266"/>
      <c r="GFV26" s="1266"/>
      <c r="GFW26" s="1266"/>
      <c r="GFX26" s="1266"/>
      <c r="GFY26" s="1266"/>
      <c r="GFZ26" s="1266"/>
      <c r="GGA26" s="1266"/>
      <c r="GGB26" s="1266"/>
      <c r="GGC26" s="1266"/>
      <c r="GGD26" s="1266"/>
      <c r="GGE26" s="1266"/>
      <c r="GGF26" s="1266"/>
      <c r="GGG26" s="1266"/>
      <c r="GGH26" s="1266"/>
      <c r="GGI26" s="1266"/>
      <c r="GGJ26" s="1266"/>
      <c r="GGK26" s="1266"/>
      <c r="GGL26" s="1266"/>
      <c r="GGM26" s="1266"/>
      <c r="GGN26" s="1266"/>
      <c r="GGO26" s="1266"/>
      <c r="GGP26" s="1266"/>
      <c r="GGQ26" s="1266"/>
      <c r="GGR26" s="1266"/>
      <c r="GGS26" s="1266"/>
      <c r="GGT26" s="1266"/>
      <c r="GGU26" s="1266"/>
      <c r="GGV26" s="1266"/>
      <c r="GGW26" s="1266"/>
      <c r="GGX26" s="1266"/>
      <c r="GGY26" s="1266"/>
      <c r="GGZ26" s="1266"/>
      <c r="GHA26" s="1266"/>
      <c r="GHB26" s="1266"/>
      <c r="GHC26" s="1266"/>
      <c r="GHD26" s="1266"/>
      <c r="GHE26" s="1266"/>
      <c r="GHF26" s="1266"/>
      <c r="GHG26" s="1266"/>
      <c r="GHH26" s="1266"/>
      <c r="GHI26" s="1266"/>
      <c r="GHJ26" s="1266"/>
      <c r="GHK26" s="1266"/>
      <c r="GHL26" s="1266"/>
      <c r="GHM26" s="1266"/>
      <c r="GHN26" s="1266"/>
      <c r="GHO26" s="1266"/>
      <c r="GHP26" s="1266"/>
      <c r="GHQ26" s="1266"/>
      <c r="GHR26" s="1266"/>
      <c r="GHS26" s="1266"/>
      <c r="GHT26" s="1266"/>
      <c r="GHU26" s="1266"/>
      <c r="GHV26" s="1266"/>
      <c r="GHW26" s="1266"/>
      <c r="GHX26" s="1266"/>
      <c r="GHY26" s="1266"/>
      <c r="GHZ26" s="1266"/>
      <c r="GIA26" s="1266"/>
      <c r="GIB26" s="1266"/>
      <c r="GIC26" s="1266"/>
      <c r="GID26" s="1266"/>
      <c r="GIE26" s="1266"/>
      <c r="GIF26" s="1266"/>
      <c r="GIG26" s="1266"/>
      <c r="GIH26" s="1266"/>
      <c r="GII26" s="1266"/>
      <c r="GIJ26" s="1266"/>
      <c r="GIK26" s="1266"/>
      <c r="GIL26" s="1266"/>
      <c r="GIM26" s="1266"/>
      <c r="GIN26" s="1266"/>
      <c r="GIO26" s="1266"/>
      <c r="GIP26" s="1266"/>
      <c r="GIQ26" s="1266"/>
      <c r="GIR26" s="1266"/>
      <c r="GIS26" s="1266"/>
      <c r="GIT26" s="1266"/>
      <c r="GIU26" s="1266"/>
      <c r="GIV26" s="1266"/>
      <c r="GIW26" s="1266"/>
      <c r="GIX26" s="1266"/>
      <c r="GIY26" s="1266"/>
      <c r="GIZ26" s="1266"/>
      <c r="GJA26" s="1266"/>
      <c r="GJB26" s="1266"/>
      <c r="GJC26" s="1266"/>
      <c r="GJD26" s="1266"/>
      <c r="GJE26" s="1266"/>
      <c r="GJF26" s="1266"/>
      <c r="GJG26" s="1266"/>
      <c r="GJH26" s="1266"/>
      <c r="GJI26" s="1266"/>
      <c r="GJJ26" s="1266"/>
      <c r="GJK26" s="1266"/>
      <c r="GJL26" s="1266"/>
      <c r="GJM26" s="1266"/>
      <c r="GJN26" s="1266"/>
      <c r="GJO26" s="1266"/>
      <c r="GJP26" s="1266"/>
      <c r="GJQ26" s="1266"/>
      <c r="GJR26" s="1266"/>
      <c r="GJS26" s="1266"/>
      <c r="GJT26" s="1266"/>
      <c r="GJU26" s="1266"/>
      <c r="GJV26" s="1266"/>
      <c r="GJW26" s="1266"/>
      <c r="GJX26" s="1266"/>
      <c r="GJY26" s="1266"/>
      <c r="GJZ26" s="1266"/>
      <c r="GKA26" s="1266"/>
      <c r="GKB26" s="1266"/>
      <c r="GKC26" s="1266"/>
      <c r="GKD26" s="1266"/>
      <c r="GKE26" s="1266"/>
      <c r="GKF26" s="1266"/>
      <c r="GKG26" s="1266"/>
      <c r="GKH26" s="1266"/>
      <c r="GKI26" s="1266"/>
      <c r="GKJ26" s="1266"/>
      <c r="GKK26" s="1266"/>
      <c r="GKL26" s="1266"/>
      <c r="GKM26" s="1266"/>
      <c r="GKN26" s="1266"/>
      <c r="GKO26" s="1266"/>
      <c r="GKP26" s="1266"/>
      <c r="GKQ26" s="1266"/>
      <c r="GKR26" s="1266"/>
      <c r="GKS26" s="1266"/>
      <c r="GKT26" s="1266"/>
      <c r="GKU26" s="1266"/>
      <c r="GKV26" s="1266"/>
      <c r="GKW26" s="1266"/>
      <c r="GKX26" s="1266"/>
      <c r="GKY26" s="1266"/>
      <c r="GKZ26" s="1266"/>
      <c r="GLA26" s="1266"/>
      <c r="GLB26" s="1266"/>
      <c r="GLC26" s="1266"/>
      <c r="GLD26" s="1266"/>
      <c r="GLE26" s="1266"/>
      <c r="GLF26" s="1266"/>
      <c r="GLG26" s="1266"/>
      <c r="GLH26" s="1266"/>
      <c r="GLI26" s="1266"/>
      <c r="GLJ26" s="1266"/>
      <c r="GLK26" s="1266"/>
      <c r="GLL26" s="1266"/>
      <c r="GLM26" s="1266"/>
      <c r="GLN26" s="1266"/>
      <c r="GLO26" s="1266"/>
      <c r="GLP26" s="1266"/>
      <c r="GLQ26" s="1266"/>
      <c r="GLR26" s="1266"/>
      <c r="GLS26" s="1266"/>
      <c r="GLT26" s="1266"/>
      <c r="GLU26" s="1266"/>
      <c r="GLV26" s="1266"/>
      <c r="GLW26" s="1266"/>
      <c r="GLX26" s="1266"/>
      <c r="GLY26" s="1266"/>
      <c r="GLZ26" s="1266"/>
      <c r="GMA26" s="1266"/>
      <c r="GMB26" s="1266"/>
      <c r="GMC26" s="1266"/>
      <c r="GMD26" s="1266"/>
      <c r="GME26" s="1266"/>
      <c r="GMF26" s="1266"/>
      <c r="GMG26" s="1266"/>
      <c r="GMH26" s="1266"/>
      <c r="GMI26" s="1266"/>
      <c r="GMJ26" s="1266"/>
      <c r="GMK26" s="1266"/>
      <c r="GML26" s="1266"/>
      <c r="GMM26" s="1266"/>
      <c r="GMN26" s="1266"/>
      <c r="GMO26" s="1266"/>
      <c r="GMP26" s="1266"/>
      <c r="GMQ26" s="1266"/>
      <c r="GMR26" s="1266"/>
      <c r="GMS26" s="1266"/>
      <c r="GMT26" s="1266"/>
      <c r="GMU26" s="1266"/>
      <c r="GMV26" s="1266"/>
      <c r="GMW26" s="1266"/>
      <c r="GMX26" s="1266"/>
      <c r="GMY26" s="1266"/>
      <c r="GMZ26" s="1266"/>
      <c r="GNA26" s="1266"/>
      <c r="GNB26" s="1266"/>
      <c r="GNC26" s="1266"/>
      <c r="GND26" s="1266"/>
      <c r="GNE26" s="1266"/>
      <c r="GNF26" s="1266"/>
      <c r="GNG26" s="1266"/>
      <c r="GNH26" s="1266"/>
      <c r="GNI26" s="1266"/>
      <c r="GNJ26" s="1266"/>
      <c r="GNK26" s="1266"/>
      <c r="GNL26" s="1266"/>
      <c r="GNM26" s="1266"/>
      <c r="GNN26" s="1266"/>
      <c r="GNO26" s="1266"/>
      <c r="GNP26" s="1266"/>
      <c r="GNQ26" s="1266"/>
      <c r="GNR26" s="1266"/>
      <c r="GNS26" s="1266"/>
      <c r="GNT26" s="1266"/>
      <c r="GNU26" s="1266"/>
      <c r="GNV26" s="1266"/>
      <c r="GNW26" s="1266"/>
      <c r="GNX26" s="1266"/>
      <c r="GNY26" s="1266"/>
      <c r="GNZ26" s="1266"/>
      <c r="GOA26" s="1266"/>
      <c r="GOB26" s="1266"/>
      <c r="GOC26" s="1266"/>
      <c r="GOD26" s="1266"/>
      <c r="GOE26" s="1266"/>
      <c r="GOF26" s="1266"/>
      <c r="GOG26" s="1266"/>
      <c r="GOH26" s="1266"/>
      <c r="GOI26" s="1266"/>
      <c r="GOJ26" s="1266"/>
      <c r="GOK26" s="1266"/>
      <c r="GOL26" s="1266"/>
      <c r="GOM26" s="1266"/>
      <c r="GON26" s="1266"/>
      <c r="GOO26" s="1266"/>
      <c r="GOP26" s="1266"/>
      <c r="GOQ26" s="1266"/>
      <c r="GOR26" s="1266"/>
      <c r="GOS26" s="1266"/>
      <c r="GOT26" s="1266"/>
      <c r="GOU26" s="1266"/>
      <c r="GOV26" s="1266"/>
      <c r="GOW26" s="1266"/>
      <c r="GOX26" s="1266"/>
      <c r="GOY26" s="1266"/>
      <c r="GOZ26" s="1266"/>
      <c r="GPA26" s="1266"/>
      <c r="GPB26" s="1266"/>
      <c r="GPC26" s="1266"/>
      <c r="GPD26" s="1266"/>
      <c r="GPE26" s="1266"/>
      <c r="GPF26" s="1266"/>
      <c r="GPG26" s="1266"/>
      <c r="GPH26" s="1266"/>
      <c r="GPI26" s="1266"/>
      <c r="GPJ26" s="1266"/>
      <c r="GPK26" s="1266"/>
      <c r="GPL26" s="1266"/>
      <c r="GPM26" s="1266"/>
      <c r="GPN26" s="1266"/>
      <c r="GPO26" s="1266"/>
      <c r="GPP26" s="1266"/>
      <c r="GPQ26" s="1266"/>
      <c r="GPR26" s="1266"/>
      <c r="GPS26" s="1266"/>
      <c r="GPT26" s="1266"/>
      <c r="GPU26" s="1266"/>
      <c r="GPV26" s="1266"/>
      <c r="GPW26" s="1266"/>
      <c r="GPX26" s="1266"/>
      <c r="GPY26" s="1266"/>
      <c r="GPZ26" s="1266"/>
      <c r="GQA26" s="1266"/>
      <c r="GQB26" s="1266"/>
      <c r="GQC26" s="1266"/>
      <c r="GQD26" s="1266"/>
      <c r="GQE26" s="1266"/>
      <c r="GQF26" s="1266"/>
      <c r="GQG26" s="1266"/>
      <c r="GQH26" s="1266"/>
      <c r="GQI26" s="1266"/>
      <c r="GQJ26" s="1266"/>
      <c r="GQK26" s="1266"/>
      <c r="GQL26" s="1266"/>
      <c r="GQM26" s="1266"/>
      <c r="GQN26" s="1266"/>
      <c r="GQO26" s="1266"/>
      <c r="GQP26" s="1266"/>
      <c r="GQQ26" s="1266"/>
      <c r="GQR26" s="1266"/>
      <c r="GQS26" s="1266"/>
      <c r="GQT26" s="1266"/>
      <c r="GQU26" s="1266"/>
      <c r="GQV26" s="1266"/>
      <c r="GQW26" s="1266"/>
      <c r="GQX26" s="1266"/>
      <c r="GQY26" s="1266"/>
      <c r="GQZ26" s="1266"/>
      <c r="GRA26" s="1266"/>
      <c r="GRB26" s="1266"/>
      <c r="GRC26" s="1266"/>
      <c r="GRD26" s="1266"/>
      <c r="GRE26" s="1266"/>
      <c r="GRF26" s="1266"/>
      <c r="GRG26" s="1266"/>
      <c r="GRH26" s="1266"/>
      <c r="GRI26" s="1266"/>
      <c r="GRJ26" s="1266"/>
      <c r="GRK26" s="1266"/>
      <c r="GRL26" s="1266"/>
      <c r="GRM26" s="1266"/>
      <c r="GRN26" s="1266"/>
      <c r="GRO26" s="1266"/>
      <c r="GRP26" s="1266"/>
      <c r="GRQ26" s="1266"/>
      <c r="GRR26" s="1266"/>
      <c r="GRS26" s="1266"/>
      <c r="GRT26" s="1266"/>
      <c r="GRU26" s="1266"/>
      <c r="GRV26" s="1266"/>
      <c r="GRW26" s="1266"/>
      <c r="GRX26" s="1266"/>
      <c r="GRY26" s="1266"/>
      <c r="GRZ26" s="1266"/>
      <c r="GSA26" s="1266"/>
      <c r="GSB26" s="1266"/>
      <c r="GSC26" s="1266"/>
      <c r="GSD26" s="1266"/>
      <c r="GSE26" s="1266"/>
      <c r="GSF26" s="1266"/>
      <c r="GSG26" s="1266"/>
      <c r="GSH26" s="1266"/>
      <c r="GSI26" s="1266"/>
      <c r="GSJ26" s="1266"/>
      <c r="GSK26" s="1266"/>
      <c r="GSL26" s="1266"/>
      <c r="GSM26" s="1266"/>
      <c r="GSN26" s="1266"/>
      <c r="GSO26" s="1266"/>
      <c r="GSP26" s="1266"/>
      <c r="GSQ26" s="1266"/>
      <c r="GSR26" s="1266"/>
      <c r="GSS26" s="1266"/>
      <c r="GST26" s="1266"/>
      <c r="GSU26" s="1266"/>
      <c r="GSV26" s="1266"/>
      <c r="GSW26" s="1266"/>
      <c r="GSX26" s="1266"/>
      <c r="GSY26" s="1266"/>
      <c r="GSZ26" s="1266"/>
      <c r="GTA26" s="1266"/>
      <c r="GTB26" s="1266"/>
      <c r="GTC26" s="1266"/>
      <c r="GTD26" s="1266"/>
      <c r="GTE26" s="1266"/>
      <c r="GTF26" s="1266"/>
      <c r="GTG26" s="1266"/>
      <c r="GTH26" s="1266"/>
      <c r="GTI26" s="1266"/>
      <c r="GTJ26" s="1266"/>
      <c r="GTK26" s="1266"/>
      <c r="GTL26" s="1266"/>
      <c r="GTM26" s="1266"/>
      <c r="GTN26" s="1266"/>
      <c r="GTO26" s="1266"/>
      <c r="GTP26" s="1266"/>
      <c r="GTQ26" s="1266"/>
      <c r="GTR26" s="1266"/>
      <c r="GTS26" s="1266"/>
      <c r="GTT26" s="1266"/>
      <c r="GTU26" s="1266"/>
      <c r="GTV26" s="1266"/>
      <c r="GTW26" s="1266"/>
      <c r="GTX26" s="1266"/>
      <c r="GTY26" s="1266"/>
      <c r="GTZ26" s="1266"/>
      <c r="GUA26" s="1266"/>
      <c r="GUB26" s="1266"/>
      <c r="GUC26" s="1266"/>
      <c r="GUD26" s="1266"/>
      <c r="GUE26" s="1266"/>
      <c r="GUF26" s="1266"/>
      <c r="GUG26" s="1266"/>
      <c r="GUH26" s="1266"/>
      <c r="GUI26" s="1266"/>
      <c r="GUJ26" s="1266"/>
      <c r="GUK26" s="1266"/>
      <c r="GUL26" s="1266"/>
      <c r="GUM26" s="1266"/>
      <c r="GUN26" s="1266"/>
      <c r="GUO26" s="1266"/>
      <c r="GUP26" s="1266"/>
      <c r="GUQ26" s="1266"/>
      <c r="GUR26" s="1266"/>
      <c r="GUS26" s="1266"/>
      <c r="GUT26" s="1266"/>
      <c r="GUU26" s="1266"/>
      <c r="GUV26" s="1266"/>
      <c r="GUW26" s="1266"/>
      <c r="GUX26" s="1266"/>
      <c r="GUY26" s="1266"/>
      <c r="GUZ26" s="1266"/>
      <c r="GVA26" s="1266"/>
      <c r="GVB26" s="1266"/>
      <c r="GVC26" s="1266"/>
      <c r="GVD26" s="1266"/>
      <c r="GVE26" s="1266"/>
      <c r="GVF26" s="1266"/>
      <c r="GVG26" s="1266"/>
      <c r="GVH26" s="1266"/>
      <c r="GVI26" s="1266"/>
      <c r="GVJ26" s="1266"/>
      <c r="GVK26" s="1266"/>
      <c r="GVL26" s="1266"/>
      <c r="GVM26" s="1266"/>
      <c r="GVN26" s="1266"/>
      <c r="GVO26" s="1266"/>
      <c r="GVP26" s="1266"/>
      <c r="GVQ26" s="1266"/>
      <c r="GVR26" s="1266"/>
      <c r="GVS26" s="1266"/>
      <c r="GVT26" s="1266"/>
      <c r="GVU26" s="1266"/>
      <c r="GVV26" s="1266"/>
      <c r="GVW26" s="1266"/>
      <c r="GVX26" s="1266"/>
      <c r="GVY26" s="1266"/>
      <c r="GVZ26" s="1266"/>
      <c r="GWA26" s="1266"/>
      <c r="GWB26" s="1266"/>
      <c r="GWC26" s="1266"/>
      <c r="GWD26" s="1266"/>
      <c r="GWE26" s="1266"/>
      <c r="GWF26" s="1266"/>
      <c r="GWG26" s="1266"/>
      <c r="GWH26" s="1266"/>
      <c r="GWI26" s="1266"/>
      <c r="GWJ26" s="1266"/>
      <c r="GWK26" s="1266"/>
      <c r="GWL26" s="1266"/>
      <c r="GWM26" s="1266"/>
      <c r="GWN26" s="1266"/>
      <c r="GWO26" s="1266"/>
      <c r="GWP26" s="1266"/>
      <c r="GWQ26" s="1266"/>
      <c r="GWR26" s="1266"/>
      <c r="GWS26" s="1266"/>
      <c r="GWT26" s="1266"/>
      <c r="GWU26" s="1266"/>
      <c r="GWV26" s="1266"/>
      <c r="GWW26" s="1266"/>
      <c r="GWX26" s="1266"/>
      <c r="GWY26" s="1266"/>
      <c r="GWZ26" s="1266"/>
      <c r="GXA26" s="1266"/>
      <c r="GXB26" s="1266"/>
      <c r="GXC26" s="1266"/>
      <c r="GXD26" s="1266"/>
      <c r="GXE26" s="1266"/>
      <c r="GXF26" s="1266"/>
      <c r="GXG26" s="1266"/>
      <c r="GXH26" s="1266"/>
      <c r="GXI26" s="1266"/>
      <c r="GXJ26" s="1266"/>
      <c r="GXK26" s="1266"/>
      <c r="GXL26" s="1266"/>
      <c r="GXM26" s="1266"/>
      <c r="GXN26" s="1266"/>
      <c r="GXO26" s="1266"/>
      <c r="GXP26" s="1266"/>
      <c r="GXQ26" s="1266"/>
      <c r="GXR26" s="1266"/>
      <c r="GXS26" s="1266"/>
      <c r="GXT26" s="1266"/>
      <c r="GXU26" s="1266"/>
      <c r="GXV26" s="1266"/>
      <c r="GXW26" s="1266"/>
      <c r="GXX26" s="1266"/>
      <c r="GXY26" s="1266"/>
      <c r="GXZ26" s="1266"/>
      <c r="GYA26" s="1266"/>
      <c r="GYB26" s="1266"/>
      <c r="GYC26" s="1266"/>
      <c r="GYD26" s="1266"/>
      <c r="GYE26" s="1266"/>
      <c r="GYF26" s="1266"/>
      <c r="GYG26" s="1266"/>
      <c r="GYH26" s="1266"/>
      <c r="GYI26" s="1266"/>
      <c r="GYJ26" s="1266"/>
      <c r="GYK26" s="1266"/>
      <c r="GYL26" s="1266"/>
      <c r="GYM26" s="1266"/>
      <c r="GYN26" s="1266"/>
      <c r="GYO26" s="1266"/>
      <c r="GYP26" s="1266"/>
      <c r="GYQ26" s="1266"/>
      <c r="GYR26" s="1266"/>
      <c r="GYS26" s="1266"/>
      <c r="GYT26" s="1266"/>
      <c r="GYU26" s="1266"/>
      <c r="GYV26" s="1266"/>
      <c r="GYW26" s="1266"/>
      <c r="GYX26" s="1266"/>
      <c r="GYY26" s="1266"/>
      <c r="GYZ26" s="1266"/>
      <c r="GZA26" s="1266"/>
      <c r="GZB26" s="1266"/>
      <c r="GZC26" s="1266"/>
      <c r="GZD26" s="1266"/>
      <c r="GZE26" s="1266"/>
      <c r="GZF26" s="1266"/>
      <c r="GZG26" s="1266"/>
      <c r="GZH26" s="1266"/>
      <c r="GZI26" s="1266"/>
      <c r="GZJ26" s="1266"/>
      <c r="GZK26" s="1266"/>
      <c r="GZL26" s="1266"/>
      <c r="GZM26" s="1266"/>
      <c r="GZN26" s="1266"/>
      <c r="GZO26" s="1266"/>
      <c r="GZP26" s="1266"/>
      <c r="GZQ26" s="1266"/>
      <c r="GZR26" s="1266"/>
      <c r="GZS26" s="1266"/>
      <c r="GZT26" s="1266"/>
      <c r="GZU26" s="1266"/>
      <c r="GZV26" s="1266"/>
      <c r="GZW26" s="1266"/>
      <c r="GZX26" s="1266"/>
      <c r="GZY26" s="1266"/>
      <c r="GZZ26" s="1266"/>
      <c r="HAA26" s="1266"/>
      <c r="HAB26" s="1266"/>
      <c r="HAC26" s="1266"/>
      <c r="HAD26" s="1266"/>
      <c r="HAE26" s="1266"/>
      <c r="HAF26" s="1266"/>
      <c r="HAG26" s="1266"/>
      <c r="HAH26" s="1266"/>
      <c r="HAI26" s="1266"/>
      <c r="HAJ26" s="1266"/>
      <c r="HAK26" s="1266"/>
      <c r="HAL26" s="1266"/>
      <c r="HAM26" s="1266"/>
      <c r="HAN26" s="1266"/>
      <c r="HAO26" s="1266"/>
      <c r="HAP26" s="1266"/>
      <c r="HAQ26" s="1266"/>
      <c r="HAR26" s="1266"/>
      <c r="HAS26" s="1266"/>
      <c r="HAT26" s="1266"/>
      <c r="HAU26" s="1266"/>
      <c r="HAV26" s="1266"/>
      <c r="HAW26" s="1266"/>
      <c r="HAX26" s="1266"/>
      <c r="HAY26" s="1266"/>
      <c r="HAZ26" s="1266"/>
      <c r="HBA26" s="1266"/>
      <c r="HBB26" s="1266"/>
      <c r="HBC26" s="1266"/>
      <c r="HBD26" s="1266"/>
      <c r="HBE26" s="1266"/>
      <c r="HBF26" s="1266"/>
      <c r="HBG26" s="1266"/>
      <c r="HBH26" s="1266"/>
      <c r="HBI26" s="1266"/>
      <c r="HBJ26" s="1266"/>
      <c r="HBK26" s="1266"/>
      <c r="HBL26" s="1266"/>
      <c r="HBM26" s="1266"/>
      <c r="HBN26" s="1266"/>
      <c r="HBO26" s="1266"/>
      <c r="HBP26" s="1266"/>
      <c r="HBQ26" s="1266"/>
      <c r="HBR26" s="1266"/>
      <c r="HBS26" s="1266"/>
      <c r="HBT26" s="1266"/>
      <c r="HBU26" s="1266"/>
      <c r="HBV26" s="1266"/>
      <c r="HBW26" s="1266"/>
      <c r="HBX26" s="1266"/>
      <c r="HBY26" s="1266"/>
      <c r="HBZ26" s="1266"/>
      <c r="HCA26" s="1266"/>
      <c r="HCB26" s="1266"/>
      <c r="HCC26" s="1266"/>
      <c r="HCD26" s="1266"/>
      <c r="HCE26" s="1266"/>
      <c r="HCF26" s="1266"/>
      <c r="HCG26" s="1266"/>
      <c r="HCH26" s="1266"/>
      <c r="HCI26" s="1266"/>
      <c r="HCJ26" s="1266"/>
      <c r="HCK26" s="1266"/>
      <c r="HCL26" s="1266"/>
      <c r="HCM26" s="1266"/>
      <c r="HCN26" s="1266"/>
      <c r="HCO26" s="1266"/>
      <c r="HCP26" s="1266"/>
      <c r="HCQ26" s="1266"/>
      <c r="HCR26" s="1266"/>
      <c r="HCS26" s="1266"/>
      <c r="HCT26" s="1266"/>
      <c r="HCU26" s="1266"/>
      <c r="HCV26" s="1266"/>
      <c r="HCW26" s="1266"/>
      <c r="HCX26" s="1266"/>
      <c r="HCY26" s="1266"/>
      <c r="HCZ26" s="1266"/>
      <c r="HDA26" s="1266"/>
      <c r="HDB26" s="1266"/>
      <c r="HDC26" s="1266"/>
      <c r="HDD26" s="1266"/>
      <c r="HDE26" s="1266"/>
      <c r="HDF26" s="1266"/>
      <c r="HDG26" s="1266"/>
      <c r="HDH26" s="1266"/>
      <c r="HDI26" s="1266"/>
      <c r="HDJ26" s="1266"/>
      <c r="HDK26" s="1266"/>
      <c r="HDL26" s="1266"/>
      <c r="HDM26" s="1266"/>
      <c r="HDN26" s="1266"/>
      <c r="HDO26" s="1266"/>
      <c r="HDP26" s="1266"/>
      <c r="HDQ26" s="1266"/>
      <c r="HDR26" s="1266"/>
      <c r="HDS26" s="1266"/>
      <c r="HDT26" s="1266"/>
      <c r="HDU26" s="1266"/>
      <c r="HDV26" s="1266"/>
      <c r="HDW26" s="1266"/>
      <c r="HDX26" s="1266"/>
      <c r="HDY26" s="1266"/>
      <c r="HDZ26" s="1266"/>
      <c r="HEA26" s="1266"/>
      <c r="HEB26" s="1266"/>
      <c r="HEC26" s="1266"/>
      <c r="HED26" s="1266"/>
      <c r="HEE26" s="1266"/>
      <c r="HEF26" s="1266"/>
      <c r="HEG26" s="1266"/>
      <c r="HEH26" s="1266"/>
      <c r="HEI26" s="1266"/>
      <c r="HEJ26" s="1266"/>
      <c r="HEK26" s="1266"/>
      <c r="HEL26" s="1266"/>
      <c r="HEM26" s="1266"/>
      <c r="HEN26" s="1266"/>
      <c r="HEO26" s="1266"/>
      <c r="HEP26" s="1266"/>
      <c r="HEQ26" s="1266"/>
      <c r="HER26" s="1266"/>
      <c r="HES26" s="1266"/>
      <c r="HET26" s="1266"/>
      <c r="HEU26" s="1266"/>
      <c r="HEV26" s="1266"/>
      <c r="HEW26" s="1266"/>
      <c r="HEX26" s="1266"/>
      <c r="HEY26" s="1266"/>
      <c r="HEZ26" s="1266"/>
      <c r="HFA26" s="1266"/>
      <c r="HFB26" s="1266"/>
      <c r="HFC26" s="1266"/>
      <c r="HFD26" s="1266"/>
      <c r="HFE26" s="1266"/>
      <c r="HFF26" s="1266"/>
      <c r="HFG26" s="1266"/>
      <c r="HFH26" s="1266"/>
      <c r="HFI26" s="1266"/>
      <c r="HFJ26" s="1266"/>
      <c r="HFK26" s="1266"/>
      <c r="HFL26" s="1266"/>
      <c r="HFM26" s="1266"/>
      <c r="HFN26" s="1266"/>
      <c r="HFO26" s="1266"/>
      <c r="HFP26" s="1266"/>
      <c r="HFQ26" s="1266"/>
      <c r="HFR26" s="1266"/>
      <c r="HFS26" s="1266"/>
      <c r="HFT26" s="1266"/>
      <c r="HFU26" s="1266"/>
      <c r="HFV26" s="1266"/>
      <c r="HFW26" s="1266"/>
      <c r="HFX26" s="1266"/>
      <c r="HFY26" s="1266"/>
      <c r="HFZ26" s="1266"/>
      <c r="HGA26" s="1266"/>
      <c r="HGB26" s="1266"/>
      <c r="HGC26" s="1266"/>
      <c r="HGD26" s="1266"/>
      <c r="HGE26" s="1266"/>
      <c r="HGF26" s="1266"/>
      <c r="HGG26" s="1266"/>
      <c r="HGH26" s="1266"/>
      <c r="HGI26" s="1266"/>
      <c r="HGJ26" s="1266"/>
      <c r="HGK26" s="1266"/>
      <c r="HGL26" s="1266"/>
      <c r="HGM26" s="1266"/>
      <c r="HGN26" s="1266"/>
      <c r="HGO26" s="1266"/>
      <c r="HGP26" s="1266"/>
      <c r="HGQ26" s="1266"/>
      <c r="HGR26" s="1266"/>
      <c r="HGS26" s="1266"/>
      <c r="HGT26" s="1266"/>
      <c r="HGU26" s="1266"/>
      <c r="HGV26" s="1266"/>
      <c r="HGW26" s="1266"/>
      <c r="HGX26" s="1266"/>
      <c r="HGY26" s="1266"/>
      <c r="HGZ26" s="1266"/>
      <c r="HHA26" s="1266"/>
      <c r="HHB26" s="1266"/>
      <c r="HHC26" s="1266"/>
      <c r="HHD26" s="1266"/>
      <c r="HHE26" s="1266"/>
      <c r="HHF26" s="1266"/>
      <c r="HHG26" s="1266"/>
      <c r="HHH26" s="1266"/>
      <c r="HHI26" s="1266"/>
      <c r="HHJ26" s="1266"/>
      <c r="HHK26" s="1266"/>
      <c r="HHL26" s="1266"/>
      <c r="HHM26" s="1266"/>
      <c r="HHN26" s="1266"/>
      <c r="HHO26" s="1266"/>
      <c r="HHP26" s="1266"/>
      <c r="HHQ26" s="1266"/>
      <c r="HHR26" s="1266"/>
      <c r="HHS26" s="1266"/>
      <c r="HHT26" s="1266"/>
      <c r="HHU26" s="1266"/>
      <c r="HHV26" s="1266"/>
      <c r="HHW26" s="1266"/>
      <c r="HHX26" s="1266"/>
      <c r="HHY26" s="1266"/>
      <c r="HHZ26" s="1266"/>
      <c r="HIA26" s="1266"/>
      <c r="HIB26" s="1266"/>
      <c r="HIC26" s="1266"/>
      <c r="HID26" s="1266"/>
      <c r="HIE26" s="1266"/>
      <c r="HIF26" s="1266"/>
      <c r="HIG26" s="1266"/>
      <c r="HIH26" s="1266"/>
      <c r="HII26" s="1266"/>
      <c r="HIJ26" s="1266"/>
      <c r="HIK26" s="1266"/>
      <c r="HIL26" s="1266"/>
      <c r="HIM26" s="1266"/>
      <c r="HIN26" s="1266"/>
      <c r="HIO26" s="1266"/>
      <c r="HIP26" s="1266"/>
      <c r="HIQ26" s="1266"/>
      <c r="HIR26" s="1266"/>
      <c r="HIS26" s="1266"/>
      <c r="HIT26" s="1266"/>
      <c r="HIU26" s="1266"/>
      <c r="HIV26" s="1266"/>
      <c r="HIW26" s="1266"/>
      <c r="HIX26" s="1266"/>
      <c r="HIY26" s="1266"/>
      <c r="HIZ26" s="1266"/>
      <c r="HJA26" s="1266"/>
      <c r="HJB26" s="1266"/>
      <c r="HJC26" s="1266"/>
      <c r="HJD26" s="1266"/>
      <c r="HJE26" s="1266"/>
      <c r="HJF26" s="1266"/>
      <c r="HJG26" s="1266"/>
      <c r="HJH26" s="1266"/>
      <c r="HJI26" s="1266"/>
      <c r="HJJ26" s="1266"/>
      <c r="HJK26" s="1266"/>
      <c r="HJL26" s="1266"/>
      <c r="HJM26" s="1266"/>
      <c r="HJN26" s="1266"/>
      <c r="HJO26" s="1266"/>
      <c r="HJP26" s="1266"/>
      <c r="HJQ26" s="1266"/>
      <c r="HJR26" s="1266"/>
      <c r="HJS26" s="1266"/>
      <c r="HJT26" s="1266"/>
      <c r="HJU26" s="1266"/>
      <c r="HJV26" s="1266"/>
      <c r="HJW26" s="1266"/>
      <c r="HJX26" s="1266"/>
      <c r="HJY26" s="1266"/>
      <c r="HJZ26" s="1266"/>
      <c r="HKA26" s="1266"/>
      <c r="HKB26" s="1266"/>
      <c r="HKC26" s="1266"/>
      <c r="HKD26" s="1266"/>
      <c r="HKE26" s="1266"/>
      <c r="HKF26" s="1266"/>
      <c r="HKG26" s="1266"/>
      <c r="HKH26" s="1266"/>
      <c r="HKI26" s="1266"/>
      <c r="HKJ26" s="1266"/>
      <c r="HKK26" s="1266"/>
      <c r="HKL26" s="1266"/>
      <c r="HKM26" s="1266"/>
      <c r="HKN26" s="1266"/>
      <c r="HKO26" s="1266"/>
      <c r="HKP26" s="1266"/>
      <c r="HKQ26" s="1266"/>
      <c r="HKR26" s="1266"/>
      <c r="HKS26" s="1266"/>
      <c r="HKT26" s="1266"/>
      <c r="HKU26" s="1266"/>
      <c r="HKV26" s="1266"/>
      <c r="HKW26" s="1266"/>
      <c r="HKX26" s="1266"/>
      <c r="HKY26" s="1266"/>
      <c r="HKZ26" s="1266"/>
      <c r="HLA26" s="1266"/>
      <c r="HLB26" s="1266"/>
      <c r="HLC26" s="1266"/>
      <c r="HLD26" s="1266"/>
      <c r="HLE26" s="1266"/>
      <c r="HLF26" s="1266"/>
      <c r="HLG26" s="1266"/>
      <c r="HLH26" s="1266"/>
      <c r="HLI26" s="1266"/>
      <c r="HLJ26" s="1266"/>
      <c r="HLK26" s="1266"/>
      <c r="HLL26" s="1266"/>
      <c r="HLM26" s="1266"/>
      <c r="HLN26" s="1266"/>
      <c r="HLO26" s="1266"/>
      <c r="HLP26" s="1266"/>
      <c r="HLQ26" s="1266"/>
      <c r="HLR26" s="1266"/>
      <c r="HLS26" s="1266"/>
      <c r="HLT26" s="1266"/>
      <c r="HLU26" s="1266"/>
      <c r="HLV26" s="1266"/>
      <c r="HLW26" s="1266"/>
      <c r="HLX26" s="1266"/>
      <c r="HLY26" s="1266"/>
      <c r="HLZ26" s="1266"/>
      <c r="HMA26" s="1266"/>
      <c r="HMB26" s="1266"/>
      <c r="HMC26" s="1266"/>
      <c r="HMD26" s="1266"/>
      <c r="HME26" s="1266"/>
      <c r="HMF26" s="1266"/>
      <c r="HMG26" s="1266"/>
      <c r="HMH26" s="1266"/>
      <c r="HMI26" s="1266"/>
      <c r="HMJ26" s="1266"/>
      <c r="HMK26" s="1266"/>
      <c r="HML26" s="1266"/>
      <c r="HMM26" s="1266"/>
      <c r="HMN26" s="1266"/>
      <c r="HMO26" s="1266"/>
      <c r="HMP26" s="1266"/>
      <c r="HMQ26" s="1266"/>
      <c r="HMR26" s="1266"/>
      <c r="HMS26" s="1266"/>
      <c r="HMT26" s="1266"/>
      <c r="HMU26" s="1266"/>
      <c r="HMV26" s="1266"/>
      <c r="HMW26" s="1266"/>
      <c r="HMX26" s="1266"/>
      <c r="HMY26" s="1266"/>
      <c r="HMZ26" s="1266"/>
      <c r="HNA26" s="1266"/>
      <c r="HNB26" s="1266"/>
      <c r="HNC26" s="1266"/>
      <c r="HND26" s="1266"/>
      <c r="HNE26" s="1266"/>
      <c r="HNF26" s="1266"/>
      <c r="HNG26" s="1266"/>
      <c r="HNH26" s="1266"/>
      <c r="HNI26" s="1266"/>
      <c r="HNJ26" s="1266"/>
      <c r="HNK26" s="1266"/>
      <c r="HNL26" s="1266"/>
      <c r="HNM26" s="1266"/>
      <c r="HNN26" s="1266"/>
      <c r="HNO26" s="1266"/>
      <c r="HNP26" s="1266"/>
      <c r="HNQ26" s="1266"/>
      <c r="HNR26" s="1266"/>
      <c r="HNS26" s="1266"/>
      <c r="HNT26" s="1266"/>
      <c r="HNU26" s="1266"/>
      <c r="HNV26" s="1266"/>
      <c r="HNW26" s="1266"/>
      <c r="HNX26" s="1266"/>
      <c r="HNY26" s="1266"/>
      <c r="HNZ26" s="1266"/>
      <c r="HOA26" s="1266"/>
      <c r="HOB26" s="1266"/>
      <c r="HOC26" s="1266"/>
      <c r="HOD26" s="1266"/>
      <c r="HOE26" s="1266"/>
      <c r="HOF26" s="1266"/>
      <c r="HOG26" s="1266"/>
      <c r="HOH26" s="1266"/>
      <c r="HOI26" s="1266"/>
      <c r="HOJ26" s="1266"/>
      <c r="HOK26" s="1266"/>
      <c r="HOL26" s="1266"/>
      <c r="HOM26" s="1266"/>
      <c r="HON26" s="1266"/>
      <c r="HOO26" s="1266"/>
      <c r="HOP26" s="1266"/>
      <c r="HOQ26" s="1266"/>
      <c r="HOR26" s="1266"/>
      <c r="HOS26" s="1266"/>
      <c r="HOT26" s="1266"/>
      <c r="HOU26" s="1266"/>
      <c r="HOV26" s="1266"/>
      <c r="HOW26" s="1266"/>
      <c r="HOX26" s="1266"/>
      <c r="HOY26" s="1266"/>
      <c r="HOZ26" s="1266"/>
      <c r="HPA26" s="1266"/>
      <c r="HPB26" s="1266"/>
      <c r="HPC26" s="1266"/>
      <c r="HPD26" s="1266"/>
      <c r="HPE26" s="1266"/>
      <c r="HPF26" s="1266"/>
      <c r="HPG26" s="1266"/>
      <c r="HPH26" s="1266"/>
      <c r="HPI26" s="1266"/>
      <c r="HPJ26" s="1266"/>
      <c r="HPK26" s="1266"/>
      <c r="HPL26" s="1266"/>
      <c r="HPM26" s="1266"/>
      <c r="HPN26" s="1266"/>
      <c r="HPO26" s="1266"/>
      <c r="HPP26" s="1266"/>
      <c r="HPQ26" s="1266"/>
      <c r="HPR26" s="1266"/>
      <c r="HPS26" s="1266"/>
      <c r="HPT26" s="1266"/>
      <c r="HPU26" s="1266"/>
      <c r="HPV26" s="1266"/>
      <c r="HPW26" s="1266"/>
      <c r="HPX26" s="1266"/>
      <c r="HPY26" s="1266"/>
      <c r="HPZ26" s="1266"/>
      <c r="HQA26" s="1266"/>
      <c r="HQB26" s="1266"/>
      <c r="HQC26" s="1266"/>
      <c r="HQD26" s="1266"/>
      <c r="HQE26" s="1266"/>
      <c r="HQF26" s="1266"/>
      <c r="HQG26" s="1266"/>
      <c r="HQH26" s="1266"/>
      <c r="HQI26" s="1266"/>
      <c r="HQJ26" s="1266"/>
      <c r="HQK26" s="1266"/>
      <c r="HQL26" s="1266"/>
      <c r="HQM26" s="1266"/>
      <c r="HQN26" s="1266"/>
      <c r="HQO26" s="1266"/>
      <c r="HQP26" s="1266"/>
      <c r="HQQ26" s="1266"/>
      <c r="HQR26" s="1266"/>
      <c r="HQS26" s="1266"/>
      <c r="HQT26" s="1266"/>
      <c r="HQU26" s="1266"/>
      <c r="HQV26" s="1266"/>
      <c r="HQW26" s="1266"/>
      <c r="HQX26" s="1266"/>
      <c r="HQY26" s="1266"/>
      <c r="HQZ26" s="1266"/>
      <c r="HRA26" s="1266"/>
      <c r="HRB26" s="1266"/>
      <c r="HRC26" s="1266"/>
      <c r="HRD26" s="1266"/>
      <c r="HRE26" s="1266"/>
      <c r="HRF26" s="1266"/>
      <c r="HRG26" s="1266"/>
      <c r="HRH26" s="1266"/>
      <c r="HRI26" s="1266"/>
      <c r="HRJ26" s="1266"/>
      <c r="HRK26" s="1266"/>
      <c r="HRL26" s="1266"/>
      <c r="HRM26" s="1266"/>
      <c r="HRN26" s="1266"/>
      <c r="HRO26" s="1266"/>
      <c r="HRP26" s="1266"/>
      <c r="HRQ26" s="1266"/>
      <c r="HRR26" s="1266"/>
      <c r="HRS26" s="1266"/>
      <c r="HRT26" s="1266"/>
      <c r="HRU26" s="1266"/>
      <c r="HRV26" s="1266"/>
      <c r="HRW26" s="1266"/>
      <c r="HRX26" s="1266"/>
      <c r="HRY26" s="1266"/>
      <c r="HRZ26" s="1266"/>
      <c r="HSA26" s="1266"/>
      <c r="HSB26" s="1266"/>
      <c r="HSC26" s="1266"/>
      <c r="HSD26" s="1266"/>
      <c r="HSE26" s="1266"/>
      <c r="HSF26" s="1266"/>
      <c r="HSG26" s="1266"/>
      <c r="HSH26" s="1266"/>
      <c r="HSI26" s="1266"/>
      <c r="HSJ26" s="1266"/>
      <c r="HSK26" s="1266"/>
      <c r="HSL26" s="1266"/>
      <c r="HSM26" s="1266"/>
      <c r="HSN26" s="1266"/>
      <c r="HSO26" s="1266"/>
      <c r="HSP26" s="1266"/>
      <c r="HSQ26" s="1266"/>
      <c r="HSR26" s="1266"/>
      <c r="HSS26" s="1266"/>
      <c r="HST26" s="1266"/>
      <c r="HSU26" s="1266"/>
      <c r="HSV26" s="1266"/>
      <c r="HSW26" s="1266"/>
      <c r="HSX26" s="1266"/>
      <c r="HSY26" s="1266"/>
      <c r="HSZ26" s="1266"/>
      <c r="HTA26" s="1266"/>
      <c r="HTB26" s="1266"/>
      <c r="HTC26" s="1266"/>
      <c r="HTD26" s="1266"/>
      <c r="HTE26" s="1266"/>
      <c r="HTF26" s="1266"/>
      <c r="HTG26" s="1266"/>
      <c r="HTH26" s="1266"/>
      <c r="HTI26" s="1266"/>
      <c r="HTJ26" s="1266"/>
      <c r="HTK26" s="1266"/>
      <c r="HTL26" s="1266"/>
      <c r="HTM26" s="1266"/>
      <c r="HTN26" s="1266"/>
      <c r="HTO26" s="1266"/>
      <c r="HTP26" s="1266"/>
      <c r="HTQ26" s="1266"/>
      <c r="HTR26" s="1266"/>
      <c r="HTS26" s="1266"/>
      <c r="HTT26" s="1266"/>
      <c r="HTU26" s="1266"/>
      <c r="HTV26" s="1266"/>
      <c r="HTW26" s="1266"/>
      <c r="HTX26" s="1266"/>
      <c r="HTY26" s="1266"/>
      <c r="HTZ26" s="1266"/>
      <c r="HUA26" s="1266"/>
      <c r="HUB26" s="1266"/>
      <c r="HUC26" s="1266"/>
      <c r="HUD26" s="1266"/>
      <c r="HUE26" s="1266"/>
      <c r="HUF26" s="1266"/>
      <c r="HUG26" s="1266"/>
      <c r="HUH26" s="1266"/>
      <c r="HUI26" s="1266"/>
      <c r="HUJ26" s="1266"/>
      <c r="HUK26" s="1266"/>
      <c r="HUL26" s="1266"/>
      <c r="HUM26" s="1266"/>
      <c r="HUN26" s="1266"/>
      <c r="HUO26" s="1266"/>
      <c r="HUP26" s="1266"/>
      <c r="HUQ26" s="1266"/>
      <c r="HUR26" s="1266"/>
      <c r="HUS26" s="1266"/>
      <c r="HUT26" s="1266"/>
      <c r="HUU26" s="1266"/>
      <c r="HUV26" s="1266"/>
      <c r="HUW26" s="1266"/>
      <c r="HUX26" s="1266"/>
      <c r="HUY26" s="1266"/>
      <c r="HUZ26" s="1266"/>
      <c r="HVA26" s="1266"/>
      <c r="HVB26" s="1266"/>
      <c r="HVC26" s="1266"/>
      <c r="HVD26" s="1266"/>
      <c r="HVE26" s="1266"/>
      <c r="HVF26" s="1266"/>
      <c r="HVG26" s="1266"/>
      <c r="HVH26" s="1266"/>
      <c r="HVI26" s="1266"/>
      <c r="HVJ26" s="1266"/>
      <c r="HVK26" s="1266"/>
      <c r="HVL26" s="1266"/>
      <c r="HVM26" s="1266"/>
      <c r="HVN26" s="1266"/>
      <c r="HVO26" s="1266"/>
      <c r="HVP26" s="1266"/>
      <c r="HVQ26" s="1266"/>
      <c r="HVR26" s="1266"/>
      <c r="HVS26" s="1266"/>
      <c r="HVT26" s="1266"/>
      <c r="HVU26" s="1266"/>
      <c r="HVV26" s="1266"/>
      <c r="HVW26" s="1266"/>
      <c r="HVX26" s="1266"/>
      <c r="HVY26" s="1266"/>
      <c r="HVZ26" s="1266"/>
      <c r="HWA26" s="1266"/>
      <c r="HWB26" s="1266"/>
      <c r="HWC26" s="1266"/>
      <c r="HWD26" s="1266"/>
      <c r="HWE26" s="1266"/>
      <c r="HWF26" s="1266"/>
      <c r="HWG26" s="1266"/>
      <c r="HWH26" s="1266"/>
      <c r="HWI26" s="1266"/>
      <c r="HWJ26" s="1266"/>
      <c r="HWK26" s="1266"/>
      <c r="HWL26" s="1266"/>
      <c r="HWM26" s="1266"/>
      <c r="HWN26" s="1266"/>
      <c r="HWO26" s="1266"/>
      <c r="HWP26" s="1266"/>
      <c r="HWQ26" s="1266"/>
      <c r="HWR26" s="1266"/>
      <c r="HWS26" s="1266"/>
      <c r="HWT26" s="1266"/>
      <c r="HWU26" s="1266"/>
      <c r="HWV26" s="1266"/>
      <c r="HWW26" s="1266"/>
      <c r="HWX26" s="1266"/>
      <c r="HWY26" s="1266"/>
      <c r="HWZ26" s="1266"/>
      <c r="HXA26" s="1266"/>
      <c r="HXB26" s="1266"/>
      <c r="HXC26" s="1266"/>
      <c r="HXD26" s="1266"/>
      <c r="HXE26" s="1266"/>
      <c r="HXF26" s="1266"/>
      <c r="HXG26" s="1266"/>
      <c r="HXH26" s="1266"/>
      <c r="HXI26" s="1266"/>
      <c r="HXJ26" s="1266"/>
      <c r="HXK26" s="1266"/>
      <c r="HXL26" s="1266"/>
      <c r="HXM26" s="1266"/>
      <c r="HXN26" s="1266"/>
      <c r="HXO26" s="1266"/>
      <c r="HXP26" s="1266"/>
      <c r="HXQ26" s="1266"/>
      <c r="HXR26" s="1266"/>
      <c r="HXS26" s="1266"/>
      <c r="HXT26" s="1266"/>
      <c r="HXU26" s="1266"/>
      <c r="HXV26" s="1266"/>
      <c r="HXW26" s="1266"/>
      <c r="HXX26" s="1266"/>
      <c r="HXY26" s="1266"/>
      <c r="HXZ26" s="1266"/>
      <c r="HYA26" s="1266"/>
      <c r="HYB26" s="1266"/>
      <c r="HYC26" s="1266"/>
      <c r="HYD26" s="1266"/>
      <c r="HYE26" s="1266"/>
      <c r="HYF26" s="1266"/>
      <c r="HYG26" s="1266"/>
      <c r="HYH26" s="1266"/>
      <c r="HYI26" s="1266"/>
      <c r="HYJ26" s="1266"/>
      <c r="HYK26" s="1266"/>
      <c r="HYL26" s="1266"/>
      <c r="HYM26" s="1266"/>
      <c r="HYN26" s="1266"/>
      <c r="HYO26" s="1266"/>
      <c r="HYP26" s="1266"/>
      <c r="HYQ26" s="1266"/>
      <c r="HYR26" s="1266"/>
      <c r="HYS26" s="1266"/>
      <c r="HYT26" s="1266"/>
      <c r="HYU26" s="1266"/>
      <c r="HYV26" s="1266"/>
      <c r="HYW26" s="1266"/>
      <c r="HYX26" s="1266"/>
      <c r="HYY26" s="1266"/>
      <c r="HYZ26" s="1266"/>
      <c r="HZA26" s="1266"/>
      <c r="HZB26" s="1266"/>
      <c r="HZC26" s="1266"/>
      <c r="HZD26" s="1266"/>
      <c r="HZE26" s="1266"/>
      <c r="HZF26" s="1266"/>
      <c r="HZG26" s="1266"/>
      <c r="HZH26" s="1266"/>
      <c r="HZI26" s="1266"/>
      <c r="HZJ26" s="1266"/>
      <c r="HZK26" s="1266"/>
      <c r="HZL26" s="1266"/>
      <c r="HZM26" s="1266"/>
      <c r="HZN26" s="1266"/>
      <c r="HZO26" s="1266"/>
      <c r="HZP26" s="1266"/>
      <c r="HZQ26" s="1266"/>
      <c r="HZR26" s="1266"/>
      <c r="HZS26" s="1266"/>
      <c r="HZT26" s="1266"/>
      <c r="HZU26" s="1266"/>
      <c r="HZV26" s="1266"/>
      <c r="HZW26" s="1266"/>
      <c r="HZX26" s="1266"/>
      <c r="HZY26" s="1266"/>
      <c r="HZZ26" s="1266"/>
      <c r="IAA26" s="1266"/>
      <c r="IAB26" s="1266"/>
      <c r="IAC26" s="1266"/>
      <c r="IAD26" s="1266"/>
      <c r="IAE26" s="1266"/>
      <c r="IAF26" s="1266"/>
      <c r="IAG26" s="1266"/>
      <c r="IAH26" s="1266"/>
      <c r="IAI26" s="1266"/>
      <c r="IAJ26" s="1266"/>
      <c r="IAK26" s="1266"/>
      <c r="IAL26" s="1266"/>
      <c r="IAM26" s="1266"/>
      <c r="IAN26" s="1266"/>
      <c r="IAO26" s="1266"/>
      <c r="IAP26" s="1266"/>
      <c r="IAQ26" s="1266"/>
      <c r="IAR26" s="1266"/>
      <c r="IAS26" s="1266"/>
      <c r="IAT26" s="1266"/>
      <c r="IAU26" s="1266"/>
      <c r="IAV26" s="1266"/>
      <c r="IAW26" s="1266"/>
      <c r="IAX26" s="1266"/>
      <c r="IAY26" s="1266"/>
      <c r="IAZ26" s="1266"/>
      <c r="IBA26" s="1266"/>
      <c r="IBB26" s="1266"/>
      <c r="IBC26" s="1266"/>
      <c r="IBD26" s="1266"/>
      <c r="IBE26" s="1266"/>
      <c r="IBF26" s="1266"/>
      <c r="IBG26" s="1266"/>
      <c r="IBH26" s="1266"/>
      <c r="IBI26" s="1266"/>
      <c r="IBJ26" s="1266"/>
      <c r="IBK26" s="1266"/>
      <c r="IBL26" s="1266"/>
      <c r="IBM26" s="1266"/>
      <c r="IBN26" s="1266"/>
      <c r="IBO26" s="1266"/>
      <c r="IBP26" s="1266"/>
      <c r="IBQ26" s="1266"/>
      <c r="IBR26" s="1266"/>
      <c r="IBS26" s="1266"/>
      <c r="IBT26" s="1266"/>
      <c r="IBU26" s="1266"/>
      <c r="IBV26" s="1266"/>
      <c r="IBW26" s="1266"/>
      <c r="IBX26" s="1266"/>
      <c r="IBY26" s="1266"/>
      <c r="IBZ26" s="1266"/>
      <c r="ICA26" s="1266"/>
      <c r="ICB26" s="1266"/>
      <c r="ICC26" s="1266"/>
      <c r="ICD26" s="1266"/>
      <c r="ICE26" s="1266"/>
      <c r="ICF26" s="1266"/>
      <c r="ICG26" s="1266"/>
      <c r="ICH26" s="1266"/>
      <c r="ICI26" s="1266"/>
      <c r="ICJ26" s="1266"/>
      <c r="ICK26" s="1266"/>
      <c r="ICL26" s="1266"/>
      <c r="ICM26" s="1266"/>
      <c r="ICN26" s="1266"/>
      <c r="ICO26" s="1266"/>
      <c r="ICP26" s="1266"/>
      <c r="ICQ26" s="1266"/>
      <c r="ICR26" s="1266"/>
      <c r="ICS26" s="1266"/>
      <c r="ICT26" s="1266"/>
      <c r="ICU26" s="1266"/>
      <c r="ICV26" s="1266"/>
      <c r="ICW26" s="1266"/>
      <c r="ICX26" s="1266"/>
      <c r="ICY26" s="1266"/>
      <c r="ICZ26" s="1266"/>
      <c r="IDA26" s="1266"/>
      <c r="IDB26" s="1266"/>
      <c r="IDC26" s="1266"/>
      <c r="IDD26" s="1266"/>
      <c r="IDE26" s="1266"/>
      <c r="IDF26" s="1266"/>
      <c r="IDG26" s="1266"/>
      <c r="IDH26" s="1266"/>
      <c r="IDI26" s="1266"/>
      <c r="IDJ26" s="1266"/>
      <c r="IDK26" s="1266"/>
      <c r="IDL26" s="1266"/>
      <c r="IDM26" s="1266"/>
      <c r="IDN26" s="1266"/>
      <c r="IDO26" s="1266"/>
      <c r="IDP26" s="1266"/>
      <c r="IDQ26" s="1266"/>
      <c r="IDR26" s="1266"/>
      <c r="IDS26" s="1266"/>
      <c r="IDT26" s="1266"/>
      <c r="IDU26" s="1266"/>
      <c r="IDV26" s="1266"/>
      <c r="IDW26" s="1266"/>
      <c r="IDX26" s="1266"/>
      <c r="IDY26" s="1266"/>
      <c r="IDZ26" s="1266"/>
      <c r="IEA26" s="1266"/>
      <c r="IEB26" s="1266"/>
      <c r="IEC26" s="1266"/>
      <c r="IED26" s="1266"/>
      <c r="IEE26" s="1266"/>
      <c r="IEF26" s="1266"/>
      <c r="IEG26" s="1266"/>
      <c r="IEH26" s="1266"/>
      <c r="IEI26" s="1266"/>
      <c r="IEJ26" s="1266"/>
      <c r="IEK26" s="1266"/>
      <c r="IEL26" s="1266"/>
      <c r="IEM26" s="1266"/>
      <c r="IEN26" s="1266"/>
      <c r="IEO26" s="1266"/>
      <c r="IEP26" s="1266"/>
      <c r="IEQ26" s="1266"/>
      <c r="IER26" s="1266"/>
      <c r="IES26" s="1266"/>
      <c r="IET26" s="1266"/>
      <c r="IEU26" s="1266"/>
      <c r="IEV26" s="1266"/>
      <c r="IEW26" s="1266"/>
      <c r="IEX26" s="1266"/>
      <c r="IEY26" s="1266"/>
      <c r="IEZ26" s="1266"/>
      <c r="IFA26" s="1266"/>
      <c r="IFB26" s="1266"/>
      <c r="IFC26" s="1266"/>
      <c r="IFD26" s="1266"/>
      <c r="IFE26" s="1266"/>
      <c r="IFF26" s="1266"/>
      <c r="IFG26" s="1266"/>
      <c r="IFH26" s="1266"/>
      <c r="IFI26" s="1266"/>
      <c r="IFJ26" s="1266"/>
      <c r="IFK26" s="1266"/>
      <c r="IFL26" s="1266"/>
      <c r="IFM26" s="1266"/>
      <c r="IFN26" s="1266"/>
      <c r="IFO26" s="1266"/>
      <c r="IFP26" s="1266"/>
      <c r="IFQ26" s="1266"/>
      <c r="IFR26" s="1266"/>
      <c r="IFS26" s="1266"/>
      <c r="IFT26" s="1266"/>
      <c r="IFU26" s="1266"/>
      <c r="IFV26" s="1266"/>
      <c r="IFW26" s="1266"/>
      <c r="IFX26" s="1266"/>
      <c r="IFY26" s="1266"/>
      <c r="IFZ26" s="1266"/>
      <c r="IGA26" s="1266"/>
      <c r="IGB26" s="1266"/>
      <c r="IGC26" s="1266"/>
      <c r="IGD26" s="1266"/>
      <c r="IGE26" s="1266"/>
      <c r="IGF26" s="1266"/>
      <c r="IGG26" s="1266"/>
      <c r="IGH26" s="1266"/>
      <c r="IGI26" s="1266"/>
      <c r="IGJ26" s="1266"/>
      <c r="IGK26" s="1266"/>
      <c r="IGL26" s="1266"/>
      <c r="IGM26" s="1266"/>
      <c r="IGN26" s="1266"/>
      <c r="IGO26" s="1266"/>
      <c r="IGP26" s="1266"/>
      <c r="IGQ26" s="1266"/>
      <c r="IGR26" s="1266"/>
      <c r="IGS26" s="1266"/>
      <c r="IGT26" s="1266"/>
      <c r="IGU26" s="1266"/>
      <c r="IGV26" s="1266"/>
      <c r="IGW26" s="1266"/>
      <c r="IGX26" s="1266"/>
      <c r="IGY26" s="1266"/>
      <c r="IGZ26" s="1266"/>
      <c r="IHA26" s="1266"/>
      <c r="IHB26" s="1266"/>
      <c r="IHC26" s="1266"/>
      <c r="IHD26" s="1266"/>
      <c r="IHE26" s="1266"/>
      <c r="IHF26" s="1266"/>
      <c r="IHG26" s="1266"/>
      <c r="IHH26" s="1266"/>
      <c r="IHI26" s="1266"/>
      <c r="IHJ26" s="1266"/>
      <c r="IHK26" s="1266"/>
      <c r="IHL26" s="1266"/>
      <c r="IHM26" s="1266"/>
      <c r="IHN26" s="1266"/>
      <c r="IHO26" s="1266"/>
      <c r="IHP26" s="1266"/>
      <c r="IHQ26" s="1266"/>
      <c r="IHR26" s="1266"/>
      <c r="IHS26" s="1266"/>
      <c r="IHT26" s="1266"/>
      <c r="IHU26" s="1266"/>
      <c r="IHV26" s="1266"/>
      <c r="IHW26" s="1266"/>
      <c r="IHX26" s="1266"/>
      <c r="IHY26" s="1266"/>
      <c r="IHZ26" s="1266"/>
      <c r="IIA26" s="1266"/>
      <c r="IIB26" s="1266"/>
      <c r="IIC26" s="1266"/>
      <c r="IID26" s="1266"/>
      <c r="IIE26" s="1266"/>
      <c r="IIF26" s="1266"/>
      <c r="IIG26" s="1266"/>
      <c r="IIH26" s="1266"/>
      <c r="III26" s="1266"/>
      <c r="IIJ26" s="1266"/>
      <c r="IIK26" s="1266"/>
      <c r="IIL26" s="1266"/>
      <c r="IIM26" s="1266"/>
      <c r="IIN26" s="1266"/>
      <c r="IIO26" s="1266"/>
      <c r="IIP26" s="1266"/>
      <c r="IIQ26" s="1266"/>
      <c r="IIR26" s="1266"/>
      <c r="IIS26" s="1266"/>
      <c r="IIT26" s="1266"/>
      <c r="IIU26" s="1266"/>
      <c r="IIV26" s="1266"/>
      <c r="IIW26" s="1266"/>
      <c r="IIX26" s="1266"/>
      <c r="IIY26" s="1266"/>
      <c r="IIZ26" s="1266"/>
      <c r="IJA26" s="1266"/>
      <c r="IJB26" s="1266"/>
      <c r="IJC26" s="1266"/>
      <c r="IJD26" s="1266"/>
      <c r="IJE26" s="1266"/>
      <c r="IJF26" s="1266"/>
      <c r="IJG26" s="1266"/>
      <c r="IJH26" s="1266"/>
      <c r="IJI26" s="1266"/>
      <c r="IJJ26" s="1266"/>
      <c r="IJK26" s="1266"/>
      <c r="IJL26" s="1266"/>
      <c r="IJM26" s="1266"/>
      <c r="IJN26" s="1266"/>
      <c r="IJO26" s="1266"/>
      <c r="IJP26" s="1266"/>
      <c r="IJQ26" s="1266"/>
      <c r="IJR26" s="1266"/>
      <c r="IJS26" s="1266"/>
      <c r="IJT26" s="1266"/>
      <c r="IJU26" s="1266"/>
      <c r="IJV26" s="1266"/>
      <c r="IJW26" s="1266"/>
      <c r="IJX26" s="1266"/>
      <c r="IJY26" s="1266"/>
      <c r="IJZ26" s="1266"/>
      <c r="IKA26" s="1266"/>
      <c r="IKB26" s="1266"/>
      <c r="IKC26" s="1266"/>
      <c r="IKD26" s="1266"/>
      <c r="IKE26" s="1266"/>
      <c r="IKF26" s="1266"/>
      <c r="IKG26" s="1266"/>
      <c r="IKH26" s="1266"/>
      <c r="IKI26" s="1266"/>
      <c r="IKJ26" s="1266"/>
      <c r="IKK26" s="1266"/>
      <c r="IKL26" s="1266"/>
      <c r="IKM26" s="1266"/>
      <c r="IKN26" s="1266"/>
      <c r="IKO26" s="1266"/>
      <c r="IKP26" s="1266"/>
      <c r="IKQ26" s="1266"/>
      <c r="IKR26" s="1266"/>
      <c r="IKS26" s="1266"/>
      <c r="IKT26" s="1266"/>
      <c r="IKU26" s="1266"/>
      <c r="IKV26" s="1266"/>
      <c r="IKW26" s="1266"/>
      <c r="IKX26" s="1266"/>
      <c r="IKY26" s="1266"/>
      <c r="IKZ26" s="1266"/>
      <c r="ILA26" s="1266"/>
      <c r="ILB26" s="1266"/>
      <c r="ILC26" s="1266"/>
      <c r="ILD26" s="1266"/>
      <c r="ILE26" s="1266"/>
      <c r="ILF26" s="1266"/>
      <c r="ILG26" s="1266"/>
      <c r="ILH26" s="1266"/>
      <c r="ILI26" s="1266"/>
      <c r="ILJ26" s="1266"/>
      <c r="ILK26" s="1266"/>
      <c r="ILL26" s="1266"/>
      <c r="ILM26" s="1266"/>
      <c r="ILN26" s="1266"/>
      <c r="ILO26" s="1266"/>
      <c r="ILP26" s="1266"/>
      <c r="ILQ26" s="1266"/>
      <c r="ILR26" s="1266"/>
      <c r="ILS26" s="1266"/>
      <c r="ILT26" s="1266"/>
      <c r="ILU26" s="1266"/>
      <c r="ILV26" s="1266"/>
      <c r="ILW26" s="1266"/>
      <c r="ILX26" s="1266"/>
      <c r="ILY26" s="1266"/>
      <c r="ILZ26" s="1266"/>
      <c r="IMA26" s="1266"/>
      <c r="IMB26" s="1266"/>
      <c r="IMC26" s="1266"/>
      <c r="IMD26" s="1266"/>
      <c r="IME26" s="1266"/>
      <c r="IMF26" s="1266"/>
      <c r="IMG26" s="1266"/>
      <c r="IMH26" s="1266"/>
      <c r="IMI26" s="1266"/>
      <c r="IMJ26" s="1266"/>
      <c r="IMK26" s="1266"/>
      <c r="IML26" s="1266"/>
      <c r="IMM26" s="1266"/>
      <c r="IMN26" s="1266"/>
      <c r="IMO26" s="1266"/>
      <c r="IMP26" s="1266"/>
      <c r="IMQ26" s="1266"/>
      <c r="IMR26" s="1266"/>
      <c r="IMS26" s="1266"/>
      <c r="IMT26" s="1266"/>
      <c r="IMU26" s="1266"/>
      <c r="IMV26" s="1266"/>
      <c r="IMW26" s="1266"/>
      <c r="IMX26" s="1266"/>
      <c r="IMY26" s="1266"/>
      <c r="IMZ26" s="1266"/>
      <c r="INA26" s="1266"/>
      <c r="INB26" s="1266"/>
      <c r="INC26" s="1266"/>
      <c r="IND26" s="1266"/>
      <c r="INE26" s="1266"/>
      <c r="INF26" s="1266"/>
      <c r="ING26" s="1266"/>
      <c r="INH26" s="1266"/>
      <c r="INI26" s="1266"/>
      <c r="INJ26" s="1266"/>
      <c r="INK26" s="1266"/>
      <c r="INL26" s="1266"/>
      <c r="INM26" s="1266"/>
      <c r="INN26" s="1266"/>
      <c r="INO26" s="1266"/>
      <c r="INP26" s="1266"/>
      <c r="INQ26" s="1266"/>
      <c r="INR26" s="1266"/>
      <c r="INS26" s="1266"/>
      <c r="INT26" s="1266"/>
      <c r="INU26" s="1266"/>
      <c r="INV26" s="1266"/>
      <c r="INW26" s="1266"/>
      <c r="INX26" s="1266"/>
      <c r="INY26" s="1266"/>
      <c r="INZ26" s="1266"/>
      <c r="IOA26" s="1266"/>
      <c r="IOB26" s="1266"/>
      <c r="IOC26" s="1266"/>
      <c r="IOD26" s="1266"/>
      <c r="IOE26" s="1266"/>
      <c r="IOF26" s="1266"/>
      <c r="IOG26" s="1266"/>
      <c r="IOH26" s="1266"/>
      <c r="IOI26" s="1266"/>
      <c r="IOJ26" s="1266"/>
      <c r="IOK26" s="1266"/>
      <c r="IOL26" s="1266"/>
      <c r="IOM26" s="1266"/>
      <c r="ION26" s="1266"/>
      <c r="IOO26" s="1266"/>
      <c r="IOP26" s="1266"/>
      <c r="IOQ26" s="1266"/>
      <c r="IOR26" s="1266"/>
      <c r="IOS26" s="1266"/>
      <c r="IOT26" s="1266"/>
      <c r="IOU26" s="1266"/>
      <c r="IOV26" s="1266"/>
      <c r="IOW26" s="1266"/>
      <c r="IOX26" s="1266"/>
      <c r="IOY26" s="1266"/>
      <c r="IOZ26" s="1266"/>
      <c r="IPA26" s="1266"/>
      <c r="IPB26" s="1266"/>
      <c r="IPC26" s="1266"/>
      <c r="IPD26" s="1266"/>
      <c r="IPE26" s="1266"/>
      <c r="IPF26" s="1266"/>
      <c r="IPG26" s="1266"/>
      <c r="IPH26" s="1266"/>
      <c r="IPI26" s="1266"/>
      <c r="IPJ26" s="1266"/>
      <c r="IPK26" s="1266"/>
      <c r="IPL26" s="1266"/>
      <c r="IPM26" s="1266"/>
      <c r="IPN26" s="1266"/>
      <c r="IPO26" s="1266"/>
      <c r="IPP26" s="1266"/>
      <c r="IPQ26" s="1266"/>
      <c r="IPR26" s="1266"/>
      <c r="IPS26" s="1266"/>
      <c r="IPT26" s="1266"/>
      <c r="IPU26" s="1266"/>
      <c r="IPV26" s="1266"/>
      <c r="IPW26" s="1266"/>
      <c r="IPX26" s="1266"/>
      <c r="IPY26" s="1266"/>
      <c r="IPZ26" s="1266"/>
      <c r="IQA26" s="1266"/>
      <c r="IQB26" s="1266"/>
      <c r="IQC26" s="1266"/>
      <c r="IQD26" s="1266"/>
      <c r="IQE26" s="1266"/>
      <c r="IQF26" s="1266"/>
      <c r="IQG26" s="1266"/>
      <c r="IQH26" s="1266"/>
      <c r="IQI26" s="1266"/>
      <c r="IQJ26" s="1266"/>
      <c r="IQK26" s="1266"/>
      <c r="IQL26" s="1266"/>
      <c r="IQM26" s="1266"/>
      <c r="IQN26" s="1266"/>
      <c r="IQO26" s="1266"/>
      <c r="IQP26" s="1266"/>
      <c r="IQQ26" s="1266"/>
      <c r="IQR26" s="1266"/>
      <c r="IQS26" s="1266"/>
      <c r="IQT26" s="1266"/>
      <c r="IQU26" s="1266"/>
      <c r="IQV26" s="1266"/>
      <c r="IQW26" s="1266"/>
      <c r="IQX26" s="1266"/>
      <c r="IQY26" s="1266"/>
      <c r="IQZ26" s="1266"/>
      <c r="IRA26" s="1266"/>
      <c r="IRB26" s="1266"/>
      <c r="IRC26" s="1266"/>
      <c r="IRD26" s="1266"/>
      <c r="IRE26" s="1266"/>
      <c r="IRF26" s="1266"/>
      <c r="IRG26" s="1266"/>
      <c r="IRH26" s="1266"/>
      <c r="IRI26" s="1266"/>
      <c r="IRJ26" s="1266"/>
      <c r="IRK26" s="1266"/>
      <c r="IRL26" s="1266"/>
      <c r="IRM26" s="1266"/>
      <c r="IRN26" s="1266"/>
      <c r="IRO26" s="1266"/>
      <c r="IRP26" s="1266"/>
      <c r="IRQ26" s="1266"/>
      <c r="IRR26" s="1266"/>
      <c r="IRS26" s="1266"/>
      <c r="IRT26" s="1266"/>
      <c r="IRU26" s="1266"/>
      <c r="IRV26" s="1266"/>
      <c r="IRW26" s="1266"/>
      <c r="IRX26" s="1266"/>
      <c r="IRY26" s="1266"/>
      <c r="IRZ26" s="1266"/>
      <c r="ISA26" s="1266"/>
      <c r="ISB26" s="1266"/>
      <c r="ISC26" s="1266"/>
      <c r="ISD26" s="1266"/>
      <c r="ISE26" s="1266"/>
      <c r="ISF26" s="1266"/>
      <c r="ISG26" s="1266"/>
      <c r="ISH26" s="1266"/>
      <c r="ISI26" s="1266"/>
      <c r="ISJ26" s="1266"/>
      <c r="ISK26" s="1266"/>
      <c r="ISL26" s="1266"/>
      <c r="ISM26" s="1266"/>
      <c r="ISN26" s="1266"/>
      <c r="ISO26" s="1266"/>
      <c r="ISP26" s="1266"/>
      <c r="ISQ26" s="1266"/>
      <c r="ISR26" s="1266"/>
      <c r="ISS26" s="1266"/>
      <c r="IST26" s="1266"/>
      <c r="ISU26" s="1266"/>
      <c r="ISV26" s="1266"/>
      <c r="ISW26" s="1266"/>
      <c r="ISX26" s="1266"/>
      <c r="ISY26" s="1266"/>
      <c r="ISZ26" s="1266"/>
      <c r="ITA26" s="1266"/>
      <c r="ITB26" s="1266"/>
      <c r="ITC26" s="1266"/>
      <c r="ITD26" s="1266"/>
      <c r="ITE26" s="1266"/>
      <c r="ITF26" s="1266"/>
      <c r="ITG26" s="1266"/>
      <c r="ITH26" s="1266"/>
      <c r="ITI26" s="1266"/>
      <c r="ITJ26" s="1266"/>
      <c r="ITK26" s="1266"/>
      <c r="ITL26" s="1266"/>
      <c r="ITM26" s="1266"/>
      <c r="ITN26" s="1266"/>
      <c r="ITO26" s="1266"/>
      <c r="ITP26" s="1266"/>
      <c r="ITQ26" s="1266"/>
      <c r="ITR26" s="1266"/>
      <c r="ITS26" s="1266"/>
      <c r="ITT26" s="1266"/>
      <c r="ITU26" s="1266"/>
      <c r="ITV26" s="1266"/>
      <c r="ITW26" s="1266"/>
      <c r="ITX26" s="1266"/>
      <c r="ITY26" s="1266"/>
      <c r="ITZ26" s="1266"/>
      <c r="IUA26" s="1266"/>
      <c r="IUB26" s="1266"/>
      <c r="IUC26" s="1266"/>
      <c r="IUD26" s="1266"/>
      <c r="IUE26" s="1266"/>
      <c r="IUF26" s="1266"/>
      <c r="IUG26" s="1266"/>
      <c r="IUH26" s="1266"/>
      <c r="IUI26" s="1266"/>
      <c r="IUJ26" s="1266"/>
      <c r="IUK26" s="1266"/>
      <c r="IUL26" s="1266"/>
      <c r="IUM26" s="1266"/>
      <c r="IUN26" s="1266"/>
      <c r="IUO26" s="1266"/>
      <c r="IUP26" s="1266"/>
      <c r="IUQ26" s="1266"/>
      <c r="IUR26" s="1266"/>
      <c r="IUS26" s="1266"/>
      <c r="IUT26" s="1266"/>
      <c r="IUU26" s="1266"/>
      <c r="IUV26" s="1266"/>
      <c r="IUW26" s="1266"/>
      <c r="IUX26" s="1266"/>
      <c r="IUY26" s="1266"/>
      <c r="IUZ26" s="1266"/>
      <c r="IVA26" s="1266"/>
      <c r="IVB26" s="1266"/>
      <c r="IVC26" s="1266"/>
      <c r="IVD26" s="1266"/>
      <c r="IVE26" s="1266"/>
      <c r="IVF26" s="1266"/>
      <c r="IVG26" s="1266"/>
      <c r="IVH26" s="1266"/>
      <c r="IVI26" s="1266"/>
      <c r="IVJ26" s="1266"/>
      <c r="IVK26" s="1266"/>
      <c r="IVL26" s="1266"/>
      <c r="IVM26" s="1266"/>
      <c r="IVN26" s="1266"/>
      <c r="IVO26" s="1266"/>
      <c r="IVP26" s="1266"/>
      <c r="IVQ26" s="1266"/>
      <c r="IVR26" s="1266"/>
      <c r="IVS26" s="1266"/>
      <c r="IVT26" s="1266"/>
      <c r="IVU26" s="1266"/>
      <c r="IVV26" s="1266"/>
      <c r="IVW26" s="1266"/>
      <c r="IVX26" s="1266"/>
      <c r="IVY26" s="1266"/>
      <c r="IVZ26" s="1266"/>
      <c r="IWA26" s="1266"/>
      <c r="IWB26" s="1266"/>
      <c r="IWC26" s="1266"/>
      <c r="IWD26" s="1266"/>
      <c r="IWE26" s="1266"/>
      <c r="IWF26" s="1266"/>
      <c r="IWG26" s="1266"/>
      <c r="IWH26" s="1266"/>
      <c r="IWI26" s="1266"/>
      <c r="IWJ26" s="1266"/>
      <c r="IWK26" s="1266"/>
      <c r="IWL26" s="1266"/>
      <c r="IWM26" s="1266"/>
      <c r="IWN26" s="1266"/>
      <c r="IWO26" s="1266"/>
      <c r="IWP26" s="1266"/>
      <c r="IWQ26" s="1266"/>
      <c r="IWR26" s="1266"/>
      <c r="IWS26" s="1266"/>
      <c r="IWT26" s="1266"/>
      <c r="IWU26" s="1266"/>
      <c r="IWV26" s="1266"/>
      <c r="IWW26" s="1266"/>
      <c r="IWX26" s="1266"/>
      <c r="IWY26" s="1266"/>
      <c r="IWZ26" s="1266"/>
      <c r="IXA26" s="1266"/>
      <c r="IXB26" s="1266"/>
      <c r="IXC26" s="1266"/>
      <c r="IXD26" s="1266"/>
      <c r="IXE26" s="1266"/>
      <c r="IXF26" s="1266"/>
      <c r="IXG26" s="1266"/>
      <c r="IXH26" s="1266"/>
      <c r="IXI26" s="1266"/>
      <c r="IXJ26" s="1266"/>
      <c r="IXK26" s="1266"/>
      <c r="IXL26" s="1266"/>
      <c r="IXM26" s="1266"/>
      <c r="IXN26" s="1266"/>
      <c r="IXO26" s="1266"/>
      <c r="IXP26" s="1266"/>
      <c r="IXQ26" s="1266"/>
      <c r="IXR26" s="1266"/>
      <c r="IXS26" s="1266"/>
      <c r="IXT26" s="1266"/>
      <c r="IXU26" s="1266"/>
      <c r="IXV26" s="1266"/>
      <c r="IXW26" s="1266"/>
      <c r="IXX26" s="1266"/>
      <c r="IXY26" s="1266"/>
      <c r="IXZ26" s="1266"/>
      <c r="IYA26" s="1266"/>
      <c r="IYB26" s="1266"/>
      <c r="IYC26" s="1266"/>
      <c r="IYD26" s="1266"/>
      <c r="IYE26" s="1266"/>
      <c r="IYF26" s="1266"/>
      <c r="IYG26" s="1266"/>
      <c r="IYH26" s="1266"/>
      <c r="IYI26" s="1266"/>
      <c r="IYJ26" s="1266"/>
      <c r="IYK26" s="1266"/>
      <c r="IYL26" s="1266"/>
      <c r="IYM26" s="1266"/>
      <c r="IYN26" s="1266"/>
      <c r="IYO26" s="1266"/>
      <c r="IYP26" s="1266"/>
      <c r="IYQ26" s="1266"/>
      <c r="IYR26" s="1266"/>
      <c r="IYS26" s="1266"/>
      <c r="IYT26" s="1266"/>
      <c r="IYU26" s="1266"/>
      <c r="IYV26" s="1266"/>
      <c r="IYW26" s="1266"/>
      <c r="IYX26" s="1266"/>
      <c r="IYY26" s="1266"/>
      <c r="IYZ26" s="1266"/>
      <c r="IZA26" s="1266"/>
      <c r="IZB26" s="1266"/>
      <c r="IZC26" s="1266"/>
      <c r="IZD26" s="1266"/>
      <c r="IZE26" s="1266"/>
      <c r="IZF26" s="1266"/>
      <c r="IZG26" s="1266"/>
      <c r="IZH26" s="1266"/>
      <c r="IZI26" s="1266"/>
      <c r="IZJ26" s="1266"/>
      <c r="IZK26" s="1266"/>
      <c r="IZL26" s="1266"/>
      <c r="IZM26" s="1266"/>
      <c r="IZN26" s="1266"/>
      <c r="IZO26" s="1266"/>
      <c r="IZP26" s="1266"/>
      <c r="IZQ26" s="1266"/>
      <c r="IZR26" s="1266"/>
      <c r="IZS26" s="1266"/>
      <c r="IZT26" s="1266"/>
      <c r="IZU26" s="1266"/>
      <c r="IZV26" s="1266"/>
      <c r="IZW26" s="1266"/>
      <c r="IZX26" s="1266"/>
      <c r="IZY26" s="1266"/>
      <c r="IZZ26" s="1266"/>
      <c r="JAA26" s="1266"/>
      <c r="JAB26" s="1266"/>
      <c r="JAC26" s="1266"/>
      <c r="JAD26" s="1266"/>
      <c r="JAE26" s="1266"/>
      <c r="JAF26" s="1266"/>
      <c r="JAG26" s="1266"/>
      <c r="JAH26" s="1266"/>
      <c r="JAI26" s="1266"/>
      <c r="JAJ26" s="1266"/>
      <c r="JAK26" s="1266"/>
      <c r="JAL26" s="1266"/>
      <c r="JAM26" s="1266"/>
      <c r="JAN26" s="1266"/>
      <c r="JAO26" s="1266"/>
      <c r="JAP26" s="1266"/>
      <c r="JAQ26" s="1266"/>
      <c r="JAR26" s="1266"/>
      <c r="JAS26" s="1266"/>
      <c r="JAT26" s="1266"/>
      <c r="JAU26" s="1266"/>
      <c r="JAV26" s="1266"/>
      <c r="JAW26" s="1266"/>
      <c r="JAX26" s="1266"/>
      <c r="JAY26" s="1266"/>
      <c r="JAZ26" s="1266"/>
      <c r="JBA26" s="1266"/>
      <c r="JBB26" s="1266"/>
      <c r="JBC26" s="1266"/>
      <c r="JBD26" s="1266"/>
      <c r="JBE26" s="1266"/>
      <c r="JBF26" s="1266"/>
      <c r="JBG26" s="1266"/>
      <c r="JBH26" s="1266"/>
      <c r="JBI26" s="1266"/>
      <c r="JBJ26" s="1266"/>
      <c r="JBK26" s="1266"/>
      <c r="JBL26" s="1266"/>
      <c r="JBM26" s="1266"/>
      <c r="JBN26" s="1266"/>
      <c r="JBO26" s="1266"/>
      <c r="JBP26" s="1266"/>
      <c r="JBQ26" s="1266"/>
      <c r="JBR26" s="1266"/>
      <c r="JBS26" s="1266"/>
      <c r="JBT26" s="1266"/>
      <c r="JBU26" s="1266"/>
      <c r="JBV26" s="1266"/>
      <c r="JBW26" s="1266"/>
      <c r="JBX26" s="1266"/>
      <c r="JBY26" s="1266"/>
      <c r="JBZ26" s="1266"/>
      <c r="JCA26" s="1266"/>
      <c r="JCB26" s="1266"/>
      <c r="JCC26" s="1266"/>
      <c r="JCD26" s="1266"/>
      <c r="JCE26" s="1266"/>
      <c r="JCF26" s="1266"/>
      <c r="JCG26" s="1266"/>
      <c r="JCH26" s="1266"/>
      <c r="JCI26" s="1266"/>
      <c r="JCJ26" s="1266"/>
      <c r="JCK26" s="1266"/>
      <c r="JCL26" s="1266"/>
      <c r="JCM26" s="1266"/>
      <c r="JCN26" s="1266"/>
      <c r="JCO26" s="1266"/>
      <c r="JCP26" s="1266"/>
      <c r="JCQ26" s="1266"/>
      <c r="JCR26" s="1266"/>
      <c r="JCS26" s="1266"/>
      <c r="JCT26" s="1266"/>
      <c r="JCU26" s="1266"/>
      <c r="JCV26" s="1266"/>
      <c r="JCW26" s="1266"/>
      <c r="JCX26" s="1266"/>
      <c r="JCY26" s="1266"/>
      <c r="JCZ26" s="1266"/>
      <c r="JDA26" s="1266"/>
      <c r="JDB26" s="1266"/>
      <c r="JDC26" s="1266"/>
      <c r="JDD26" s="1266"/>
      <c r="JDE26" s="1266"/>
      <c r="JDF26" s="1266"/>
      <c r="JDG26" s="1266"/>
      <c r="JDH26" s="1266"/>
      <c r="JDI26" s="1266"/>
      <c r="JDJ26" s="1266"/>
      <c r="JDK26" s="1266"/>
      <c r="JDL26" s="1266"/>
      <c r="JDM26" s="1266"/>
      <c r="JDN26" s="1266"/>
      <c r="JDO26" s="1266"/>
      <c r="JDP26" s="1266"/>
      <c r="JDQ26" s="1266"/>
      <c r="JDR26" s="1266"/>
      <c r="JDS26" s="1266"/>
      <c r="JDT26" s="1266"/>
      <c r="JDU26" s="1266"/>
      <c r="JDV26" s="1266"/>
      <c r="JDW26" s="1266"/>
      <c r="JDX26" s="1266"/>
      <c r="JDY26" s="1266"/>
      <c r="JDZ26" s="1266"/>
      <c r="JEA26" s="1266"/>
      <c r="JEB26" s="1266"/>
      <c r="JEC26" s="1266"/>
      <c r="JED26" s="1266"/>
      <c r="JEE26" s="1266"/>
      <c r="JEF26" s="1266"/>
      <c r="JEG26" s="1266"/>
      <c r="JEH26" s="1266"/>
      <c r="JEI26" s="1266"/>
      <c r="JEJ26" s="1266"/>
      <c r="JEK26" s="1266"/>
      <c r="JEL26" s="1266"/>
      <c r="JEM26" s="1266"/>
      <c r="JEN26" s="1266"/>
      <c r="JEO26" s="1266"/>
      <c r="JEP26" s="1266"/>
      <c r="JEQ26" s="1266"/>
      <c r="JER26" s="1266"/>
      <c r="JES26" s="1266"/>
      <c r="JET26" s="1266"/>
      <c r="JEU26" s="1266"/>
      <c r="JEV26" s="1266"/>
      <c r="JEW26" s="1266"/>
      <c r="JEX26" s="1266"/>
      <c r="JEY26" s="1266"/>
      <c r="JEZ26" s="1266"/>
      <c r="JFA26" s="1266"/>
      <c r="JFB26" s="1266"/>
      <c r="JFC26" s="1266"/>
      <c r="JFD26" s="1266"/>
      <c r="JFE26" s="1266"/>
      <c r="JFF26" s="1266"/>
      <c r="JFG26" s="1266"/>
      <c r="JFH26" s="1266"/>
      <c r="JFI26" s="1266"/>
      <c r="JFJ26" s="1266"/>
      <c r="JFK26" s="1266"/>
      <c r="JFL26" s="1266"/>
      <c r="JFM26" s="1266"/>
      <c r="JFN26" s="1266"/>
      <c r="JFO26" s="1266"/>
      <c r="JFP26" s="1266"/>
      <c r="JFQ26" s="1266"/>
      <c r="JFR26" s="1266"/>
      <c r="JFS26" s="1266"/>
      <c r="JFT26" s="1266"/>
      <c r="JFU26" s="1266"/>
      <c r="JFV26" s="1266"/>
      <c r="JFW26" s="1266"/>
      <c r="JFX26" s="1266"/>
      <c r="JFY26" s="1266"/>
      <c r="JFZ26" s="1266"/>
      <c r="JGA26" s="1266"/>
      <c r="JGB26" s="1266"/>
      <c r="JGC26" s="1266"/>
      <c r="JGD26" s="1266"/>
      <c r="JGE26" s="1266"/>
      <c r="JGF26" s="1266"/>
      <c r="JGG26" s="1266"/>
      <c r="JGH26" s="1266"/>
      <c r="JGI26" s="1266"/>
      <c r="JGJ26" s="1266"/>
      <c r="JGK26" s="1266"/>
      <c r="JGL26" s="1266"/>
      <c r="JGM26" s="1266"/>
      <c r="JGN26" s="1266"/>
      <c r="JGO26" s="1266"/>
      <c r="JGP26" s="1266"/>
      <c r="JGQ26" s="1266"/>
      <c r="JGR26" s="1266"/>
      <c r="JGS26" s="1266"/>
      <c r="JGT26" s="1266"/>
      <c r="JGU26" s="1266"/>
      <c r="JGV26" s="1266"/>
      <c r="JGW26" s="1266"/>
      <c r="JGX26" s="1266"/>
      <c r="JGY26" s="1266"/>
      <c r="JGZ26" s="1266"/>
      <c r="JHA26" s="1266"/>
      <c r="JHB26" s="1266"/>
      <c r="JHC26" s="1266"/>
      <c r="JHD26" s="1266"/>
      <c r="JHE26" s="1266"/>
      <c r="JHF26" s="1266"/>
      <c r="JHG26" s="1266"/>
      <c r="JHH26" s="1266"/>
      <c r="JHI26" s="1266"/>
      <c r="JHJ26" s="1266"/>
      <c r="JHK26" s="1266"/>
      <c r="JHL26" s="1266"/>
      <c r="JHM26" s="1266"/>
      <c r="JHN26" s="1266"/>
      <c r="JHO26" s="1266"/>
      <c r="JHP26" s="1266"/>
      <c r="JHQ26" s="1266"/>
      <c r="JHR26" s="1266"/>
      <c r="JHS26" s="1266"/>
      <c r="JHT26" s="1266"/>
      <c r="JHU26" s="1266"/>
      <c r="JHV26" s="1266"/>
      <c r="JHW26" s="1266"/>
      <c r="JHX26" s="1266"/>
      <c r="JHY26" s="1266"/>
      <c r="JHZ26" s="1266"/>
      <c r="JIA26" s="1266"/>
      <c r="JIB26" s="1266"/>
      <c r="JIC26" s="1266"/>
      <c r="JID26" s="1266"/>
      <c r="JIE26" s="1266"/>
      <c r="JIF26" s="1266"/>
      <c r="JIG26" s="1266"/>
      <c r="JIH26" s="1266"/>
      <c r="JII26" s="1266"/>
      <c r="JIJ26" s="1266"/>
      <c r="JIK26" s="1266"/>
      <c r="JIL26" s="1266"/>
      <c r="JIM26" s="1266"/>
      <c r="JIN26" s="1266"/>
      <c r="JIO26" s="1266"/>
      <c r="JIP26" s="1266"/>
      <c r="JIQ26" s="1266"/>
      <c r="JIR26" s="1266"/>
      <c r="JIS26" s="1266"/>
      <c r="JIT26" s="1266"/>
      <c r="JIU26" s="1266"/>
      <c r="JIV26" s="1266"/>
      <c r="JIW26" s="1266"/>
      <c r="JIX26" s="1266"/>
      <c r="JIY26" s="1266"/>
      <c r="JIZ26" s="1266"/>
      <c r="JJA26" s="1266"/>
      <c r="JJB26" s="1266"/>
      <c r="JJC26" s="1266"/>
      <c r="JJD26" s="1266"/>
      <c r="JJE26" s="1266"/>
      <c r="JJF26" s="1266"/>
      <c r="JJG26" s="1266"/>
      <c r="JJH26" s="1266"/>
      <c r="JJI26" s="1266"/>
      <c r="JJJ26" s="1266"/>
      <c r="JJK26" s="1266"/>
      <c r="JJL26" s="1266"/>
      <c r="JJM26" s="1266"/>
      <c r="JJN26" s="1266"/>
      <c r="JJO26" s="1266"/>
      <c r="JJP26" s="1266"/>
      <c r="JJQ26" s="1266"/>
      <c r="JJR26" s="1266"/>
      <c r="JJS26" s="1266"/>
      <c r="JJT26" s="1266"/>
      <c r="JJU26" s="1266"/>
      <c r="JJV26" s="1266"/>
      <c r="JJW26" s="1266"/>
      <c r="JJX26" s="1266"/>
      <c r="JJY26" s="1266"/>
      <c r="JJZ26" s="1266"/>
      <c r="JKA26" s="1266"/>
      <c r="JKB26" s="1266"/>
      <c r="JKC26" s="1266"/>
      <c r="JKD26" s="1266"/>
      <c r="JKE26" s="1266"/>
      <c r="JKF26" s="1266"/>
      <c r="JKG26" s="1266"/>
      <c r="JKH26" s="1266"/>
      <c r="JKI26" s="1266"/>
      <c r="JKJ26" s="1266"/>
      <c r="JKK26" s="1266"/>
      <c r="JKL26" s="1266"/>
      <c r="JKM26" s="1266"/>
      <c r="JKN26" s="1266"/>
      <c r="JKO26" s="1266"/>
      <c r="JKP26" s="1266"/>
      <c r="JKQ26" s="1266"/>
      <c r="JKR26" s="1266"/>
      <c r="JKS26" s="1266"/>
      <c r="JKT26" s="1266"/>
      <c r="JKU26" s="1266"/>
      <c r="JKV26" s="1266"/>
      <c r="JKW26" s="1266"/>
      <c r="JKX26" s="1266"/>
      <c r="JKY26" s="1266"/>
      <c r="JKZ26" s="1266"/>
      <c r="JLA26" s="1266"/>
      <c r="JLB26" s="1266"/>
      <c r="JLC26" s="1266"/>
      <c r="JLD26" s="1266"/>
      <c r="JLE26" s="1266"/>
      <c r="JLF26" s="1266"/>
      <c r="JLG26" s="1266"/>
      <c r="JLH26" s="1266"/>
      <c r="JLI26" s="1266"/>
      <c r="JLJ26" s="1266"/>
      <c r="JLK26" s="1266"/>
      <c r="JLL26" s="1266"/>
      <c r="JLM26" s="1266"/>
      <c r="JLN26" s="1266"/>
      <c r="JLO26" s="1266"/>
      <c r="JLP26" s="1266"/>
      <c r="JLQ26" s="1266"/>
      <c r="JLR26" s="1266"/>
      <c r="JLS26" s="1266"/>
      <c r="JLT26" s="1266"/>
      <c r="JLU26" s="1266"/>
      <c r="JLV26" s="1266"/>
      <c r="JLW26" s="1266"/>
      <c r="JLX26" s="1266"/>
      <c r="JLY26" s="1266"/>
      <c r="JLZ26" s="1266"/>
      <c r="JMA26" s="1266"/>
      <c r="JMB26" s="1266"/>
      <c r="JMC26" s="1266"/>
      <c r="JMD26" s="1266"/>
      <c r="JME26" s="1266"/>
      <c r="JMF26" s="1266"/>
      <c r="JMG26" s="1266"/>
      <c r="JMH26" s="1266"/>
      <c r="JMI26" s="1266"/>
      <c r="JMJ26" s="1266"/>
      <c r="JMK26" s="1266"/>
      <c r="JML26" s="1266"/>
      <c r="JMM26" s="1266"/>
      <c r="JMN26" s="1266"/>
      <c r="JMO26" s="1266"/>
      <c r="JMP26" s="1266"/>
      <c r="JMQ26" s="1266"/>
      <c r="JMR26" s="1266"/>
      <c r="JMS26" s="1266"/>
      <c r="JMT26" s="1266"/>
      <c r="JMU26" s="1266"/>
      <c r="JMV26" s="1266"/>
      <c r="JMW26" s="1266"/>
      <c r="JMX26" s="1266"/>
      <c r="JMY26" s="1266"/>
      <c r="JMZ26" s="1266"/>
      <c r="JNA26" s="1266"/>
      <c r="JNB26" s="1266"/>
      <c r="JNC26" s="1266"/>
      <c r="JND26" s="1266"/>
      <c r="JNE26" s="1266"/>
      <c r="JNF26" s="1266"/>
      <c r="JNG26" s="1266"/>
      <c r="JNH26" s="1266"/>
      <c r="JNI26" s="1266"/>
      <c r="JNJ26" s="1266"/>
      <c r="JNK26" s="1266"/>
      <c r="JNL26" s="1266"/>
      <c r="JNM26" s="1266"/>
      <c r="JNN26" s="1266"/>
      <c r="JNO26" s="1266"/>
      <c r="JNP26" s="1266"/>
      <c r="JNQ26" s="1266"/>
      <c r="JNR26" s="1266"/>
      <c r="JNS26" s="1266"/>
      <c r="JNT26" s="1266"/>
      <c r="JNU26" s="1266"/>
      <c r="JNV26" s="1266"/>
      <c r="JNW26" s="1266"/>
      <c r="JNX26" s="1266"/>
      <c r="JNY26" s="1266"/>
      <c r="JNZ26" s="1266"/>
      <c r="JOA26" s="1266"/>
      <c r="JOB26" s="1266"/>
      <c r="JOC26" s="1266"/>
      <c r="JOD26" s="1266"/>
      <c r="JOE26" s="1266"/>
      <c r="JOF26" s="1266"/>
      <c r="JOG26" s="1266"/>
      <c r="JOH26" s="1266"/>
      <c r="JOI26" s="1266"/>
      <c r="JOJ26" s="1266"/>
      <c r="JOK26" s="1266"/>
      <c r="JOL26" s="1266"/>
      <c r="JOM26" s="1266"/>
      <c r="JON26" s="1266"/>
      <c r="JOO26" s="1266"/>
      <c r="JOP26" s="1266"/>
      <c r="JOQ26" s="1266"/>
      <c r="JOR26" s="1266"/>
      <c r="JOS26" s="1266"/>
      <c r="JOT26" s="1266"/>
      <c r="JOU26" s="1266"/>
      <c r="JOV26" s="1266"/>
      <c r="JOW26" s="1266"/>
      <c r="JOX26" s="1266"/>
      <c r="JOY26" s="1266"/>
      <c r="JOZ26" s="1266"/>
      <c r="JPA26" s="1266"/>
      <c r="JPB26" s="1266"/>
      <c r="JPC26" s="1266"/>
      <c r="JPD26" s="1266"/>
      <c r="JPE26" s="1266"/>
      <c r="JPF26" s="1266"/>
      <c r="JPG26" s="1266"/>
      <c r="JPH26" s="1266"/>
      <c r="JPI26" s="1266"/>
      <c r="JPJ26" s="1266"/>
      <c r="JPK26" s="1266"/>
      <c r="JPL26" s="1266"/>
      <c r="JPM26" s="1266"/>
      <c r="JPN26" s="1266"/>
      <c r="JPO26" s="1266"/>
      <c r="JPP26" s="1266"/>
      <c r="JPQ26" s="1266"/>
      <c r="JPR26" s="1266"/>
      <c r="JPS26" s="1266"/>
      <c r="JPT26" s="1266"/>
      <c r="JPU26" s="1266"/>
      <c r="JPV26" s="1266"/>
      <c r="JPW26" s="1266"/>
      <c r="JPX26" s="1266"/>
      <c r="JPY26" s="1266"/>
      <c r="JPZ26" s="1266"/>
      <c r="JQA26" s="1266"/>
      <c r="JQB26" s="1266"/>
      <c r="JQC26" s="1266"/>
      <c r="JQD26" s="1266"/>
      <c r="JQE26" s="1266"/>
      <c r="JQF26" s="1266"/>
      <c r="JQG26" s="1266"/>
      <c r="JQH26" s="1266"/>
      <c r="JQI26" s="1266"/>
      <c r="JQJ26" s="1266"/>
      <c r="JQK26" s="1266"/>
      <c r="JQL26" s="1266"/>
      <c r="JQM26" s="1266"/>
      <c r="JQN26" s="1266"/>
      <c r="JQO26" s="1266"/>
      <c r="JQP26" s="1266"/>
      <c r="JQQ26" s="1266"/>
      <c r="JQR26" s="1266"/>
      <c r="JQS26" s="1266"/>
      <c r="JQT26" s="1266"/>
      <c r="JQU26" s="1266"/>
      <c r="JQV26" s="1266"/>
      <c r="JQW26" s="1266"/>
      <c r="JQX26" s="1266"/>
      <c r="JQY26" s="1266"/>
      <c r="JQZ26" s="1266"/>
      <c r="JRA26" s="1266"/>
      <c r="JRB26" s="1266"/>
      <c r="JRC26" s="1266"/>
      <c r="JRD26" s="1266"/>
      <c r="JRE26" s="1266"/>
      <c r="JRF26" s="1266"/>
      <c r="JRG26" s="1266"/>
      <c r="JRH26" s="1266"/>
      <c r="JRI26" s="1266"/>
      <c r="JRJ26" s="1266"/>
      <c r="JRK26" s="1266"/>
      <c r="JRL26" s="1266"/>
      <c r="JRM26" s="1266"/>
      <c r="JRN26" s="1266"/>
      <c r="JRO26" s="1266"/>
      <c r="JRP26" s="1266"/>
      <c r="JRQ26" s="1266"/>
      <c r="JRR26" s="1266"/>
      <c r="JRS26" s="1266"/>
      <c r="JRT26" s="1266"/>
      <c r="JRU26" s="1266"/>
      <c r="JRV26" s="1266"/>
      <c r="JRW26" s="1266"/>
      <c r="JRX26" s="1266"/>
      <c r="JRY26" s="1266"/>
      <c r="JRZ26" s="1266"/>
      <c r="JSA26" s="1266"/>
      <c r="JSB26" s="1266"/>
      <c r="JSC26" s="1266"/>
      <c r="JSD26" s="1266"/>
      <c r="JSE26" s="1266"/>
      <c r="JSF26" s="1266"/>
      <c r="JSG26" s="1266"/>
      <c r="JSH26" s="1266"/>
      <c r="JSI26" s="1266"/>
      <c r="JSJ26" s="1266"/>
      <c r="JSK26" s="1266"/>
      <c r="JSL26" s="1266"/>
      <c r="JSM26" s="1266"/>
      <c r="JSN26" s="1266"/>
      <c r="JSO26" s="1266"/>
      <c r="JSP26" s="1266"/>
      <c r="JSQ26" s="1266"/>
      <c r="JSR26" s="1266"/>
      <c r="JSS26" s="1266"/>
      <c r="JST26" s="1266"/>
      <c r="JSU26" s="1266"/>
      <c r="JSV26" s="1266"/>
      <c r="JSW26" s="1266"/>
      <c r="JSX26" s="1266"/>
      <c r="JSY26" s="1266"/>
      <c r="JSZ26" s="1266"/>
      <c r="JTA26" s="1266"/>
      <c r="JTB26" s="1266"/>
      <c r="JTC26" s="1266"/>
      <c r="JTD26" s="1266"/>
      <c r="JTE26" s="1266"/>
      <c r="JTF26" s="1266"/>
      <c r="JTG26" s="1266"/>
      <c r="JTH26" s="1266"/>
      <c r="JTI26" s="1266"/>
      <c r="JTJ26" s="1266"/>
      <c r="JTK26" s="1266"/>
      <c r="JTL26" s="1266"/>
      <c r="JTM26" s="1266"/>
      <c r="JTN26" s="1266"/>
      <c r="JTO26" s="1266"/>
      <c r="JTP26" s="1266"/>
      <c r="JTQ26" s="1266"/>
      <c r="JTR26" s="1266"/>
      <c r="JTS26" s="1266"/>
      <c r="JTT26" s="1266"/>
      <c r="JTU26" s="1266"/>
      <c r="JTV26" s="1266"/>
      <c r="JTW26" s="1266"/>
      <c r="JTX26" s="1266"/>
      <c r="JTY26" s="1266"/>
      <c r="JTZ26" s="1266"/>
      <c r="JUA26" s="1266"/>
      <c r="JUB26" s="1266"/>
      <c r="JUC26" s="1266"/>
      <c r="JUD26" s="1266"/>
      <c r="JUE26" s="1266"/>
      <c r="JUF26" s="1266"/>
      <c r="JUG26" s="1266"/>
      <c r="JUH26" s="1266"/>
      <c r="JUI26" s="1266"/>
      <c r="JUJ26" s="1266"/>
      <c r="JUK26" s="1266"/>
      <c r="JUL26" s="1266"/>
      <c r="JUM26" s="1266"/>
      <c r="JUN26" s="1266"/>
      <c r="JUO26" s="1266"/>
      <c r="JUP26" s="1266"/>
      <c r="JUQ26" s="1266"/>
      <c r="JUR26" s="1266"/>
      <c r="JUS26" s="1266"/>
      <c r="JUT26" s="1266"/>
      <c r="JUU26" s="1266"/>
      <c r="JUV26" s="1266"/>
      <c r="JUW26" s="1266"/>
      <c r="JUX26" s="1266"/>
      <c r="JUY26" s="1266"/>
      <c r="JUZ26" s="1266"/>
      <c r="JVA26" s="1266"/>
      <c r="JVB26" s="1266"/>
      <c r="JVC26" s="1266"/>
      <c r="JVD26" s="1266"/>
      <c r="JVE26" s="1266"/>
      <c r="JVF26" s="1266"/>
      <c r="JVG26" s="1266"/>
      <c r="JVH26" s="1266"/>
      <c r="JVI26" s="1266"/>
      <c r="JVJ26" s="1266"/>
      <c r="JVK26" s="1266"/>
      <c r="JVL26" s="1266"/>
      <c r="JVM26" s="1266"/>
      <c r="JVN26" s="1266"/>
      <c r="JVO26" s="1266"/>
      <c r="JVP26" s="1266"/>
      <c r="JVQ26" s="1266"/>
      <c r="JVR26" s="1266"/>
      <c r="JVS26" s="1266"/>
      <c r="JVT26" s="1266"/>
      <c r="JVU26" s="1266"/>
      <c r="JVV26" s="1266"/>
      <c r="JVW26" s="1266"/>
      <c r="JVX26" s="1266"/>
      <c r="JVY26" s="1266"/>
      <c r="JVZ26" s="1266"/>
      <c r="JWA26" s="1266"/>
      <c r="JWB26" s="1266"/>
      <c r="JWC26" s="1266"/>
      <c r="JWD26" s="1266"/>
      <c r="JWE26" s="1266"/>
      <c r="JWF26" s="1266"/>
      <c r="JWG26" s="1266"/>
      <c r="JWH26" s="1266"/>
      <c r="JWI26" s="1266"/>
      <c r="JWJ26" s="1266"/>
      <c r="JWK26" s="1266"/>
      <c r="JWL26" s="1266"/>
      <c r="JWM26" s="1266"/>
      <c r="JWN26" s="1266"/>
      <c r="JWO26" s="1266"/>
      <c r="JWP26" s="1266"/>
      <c r="JWQ26" s="1266"/>
      <c r="JWR26" s="1266"/>
      <c r="JWS26" s="1266"/>
      <c r="JWT26" s="1266"/>
      <c r="JWU26" s="1266"/>
      <c r="JWV26" s="1266"/>
      <c r="JWW26" s="1266"/>
      <c r="JWX26" s="1266"/>
      <c r="JWY26" s="1266"/>
      <c r="JWZ26" s="1266"/>
      <c r="JXA26" s="1266"/>
      <c r="JXB26" s="1266"/>
      <c r="JXC26" s="1266"/>
      <c r="JXD26" s="1266"/>
      <c r="JXE26" s="1266"/>
      <c r="JXF26" s="1266"/>
      <c r="JXG26" s="1266"/>
      <c r="JXH26" s="1266"/>
      <c r="JXI26" s="1266"/>
      <c r="JXJ26" s="1266"/>
      <c r="JXK26" s="1266"/>
      <c r="JXL26" s="1266"/>
      <c r="JXM26" s="1266"/>
      <c r="JXN26" s="1266"/>
      <c r="JXO26" s="1266"/>
      <c r="JXP26" s="1266"/>
      <c r="JXQ26" s="1266"/>
      <c r="JXR26" s="1266"/>
      <c r="JXS26" s="1266"/>
      <c r="JXT26" s="1266"/>
      <c r="JXU26" s="1266"/>
      <c r="JXV26" s="1266"/>
      <c r="JXW26" s="1266"/>
      <c r="JXX26" s="1266"/>
      <c r="JXY26" s="1266"/>
      <c r="JXZ26" s="1266"/>
      <c r="JYA26" s="1266"/>
      <c r="JYB26" s="1266"/>
      <c r="JYC26" s="1266"/>
      <c r="JYD26" s="1266"/>
      <c r="JYE26" s="1266"/>
      <c r="JYF26" s="1266"/>
      <c r="JYG26" s="1266"/>
      <c r="JYH26" s="1266"/>
      <c r="JYI26" s="1266"/>
      <c r="JYJ26" s="1266"/>
      <c r="JYK26" s="1266"/>
      <c r="JYL26" s="1266"/>
      <c r="JYM26" s="1266"/>
      <c r="JYN26" s="1266"/>
      <c r="JYO26" s="1266"/>
      <c r="JYP26" s="1266"/>
      <c r="JYQ26" s="1266"/>
      <c r="JYR26" s="1266"/>
      <c r="JYS26" s="1266"/>
      <c r="JYT26" s="1266"/>
      <c r="JYU26" s="1266"/>
      <c r="JYV26" s="1266"/>
      <c r="JYW26" s="1266"/>
      <c r="JYX26" s="1266"/>
      <c r="JYY26" s="1266"/>
      <c r="JYZ26" s="1266"/>
      <c r="JZA26" s="1266"/>
      <c r="JZB26" s="1266"/>
      <c r="JZC26" s="1266"/>
      <c r="JZD26" s="1266"/>
      <c r="JZE26" s="1266"/>
      <c r="JZF26" s="1266"/>
      <c r="JZG26" s="1266"/>
      <c r="JZH26" s="1266"/>
      <c r="JZI26" s="1266"/>
      <c r="JZJ26" s="1266"/>
      <c r="JZK26" s="1266"/>
      <c r="JZL26" s="1266"/>
      <c r="JZM26" s="1266"/>
      <c r="JZN26" s="1266"/>
      <c r="JZO26" s="1266"/>
      <c r="JZP26" s="1266"/>
      <c r="JZQ26" s="1266"/>
      <c r="JZR26" s="1266"/>
      <c r="JZS26" s="1266"/>
      <c r="JZT26" s="1266"/>
      <c r="JZU26" s="1266"/>
      <c r="JZV26" s="1266"/>
      <c r="JZW26" s="1266"/>
      <c r="JZX26" s="1266"/>
      <c r="JZY26" s="1266"/>
      <c r="JZZ26" s="1266"/>
      <c r="KAA26" s="1266"/>
      <c r="KAB26" s="1266"/>
      <c r="KAC26" s="1266"/>
      <c r="KAD26" s="1266"/>
      <c r="KAE26" s="1266"/>
      <c r="KAF26" s="1266"/>
      <c r="KAG26" s="1266"/>
      <c r="KAH26" s="1266"/>
      <c r="KAI26" s="1266"/>
      <c r="KAJ26" s="1266"/>
      <c r="KAK26" s="1266"/>
      <c r="KAL26" s="1266"/>
      <c r="KAM26" s="1266"/>
      <c r="KAN26" s="1266"/>
      <c r="KAO26" s="1266"/>
      <c r="KAP26" s="1266"/>
      <c r="KAQ26" s="1266"/>
      <c r="KAR26" s="1266"/>
      <c r="KAS26" s="1266"/>
      <c r="KAT26" s="1266"/>
      <c r="KAU26" s="1266"/>
      <c r="KAV26" s="1266"/>
      <c r="KAW26" s="1266"/>
      <c r="KAX26" s="1266"/>
      <c r="KAY26" s="1266"/>
      <c r="KAZ26" s="1266"/>
      <c r="KBA26" s="1266"/>
      <c r="KBB26" s="1266"/>
      <c r="KBC26" s="1266"/>
      <c r="KBD26" s="1266"/>
      <c r="KBE26" s="1266"/>
      <c r="KBF26" s="1266"/>
      <c r="KBG26" s="1266"/>
      <c r="KBH26" s="1266"/>
      <c r="KBI26" s="1266"/>
      <c r="KBJ26" s="1266"/>
      <c r="KBK26" s="1266"/>
      <c r="KBL26" s="1266"/>
      <c r="KBM26" s="1266"/>
      <c r="KBN26" s="1266"/>
      <c r="KBO26" s="1266"/>
      <c r="KBP26" s="1266"/>
      <c r="KBQ26" s="1266"/>
      <c r="KBR26" s="1266"/>
      <c r="KBS26" s="1266"/>
      <c r="KBT26" s="1266"/>
      <c r="KBU26" s="1266"/>
      <c r="KBV26" s="1266"/>
      <c r="KBW26" s="1266"/>
      <c r="KBX26" s="1266"/>
      <c r="KBY26" s="1266"/>
      <c r="KBZ26" s="1266"/>
      <c r="KCA26" s="1266"/>
      <c r="KCB26" s="1266"/>
      <c r="KCC26" s="1266"/>
      <c r="KCD26" s="1266"/>
      <c r="KCE26" s="1266"/>
      <c r="KCF26" s="1266"/>
      <c r="KCG26" s="1266"/>
      <c r="KCH26" s="1266"/>
      <c r="KCI26" s="1266"/>
      <c r="KCJ26" s="1266"/>
      <c r="KCK26" s="1266"/>
      <c r="KCL26" s="1266"/>
      <c r="KCM26" s="1266"/>
      <c r="KCN26" s="1266"/>
      <c r="KCO26" s="1266"/>
      <c r="KCP26" s="1266"/>
      <c r="KCQ26" s="1266"/>
      <c r="KCR26" s="1266"/>
      <c r="KCS26" s="1266"/>
      <c r="KCT26" s="1266"/>
      <c r="KCU26" s="1266"/>
      <c r="KCV26" s="1266"/>
      <c r="KCW26" s="1266"/>
      <c r="KCX26" s="1266"/>
      <c r="KCY26" s="1266"/>
      <c r="KCZ26" s="1266"/>
      <c r="KDA26" s="1266"/>
      <c r="KDB26" s="1266"/>
      <c r="KDC26" s="1266"/>
      <c r="KDD26" s="1266"/>
      <c r="KDE26" s="1266"/>
      <c r="KDF26" s="1266"/>
      <c r="KDG26" s="1266"/>
      <c r="KDH26" s="1266"/>
      <c r="KDI26" s="1266"/>
      <c r="KDJ26" s="1266"/>
      <c r="KDK26" s="1266"/>
      <c r="KDL26" s="1266"/>
      <c r="KDM26" s="1266"/>
      <c r="KDN26" s="1266"/>
      <c r="KDO26" s="1266"/>
      <c r="KDP26" s="1266"/>
      <c r="KDQ26" s="1266"/>
      <c r="KDR26" s="1266"/>
      <c r="KDS26" s="1266"/>
      <c r="KDT26" s="1266"/>
      <c r="KDU26" s="1266"/>
      <c r="KDV26" s="1266"/>
      <c r="KDW26" s="1266"/>
      <c r="KDX26" s="1266"/>
      <c r="KDY26" s="1266"/>
      <c r="KDZ26" s="1266"/>
      <c r="KEA26" s="1266"/>
      <c r="KEB26" s="1266"/>
      <c r="KEC26" s="1266"/>
      <c r="KED26" s="1266"/>
      <c r="KEE26" s="1266"/>
      <c r="KEF26" s="1266"/>
      <c r="KEG26" s="1266"/>
      <c r="KEH26" s="1266"/>
      <c r="KEI26" s="1266"/>
      <c r="KEJ26" s="1266"/>
      <c r="KEK26" s="1266"/>
      <c r="KEL26" s="1266"/>
      <c r="KEM26" s="1266"/>
      <c r="KEN26" s="1266"/>
      <c r="KEO26" s="1266"/>
      <c r="KEP26" s="1266"/>
      <c r="KEQ26" s="1266"/>
      <c r="KER26" s="1266"/>
      <c r="KES26" s="1266"/>
      <c r="KET26" s="1266"/>
      <c r="KEU26" s="1266"/>
      <c r="KEV26" s="1266"/>
      <c r="KEW26" s="1266"/>
      <c r="KEX26" s="1266"/>
      <c r="KEY26" s="1266"/>
      <c r="KEZ26" s="1266"/>
      <c r="KFA26" s="1266"/>
      <c r="KFB26" s="1266"/>
      <c r="KFC26" s="1266"/>
      <c r="KFD26" s="1266"/>
      <c r="KFE26" s="1266"/>
      <c r="KFF26" s="1266"/>
      <c r="KFG26" s="1266"/>
      <c r="KFH26" s="1266"/>
      <c r="KFI26" s="1266"/>
      <c r="KFJ26" s="1266"/>
      <c r="KFK26" s="1266"/>
      <c r="KFL26" s="1266"/>
      <c r="KFM26" s="1266"/>
      <c r="KFN26" s="1266"/>
      <c r="KFO26" s="1266"/>
      <c r="KFP26" s="1266"/>
      <c r="KFQ26" s="1266"/>
      <c r="KFR26" s="1266"/>
      <c r="KFS26" s="1266"/>
      <c r="KFT26" s="1266"/>
      <c r="KFU26" s="1266"/>
      <c r="KFV26" s="1266"/>
      <c r="KFW26" s="1266"/>
      <c r="KFX26" s="1266"/>
      <c r="KFY26" s="1266"/>
      <c r="KFZ26" s="1266"/>
      <c r="KGA26" s="1266"/>
      <c r="KGB26" s="1266"/>
      <c r="KGC26" s="1266"/>
      <c r="KGD26" s="1266"/>
      <c r="KGE26" s="1266"/>
      <c r="KGF26" s="1266"/>
      <c r="KGG26" s="1266"/>
      <c r="KGH26" s="1266"/>
      <c r="KGI26" s="1266"/>
      <c r="KGJ26" s="1266"/>
      <c r="KGK26" s="1266"/>
      <c r="KGL26" s="1266"/>
      <c r="KGM26" s="1266"/>
      <c r="KGN26" s="1266"/>
      <c r="KGO26" s="1266"/>
      <c r="KGP26" s="1266"/>
      <c r="KGQ26" s="1266"/>
      <c r="KGR26" s="1266"/>
      <c r="KGS26" s="1266"/>
      <c r="KGT26" s="1266"/>
      <c r="KGU26" s="1266"/>
      <c r="KGV26" s="1266"/>
      <c r="KGW26" s="1266"/>
      <c r="KGX26" s="1266"/>
      <c r="KGY26" s="1266"/>
      <c r="KGZ26" s="1266"/>
      <c r="KHA26" s="1266"/>
      <c r="KHB26" s="1266"/>
      <c r="KHC26" s="1266"/>
      <c r="KHD26" s="1266"/>
      <c r="KHE26" s="1266"/>
      <c r="KHF26" s="1266"/>
      <c r="KHG26" s="1266"/>
      <c r="KHH26" s="1266"/>
      <c r="KHI26" s="1266"/>
      <c r="KHJ26" s="1266"/>
      <c r="KHK26" s="1266"/>
      <c r="KHL26" s="1266"/>
      <c r="KHM26" s="1266"/>
      <c r="KHN26" s="1266"/>
      <c r="KHO26" s="1266"/>
      <c r="KHP26" s="1266"/>
      <c r="KHQ26" s="1266"/>
      <c r="KHR26" s="1266"/>
      <c r="KHS26" s="1266"/>
      <c r="KHT26" s="1266"/>
      <c r="KHU26" s="1266"/>
      <c r="KHV26" s="1266"/>
      <c r="KHW26" s="1266"/>
      <c r="KHX26" s="1266"/>
      <c r="KHY26" s="1266"/>
      <c r="KHZ26" s="1266"/>
      <c r="KIA26" s="1266"/>
      <c r="KIB26" s="1266"/>
      <c r="KIC26" s="1266"/>
      <c r="KID26" s="1266"/>
      <c r="KIE26" s="1266"/>
      <c r="KIF26" s="1266"/>
      <c r="KIG26" s="1266"/>
      <c r="KIH26" s="1266"/>
      <c r="KII26" s="1266"/>
      <c r="KIJ26" s="1266"/>
      <c r="KIK26" s="1266"/>
      <c r="KIL26" s="1266"/>
      <c r="KIM26" s="1266"/>
      <c r="KIN26" s="1266"/>
      <c r="KIO26" s="1266"/>
      <c r="KIP26" s="1266"/>
      <c r="KIQ26" s="1266"/>
      <c r="KIR26" s="1266"/>
      <c r="KIS26" s="1266"/>
      <c r="KIT26" s="1266"/>
      <c r="KIU26" s="1266"/>
      <c r="KIV26" s="1266"/>
      <c r="KIW26" s="1266"/>
      <c r="KIX26" s="1266"/>
      <c r="KIY26" s="1266"/>
      <c r="KIZ26" s="1266"/>
      <c r="KJA26" s="1266"/>
      <c r="KJB26" s="1266"/>
      <c r="KJC26" s="1266"/>
      <c r="KJD26" s="1266"/>
      <c r="KJE26" s="1266"/>
      <c r="KJF26" s="1266"/>
      <c r="KJG26" s="1266"/>
      <c r="KJH26" s="1266"/>
      <c r="KJI26" s="1266"/>
      <c r="KJJ26" s="1266"/>
      <c r="KJK26" s="1266"/>
      <c r="KJL26" s="1266"/>
      <c r="KJM26" s="1266"/>
      <c r="KJN26" s="1266"/>
      <c r="KJO26" s="1266"/>
      <c r="KJP26" s="1266"/>
      <c r="KJQ26" s="1266"/>
      <c r="KJR26" s="1266"/>
      <c r="KJS26" s="1266"/>
      <c r="KJT26" s="1266"/>
      <c r="KJU26" s="1266"/>
      <c r="KJV26" s="1266"/>
      <c r="KJW26" s="1266"/>
      <c r="KJX26" s="1266"/>
      <c r="KJY26" s="1266"/>
      <c r="KJZ26" s="1266"/>
      <c r="KKA26" s="1266"/>
      <c r="KKB26" s="1266"/>
      <c r="KKC26" s="1266"/>
      <c r="KKD26" s="1266"/>
      <c r="KKE26" s="1266"/>
      <c r="KKF26" s="1266"/>
      <c r="KKG26" s="1266"/>
      <c r="KKH26" s="1266"/>
      <c r="KKI26" s="1266"/>
      <c r="KKJ26" s="1266"/>
      <c r="KKK26" s="1266"/>
      <c r="KKL26" s="1266"/>
      <c r="KKM26" s="1266"/>
      <c r="KKN26" s="1266"/>
      <c r="KKO26" s="1266"/>
      <c r="KKP26" s="1266"/>
      <c r="KKQ26" s="1266"/>
      <c r="KKR26" s="1266"/>
      <c r="KKS26" s="1266"/>
      <c r="KKT26" s="1266"/>
      <c r="KKU26" s="1266"/>
      <c r="KKV26" s="1266"/>
      <c r="KKW26" s="1266"/>
      <c r="KKX26" s="1266"/>
      <c r="KKY26" s="1266"/>
      <c r="KKZ26" s="1266"/>
      <c r="KLA26" s="1266"/>
      <c r="KLB26" s="1266"/>
      <c r="KLC26" s="1266"/>
      <c r="KLD26" s="1266"/>
      <c r="KLE26" s="1266"/>
      <c r="KLF26" s="1266"/>
      <c r="KLG26" s="1266"/>
      <c r="KLH26" s="1266"/>
      <c r="KLI26" s="1266"/>
      <c r="KLJ26" s="1266"/>
      <c r="KLK26" s="1266"/>
      <c r="KLL26" s="1266"/>
      <c r="KLM26" s="1266"/>
      <c r="KLN26" s="1266"/>
      <c r="KLO26" s="1266"/>
      <c r="KLP26" s="1266"/>
      <c r="KLQ26" s="1266"/>
      <c r="KLR26" s="1266"/>
      <c r="KLS26" s="1266"/>
      <c r="KLT26" s="1266"/>
      <c r="KLU26" s="1266"/>
      <c r="KLV26" s="1266"/>
      <c r="KLW26" s="1266"/>
      <c r="KLX26" s="1266"/>
      <c r="KLY26" s="1266"/>
      <c r="KLZ26" s="1266"/>
      <c r="KMA26" s="1266"/>
      <c r="KMB26" s="1266"/>
      <c r="KMC26" s="1266"/>
      <c r="KMD26" s="1266"/>
      <c r="KME26" s="1266"/>
      <c r="KMF26" s="1266"/>
      <c r="KMG26" s="1266"/>
      <c r="KMH26" s="1266"/>
      <c r="KMI26" s="1266"/>
      <c r="KMJ26" s="1266"/>
      <c r="KMK26" s="1266"/>
      <c r="KML26" s="1266"/>
      <c r="KMM26" s="1266"/>
      <c r="KMN26" s="1266"/>
      <c r="KMO26" s="1266"/>
      <c r="KMP26" s="1266"/>
      <c r="KMQ26" s="1266"/>
      <c r="KMR26" s="1266"/>
      <c r="KMS26" s="1266"/>
      <c r="KMT26" s="1266"/>
      <c r="KMU26" s="1266"/>
      <c r="KMV26" s="1266"/>
      <c r="KMW26" s="1266"/>
      <c r="KMX26" s="1266"/>
      <c r="KMY26" s="1266"/>
      <c r="KMZ26" s="1266"/>
      <c r="KNA26" s="1266"/>
      <c r="KNB26" s="1266"/>
      <c r="KNC26" s="1266"/>
      <c r="KND26" s="1266"/>
      <c r="KNE26" s="1266"/>
      <c r="KNF26" s="1266"/>
      <c r="KNG26" s="1266"/>
      <c r="KNH26" s="1266"/>
      <c r="KNI26" s="1266"/>
      <c r="KNJ26" s="1266"/>
      <c r="KNK26" s="1266"/>
      <c r="KNL26" s="1266"/>
      <c r="KNM26" s="1266"/>
      <c r="KNN26" s="1266"/>
      <c r="KNO26" s="1266"/>
      <c r="KNP26" s="1266"/>
      <c r="KNQ26" s="1266"/>
      <c r="KNR26" s="1266"/>
      <c r="KNS26" s="1266"/>
      <c r="KNT26" s="1266"/>
      <c r="KNU26" s="1266"/>
      <c r="KNV26" s="1266"/>
      <c r="KNW26" s="1266"/>
      <c r="KNX26" s="1266"/>
      <c r="KNY26" s="1266"/>
      <c r="KNZ26" s="1266"/>
      <c r="KOA26" s="1266"/>
      <c r="KOB26" s="1266"/>
      <c r="KOC26" s="1266"/>
      <c r="KOD26" s="1266"/>
      <c r="KOE26" s="1266"/>
      <c r="KOF26" s="1266"/>
      <c r="KOG26" s="1266"/>
      <c r="KOH26" s="1266"/>
      <c r="KOI26" s="1266"/>
      <c r="KOJ26" s="1266"/>
      <c r="KOK26" s="1266"/>
      <c r="KOL26" s="1266"/>
      <c r="KOM26" s="1266"/>
      <c r="KON26" s="1266"/>
      <c r="KOO26" s="1266"/>
      <c r="KOP26" s="1266"/>
      <c r="KOQ26" s="1266"/>
      <c r="KOR26" s="1266"/>
      <c r="KOS26" s="1266"/>
      <c r="KOT26" s="1266"/>
      <c r="KOU26" s="1266"/>
      <c r="KOV26" s="1266"/>
      <c r="KOW26" s="1266"/>
      <c r="KOX26" s="1266"/>
      <c r="KOY26" s="1266"/>
      <c r="KOZ26" s="1266"/>
      <c r="KPA26" s="1266"/>
      <c r="KPB26" s="1266"/>
      <c r="KPC26" s="1266"/>
      <c r="KPD26" s="1266"/>
      <c r="KPE26" s="1266"/>
      <c r="KPF26" s="1266"/>
      <c r="KPG26" s="1266"/>
      <c r="KPH26" s="1266"/>
      <c r="KPI26" s="1266"/>
      <c r="KPJ26" s="1266"/>
      <c r="KPK26" s="1266"/>
      <c r="KPL26" s="1266"/>
      <c r="KPM26" s="1266"/>
      <c r="KPN26" s="1266"/>
      <c r="KPO26" s="1266"/>
      <c r="KPP26" s="1266"/>
      <c r="KPQ26" s="1266"/>
      <c r="KPR26" s="1266"/>
      <c r="KPS26" s="1266"/>
      <c r="KPT26" s="1266"/>
      <c r="KPU26" s="1266"/>
      <c r="KPV26" s="1266"/>
      <c r="KPW26" s="1266"/>
      <c r="KPX26" s="1266"/>
      <c r="KPY26" s="1266"/>
      <c r="KPZ26" s="1266"/>
      <c r="KQA26" s="1266"/>
      <c r="KQB26" s="1266"/>
      <c r="KQC26" s="1266"/>
      <c r="KQD26" s="1266"/>
      <c r="KQE26" s="1266"/>
      <c r="KQF26" s="1266"/>
      <c r="KQG26" s="1266"/>
      <c r="KQH26" s="1266"/>
      <c r="KQI26" s="1266"/>
      <c r="KQJ26" s="1266"/>
      <c r="KQK26" s="1266"/>
      <c r="KQL26" s="1266"/>
      <c r="KQM26" s="1266"/>
      <c r="KQN26" s="1266"/>
      <c r="KQO26" s="1266"/>
      <c r="KQP26" s="1266"/>
      <c r="KQQ26" s="1266"/>
      <c r="KQR26" s="1266"/>
      <c r="KQS26" s="1266"/>
      <c r="KQT26" s="1266"/>
      <c r="KQU26" s="1266"/>
      <c r="KQV26" s="1266"/>
      <c r="KQW26" s="1266"/>
      <c r="KQX26" s="1266"/>
      <c r="KQY26" s="1266"/>
      <c r="KQZ26" s="1266"/>
      <c r="KRA26" s="1266"/>
      <c r="KRB26" s="1266"/>
      <c r="KRC26" s="1266"/>
      <c r="KRD26" s="1266"/>
      <c r="KRE26" s="1266"/>
      <c r="KRF26" s="1266"/>
      <c r="KRG26" s="1266"/>
      <c r="KRH26" s="1266"/>
      <c r="KRI26" s="1266"/>
      <c r="KRJ26" s="1266"/>
      <c r="KRK26" s="1266"/>
      <c r="KRL26" s="1266"/>
      <c r="KRM26" s="1266"/>
      <c r="KRN26" s="1266"/>
      <c r="KRO26" s="1266"/>
      <c r="KRP26" s="1266"/>
      <c r="KRQ26" s="1266"/>
      <c r="KRR26" s="1266"/>
      <c r="KRS26" s="1266"/>
      <c r="KRT26" s="1266"/>
      <c r="KRU26" s="1266"/>
      <c r="KRV26" s="1266"/>
      <c r="KRW26" s="1266"/>
      <c r="KRX26" s="1266"/>
      <c r="KRY26" s="1266"/>
      <c r="KRZ26" s="1266"/>
      <c r="KSA26" s="1266"/>
      <c r="KSB26" s="1266"/>
      <c r="KSC26" s="1266"/>
      <c r="KSD26" s="1266"/>
      <c r="KSE26" s="1266"/>
      <c r="KSF26" s="1266"/>
      <c r="KSG26" s="1266"/>
      <c r="KSH26" s="1266"/>
      <c r="KSI26" s="1266"/>
      <c r="KSJ26" s="1266"/>
      <c r="KSK26" s="1266"/>
      <c r="KSL26" s="1266"/>
      <c r="KSM26" s="1266"/>
      <c r="KSN26" s="1266"/>
      <c r="KSO26" s="1266"/>
      <c r="KSP26" s="1266"/>
      <c r="KSQ26" s="1266"/>
      <c r="KSR26" s="1266"/>
      <c r="KSS26" s="1266"/>
      <c r="KST26" s="1266"/>
      <c r="KSU26" s="1266"/>
      <c r="KSV26" s="1266"/>
      <c r="KSW26" s="1266"/>
      <c r="KSX26" s="1266"/>
      <c r="KSY26" s="1266"/>
      <c r="KSZ26" s="1266"/>
      <c r="KTA26" s="1266"/>
      <c r="KTB26" s="1266"/>
      <c r="KTC26" s="1266"/>
      <c r="KTD26" s="1266"/>
      <c r="KTE26" s="1266"/>
      <c r="KTF26" s="1266"/>
      <c r="KTG26" s="1266"/>
      <c r="KTH26" s="1266"/>
      <c r="KTI26" s="1266"/>
      <c r="KTJ26" s="1266"/>
      <c r="KTK26" s="1266"/>
      <c r="KTL26" s="1266"/>
      <c r="KTM26" s="1266"/>
      <c r="KTN26" s="1266"/>
      <c r="KTO26" s="1266"/>
      <c r="KTP26" s="1266"/>
      <c r="KTQ26" s="1266"/>
      <c r="KTR26" s="1266"/>
      <c r="KTS26" s="1266"/>
      <c r="KTT26" s="1266"/>
      <c r="KTU26" s="1266"/>
      <c r="KTV26" s="1266"/>
      <c r="KTW26" s="1266"/>
      <c r="KTX26" s="1266"/>
      <c r="KTY26" s="1266"/>
      <c r="KTZ26" s="1266"/>
      <c r="KUA26" s="1266"/>
      <c r="KUB26" s="1266"/>
      <c r="KUC26" s="1266"/>
      <c r="KUD26" s="1266"/>
      <c r="KUE26" s="1266"/>
      <c r="KUF26" s="1266"/>
      <c r="KUG26" s="1266"/>
      <c r="KUH26" s="1266"/>
      <c r="KUI26" s="1266"/>
      <c r="KUJ26" s="1266"/>
      <c r="KUK26" s="1266"/>
      <c r="KUL26" s="1266"/>
      <c r="KUM26" s="1266"/>
      <c r="KUN26" s="1266"/>
      <c r="KUO26" s="1266"/>
      <c r="KUP26" s="1266"/>
      <c r="KUQ26" s="1266"/>
      <c r="KUR26" s="1266"/>
      <c r="KUS26" s="1266"/>
      <c r="KUT26" s="1266"/>
      <c r="KUU26" s="1266"/>
      <c r="KUV26" s="1266"/>
      <c r="KUW26" s="1266"/>
      <c r="KUX26" s="1266"/>
      <c r="KUY26" s="1266"/>
      <c r="KUZ26" s="1266"/>
      <c r="KVA26" s="1266"/>
      <c r="KVB26" s="1266"/>
      <c r="KVC26" s="1266"/>
      <c r="KVD26" s="1266"/>
      <c r="KVE26" s="1266"/>
      <c r="KVF26" s="1266"/>
      <c r="KVG26" s="1266"/>
      <c r="KVH26" s="1266"/>
      <c r="KVI26" s="1266"/>
      <c r="KVJ26" s="1266"/>
      <c r="KVK26" s="1266"/>
      <c r="KVL26" s="1266"/>
      <c r="KVM26" s="1266"/>
      <c r="KVN26" s="1266"/>
      <c r="KVO26" s="1266"/>
      <c r="KVP26" s="1266"/>
      <c r="KVQ26" s="1266"/>
      <c r="KVR26" s="1266"/>
      <c r="KVS26" s="1266"/>
      <c r="KVT26" s="1266"/>
      <c r="KVU26" s="1266"/>
      <c r="KVV26" s="1266"/>
      <c r="KVW26" s="1266"/>
      <c r="KVX26" s="1266"/>
      <c r="KVY26" s="1266"/>
      <c r="KVZ26" s="1266"/>
      <c r="KWA26" s="1266"/>
      <c r="KWB26" s="1266"/>
      <c r="KWC26" s="1266"/>
      <c r="KWD26" s="1266"/>
      <c r="KWE26" s="1266"/>
      <c r="KWF26" s="1266"/>
      <c r="KWG26" s="1266"/>
      <c r="KWH26" s="1266"/>
      <c r="KWI26" s="1266"/>
      <c r="KWJ26" s="1266"/>
      <c r="KWK26" s="1266"/>
      <c r="KWL26" s="1266"/>
      <c r="KWM26" s="1266"/>
      <c r="KWN26" s="1266"/>
      <c r="KWO26" s="1266"/>
      <c r="KWP26" s="1266"/>
      <c r="KWQ26" s="1266"/>
      <c r="KWR26" s="1266"/>
      <c r="KWS26" s="1266"/>
      <c r="KWT26" s="1266"/>
      <c r="KWU26" s="1266"/>
      <c r="KWV26" s="1266"/>
      <c r="KWW26" s="1266"/>
      <c r="KWX26" s="1266"/>
      <c r="KWY26" s="1266"/>
      <c r="KWZ26" s="1266"/>
      <c r="KXA26" s="1266"/>
      <c r="KXB26" s="1266"/>
      <c r="KXC26" s="1266"/>
      <c r="KXD26" s="1266"/>
      <c r="KXE26" s="1266"/>
      <c r="KXF26" s="1266"/>
      <c r="KXG26" s="1266"/>
      <c r="KXH26" s="1266"/>
      <c r="KXI26" s="1266"/>
      <c r="KXJ26" s="1266"/>
      <c r="KXK26" s="1266"/>
      <c r="KXL26" s="1266"/>
      <c r="KXM26" s="1266"/>
      <c r="KXN26" s="1266"/>
      <c r="KXO26" s="1266"/>
      <c r="KXP26" s="1266"/>
      <c r="KXQ26" s="1266"/>
      <c r="KXR26" s="1266"/>
      <c r="KXS26" s="1266"/>
      <c r="KXT26" s="1266"/>
      <c r="KXU26" s="1266"/>
      <c r="KXV26" s="1266"/>
      <c r="KXW26" s="1266"/>
      <c r="KXX26" s="1266"/>
      <c r="KXY26" s="1266"/>
      <c r="KXZ26" s="1266"/>
      <c r="KYA26" s="1266"/>
      <c r="KYB26" s="1266"/>
      <c r="KYC26" s="1266"/>
      <c r="KYD26" s="1266"/>
      <c r="KYE26" s="1266"/>
      <c r="KYF26" s="1266"/>
      <c r="KYG26" s="1266"/>
      <c r="KYH26" s="1266"/>
      <c r="KYI26" s="1266"/>
      <c r="KYJ26" s="1266"/>
      <c r="KYK26" s="1266"/>
      <c r="KYL26" s="1266"/>
      <c r="KYM26" s="1266"/>
      <c r="KYN26" s="1266"/>
      <c r="KYO26" s="1266"/>
      <c r="KYP26" s="1266"/>
      <c r="KYQ26" s="1266"/>
      <c r="KYR26" s="1266"/>
      <c r="KYS26" s="1266"/>
      <c r="KYT26" s="1266"/>
      <c r="KYU26" s="1266"/>
      <c r="KYV26" s="1266"/>
      <c r="KYW26" s="1266"/>
      <c r="KYX26" s="1266"/>
      <c r="KYY26" s="1266"/>
      <c r="KYZ26" s="1266"/>
      <c r="KZA26" s="1266"/>
      <c r="KZB26" s="1266"/>
      <c r="KZC26" s="1266"/>
      <c r="KZD26" s="1266"/>
      <c r="KZE26" s="1266"/>
      <c r="KZF26" s="1266"/>
      <c r="KZG26" s="1266"/>
      <c r="KZH26" s="1266"/>
      <c r="KZI26" s="1266"/>
      <c r="KZJ26" s="1266"/>
      <c r="KZK26" s="1266"/>
      <c r="KZL26" s="1266"/>
      <c r="KZM26" s="1266"/>
      <c r="KZN26" s="1266"/>
      <c r="KZO26" s="1266"/>
      <c r="KZP26" s="1266"/>
      <c r="KZQ26" s="1266"/>
      <c r="KZR26" s="1266"/>
      <c r="KZS26" s="1266"/>
      <c r="KZT26" s="1266"/>
      <c r="KZU26" s="1266"/>
      <c r="KZV26" s="1266"/>
      <c r="KZW26" s="1266"/>
      <c r="KZX26" s="1266"/>
      <c r="KZY26" s="1266"/>
      <c r="KZZ26" s="1266"/>
      <c r="LAA26" s="1266"/>
      <c r="LAB26" s="1266"/>
      <c r="LAC26" s="1266"/>
      <c r="LAD26" s="1266"/>
      <c r="LAE26" s="1266"/>
      <c r="LAF26" s="1266"/>
      <c r="LAG26" s="1266"/>
      <c r="LAH26" s="1266"/>
      <c r="LAI26" s="1266"/>
      <c r="LAJ26" s="1266"/>
      <c r="LAK26" s="1266"/>
      <c r="LAL26" s="1266"/>
      <c r="LAM26" s="1266"/>
      <c r="LAN26" s="1266"/>
      <c r="LAO26" s="1266"/>
      <c r="LAP26" s="1266"/>
      <c r="LAQ26" s="1266"/>
      <c r="LAR26" s="1266"/>
      <c r="LAS26" s="1266"/>
      <c r="LAT26" s="1266"/>
      <c r="LAU26" s="1266"/>
      <c r="LAV26" s="1266"/>
      <c r="LAW26" s="1266"/>
      <c r="LAX26" s="1266"/>
      <c r="LAY26" s="1266"/>
      <c r="LAZ26" s="1266"/>
      <c r="LBA26" s="1266"/>
      <c r="LBB26" s="1266"/>
      <c r="LBC26" s="1266"/>
      <c r="LBD26" s="1266"/>
      <c r="LBE26" s="1266"/>
      <c r="LBF26" s="1266"/>
      <c r="LBG26" s="1266"/>
      <c r="LBH26" s="1266"/>
      <c r="LBI26" s="1266"/>
      <c r="LBJ26" s="1266"/>
      <c r="LBK26" s="1266"/>
      <c r="LBL26" s="1266"/>
      <c r="LBM26" s="1266"/>
      <c r="LBN26" s="1266"/>
      <c r="LBO26" s="1266"/>
      <c r="LBP26" s="1266"/>
      <c r="LBQ26" s="1266"/>
      <c r="LBR26" s="1266"/>
      <c r="LBS26" s="1266"/>
      <c r="LBT26" s="1266"/>
      <c r="LBU26" s="1266"/>
      <c r="LBV26" s="1266"/>
      <c r="LBW26" s="1266"/>
      <c r="LBX26" s="1266"/>
      <c r="LBY26" s="1266"/>
      <c r="LBZ26" s="1266"/>
      <c r="LCA26" s="1266"/>
      <c r="LCB26" s="1266"/>
      <c r="LCC26" s="1266"/>
      <c r="LCD26" s="1266"/>
      <c r="LCE26" s="1266"/>
      <c r="LCF26" s="1266"/>
      <c r="LCG26" s="1266"/>
      <c r="LCH26" s="1266"/>
      <c r="LCI26" s="1266"/>
      <c r="LCJ26" s="1266"/>
      <c r="LCK26" s="1266"/>
      <c r="LCL26" s="1266"/>
      <c r="LCM26" s="1266"/>
      <c r="LCN26" s="1266"/>
      <c r="LCO26" s="1266"/>
      <c r="LCP26" s="1266"/>
      <c r="LCQ26" s="1266"/>
      <c r="LCR26" s="1266"/>
      <c r="LCS26" s="1266"/>
      <c r="LCT26" s="1266"/>
      <c r="LCU26" s="1266"/>
      <c r="LCV26" s="1266"/>
      <c r="LCW26" s="1266"/>
      <c r="LCX26" s="1266"/>
      <c r="LCY26" s="1266"/>
      <c r="LCZ26" s="1266"/>
      <c r="LDA26" s="1266"/>
      <c r="LDB26" s="1266"/>
      <c r="LDC26" s="1266"/>
      <c r="LDD26" s="1266"/>
      <c r="LDE26" s="1266"/>
      <c r="LDF26" s="1266"/>
      <c r="LDG26" s="1266"/>
      <c r="LDH26" s="1266"/>
      <c r="LDI26" s="1266"/>
      <c r="LDJ26" s="1266"/>
      <c r="LDK26" s="1266"/>
      <c r="LDL26" s="1266"/>
      <c r="LDM26" s="1266"/>
      <c r="LDN26" s="1266"/>
      <c r="LDO26" s="1266"/>
      <c r="LDP26" s="1266"/>
      <c r="LDQ26" s="1266"/>
      <c r="LDR26" s="1266"/>
      <c r="LDS26" s="1266"/>
      <c r="LDT26" s="1266"/>
      <c r="LDU26" s="1266"/>
      <c r="LDV26" s="1266"/>
      <c r="LDW26" s="1266"/>
      <c r="LDX26" s="1266"/>
      <c r="LDY26" s="1266"/>
      <c r="LDZ26" s="1266"/>
      <c r="LEA26" s="1266"/>
      <c r="LEB26" s="1266"/>
      <c r="LEC26" s="1266"/>
      <c r="LED26" s="1266"/>
      <c r="LEE26" s="1266"/>
      <c r="LEF26" s="1266"/>
      <c r="LEG26" s="1266"/>
      <c r="LEH26" s="1266"/>
      <c r="LEI26" s="1266"/>
      <c r="LEJ26" s="1266"/>
      <c r="LEK26" s="1266"/>
      <c r="LEL26" s="1266"/>
      <c r="LEM26" s="1266"/>
      <c r="LEN26" s="1266"/>
      <c r="LEO26" s="1266"/>
      <c r="LEP26" s="1266"/>
      <c r="LEQ26" s="1266"/>
      <c r="LER26" s="1266"/>
      <c r="LES26" s="1266"/>
      <c r="LET26" s="1266"/>
      <c r="LEU26" s="1266"/>
      <c r="LEV26" s="1266"/>
      <c r="LEW26" s="1266"/>
      <c r="LEX26" s="1266"/>
      <c r="LEY26" s="1266"/>
      <c r="LEZ26" s="1266"/>
      <c r="LFA26" s="1266"/>
      <c r="LFB26" s="1266"/>
      <c r="LFC26" s="1266"/>
      <c r="LFD26" s="1266"/>
      <c r="LFE26" s="1266"/>
      <c r="LFF26" s="1266"/>
      <c r="LFG26" s="1266"/>
      <c r="LFH26" s="1266"/>
      <c r="LFI26" s="1266"/>
      <c r="LFJ26" s="1266"/>
      <c r="LFK26" s="1266"/>
      <c r="LFL26" s="1266"/>
      <c r="LFM26" s="1266"/>
      <c r="LFN26" s="1266"/>
      <c r="LFO26" s="1266"/>
      <c r="LFP26" s="1266"/>
      <c r="LFQ26" s="1266"/>
      <c r="LFR26" s="1266"/>
      <c r="LFS26" s="1266"/>
      <c r="LFT26" s="1266"/>
      <c r="LFU26" s="1266"/>
      <c r="LFV26" s="1266"/>
      <c r="LFW26" s="1266"/>
      <c r="LFX26" s="1266"/>
      <c r="LFY26" s="1266"/>
      <c r="LFZ26" s="1266"/>
      <c r="LGA26" s="1266"/>
      <c r="LGB26" s="1266"/>
      <c r="LGC26" s="1266"/>
      <c r="LGD26" s="1266"/>
      <c r="LGE26" s="1266"/>
      <c r="LGF26" s="1266"/>
      <c r="LGG26" s="1266"/>
      <c r="LGH26" s="1266"/>
      <c r="LGI26" s="1266"/>
      <c r="LGJ26" s="1266"/>
      <c r="LGK26" s="1266"/>
      <c r="LGL26" s="1266"/>
      <c r="LGM26" s="1266"/>
      <c r="LGN26" s="1266"/>
      <c r="LGO26" s="1266"/>
      <c r="LGP26" s="1266"/>
      <c r="LGQ26" s="1266"/>
      <c r="LGR26" s="1266"/>
      <c r="LGS26" s="1266"/>
      <c r="LGT26" s="1266"/>
      <c r="LGU26" s="1266"/>
      <c r="LGV26" s="1266"/>
      <c r="LGW26" s="1266"/>
      <c r="LGX26" s="1266"/>
      <c r="LGY26" s="1266"/>
      <c r="LGZ26" s="1266"/>
      <c r="LHA26" s="1266"/>
      <c r="LHB26" s="1266"/>
      <c r="LHC26" s="1266"/>
      <c r="LHD26" s="1266"/>
      <c r="LHE26" s="1266"/>
      <c r="LHF26" s="1266"/>
      <c r="LHG26" s="1266"/>
      <c r="LHH26" s="1266"/>
      <c r="LHI26" s="1266"/>
      <c r="LHJ26" s="1266"/>
      <c r="LHK26" s="1266"/>
      <c r="LHL26" s="1266"/>
      <c r="LHM26" s="1266"/>
      <c r="LHN26" s="1266"/>
      <c r="LHO26" s="1266"/>
      <c r="LHP26" s="1266"/>
      <c r="LHQ26" s="1266"/>
      <c r="LHR26" s="1266"/>
      <c r="LHS26" s="1266"/>
      <c r="LHT26" s="1266"/>
      <c r="LHU26" s="1266"/>
      <c r="LHV26" s="1266"/>
      <c r="LHW26" s="1266"/>
      <c r="LHX26" s="1266"/>
      <c r="LHY26" s="1266"/>
      <c r="LHZ26" s="1266"/>
      <c r="LIA26" s="1266"/>
      <c r="LIB26" s="1266"/>
      <c r="LIC26" s="1266"/>
      <c r="LID26" s="1266"/>
      <c r="LIE26" s="1266"/>
      <c r="LIF26" s="1266"/>
      <c r="LIG26" s="1266"/>
      <c r="LIH26" s="1266"/>
      <c r="LII26" s="1266"/>
      <c r="LIJ26" s="1266"/>
      <c r="LIK26" s="1266"/>
      <c r="LIL26" s="1266"/>
      <c r="LIM26" s="1266"/>
      <c r="LIN26" s="1266"/>
      <c r="LIO26" s="1266"/>
      <c r="LIP26" s="1266"/>
      <c r="LIQ26" s="1266"/>
      <c r="LIR26" s="1266"/>
      <c r="LIS26" s="1266"/>
      <c r="LIT26" s="1266"/>
      <c r="LIU26" s="1266"/>
      <c r="LIV26" s="1266"/>
      <c r="LIW26" s="1266"/>
      <c r="LIX26" s="1266"/>
      <c r="LIY26" s="1266"/>
      <c r="LIZ26" s="1266"/>
      <c r="LJA26" s="1266"/>
      <c r="LJB26" s="1266"/>
      <c r="LJC26" s="1266"/>
      <c r="LJD26" s="1266"/>
      <c r="LJE26" s="1266"/>
      <c r="LJF26" s="1266"/>
      <c r="LJG26" s="1266"/>
      <c r="LJH26" s="1266"/>
      <c r="LJI26" s="1266"/>
      <c r="LJJ26" s="1266"/>
      <c r="LJK26" s="1266"/>
      <c r="LJL26" s="1266"/>
      <c r="LJM26" s="1266"/>
      <c r="LJN26" s="1266"/>
      <c r="LJO26" s="1266"/>
      <c r="LJP26" s="1266"/>
      <c r="LJQ26" s="1266"/>
      <c r="LJR26" s="1266"/>
      <c r="LJS26" s="1266"/>
      <c r="LJT26" s="1266"/>
      <c r="LJU26" s="1266"/>
      <c r="LJV26" s="1266"/>
      <c r="LJW26" s="1266"/>
      <c r="LJX26" s="1266"/>
      <c r="LJY26" s="1266"/>
      <c r="LJZ26" s="1266"/>
      <c r="LKA26" s="1266"/>
      <c r="LKB26" s="1266"/>
      <c r="LKC26" s="1266"/>
      <c r="LKD26" s="1266"/>
      <c r="LKE26" s="1266"/>
      <c r="LKF26" s="1266"/>
      <c r="LKG26" s="1266"/>
      <c r="LKH26" s="1266"/>
      <c r="LKI26" s="1266"/>
      <c r="LKJ26" s="1266"/>
      <c r="LKK26" s="1266"/>
      <c r="LKL26" s="1266"/>
      <c r="LKM26" s="1266"/>
      <c r="LKN26" s="1266"/>
      <c r="LKO26" s="1266"/>
      <c r="LKP26" s="1266"/>
      <c r="LKQ26" s="1266"/>
      <c r="LKR26" s="1266"/>
      <c r="LKS26" s="1266"/>
      <c r="LKT26" s="1266"/>
      <c r="LKU26" s="1266"/>
      <c r="LKV26" s="1266"/>
      <c r="LKW26" s="1266"/>
      <c r="LKX26" s="1266"/>
      <c r="LKY26" s="1266"/>
      <c r="LKZ26" s="1266"/>
      <c r="LLA26" s="1266"/>
      <c r="LLB26" s="1266"/>
      <c r="LLC26" s="1266"/>
      <c r="LLD26" s="1266"/>
      <c r="LLE26" s="1266"/>
      <c r="LLF26" s="1266"/>
      <c r="LLG26" s="1266"/>
      <c r="LLH26" s="1266"/>
      <c r="LLI26" s="1266"/>
      <c r="LLJ26" s="1266"/>
      <c r="LLK26" s="1266"/>
      <c r="LLL26" s="1266"/>
      <c r="LLM26" s="1266"/>
      <c r="LLN26" s="1266"/>
      <c r="LLO26" s="1266"/>
      <c r="LLP26" s="1266"/>
      <c r="LLQ26" s="1266"/>
      <c r="LLR26" s="1266"/>
      <c r="LLS26" s="1266"/>
      <c r="LLT26" s="1266"/>
      <c r="LLU26" s="1266"/>
      <c r="LLV26" s="1266"/>
      <c r="LLW26" s="1266"/>
      <c r="LLX26" s="1266"/>
      <c r="LLY26" s="1266"/>
      <c r="LLZ26" s="1266"/>
      <c r="LMA26" s="1266"/>
      <c r="LMB26" s="1266"/>
      <c r="LMC26" s="1266"/>
      <c r="LMD26" s="1266"/>
      <c r="LME26" s="1266"/>
      <c r="LMF26" s="1266"/>
      <c r="LMG26" s="1266"/>
      <c r="LMH26" s="1266"/>
      <c r="LMI26" s="1266"/>
      <c r="LMJ26" s="1266"/>
      <c r="LMK26" s="1266"/>
      <c r="LML26" s="1266"/>
      <c r="LMM26" s="1266"/>
      <c r="LMN26" s="1266"/>
      <c r="LMO26" s="1266"/>
      <c r="LMP26" s="1266"/>
      <c r="LMQ26" s="1266"/>
      <c r="LMR26" s="1266"/>
      <c r="LMS26" s="1266"/>
      <c r="LMT26" s="1266"/>
      <c r="LMU26" s="1266"/>
      <c r="LMV26" s="1266"/>
      <c r="LMW26" s="1266"/>
      <c r="LMX26" s="1266"/>
      <c r="LMY26" s="1266"/>
      <c r="LMZ26" s="1266"/>
      <c r="LNA26" s="1266"/>
      <c r="LNB26" s="1266"/>
      <c r="LNC26" s="1266"/>
      <c r="LND26" s="1266"/>
      <c r="LNE26" s="1266"/>
      <c r="LNF26" s="1266"/>
      <c r="LNG26" s="1266"/>
      <c r="LNH26" s="1266"/>
      <c r="LNI26" s="1266"/>
      <c r="LNJ26" s="1266"/>
      <c r="LNK26" s="1266"/>
      <c r="LNL26" s="1266"/>
      <c r="LNM26" s="1266"/>
      <c r="LNN26" s="1266"/>
      <c r="LNO26" s="1266"/>
      <c r="LNP26" s="1266"/>
      <c r="LNQ26" s="1266"/>
      <c r="LNR26" s="1266"/>
      <c r="LNS26" s="1266"/>
      <c r="LNT26" s="1266"/>
      <c r="LNU26" s="1266"/>
      <c r="LNV26" s="1266"/>
      <c r="LNW26" s="1266"/>
      <c r="LNX26" s="1266"/>
      <c r="LNY26" s="1266"/>
      <c r="LNZ26" s="1266"/>
      <c r="LOA26" s="1266"/>
      <c r="LOB26" s="1266"/>
      <c r="LOC26" s="1266"/>
      <c r="LOD26" s="1266"/>
      <c r="LOE26" s="1266"/>
      <c r="LOF26" s="1266"/>
      <c r="LOG26" s="1266"/>
      <c r="LOH26" s="1266"/>
      <c r="LOI26" s="1266"/>
      <c r="LOJ26" s="1266"/>
      <c r="LOK26" s="1266"/>
      <c r="LOL26" s="1266"/>
      <c r="LOM26" s="1266"/>
      <c r="LON26" s="1266"/>
      <c r="LOO26" s="1266"/>
      <c r="LOP26" s="1266"/>
      <c r="LOQ26" s="1266"/>
      <c r="LOR26" s="1266"/>
      <c r="LOS26" s="1266"/>
      <c r="LOT26" s="1266"/>
      <c r="LOU26" s="1266"/>
      <c r="LOV26" s="1266"/>
      <c r="LOW26" s="1266"/>
      <c r="LOX26" s="1266"/>
      <c r="LOY26" s="1266"/>
      <c r="LOZ26" s="1266"/>
      <c r="LPA26" s="1266"/>
      <c r="LPB26" s="1266"/>
      <c r="LPC26" s="1266"/>
      <c r="LPD26" s="1266"/>
      <c r="LPE26" s="1266"/>
      <c r="LPF26" s="1266"/>
      <c r="LPG26" s="1266"/>
      <c r="LPH26" s="1266"/>
      <c r="LPI26" s="1266"/>
      <c r="LPJ26" s="1266"/>
      <c r="LPK26" s="1266"/>
      <c r="LPL26" s="1266"/>
      <c r="LPM26" s="1266"/>
      <c r="LPN26" s="1266"/>
      <c r="LPO26" s="1266"/>
      <c r="LPP26" s="1266"/>
      <c r="LPQ26" s="1266"/>
      <c r="LPR26" s="1266"/>
      <c r="LPS26" s="1266"/>
      <c r="LPT26" s="1266"/>
      <c r="LPU26" s="1266"/>
      <c r="LPV26" s="1266"/>
      <c r="LPW26" s="1266"/>
      <c r="LPX26" s="1266"/>
      <c r="LPY26" s="1266"/>
      <c r="LPZ26" s="1266"/>
      <c r="LQA26" s="1266"/>
      <c r="LQB26" s="1266"/>
      <c r="LQC26" s="1266"/>
      <c r="LQD26" s="1266"/>
      <c r="LQE26" s="1266"/>
      <c r="LQF26" s="1266"/>
      <c r="LQG26" s="1266"/>
      <c r="LQH26" s="1266"/>
      <c r="LQI26" s="1266"/>
      <c r="LQJ26" s="1266"/>
      <c r="LQK26" s="1266"/>
      <c r="LQL26" s="1266"/>
      <c r="LQM26" s="1266"/>
      <c r="LQN26" s="1266"/>
      <c r="LQO26" s="1266"/>
      <c r="LQP26" s="1266"/>
      <c r="LQQ26" s="1266"/>
      <c r="LQR26" s="1266"/>
      <c r="LQS26" s="1266"/>
      <c r="LQT26" s="1266"/>
      <c r="LQU26" s="1266"/>
      <c r="LQV26" s="1266"/>
      <c r="LQW26" s="1266"/>
      <c r="LQX26" s="1266"/>
      <c r="LQY26" s="1266"/>
      <c r="LQZ26" s="1266"/>
      <c r="LRA26" s="1266"/>
      <c r="LRB26" s="1266"/>
      <c r="LRC26" s="1266"/>
      <c r="LRD26" s="1266"/>
      <c r="LRE26" s="1266"/>
      <c r="LRF26" s="1266"/>
      <c r="LRG26" s="1266"/>
      <c r="LRH26" s="1266"/>
      <c r="LRI26" s="1266"/>
      <c r="LRJ26" s="1266"/>
      <c r="LRK26" s="1266"/>
      <c r="LRL26" s="1266"/>
      <c r="LRM26" s="1266"/>
      <c r="LRN26" s="1266"/>
      <c r="LRO26" s="1266"/>
      <c r="LRP26" s="1266"/>
      <c r="LRQ26" s="1266"/>
      <c r="LRR26" s="1266"/>
      <c r="LRS26" s="1266"/>
      <c r="LRT26" s="1266"/>
      <c r="LRU26" s="1266"/>
      <c r="LRV26" s="1266"/>
      <c r="LRW26" s="1266"/>
      <c r="LRX26" s="1266"/>
      <c r="LRY26" s="1266"/>
      <c r="LRZ26" s="1266"/>
      <c r="LSA26" s="1266"/>
      <c r="LSB26" s="1266"/>
      <c r="LSC26" s="1266"/>
      <c r="LSD26" s="1266"/>
      <c r="LSE26" s="1266"/>
      <c r="LSF26" s="1266"/>
      <c r="LSG26" s="1266"/>
      <c r="LSH26" s="1266"/>
      <c r="LSI26" s="1266"/>
      <c r="LSJ26" s="1266"/>
      <c r="LSK26" s="1266"/>
      <c r="LSL26" s="1266"/>
      <c r="LSM26" s="1266"/>
      <c r="LSN26" s="1266"/>
      <c r="LSO26" s="1266"/>
      <c r="LSP26" s="1266"/>
      <c r="LSQ26" s="1266"/>
      <c r="LSR26" s="1266"/>
      <c r="LSS26" s="1266"/>
      <c r="LST26" s="1266"/>
      <c r="LSU26" s="1266"/>
      <c r="LSV26" s="1266"/>
      <c r="LSW26" s="1266"/>
      <c r="LSX26" s="1266"/>
      <c r="LSY26" s="1266"/>
      <c r="LSZ26" s="1266"/>
      <c r="LTA26" s="1266"/>
      <c r="LTB26" s="1266"/>
      <c r="LTC26" s="1266"/>
      <c r="LTD26" s="1266"/>
      <c r="LTE26" s="1266"/>
      <c r="LTF26" s="1266"/>
      <c r="LTG26" s="1266"/>
      <c r="LTH26" s="1266"/>
      <c r="LTI26" s="1266"/>
      <c r="LTJ26" s="1266"/>
      <c r="LTK26" s="1266"/>
      <c r="LTL26" s="1266"/>
      <c r="LTM26" s="1266"/>
      <c r="LTN26" s="1266"/>
      <c r="LTO26" s="1266"/>
      <c r="LTP26" s="1266"/>
      <c r="LTQ26" s="1266"/>
      <c r="LTR26" s="1266"/>
      <c r="LTS26" s="1266"/>
      <c r="LTT26" s="1266"/>
      <c r="LTU26" s="1266"/>
      <c r="LTV26" s="1266"/>
      <c r="LTW26" s="1266"/>
      <c r="LTX26" s="1266"/>
      <c r="LTY26" s="1266"/>
      <c r="LTZ26" s="1266"/>
      <c r="LUA26" s="1266"/>
      <c r="LUB26" s="1266"/>
      <c r="LUC26" s="1266"/>
      <c r="LUD26" s="1266"/>
      <c r="LUE26" s="1266"/>
      <c r="LUF26" s="1266"/>
      <c r="LUG26" s="1266"/>
      <c r="LUH26" s="1266"/>
      <c r="LUI26" s="1266"/>
      <c r="LUJ26" s="1266"/>
      <c r="LUK26" s="1266"/>
      <c r="LUL26" s="1266"/>
      <c r="LUM26" s="1266"/>
      <c r="LUN26" s="1266"/>
      <c r="LUO26" s="1266"/>
      <c r="LUP26" s="1266"/>
      <c r="LUQ26" s="1266"/>
      <c r="LUR26" s="1266"/>
      <c r="LUS26" s="1266"/>
      <c r="LUT26" s="1266"/>
      <c r="LUU26" s="1266"/>
      <c r="LUV26" s="1266"/>
      <c r="LUW26" s="1266"/>
      <c r="LUX26" s="1266"/>
      <c r="LUY26" s="1266"/>
      <c r="LUZ26" s="1266"/>
      <c r="LVA26" s="1266"/>
      <c r="LVB26" s="1266"/>
      <c r="LVC26" s="1266"/>
      <c r="LVD26" s="1266"/>
      <c r="LVE26" s="1266"/>
      <c r="LVF26" s="1266"/>
      <c r="LVG26" s="1266"/>
      <c r="LVH26" s="1266"/>
      <c r="LVI26" s="1266"/>
      <c r="LVJ26" s="1266"/>
      <c r="LVK26" s="1266"/>
      <c r="LVL26" s="1266"/>
      <c r="LVM26" s="1266"/>
      <c r="LVN26" s="1266"/>
      <c r="LVO26" s="1266"/>
      <c r="LVP26" s="1266"/>
      <c r="LVQ26" s="1266"/>
      <c r="LVR26" s="1266"/>
      <c r="LVS26" s="1266"/>
      <c r="LVT26" s="1266"/>
      <c r="LVU26" s="1266"/>
      <c r="LVV26" s="1266"/>
      <c r="LVW26" s="1266"/>
      <c r="LVX26" s="1266"/>
      <c r="LVY26" s="1266"/>
      <c r="LVZ26" s="1266"/>
      <c r="LWA26" s="1266"/>
      <c r="LWB26" s="1266"/>
      <c r="LWC26" s="1266"/>
      <c r="LWD26" s="1266"/>
      <c r="LWE26" s="1266"/>
      <c r="LWF26" s="1266"/>
      <c r="LWG26" s="1266"/>
      <c r="LWH26" s="1266"/>
      <c r="LWI26" s="1266"/>
      <c r="LWJ26" s="1266"/>
      <c r="LWK26" s="1266"/>
      <c r="LWL26" s="1266"/>
      <c r="LWM26" s="1266"/>
      <c r="LWN26" s="1266"/>
      <c r="LWO26" s="1266"/>
      <c r="LWP26" s="1266"/>
      <c r="LWQ26" s="1266"/>
      <c r="LWR26" s="1266"/>
      <c r="LWS26" s="1266"/>
      <c r="LWT26" s="1266"/>
      <c r="LWU26" s="1266"/>
      <c r="LWV26" s="1266"/>
      <c r="LWW26" s="1266"/>
      <c r="LWX26" s="1266"/>
      <c r="LWY26" s="1266"/>
      <c r="LWZ26" s="1266"/>
      <c r="LXA26" s="1266"/>
      <c r="LXB26" s="1266"/>
      <c r="LXC26" s="1266"/>
      <c r="LXD26" s="1266"/>
      <c r="LXE26" s="1266"/>
      <c r="LXF26" s="1266"/>
      <c r="LXG26" s="1266"/>
      <c r="LXH26" s="1266"/>
      <c r="LXI26" s="1266"/>
      <c r="LXJ26" s="1266"/>
      <c r="LXK26" s="1266"/>
      <c r="LXL26" s="1266"/>
      <c r="LXM26" s="1266"/>
      <c r="LXN26" s="1266"/>
      <c r="LXO26" s="1266"/>
      <c r="LXP26" s="1266"/>
      <c r="LXQ26" s="1266"/>
      <c r="LXR26" s="1266"/>
      <c r="LXS26" s="1266"/>
      <c r="LXT26" s="1266"/>
      <c r="LXU26" s="1266"/>
      <c r="LXV26" s="1266"/>
      <c r="LXW26" s="1266"/>
      <c r="LXX26" s="1266"/>
      <c r="LXY26" s="1266"/>
      <c r="LXZ26" s="1266"/>
      <c r="LYA26" s="1266"/>
      <c r="LYB26" s="1266"/>
      <c r="LYC26" s="1266"/>
      <c r="LYD26" s="1266"/>
      <c r="LYE26" s="1266"/>
      <c r="LYF26" s="1266"/>
      <c r="LYG26" s="1266"/>
      <c r="LYH26" s="1266"/>
      <c r="LYI26" s="1266"/>
      <c r="LYJ26" s="1266"/>
      <c r="LYK26" s="1266"/>
      <c r="LYL26" s="1266"/>
      <c r="LYM26" s="1266"/>
      <c r="LYN26" s="1266"/>
      <c r="LYO26" s="1266"/>
      <c r="LYP26" s="1266"/>
      <c r="LYQ26" s="1266"/>
      <c r="LYR26" s="1266"/>
      <c r="LYS26" s="1266"/>
      <c r="LYT26" s="1266"/>
      <c r="LYU26" s="1266"/>
      <c r="LYV26" s="1266"/>
      <c r="LYW26" s="1266"/>
      <c r="LYX26" s="1266"/>
      <c r="LYY26" s="1266"/>
      <c r="LYZ26" s="1266"/>
      <c r="LZA26" s="1266"/>
      <c r="LZB26" s="1266"/>
      <c r="LZC26" s="1266"/>
      <c r="LZD26" s="1266"/>
      <c r="LZE26" s="1266"/>
      <c r="LZF26" s="1266"/>
      <c r="LZG26" s="1266"/>
      <c r="LZH26" s="1266"/>
      <c r="LZI26" s="1266"/>
      <c r="LZJ26" s="1266"/>
      <c r="LZK26" s="1266"/>
      <c r="LZL26" s="1266"/>
      <c r="LZM26" s="1266"/>
      <c r="LZN26" s="1266"/>
      <c r="LZO26" s="1266"/>
      <c r="LZP26" s="1266"/>
      <c r="LZQ26" s="1266"/>
      <c r="LZR26" s="1266"/>
      <c r="LZS26" s="1266"/>
      <c r="LZT26" s="1266"/>
      <c r="LZU26" s="1266"/>
      <c r="LZV26" s="1266"/>
      <c r="LZW26" s="1266"/>
      <c r="LZX26" s="1266"/>
      <c r="LZY26" s="1266"/>
      <c r="LZZ26" s="1266"/>
      <c r="MAA26" s="1266"/>
      <c r="MAB26" s="1266"/>
      <c r="MAC26" s="1266"/>
      <c r="MAD26" s="1266"/>
      <c r="MAE26" s="1266"/>
      <c r="MAF26" s="1266"/>
      <c r="MAG26" s="1266"/>
      <c r="MAH26" s="1266"/>
      <c r="MAI26" s="1266"/>
      <c r="MAJ26" s="1266"/>
      <c r="MAK26" s="1266"/>
      <c r="MAL26" s="1266"/>
      <c r="MAM26" s="1266"/>
      <c r="MAN26" s="1266"/>
      <c r="MAO26" s="1266"/>
      <c r="MAP26" s="1266"/>
      <c r="MAQ26" s="1266"/>
      <c r="MAR26" s="1266"/>
      <c r="MAS26" s="1266"/>
      <c r="MAT26" s="1266"/>
      <c r="MAU26" s="1266"/>
      <c r="MAV26" s="1266"/>
      <c r="MAW26" s="1266"/>
      <c r="MAX26" s="1266"/>
      <c r="MAY26" s="1266"/>
      <c r="MAZ26" s="1266"/>
      <c r="MBA26" s="1266"/>
      <c r="MBB26" s="1266"/>
      <c r="MBC26" s="1266"/>
      <c r="MBD26" s="1266"/>
      <c r="MBE26" s="1266"/>
      <c r="MBF26" s="1266"/>
      <c r="MBG26" s="1266"/>
      <c r="MBH26" s="1266"/>
      <c r="MBI26" s="1266"/>
      <c r="MBJ26" s="1266"/>
      <c r="MBK26" s="1266"/>
      <c r="MBL26" s="1266"/>
      <c r="MBM26" s="1266"/>
      <c r="MBN26" s="1266"/>
      <c r="MBO26" s="1266"/>
      <c r="MBP26" s="1266"/>
      <c r="MBQ26" s="1266"/>
      <c r="MBR26" s="1266"/>
      <c r="MBS26" s="1266"/>
      <c r="MBT26" s="1266"/>
      <c r="MBU26" s="1266"/>
      <c r="MBV26" s="1266"/>
      <c r="MBW26" s="1266"/>
      <c r="MBX26" s="1266"/>
      <c r="MBY26" s="1266"/>
      <c r="MBZ26" s="1266"/>
      <c r="MCA26" s="1266"/>
      <c r="MCB26" s="1266"/>
      <c r="MCC26" s="1266"/>
      <c r="MCD26" s="1266"/>
      <c r="MCE26" s="1266"/>
      <c r="MCF26" s="1266"/>
      <c r="MCG26" s="1266"/>
      <c r="MCH26" s="1266"/>
      <c r="MCI26" s="1266"/>
      <c r="MCJ26" s="1266"/>
      <c r="MCK26" s="1266"/>
      <c r="MCL26" s="1266"/>
      <c r="MCM26" s="1266"/>
      <c r="MCN26" s="1266"/>
      <c r="MCO26" s="1266"/>
      <c r="MCP26" s="1266"/>
      <c r="MCQ26" s="1266"/>
      <c r="MCR26" s="1266"/>
      <c r="MCS26" s="1266"/>
      <c r="MCT26" s="1266"/>
      <c r="MCU26" s="1266"/>
      <c r="MCV26" s="1266"/>
      <c r="MCW26" s="1266"/>
      <c r="MCX26" s="1266"/>
      <c r="MCY26" s="1266"/>
      <c r="MCZ26" s="1266"/>
      <c r="MDA26" s="1266"/>
      <c r="MDB26" s="1266"/>
      <c r="MDC26" s="1266"/>
      <c r="MDD26" s="1266"/>
      <c r="MDE26" s="1266"/>
      <c r="MDF26" s="1266"/>
      <c r="MDG26" s="1266"/>
      <c r="MDH26" s="1266"/>
      <c r="MDI26" s="1266"/>
      <c r="MDJ26" s="1266"/>
      <c r="MDK26" s="1266"/>
      <c r="MDL26" s="1266"/>
      <c r="MDM26" s="1266"/>
      <c r="MDN26" s="1266"/>
      <c r="MDO26" s="1266"/>
      <c r="MDP26" s="1266"/>
      <c r="MDQ26" s="1266"/>
      <c r="MDR26" s="1266"/>
      <c r="MDS26" s="1266"/>
      <c r="MDT26" s="1266"/>
      <c r="MDU26" s="1266"/>
      <c r="MDV26" s="1266"/>
      <c r="MDW26" s="1266"/>
      <c r="MDX26" s="1266"/>
      <c r="MDY26" s="1266"/>
      <c r="MDZ26" s="1266"/>
      <c r="MEA26" s="1266"/>
      <c r="MEB26" s="1266"/>
      <c r="MEC26" s="1266"/>
      <c r="MED26" s="1266"/>
      <c r="MEE26" s="1266"/>
      <c r="MEF26" s="1266"/>
      <c r="MEG26" s="1266"/>
      <c r="MEH26" s="1266"/>
      <c r="MEI26" s="1266"/>
      <c r="MEJ26" s="1266"/>
      <c r="MEK26" s="1266"/>
      <c r="MEL26" s="1266"/>
      <c r="MEM26" s="1266"/>
      <c r="MEN26" s="1266"/>
      <c r="MEO26" s="1266"/>
      <c r="MEP26" s="1266"/>
      <c r="MEQ26" s="1266"/>
      <c r="MER26" s="1266"/>
      <c r="MES26" s="1266"/>
      <c r="MET26" s="1266"/>
      <c r="MEU26" s="1266"/>
      <c r="MEV26" s="1266"/>
      <c r="MEW26" s="1266"/>
      <c r="MEX26" s="1266"/>
      <c r="MEY26" s="1266"/>
      <c r="MEZ26" s="1266"/>
      <c r="MFA26" s="1266"/>
      <c r="MFB26" s="1266"/>
      <c r="MFC26" s="1266"/>
      <c r="MFD26" s="1266"/>
      <c r="MFE26" s="1266"/>
      <c r="MFF26" s="1266"/>
      <c r="MFG26" s="1266"/>
      <c r="MFH26" s="1266"/>
      <c r="MFI26" s="1266"/>
      <c r="MFJ26" s="1266"/>
      <c r="MFK26" s="1266"/>
      <c r="MFL26" s="1266"/>
      <c r="MFM26" s="1266"/>
      <c r="MFN26" s="1266"/>
      <c r="MFO26" s="1266"/>
      <c r="MFP26" s="1266"/>
      <c r="MFQ26" s="1266"/>
      <c r="MFR26" s="1266"/>
      <c r="MFS26" s="1266"/>
      <c r="MFT26" s="1266"/>
      <c r="MFU26" s="1266"/>
      <c r="MFV26" s="1266"/>
      <c r="MFW26" s="1266"/>
      <c r="MFX26" s="1266"/>
      <c r="MFY26" s="1266"/>
      <c r="MFZ26" s="1266"/>
      <c r="MGA26" s="1266"/>
      <c r="MGB26" s="1266"/>
      <c r="MGC26" s="1266"/>
      <c r="MGD26" s="1266"/>
      <c r="MGE26" s="1266"/>
      <c r="MGF26" s="1266"/>
      <c r="MGG26" s="1266"/>
      <c r="MGH26" s="1266"/>
      <c r="MGI26" s="1266"/>
      <c r="MGJ26" s="1266"/>
      <c r="MGK26" s="1266"/>
      <c r="MGL26" s="1266"/>
      <c r="MGM26" s="1266"/>
      <c r="MGN26" s="1266"/>
      <c r="MGO26" s="1266"/>
      <c r="MGP26" s="1266"/>
      <c r="MGQ26" s="1266"/>
      <c r="MGR26" s="1266"/>
      <c r="MGS26" s="1266"/>
      <c r="MGT26" s="1266"/>
      <c r="MGU26" s="1266"/>
      <c r="MGV26" s="1266"/>
      <c r="MGW26" s="1266"/>
      <c r="MGX26" s="1266"/>
      <c r="MGY26" s="1266"/>
      <c r="MGZ26" s="1266"/>
      <c r="MHA26" s="1266"/>
      <c r="MHB26" s="1266"/>
      <c r="MHC26" s="1266"/>
      <c r="MHD26" s="1266"/>
      <c r="MHE26" s="1266"/>
      <c r="MHF26" s="1266"/>
      <c r="MHG26" s="1266"/>
      <c r="MHH26" s="1266"/>
      <c r="MHI26" s="1266"/>
      <c r="MHJ26" s="1266"/>
      <c r="MHK26" s="1266"/>
      <c r="MHL26" s="1266"/>
      <c r="MHM26" s="1266"/>
      <c r="MHN26" s="1266"/>
      <c r="MHO26" s="1266"/>
      <c r="MHP26" s="1266"/>
      <c r="MHQ26" s="1266"/>
      <c r="MHR26" s="1266"/>
      <c r="MHS26" s="1266"/>
      <c r="MHT26" s="1266"/>
      <c r="MHU26" s="1266"/>
      <c r="MHV26" s="1266"/>
      <c r="MHW26" s="1266"/>
      <c r="MHX26" s="1266"/>
      <c r="MHY26" s="1266"/>
      <c r="MHZ26" s="1266"/>
      <c r="MIA26" s="1266"/>
      <c r="MIB26" s="1266"/>
      <c r="MIC26" s="1266"/>
      <c r="MID26" s="1266"/>
      <c r="MIE26" s="1266"/>
      <c r="MIF26" s="1266"/>
      <c r="MIG26" s="1266"/>
      <c r="MIH26" s="1266"/>
      <c r="MII26" s="1266"/>
      <c r="MIJ26" s="1266"/>
      <c r="MIK26" s="1266"/>
      <c r="MIL26" s="1266"/>
      <c r="MIM26" s="1266"/>
      <c r="MIN26" s="1266"/>
      <c r="MIO26" s="1266"/>
      <c r="MIP26" s="1266"/>
      <c r="MIQ26" s="1266"/>
      <c r="MIR26" s="1266"/>
      <c r="MIS26" s="1266"/>
      <c r="MIT26" s="1266"/>
      <c r="MIU26" s="1266"/>
      <c r="MIV26" s="1266"/>
      <c r="MIW26" s="1266"/>
      <c r="MIX26" s="1266"/>
      <c r="MIY26" s="1266"/>
      <c r="MIZ26" s="1266"/>
      <c r="MJA26" s="1266"/>
      <c r="MJB26" s="1266"/>
      <c r="MJC26" s="1266"/>
      <c r="MJD26" s="1266"/>
      <c r="MJE26" s="1266"/>
      <c r="MJF26" s="1266"/>
      <c r="MJG26" s="1266"/>
      <c r="MJH26" s="1266"/>
      <c r="MJI26" s="1266"/>
      <c r="MJJ26" s="1266"/>
      <c r="MJK26" s="1266"/>
      <c r="MJL26" s="1266"/>
      <c r="MJM26" s="1266"/>
      <c r="MJN26" s="1266"/>
      <c r="MJO26" s="1266"/>
      <c r="MJP26" s="1266"/>
      <c r="MJQ26" s="1266"/>
      <c r="MJR26" s="1266"/>
      <c r="MJS26" s="1266"/>
      <c r="MJT26" s="1266"/>
      <c r="MJU26" s="1266"/>
      <c r="MJV26" s="1266"/>
      <c r="MJW26" s="1266"/>
      <c r="MJX26" s="1266"/>
      <c r="MJY26" s="1266"/>
      <c r="MJZ26" s="1266"/>
      <c r="MKA26" s="1266"/>
      <c r="MKB26" s="1266"/>
      <c r="MKC26" s="1266"/>
      <c r="MKD26" s="1266"/>
      <c r="MKE26" s="1266"/>
      <c r="MKF26" s="1266"/>
      <c r="MKG26" s="1266"/>
      <c r="MKH26" s="1266"/>
      <c r="MKI26" s="1266"/>
      <c r="MKJ26" s="1266"/>
      <c r="MKK26" s="1266"/>
      <c r="MKL26" s="1266"/>
      <c r="MKM26" s="1266"/>
      <c r="MKN26" s="1266"/>
      <c r="MKO26" s="1266"/>
      <c r="MKP26" s="1266"/>
      <c r="MKQ26" s="1266"/>
      <c r="MKR26" s="1266"/>
      <c r="MKS26" s="1266"/>
      <c r="MKT26" s="1266"/>
      <c r="MKU26" s="1266"/>
      <c r="MKV26" s="1266"/>
      <c r="MKW26" s="1266"/>
      <c r="MKX26" s="1266"/>
      <c r="MKY26" s="1266"/>
      <c r="MKZ26" s="1266"/>
      <c r="MLA26" s="1266"/>
      <c r="MLB26" s="1266"/>
      <c r="MLC26" s="1266"/>
      <c r="MLD26" s="1266"/>
      <c r="MLE26" s="1266"/>
      <c r="MLF26" s="1266"/>
      <c r="MLG26" s="1266"/>
      <c r="MLH26" s="1266"/>
      <c r="MLI26" s="1266"/>
      <c r="MLJ26" s="1266"/>
      <c r="MLK26" s="1266"/>
      <c r="MLL26" s="1266"/>
      <c r="MLM26" s="1266"/>
      <c r="MLN26" s="1266"/>
      <c r="MLO26" s="1266"/>
      <c r="MLP26" s="1266"/>
      <c r="MLQ26" s="1266"/>
      <c r="MLR26" s="1266"/>
      <c r="MLS26" s="1266"/>
      <c r="MLT26" s="1266"/>
      <c r="MLU26" s="1266"/>
      <c r="MLV26" s="1266"/>
      <c r="MLW26" s="1266"/>
      <c r="MLX26" s="1266"/>
      <c r="MLY26" s="1266"/>
      <c r="MLZ26" s="1266"/>
      <c r="MMA26" s="1266"/>
      <c r="MMB26" s="1266"/>
      <c r="MMC26" s="1266"/>
      <c r="MMD26" s="1266"/>
      <c r="MME26" s="1266"/>
      <c r="MMF26" s="1266"/>
      <c r="MMG26" s="1266"/>
      <c r="MMH26" s="1266"/>
      <c r="MMI26" s="1266"/>
      <c r="MMJ26" s="1266"/>
      <c r="MMK26" s="1266"/>
      <c r="MML26" s="1266"/>
      <c r="MMM26" s="1266"/>
      <c r="MMN26" s="1266"/>
      <c r="MMO26" s="1266"/>
      <c r="MMP26" s="1266"/>
      <c r="MMQ26" s="1266"/>
      <c r="MMR26" s="1266"/>
      <c r="MMS26" s="1266"/>
      <c r="MMT26" s="1266"/>
      <c r="MMU26" s="1266"/>
      <c r="MMV26" s="1266"/>
      <c r="MMW26" s="1266"/>
      <c r="MMX26" s="1266"/>
      <c r="MMY26" s="1266"/>
      <c r="MMZ26" s="1266"/>
      <c r="MNA26" s="1266"/>
      <c r="MNB26" s="1266"/>
      <c r="MNC26" s="1266"/>
      <c r="MND26" s="1266"/>
      <c r="MNE26" s="1266"/>
      <c r="MNF26" s="1266"/>
      <c r="MNG26" s="1266"/>
      <c r="MNH26" s="1266"/>
      <c r="MNI26" s="1266"/>
      <c r="MNJ26" s="1266"/>
      <c r="MNK26" s="1266"/>
      <c r="MNL26" s="1266"/>
      <c r="MNM26" s="1266"/>
      <c r="MNN26" s="1266"/>
      <c r="MNO26" s="1266"/>
      <c r="MNP26" s="1266"/>
      <c r="MNQ26" s="1266"/>
      <c r="MNR26" s="1266"/>
      <c r="MNS26" s="1266"/>
      <c r="MNT26" s="1266"/>
      <c r="MNU26" s="1266"/>
      <c r="MNV26" s="1266"/>
      <c r="MNW26" s="1266"/>
      <c r="MNX26" s="1266"/>
      <c r="MNY26" s="1266"/>
      <c r="MNZ26" s="1266"/>
      <c r="MOA26" s="1266"/>
      <c r="MOB26" s="1266"/>
      <c r="MOC26" s="1266"/>
      <c r="MOD26" s="1266"/>
      <c r="MOE26" s="1266"/>
      <c r="MOF26" s="1266"/>
      <c r="MOG26" s="1266"/>
      <c r="MOH26" s="1266"/>
      <c r="MOI26" s="1266"/>
      <c r="MOJ26" s="1266"/>
      <c r="MOK26" s="1266"/>
      <c r="MOL26" s="1266"/>
      <c r="MOM26" s="1266"/>
      <c r="MON26" s="1266"/>
      <c r="MOO26" s="1266"/>
      <c r="MOP26" s="1266"/>
      <c r="MOQ26" s="1266"/>
      <c r="MOR26" s="1266"/>
      <c r="MOS26" s="1266"/>
      <c r="MOT26" s="1266"/>
      <c r="MOU26" s="1266"/>
      <c r="MOV26" s="1266"/>
      <c r="MOW26" s="1266"/>
      <c r="MOX26" s="1266"/>
      <c r="MOY26" s="1266"/>
      <c r="MOZ26" s="1266"/>
      <c r="MPA26" s="1266"/>
      <c r="MPB26" s="1266"/>
      <c r="MPC26" s="1266"/>
      <c r="MPD26" s="1266"/>
      <c r="MPE26" s="1266"/>
      <c r="MPF26" s="1266"/>
      <c r="MPG26" s="1266"/>
      <c r="MPH26" s="1266"/>
      <c r="MPI26" s="1266"/>
      <c r="MPJ26" s="1266"/>
      <c r="MPK26" s="1266"/>
      <c r="MPL26" s="1266"/>
      <c r="MPM26" s="1266"/>
      <c r="MPN26" s="1266"/>
      <c r="MPO26" s="1266"/>
      <c r="MPP26" s="1266"/>
      <c r="MPQ26" s="1266"/>
      <c r="MPR26" s="1266"/>
      <c r="MPS26" s="1266"/>
      <c r="MPT26" s="1266"/>
      <c r="MPU26" s="1266"/>
      <c r="MPV26" s="1266"/>
      <c r="MPW26" s="1266"/>
      <c r="MPX26" s="1266"/>
      <c r="MPY26" s="1266"/>
      <c r="MPZ26" s="1266"/>
      <c r="MQA26" s="1266"/>
      <c r="MQB26" s="1266"/>
      <c r="MQC26" s="1266"/>
      <c r="MQD26" s="1266"/>
      <c r="MQE26" s="1266"/>
      <c r="MQF26" s="1266"/>
      <c r="MQG26" s="1266"/>
      <c r="MQH26" s="1266"/>
      <c r="MQI26" s="1266"/>
      <c r="MQJ26" s="1266"/>
      <c r="MQK26" s="1266"/>
      <c r="MQL26" s="1266"/>
      <c r="MQM26" s="1266"/>
      <c r="MQN26" s="1266"/>
      <c r="MQO26" s="1266"/>
      <c r="MQP26" s="1266"/>
      <c r="MQQ26" s="1266"/>
      <c r="MQR26" s="1266"/>
      <c r="MQS26" s="1266"/>
      <c r="MQT26" s="1266"/>
      <c r="MQU26" s="1266"/>
      <c r="MQV26" s="1266"/>
      <c r="MQW26" s="1266"/>
      <c r="MQX26" s="1266"/>
      <c r="MQY26" s="1266"/>
      <c r="MQZ26" s="1266"/>
      <c r="MRA26" s="1266"/>
      <c r="MRB26" s="1266"/>
      <c r="MRC26" s="1266"/>
      <c r="MRD26" s="1266"/>
      <c r="MRE26" s="1266"/>
      <c r="MRF26" s="1266"/>
      <c r="MRG26" s="1266"/>
      <c r="MRH26" s="1266"/>
      <c r="MRI26" s="1266"/>
      <c r="MRJ26" s="1266"/>
      <c r="MRK26" s="1266"/>
      <c r="MRL26" s="1266"/>
      <c r="MRM26" s="1266"/>
      <c r="MRN26" s="1266"/>
      <c r="MRO26" s="1266"/>
      <c r="MRP26" s="1266"/>
      <c r="MRQ26" s="1266"/>
      <c r="MRR26" s="1266"/>
      <c r="MRS26" s="1266"/>
      <c r="MRT26" s="1266"/>
      <c r="MRU26" s="1266"/>
      <c r="MRV26" s="1266"/>
      <c r="MRW26" s="1266"/>
      <c r="MRX26" s="1266"/>
      <c r="MRY26" s="1266"/>
      <c r="MRZ26" s="1266"/>
      <c r="MSA26" s="1266"/>
      <c r="MSB26" s="1266"/>
      <c r="MSC26" s="1266"/>
      <c r="MSD26" s="1266"/>
      <c r="MSE26" s="1266"/>
      <c r="MSF26" s="1266"/>
      <c r="MSG26" s="1266"/>
      <c r="MSH26" s="1266"/>
      <c r="MSI26" s="1266"/>
      <c r="MSJ26" s="1266"/>
      <c r="MSK26" s="1266"/>
      <c r="MSL26" s="1266"/>
      <c r="MSM26" s="1266"/>
      <c r="MSN26" s="1266"/>
      <c r="MSO26" s="1266"/>
      <c r="MSP26" s="1266"/>
      <c r="MSQ26" s="1266"/>
      <c r="MSR26" s="1266"/>
      <c r="MSS26" s="1266"/>
      <c r="MST26" s="1266"/>
      <c r="MSU26" s="1266"/>
      <c r="MSV26" s="1266"/>
      <c r="MSW26" s="1266"/>
      <c r="MSX26" s="1266"/>
      <c r="MSY26" s="1266"/>
      <c r="MSZ26" s="1266"/>
      <c r="MTA26" s="1266"/>
      <c r="MTB26" s="1266"/>
      <c r="MTC26" s="1266"/>
      <c r="MTD26" s="1266"/>
      <c r="MTE26" s="1266"/>
      <c r="MTF26" s="1266"/>
      <c r="MTG26" s="1266"/>
      <c r="MTH26" s="1266"/>
      <c r="MTI26" s="1266"/>
      <c r="MTJ26" s="1266"/>
      <c r="MTK26" s="1266"/>
      <c r="MTL26" s="1266"/>
      <c r="MTM26" s="1266"/>
      <c r="MTN26" s="1266"/>
      <c r="MTO26" s="1266"/>
      <c r="MTP26" s="1266"/>
      <c r="MTQ26" s="1266"/>
      <c r="MTR26" s="1266"/>
      <c r="MTS26" s="1266"/>
      <c r="MTT26" s="1266"/>
      <c r="MTU26" s="1266"/>
      <c r="MTV26" s="1266"/>
      <c r="MTW26" s="1266"/>
      <c r="MTX26" s="1266"/>
      <c r="MTY26" s="1266"/>
      <c r="MTZ26" s="1266"/>
      <c r="MUA26" s="1266"/>
      <c r="MUB26" s="1266"/>
      <c r="MUC26" s="1266"/>
      <c r="MUD26" s="1266"/>
      <c r="MUE26" s="1266"/>
      <c r="MUF26" s="1266"/>
      <c r="MUG26" s="1266"/>
      <c r="MUH26" s="1266"/>
      <c r="MUI26" s="1266"/>
      <c r="MUJ26" s="1266"/>
      <c r="MUK26" s="1266"/>
      <c r="MUL26" s="1266"/>
      <c r="MUM26" s="1266"/>
      <c r="MUN26" s="1266"/>
      <c r="MUO26" s="1266"/>
      <c r="MUP26" s="1266"/>
      <c r="MUQ26" s="1266"/>
      <c r="MUR26" s="1266"/>
      <c r="MUS26" s="1266"/>
      <c r="MUT26" s="1266"/>
      <c r="MUU26" s="1266"/>
      <c r="MUV26" s="1266"/>
      <c r="MUW26" s="1266"/>
      <c r="MUX26" s="1266"/>
      <c r="MUY26" s="1266"/>
      <c r="MUZ26" s="1266"/>
      <c r="MVA26" s="1266"/>
      <c r="MVB26" s="1266"/>
      <c r="MVC26" s="1266"/>
      <c r="MVD26" s="1266"/>
      <c r="MVE26" s="1266"/>
      <c r="MVF26" s="1266"/>
      <c r="MVG26" s="1266"/>
      <c r="MVH26" s="1266"/>
      <c r="MVI26" s="1266"/>
      <c r="MVJ26" s="1266"/>
      <c r="MVK26" s="1266"/>
      <c r="MVL26" s="1266"/>
      <c r="MVM26" s="1266"/>
      <c r="MVN26" s="1266"/>
      <c r="MVO26" s="1266"/>
      <c r="MVP26" s="1266"/>
      <c r="MVQ26" s="1266"/>
      <c r="MVR26" s="1266"/>
      <c r="MVS26" s="1266"/>
      <c r="MVT26" s="1266"/>
      <c r="MVU26" s="1266"/>
      <c r="MVV26" s="1266"/>
      <c r="MVW26" s="1266"/>
      <c r="MVX26" s="1266"/>
      <c r="MVY26" s="1266"/>
      <c r="MVZ26" s="1266"/>
      <c r="MWA26" s="1266"/>
      <c r="MWB26" s="1266"/>
      <c r="MWC26" s="1266"/>
      <c r="MWD26" s="1266"/>
      <c r="MWE26" s="1266"/>
      <c r="MWF26" s="1266"/>
      <c r="MWG26" s="1266"/>
      <c r="MWH26" s="1266"/>
      <c r="MWI26" s="1266"/>
      <c r="MWJ26" s="1266"/>
      <c r="MWK26" s="1266"/>
      <c r="MWL26" s="1266"/>
      <c r="MWM26" s="1266"/>
      <c r="MWN26" s="1266"/>
      <c r="MWO26" s="1266"/>
      <c r="MWP26" s="1266"/>
      <c r="MWQ26" s="1266"/>
      <c r="MWR26" s="1266"/>
      <c r="MWS26" s="1266"/>
      <c r="MWT26" s="1266"/>
      <c r="MWU26" s="1266"/>
      <c r="MWV26" s="1266"/>
      <c r="MWW26" s="1266"/>
      <c r="MWX26" s="1266"/>
      <c r="MWY26" s="1266"/>
      <c r="MWZ26" s="1266"/>
      <c r="MXA26" s="1266"/>
      <c r="MXB26" s="1266"/>
      <c r="MXC26" s="1266"/>
      <c r="MXD26" s="1266"/>
      <c r="MXE26" s="1266"/>
      <c r="MXF26" s="1266"/>
      <c r="MXG26" s="1266"/>
      <c r="MXH26" s="1266"/>
      <c r="MXI26" s="1266"/>
      <c r="MXJ26" s="1266"/>
      <c r="MXK26" s="1266"/>
      <c r="MXL26" s="1266"/>
      <c r="MXM26" s="1266"/>
      <c r="MXN26" s="1266"/>
      <c r="MXO26" s="1266"/>
      <c r="MXP26" s="1266"/>
      <c r="MXQ26" s="1266"/>
      <c r="MXR26" s="1266"/>
      <c r="MXS26" s="1266"/>
      <c r="MXT26" s="1266"/>
      <c r="MXU26" s="1266"/>
      <c r="MXV26" s="1266"/>
      <c r="MXW26" s="1266"/>
      <c r="MXX26" s="1266"/>
      <c r="MXY26" s="1266"/>
      <c r="MXZ26" s="1266"/>
      <c r="MYA26" s="1266"/>
      <c r="MYB26" s="1266"/>
      <c r="MYC26" s="1266"/>
      <c r="MYD26" s="1266"/>
      <c r="MYE26" s="1266"/>
      <c r="MYF26" s="1266"/>
      <c r="MYG26" s="1266"/>
      <c r="MYH26" s="1266"/>
      <c r="MYI26" s="1266"/>
      <c r="MYJ26" s="1266"/>
      <c r="MYK26" s="1266"/>
      <c r="MYL26" s="1266"/>
      <c r="MYM26" s="1266"/>
      <c r="MYN26" s="1266"/>
      <c r="MYO26" s="1266"/>
      <c r="MYP26" s="1266"/>
      <c r="MYQ26" s="1266"/>
      <c r="MYR26" s="1266"/>
      <c r="MYS26" s="1266"/>
      <c r="MYT26" s="1266"/>
      <c r="MYU26" s="1266"/>
      <c r="MYV26" s="1266"/>
      <c r="MYW26" s="1266"/>
      <c r="MYX26" s="1266"/>
      <c r="MYY26" s="1266"/>
      <c r="MYZ26" s="1266"/>
      <c r="MZA26" s="1266"/>
      <c r="MZB26" s="1266"/>
      <c r="MZC26" s="1266"/>
      <c r="MZD26" s="1266"/>
      <c r="MZE26" s="1266"/>
      <c r="MZF26" s="1266"/>
      <c r="MZG26" s="1266"/>
      <c r="MZH26" s="1266"/>
      <c r="MZI26" s="1266"/>
      <c r="MZJ26" s="1266"/>
      <c r="MZK26" s="1266"/>
      <c r="MZL26" s="1266"/>
      <c r="MZM26" s="1266"/>
      <c r="MZN26" s="1266"/>
      <c r="MZO26" s="1266"/>
      <c r="MZP26" s="1266"/>
      <c r="MZQ26" s="1266"/>
      <c r="MZR26" s="1266"/>
      <c r="MZS26" s="1266"/>
      <c r="MZT26" s="1266"/>
      <c r="MZU26" s="1266"/>
      <c r="MZV26" s="1266"/>
      <c r="MZW26" s="1266"/>
      <c r="MZX26" s="1266"/>
      <c r="MZY26" s="1266"/>
      <c r="MZZ26" s="1266"/>
      <c r="NAA26" s="1266"/>
      <c r="NAB26" s="1266"/>
      <c r="NAC26" s="1266"/>
      <c r="NAD26" s="1266"/>
      <c r="NAE26" s="1266"/>
      <c r="NAF26" s="1266"/>
      <c r="NAG26" s="1266"/>
      <c r="NAH26" s="1266"/>
      <c r="NAI26" s="1266"/>
      <c r="NAJ26" s="1266"/>
      <c r="NAK26" s="1266"/>
      <c r="NAL26" s="1266"/>
      <c r="NAM26" s="1266"/>
      <c r="NAN26" s="1266"/>
      <c r="NAO26" s="1266"/>
      <c r="NAP26" s="1266"/>
      <c r="NAQ26" s="1266"/>
      <c r="NAR26" s="1266"/>
      <c r="NAS26" s="1266"/>
      <c r="NAT26" s="1266"/>
      <c r="NAU26" s="1266"/>
      <c r="NAV26" s="1266"/>
      <c r="NAW26" s="1266"/>
      <c r="NAX26" s="1266"/>
      <c r="NAY26" s="1266"/>
      <c r="NAZ26" s="1266"/>
      <c r="NBA26" s="1266"/>
      <c r="NBB26" s="1266"/>
      <c r="NBC26" s="1266"/>
      <c r="NBD26" s="1266"/>
      <c r="NBE26" s="1266"/>
      <c r="NBF26" s="1266"/>
      <c r="NBG26" s="1266"/>
      <c r="NBH26" s="1266"/>
      <c r="NBI26" s="1266"/>
      <c r="NBJ26" s="1266"/>
      <c r="NBK26" s="1266"/>
      <c r="NBL26" s="1266"/>
      <c r="NBM26" s="1266"/>
      <c r="NBN26" s="1266"/>
      <c r="NBO26" s="1266"/>
      <c r="NBP26" s="1266"/>
      <c r="NBQ26" s="1266"/>
      <c r="NBR26" s="1266"/>
      <c r="NBS26" s="1266"/>
      <c r="NBT26" s="1266"/>
      <c r="NBU26" s="1266"/>
      <c r="NBV26" s="1266"/>
      <c r="NBW26" s="1266"/>
      <c r="NBX26" s="1266"/>
      <c r="NBY26" s="1266"/>
      <c r="NBZ26" s="1266"/>
      <c r="NCA26" s="1266"/>
      <c r="NCB26" s="1266"/>
      <c r="NCC26" s="1266"/>
      <c r="NCD26" s="1266"/>
      <c r="NCE26" s="1266"/>
      <c r="NCF26" s="1266"/>
      <c r="NCG26" s="1266"/>
      <c r="NCH26" s="1266"/>
      <c r="NCI26" s="1266"/>
      <c r="NCJ26" s="1266"/>
      <c r="NCK26" s="1266"/>
      <c r="NCL26" s="1266"/>
      <c r="NCM26" s="1266"/>
      <c r="NCN26" s="1266"/>
      <c r="NCO26" s="1266"/>
      <c r="NCP26" s="1266"/>
      <c r="NCQ26" s="1266"/>
      <c r="NCR26" s="1266"/>
      <c r="NCS26" s="1266"/>
      <c r="NCT26" s="1266"/>
      <c r="NCU26" s="1266"/>
      <c r="NCV26" s="1266"/>
      <c r="NCW26" s="1266"/>
      <c r="NCX26" s="1266"/>
      <c r="NCY26" s="1266"/>
      <c r="NCZ26" s="1266"/>
      <c r="NDA26" s="1266"/>
      <c r="NDB26" s="1266"/>
      <c r="NDC26" s="1266"/>
      <c r="NDD26" s="1266"/>
      <c r="NDE26" s="1266"/>
      <c r="NDF26" s="1266"/>
      <c r="NDG26" s="1266"/>
      <c r="NDH26" s="1266"/>
      <c r="NDI26" s="1266"/>
      <c r="NDJ26" s="1266"/>
      <c r="NDK26" s="1266"/>
      <c r="NDL26" s="1266"/>
      <c r="NDM26" s="1266"/>
      <c r="NDN26" s="1266"/>
      <c r="NDO26" s="1266"/>
      <c r="NDP26" s="1266"/>
      <c r="NDQ26" s="1266"/>
      <c r="NDR26" s="1266"/>
      <c r="NDS26" s="1266"/>
      <c r="NDT26" s="1266"/>
      <c r="NDU26" s="1266"/>
      <c r="NDV26" s="1266"/>
      <c r="NDW26" s="1266"/>
      <c r="NDX26" s="1266"/>
      <c r="NDY26" s="1266"/>
      <c r="NDZ26" s="1266"/>
      <c r="NEA26" s="1266"/>
      <c r="NEB26" s="1266"/>
      <c r="NEC26" s="1266"/>
      <c r="NED26" s="1266"/>
      <c r="NEE26" s="1266"/>
      <c r="NEF26" s="1266"/>
      <c r="NEG26" s="1266"/>
      <c r="NEH26" s="1266"/>
      <c r="NEI26" s="1266"/>
      <c r="NEJ26" s="1266"/>
      <c r="NEK26" s="1266"/>
      <c r="NEL26" s="1266"/>
      <c r="NEM26" s="1266"/>
      <c r="NEN26" s="1266"/>
      <c r="NEO26" s="1266"/>
      <c r="NEP26" s="1266"/>
      <c r="NEQ26" s="1266"/>
      <c r="NER26" s="1266"/>
      <c r="NES26" s="1266"/>
      <c r="NET26" s="1266"/>
      <c r="NEU26" s="1266"/>
      <c r="NEV26" s="1266"/>
      <c r="NEW26" s="1266"/>
      <c r="NEX26" s="1266"/>
      <c r="NEY26" s="1266"/>
      <c r="NEZ26" s="1266"/>
      <c r="NFA26" s="1266"/>
      <c r="NFB26" s="1266"/>
      <c r="NFC26" s="1266"/>
      <c r="NFD26" s="1266"/>
      <c r="NFE26" s="1266"/>
      <c r="NFF26" s="1266"/>
      <c r="NFG26" s="1266"/>
      <c r="NFH26" s="1266"/>
      <c r="NFI26" s="1266"/>
      <c r="NFJ26" s="1266"/>
      <c r="NFK26" s="1266"/>
      <c r="NFL26" s="1266"/>
      <c r="NFM26" s="1266"/>
      <c r="NFN26" s="1266"/>
      <c r="NFO26" s="1266"/>
      <c r="NFP26" s="1266"/>
      <c r="NFQ26" s="1266"/>
      <c r="NFR26" s="1266"/>
      <c r="NFS26" s="1266"/>
      <c r="NFT26" s="1266"/>
      <c r="NFU26" s="1266"/>
      <c r="NFV26" s="1266"/>
      <c r="NFW26" s="1266"/>
      <c r="NFX26" s="1266"/>
      <c r="NFY26" s="1266"/>
      <c r="NFZ26" s="1266"/>
      <c r="NGA26" s="1266"/>
      <c r="NGB26" s="1266"/>
      <c r="NGC26" s="1266"/>
      <c r="NGD26" s="1266"/>
      <c r="NGE26" s="1266"/>
      <c r="NGF26" s="1266"/>
      <c r="NGG26" s="1266"/>
      <c r="NGH26" s="1266"/>
      <c r="NGI26" s="1266"/>
      <c r="NGJ26" s="1266"/>
      <c r="NGK26" s="1266"/>
      <c r="NGL26" s="1266"/>
      <c r="NGM26" s="1266"/>
      <c r="NGN26" s="1266"/>
      <c r="NGO26" s="1266"/>
      <c r="NGP26" s="1266"/>
      <c r="NGQ26" s="1266"/>
      <c r="NGR26" s="1266"/>
      <c r="NGS26" s="1266"/>
      <c r="NGT26" s="1266"/>
      <c r="NGU26" s="1266"/>
      <c r="NGV26" s="1266"/>
      <c r="NGW26" s="1266"/>
      <c r="NGX26" s="1266"/>
      <c r="NGY26" s="1266"/>
      <c r="NGZ26" s="1266"/>
      <c r="NHA26" s="1266"/>
      <c r="NHB26" s="1266"/>
      <c r="NHC26" s="1266"/>
      <c r="NHD26" s="1266"/>
      <c r="NHE26" s="1266"/>
      <c r="NHF26" s="1266"/>
      <c r="NHG26" s="1266"/>
      <c r="NHH26" s="1266"/>
      <c r="NHI26" s="1266"/>
      <c r="NHJ26" s="1266"/>
      <c r="NHK26" s="1266"/>
      <c r="NHL26" s="1266"/>
      <c r="NHM26" s="1266"/>
      <c r="NHN26" s="1266"/>
      <c r="NHO26" s="1266"/>
      <c r="NHP26" s="1266"/>
      <c r="NHQ26" s="1266"/>
      <c r="NHR26" s="1266"/>
      <c r="NHS26" s="1266"/>
      <c r="NHT26" s="1266"/>
      <c r="NHU26" s="1266"/>
      <c r="NHV26" s="1266"/>
      <c r="NHW26" s="1266"/>
      <c r="NHX26" s="1266"/>
      <c r="NHY26" s="1266"/>
      <c r="NHZ26" s="1266"/>
      <c r="NIA26" s="1266"/>
      <c r="NIB26" s="1266"/>
      <c r="NIC26" s="1266"/>
      <c r="NID26" s="1266"/>
      <c r="NIE26" s="1266"/>
      <c r="NIF26" s="1266"/>
      <c r="NIG26" s="1266"/>
      <c r="NIH26" s="1266"/>
      <c r="NII26" s="1266"/>
      <c r="NIJ26" s="1266"/>
      <c r="NIK26" s="1266"/>
      <c r="NIL26" s="1266"/>
      <c r="NIM26" s="1266"/>
      <c r="NIN26" s="1266"/>
      <c r="NIO26" s="1266"/>
      <c r="NIP26" s="1266"/>
      <c r="NIQ26" s="1266"/>
      <c r="NIR26" s="1266"/>
      <c r="NIS26" s="1266"/>
      <c r="NIT26" s="1266"/>
      <c r="NIU26" s="1266"/>
      <c r="NIV26" s="1266"/>
      <c r="NIW26" s="1266"/>
      <c r="NIX26" s="1266"/>
      <c r="NIY26" s="1266"/>
      <c r="NIZ26" s="1266"/>
      <c r="NJA26" s="1266"/>
      <c r="NJB26" s="1266"/>
      <c r="NJC26" s="1266"/>
      <c r="NJD26" s="1266"/>
      <c r="NJE26" s="1266"/>
      <c r="NJF26" s="1266"/>
      <c r="NJG26" s="1266"/>
      <c r="NJH26" s="1266"/>
      <c r="NJI26" s="1266"/>
      <c r="NJJ26" s="1266"/>
      <c r="NJK26" s="1266"/>
      <c r="NJL26" s="1266"/>
      <c r="NJM26" s="1266"/>
      <c r="NJN26" s="1266"/>
      <c r="NJO26" s="1266"/>
      <c r="NJP26" s="1266"/>
      <c r="NJQ26" s="1266"/>
      <c r="NJR26" s="1266"/>
      <c r="NJS26" s="1266"/>
      <c r="NJT26" s="1266"/>
      <c r="NJU26" s="1266"/>
      <c r="NJV26" s="1266"/>
      <c r="NJW26" s="1266"/>
      <c r="NJX26" s="1266"/>
      <c r="NJY26" s="1266"/>
      <c r="NJZ26" s="1266"/>
      <c r="NKA26" s="1266"/>
      <c r="NKB26" s="1266"/>
      <c r="NKC26" s="1266"/>
      <c r="NKD26" s="1266"/>
      <c r="NKE26" s="1266"/>
      <c r="NKF26" s="1266"/>
      <c r="NKG26" s="1266"/>
      <c r="NKH26" s="1266"/>
      <c r="NKI26" s="1266"/>
      <c r="NKJ26" s="1266"/>
      <c r="NKK26" s="1266"/>
      <c r="NKL26" s="1266"/>
      <c r="NKM26" s="1266"/>
      <c r="NKN26" s="1266"/>
      <c r="NKO26" s="1266"/>
      <c r="NKP26" s="1266"/>
      <c r="NKQ26" s="1266"/>
      <c r="NKR26" s="1266"/>
      <c r="NKS26" s="1266"/>
      <c r="NKT26" s="1266"/>
      <c r="NKU26" s="1266"/>
      <c r="NKV26" s="1266"/>
      <c r="NKW26" s="1266"/>
      <c r="NKX26" s="1266"/>
      <c r="NKY26" s="1266"/>
      <c r="NKZ26" s="1266"/>
      <c r="NLA26" s="1266"/>
      <c r="NLB26" s="1266"/>
      <c r="NLC26" s="1266"/>
      <c r="NLD26" s="1266"/>
      <c r="NLE26" s="1266"/>
      <c r="NLF26" s="1266"/>
      <c r="NLG26" s="1266"/>
      <c r="NLH26" s="1266"/>
      <c r="NLI26" s="1266"/>
      <c r="NLJ26" s="1266"/>
      <c r="NLK26" s="1266"/>
      <c r="NLL26" s="1266"/>
      <c r="NLM26" s="1266"/>
      <c r="NLN26" s="1266"/>
      <c r="NLO26" s="1266"/>
      <c r="NLP26" s="1266"/>
      <c r="NLQ26" s="1266"/>
      <c r="NLR26" s="1266"/>
      <c r="NLS26" s="1266"/>
      <c r="NLT26" s="1266"/>
      <c r="NLU26" s="1266"/>
      <c r="NLV26" s="1266"/>
      <c r="NLW26" s="1266"/>
      <c r="NLX26" s="1266"/>
      <c r="NLY26" s="1266"/>
      <c r="NLZ26" s="1266"/>
      <c r="NMA26" s="1266"/>
      <c r="NMB26" s="1266"/>
      <c r="NMC26" s="1266"/>
      <c r="NMD26" s="1266"/>
      <c r="NME26" s="1266"/>
      <c r="NMF26" s="1266"/>
      <c r="NMG26" s="1266"/>
      <c r="NMH26" s="1266"/>
      <c r="NMI26" s="1266"/>
      <c r="NMJ26" s="1266"/>
      <c r="NMK26" s="1266"/>
      <c r="NML26" s="1266"/>
      <c r="NMM26" s="1266"/>
      <c r="NMN26" s="1266"/>
      <c r="NMO26" s="1266"/>
      <c r="NMP26" s="1266"/>
      <c r="NMQ26" s="1266"/>
      <c r="NMR26" s="1266"/>
      <c r="NMS26" s="1266"/>
      <c r="NMT26" s="1266"/>
      <c r="NMU26" s="1266"/>
      <c r="NMV26" s="1266"/>
      <c r="NMW26" s="1266"/>
      <c r="NMX26" s="1266"/>
      <c r="NMY26" s="1266"/>
      <c r="NMZ26" s="1266"/>
      <c r="NNA26" s="1266"/>
      <c r="NNB26" s="1266"/>
      <c r="NNC26" s="1266"/>
      <c r="NND26" s="1266"/>
      <c r="NNE26" s="1266"/>
      <c r="NNF26" s="1266"/>
      <c r="NNG26" s="1266"/>
      <c r="NNH26" s="1266"/>
      <c r="NNI26" s="1266"/>
      <c r="NNJ26" s="1266"/>
      <c r="NNK26" s="1266"/>
      <c r="NNL26" s="1266"/>
      <c r="NNM26" s="1266"/>
      <c r="NNN26" s="1266"/>
      <c r="NNO26" s="1266"/>
      <c r="NNP26" s="1266"/>
      <c r="NNQ26" s="1266"/>
      <c r="NNR26" s="1266"/>
      <c r="NNS26" s="1266"/>
      <c r="NNT26" s="1266"/>
      <c r="NNU26" s="1266"/>
      <c r="NNV26" s="1266"/>
      <c r="NNW26" s="1266"/>
      <c r="NNX26" s="1266"/>
      <c r="NNY26" s="1266"/>
      <c r="NNZ26" s="1266"/>
      <c r="NOA26" s="1266"/>
      <c r="NOB26" s="1266"/>
      <c r="NOC26" s="1266"/>
      <c r="NOD26" s="1266"/>
      <c r="NOE26" s="1266"/>
      <c r="NOF26" s="1266"/>
      <c r="NOG26" s="1266"/>
      <c r="NOH26" s="1266"/>
      <c r="NOI26" s="1266"/>
      <c r="NOJ26" s="1266"/>
      <c r="NOK26" s="1266"/>
      <c r="NOL26" s="1266"/>
      <c r="NOM26" s="1266"/>
      <c r="NON26" s="1266"/>
      <c r="NOO26" s="1266"/>
      <c r="NOP26" s="1266"/>
      <c r="NOQ26" s="1266"/>
      <c r="NOR26" s="1266"/>
      <c r="NOS26" s="1266"/>
      <c r="NOT26" s="1266"/>
      <c r="NOU26" s="1266"/>
      <c r="NOV26" s="1266"/>
      <c r="NOW26" s="1266"/>
      <c r="NOX26" s="1266"/>
      <c r="NOY26" s="1266"/>
      <c r="NOZ26" s="1266"/>
      <c r="NPA26" s="1266"/>
      <c r="NPB26" s="1266"/>
      <c r="NPC26" s="1266"/>
      <c r="NPD26" s="1266"/>
      <c r="NPE26" s="1266"/>
      <c r="NPF26" s="1266"/>
      <c r="NPG26" s="1266"/>
      <c r="NPH26" s="1266"/>
      <c r="NPI26" s="1266"/>
      <c r="NPJ26" s="1266"/>
      <c r="NPK26" s="1266"/>
      <c r="NPL26" s="1266"/>
      <c r="NPM26" s="1266"/>
      <c r="NPN26" s="1266"/>
      <c r="NPO26" s="1266"/>
      <c r="NPP26" s="1266"/>
      <c r="NPQ26" s="1266"/>
      <c r="NPR26" s="1266"/>
      <c r="NPS26" s="1266"/>
      <c r="NPT26" s="1266"/>
      <c r="NPU26" s="1266"/>
      <c r="NPV26" s="1266"/>
      <c r="NPW26" s="1266"/>
      <c r="NPX26" s="1266"/>
      <c r="NPY26" s="1266"/>
      <c r="NPZ26" s="1266"/>
      <c r="NQA26" s="1266"/>
      <c r="NQB26" s="1266"/>
      <c r="NQC26" s="1266"/>
      <c r="NQD26" s="1266"/>
      <c r="NQE26" s="1266"/>
      <c r="NQF26" s="1266"/>
      <c r="NQG26" s="1266"/>
      <c r="NQH26" s="1266"/>
      <c r="NQI26" s="1266"/>
      <c r="NQJ26" s="1266"/>
      <c r="NQK26" s="1266"/>
      <c r="NQL26" s="1266"/>
      <c r="NQM26" s="1266"/>
      <c r="NQN26" s="1266"/>
      <c r="NQO26" s="1266"/>
      <c r="NQP26" s="1266"/>
      <c r="NQQ26" s="1266"/>
      <c r="NQR26" s="1266"/>
      <c r="NQS26" s="1266"/>
      <c r="NQT26" s="1266"/>
      <c r="NQU26" s="1266"/>
      <c r="NQV26" s="1266"/>
      <c r="NQW26" s="1266"/>
      <c r="NQX26" s="1266"/>
      <c r="NQY26" s="1266"/>
      <c r="NQZ26" s="1266"/>
      <c r="NRA26" s="1266"/>
      <c r="NRB26" s="1266"/>
      <c r="NRC26" s="1266"/>
      <c r="NRD26" s="1266"/>
      <c r="NRE26" s="1266"/>
      <c r="NRF26" s="1266"/>
      <c r="NRG26" s="1266"/>
      <c r="NRH26" s="1266"/>
      <c r="NRI26" s="1266"/>
      <c r="NRJ26" s="1266"/>
      <c r="NRK26" s="1266"/>
      <c r="NRL26" s="1266"/>
      <c r="NRM26" s="1266"/>
      <c r="NRN26" s="1266"/>
      <c r="NRO26" s="1266"/>
      <c r="NRP26" s="1266"/>
      <c r="NRQ26" s="1266"/>
      <c r="NRR26" s="1266"/>
      <c r="NRS26" s="1266"/>
      <c r="NRT26" s="1266"/>
      <c r="NRU26" s="1266"/>
      <c r="NRV26" s="1266"/>
      <c r="NRW26" s="1266"/>
      <c r="NRX26" s="1266"/>
      <c r="NRY26" s="1266"/>
      <c r="NRZ26" s="1266"/>
      <c r="NSA26" s="1266"/>
      <c r="NSB26" s="1266"/>
      <c r="NSC26" s="1266"/>
      <c r="NSD26" s="1266"/>
      <c r="NSE26" s="1266"/>
      <c r="NSF26" s="1266"/>
      <c r="NSG26" s="1266"/>
      <c r="NSH26" s="1266"/>
      <c r="NSI26" s="1266"/>
      <c r="NSJ26" s="1266"/>
      <c r="NSK26" s="1266"/>
      <c r="NSL26" s="1266"/>
      <c r="NSM26" s="1266"/>
      <c r="NSN26" s="1266"/>
      <c r="NSO26" s="1266"/>
      <c r="NSP26" s="1266"/>
      <c r="NSQ26" s="1266"/>
      <c r="NSR26" s="1266"/>
      <c r="NSS26" s="1266"/>
      <c r="NST26" s="1266"/>
      <c r="NSU26" s="1266"/>
      <c r="NSV26" s="1266"/>
      <c r="NSW26" s="1266"/>
      <c r="NSX26" s="1266"/>
      <c r="NSY26" s="1266"/>
      <c r="NSZ26" s="1266"/>
      <c r="NTA26" s="1266"/>
      <c r="NTB26" s="1266"/>
      <c r="NTC26" s="1266"/>
      <c r="NTD26" s="1266"/>
      <c r="NTE26" s="1266"/>
      <c r="NTF26" s="1266"/>
      <c r="NTG26" s="1266"/>
      <c r="NTH26" s="1266"/>
      <c r="NTI26" s="1266"/>
      <c r="NTJ26" s="1266"/>
      <c r="NTK26" s="1266"/>
      <c r="NTL26" s="1266"/>
      <c r="NTM26" s="1266"/>
      <c r="NTN26" s="1266"/>
      <c r="NTO26" s="1266"/>
      <c r="NTP26" s="1266"/>
      <c r="NTQ26" s="1266"/>
      <c r="NTR26" s="1266"/>
      <c r="NTS26" s="1266"/>
      <c r="NTT26" s="1266"/>
      <c r="NTU26" s="1266"/>
      <c r="NTV26" s="1266"/>
      <c r="NTW26" s="1266"/>
      <c r="NTX26" s="1266"/>
      <c r="NTY26" s="1266"/>
      <c r="NTZ26" s="1266"/>
      <c r="NUA26" s="1266"/>
      <c r="NUB26" s="1266"/>
      <c r="NUC26" s="1266"/>
      <c r="NUD26" s="1266"/>
      <c r="NUE26" s="1266"/>
      <c r="NUF26" s="1266"/>
      <c r="NUG26" s="1266"/>
      <c r="NUH26" s="1266"/>
      <c r="NUI26" s="1266"/>
      <c r="NUJ26" s="1266"/>
      <c r="NUK26" s="1266"/>
      <c r="NUL26" s="1266"/>
      <c r="NUM26" s="1266"/>
      <c r="NUN26" s="1266"/>
      <c r="NUO26" s="1266"/>
      <c r="NUP26" s="1266"/>
      <c r="NUQ26" s="1266"/>
      <c r="NUR26" s="1266"/>
      <c r="NUS26" s="1266"/>
      <c r="NUT26" s="1266"/>
      <c r="NUU26" s="1266"/>
      <c r="NUV26" s="1266"/>
      <c r="NUW26" s="1266"/>
      <c r="NUX26" s="1266"/>
      <c r="NUY26" s="1266"/>
      <c r="NUZ26" s="1266"/>
      <c r="NVA26" s="1266"/>
      <c r="NVB26" s="1266"/>
      <c r="NVC26" s="1266"/>
      <c r="NVD26" s="1266"/>
      <c r="NVE26" s="1266"/>
      <c r="NVF26" s="1266"/>
      <c r="NVG26" s="1266"/>
      <c r="NVH26" s="1266"/>
      <c r="NVI26" s="1266"/>
      <c r="NVJ26" s="1266"/>
      <c r="NVK26" s="1266"/>
      <c r="NVL26" s="1266"/>
      <c r="NVM26" s="1266"/>
      <c r="NVN26" s="1266"/>
      <c r="NVO26" s="1266"/>
      <c r="NVP26" s="1266"/>
      <c r="NVQ26" s="1266"/>
      <c r="NVR26" s="1266"/>
      <c r="NVS26" s="1266"/>
      <c r="NVT26" s="1266"/>
      <c r="NVU26" s="1266"/>
      <c r="NVV26" s="1266"/>
      <c r="NVW26" s="1266"/>
      <c r="NVX26" s="1266"/>
      <c r="NVY26" s="1266"/>
      <c r="NVZ26" s="1266"/>
      <c r="NWA26" s="1266"/>
      <c r="NWB26" s="1266"/>
      <c r="NWC26" s="1266"/>
      <c r="NWD26" s="1266"/>
      <c r="NWE26" s="1266"/>
      <c r="NWF26" s="1266"/>
      <c r="NWG26" s="1266"/>
      <c r="NWH26" s="1266"/>
      <c r="NWI26" s="1266"/>
      <c r="NWJ26" s="1266"/>
      <c r="NWK26" s="1266"/>
      <c r="NWL26" s="1266"/>
      <c r="NWM26" s="1266"/>
      <c r="NWN26" s="1266"/>
      <c r="NWO26" s="1266"/>
      <c r="NWP26" s="1266"/>
      <c r="NWQ26" s="1266"/>
      <c r="NWR26" s="1266"/>
      <c r="NWS26" s="1266"/>
      <c r="NWT26" s="1266"/>
      <c r="NWU26" s="1266"/>
      <c r="NWV26" s="1266"/>
      <c r="NWW26" s="1266"/>
      <c r="NWX26" s="1266"/>
      <c r="NWY26" s="1266"/>
      <c r="NWZ26" s="1266"/>
      <c r="NXA26" s="1266"/>
      <c r="NXB26" s="1266"/>
      <c r="NXC26" s="1266"/>
      <c r="NXD26" s="1266"/>
      <c r="NXE26" s="1266"/>
      <c r="NXF26" s="1266"/>
      <c r="NXG26" s="1266"/>
      <c r="NXH26" s="1266"/>
      <c r="NXI26" s="1266"/>
      <c r="NXJ26" s="1266"/>
      <c r="NXK26" s="1266"/>
      <c r="NXL26" s="1266"/>
      <c r="NXM26" s="1266"/>
      <c r="NXN26" s="1266"/>
      <c r="NXO26" s="1266"/>
      <c r="NXP26" s="1266"/>
      <c r="NXQ26" s="1266"/>
      <c r="NXR26" s="1266"/>
      <c r="NXS26" s="1266"/>
      <c r="NXT26" s="1266"/>
      <c r="NXU26" s="1266"/>
      <c r="NXV26" s="1266"/>
      <c r="NXW26" s="1266"/>
      <c r="NXX26" s="1266"/>
      <c r="NXY26" s="1266"/>
      <c r="NXZ26" s="1266"/>
      <c r="NYA26" s="1266"/>
      <c r="NYB26" s="1266"/>
      <c r="NYC26" s="1266"/>
      <c r="NYD26" s="1266"/>
      <c r="NYE26" s="1266"/>
      <c r="NYF26" s="1266"/>
      <c r="NYG26" s="1266"/>
      <c r="NYH26" s="1266"/>
      <c r="NYI26" s="1266"/>
      <c r="NYJ26" s="1266"/>
      <c r="NYK26" s="1266"/>
      <c r="NYL26" s="1266"/>
      <c r="NYM26" s="1266"/>
      <c r="NYN26" s="1266"/>
      <c r="NYO26" s="1266"/>
      <c r="NYP26" s="1266"/>
      <c r="NYQ26" s="1266"/>
      <c r="NYR26" s="1266"/>
      <c r="NYS26" s="1266"/>
      <c r="NYT26" s="1266"/>
      <c r="NYU26" s="1266"/>
      <c r="NYV26" s="1266"/>
      <c r="NYW26" s="1266"/>
      <c r="NYX26" s="1266"/>
      <c r="NYY26" s="1266"/>
      <c r="NYZ26" s="1266"/>
      <c r="NZA26" s="1266"/>
      <c r="NZB26" s="1266"/>
      <c r="NZC26" s="1266"/>
      <c r="NZD26" s="1266"/>
      <c r="NZE26" s="1266"/>
      <c r="NZF26" s="1266"/>
      <c r="NZG26" s="1266"/>
      <c r="NZH26" s="1266"/>
      <c r="NZI26" s="1266"/>
      <c r="NZJ26" s="1266"/>
      <c r="NZK26" s="1266"/>
      <c r="NZL26" s="1266"/>
      <c r="NZM26" s="1266"/>
      <c r="NZN26" s="1266"/>
      <c r="NZO26" s="1266"/>
      <c r="NZP26" s="1266"/>
      <c r="NZQ26" s="1266"/>
      <c r="NZR26" s="1266"/>
      <c r="NZS26" s="1266"/>
      <c r="NZT26" s="1266"/>
      <c r="NZU26" s="1266"/>
      <c r="NZV26" s="1266"/>
      <c r="NZW26" s="1266"/>
      <c r="NZX26" s="1266"/>
      <c r="NZY26" s="1266"/>
      <c r="NZZ26" s="1266"/>
      <c r="OAA26" s="1266"/>
      <c r="OAB26" s="1266"/>
      <c r="OAC26" s="1266"/>
      <c r="OAD26" s="1266"/>
      <c r="OAE26" s="1266"/>
      <c r="OAF26" s="1266"/>
      <c r="OAG26" s="1266"/>
      <c r="OAH26" s="1266"/>
      <c r="OAI26" s="1266"/>
      <c r="OAJ26" s="1266"/>
      <c r="OAK26" s="1266"/>
      <c r="OAL26" s="1266"/>
      <c r="OAM26" s="1266"/>
      <c r="OAN26" s="1266"/>
      <c r="OAO26" s="1266"/>
      <c r="OAP26" s="1266"/>
      <c r="OAQ26" s="1266"/>
      <c r="OAR26" s="1266"/>
      <c r="OAS26" s="1266"/>
      <c r="OAT26" s="1266"/>
      <c r="OAU26" s="1266"/>
      <c r="OAV26" s="1266"/>
      <c r="OAW26" s="1266"/>
      <c r="OAX26" s="1266"/>
      <c r="OAY26" s="1266"/>
      <c r="OAZ26" s="1266"/>
      <c r="OBA26" s="1266"/>
      <c r="OBB26" s="1266"/>
      <c r="OBC26" s="1266"/>
      <c r="OBD26" s="1266"/>
      <c r="OBE26" s="1266"/>
      <c r="OBF26" s="1266"/>
      <c r="OBG26" s="1266"/>
      <c r="OBH26" s="1266"/>
      <c r="OBI26" s="1266"/>
      <c r="OBJ26" s="1266"/>
      <c r="OBK26" s="1266"/>
      <c r="OBL26" s="1266"/>
      <c r="OBM26" s="1266"/>
      <c r="OBN26" s="1266"/>
      <c r="OBO26" s="1266"/>
      <c r="OBP26" s="1266"/>
      <c r="OBQ26" s="1266"/>
      <c r="OBR26" s="1266"/>
      <c r="OBS26" s="1266"/>
      <c r="OBT26" s="1266"/>
      <c r="OBU26" s="1266"/>
      <c r="OBV26" s="1266"/>
      <c r="OBW26" s="1266"/>
      <c r="OBX26" s="1266"/>
      <c r="OBY26" s="1266"/>
      <c r="OBZ26" s="1266"/>
      <c r="OCA26" s="1266"/>
      <c r="OCB26" s="1266"/>
      <c r="OCC26" s="1266"/>
      <c r="OCD26" s="1266"/>
      <c r="OCE26" s="1266"/>
      <c r="OCF26" s="1266"/>
      <c r="OCG26" s="1266"/>
      <c r="OCH26" s="1266"/>
      <c r="OCI26" s="1266"/>
      <c r="OCJ26" s="1266"/>
      <c r="OCK26" s="1266"/>
      <c r="OCL26" s="1266"/>
      <c r="OCM26" s="1266"/>
      <c r="OCN26" s="1266"/>
      <c r="OCO26" s="1266"/>
      <c r="OCP26" s="1266"/>
      <c r="OCQ26" s="1266"/>
      <c r="OCR26" s="1266"/>
      <c r="OCS26" s="1266"/>
      <c r="OCT26" s="1266"/>
      <c r="OCU26" s="1266"/>
      <c r="OCV26" s="1266"/>
      <c r="OCW26" s="1266"/>
      <c r="OCX26" s="1266"/>
      <c r="OCY26" s="1266"/>
      <c r="OCZ26" s="1266"/>
      <c r="ODA26" s="1266"/>
      <c r="ODB26" s="1266"/>
      <c r="ODC26" s="1266"/>
      <c r="ODD26" s="1266"/>
      <c r="ODE26" s="1266"/>
      <c r="ODF26" s="1266"/>
      <c r="ODG26" s="1266"/>
      <c r="ODH26" s="1266"/>
      <c r="ODI26" s="1266"/>
      <c r="ODJ26" s="1266"/>
      <c r="ODK26" s="1266"/>
      <c r="ODL26" s="1266"/>
      <c r="ODM26" s="1266"/>
      <c r="ODN26" s="1266"/>
      <c r="ODO26" s="1266"/>
      <c r="ODP26" s="1266"/>
      <c r="ODQ26" s="1266"/>
      <c r="ODR26" s="1266"/>
      <c r="ODS26" s="1266"/>
      <c r="ODT26" s="1266"/>
      <c r="ODU26" s="1266"/>
      <c r="ODV26" s="1266"/>
      <c r="ODW26" s="1266"/>
      <c r="ODX26" s="1266"/>
      <c r="ODY26" s="1266"/>
      <c r="ODZ26" s="1266"/>
      <c r="OEA26" s="1266"/>
      <c r="OEB26" s="1266"/>
      <c r="OEC26" s="1266"/>
      <c r="OED26" s="1266"/>
      <c r="OEE26" s="1266"/>
      <c r="OEF26" s="1266"/>
      <c r="OEG26" s="1266"/>
      <c r="OEH26" s="1266"/>
      <c r="OEI26" s="1266"/>
      <c r="OEJ26" s="1266"/>
      <c r="OEK26" s="1266"/>
      <c r="OEL26" s="1266"/>
      <c r="OEM26" s="1266"/>
      <c r="OEN26" s="1266"/>
      <c r="OEO26" s="1266"/>
      <c r="OEP26" s="1266"/>
      <c r="OEQ26" s="1266"/>
      <c r="OER26" s="1266"/>
      <c r="OES26" s="1266"/>
      <c r="OET26" s="1266"/>
      <c r="OEU26" s="1266"/>
      <c r="OEV26" s="1266"/>
      <c r="OEW26" s="1266"/>
      <c r="OEX26" s="1266"/>
      <c r="OEY26" s="1266"/>
      <c r="OEZ26" s="1266"/>
      <c r="OFA26" s="1266"/>
      <c r="OFB26" s="1266"/>
      <c r="OFC26" s="1266"/>
      <c r="OFD26" s="1266"/>
      <c r="OFE26" s="1266"/>
      <c r="OFF26" s="1266"/>
      <c r="OFG26" s="1266"/>
      <c r="OFH26" s="1266"/>
      <c r="OFI26" s="1266"/>
      <c r="OFJ26" s="1266"/>
      <c r="OFK26" s="1266"/>
      <c r="OFL26" s="1266"/>
      <c r="OFM26" s="1266"/>
      <c r="OFN26" s="1266"/>
      <c r="OFO26" s="1266"/>
      <c r="OFP26" s="1266"/>
      <c r="OFQ26" s="1266"/>
      <c r="OFR26" s="1266"/>
      <c r="OFS26" s="1266"/>
      <c r="OFT26" s="1266"/>
      <c r="OFU26" s="1266"/>
      <c r="OFV26" s="1266"/>
      <c r="OFW26" s="1266"/>
      <c r="OFX26" s="1266"/>
      <c r="OFY26" s="1266"/>
      <c r="OFZ26" s="1266"/>
      <c r="OGA26" s="1266"/>
      <c r="OGB26" s="1266"/>
      <c r="OGC26" s="1266"/>
      <c r="OGD26" s="1266"/>
      <c r="OGE26" s="1266"/>
      <c r="OGF26" s="1266"/>
      <c r="OGG26" s="1266"/>
      <c r="OGH26" s="1266"/>
      <c r="OGI26" s="1266"/>
      <c r="OGJ26" s="1266"/>
      <c r="OGK26" s="1266"/>
      <c r="OGL26" s="1266"/>
      <c r="OGM26" s="1266"/>
      <c r="OGN26" s="1266"/>
      <c r="OGO26" s="1266"/>
      <c r="OGP26" s="1266"/>
      <c r="OGQ26" s="1266"/>
      <c r="OGR26" s="1266"/>
      <c r="OGS26" s="1266"/>
      <c r="OGT26" s="1266"/>
      <c r="OGU26" s="1266"/>
      <c r="OGV26" s="1266"/>
      <c r="OGW26" s="1266"/>
      <c r="OGX26" s="1266"/>
      <c r="OGY26" s="1266"/>
      <c r="OGZ26" s="1266"/>
      <c r="OHA26" s="1266"/>
      <c r="OHB26" s="1266"/>
      <c r="OHC26" s="1266"/>
      <c r="OHD26" s="1266"/>
      <c r="OHE26" s="1266"/>
      <c r="OHF26" s="1266"/>
      <c r="OHG26" s="1266"/>
      <c r="OHH26" s="1266"/>
      <c r="OHI26" s="1266"/>
      <c r="OHJ26" s="1266"/>
      <c r="OHK26" s="1266"/>
      <c r="OHL26" s="1266"/>
      <c r="OHM26" s="1266"/>
      <c r="OHN26" s="1266"/>
      <c r="OHO26" s="1266"/>
      <c r="OHP26" s="1266"/>
      <c r="OHQ26" s="1266"/>
      <c r="OHR26" s="1266"/>
      <c r="OHS26" s="1266"/>
      <c r="OHT26" s="1266"/>
      <c r="OHU26" s="1266"/>
      <c r="OHV26" s="1266"/>
      <c r="OHW26" s="1266"/>
      <c r="OHX26" s="1266"/>
      <c r="OHY26" s="1266"/>
      <c r="OHZ26" s="1266"/>
      <c r="OIA26" s="1266"/>
      <c r="OIB26" s="1266"/>
      <c r="OIC26" s="1266"/>
      <c r="OID26" s="1266"/>
      <c r="OIE26" s="1266"/>
      <c r="OIF26" s="1266"/>
      <c r="OIG26" s="1266"/>
      <c r="OIH26" s="1266"/>
      <c r="OII26" s="1266"/>
      <c r="OIJ26" s="1266"/>
      <c r="OIK26" s="1266"/>
      <c r="OIL26" s="1266"/>
      <c r="OIM26" s="1266"/>
      <c r="OIN26" s="1266"/>
      <c r="OIO26" s="1266"/>
      <c r="OIP26" s="1266"/>
      <c r="OIQ26" s="1266"/>
      <c r="OIR26" s="1266"/>
      <c r="OIS26" s="1266"/>
      <c r="OIT26" s="1266"/>
      <c r="OIU26" s="1266"/>
      <c r="OIV26" s="1266"/>
      <c r="OIW26" s="1266"/>
      <c r="OIX26" s="1266"/>
      <c r="OIY26" s="1266"/>
      <c r="OIZ26" s="1266"/>
      <c r="OJA26" s="1266"/>
      <c r="OJB26" s="1266"/>
      <c r="OJC26" s="1266"/>
      <c r="OJD26" s="1266"/>
      <c r="OJE26" s="1266"/>
      <c r="OJF26" s="1266"/>
      <c r="OJG26" s="1266"/>
      <c r="OJH26" s="1266"/>
      <c r="OJI26" s="1266"/>
      <c r="OJJ26" s="1266"/>
      <c r="OJK26" s="1266"/>
      <c r="OJL26" s="1266"/>
      <c r="OJM26" s="1266"/>
      <c r="OJN26" s="1266"/>
      <c r="OJO26" s="1266"/>
      <c r="OJP26" s="1266"/>
      <c r="OJQ26" s="1266"/>
      <c r="OJR26" s="1266"/>
      <c r="OJS26" s="1266"/>
      <c r="OJT26" s="1266"/>
      <c r="OJU26" s="1266"/>
      <c r="OJV26" s="1266"/>
      <c r="OJW26" s="1266"/>
      <c r="OJX26" s="1266"/>
      <c r="OJY26" s="1266"/>
      <c r="OJZ26" s="1266"/>
      <c r="OKA26" s="1266"/>
      <c r="OKB26" s="1266"/>
      <c r="OKC26" s="1266"/>
      <c r="OKD26" s="1266"/>
      <c r="OKE26" s="1266"/>
      <c r="OKF26" s="1266"/>
      <c r="OKG26" s="1266"/>
      <c r="OKH26" s="1266"/>
      <c r="OKI26" s="1266"/>
      <c r="OKJ26" s="1266"/>
      <c r="OKK26" s="1266"/>
      <c r="OKL26" s="1266"/>
      <c r="OKM26" s="1266"/>
      <c r="OKN26" s="1266"/>
      <c r="OKO26" s="1266"/>
      <c r="OKP26" s="1266"/>
      <c r="OKQ26" s="1266"/>
      <c r="OKR26" s="1266"/>
      <c r="OKS26" s="1266"/>
      <c r="OKT26" s="1266"/>
      <c r="OKU26" s="1266"/>
      <c r="OKV26" s="1266"/>
      <c r="OKW26" s="1266"/>
      <c r="OKX26" s="1266"/>
      <c r="OKY26" s="1266"/>
      <c r="OKZ26" s="1266"/>
      <c r="OLA26" s="1266"/>
      <c r="OLB26" s="1266"/>
      <c r="OLC26" s="1266"/>
      <c r="OLD26" s="1266"/>
      <c r="OLE26" s="1266"/>
      <c r="OLF26" s="1266"/>
      <c r="OLG26" s="1266"/>
      <c r="OLH26" s="1266"/>
      <c r="OLI26" s="1266"/>
      <c r="OLJ26" s="1266"/>
      <c r="OLK26" s="1266"/>
      <c r="OLL26" s="1266"/>
      <c r="OLM26" s="1266"/>
      <c r="OLN26" s="1266"/>
      <c r="OLO26" s="1266"/>
      <c r="OLP26" s="1266"/>
      <c r="OLQ26" s="1266"/>
      <c r="OLR26" s="1266"/>
      <c r="OLS26" s="1266"/>
      <c r="OLT26" s="1266"/>
      <c r="OLU26" s="1266"/>
      <c r="OLV26" s="1266"/>
      <c r="OLW26" s="1266"/>
      <c r="OLX26" s="1266"/>
      <c r="OLY26" s="1266"/>
      <c r="OLZ26" s="1266"/>
      <c r="OMA26" s="1266"/>
      <c r="OMB26" s="1266"/>
      <c r="OMC26" s="1266"/>
      <c r="OMD26" s="1266"/>
      <c r="OME26" s="1266"/>
      <c r="OMF26" s="1266"/>
      <c r="OMG26" s="1266"/>
      <c r="OMH26" s="1266"/>
      <c r="OMI26" s="1266"/>
      <c r="OMJ26" s="1266"/>
      <c r="OMK26" s="1266"/>
      <c r="OML26" s="1266"/>
      <c r="OMM26" s="1266"/>
      <c r="OMN26" s="1266"/>
      <c r="OMO26" s="1266"/>
      <c r="OMP26" s="1266"/>
      <c r="OMQ26" s="1266"/>
      <c r="OMR26" s="1266"/>
      <c r="OMS26" s="1266"/>
      <c r="OMT26" s="1266"/>
      <c r="OMU26" s="1266"/>
      <c r="OMV26" s="1266"/>
      <c r="OMW26" s="1266"/>
      <c r="OMX26" s="1266"/>
      <c r="OMY26" s="1266"/>
      <c r="OMZ26" s="1266"/>
      <c r="ONA26" s="1266"/>
      <c r="ONB26" s="1266"/>
      <c r="ONC26" s="1266"/>
      <c r="OND26" s="1266"/>
      <c r="ONE26" s="1266"/>
      <c r="ONF26" s="1266"/>
      <c r="ONG26" s="1266"/>
      <c r="ONH26" s="1266"/>
      <c r="ONI26" s="1266"/>
      <c r="ONJ26" s="1266"/>
      <c r="ONK26" s="1266"/>
      <c r="ONL26" s="1266"/>
      <c r="ONM26" s="1266"/>
      <c r="ONN26" s="1266"/>
      <c r="ONO26" s="1266"/>
      <c r="ONP26" s="1266"/>
      <c r="ONQ26" s="1266"/>
      <c r="ONR26" s="1266"/>
      <c r="ONS26" s="1266"/>
      <c r="ONT26" s="1266"/>
      <c r="ONU26" s="1266"/>
      <c r="ONV26" s="1266"/>
      <c r="ONW26" s="1266"/>
      <c r="ONX26" s="1266"/>
      <c r="ONY26" s="1266"/>
      <c r="ONZ26" s="1266"/>
      <c r="OOA26" s="1266"/>
      <c r="OOB26" s="1266"/>
      <c r="OOC26" s="1266"/>
      <c r="OOD26" s="1266"/>
      <c r="OOE26" s="1266"/>
      <c r="OOF26" s="1266"/>
      <c r="OOG26" s="1266"/>
      <c r="OOH26" s="1266"/>
      <c r="OOI26" s="1266"/>
      <c r="OOJ26" s="1266"/>
      <c r="OOK26" s="1266"/>
      <c r="OOL26" s="1266"/>
      <c r="OOM26" s="1266"/>
      <c r="OON26" s="1266"/>
      <c r="OOO26" s="1266"/>
      <c r="OOP26" s="1266"/>
      <c r="OOQ26" s="1266"/>
      <c r="OOR26" s="1266"/>
      <c r="OOS26" s="1266"/>
      <c r="OOT26" s="1266"/>
      <c r="OOU26" s="1266"/>
      <c r="OOV26" s="1266"/>
      <c r="OOW26" s="1266"/>
      <c r="OOX26" s="1266"/>
      <c r="OOY26" s="1266"/>
      <c r="OOZ26" s="1266"/>
      <c r="OPA26" s="1266"/>
      <c r="OPB26" s="1266"/>
      <c r="OPC26" s="1266"/>
      <c r="OPD26" s="1266"/>
      <c r="OPE26" s="1266"/>
      <c r="OPF26" s="1266"/>
      <c r="OPG26" s="1266"/>
      <c r="OPH26" s="1266"/>
      <c r="OPI26" s="1266"/>
      <c r="OPJ26" s="1266"/>
      <c r="OPK26" s="1266"/>
      <c r="OPL26" s="1266"/>
      <c r="OPM26" s="1266"/>
      <c r="OPN26" s="1266"/>
      <c r="OPO26" s="1266"/>
      <c r="OPP26" s="1266"/>
      <c r="OPQ26" s="1266"/>
      <c r="OPR26" s="1266"/>
      <c r="OPS26" s="1266"/>
      <c r="OPT26" s="1266"/>
      <c r="OPU26" s="1266"/>
      <c r="OPV26" s="1266"/>
      <c r="OPW26" s="1266"/>
      <c r="OPX26" s="1266"/>
      <c r="OPY26" s="1266"/>
      <c r="OPZ26" s="1266"/>
      <c r="OQA26" s="1266"/>
      <c r="OQB26" s="1266"/>
      <c r="OQC26" s="1266"/>
      <c r="OQD26" s="1266"/>
      <c r="OQE26" s="1266"/>
      <c r="OQF26" s="1266"/>
      <c r="OQG26" s="1266"/>
      <c r="OQH26" s="1266"/>
      <c r="OQI26" s="1266"/>
      <c r="OQJ26" s="1266"/>
      <c r="OQK26" s="1266"/>
      <c r="OQL26" s="1266"/>
      <c r="OQM26" s="1266"/>
      <c r="OQN26" s="1266"/>
      <c r="OQO26" s="1266"/>
      <c r="OQP26" s="1266"/>
      <c r="OQQ26" s="1266"/>
      <c r="OQR26" s="1266"/>
      <c r="OQS26" s="1266"/>
      <c r="OQT26" s="1266"/>
      <c r="OQU26" s="1266"/>
      <c r="OQV26" s="1266"/>
      <c r="OQW26" s="1266"/>
      <c r="OQX26" s="1266"/>
      <c r="OQY26" s="1266"/>
      <c r="OQZ26" s="1266"/>
      <c r="ORA26" s="1266"/>
      <c r="ORB26" s="1266"/>
      <c r="ORC26" s="1266"/>
      <c r="ORD26" s="1266"/>
      <c r="ORE26" s="1266"/>
      <c r="ORF26" s="1266"/>
      <c r="ORG26" s="1266"/>
      <c r="ORH26" s="1266"/>
      <c r="ORI26" s="1266"/>
      <c r="ORJ26" s="1266"/>
      <c r="ORK26" s="1266"/>
      <c r="ORL26" s="1266"/>
      <c r="ORM26" s="1266"/>
      <c r="ORN26" s="1266"/>
      <c r="ORO26" s="1266"/>
      <c r="ORP26" s="1266"/>
      <c r="ORQ26" s="1266"/>
      <c r="ORR26" s="1266"/>
      <c r="ORS26" s="1266"/>
      <c r="ORT26" s="1266"/>
      <c r="ORU26" s="1266"/>
      <c r="ORV26" s="1266"/>
      <c r="ORW26" s="1266"/>
      <c r="ORX26" s="1266"/>
      <c r="ORY26" s="1266"/>
      <c r="ORZ26" s="1266"/>
      <c r="OSA26" s="1266"/>
      <c r="OSB26" s="1266"/>
      <c r="OSC26" s="1266"/>
      <c r="OSD26" s="1266"/>
      <c r="OSE26" s="1266"/>
      <c r="OSF26" s="1266"/>
      <c r="OSG26" s="1266"/>
      <c r="OSH26" s="1266"/>
      <c r="OSI26" s="1266"/>
      <c r="OSJ26" s="1266"/>
      <c r="OSK26" s="1266"/>
      <c r="OSL26" s="1266"/>
      <c r="OSM26" s="1266"/>
      <c r="OSN26" s="1266"/>
      <c r="OSO26" s="1266"/>
      <c r="OSP26" s="1266"/>
      <c r="OSQ26" s="1266"/>
      <c r="OSR26" s="1266"/>
      <c r="OSS26" s="1266"/>
      <c r="OST26" s="1266"/>
      <c r="OSU26" s="1266"/>
      <c r="OSV26" s="1266"/>
      <c r="OSW26" s="1266"/>
      <c r="OSX26" s="1266"/>
      <c r="OSY26" s="1266"/>
      <c r="OSZ26" s="1266"/>
      <c r="OTA26" s="1266"/>
      <c r="OTB26" s="1266"/>
      <c r="OTC26" s="1266"/>
      <c r="OTD26" s="1266"/>
      <c r="OTE26" s="1266"/>
      <c r="OTF26" s="1266"/>
      <c r="OTG26" s="1266"/>
      <c r="OTH26" s="1266"/>
      <c r="OTI26" s="1266"/>
      <c r="OTJ26" s="1266"/>
      <c r="OTK26" s="1266"/>
      <c r="OTL26" s="1266"/>
      <c r="OTM26" s="1266"/>
      <c r="OTN26" s="1266"/>
      <c r="OTO26" s="1266"/>
      <c r="OTP26" s="1266"/>
      <c r="OTQ26" s="1266"/>
      <c r="OTR26" s="1266"/>
      <c r="OTS26" s="1266"/>
      <c r="OTT26" s="1266"/>
      <c r="OTU26" s="1266"/>
      <c r="OTV26" s="1266"/>
      <c r="OTW26" s="1266"/>
      <c r="OTX26" s="1266"/>
      <c r="OTY26" s="1266"/>
      <c r="OTZ26" s="1266"/>
      <c r="OUA26" s="1266"/>
      <c r="OUB26" s="1266"/>
      <c r="OUC26" s="1266"/>
      <c r="OUD26" s="1266"/>
      <c r="OUE26" s="1266"/>
      <c r="OUF26" s="1266"/>
      <c r="OUG26" s="1266"/>
      <c r="OUH26" s="1266"/>
      <c r="OUI26" s="1266"/>
      <c r="OUJ26" s="1266"/>
      <c r="OUK26" s="1266"/>
      <c r="OUL26" s="1266"/>
      <c r="OUM26" s="1266"/>
      <c r="OUN26" s="1266"/>
      <c r="OUO26" s="1266"/>
      <c r="OUP26" s="1266"/>
      <c r="OUQ26" s="1266"/>
      <c r="OUR26" s="1266"/>
      <c r="OUS26" s="1266"/>
      <c r="OUT26" s="1266"/>
      <c r="OUU26" s="1266"/>
      <c r="OUV26" s="1266"/>
      <c r="OUW26" s="1266"/>
      <c r="OUX26" s="1266"/>
      <c r="OUY26" s="1266"/>
      <c r="OUZ26" s="1266"/>
      <c r="OVA26" s="1266"/>
      <c r="OVB26" s="1266"/>
      <c r="OVC26" s="1266"/>
      <c r="OVD26" s="1266"/>
      <c r="OVE26" s="1266"/>
      <c r="OVF26" s="1266"/>
      <c r="OVG26" s="1266"/>
      <c r="OVH26" s="1266"/>
      <c r="OVI26" s="1266"/>
      <c r="OVJ26" s="1266"/>
      <c r="OVK26" s="1266"/>
      <c r="OVL26" s="1266"/>
      <c r="OVM26" s="1266"/>
      <c r="OVN26" s="1266"/>
      <c r="OVO26" s="1266"/>
      <c r="OVP26" s="1266"/>
      <c r="OVQ26" s="1266"/>
      <c r="OVR26" s="1266"/>
      <c r="OVS26" s="1266"/>
      <c r="OVT26" s="1266"/>
      <c r="OVU26" s="1266"/>
      <c r="OVV26" s="1266"/>
      <c r="OVW26" s="1266"/>
      <c r="OVX26" s="1266"/>
      <c r="OVY26" s="1266"/>
      <c r="OVZ26" s="1266"/>
      <c r="OWA26" s="1266"/>
      <c r="OWB26" s="1266"/>
      <c r="OWC26" s="1266"/>
      <c r="OWD26" s="1266"/>
      <c r="OWE26" s="1266"/>
      <c r="OWF26" s="1266"/>
      <c r="OWG26" s="1266"/>
      <c r="OWH26" s="1266"/>
      <c r="OWI26" s="1266"/>
      <c r="OWJ26" s="1266"/>
      <c r="OWK26" s="1266"/>
      <c r="OWL26" s="1266"/>
      <c r="OWM26" s="1266"/>
      <c r="OWN26" s="1266"/>
      <c r="OWO26" s="1266"/>
      <c r="OWP26" s="1266"/>
      <c r="OWQ26" s="1266"/>
      <c r="OWR26" s="1266"/>
      <c r="OWS26" s="1266"/>
      <c r="OWT26" s="1266"/>
      <c r="OWU26" s="1266"/>
      <c r="OWV26" s="1266"/>
      <c r="OWW26" s="1266"/>
      <c r="OWX26" s="1266"/>
      <c r="OWY26" s="1266"/>
      <c r="OWZ26" s="1266"/>
      <c r="OXA26" s="1266"/>
      <c r="OXB26" s="1266"/>
      <c r="OXC26" s="1266"/>
      <c r="OXD26" s="1266"/>
      <c r="OXE26" s="1266"/>
      <c r="OXF26" s="1266"/>
      <c r="OXG26" s="1266"/>
      <c r="OXH26" s="1266"/>
      <c r="OXI26" s="1266"/>
      <c r="OXJ26" s="1266"/>
      <c r="OXK26" s="1266"/>
      <c r="OXL26" s="1266"/>
      <c r="OXM26" s="1266"/>
      <c r="OXN26" s="1266"/>
      <c r="OXO26" s="1266"/>
      <c r="OXP26" s="1266"/>
      <c r="OXQ26" s="1266"/>
      <c r="OXR26" s="1266"/>
      <c r="OXS26" s="1266"/>
      <c r="OXT26" s="1266"/>
      <c r="OXU26" s="1266"/>
      <c r="OXV26" s="1266"/>
      <c r="OXW26" s="1266"/>
      <c r="OXX26" s="1266"/>
      <c r="OXY26" s="1266"/>
      <c r="OXZ26" s="1266"/>
      <c r="OYA26" s="1266"/>
      <c r="OYB26" s="1266"/>
      <c r="OYC26" s="1266"/>
      <c r="OYD26" s="1266"/>
      <c r="OYE26" s="1266"/>
      <c r="OYF26" s="1266"/>
      <c r="OYG26" s="1266"/>
      <c r="OYH26" s="1266"/>
      <c r="OYI26" s="1266"/>
      <c r="OYJ26" s="1266"/>
      <c r="OYK26" s="1266"/>
      <c r="OYL26" s="1266"/>
      <c r="OYM26" s="1266"/>
      <c r="OYN26" s="1266"/>
      <c r="OYO26" s="1266"/>
      <c r="OYP26" s="1266"/>
      <c r="OYQ26" s="1266"/>
      <c r="OYR26" s="1266"/>
      <c r="OYS26" s="1266"/>
      <c r="OYT26" s="1266"/>
      <c r="OYU26" s="1266"/>
      <c r="OYV26" s="1266"/>
      <c r="OYW26" s="1266"/>
      <c r="OYX26" s="1266"/>
      <c r="OYY26" s="1266"/>
      <c r="OYZ26" s="1266"/>
      <c r="OZA26" s="1266"/>
      <c r="OZB26" s="1266"/>
      <c r="OZC26" s="1266"/>
      <c r="OZD26" s="1266"/>
      <c r="OZE26" s="1266"/>
      <c r="OZF26" s="1266"/>
      <c r="OZG26" s="1266"/>
      <c r="OZH26" s="1266"/>
      <c r="OZI26" s="1266"/>
      <c r="OZJ26" s="1266"/>
      <c r="OZK26" s="1266"/>
      <c r="OZL26" s="1266"/>
      <c r="OZM26" s="1266"/>
      <c r="OZN26" s="1266"/>
      <c r="OZO26" s="1266"/>
      <c r="OZP26" s="1266"/>
      <c r="OZQ26" s="1266"/>
      <c r="OZR26" s="1266"/>
      <c r="OZS26" s="1266"/>
      <c r="OZT26" s="1266"/>
      <c r="OZU26" s="1266"/>
      <c r="OZV26" s="1266"/>
      <c r="OZW26" s="1266"/>
      <c r="OZX26" s="1266"/>
      <c r="OZY26" s="1266"/>
      <c r="OZZ26" s="1266"/>
      <c r="PAA26" s="1266"/>
      <c r="PAB26" s="1266"/>
      <c r="PAC26" s="1266"/>
      <c r="PAD26" s="1266"/>
      <c r="PAE26" s="1266"/>
      <c r="PAF26" s="1266"/>
      <c r="PAG26" s="1266"/>
      <c r="PAH26" s="1266"/>
      <c r="PAI26" s="1266"/>
      <c r="PAJ26" s="1266"/>
      <c r="PAK26" s="1266"/>
      <c r="PAL26" s="1266"/>
      <c r="PAM26" s="1266"/>
      <c r="PAN26" s="1266"/>
      <c r="PAO26" s="1266"/>
      <c r="PAP26" s="1266"/>
      <c r="PAQ26" s="1266"/>
      <c r="PAR26" s="1266"/>
      <c r="PAS26" s="1266"/>
      <c r="PAT26" s="1266"/>
      <c r="PAU26" s="1266"/>
      <c r="PAV26" s="1266"/>
      <c r="PAW26" s="1266"/>
      <c r="PAX26" s="1266"/>
      <c r="PAY26" s="1266"/>
      <c r="PAZ26" s="1266"/>
      <c r="PBA26" s="1266"/>
      <c r="PBB26" s="1266"/>
      <c r="PBC26" s="1266"/>
      <c r="PBD26" s="1266"/>
      <c r="PBE26" s="1266"/>
      <c r="PBF26" s="1266"/>
      <c r="PBG26" s="1266"/>
      <c r="PBH26" s="1266"/>
      <c r="PBI26" s="1266"/>
      <c r="PBJ26" s="1266"/>
      <c r="PBK26" s="1266"/>
      <c r="PBL26" s="1266"/>
      <c r="PBM26" s="1266"/>
      <c r="PBN26" s="1266"/>
      <c r="PBO26" s="1266"/>
      <c r="PBP26" s="1266"/>
      <c r="PBQ26" s="1266"/>
      <c r="PBR26" s="1266"/>
      <c r="PBS26" s="1266"/>
      <c r="PBT26" s="1266"/>
      <c r="PBU26" s="1266"/>
      <c r="PBV26" s="1266"/>
      <c r="PBW26" s="1266"/>
      <c r="PBX26" s="1266"/>
      <c r="PBY26" s="1266"/>
      <c r="PBZ26" s="1266"/>
      <c r="PCA26" s="1266"/>
      <c r="PCB26" s="1266"/>
      <c r="PCC26" s="1266"/>
      <c r="PCD26" s="1266"/>
      <c r="PCE26" s="1266"/>
      <c r="PCF26" s="1266"/>
      <c r="PCG26" s="1266"/>
      <c r="PCH26" s="1266"/>
      <c r="PCI26" s="1266"/>
      <c r="PCJ26" s="1266"/>
      <c r="PCK26" s="1266"/>
      <c r="PCL26" s="1266"/>
      <c r="PCM26" s="1266"/>
      <c r="PCN26" s="1266"/>
      <c r="PCO26" s="1266"/>
      <c r="PCP26" s="1266"/>
      <c r="PCQ26" s="1266"/>
      <c r="PCR26" s="1266"/>
      <c r="PCS26" s="1266"/>
      <c r="PCT26" s="1266"/>
      <c r="PCU26" s="1266"/>
      <c r="PCV26" s="1266"/>
      <c r="PCW26" s="1266"/>
      <c r="PCX26" s="1266"/>
      <c r="PCY26" s="1266"/>
      <c r="PCZ26" s="1266"/>
      <c r="PDA26" s="1266"/>
      <c r="PDB26" s="1266"/>
      <c r="PDC26" s="1266"/>
      <c r="PDD26" s="1266"/>
      <c r="PDE26" s="1266"/>
      <c r="PDF26" s="1266"/>
      <c r="PDG26" s="1266"/>
      <c r="PDH26" s="1266"/>
      <c r="PDI26" s="1266"/>
      <c r="PDJ26" s="1266"/>
      <c r="PDK26" s="1266"/>
      <c r="PDL26" s="1266"/>
      <c r="PDM26" s="1266"/>
      <c r="PDN26" s="1266"/>
      <c r="PDO26" s="1266"/>
      <c r="PDP26" s="1266"/>
      <c r="PDQ26" s="1266"/>
      <c r="PDR26" s="1266"/>
      <c r="PDS26" s="1266"/>
      <c r="PDT26" s="1266"/>
      <c r="PDU26" s="1266"/>
      <c r="PDV26" s="1266"/>
      <c r="PDW26" s="1266"/>
      <c r="PDX26" s="1266"/>
      <c r="PDY26" s="1266"/>
      <c r="PDZ26" s="1266"/>
      <c r="PEA26" s="1266"/>
      <c r="PEB26" s="1266"/>
      <c r="PEC26" s="1266"/>
      <c r="PED26" s="1266"/>
      <c r="PEE26" s="1266"/>
      <c r="PEF26" s="1266"/>
      <c r="PEG26" s="1266"/>
      <c r="PEH26" s="1266"/>
      <c r="PEI26" s="1266"/>
      <c r="PEJ26" s="1266"/>
      <c r="PEK26" s="1266"/>
      <c r="PEL26" s="1266"/>
      <c r="PEM26" s="1266"/>
      <c r="PEN26" s="1266"/>
      <c r="PEO26" s="1266"/>
      <c r="PEP26" s="1266"/>
      <c r="PEQ26" s="1266"/>
      <c r="PER26" s="1266"/>
      <c r="PES26" s="1266"/>
      <c r="PET26" s="1266"/>
      <c r="PEU26" s="1266"/>
      <c r="PEV26" s="1266"/>
      <c r="PEW26" s="1266"/>
      <c r="PEX26" s="1266"/>
      <c r="PEY26" s="1266"/>
      <c r="PEZ26" s="1266"/>
      <c r="PFA26" s="1266"/>
      <c r="PFB26" s="1266"/>
      <c r="PFC26" s="1266"/>
      <c r="PFD26" s="1266"/>
      <c r="PFE26" s="1266"/>
      <c r="PFF26" s="1266"/>
      <c r="PFG26" s="1266"/>
      <c r="PFH26" s="1266"/>
      <c r="PFI26" s="1266"/>
      <c r="PFJ26" s="1266"/>
      <c r="PFK26" s="1266"/>
      <c r="PFL26" s="1266"/>
      <c r="PFM26" s="1266"/>
      <c r="PFN26" s="1266"/>
      <c r="PFO26" s="1266"/>
      <c r="PFP26" s="1266"/>
      <c r="PFQ26" s="1266"/>
      <c r="PFR26" s="1266"/>
      <c r="PFS26" s="1266"/>
      <c r="PFT26" s="1266"/>
      <c r="PFU26" s="1266"/>
      <c r="PFV26" s="1266"/>
      <c r="PFW26" s="1266"/>
      <c r="PFX26" s="1266"/>
      <c r="PFY26" s="1266"/>
      <c r="PFZ26" s="1266"/>
      <c r="PGA26" s="1266"/>
      <c r="PGB26" s="1266"/>
      <c r="PGC26" s="1266"/>
      <c r="PGD26" s="1266"/>
      <c r="PGE26" s="1266"/>
      <c r="PGF26" s="1266"/>
      <c r="PGG26" s="1266"/>
      <c r="PGH26" s="1266"/>
      <c r="PGI26" s="1266"/>
      <c r="PGJ26" s="1266"/>
      <c r="PGK26" s="1266"/>
      <c r="PGL26" s="1266"/>
      <c r="PGM26" s="1266"/>
      <c r="PGN26" s="1266"/>
      <c r="PGO26" s="1266"/>
      <c r="PGP26" s="1266"/>
      <c r="PGQ26" s="1266"/>
      <c r="PGR26" s="1266"/>
      <c r="PGS26" s="1266"/>
      <c r="PGT26" s="1266"/>
      <c r="PGU26" s="1266"/>
      <c r="PGV26" s="1266"/>
      <c r="PGW26" s="1266"/>
      <c r="PGX26" s="1266"/>
      <c r="PGY26" s="1266"/>
      <c r="PGZ26" s="1266"/>
      <c r="PHA26" s="1266"/>
      <c r="PHB26" s="1266"/>
      <c r="PHC26" s="1266"/>
      <c r="PHD26" s="1266"/>
      <c r="PHE26" s="1266"/>
      <c r="PHF26" s="1266"/>
      <c r="PHG26" s="1266"/>
      <c r="PHH26" s="1266"/>
      <c r="PHI26" s="1266"/>
      <c r="PHJ26" s="1266"/>
      <c r="PHK26" s="1266"/>
      <c r="PHL26" s="1266"/>
      <c r="PHM26" s="1266"/>
      <c r="PHN26" s="1266"/>
      <c r="PHO26" s="1266"/>
      <c r="PHP26" s="1266"/>
      <c r="PHQ26" s="1266"/>
      <c r="PHR26" s="1266"/>
      <c r="PHS26" s="1266"/>
      <c r="PHT26" s="1266"/>
      <c r="PHU26" s="1266"/>
      <c r="PHV26" s="1266"/>
      <c r="PHW26" s="1266"/>
      <c r="PHX26" s="1266"/>
      <c r="PHY26" s="1266"/>
      <c r="PHZ26" s="1266"/>
      <c r="PIA26" s="1266"/>
      <c r="PIB26" s="1266"/>
      <c r="PIC26" s="1266"/>
      <c r="PID26" s="1266"/>
      <c r="PIE26" s="1266"/>
      <c r="PIF26" s="1266"/>
      <c r="PIG26" s="1266"/>
      <c r="PIH26" s="1266"/>
      <c r="PII26" s="1266"/>
      <c r="PIJ26" s="1266"/>
      <c r="PIK26" s="1266"/>
      <c r="PIL26" s="1266"/>
      <c r="PIM26" s="1266"/>
      <c r="PIN26" s="1266"/>
      <c r="PIO26" s="1266"/>
      <c r="PIP26" s="1266"/>
      <c r="PIQ26" s="1266"/>
      <c r="PIR26" s="1266"/>
      <c r="PIS26" s="1266"/>
      <c r="PIT26" s="1266"/>
      <c r="PIU26" s="1266"/>
      <c r="PIV26" s="1266"/>
      <c r="PIW26" s="1266"/>
      <c r="PIX26" s="1266"/>
      <c r="PIY26" s="1266"/>
      <c r="PIZ26" s="1266"/>
      <c r="PJA26" s="1266"/>
      <c r="PJB26" s="1266"/>
      <c r="PJC26" s="1266"/>
      <c r="PJD26" s="1266"/>
      <c r="PJE26" s="1266"/>
      <c r="PJF26" s="1266"/>
      <c r="PJG26" s="1266"/>
      <c r="PJH26" s="1266"/>
      <c r="PJI26" s="1266"/>
      <c r="PJJ26" s="1266"/>
      <c r="PJK26" s="1266"/>
      <c r="PJL26" s="1266"/>
      <c r="PJM26" s="1266"/>
      <c r="PJN26" s="1266"/>
      <c r="PJO26" s="1266"/>
      <c r="PJP26" s="1266"/>
      <c r="PJQ26" s="1266"/>
      <c r="PJR26" s="1266"/>
      <c r="PJS26" s="1266"/>
      <c r="PJT26" s="1266"/>
      <c r="PJU26" s="1266"/>
      <c r="PJV26" s="1266"/>
      <c r="PJW26" s="1266"/>
      <c r="PJX26" s="1266"/>
      <c r="PJY26" s="1266"/>
      <c r="PJZ26" s="1266"/>
      <c r="PKA26" s="1266"/>
      <c r="PKB26" s="1266"/>
      <c r="PKC26" s="1266"/>
      <c r="PKD26" s="1266"/>
      <c r="PKE26" s="1266"/>
      <c r="PKF26" s="1266"/>
      <c r="PKG26" s="1266"/>
      <c r="PKH26" s="1266"/>
      <c r="PKI26" s="1266"/>
      <c r="PKJ26" s="1266"/>
      <c r="PKK26" s="1266"/>
      <c r="PKL26" s="1266"/>
      <c r="PKM26" s="1266"/>
      <c r="PKN26" s="1266"/>
      <c r="PKO26" s="1266"/>
      <c r="PKP26" s="1266"/>
      <c r="PKQ26" s="1266"/>
      <c r="PKR26" s="1266"/>
      <c r="PKS26" s="1266"/>
      <c r="PKT26" s="1266"/>
      <c r="PKU26" s="1266"/>
      <c r="PKV26" s="1266"/>
      <c r="PKW26" s="1266"/>
      <c r="PKX26" s="1266"/>
      <c r="PKY26" s="1266"/>
      <c r="PKZ26" s="1266"/>
      <c r="PLA26" s="1266"/>
      <c r="PLB26" s="1266"/>
      <c r="PLC26" s="1266"/>
      <c r="PLD26" s="1266"/>
      <c r="PLE26" s="1266"/>
      <c r="PLF26" s="1266"/>
      <c r="PLG26" s="1266"/>
      <c r="PLH26" s="1266"/>
      <c r="PLI26" s="1266"/>
      <c r="PLJ26" s="1266"/>
      <c r="PLK26" s="1266"/>
      <c r="PLL26" s="1266"/>
      <c r="PLM26" s="1266"/>
      <c r="PLN26" s="1266"/>
      <c r="PLO26" s="1266"/>
      <c r="PLP26" s="1266"/>
      <c r="PLQ26" s="1266"/>
      <c r="PLR26" s="1266"/>
      <c r="PLS26" s="1266"/>
      <c r="PLT26" s="1266"/>
      <c r="PLU26" s="1266"/>
      <c r="PLV26" s="1266"/>
      <c r="PLW26" s="1266"/>
      <c r="PLX26" s="1266"/>
      <c r="PLY26" s="1266"/>
      <c r="PLZ26" s="1266"/>
      <c r="PMA26" s="1266"/>
      <c r="PMB26" s="1266"/>
      <c r="PMC26" s="1266"/>
      <c r="PMD26" s="1266"/>
      <c r="PME26" s="1266"/>
      <c r="PMF26" s="1266"/>
      <c r="PMG26" s="1266"/>
      <c r="PMH26" s="1266"/>
      <c r="PMI26" s="1266"/>
      <c r="PMJ26" s="1266"/>
      <c r="PMK26" s="1266"/>
      <c r="PML26" s="1266"/>
      <c r="PMM26" s="1266"/>
      <c r="PMN26" s="1266"/>
      <c r="PMO26" s="1266"/>
      <c r="PMP26" s="1266"/>
      <c r="PMQ26" s="1266"/>
      <c r="PMR26" s="1266"/>
      <c r="PMS26" s="1266"/>
      <c r="PMT26" s="1266"/>
      <c r="PMU26" s="1266"/>
      <c r="PMV26" s="1266"/>
      <c r="PMW26" s="1266"/>
      <c r="PMX26" s="1266"/>
      <c r="PMY26" s="1266"/>
      <c r="PMZ26" s="1266"/>
      <c r="PNA26" s="1266"/>
      <c r="PNB26" s="1266"/>
      <c r="PNC26" s="1266"/>
      <c r="PND26" s="1266"/>
      <c r="PNE26" s="1266"/>
      <c r="PNF26" s="1266"/>
      <c r="PNG26" s="1266"/>
      <c r="PNH26" s="1266"/>
      <c r="PNI26" s="1266"/>
      <c r="PNJ26" s="1266"/>
      <c r="PNK26" s="1266"/>
      <c r="PNL26" s="1266"/>
      <c r="PNM26" s="1266"/>
      <c r="PNN26" s="1266"/>
      <c r="PNO26" s="1266"/>
      <c r="PNP26" s="1266"/>
      <c r="PNQ26" s="1266"/>
      <c r="PNR26" s="1266"/>
      <c r="PNS26" s="1266"/>
      <c r="PNT26" s="1266"/>
      <c r="PNU26" s="1266"/>
      <c r="PNV26" s="1266"/>
      <c r="PNW26" s="1266"/>
      <c r="PNX26" s="1266"/>
      <c r="PNY26" s="1266"/>
      <c r="PNZ26" s="1266"/>
      <c r="POA26" s="1266"/>
      <c r="POB26" s="1266"/>
      <c r="POC26" s="1266"/>
      <c r="POD26" s="1266"/>
      <c r="POE26" s="1266"/>
      <c r="POF26" s="1266"/>
      <c r="POG26" s="1266"/>
      <c r="POH26" s="1266"/>
      <c r="POI26" s="1266"/>
      <c r="POJ26" s="1266"/>
      <c r="POK26" s="1266"/>
      <c r="POL26" s="1266"/>
      <c r="POM26" s="1266"/>
      <c r="PON26" s="1266"/>
      <c r="POO26" s="1266"/>
      <c r="POP26" s="1266"/>
      <c r="POQ26" s="1266"/>
      <c r="POR26" s="1266"/>
      <c r="POS26" s="1266"/>
      <c r="POT26" s="1266"/>
      <c r="POU26" s="1266"/>
      <c r="POV26" s="1266"/>
      <c r="POW26" s="1266"/>
      <c r="POX26" s="1266"/>
      <c r="POY26" s="1266"/>
      <c r="POZ26" s="1266"/>
      <c r="PPA26" s="1266"/>
      <c r="PPB26" s="1266"/>
      <c r="PPC26" s="1266"/>
      <c r="PPD26" s="1266"/>
      <c r="PPE26" s="1266"/>
      <c r="PPF26" s="1266"/>
      <c r="PPG26" s="1266"/>
      <c r="PPH26" s="1266"/>
      <c r="PPI26" s="1266"/>
      <c r="PPJ26" s="1266"/>
      <c r="PPK26" s="1266"/>
      <c r="PPL26" s="1266"/>
      <c r="PPM26" s="1266"/>
      <c r="PPN26" s="1266"/>
      <c r="PPO26" s="1266"/>
      <c r="PPP26" s="1266"/>
      <c r="PPQ26" s="1266"/>
      <c r="PPR26" s="1266"/>
      <c r="PPS26" s="1266"/>
      <c r="PPT26" s="1266"/>
      <c r="PPU26" s="1266"/>
      <c r="PPV26" s="1266"/>
      <c r="PPW26" s="1266"/>
      <c r="PPX26" s="1266"/>
      <c r="PPY26" s="1266"/>
      <c r="PPZ26" s="1266"/>
      <c r="PQA26" s="1266"/>
      <c r="PQB26" s="1266"/>
      <c r="PQC26" s="1266"/>
      <c r="PQD26" s="1266"/>
      <c r="PQE26" s="1266"/>
      <c r="PQF26" s="1266"/>
      <c r="PQG26" s="1266"/>
      <c r="PQH26" s="1266"/>
      <c r="PQI26" s="1266"/>
      <c r="PQJ26" s="1266"/>
      <c r="PQK26" s="1266"/>
      <c r="PQL26" s="1266"/>
      <c r="PQM26" s="1266"/>
      <c r="PQN26" s="1266"/>
      <c r="PQO26" s="1266"/>
      <c r="PQP26" s="1266"/>
      <c r="PQQ26" s="1266"/>
      <c r="PQR26" s="1266"/>
      <c r="PQS26" s="1266"/>
      <c r="PQT26" s="1266"/>
      <c r="PQU26" s="1266"/>
      <c r="PQV26" s="1266"/>
      <c r="PQW26" s="1266"/>
      <c r="PQX26" s="1266"/>
      <c r="PQY26" s="1266"/>
      <c r="PQZ26" s="1266"/>
      <c r="PRA26" s="1266"/>
      <c r="PRB26" s="1266"/>
      <c r="PRC26" s="1266"/>
      <c r="PRD26" s="1266"/>
      <c r="PRE26" s="1266"/>
      <c r="PRF26" s="1266"/>
      <c r="PRG26" s="1266"/>
      <c r="PRH26" s="1266"/>
      <c r="PRI26" s="1266"/>
      <c r="PRJ26" s="1266"/>
      <c r="PRK26" s="1266"/>
      <c r="PRL26" s="1266"/>
      <c r="PRM26" s="1266"/>
      <c r="PRN26" s="1266"/>
      <c r="PRO26" s="1266"/>
      <c r="PRP26" s="1266"/>
      <c r="PRQ26" s="1266"/>
      <c r="PRR26" s="1266"/>
      <c r="PRS26" s="1266"/>
      <c r="PRT26" s="1266"/>
      <c r="PRU26" s="1266"/>
      <c r="PRV26" s="1266"/>
      <c r="PRW26" s="1266"/>
      <c r="PRX26" s="1266"/>
      <c r="PRY26" s="1266"/>
      <c r="PRZ26" s="1266"/>
      <c r="PSA26" s="1266"/>
      <c r="PSB26" s="1266"/>
      <c r="PSC26" s="1266"/>
      <c r="PSD26" s="1266"/>
      <c r="PSE26" s="1266"/>
      <c r="PSF26" s="1266"/>
      <c r="PSG26" s="1266"/>
      <c r="PSH26" s="1266"/>
      <c r="PSI26" s="1266"/>
      <c r="PSJ26" s="1266"/>
      <c r="PSK26" s="1266"/>
      <c r="PSL26" s="1266"/>
      <c r="PSM26" s="1266"/>
      <c r="PSN26" s="1266"/>
      <c r="PSO26" s="1266"/>
      <c r="PSP26" s="1266"/>
      <c r="PSQ26" s="1266"/>
      <c r="PSR26" s="1266"/>
      <c r="PSS26" s="1266"/>
      <c r="PST26" s="1266"/>
      <c r="PSU26" s="1266"/>
      <c r="PSV26" s="1266"/>
      <c r="PSW26" s="1266"/>
      <c r="PSX26" s="1266"/>
      <c r="PSY26" s="1266"/>
      <c r="PSZ26" s="1266"/>
      <c r="PTA26" s="1266"/>
      <c r="PTB26" s="1266"/>
      <c r="PTC26" s="1266"/>
      <c r="PTD26" s="1266"/>
      <c r="PTE26" s="1266"/>
      <c r="PTF26" s="1266"/>
      <c r="PTG26" s="1266"/>
      <c r="PTH26" s="1266"/>
      <c r="PTI26" s="1266"/>
      <c r="PTJ26" s="1266"/>
      <c r="PTK26" s="1266"/>
      <c r="PTL26" s="1266"/>
      <c r="PTM26" s="1266"/>
      <c r="PTN26" s="1266"/>
      <c r="PTO26" s="1266"/>
      <c r="PTP26" s="1266"/>
      <c r="PTQ26" s="1266"/>
      <c r="PTR26" s="1266"/>
      <c r="PTS26" s="1266"/>
      <c r="PTT26" s="1266"/>
      <c r="PTU26" s="1266"/>
      <c r="PTV26" s="1266"/>
      <c r="PTW26" s="1266"/>
      <c r="PTX26" s="1266"/>
      <c r="PTY26" s="1266"/>
      <c r="PTZ26" s="1266"/>
      <c r="PUA26" s="1266"/>
      <c r="PUB26" s="1266"/>
      <c r="PUC26" s="1266"/>
      <c r="PUD26" s="1266"/>
      <c r="PUE26" s="1266"/>
      <c r="PUF26" s="1266"/>
      <c r="PUG26" s="1266"/>
      <c r="PUH26" s="1266"/>
      <c r="PUI26" s="1266"/>
      <c r="PUJ26" s="1266"/>
      <c r="PUK26" s="1266"/>
      <c r="PUL26" s="1266"/>
      <c r="PUM26" s="1266"/>
      <c r="PUN26" s="1266"/>
      <c r="PUO26" s="1266"/>
      <c r="PUP26" s="1266"/>
      <c r="PUQ26" s="1266"/>
      <c r="PUR26" s="1266"/>
      <c r="PUS26" s="1266"/>
      <c r="PUT26" s="1266"/>
      <c r="PUU26" s="1266"/>
      <c r="PUV26" s="1266"/>
      <c r="PUW26" s="1266"/>
      <c r="PUX26" s="1266"/>
      <c r="PUY26" s="1266"/>
      <c r="PUZ26" s="1266"/>
      <c r="PVA26" s="1266"/>
      <c r="PVB26" s="1266"/>
      <c r="PVC26" s="1266"/>
      <c r="PVD26" s="1266"/>
      <c r="PVE26" s="1266"/>
      <c r="PVF26" s="1266"/>
      <c r="PVG26" s="1266"/>
      <c r="PVH26" s="1266"/>
      <c r="PVI26" s="1266"/>
      <c r="PVJ26" s="1266"/>
      <c r="PVK26" s="1266"/>
      <c r="PVL26" s="1266"/>
      <c r="PVM26" s="1266"/>
      <c r="PVN26" s="1266"/>
      <c r="PVO26" s="1266"/>
      <c r="PVP26" s="1266"/>
      <c r="PVQ26" s="1266"/>
      <c r="PVR26" s="1266"/>
      <c r="PVS26" s="1266"/>
      <c r="PVT26" s="1266"/>
      <c r="PVU26" s="1266"/>
      <c r="PVV26" s="1266"/>
      <c r="PVW26" s="1266"/>
      <c r="PVX26" s="1266"/>
      <c r="PVY26" s="1266"/>
      <c r="PVZ26" s="1266"/>
      <c r="PWA26" s="1266"/>
      <c r="PWB26" s="1266"/>
      <c r="PWC26" s="1266"/>
      <c r="PWD26" s="1266"/>
      <c r="PWE26" s="1266"/>
      <c r="PWF26" s="1266"/>
      <c r="PWG26" s="1266"/>
      <c r="PWH26" s="1266"/>
      <c r="PWI26" s="1266"/>
      <c r="PWJ26" s="1266"/>
      <c r="PWK26" s="1266"/>
      <c r="PWL26" s="1266"/>
      <c r="PWM26" s="1266"/>
      <c r="PWN26" s="1266"/>
      <c r="PWO26" s="1266"/>
      <c r="PWP26" s="1266"/>
      <c r="PWQ26" s="1266"/>
      <c r="PWR26" s="1266"/>
      <c r="PWS26" s="1266"/>
      <c r="PWT26" s="1266"/>
      <c r="PWU26" s="1266"/>
      <c r="PWV26" s="1266"/>
      <c r="PWW26" s="1266"/>
      <c r="PWX26" s="1266"/>
      <c r="PWY26" s="1266"/>
      <c r="PWZ26" s="1266"/>
      <c r="PXA26" s="1266"/>
      <c r="PXB26" s="1266"/>
      <c r="PXC26" s="1266"/>
      <c r="PXD26" s="1266"/>
      <c r="PXE26" s="1266"/>
      <c r="PXF26" s="1266"/>
      <c r="PXG26" s="1266"/>
      <c r="PXH26" s="1266"/>
      <c r="PXI26" s="1266"/>
      <c r="PXJ26" s="1266"/>
      <c r="PXK26" s="1266"/>
      <c r="PXL26" s="1266"/>
      <c r="PXM26" s="1266"/>
      <c r="PXN26" s="1266"/>
      <c r="PXO26" s="1266"/>
      <c r="PXP26" s="1266"/>
      <c r="PXQ26" s="1266"/>
      <c r="PXR26" s="1266"/>
      <c r="PXS26" s="1266"/>
      <c r="PXT26" s="1266"/>
      <c r="PXU26" s="1266"/>
      <c r="PXV26" s="1266"/>
      <c r="PXW26" s="1266"/>
      <c r="PXX26" s="1266"/>
      <c r="PXY26" s="1266"/>
      <c r="PXZ26" s="1266"/>
      <c r="PYA26" s="1266"/>
      <c r="PYB26" s="1266"/>
      <c r="PYC26" s="1266"/>
      <c r="PYD26" s="1266"/>
      <c r="PYE26" s="1266"/>
      <c r="PYF26" s="1266"/>
      <c r="PYG26" s="1266"/>
      <c r="PYH26" s="1266"/>
      <c r="PYI26" s="1266"/>
      <c r="PYJ26" s="1266"/>
      <c r="PYK26" s="1266"/>
      <c r="PYL26" s="1266"/>
      <c r="PYM26" s="1266"/>
      <c r="PYN26" s="1266"/>
      <c r="PYO26" s="1266"/>
      <c r="PYP26" s="1266"/>
      <c r="PYQ26" s="1266"/>
      <c r="PYR26" s="1266"/>
      <c r="PYS26" s="1266"/>
      <c r="PYT26" s="1266"/>
      <c r="PYU26" s="1266"/>
      <c r="PYV26" s="1266"/>
      <c r="PYW26" s="1266"/>
      <c r="PYX26" s="1266"/>
      <c r="PYY26" s="1266"/>
      <c r="PYZ26" s="1266"/>
      <c r="PZA26" s="1266"/>
      <c r="PZB26" s="1266"/>
      <c r="PZC26" s="1266"/>
      <c r="PZD26" s="1266"/>
      <c r="PZE26" s="1266"/>
      <c r="PZF26" s="1266"/>
      <c r="PZG26" s="1266"/>
      <c r="PZH26" s="1266"/>
      <c r="PZI26" s="1266"/>
      <c r="PZJ26" s="1266"/>
      <c r="PZK26" s="1266"/>
      <c r="PZL26" s="1266"/>
      <c r="PZM26" s="1266"/>
      <c r="PZN26" s="1266"/>
      <c r="PZO26" s="1266"/>
      <c r="PZP26" s="1266"/>
      <c r="PZQ26" s="1266"/>
      <c r="PZR26" s="1266"/>
      <c r="PZS26" s="1266"/>
      <c r="PZT26" s="1266"/>
      <c r="PZU26" s="1266"/>
      <c r="PZV26" s="1266"/>
      <c r="PZW26" s="1266"/>
      <c r="PZX26" s="1266"/>
      <c r="PZY26" s="1266"/>
      <c r="PZZ26" s="1266"/>
      <c r="QAA26" s="1266"/>
      <c r="QAB26" s="1266"/>
      <c r="QAC26" s="1266"/>
      <c r="QAD26" s="1266"/>
      <c r="QAE26" s="1266"/>
      <c r="QAF26" s="1266"/>
      <c r="QAG26" s="1266"/>
      <c r="QAH26" s="1266"/>
      <c r="QAI26" s="1266"/>
      <c r="QAJ26" s="1266"/>
      <c r="QAK26" s="1266"/>
      <c r="QAL26" s="1266"/>
      <c r="QAM26" s="1266"/>
      <c r="QAN26" s="1266"/>
      <c r="QAO26" s="1266"/>
      <c r="QAP26" s="1266"/>
      <c r="QAQ26" s="1266"/>
      <c r="QAR26" s="1266"/>
      <c r="QAS26" s="1266"/>
      <c r="QAT26" s="1266"/>
      <c r="QAU26" s="1266"/>
      <c r="QAV26" s="1266"/>
      <c r="QAW26" s="1266"/>
      <c r="QAX26" s="1266"/>
      <c r="QAY26" s="1266"/>
      <c r="QAZ26" s="1266"/>
      <c r="QBA26" s="1266"/>
      <c r="QBB26" s="1266"/>
      <c r="QBC26" s="1266"/>
      <c r="QBD26" s="1266"/>
      <c r="QBE26" s="1266"/>
      <c r="QBF26" s="1266"/>
      <c r="QBG26" s="1266"/>
      <c r="QBH26" s="1266"/>
      <c r="QBI26" s="1266"/>
      <c r="QBJ26" s="1266"/>
      <c r="QBK26" s="1266"/>
      <c r="QBL26" s="1266"/>
      <c r="QBM26" s="1266"/>
      <c r="QBN26" s="1266"/>
      <c r="QBO26" s="1266"/>
      <c r="QBP26" s="1266"/>
      <c r="QBQ26" s="1266"/>
      <c r="QBR26" s="1266"/>
      <c r="QBS26" s="1266"/>
      <c r="QBT26" s="1266"/>
      <c r="QBU26" s="1266"/>
      <c r="QBV26" s="1266"/>
      <c r="QBW26" s="1266"/>
      <c r="QBX26" s="1266"/>
      <c r="QBY26" s="1266"/>
      <c r="QBZ26" s="1266"/>
      <c r="QCA26" s="1266"/>
      <c r="QCB26" s="1266"/>
      <c r="QCC26" s="1266"/>
      <c r="QCD26" s="1266"/>
      <c r="QCE26" s="1266"/>
      <c r="QCF26" s="1266"/>
      <c r="QCG26" s="1266"/>
      <c r="QCH26" s="1266"/>
      <c r="QCI26" s="1266"/>
      <c r="QCJ26" s="1266"/>
      <c r="QCK26" s="1266"/>
      <c r="QCL26" s="1266"/>
      <c r="QCM26" s="1266"/>
      <c r="QCN26" s="1266"/>
      <c r="QCO26" s="1266"/>
      <c r="QCP26" s="1266"/>
      <c r="QCQ26" s="1266"/>
      <c r="QCR26" s="1266"/>
      <c r="QCS26" s="1266"/>
      <c r="QCT26" s="1266"/>
      <c r="QCU26" s="1266"/>
      <c r="QCV26" s="1266"/>
      <c r="QCW26" s="1266"/>
      <c r="QCX26" s="1266"/>
      <c r="QCY26" s="1266"/>
      <c r="QCZ26" s="1266"/>
      <c r="QDA26" s="1266"/>
      <c r="QDB26" s="1266"/>
      <c r="QDC26" s="1266"/>
      <c r="QDD26" s="1266"/>
      <c r="QDE26" s="1266"/>
      <c r="QDF26" s="1266"/>
      <c r="QDG26" s="1266"/>
      <c r="QDH26" s="1266"/>
      <c r="QDI26" s="1266"/>
      <c r="QDJ26" s="1266"/>
      <c r="QDK26" s="1266"/>
      <c r="QDL26" s="1266"/>
      <c r="QDM26" s="1266"/>
      <c r="QDN26" s="1266"/>
      <c r="QDO26" s="1266"/>
      <c r="QDP26" s="1266"/>
      <c r="QDQ26" s="1266"/>
      <c r="QDR26" s="1266"/>
      <c r="QDS26" s="1266"/>
      <c r="QDT26" s="1266"/>
      <c r="QDU26" s="1266"/>
      <c r="QDV26" s="1266"/>
      <c r="QDW26" s="1266"/>
      <c r="QDX26" s="1266"/>
      <c r="QDY26" s="1266"/>
      <c r="QDZ26" s="1266"/>
      <c r="QEA26" s="1266"/>
      <c r="QEB26" s="1266"/>
      <c r="QEC26" s="1266"/>
      <c r="QED26" s="1266"/>
      <c r="QEE26" s="1266"/>
      <c r="QEF26" s="1266"/>
      <c r="QEG26" s="1266"/>
      <c r="QEH26" s="1266"/>
      <c r="QEI26" s="1266"/>
      <c r="QEJ26" s="1266"/>
      <c r="QEK26" s="1266"/>
      <c r="QEL26" s="1266"/>
      <c r="QEM26" s="1266"/>
      <c r="QEN26" s="1266"/>
      <c r="QEO26" s="1266"/>
      <c r="QEP26" s="1266"/>
      <c r="QEQ26" s="1266"/>
      <c r="QER26" s="1266"/>
      <c r="QES26" s="1266"/>
      <c r="QET26" s="1266"/>
      <c r="QEU26" s="1266"/>
      <c r="QEV26" s="1266"/>
      <c r="QEW26" s="1266"/>
      <c r="QEX26" s="1266"/>
      <c r="QEY26" s="1266"/>
      <c r="QEZ26" s="1266"/>
      <c r="QFA26" s="1266"/>
      <c r="QFB26" s="1266"/>
      <c r="QFC26" s="1266"/>
      <c r="QFD26" s="1266"/>
      <c r="QFE26" s="1266"/>
      <c r="QFF26" s="1266"/>
      <c r="QFG26" s="1266"/>
      <c r="QFH26" s="1266"/>
      <c r="QFI26" s="1266"/>
      <c r="QFJ26" s="1266"/>
      <c r="QFK26" s="1266"/>
      <c r="QFL26" s="1266"/>
      <c r="QFM26" s="1266"/>
      <c r="QFN26" s="1266"/>
      <c r="QFO26" s="1266"/>
      <c r="QFP26" s="1266"/>
      <c r="QFQ26" s="1266"/>
      <c r="QFR26" s="1266"/>
      <c r="QFS26" s="1266"/>
      <c r="QFT26" s="1266"/>
      <c r="QFU26" s="1266"/>
      <c r="QFV26" s="1266"/>
      <c r="QFW26" s="1266"/>
      <c r="QFX26" s="1266"/>
      <c r="QFY26" s="1266"/>
      <c r="QFZ26" s="1266"/>
      <c r="QGA26" s="1266"/>
      <c r="QGB26" s="1266"/>
      <c r="QGC26" s="1266"/>
      <c r="QGD26" s="1266"/>
      <c r="QGE26" s="1266"/>
      <c r="QGF26" s="1266"/>
      <c r="QGG26" s="1266"/>
      <c r="QGH26" s="1266"/>
      <c r="QGI26" s="1266"/>
      <c r="QGJ26" s="1266"/>
      <c r="QGK26" s="1266"/>
      <c r="QGL26" s="1266"/>
      <c r="QGM26" s="1266"/>
      <c r="QGN26" s="1266"/>
      <c r="QGO26" s="1266"/>
      <c r="QGP26" s="1266"/>
      <c r="QGQ26" s="1266"/>
      <c r="QGR26" s="1266"/>
      <c r="QGS26" s="1266"/>
      <c r="QGT26" s="1266"/>
      <c r="QGU26" s="1266"/>
      <c r="QGV26" s="1266"/>
      <c r="QGW26" s="1266"/>
      <c r="QGX26" s="1266"/>
      <c r="QGY26" s="1266"/>
      <c r="QGZ26" s="1266"/>
      <c r="QHA26" s="1266"/>
      <c r="QHB26" s="1266"/>
      <c r="QHC26" s="1266"/>
      <c r="QHD26" s="1266"/>
      <c r="QHE26" s="1266"/>
      <c r="QHF26" s="1266"/>
      <c r="QHG26" s="1266"/>
      <c r="QHH26" s="1266"/>
      <c r="QHI26" s="1266"/>
      <c r="QHJ26" s="1266"/>
      <c r="QHK26" s="1266"/>
      <c r="QHL26" s="1266"/>
      <c r="QHM26" s="1266"/>
      <c r="QHN26" s="1266"/>
      <c r="QHO26" s="1266"/>
      <c r="QHP26" s="1266"/>
      <c r="QHQ26" s="1266"/>
      <c r="QHR26" s="1266"/>
      <c r="QHS26" s="1266"/>
      <c r="QHT26" s="1266"/>
      <c r="QHU26" s="1266"/>
      <c r="QHV26" s="1266"/>
      <c r="QHW26" s="1266"/>
      <c r="QHX26" s="1266"/>
      <c r="QHY26" s="1266"/>
      <c r="QHZ26" s="1266"/>
      <c r="QIA26" s="1266"/>
      <c r="QIB26" s="1266"/>
      <c r="QIC26" s="1266"/>
      <c r="QID26" s="1266"/>
      <c r="QIE26" s="1266"/>
      <c r="QIF26" s="1266"/>
      <c r="QIG26" s="1266"/>
      <c r="QIH26" s="1266"/>
      <c r="QII26" s="1266"/>
      <c r="QIJ26" s="1266"/>
      <c r="QIK26" s="1266"/>
      <c r="QIL26" s="1266"/>
      <c r="QIM26" s="1266"/>
      <c r="QIN26" s="1266"/>
      <c r="QIO26" s="1266"/>
      <c r="QIP26" s="1266"/>
      <c r="QIQ26" s="1266"/>
      <c r="QIR26" s="1266"/>
      <c r="QIS26" s="1266"/>
      <c r="QIT26" s="1266"/>
      <c r="QIU26" s="1266"/>
      <c r="QIV26" s="1266"/>
      <c r="QIW26" s="1266"/>
      <c r="QIX26" s="1266"/>
      <c r="QIY26" s="1266"/>
      <c r="QIZ26" s="1266"/>
      <c r="QJA26" s="1266"/>
      <c r="QJB26" s="1266"/>
      <c r="QJC26" s="1266"/>
      <c r="QJD26" s="1266"/>
      <c r="QJE26" s="1266"/>
      <c r="QJF26" s="1266"/>
      <c r="QJG26" s="1266"/>
      <c r="QJH26" s="1266"/>
      <c r="QJI26" s="1266"/>
      <c r="QJJ26" s="1266"/>
      <c r="QJK26" s="1266"/>
      <c r="QJL26" s="1266"/>
      <c r="QJM26" s="1266"/>
      <c r="QJN26" s="1266"/>
      <c r="QJO26" s="1266"/>
      <c r="QJP26" s="1266"/>
      <c r="QJQ26" s="1266"/>
      <c r="QJR26" s="1266"/>
      <c r="QJS26" s="1266"/>
      <c r="QJT26" s="1266"/>
      <c r="QJU26" s="1266"/>
      <c r="QJV26" s="1266"/>
      <c r="QJW26" s="1266"/>
      <c r="QJX26" s="1266"/>
      <c r="QJY26" s="1266"/>
      <c r="QJZ26" s="1266"/>
      <c r="QKA26" s="1266"/>
      <c r="QKB26" s="1266"/>
      <c r="QKC26" s="1266"/>
      <c r="QKD26" s="1266"/>
      <c r="QKE26" s="1266"/>
      <c r="QKF26" s="1266"/>
      <c r="QKG26" s="1266"/>
      <c r="QKH26" s="1266"/>
      <c r="QKI26" s="1266"/>
      <c r="QKJ26" s="1266"/>
      <c r="QKK26" s="1266"/>
      <c r="QKL26" s="1266"/>
      <c r="QKM26" s="1266"/>
      <c r="QKN26" s="1266"/>
      <c r="QKO26" s="1266"/>
      <c r="QKP26" s="1266"/>
      <c r="QKQ26" s="1266"/>
      <c r="QKR26" s="1266"/>
      <c r="QKS26" s="1266"/>
      <c r="QKT26" s="1266"/>
      <c r="QKU26" s="1266"/>
      <c r="QKV26" s="1266"/>
      <c r="QKW26" s="1266"/>
      <c r="QKX26" s="1266"/>
      <c r="QKY26" s="1266"/>
      <c r="QKZ26" s="1266"/>
      <c r="QLA26" s="1266"/>
      <c r="QLB26" s="1266"/>
      <c r="QLC26" s="1266"/>
      <c r="QLD26" s="1266"/>
      <c r="QLE26" s="1266"/>
      <c r="QLF26" s="1266"/>
      <c r="QLG26" s="1266"/>
      <c r="QLH26" s="1266"/>
      <c r="QLI26" s="1266"/>
      <c r="QLJ26" s="1266"/>
      <c r="QLK26" s="1266"/>
      <c r="QLL26" s="1266"/>
      <c r="QLM26" s="1266"/>
      <c r="QLN26" s="1266"/>
      <c r="QLO26" s="1266"/>
      <c r="QLP26" s="1266"/>
      <c r="QLQ26" s="1266"/>
      <c r="QLR26" s="1266"/>
      <c r="QLS26" s="1266"/>
      <c r="QLT26" s="1266"/>
      <c r="QLU26" s="1266"/>
      <c r="QLV26" s="1266"/>
      <c r="QLW26" s="1266"/>
      <c r="QLX26" s="1266"/>
      <c r="QLY26" s="1266"/>
      <c r="QLZ26" s="1266"/>
      <c r="QMA26" s="1266"/>
      <c r="QMB26" s="1266"/>
      <c r="QMC26" s="1266"/>
      <c r="QMD26" s="1266"/>
      <c r="QME26" s="1266"/>
      <c r="QMF26" s="1266"/>
      <c r="QMG26" s="1266"/>
      <c r="QMH26" s="1266"/>
      <c r="QMI26" s="1266"/>
      <c r="QMJ26" s="1266"/>
      <c r="QMK26" s="1266"/>
      <c r="QML26" s="1266"/>
      <c r="QMM26" s="1266"/>
      <c r="QMN26" s="1266"/>
      <c r="QMO26" s="1266"/>
      <c r="QMP26" s="1266"/>
      <c r="QMQ26" s="1266"/>
      <c r="QMR26" s="1266"/>
      <c r="QMS26" s="1266"/>
      <c r="QMT26" s="1266"/>
      <c r="QMU26" s="1266"/>
      <c r="QMV26" s="1266"/>
      <c r="QMW26" s="1266"/>
      <c r="QMX26" s="1266"/>
      <c r="QMY26" s="1266"/>
      <c r="QMZ26" s="1266"/>
      <c r="QNA26" s="1266"/>
      <c r="QNB26" s="1266"/>
      <c r="QNC26" s="1266"/>
      <c r="QND26" s="1266"/>
      <c r="QNE26" s="1266"/>
      <c r="QNF26" s="1266"/>
      <c r="QNG26" s="1266"/>
      <c r="QNH26" s="1266"/>
      <c r="QNI26" s="1266"/>
      <c r="QNJ26" s="1266"/>
      <c r="QNK26" s="1266"/>
      <c r="QNL26" s="1266"/>
      <c r="QNM26" s="1266"/>
      <c r="QNN26" s="1266"/>
      <c r="QNO26" s="1266"/>
      <c r="QNP26" s="1266"/>
      <c r="QNQ26" s="1266"/>
      <c r="QNR26" s="1266"/>
      <c r="QNS26" s="1266"/>
      <c r="QNT26" s="1266"/>
      <c r="QNU26" s="1266"/>
      <c r="QNV26" s="1266"/>
      <c r="QNW26" s="1266"/>
      <c r="QNX26" s="1266"/>
      <c r="QNY26" s="1266"/>
      <c r="QNZ26" s="1266"/>
      <c r="QOA26" s="1266"/>
      <c r="QOB26" s="1266"/>
      <c r="QOC26" s="1266"/>
      <c r="QOD26" s="1266"/>
      <c r="QOE26" s="1266"/>
      <c r="QOF26" s="1266"/>
      <c r="QOG26" s="1266"/>
      <c r="QOH26" s="1266"/>
      <c r="QOI26" s="1266"/>
      <c r="QOJ26" s="1266"/>
      <c r="QOK26" s="1266"/>
      <c r="QOL26" s="1266"/>
      <c r="QOM26" s="1266"/>
      <c r="QON26" s="1266"/>
      <c r="QOO26" s="1266"/>
      <c r="QOP26" s="1266"/>
      <c r="QOQ26" s="1266"/>
      <c r="QOR26" s="1266"/>
      <c r="QOS26" s="1266"/>
      <c r="QOT26" s="1266"/>
      <c r="QOU26" s="1266"/>
      <c r="QOV26" s="1266"/>
      <c r="QOW26" s="1266"/>
      <c r="QOX26" s="1266"/>
      <c r="QOY26" s="1266"/>
      <c r="QOZ26" s="1266"/>
      <c r="QPA26" s="1266"/>
      <c r="QPB26" s="1266"/>
      <c r="QPC26" s="1266"/>
      <c r="QPD26" s="1266"/>
      <c r="QPE26" s="1266"/>
      <c r="QPF26" s="1266"/>
      <c r="QPG26" s="1266"/>
      <c r="QPH26" s="1266"/>
      <c r="QPI26" s="1266"/>
      <c r="QPJ26" s="1266"/>
      <c r="QPK26" s="1266"/>
      <c r="QPL26" s="1266"/>
      <c r="QPM26" s="1266"/>
      <c r="QPN26" s="1266"/>
      <c r="QPO26" s="1266"/>
      <c r="QPP26" s="1266"/>
      <c r="QPQ26" s="1266"/>
      <c r="QPR26" s="1266"/>
      <c r="QPS26" s="1266"/>
      <c r="QPT26" s="1266"/>
      <c r="QPU26" s="1266"/>
      <c r="QPV26" s="1266"/>
      <c r="QPW26" s="1266"/>
      <c r="QPX26" s="1266"/>
      <c r="QPY26" s="1266"/>
      <c r="QPZ26" s="1266"/>
      <c r="QQA26" s="1266"/>
      <c r="QQB26" s="1266"/>
      <c r="QQC26" s="1266"/>
      <c r="QQD26" s="1266"/>
      <c r="QQE26" s="1266"/>
      <c r="QQF26" s="1266"/>
      <c r="QQG26" s="1266"/>
      <c r="QQH26" s="1266"/>
      <c r="QQI26" s="1266"/>
      <c r="QQJ26" s="1266"/>
      <c r="QQK26" s="1266"/>
      <c r="QQL26" s="1266"/>
      <c r="QQM26" s="1266"/>
      <c r="QQN26" s="1266"/>
      <c r="QQO26" s="1266"/>
      <c r="QQP26" s="1266"/>
      <c r="QQQ26" s="1266"/>
      <c r="QQR26" s="1266"/>
      <c r="QQS26" s="1266"/>
      <c r="QQT26" s="1266"/>
      <c r="QQU26" s="1266"/>
      <c r="QQV26" s="1266"/>
      <c r="QQW26" s="1266"/>
      <c r="QQX26" s="1266"/>
      <c r="QQY26" s="1266"/>
      <c r="QQZ26" s="1266"/>
      <c r="QRA26" s="1266"/>
      <c r="QRB26" s="1266"/>
      <c r="QRC26" s="1266"/>
      <c r="QRD26" s="1266"/>
      <c r="QRE26" s="1266"/>
      <c r="QRF26" s="1266"/>
      <c r="QRG26" s="1266"/>
      <c r="QRH26" s="1266"/>
      <c r="QRI26" s="1266"/>
      <c r="QRJ26" s="1266"/>
      <c r="QRK26" s="1266"/>
      <c r="QRL26" s="1266"/>
      <c r="QRM26" s="1266"/>
      <c r="QRN26" s="1266"/>
      <c r="QRO26" s="1266"/>
      <c r="QRP26" s="1266"/>
      <c r="QRQ26" s="1266"/>
      <c r="QRR26" s="1266"/>
      <c r="QRS26" s="1266"/>
      <c r="QRT26" s="1266"/>
      <c r="QRU26" s="1266"/>
      <c r="QRV26" s="1266"/>
      <c r="QRW26" s="1266"/>
      <c r="QRX26" s="1266"/>
      <c r="QRY26" s="1266"/>
      <c r="QRZ26" s="1266"/>
      <c r="QSA26" s="1266"/>
      <c r="QSB26" s="1266"/>
      <c r="QSC26" s="1266"/>
      <c r="QSD26" s="1266"/>
      <c r="QSE26" s="1266"/>
      <c r="QSF26" s="1266"/>
      <c r="QSG26" s="1266"/>
      <c r="QSH26" s="1266"/>
      <c r="QSI26" s="1266"/>
      <c r="QSJ26" s="1266"/>
      <c r="QSK26" s="1266"/>
      <c r="QSL26" s="1266"/>
      <c r="QSM26" s="1266"/>
      <c r="QSN26" s="1266"/>
      <c r="QSO26" s="1266"/>
      <c r="QSP26" s="1266"/>
      <c r="QSQ26" s="1266"/>
      <c r="QSR26" s="1266"/>
      <c r="QSS26" s="1266"/>
      <c r="QST26" s="1266"/>
      <c r="QSU26" s="1266"/>
      <c r="QSV26" s="1266"/>
      <c r="QSW26" s="1266"/>
      <c r="QSX26" s="1266"/>
      <c r="QSY26" s="1266"/>
      <c r="QSZ26" s="1266"/>
      <c r="QTA26" s="1266"/>
      <c r="QTB26" s="1266"/>
      <c r="QTC26" s="1266"/>
      <c r="QTD26" s="1266"/>
      <c r="QTE26" s="1266"/>
      <c r="QTF26" s="1266"/>
      <c r="QTG26" s="1266"/>
      <c r="QTH26" s="1266"/>
      <c r="QTI26" s="1266"/>
      <c r="QTJ26" s="1266"/>
      <c r="QTK26" s="1266"/>
      <c r="QTL26" s="1266"/>
      <c r="QTM26" s="1266"/>
      <c r="QTN26" s="1266"/>
      <c r="QTO26" s="1266"/>
      <c r="QTP26" s="1266"/>
      <c r="QTQ26" s="1266"/>
      <c r="QTR26" s="1266"/>
      <c r="QTS26" s="1266"/>
      <c r="QTT26" s="1266"/>
      <c r="QTU26" s="1266"/>
      <c r="QTV26" s="1266"/>
      <c r="QTW26" s="1266"/>
      <c r="QTX26" s="1266"/>
      <c r="QTY26" s="1266"/>
      <c r="QTZ26" s="1266"/>
      <c r="QUA26" s="1266"/>
      <c r="QUB26" s="1266"/>
      <c r="QUC26" s="1266"/>
      <c r="QUD26" s="1266"/>
      <c r="QUE26" s="1266"/>
      <c r="QUF26" s="1266"/>
      <c r="QUG26" s="1266"/>
      <c r="QUH26" s="1266"/>
      <c r="QUI26" s="1266"/>
      <c r="QUJ26" s="1266"/>
      <c r="QUK26" s="1266"/>
      <c r="QUL26" s="1266"/>
      <c r="QUM26" s="1266"/>
      <c r="QUN26" s="1266"/>
      <c r="QUO26" s="1266"/>
      <c r="QUP26" s="1266"/>
      <c r="QUQ26" s="1266"/>
      <c r="QUR26" s="1266"/>
      <c r="QUS26" s="1266"/>
      <c r="QUT26" s="1266"/>
      <c r="QUU26" s="1266"/>
      <c r="QUV26" s="1266"/>
      <c r="QUW26" s="1266"/>
      <c r="QUX26" s="1266"/>
      <c r="QUY26" s="1266"/>
      <c r="QUZ26" s="1266"/>
      <c r="QVA26" s="1266"/>
      <c r="QVB26" s="1266"/>
      <c r="QVC26" s="1266"/>
      <c r="QVD26" s="1266"/>
      <c r="QVE26" s="1266"/>
      <c r="QVF26" s="1266"/>
      <c r="QVG26" s="1266"/>
      <c r="QVH26" s="1266"/>
      <c r="QVI26" s="1266"/>
      <c r="QVJ26" s="1266"/>
      <c r="QVK26" s="1266"/>
      <c r="QVL26" s="1266"/>
      <c r="QVM26" s="1266"/>
      <c r="QVN26" s="1266"/>
      <c r="QVO26" s="1266"/>
      <c r="QVP26" s="1266"/>
      <c r="QVQ26" s="1266"/>
      <c r="QVR26" s="1266"/>
      <c r="QVS26" s="1266"/>
      <c r="QVT26" s="1266"/>
      <c r="QVU26" s="1266"/>
      <c r="QVV26" s="1266"/>
      <c r="QVW26" s="1266"/>
      <c r="QVX26" s="1266"/>
      <c r="QVY26" s="1266"/>
      <c r="QVZ26" s="1266"/>
      <c r="QWA26" s="1266"/>
      <c r="QWB26" s="1266"/>
      <c r="QWC26" s="1266"/>
      <c r="QWD26" s="1266"/>
      <c r="QWE26" s="1266"/>
      <c r="QWF26" s="1266"/>
      <c r="QWG26" s="1266"/>
      <c r="QWH26" s="1266"/>
      <c r="QWI26" s="1266"/>
      <c r="QWJ26" s="1266"/>
      <c r="QWK26" s="1266"/>
      <c r="QWL26" s="1266"/>
      <c r="QWM26" s="1266"/>
      <c r="QWN26" s="1266"/>
      <c r="QWO26" s="1266"/>
      <c r="QWP26" s="1266"/>
      <c r="QWQ26" s="1266"/>
      <c r="QWR26" s="1266"/>
      <c r="QWS26" s="1266"/>
      <c r="QWT26" s="1266"/>
      <c r="QWU26" s="1266"/>
      <c r="QWV26" s="1266"/>
      <c r="QWW26" s="1266"/>
      <c r="QWX26" s="1266"/>
      <c r="QWY26" s="1266"/>
      <c r="QWZ26" s="1266"/>
      <c r="QXA26" s="1266"/>
      <c r="QXB26" s="1266"/>
      <c r="QXC26" s="1266"/>
      <c r="QXD26" s="1266"/>
      <c r="QXE26" s="1266"/>
      <c r="QXF26" s="1266"/>
      <c r="QXG26" s="1266"/>
      <c r="QXH26" s="1266"/>
      <c r="QXI26" s="1266"/>
      <c r="QXJ26" s="1266"/>
      <c r="QXK26" s="1266"/>
      <c r="QXL26" s="1266"/>
      <c r="QXM26" s="1266"/>
      <c r="QXN26" s="1266"/>
      <c r="QXO26" s="1266"/>
      <c r="QXP26" s="1266"/>
      <c r="QXQ26" s="1266"/>
      <c r="QXR26" s="1266"/>
      <c r="QXS26" s="1266"/>
      <c r="QXT26" s="1266"/>
      <c r="QXU26" s="1266"/>
      <c r="QXV26" s="1266"/>
      <c r="QXW26" s="1266"/>
      <c r="QXX26" s="1266"/>
      <c r="QXY26" s="1266"/>
      <c r="QXZ26" s="1266"/>
      <c r="QYA26" s="1266"/>
      <c r="QYB26" s="1266"/>
      <c r="QYC26" s="1266"/>
      <c r="QYD26" s="1266"/>
      <c r="QYE26" s="1266"/>
      <c r="QYF26" s="1266"/>
      <c r="QYG26" s="1266"/>
      <c r="QYH26" s="1266"/>
      <c r="QYI26" s="1266"/>
      <c r="QYJ26" s="1266"/>
      <c r="QYK26" s="1266"/>
      <c r="QYL26" s="1266"/>
      <c r="QYM26" s="1266"/>
      <c r="QYN26" s="1266"/>
      <c r="QYO26" s="1266"/>
      <c r="QYP26" s="1266"/>
      <c r="QYQ26" s="1266"/>
      <c r="QYR26" s="1266"/>
      <c r="QYS26" s="1266"/>
      <c r="QYT26" s="1266"/>
      <c r="QYU26" s="1266"/>
      <c r="QYV26" s="1266"/>
      <c r="QYW26" s="1266"/>
      <c r="QYX26" s="1266"/>
      <c r="QYY26" s="1266"/>
      <c r="QYZ26" s="1266"/>
      <c r="QZA26" s="1266"/>
      <c r="QZB26" s="1266"/>
      <c r="QZC26" s="1266"/>
      <c r="QZD26" s="1266"/>
      <c r="QZE26" s="1266"/>
      <c r="QZF26" s="1266"/>
      <c r="QZG26" s="1266"/>
      <c r="QZH26" s="1266"/>
      <c r="QZI26" s="1266"/>
      <c r="QZJ26" s="1266"/>
      <c r="QZK26" s="1266"/>
      <c r="QZL26" s="1266"/>
      <c r="QZM26" s="1266"/>
      <c r="QZN26" s="1266"/>
      <c r="QZO26" s="1266"/>
      <c r="QZP26" s="1266"/>
      <c r="QZQ26" s="1266"/>
      <c r="QZR26" s="1266"/>
      <c r="QZS26" s="1266"/>
      <c r="QZT26" s="1266"/>
      <c r="QZU26" s="1266"/>
      <c r="QZV26" s="1266"/>
      <c r="QZW26" s="1266"/>
      <c r="QZX26" s="1266"/>
      <c r="QZY26" s="1266"/>
      <c r="QZZ26" s="1266"/>
      <c r="RAA26" s="1266"/>
      <c r="RAB26" s="1266"/>
      <c r="RAC26" s="1266"/>
      <c r="RAD26" s="1266"/>
      <c r="RAE26" s="1266"/>
      <c r="RAF26" s="1266"/>
      <c r="RAG26" s="1266"/>
      <c r="RAH26" s="1266"/>
      <c r="RAI26" s="1266"/>
      <c r="RAJ26" s="1266"/>
      <c r="RAK26" s="1266"/>
      <c r="RAL26" s="1266"/>
      <c r="RAM26" s="1266"/>
      <c r="RAN26" s="1266"/>
      <c r="RAO26" s="1266"/>
      <c r="RAP26" s="1266"/>
      <c r="RAQ26" s="1266"/>
      <c r="RAR26" s="1266"/>
      <c r="RAS26" s="1266"/>
      <c r="RAT26" s="1266"/>
      <c r="RAU26" s="1266"/>
      <c r="RAV26" s="1266"/>
      <c r="RAW26" s="1266"/>
      <c r="RAX26" s="1266"/>
      <c r="RAY26" s="1266"/>
      <c r="RAZ26" s="1266"/>
      <c r="RBA26" s="1266"/>
      <c r="RBB26" s="1266"/>
      <c r="RBC26" s="1266"/>
      <c r="RBD26" s="1266"/>
      <c r="RBE26" s="1266"/>
      <c r="RBF26" s="1266"/>
      <c r="RBG26" s="1266"/>
      <c r="RBH26" s="1266"/>
      <c r="RBI26" s="1266"/>
      <c r="RBJ26" s="1266"/>
      <c r="RBK26" s="1266"/>
      <c r="RBL26" s="1266"/>
      <c r="RBM26" s="1266"/>
      <c r="RBN26" s="1266"/>
      <c r="RBO26" s="1266"/>
      <c r="RBP26" s="1266"/>
      <c r="RBQ26" s="1266"/>
      <c r="RBR26" s="1266"/>
      <c r="RBS26" s="1266"/>
      <c r="RBT26" s="1266"/>
      <c r="RBU26" s="1266"/>
      <c r="RBV26" s="1266"/>
      <c r="RBW26" s="1266"/>
      <c r="RBX26" s="1266"/>
      <c r="RBY26" s="1266"/>
      <c r="RBZ26" s="1266"/>
      <c r="RCA26" s="1266"/>
      <c r="RCB26" s="1266"/>
      <c r="RCC26" s="1266"/>
      <c r="RCD26" s="1266"/>
      <c r="RCE26" s="1266"/>
      <c r="RCF26" s="1266"/>
      <c r="RCG26" s="1266"/>
      <c r="RCH26" s="1266"/>
      <c r="RCI26" s="1266"/>
      <c r="RCJ26" s="1266"/>
      <c r="RCK26" s="1266"/>
      <c r="RCL26" s="1266"/>
      <c r="RCM26" s="1266"/>
      <c r="RCN26" s="1266"/>
      <c r="RCO26" s="1266"/>
      <c r="RCP26" s="1266"/>
      <c r="RCQ26" s="1266"/>
      <c r="RCR26" s="1266"/>
      <c r="RCS26" s="1266"/>
      <c r="RCT26" s="1266"/>
      <c r="RCU26" s="1266"/>
      <c r="RCV26" s="1266"/>
      <c r="RCW26" s="1266"/>
      <c r="RCX26" s="1266"/>
      <c r="RCY26" s="1266"/>
      <c r="RCZ26" s="1266"/>
      <c r="RDA26" s="1266"/>
      <c r="RDB26" s="1266"/>
      <c r="RDC26" s="1266"/>
      <c r="RDD26" s="1266"/>
      <c r="RDE26" s="1266"/>
      <c r="RDF26" s="1266"/>
      <c r="RDG26" s="1266"/>
      <c r="RDH26" s="1266"/>
      <c r="RDI26" s="1266"/>
      <c r="RDJ26" s="1266"/>
      <c r="RDK26" s="1266"/>
      <c r="RDL26" s="1266"/>
      <c r="RDM26" s="1266"/>
      <c r="RDN26" s="1266"/>
      <c r="RDO26" s="1266"/>
      <c r="RDP26" s="1266"/>
      <c r="RDQ26" s="1266"/>
      <c r="RDR26" s="1266"/>
      <c r="RDS26" s="1266"/>
      <c r="RDT26" s="1266"/>
      <c r="RDU26" s="1266"/>
      <c r="RDV26" s="1266"/>
      <c r="RDW26" s="1266"/>
      <c r="RDX26" s="1266"/>
      <c r="RDY26" s="1266"/>
      <c r="RDZ26" s="1266"/>
      <c r="REA26" s="1266"/>
      <c r="REB26" s="1266"/>
      <c r="REC26" s="1266"/>
      <c r="RED26" s="1266"/>
      <c r="REE26" s="1266"/>
      <c r="REF26" s="1266"/>
      <c r="REG26" s="1266"/>
      <c r="REH26" s="1266"/>
      <c r="REI26" s="1266"/>
      <c r="REJ26" s="1266"/>
      <c r="REK26" s="1266"/>
      <c r="REL26" s="1266"/>
      <c r="REM26" s="1266"/>
      <c r="REN26" s="1266"/>
      <c r="REO26" s="1266"/>
      <c r="REP26" s="1266"/>
      <c r="REQ26" s="1266"/>
      <c r="RER26" s="1266"/>
      <c r="RES26" s="1266"/>
      <c r="RET26" s="1266"/>
      <c r="REU26" s="1266"/>
      <c r="REV26" s="1266"/>
      <c r="REW26" s="1266"/>
      <c r="REX26" s="1266"/>
      <c r="REY26" s="1266"/>
      <c r="REZ26" s="1266"/>
      <c r="RFA26" s="1266"/>
      <c r="RFB26" s="1266"/>
      <c r="RFC26" s="1266"/>
      <c r="RFD26" s="1266"/>
      <c r="RFE26" s="1266"/>
      <c r="RFF26" s="1266"/>
      <c r="RFG26" s="1266"/>
      <c r="RFH26" s="1266"/>
      <c r="RFI26" s="1266"/>
      <c r="RFJ26" s="1266"/>
      <c r="RFK26" s="1266"/>
      <c r="RFL26" s="1266"/>
      <c r="RFM26" s="1266"/>
      <c r="RFN26" s="1266"/>
      <c r="RFO26" s="1266"/>
      <c r="RFP26" s="1266"/>
      <c r="RFQ26" s="1266"/>
      <c r="RFR26" s="1266"/>
      <c r="RFS26" s="1266"/>
      <c r="RFT26" s="1266"/>
      <c r="RFU26" s="1266"/>
      <c r="RFV26" s="1266"/>
      <c r="RFW26" s="1266"/>
      <c r="RFX26" s="1266"/>
      <c r="RFY26" s="1266"/>
      <c r="RFZ26" s="1266"/>
      <c r="RGA26" s="1266"/>
      <c r="RGB26" s="1266"/>
      <c r="RGC26" s="1266"/>
      <c r="RGD26" s="1266"/>
      <c r="RGE26" s="1266"/>
      <c r="RGF26" s="1266"/>
      <c r="RGG26" s="1266"/>
      <c r="RGH26" s="1266"/>
      <c r="RGI26" s="1266"/>
      <c r="RGJ26" s="1266"/>
      <c r="RGK26" s="1266"/>
      <c r="RGL26" s="1266"/>
      <c r="RGM26" s="1266"/>
      <c r="RGN26" s="1266"/>
      <c r="RGO26" s="1266"/>
      <c r="RGP26" s="1266"/>
      <c r="RGQ26" s="1266"/>
      <c r="RGR26" s="1266"/>
      <c r="RGS26" s="1266"/>
      <c r="RGT26" s="1266"/>
      <c r="RGU26" s="1266"/>
      <c r="RGV26" s="1266"/>
      <c r="RGW26" s="1266"/>
      <c r="RGX26" s="1266"/>
      <c r="RGY26" s="1266"/>
      <c r="RGZ26" s="1266"/>
      <c r="RHA26" s="1266"/>
      <c r="RHB26" s="1266"/>
      <c r="RHC26" s="1266"/>
      <c r="RHD26" s="1266"/>
      <c r="RHE26" s="1266"/>
      <c r="RHF26" s="1266"/>
      <c r="RHG26" s="1266"/>
      <c r="RHH26" s="1266"/>
      <c r="RHI26" s="1266"/>
      <c r="RHJ26" s="1266"/>
      <c r="RHK26" s="1266"/>
      <c r="RHL26" s="1266"/>
      <c r="RHM26" s="1266"/>
      <c r="RHN26" s="1266"/>
      <c r="RHO26" s="1266"/>
      <c r="RHP26" s="1266"/>
      <c r="RHQ26" s="1266"/>
      <c r="RHR26" s="1266"/>
      <c r="RHS26" s="1266"/>
      <c r="RHT26" s="1266"/>
      <c r="RHU26" s="1266"/>
      <c r="RHV26" s="1266"/>
      <c r="RHW26" s="1266"/>
      <c r="RHX26" s="1266"/>
      <c r="RHY26" s="1266"/>
      <c r="RHZ26" s="1266"/>
      <c r="RIA26" s="1266"/>
      <c r="RIB26" s="1266"/>
      <c r="RIC26" s="1266"/>
      <c r="RID26" s="1266"/>
      <c r="RIE26" s="1266"/>
      <c r="RIF26" s="1266"/>
      <c r="RIG26" s="1266"/>
      <c r="RIH26" s="1266"/>
      <c r="RII26" s="1266"/>
      <c r="RIJ26" s="1266"/>
      <c r="RIK26" s="1266"/>
      <c r="RIL26" s="1266"/>
      <c r="RIM26" s="1266"/>
      <c r="RIN26" s="1266"/>
      <c r="RIO26" s="1266"/>
      <c r="RIP26" s="1266"/>
      <c r="RIQ26" s="1266"/>
      <c r="RIR26" s="1266"/>
      <c r="RIS26" s="1266"/>
      <c r="RIT26" s="1266"/>
      <c r="RIU26" s="1266"/>
      <c r="RIV26" s="1266"/>
      <c r="RIW26" s="1266"/>
      <c r="RIX26" s="1266"/>
      <c r="RIY26" s="1266"/>
      <c r="RIZ26" s="1266"/>
      <c r="RJA26" s="1266"/>
      <c r="RJB26" s="1266"/>
      <c r="RJC26" s="1266"/>
      <c r="RJD26" s="1266"/>
      <c r="RJE26" s="1266"/>
      <c r="RJF26" s="1266"/>
      <c r="RJG26" s="1266"/>
      <c r="RJH26" s="1266"/>
      <c r="RJI26" s="1266"/>
      <c r="RJJ26" s="1266"/>
      <c r="RJK26" s="1266"/>
      <c r="RJL26" s="1266"/>
      <c r="RJM26" s="1266"/>
      <c r="RJN26" s="1266"/>
      <c r="RJO26" s="1266"/>
      <c r="RJP26" s="1266"/>
      <c r="RJQ26" s="1266"/>
      <c r="RJR26" s="1266"/>
      <c r="RJS26" s="1266"/>
      <c r="RJT26" s="1266"/>
      <c r="RJU26" s="1266"/>
      <c r="RJV26" s="1266"/>
      <c r="RJW26" s="1266"/>
      <c r="RJX26" s="1266"/>
      <c r="RJY26" s="1266"/>
      <c r="RJZ26" s="1266"/>
      <c r="RKA26" s="1266"/>
      <c r="RKB26" s="1266"/>
      <c r="RKC26" s="1266"/>
      <c r="RKD26" s="1266"/>
      <c r="RKE26" s="1266"/>
      <c r="RKF26" s="1266"/>
      <c r="RKG26" s="1266"/>
      <c r="RKH26" s="1266"/>
      <c r="RKI26" s="1266"/>
      <c r="RKJ26" s="1266"/>
      <c r="RKK26" s="1266"/>
      <c r="RKL26" s="1266"/>
      <c r="RKM26" s="1266"/>
      <c r="RKN26" s="1266"/>
      <c r="RKO26" s="1266"/>
      <c r="RKP26" s="1266"/>
      <c r="RKQ26" s="1266"/>
      <c r="RKR26" s="1266"/>
      <c r="RKS26" s="1266"/>
      <c r="RKT26" s="1266"/>
      <c r="RKU26" s="1266"/>
      <c r="RKV26" s="1266"/>
      <c r="RKW26" s="1266"/>
      <c r="RKX26" s="1266"/>
      <c r="RKY26" s="1266"/>
      <c r="RKZ26" s="1266"/>
      <c r="RLA26" s="1266"/>
      <c r="RLB26" s="1266"/>
      <c r="RLC26" s="1266"/>
      <c r="RLD26" s="1266"/>
      <c r="RLE26" s="1266"/>
      <c r="RLF26" s="1266"/>
      <c r="RLG26" s="1266"/>
      <c r="RLH26" s="1266"/>
      <c r="RLI26" s="1266"/>
      <c r="RLJ26" s="1266"/>
      <c r="RLK26" s="1266"/>
      <c r="RLL26" s="1266"/>
      <c r="RLM26" s="1266"/>
      <c r="RLN26" s="1266"/>
      <c r="RLO26" s="1266"/>
      <c r="RLP26" s="1266"/>
      <c r="RLQ26" s="1266"/>
      <c r="RLR26" s="1266"/>
      <c r="RLS26" s="1266"/>
      <c r="RLT26" s="1266"/>
      <c r="RLU26" s="1266"/>
      <c r="RLV26" s="1266"/>
      <c r="RLW26" s="1266"/>
      <c r="RLX26" s="1266"/>
      <c r="RLY26" s="1266"/>
      <c r="RLZ26" s="1266"/>
      <c r="RMA26" s="1266"/>
      <c r="RMB26" s="1266"/>
      <c r="RMC26" s="1266"/>
      <c r="RMD26" s="1266"/>
      <c r="RME26" s="1266"/>
      <c r="RMF26" s="1266"/>
      <c r="RMG26" s="1266"/>
      <c r="RMH26" s="1266"/>
      <c r="RMI26" s="1266"/>
      <c r="RMJ26" s="1266"/>
      <c r="RMK26" s="1266"/>
      <c r="RML26" s="1266"/>
      <c r="RMM26" s="1266"/>
      <c r="RMN26" s="1266"/>
      <c r="RMO26" s="1266"/>
      <c r="RMP26" s="1266"/>
      <c r="RMQ26" s="1266"/>
      <c r="RMR26" s="1266"/>
      <c r="RMS26" s="1266"/>
      <c r="RMT26" s="1266"/>
      <c r="RMU26" s="1266"/>
      <c r="RMV26" s="1266"/>
      <c r="RMW26" s="1266"/>
      <c r="RMX26" s="1266"/>
      <c r="RMY26" s="1266"/>
      <c r="RMZ26" s="1266"/>
      <c r="RNA26" s="1266"/>
      <c r="RNB26" s="1266"/>
      <c r="RNC26" s="1266"/>
      <c r="RND26" s="1266"/>
      <c r="RNE26" s="1266"/>
      <c r="RNF26" s="1266"/>
      <c r="RNG26" s="1266"/>
      <c r="RNH26" s="1266"/>
      <c r="RNI26" s="1266"/>
      <c r="RNJ26" s="1266"/>
      <c r="RNK26" s="1266"/>
      <c r="RNL26" s="1266"/>
      <c r="RNM26" s="1266"/>
      <c r="RNN26" s="1266"/>
      <c r="RNO26" s="1266"/>
      <c r="RNP26" s="1266"/>
      <c r="RNQ26" s="1266"/>
      <c r="RNR26" s="1266"/>
      <c r="RNS26" s="1266"/>
      <c r="RNT26" s="1266"/>
      <c r="RNU26" s="1266"/>
      <c r="RNV26" s="1266"/>
      <c r="RNW26" s="1266"/>
      <c r="RNX26" s="1266"/>
      <c r="RNY26" s="1266"/>
      <c r="RNZ26" s="1266"/>
      <c r="ROA26" s="1266"/>
      <c r="ROB26" s="1266"/>
      <c r="ROC26" s="1266"/>
      <c r="ROD26" s="1266"/>
      <c r="ROE26" s="1266"/>
      <c r="ROF26" s="1266"/>
      <c r="ROG26" s="1266"/>
      <c r="ROH26" s="1266"/>
      <c r="ROI26" s="1266"/>
      <c r="ROJ26" s="1266"/>
      <c r="ROK26" s="1266"/>
      <c r="ROL26" s="1266"/>
      <c r="ROM26" s="1266"/>
      <c r="RON26" s="1266"/>
      <c r="ROO26" s="1266"/>
      <c r="ROP26" s="1266"/>
      <c r="ROQ26" s="1266"/>
      <c r="ROR26" s="1266"/>
      <c r="ROS26" s="1266"/>
      <c r="ROT26" s="1266"/>
      <c r="ROU26" s="1266"/>
      <c r="ROV26" s="1266"/>
      <c r="ROW26" s="1266"/>
      <c r="ROX26" s="1266"/>
      <c r="ROY26" s="1266"/>
      <c r="ROZ26" s="1266"/>
      <c r="RPA26" s="1266"/>
      <c r="RPB26" s="1266"/>
      <c r="RPC26" s="1266"/>
      <c r="RPD26" s="1266"/>
      <c r="RPE26" s="1266"/>
      <c r="RPF26" s="1266"/>
      <c r="RPG26" s="1266"/>
      <c r="RPH26" s="1266"/>
      <c r="RPI26" s="1266"/>
      <c r="RPJ26" s="1266"/>
      <c r="RPK26" s="1266"/>
      <c r="RPL26" s="1266"/>
      <c r="RPM26" s="1266"/>
      <c r="RPN26" s="1266"/>
      <c r="RPO26" s="1266"/>
      <c r="RPP26" s="1266"/>
      <c r="RPQ26" s="1266"/>
      <c r="RPR26" s="1266"/>
      <c r="RPS26" s="1266"/>
      <c r="RPT26" s="1266"/>
      <c r="RPU26" s="1266"/>
      <c r="RPV26" s="1266"/>
      <c r="RPW26" s="1266"/>
      <c r="RPX26" s="1266"/>
      <c r="RPY26" s="1266"/>
      <c r="RPZ26" s="1266"/>
      <c r="RQA26" s="1266"/>
      <c r="RQB26" s="1266"/>
      <c r="RQC26" s="1266"/>
      <c r="RQD26" s="1266"/>
      <c r="RQE26" s="1266"/>
      <c r="RQF26" s="1266"/>
      <c r="RQG26" s="1266"/>
      <c r="RQH26" s="1266"/>
      <c r="RQI26" s="1266"/>
      <c r="RQJ26" s="1266"/>
      <c r="RQK26" s="1266"/>
      <c r="RQL26" s="1266"/>
      <c r="RQM26" s="1266"/>
      <c r="RQN26" s="1266"/>
      <c r="RQO26" s="1266"/>
      <c r="RQP26" s="1266"/>
      <c r="RQQ26" s="1266"/>
      <c r="RQR26" s="1266"/>
      <c r="RQS26" s="1266"/>
      <c r="RQT26" s="1266"/>
      <c r="RQU26" s="1266"/>
      <c r="RQV26" s="1266"/>
      <c r="RQW26" s="1266"/>
      <c r="RQX26" s="1266"/>
      <c r="RQY26" s="1266"/>
      <c r="RQZ26" s="1266"/>
      <c r="RRA26" s="1266"/>
      <c r="RRB26" s="1266"/>
      <c r="RRC26" s="1266"/>
      <c r="RRD26" s="1266"/>
      <c r="RRE26" s="1266"/>
      <c r="RRF26" s="1266"/>
      <c r="RRG26" s="1266"/>
      <c r="RRH26" s="1266"/>
      <c r="RRI26" s="1266"/>
      <c r="RRJ26" s="1266"/>
      <c r="RRK26" s="1266"/>
      <c r="RRL26" s="1266"/>
      <c r="RRM26" s="1266"/>
      <c r="RRN26" s="1266"/>
      <c r="RRO26" s="1266"/>
      <c r="RRP26" s="1266"/>
      <c r="RRQ26" s="1266"/>
      <c r="RRR26" s="1266"/>
      <c r="RRS26" s="1266"/>
      <c r="RRT26" s="1266"/>
      <c r="RRU26" s="1266"/>
      <c r="RRV26" s="1266"/>
      <c r="RRW26" s="1266"/>
      <c r="RRX26" s="1266"/>
      <c r="RRY26" s="1266"/>
      <c r="RRZ26" s="1266"/>
      <c r="RSA26" s="1266"/>
      <c r="RSB26" s="1266"/>
      <c r="RSC26" s="1266"/>
      <c r="RSD26" s="1266"/>
      <c r="RSE26" s="1266"/>
      <c r="RSF26" s="1266"/>
      <c r="RSG26" s="1266"/>
      <c r="RSH26" s="1266"/>
      <c r="RSI26" s="1266"/>
      <c r="RSJ26" s="1266"/>
      <c r="RSK26" s="1266"/>
      <c r="RSL26" s="1266"/>
      <c r="RSM26" s="1266"/>
      <c r="RSN26" s="1266"/>
      <c r="RSO26" s="1266"/>
      <c r="RSP26" s="1266"/>
      <c r="RSQ26" s="1266"/>
      <c r="RSR26" s="1266"/>
      <c r="RSS26" s="1266"/>
      <c r="RST26" s="1266"/>
      <c r="RSU26" s="1266"/>
      <c r="RSV26" s="1266"/>
      <c r="RSW26" s="1266"/>
      <c r="RSX26" s="1266"/>
      <c r="RSY26" s="1266"/>
      <c r="RSZ26" s="1266"/>
      <c r="RTA26" s="1266"/>
      <c r="RTB26" s="1266"/>
      <c r="RTC26" s="1266"/>
      <c r="RTD26" s="1266"/>
      <c r="RTE26" s="1266"/>
      <c r="RTF26" s="1266"/>
      <c r="RTG26" s="1266"/>
      <c r="RTH26" s="1266"/>
      <c r="RTI26" s="1266"/>
      <c r="RTJ26" s="1266"/>
      <c r="RTK26" s="1266"/>
      <c r="RTL26" s="1266"/>
      <c r="RTM26" s="1266"/>
      <c r="RTN26" s="1266"/>
      <c r="RTO26" s="1266"/>
      <c r="RTP26" s="1266"/>
      <c r="RTQ26" s="1266"/>
      <c r="RTR26" s="1266"/>
      <c r="RTS26" s="1266"/>
      <c r="RTT26" s="1266"/>
      <c r="RTU26" s="1266"/>
      <c r="RTV26" s="1266"/>
      <c r="RTW26" s="1266"/>
      <c r="RTX26" s="1266"/>
      <c r="RTY26" s="1266"/>
      <c r="RTZ26" s="1266"/>
      <c r="RUA26" s="1266"/>
      <c r="RUB26" s="1266"/>
      <c r="RUC26" s="1266"/>
      <c r="RUD26" s="1266"/>
      <c r="RUE26" s="1266"/>
      <c r="RUF26" s="1266"/>
      <c r="RUG26" s="1266"/>
      <c r="RUH26" s="1266"/>
      <c r="RUI26" s="1266"/>
      <c r="RUJ26" s="1266"/>
      <c r="RUK26" s="1266"/>
      <c r="RUL26" s="1266"/>
      <c r="RUM26" s="1266"/>
      <c r="RUN26" s="1266"/>
      <c r="RUO26" s="1266"/>
      <c r="RUP26" s="1266"/>
      <c r="RUQ26" s="1266"/>
      <c r="RUR26" s="1266"/>
      <c r="RUS26" s="1266"/>
      <c r="RUT26" s="1266"/>
      <c r="RUU26" s="1266"/>
      <c r="RUV26" s="1266"/>
      <c r="RUW26" s="1266"/>
      <c r="RUX26" s="1266"/>
      <c r="RUY26" s="1266"/>
      <c r="RUZ26" s="1266"/>
      <c r="RVA26" s="1266"/>
      <c r="RVB26" s="1266"/>
      <c r="RVC26" s="1266"/>
      <c r="RVD26" s="1266"/>
      <c r="RVE26" s="1266"/>
      <c r="RVF26" s="1266"/>
      <c r="RVG26" s="1266"/>
      <c r="RVH26" s="1266"/>
      <c r="RVI26" s="1266"/>
      <c r="RVJ26" s="1266"/>
      <c r="RVK26" s="1266"/>
      <c r="RVL26" s="1266"/>
      <c r="RVM26" s="1266"/>
      <c r="RVN26" s="1266"/>
      <c r="RVO26" s="1266"/>
      <c r="RVP26" s="1266"/>
      <c r="RVQ26" s="1266"/>
      <c r="RVR26" s="1266"/>
      <c r="RVS26" s="1266"/>
      <c r="RVT26" s="1266"/>
      <c r="RVU26" s="1266"/>
      <c r="RVV26" s="1266"/>
      <c r="RVW26" s="1266"/>
      <c r="RVX26" s="1266"/>
      <c r="RVY26" s="1266"/>
      <c r="RVZ26" s="1266"/>
      <c r="RWA26" s="1266"/>
      <c r="RWB26" s="1266"/>
      <c r="RWC26" s="1266"/>
      <c r="RWD26" s="1266"/>
      <c r="RWE26" s="1266"/>
      <c r="RWF26" s="1266"/>
      <c r="RWG26" s="1266"/>
      <c r="RWH26" s="1266"/>
      <c r="RWI26" s="1266"/>
      <c r="RWJ26" s="1266"/>
      <c r="RWK26" s="1266"/>
      <c r="RWL26" s="1266"/>
      <c r="RWM26" s="1266"/>
      <c r="RWN26" s="1266"/>
      <c r="RWO26" s="1266"/>
      <c r="RWP26" s="1266"/>
      <c r="RWQ26" s="1266"/>
      <c r="RWR26" s="1266"/>
      <c r="RWS26" s="1266"/>
      <c r="RWT26" s="1266"/>
      <c r="RWU26" s="1266"/>
      <c r="RWV26" s="1266"/>
      <c r="RWW26" s="1266"/>
      <c r="RWX26" s="1266"/>
      <c r="RWY26" s="1266"/>
      <c r="RWZ26" s="1266"/>
      <c r="RXA26" s="1266"/>
      <c r="RXB26" s="1266"/>
      <c r="RXC26" s="1266"/>
      <c r="RXD26" s="1266"/>
      <c r="RXE26" s="1266"/>
      <c r="RXF26" s="1266"/>
      <c r="RXG26" s="1266"/>
      <c r="RXH26" s="1266"/>
      <c r="RXI26" s="1266"/>
      <c r="RXJ26" s="1266"/>
      <c r="RXK26" s="1266"/>
      <c r="RXL26" s="1266"/>
      <c r="RXM26" s="1266"/>
      <c r="RXN26" s="1266"/>
      <c r="RXO26" s="1266"/>
      <c r="RXP26" s="1266"/>
      <c r="RXQ26" s="1266"/>
      <c r="RXR26" s="1266"/>
      <c r="RXS26" s="1266"/>
      <c r="RXT26" s="1266"/>
      <c r="RXU26" s="1266"/>
      <c r="RXV26" s="1266"/>
      <c r="RXW26" s="1266"/>
      <c r="RXX26" s="1266"/>
      <c r="RXY26" s="1266"/>
      <c r="RXZ26" s="1266"/>
      <c r="RYA26" s="1266"/>
      <c r="RYB26" s="1266"/>
      <c r="RYC26" s="1266"/>
      <c r="RYD26" s="1266"/>
      <c r="RYE26" s="1266"/>
      <c r="RYF26" s="1266"/>
      <c r="RYG26" s="1266"/>
      <c r="RYH26" s="1266"/>
      <c r="RYI26" s="1266"/>
      <c r="RYJ26" s="1266"/>
      <c r="RYK26" s="1266"/>
      <c r="RYL26" s="1266"/>
      <c r="RYM26" s="1266"/>
      <c r="RYN26" s="1266"/>
      <c r="RYO26" s="1266"/>
      <c r="RYP26" s="1266"/>
      <c r="RYQ26" s="1266"/>
      <c r="RYR26" s="1266"/>
      <c r="RYS26" s="1266"/>
      <c r="RYT26" s="1266"/>
      <c r="RYU26" s="1266"/>
      <c r="RYV26" s="1266"/>
      <c r="RYW26" s="1266"/>
      <c r="RYX26" s="1266"/>
      <c r="RYY26" s="1266"/>
      <c r="RYZ26" s="1266"/>
      <c r="RZA26" s="1266"/>
      <c r="RZB26" s="1266"/>
      <c r="RZC26" s="1266"/>
      <c r="RZD26" s="1266"/>
      <c r="RZE26" s="1266"/>
      <c r="RZF26" s="1266"/>
      <c r="RZG26" s="1266"/>
      <c r="RZH26" s="1266"/>
      <c r="RZI26" s="1266"/>
      <c r="RZJ26" s="1266"/>
      <c r="RZK26" s="1266"/>
      <c r="RZL26" s="1266"/>
      <c r="RZM26" s="1266"/>
      <c r="RZN26" s="1266"/>
      <c r="RZO26" s="1266"/>
      <c r="RZP26" s="1266"/>
      <c r="RZQ26" s="1266"/>
      <c r="RZR26" s="1266"/>
      <c r="RZS26" s="1266"/>
      <c r="RZT26" s="1266"/>
      <c r="RZU26" s="1266"/>
      <c r="RZV26" s="1266"/>
      <c r="RZW26" s="1266"/>
      <c r="RZX26" s="1266"/>
      <c r="RZY26" s="1266"/>
      <c r="RZZ26" s="1266"/>
      <c r="SAA26" s="1266"/>
      <c r="SAB26" s="1266"/>
      <c r="SAC26" s="1266"/>
      <c r="SAD26" s="1266"/>
      <c r="SAE26" s="1266"/>
      <c r="SAF26" s="1266"/>
      <c r="SAG26" s="1266"/>
      <c r="SAH26" s="1266"/>
      <c r="SAI26" s="1266"/>
      <c r="SAJ26" s="1266"/>
      <c r="SAK26" s="1266"/>
      <c r="SAL26" s="1266"/>
      <c r="SAM26" s="1266"/>
      <c r="SAN26" s="1266"/>
      <c r="SAO26" s="1266"/>
      <c r="SAP26" s="1266"/>
      <c r="SAQ26" s="1266"/>
      <c r="SAR26" s="1266"/>
      <c r="SAS26" s="1266"/>
      <c r="SAT26" s="1266"/>
      <c r="SAU26" s="1266"/>
      <c r="SAV26" s="1266"/>
      <c r="SAW26" s="1266"/>
      <c r="SAX26" s="1266"/>
      <c r="SAY26" s="1266"/>
      <c r="SAZ26" s="1266"/>
      <c r="SBA26" s="1266"/>
      <c r="SBB26" s="1266"/>
      <c r="SBC26" s="1266"/>
      <c r="SBD26" s="1266"/>
      <c r="SBE26" s="1266"/>
      <c r="SBF26" s="1266"/>
      <c r="SBG26" s="1266"/>
      <c r="SBH26" s="1266"/>
      <c r="SBI26" s="1266"/>
      <c r="SBJ26" s="1266"/>
      <c r="SBK26" s="1266"/>
      <c r="SBL26" s="1266"/>
      <c r="SBM26" s="1266"/>
      <c r="SBN26" s="1266"/>
      <c r="SBO26" s="1266"/>
      <c r="SBP26" s="1266"/>
      <c r="SBQ26" s="1266"/>
      <c r="SBR26" s="1266"/>
      <c r="SBS26" s="1266"/>
      <c r="SBT26" s="1266"/>
      <c r="SBU26" s="1266"/>
      <c r="SBV26" s="1266"/>
      <c r="SBW26" s="1266"/>
      <c r="SBX26" s="1266"/>
      <c r="SBY26" s="1266"/>
      <c r="SBZ26" s="1266"/>
      <c r="SCA26" s="1266"/>
      <c r="SCB26" s="1266"/>
      <c r="SCC26" s="1266"/>
      <c r="SCD26" s="1266"/>
      <c r="SCE26" s="1266"/>
      <c r="SCF26" s="1266"/>
      <c r="SCG26" s="1266"/>
      <c r="SCH26" s="1266"/>
      <c r="SCI26" s="1266"/>
      <c r="SCJ26" s="1266"/>
      <c r="SCK26" s="1266"/>
      <c r="SCL26" s="1266"/>
      <c r="SCM26" s="1266"/>
      <c r="SCN26" s="1266"/>
      <c r="SCO26" s="1266"/>
      <c r="SCP26" s="1266"/>
      <c r="SCQ26" s="1266"/>
      <c r="SCR26" s="1266"/>
      <c r="SCS26" s="1266"/>
      <c r="SCT26" s="1266"/>
      <c r="SCU26" s="1266"/>
      <c r="SCV26" s="1266"/>
      <c r="SCW26" s="1266"/>
      <c r="SCX26" s="1266"/>
      <c r="SCY26" s="1266"/>
      <c r="SCZ26" s="1266"/>
      <c r="SDA26" s="1266"/>
      <c r="SDB26" s="1266"/>
      <c r="SDC26" s="1266"/>
      <c r="SDD26" s="1266"/>
      <c r="SDE26" s="1266"/>
      <c r="SDF26" s="1266"/>
      <c r="SDG26" s="1266"/>
      <c r="SDH26" s="1266"/>
      <c r="SDI26" s="1266"/>
      <c r="SDJ26" s="1266"/>
      <c r="SDK26" s="1266"/>
      <c r="SDL26" s="1266"/>
      <c r="SDM26" s="1266"/>
      <c r="SDN26" s="1266"/>
      <c r="SDO26" s="1266"/>
      <c r="SDP26" s="1266"/>
      <c r="SDQ26" s="1266"/>
      <c r="SDR26" s="1266"/>
      <c r="SDS26" s="1266"/>
      <c r="SDT26" s="1266"/>
      <c r="SDU26" s="1266"/>
      <c r="SDV26" s="1266"/>
      <c r="SDW26" s="1266"/>
      <c r="SDX26" s="1266"/>
      <c r="SDY26" s="1266"/>
      <c r="SDZ26" s="1266"/>
      <c r="SEA26" s="1266"/>
      <c r="SEB26" s="1266"/>
      <c r="SEC26" s="1266"/>
      <c r="SED26" s="1266"/>
      <c r="SEE26" s="1266"/>
      <c r="SEF26" s="1266"/>
      <c r="SEG26" s="1266"/>
      <c r="SEH26" s="1266"/>
      <c r="SEI26" s="1266"/>
      <c r="SEJ26" s="1266"/>
      <c r="SEK26" s="1266"/>
      <c r="SEL26" s="1266"/>
      <c r="SEM26" s="1266"/>
      <c r="SEN26" s="1266"/>
      <c r="SEO26" s="1266"/>
      <c r="SEP26" s="1266"/>
      <c r="SEQ26" s="1266"/>
      <c r="SER26" s="1266"/>
      <c r="SES26" s="1266"/>
      <c r="SET26" s="1266"/>
      <c r="SEU26" s="1266"/>
      <c r="SEV26" s="1266"/>
      <c r="SEW26" s="1266"/>
      <c r="SEX26" s="1266"/>
      <c r="SEY26" s="1266"/>
      <c r="SEZ26" s="1266"/>
      <c r="SFA26" s="1266"/>
      <c r="SFB26" s="1266"/>
      <c r="SFC26" s="1266"/>
      <c r="SFD26" s="1266"/>
      <c r="SFE26" s="1266"/>
      <c r="SFF26" s="1266"/>
      <c r="SFG26" s="1266"/>
      <c r="SFH26" s="1266"/>
      <c r="SFI26" s="1266"/>
      <c r="SFJ26" s="1266"/>
      <c r="SFK26" s="1266"/>
      <c r="SFL26" s="1266"/>
      <c r="SFM26" s="1266"/>
      <c r="SFN26" s="1266"/>
      <c r="SFO26" s="1266"/>
      <c r="SFP26" s="1266"/>
      <c r="SFQ26" s="1266"/>
      <c r="SFR26" s="1266"/>
      <c r="SFS26" s="1266"/>
      <c r="SFT26" s="1266"/>
      <c r="SFU26" s="1266"/>
      <c r="SFV26" s="1266"/>
      <c r="SFW26" s="1266"/>
      <c r="SFX26" s="1266"/>
      <c r="SFY26" s="1266"/>
      <c r="SFZ26" s="1266"/>
      <c r="SGA26" s="1266"/>
      <c r="SGB26" s="1266"/>
      <c r="SGC26" s="1266"/>
      <c r="SGD26" s="1266"/>
      <c r="SGE26" s="1266"/>
      <c r="SGF26" s="1266"/>
      <c r="SGG26" s="1266"/>
      <c r="SGH26" s="1266"/>
      <c r="SGI26" s="1266"/>
      <c r="SGJ26" s="1266"/>
      <c r="SGK26" s="1266"/>
      <c r="SGL26" s="1266"/>
      <c r="SGM26" s="1266"/>
      <c r="SGN26" s="1266"/>
      <c r="SGO26" s="1266"/>
      <c r="SGP26" s="1266"/>
      <c r="SGQ26" s="1266"/>
      <c r="SGR26" s="1266"/>
      <c r="SGS26" s="1266"/>
      <c r="SGT26" s="1266"/>
      <c r="SGU26" s="1266"/>
      <c r="SGV26" s="1266"/>
      <c r="SGW26" s="1266"/>
      <c r="SGX26" s="1266"/>
      <c r="SGY26" s="1266"/>
      <c r="SGZ26" s="1266"/>
      <c r="SHA26" s="1266"/>
      <c r="SHB26" s="1266"/>
      <c r="SHC26" s="1266"/>
      <c r="SHD26" s="1266"/>
      <c r="SHE26" s="1266"/>
      <c r="SHF26" s="1266"/>
      <c r="SHG26" s="1266"/>
      <c r="SHH26" s="1266"/>
      <c r="SHI26" s="1266"/>
      <c r="SHJ26" s="1266"/>
      <c r="SHK26" s="1266"/>
      <c r="SHL26" s="1266"/>
      <c r="SHM26" s="1266"/>
      <c r="SHN26" s="1266"/>
      <c r="SHO26" s="1266"/>
      <c r="SHP26" s="1266"/>
      <c r="SHQ26" s="1266"/>
      <c r="SHR26" s="1266"/>
      <c r="SHS26" s="1266"/>
      <c r="SHT26" s="1266"/>
      <c r="SHU26" s="1266"/>
      <c r="SHV26" s="1266"/>
      <c r="SHW26" s="1266"/>
      <c r="SHX26" s="1266"/>
      <c r="SHY26" s="1266"/>
      <c r="SHZ26" s="1266"/>
      <c r="SIA26" s="1266"/>
      <c r="SIB26" s="1266"/>
      <c r="SIC26" s="1266"/>
      <c r="SID26" s="1266"/>
      <c r="SIE26" s="1266"/>
      <c r="SIF26" s="1266"/>
      <c r="SIG26" s="1266"/>
      <c r="SIH26" s="1266"/>
      <c r="SII26" s="1266"/>
      <c r="SIJ26" s="1266"/>
      <c r="SIK26" s="1266"/>
      <c r="SIL26" s="1266"/>
      <c r="SIM26" s="1266"/>
      <c r="SIN26" s="1266"/>
      <c r="SIO26" s="1266"/>
      <c r="SIP26" s="1266"/>
      <c r="SIQ26" s="1266"/>
      <c r="SIR26" s="1266"/>
      <c r="SIS26" s="1266"/>
      <c r="SIT26" s="1266"/>
      <c r="SIU26" s="1266"/>
      <c r="SIV26" s="1266"/>
      <c r="SIW26" s="1266"/>
      <c r="SIX26" s="1266"/>
      <c r="SIY26" s="1266"/>
      <c r="SIZ26" s="1266"/>
      <c r="SJA26" s="1266"/>
      <c r="SJB26" s="1266"/>
      <c r="SJC26" s="1266"/>
      <c r="SJD26" s="1266"/>
      <c r="SJE26" s="1266"/>
      <c r="SJF26" s="1266"/>
      <c r="SJG26" s="1266"/>
      <c r="SJH26" s="1266"/>
      <c r="SJI26" s="1266"/>
      <c r="SJJ26" s="1266"/>
      <c r="SJK26" s="1266"/>
      <c r="SJL26" s="1266"/>
      <c r="SJM26" s="1266"/>
      <c r="SJN26" s="1266"/>
      <c r="SJO26" s="1266"/>
      <c r="SJP26" s="1266"/>
      <c r="SJQ26" s="1266"/>
      <c r="SJR26" s="1266"/>
      <c r="SJS26" s="1266"/>
      <c r="SJT26" s="1266"/>
      <c r="SJU26" s="1266"/>
      <c r="SJV26" s="1266"/>
      <c r="SJW26" s="1266"/>
      <c r="SJX26" s="1266"/>
      <c r="SJY26" s="1266"/>
      <c r="SJZ26" s="1266"/>
      <c r="SKA26" s="1266"/>
      <c r="SKB26" s="1266"/>
      <c r="SKC26" s="1266"/>
      <c r="SKD26" s="1266"/>
      <c r="SKE26" s="1266"/>
      <c r="SKF26" s="1266"/>
      <c r="SKG26" s="1266"/>
      <c r="SKH26" s="1266"/>
      <c r="SKI26" s="1266"/>
      <c r="SKJ26" s="1266"/>
      <c r="SKK26" s="1266"/>
      <c r="SKL26" s="1266"/>
      <c r="SKM26" s="1266"/>
      <c r="SKN26" s="1266"/>
      <c r="SKO26" s="1266"/>
      <c r="SKP26" s="1266"/>
      <c r="SKQ26" s="1266"/>
      <c r="SKR26" s="1266"/>
      <c r="SKS26" s="1266"/>
      <c r="SKT26" s="1266"/>
      <c r="SKU26" s="1266"/>
      <c r="SKV26" s="1266"/>
      <c r="SKW26" s="1266"/>
      <c r="SKX26" s="1266"/>
      <c r="SKY26" s="1266"/>
      <c r="SKZ26" s="1266"/>
      <c r="SLA26" s="1266"/>
      <c r="SLB26" s="1266"/>
      <c r="SLC26" s="1266"/>
      <c r="SLD26" s="1266"/>
      <c r="SLE26" s="1266"/>
      <c r="SLF26" s="1266"/>
      <c r="SLG26" s="1266"/>
      <c r="SLH26" s="1266"/>
      <c r="SLI26" s="1266"/>
      <c r="SLJ26" s="1266"/>
      <c r="SLK26" s="1266"/>
      <c r="SLL26" s="1266"/>
      <c r="SLM26" s="1266"/>
      <c r="SLN26" s="1266"/>
      <c r="SLO26" s="1266"/>
      <c r="SLP26" s="1266"/>
      <c r="SLQ26" s="1266"/>
      <c r="SLR26" s="1266"/>
      <c r="SLS26" s="1266"/>
      <c r="SLT26" s="1266"/>
      <c r="SLU26" s="1266"/>
      <c r="SLV26" s="1266"/>
      <c r="SLW26" s="1266"/>
      <c r="SLX26" s="1266"/>
      <c r="SLY26" s="1266"/>
      <c r="SLZ26" s="1266"/>
      <c r="SMA26" s="1266"/>
      <c r="SMB26" s="1266"/>
      <c r="SMC26" s="1266"/>
      <c r="SMD26" s="1266"/>
      <c r="SME26" s="1266"/>
      <c r="SMF26" s="1266"/>
      <c r="SMG26" s="1266"/>
      <c r="SMH26" s="1266"/>
      <c r="SMI26" s="1266"/>
      <c r="SMJ26" s="1266"/>
      <c r="SMK26" s="1266"/>
      <c r="SML26" s="1266"/>
      <c r="SMM26" s="1266"/>
      <c r="SMN26" s="1266"/>
      <c r="SMO26" s="1266"/>
      <c r="SMP26" s="1266"/>
      <c r="SMQ26" s="1266"/>
      <c r="SMR26" s="1266"/>
      <c r="SMS26" s="1266"/>
      <c r="SMT26" s="1266"/>
      <c r="SMU26" s="1266"/>
      <c r="SMV26" s="1266"/>
      <c r="SMW26" s="1266"/>
      <c r="SMX26" s="1266"/>
      <c r="SMY26" s="1266"/>
      <c r="SMZ26" s="1266"/>
      <c r="SNA26" s="1266"/>
      <c r="SNB26" s="1266"/>
      <c r="SNC26" s="1266"/>
      <c r="SND26" s="1266"/>
      <c r="SNE26" s="1266"/>
      <c r="SNF26" s="1266"/>
      <c r="SNG26" s="1266"/>
      <c r="SNH26" s="1266"/>
      <c r="SNI26" s="1266"/>
      <c r="SNJ26" s="1266"/>
      <c r="SNK26" s="1266"/>
      <c r="SNL26" s="1266"/>
      <c r="SNM26" s="1266"/>
      <c r="SNN26" s="1266"/>
      <c r="SNO26" s="1266"/>
      <c r="SNP26" s="1266"/>
      <c r="SNQ26" s="1266"/>
      <c r="SNR26" s="1266"/>
      <c r="SNS26" s="1266"/>
      <c r="SNT26" s="1266"/>
      <c r="SNU26" s="1266"/>
      <c r="SNV26" s="1266"/>
      <c r="SNW26" s="1266"/>
      <c r="SNX26" s="1266"/>
      <c r="SNY26" s="1266"/>
      <c r="SNZ26" s="1266"/>
      <c r="SOA26" s="1266"/>
      <c r="SOB26" s="1266"/>
      <c r="SOC26" s="1266"/>
      <c r="SOD26" s="1266"/>
      <c r="SOE26" s="1266"/>
      <c r="SOF26" s="1266"/>
      <c r="SOG26" s="1266"/>
      <c r="SOH26" s="1266"/>
      <c r="SOI26" s="1266"/>
      <c r="SOJ26" s="1266"/>
      <c r="SOK26" s="1266"/>
      <c r="SOL26" s="1266"/>
      <c r="SOM26" s="1266"/>
      <c r="SON26" s="1266"/>
      <c r="SOO26" s="1266"/>
      <c r="SOP26" s="1266"/>
      <c r="SOQ26" s="1266"/>
      <c r="SOR26" s="1266"/>
      <c r="SOS26" s="1266"/>
      <c r="SOT26" s="1266"/>
      <c r="SOU26" s="1266"/>
      <c r="SOV26" s="1266"/>
      <c r="SOW26" s="1266"/>
      <c r="SOX26" s="1266"/>
      <c r="SOY26" s="1266"/>
      <c r="SOZ26" s="1266"/>
      <c r="SPA26" s="1266"/>
      <c r="SPB26" s="1266"/>
      <c r="SPC26" s="1266"/>
      <c r="SPD26" s="1266"/>
      <c r="SPE26" s="1266"/>
      <c r="SPF26" s="1266"/>
      <c r="SPG26" s="1266"/>
      <c r="SPH26" s="1266"/>
      <c r="SPI26" s="1266"/>
      <c r="SPJ26" s="1266"/>
      <c r="SPK26" s="1266"/>
      <c r="SPL26" s="1266"/>
      <c r="SPM26" s="1266"/>
      <c r="SPN26" s="1266"/>
      <c r="SPO26" s="1266"/>
      <c r="SPP26" s="1266"/>
      <c r="SPQ26" s="1266"/>
      <c r="SPR26" s="1266"/>
      <c r="SPS26" s="1266"/>
      <c r="SPT26" s="1266"/>
      <c r="SPU26" s="1266"/>
      <c r="SPV26" s="1266"/>
      <c r="SPW26" s="1266"/>
      <c r="SPX26" s="1266"/>
      <c r="SPY26" s="1266"/>
      <c r="SPZ26" s="1266"/>
      <c r="SQA26" s="1266"/>
      <c r="SQB26" s="1266"/>
      <c r="SQC26" s="1266"/>
      <c r="SQD26" s="1266"/>
      <c r="SQE26" s="1266"/>
      <c r="SQF26" s="1266"/>
      <c r="SQG26" s="1266"/>
      <c r="SQH26" s="1266"/>
      <c r="SQI26" s="1266"/>
      <c r="SQJ26" s="1266"/>
      <c r="SQK26" s="1266"/>
      <c r="SQL26" s="1266"/>
      <c r="SQM26" s="1266"/>
      <c r="SQN26" s="1266"/>
      <c r="SQO26" s="1266"/>
      <c r="SQP26" s="1266"/>
      <c r="SQQ26" s="1266"/>
      <c r="SQR26" s="1266"/>
      <c r="SQS26" s="1266"/>
      <c r="SQT26" s="1266"/>
      <c r="SQU26" s="1266"/>
      <c r="SQV26" s="1266"/>
      <c r="SQW26" s="1266"/>
      <c r="SQX26" s="1266"/>
      <c r="SQY26" s="1266"/>
      <c r="SQZ26" s="1266"/>
      <c r="SRA26" s="1266"/>
      <c r="SRB26" s="1266"/>
      <c r="SRC26" s="1266"/>
      <c r="SRD26" s="1266"/>
      <c r="SRE26" s="1266"/>
      <c r="SRF26" s="1266"/>
      <c r="SRG26" s="1266"/>
      <c r="SRH26" s="1266"/>
      <c r="SRI26" s="1266"/>
      <c r="SRJ26" s="1266"/>
      <c r="SRK26" s="1266"/>
      <c r="SRL26" s="1266"/>
      <c r="SRM26" s="1266"/>
      <c r="SRN26" s="1266"/>
      <c r="SRO26" s="1266"/>
      <c r="SRP26" s="1266"/>
      <c r="SRQ26" s="1266"/>
      <c r="SRR26" s="1266"/>
      <c r="SRS26" s="1266"/>
      <c r="SRT26" s="1266"/>
      <c r="SRU26" s="1266"/>
      <c r="SRV26" s="1266"/>
      <c r="SRW26" s="1266"/>
      <c r="SRX26" s="1266"/>
      <c r="SRY26" s="1266"/>
      <c r="SRZ26" s="1266"/>
      <c r="SSA26" s="1266"/>
      <c r="SSB26" s="1266"/>
      <c r="SSC26" s="1266"/>
      <c r="SSD26" s="1266"/>
      <c r="SSE26" s="1266"/>
      <c r="SSF26" s="1266"/>
      <c r="SSG26" s="1266"/>
      <c r="SSH26" s="1266"/>
      <c r="SSI26" s="1266"/>
      <c r="SSJ26" s="1266"/>
      <c r="SSK26" s="1266"/>
      <c r="SSL26" s="1266"/>
      <c r="SSM26" s="1266"/>
      <c r="SSN26" s="1266"/>
      <c r="SSO26" s="1266"/>
      <c r="SSP26" s="1266"/>
      <c r="SSQ26" s="1266"/>
      <c r="SSR26" s="1266"/>
      <c r="SSS26" s="1266"/>
      <c r="SST26" s="1266"/>
      <c r="SSU26" s="1266"/>
      <c r="SSV26" s="1266"/>
      <c r="SSW26" s="1266"/>
      <c r="SSX26" s="1266"/>
      <c r="SSY26" s="1266"/>
      <c r="SSZ26" s="1266"/>
      <c r="STA26" s="1266"/>
      <c r="STB26" s="1266"/>
      <c r="STC26" s="1266"/>
      <c r="STD26" s="1266"/>
      <c r="STE26" s="1266"/>
      <c r="STF26" s="1266"/>
      <c r="STG26" s="1266"/>
      <c r="STH26" s="1266"/>
      <c r="STI26" s="1266"/>
      <c r="STJ26" s="1266"/>
      <c r="STK26" s="1266"/>
      <c r="STL26" s="1266"/>
      <c r="STM26" s="1266"/>
      <c r="STN26" s="1266"/>
      <c r="STO26" s="1266"/>
      <c r="STP26" s="1266"/>
      <c r="STQ26" s="1266"/>
      <c r="STR26" s="1266"/>
      <c r="STS26" s="1266"/>
      <c r="STT26" s="1266"/>
      <c r="STU26" s="1266"/>
      <c r="STV26" s="1266"/>
      <c r="STW26" s="1266"/>
      <c r="STX26" s="1266"/>
      <c r="STY26" s="1266"/>
      <c r="STZ26" s="1266"/>
      <c r="SUA26" s="1266"/>
      <c r="SUB26" s="1266"/>
      <c r="SUC26" s="1266"/>
      <c r="SUD26" s="1266"/>
      <c r="SUE26" s="1266"/>
      <c r="SUF26" s="1266"/>
      <c r="SUG26" s="1266"/>
      <c r="SUH26" s="1266"/>
      <c r="SUI26" s="1266"/>
      <c r="SUJ26" s="1266"/>
      <c r="SUK26" s="1266"/>
      <c r="SUL26" s="1266"/>
      <c r="SUM26" s="1266"/>
      <c r="SUN26" s="1266"/>
      <c r="SUO26" s="1266"/>
      <c r="SUP26" s="1266"/>
      <c r="SUQ26" s="1266"/>
      <c r="SUR26" s="1266"/>
      <c r="SUS26" s="1266"/>
      <c r="SUT26" s="1266"/>
      <c r="SUU26" s="1266"/>
      <c r="SUV26" s="1266"/>
      <c r="SUW26" s="1266"/>
      <c r="SUX26" s="1266"/>
      <c r="SUY26" s="1266"/>
      <c r="SUZ26" s="1266"/>
      <c r="SVA26" s="1266"/>
      <c r="SVB26" s="1266"/>
      <c r="SVC26" s="1266"/>
      <c r="SVD26" s="1266"/>
      <c r="SVE26" s="1266"/>
      <c r="SVF26" s="1266"/>
      <c r="SVG26" s="1266"/>
      <c r="SVH26" s="1266"/>
      <c r="SVI26" s="1266"/>
      <c r="SVJ26" s="1266"/>
      <c r="SVK26" s="1266"/>
      <c r="SVL26" s="1266"/>
      <c r="SVM26" s="1266"/>
      <c r="SVN26" s="1266"/>
      <c r="SVO26" s="1266"/>
      <c r="SVP26" s="1266"/>
      <c r="SVQ26" s="1266"/>
      <c r="SVR26" s="1266"/>
      <c r="SVS26" s="1266"/>
      <c r="SVT26" s="1266"/>
      <c r="SVU26" s="1266"/>
      <c r="SVV26" s="1266"/>
      <c r="SVW26" s="1266"/>
      <c r="SVX26" s="1266"/>
      <c r="SVY26" s="1266"/>
      <c r="SVZ26" s="1266"/>
      <c r="SWA26" s="1266"/>
      <c r="SWB26" s="1266"/>
      <c r="SWC26" s="1266"/>
      <c r="SWD26" s="1266"/>
      <c r="SWE26" s="1266"/>
      <c r="SWF26" s="1266"/>
      <c r="SWG26" s="1266"/>
      <c r="SWH26" s="1266"/>
      <c r="SWI26" s="1266"/>
      <c r="SWJ26" s="1266"/>
      <c r="SWK26" s="1266"/>
      <c r="SWL26" s="1266"/>
      <c r="SWM26" s="1266"/>
      <c r="SWN26" s="1266"/>
      <c r="SWO26" s="1266"/>
      <c r="SWP26" s="1266"/>
      <c r="SWQ26" s="1266"/>
      <c r="SWR26" s="1266"/>
      <c r="SWS26" s="1266"/>
      <c r="SWT26" s="1266"/>
      <c r="SWU26" s="1266"/>
      <c r="SWV26" s="1266"/>
      <c r="SWW26" s="1266"/>
      <c r="SWX26" s="1266"/>
      <c r="SWY26" s="1266"/>
      <c r="SWZ26" s="1266"/>
      <c r="SXA26" s="1266"/>
      <c r="SXB26" s="1266"/>
      <c r="SXC26" s="1266"/>
      <c r="SXD26" s="1266"/>
      <c r="SXE26" s="1266"/>
      <c r="SXF26" s="1266"/>
      <c r="SXG26" s="1266"/>
      <c r="SXH26" s="1266"/>
      <c r="SXI26" s="1266"/>
      <c r="SXJ26" s="1266"/>
      <c r="SXK26" s="1266"/>
      <c r="SXL26" s="1266"/>
      <c r="SXM26" s="1266"/>
      <c r="SXN26" s="1266"/>
      <c r="SXO26" s="1266"/>
      <c r="SXP26" s="1266"/>
      <c r="SXQ26" s="1266"/>
      <c r="SXR26" s="1266"/>
      <c r="SXS26" s="1266"/>
      <c r="SXT26" s="1266"/>
      <c r="SXU26" s="1266"/>
      <c r="SXV26" s="1266"/>
      <c r="SXW26" s="1266"/>
      <c r="SXX26" s="1266"/>
      <c r="SXY26" s="1266"/>
      <c r="SXZ26" s="1266"/>
      <c r="SYA26" s="1266"/>
      <c r="SYB26" s="1266"/>
      <c r="SYC26" s="1266"/>
      <c r="SYD26" s="1266"/>
      <c r="SYE26" s="1266"/>
      <c r="SYF26" s="1266"/>
      <c r="SYG26" s="1266"/>
      <c r="SYH26" s="1266"/>
      <c r="SYI26" s="1266"/>
      <c r="SYJ26" s="1266"/>
      <c r="SYK26" s="1266"/>
      <c r="SYL26" s="1266"/>
      <c r="SYM26" s="1266"/>
      <c r="SYN26" s="1266"/>
      <c r="SYO26" s="1266"/>
      <c r="SYP26" s="1266"/>
      <c r="SYQ26" s="1266"/>
      <c r="SYR26" s="1266"/>
      <c r="SYS26" s="1266"/>
      <c r="SYT26" s="1266"/>
      <c r="SYU26" s="1266"/>
      <c r="SYV26" s="1266"/>
      <c r="SYW26" s="1266"/>
      <c r="SYX26" s="1266"/>
      <c r="SYY26" s="1266"/>
      <c r="SYZ26" s="1266"/>
      <c r="SZA26" s="1266"/>
      <c r="SZB26" s="1266"/>
      <c r="SZC26" s="1266"/>
      <c r="SZD26" s="1266"/>
      <c r="SZE26" s="1266"/>
      <c r="SZF26" s="1266"/>
      <c r="SZG26" s="1266"/>
      <c r="SZH26" s="1266"/>
      <c r="SZI26" s="1266"/>
      <c r="SZJ26" s="1266"/>
      <c r="SZK26" s="1266"/>
      <c r="SZL26" s="1266"/>
      <c r="SZM26" s="1266"/>
      <c r="SZN26" s="1266"/>
      <c r="SZO26" s="1266"/>
      <c r="SZP26" s="1266"/>
      <c r="SZQ26" s="1266"/>
      <c r="SZR26" s="1266"/>
      <c r="SZS26" s="1266"/>
      <c r="SZT26" s="1266"/>
      <c r="SZU26" s="1266"/>
      <c r="SZV26" s="1266"/>
      <c r="SZW26" s="1266"/>
      <c r="SZX26" s="1266"/>
      <c r="SZY26" s="1266"/>
      <c r="SZZ26" s="1266"/>
      <c r="TAA26" s="1266"/>
      <c r="TAB26" s="1266"/>
      <c r="TAC26" s="1266"/>
      <c r="TAD26" s="1266"/>
      <c r="TAE26" s="1266"/>
      <c r="TAF26" s="1266"/>
      <c r="TAG26" s="1266"/>
      <c r="TAH26" s="1266"/>
      <c r="TAI26" s="1266"/>
      <c r="TAJ26" s="1266"/>
      <c r="TAK26" s="1266"/>
      <c r="TAL26" s="1266"/>
      <c r="TAM26" s="1266"/>
      <c r="TAN26" s="1266"/>
      <c r="TAO26" s="1266"/>
      <c r="TAP26" s="1266"/>
      <c r="TAQ26" s="1266"/>
      <c r="TAR26" s="1266"/>
      <c r="TAS26" s="1266"/>
      <c r="TAT26" s="1266"/>
      <c r="TAU26" s="1266"/>
      <c r="TAV26" s="1266"/>
      <c r="TAW26" s="1266"/>
      <c r="TAX26" s="1266"/>
      <c r="TAY26" s="1266"/>
      <c r="TAZ26" s="1266"/>
      <c r="TBA26" s="1266"/>
      <c r="TBB26" s="1266"/>
      <c r="TBC26" s="1266"/>
      <c r="TBD26" s="1266"/>
      <c r="TBE26" s="1266"/>
      <c r="TBF26" s="1266"/>
      <c r="TBG26" s="1266"/>
      <c r="TBH26" s="1266"/>
      <c r="TBI26" s="1266"/>
      <c r="TBJ26" s="1266"/>
      <c r="TBK26" s="1266"/>
      <c r="TBL26" s="1266"/>
      <c r="TBM26" s="1266"/>
      <c r="TBN26" s="1266"/>
      <c r="TBO26" s="1266"/>
      <c r="TBP26" s="1266"/>
      <c r="TBQ26" s="1266"/>
      <c r="TBR26" s="1266"/>
      <c r="TBS26" s="1266"/>
      <c r="TBT26" s="1266"/>
      <c r="TBU26" s="1266"/>
      <c r="TBV26" s="1266"/>
      <c r="TBW26" s="1266"/>
      <c r="TBX26" s="1266"/>
      <c r="TBY26" s="1266"/>
      <c r="TBZ26" s="1266"/>
      <c r="TCA26" s="1266"/>
      <c r="TCB26" s="1266"/>
      <c r="TCC26" s="1266"/>
      <c r="TCD26" s="1266"/>
      <c r="TCE26" s="1266"/>
      <c r="TCF26" s="1266"/>
      <c r="TCG26" s="1266"/>
      <c r="TCH26" s="1266"/>
      <c r="TCI26" s="1266"/>
      <c r="TCJ26" s="1266"/>
      <c r="TCK26" s="1266"/>
      <c r="TCL26" s="1266"/>
      <c r="TCM26" s="1266"/>
      <c r="TCN26" s="1266"/>
      <c r="TCO26" s="1266"/>
      <c r="TCP26" s="1266"/>
      <c r="TCQ26" s="1266"/>
      <c r="TCR26" s="1266"/>
      <c r="TCS26" s="1266"/>
      <c r="TCT26" s="1266"/>
      <c r="TCU26" s="1266"/>
      <c r="TCV26" s="1266"/>
      <c r="TCW26" s="1266"/>
      <c r="TCX26" s="1266"/>
      <c r="TCY26" s="1266"/>
      <c r="TCZ26" s="1266"/>
      <c r="TDA26" s="1266"/>
      <c r="TDB26" s="1266"/>
      <c r="TDC26" s="1266"/>
      <c r="TDD26" s="1266"/>
      <c r="TDE26" s="1266"/>
      <c r="TDF26" s="1266"/>
      <c r="TDG26" s="1266"/>
      <c r="TDH26" s="1266"/>
      <c r="TDI26" s="1266"/>
      <c r="TDJ26" s="1266"/>
      <c r="TDK26" s="1266"/>
      <c r="TDL26" s="1266"/>
      <c r="TDM26" s="1266"/>
      <c r="TDN26" s="1266"/>
      <c r="TDO26" s="1266"/>
      <c r="TDP26" s="1266"/>
      <c r="TDQ26" s="1266"/>
      <c r="TDR26" s="1266"/>
      <c r="TDS26" s="1266"/>
      <c r="TDT26" s="1266"/>
      <c r="TDU26" s="1266"/>
      <c r="TDV26" s="1266"/>
      <c r="TDW26" s="1266"/>
      <c r="TDX26" s="1266"/>
      <c r="TDY26" s="1266"/>
      <c r="TDZ26" s="1266"/>
      <c r="TEA26" s="1266"/>
      <c r="TEB26" s="1266"/>
      <c r="TEC26" s="1266"/>
      <c r="TED26" s="1266"/>
      <c r="TEE26" s="1266"/>
      <c r="TEF26" s="1266"/>
      <c r="TEG26" s="1266"/>
      <c r="TEH26" s="1266"/>
      <c r="TEI26" s="1266"/>
      <c r="TEJ26" s="1266"/>
      <c r="TEK26" s="1266"/>
      <c r="TEL26" s="1266"/>
      <c r="TEM26" s="1266"/>
      <c r="TEN26" s="1266"/>
      <c r="TEO26" s="1266"/>
      <c r="TEP26" s="1266"/>
      <c r="TEQ26" s="1266"/>
      <c r="TER26" s="1266"/>
      <c r="TES26" s="1266"/>
      <c r="TET26" s="1266"/>
      <c r="TEU26" s="1266"/>
      <c r="TEV26" s="1266"/>
      <c r="TEW26" s="1266"/>
      <c r="TEX26" s="1266"/>
      <c r="TEY26" s="1266"/>
      <c r="TEZ26" s="1266"/>
      <c r="TFA26" s="1266"/>
      <c r="TFB26" s="1266"/>
      <c r="TFC26" s="1266"/>
      <c r="TFD26" s="1266"/>
      <c r="TFE26" s="1266"/>
      <c r="TFF26" s="1266"/>
      <c r="TFG26" s="1266"/>
      <c r="TFH26" s="1266"/>
      <c r="TFI26" s="1266"/>
      <c r="TFJ26" s="1266"/>
      <c r="TFK26" s="1266"/>
      <c r="TFL26" s="1266"/>
      <c r="TFM26" s="1266"/>
      <c r="TFN26" s="1266"/>
      <c r="TFO26" s="1266"/>
      <c r="TFP26" s="1266"/>
      <c r="TFQ26" s="1266"/>
      <c r="TFR26" s="1266"/>
      <c r="TFS26" s="1266"/>
      <c r="TFT26" s="1266"/>
      <c r="TFU26" s="1266"/>
      <c r="TFV26" s="1266"/>
      <c r="TFW26" s="1266"/>
      <c r="TFX26" s="1266"/>
      <c r="TFY26" s="1266"/>
      <c r="TFZ26" s="1266"/>
      <c r="TGA26" s="1266"/>
      <c r="TGB26" s="1266"/>
      <c r="TGC26" s="1266"/>
      <c r="TGD26" s="1266"/>
      <c r="TGE26" s="1266"/>
      <c r="TGF26" s="1266"/>
      <c r="TGG26" s="1266"/>
      <c r="TGH26" s="1266"/>
      <c r="TGI26" s="1266"/>
      <c r="TGJ26" s="1266"/>
      <c r="TGK26" s="1266"/>
      <c r="TGL26" s="1266"/>
      <c r="TGM26" s="1266"/>
      <c r="TGN26" s="1266"/>
      <c r="TGO26" s="1266"/>
      <c r="TGP26" s="1266"/>
      <c r="TGQ26" s="1266"/>
      <c r="TGR26" s="1266"/>
      <c r="TGS26" s="1266"/>
      <c r="TGT26" s="1266"/>
      <c r="TGU26" s="1266"/>
      <c r="TGV26" s="1266"/>
      <c r="TGW26" s="1266"/>
      <c r="TGX26" s="1266"/>
      <c r="TGY26" s="1266"/>
      <c r="TGZ26" s="1266"/>
      <c r="THA26" s="1266"/>
      <c r="THB26" s="1266"/>
      <c r="THC26" s="1266"/>
      <c r="THD26" s="1266"/>
      <c r="THE26" s="1266"/>
      <c r="THF26" s="1266"/>
      <c r="THG26" s="1266"/>
      <c r="THH26" s="1266"/>
      <c r="THI26" s="1266"/>
      <c r="THJ26" s="1266"/>
      <c r="THK26" s="1266"/>
      <c r="THL26" s="1266"/>
      <c r="THM26" s="1266"/>
      <c r="THN26" s="1266"/>
      <c r="THO26" s="1266"/>
      <c r="THP26" s="1266"/>
      <c r="THQ26" s="1266"/>
      <c r="THR26" s="1266"/>
      <c r="THS26" s="1266"/>
      <c r="THT26" s="1266"/>
      <c r="THU26" s="1266"/>
      <c r="THV26" s="1266"/>
      <c r="THW26" s="1266"/>
      <c r="THX26" s="1266"/>
      <c r="THY26" s="1266"/>
      <c r="THZ26" s="1266"/>
      <c r="TIA26" s="1266"/>
      <c r="TIB26" s="1266"/>
      <c r="TIC26" s="1266"/>
      <c r="TID26" s="1266"/>
      <c r="TIE26" s="1266"/>
      <c r="TIF26" s="1266"/>
      <c r="TIG26" s="1266"/>
      <c r="TIH26" s="1266"/>
      <c r="TII26" s="1266"/>
      <c r="TIJ26" s="1266"/>
      <c r="TIK26" s="1266"/>
      <c r="TIL26" s="1266"/>
      <c r="TIM26" s="1266"/>
      <c r="TIN26" s="1266"/>
      <c r="TIO26" s="1266"/>
      <c r="TIP26" s="1266"/>
      <c r="TIQ26" s="1266"/>
      <c r="TIR26" s="1266"/>
      <c r="TIS26" s="1266"/>
      <c r="TIT26" s="1266"/>
      <c r="TIU26" s="1266"/>
      <c r="TIV26" s="1266"/>
      <c r="TIW26" s="1266"/>
      <c r="TIX26" s="1266"/>
      <c r="TIY26" s="1266"/>
      <c r="TIZ26" s="1266"/>
      <c r="TJA26" s="1266"/>
      <c r="TJB26" s="1266"/>
      <c r="TJC26" s="1266"/>
      <c r="TJD26" s="1266"/>
      <c r="TJE26" s="1266"/>
      <c r="TJF26" s="1266"/>
      <c r="TJG26" s="1266"/>
      <c r="TJH26" s="1266"/>
      <c r="TJI26" s="1266"/>
      <c r="TJJ26" s="1266"/>
      <c r="TJK26" s="1266"/>
      <c r="TJL26" s="1266"/>
      <c r="TJM26" s="1266"/>
      <c r="TJN26" s="1266"/>
      <c r="TJO26" s="1266"/>
      <c r="TJP26" s="1266"/>
      <c r="TJQ26" s="1266"/>
      <c r="TJR26" s="1266"/>
      <c r="TJS26" s="1266"/>
      <c r="TJT26" s="1266"/>
      <c r="TJU26" s="1266"/>
      <c r="TJV26" s="1266"/>
      <c r="TJW26" s="1266"/>
      <c r="TJX26" s="1266"/>
      <c r="TJY26" s="1266"/>
      <c r="TJZ26" s="1266"/>
      <c r="TKA26" s="1266"/>
      <c r="TKB26" s="1266"/>
      <c r="TKC26" s="1266"/>
      <c r="TKD26" s="1266"/>
      <c r="TKE26" s="1266"/>
      <c r="TKF26" s="1266"/>
      <c r="TKG26" s="1266"/>
      <c r="TKH26" s="1266"/>
      <c r="TKI26" s="1266"/>
      <c r="TKJ26" s="1266"/>
      <c r="TKK26" s="1266"/>
      <c r="TKL26" s="1266"/>
      <c r="TKM26" s="1266"/>
      <c r="TKN26" s="1266"/>
      <c r="TKO26" s="1266"/>
      <c r="TKP26" s="1266"/>
      <c r="TKQ26" s="1266"/>
      <c r="TKR26" s="1266"/>
      <c r="TKS26" s="1266"/>
      <c r="TKT26" s="1266"/>
      <c r="TKU26" s="1266"/>
      <c r="TKV26" s="1266"/>
      <c r="TKW26" s="1266"/>
      <c r="TKX26" s="1266"/>
      <c r="TKY26" s="1266"/>
      <c r="TKZ26" s="1266"/>
      <c r="TLA26" s="1266"/>
      <c r="TLB26" s="1266"/>
      <c r="TLC26" s="1266"/>
      <c r="TLD26" s="1266"/>
      <c r="TLE26" s="1266"/>
      <c r="TLF26" s="1266"/>
      <c r="TLG26" s="1266"/>
      <c r="TLH26" s="1266"/>
      <c r="TLI26" s="1266"/>
      <c r="TLJ26" s="1266"/>
      <c r="TLK26" s="1266"/>
      <c r="TLL26" s="1266"/>
      <c r="TLM26" s="1266"/>
      <c r="TLN26" s="1266"/>
      <c r="TLO26" s="1266"/>
      <c r="TLP26" s="1266"/>
      <c r="TLQ26" s="1266"/>
      <c r="TLR26" s="1266"/>
      <c r="TLS26" s="1266"/>
      <c r="TLT26" s="1266"/>
      <c r="TLU26" s="1266"/>
      <c r="TLV26" s="1266"/>
      <c r="TLW26" s="1266"/>
      <c r="TLX26" s="1266"/>
      <c r="TLY26" s="1266"/>
      <c r="TLZ26" s="1266"/>
      <c r="TMA26" s="1266"/>
      <c r="TMB26" s="1266"/>
      <c r="TMC26" s="1266"/>
      <c r="TMD26" s="1266"/>
      <c r="TME26" s="1266"/>
      <c r="TMF26" s="1266"/>
      <c r="TMG26" s="1266"/>
      <c r="TMH26" s="1266"/>
      <c r="TMI26" s="1266"/>
      <c r="TMJ26" s="1266"/>
      <c r="TMK26" s="1266"/>
      <c r="TML26" s="1266"/>
      <c r="TMM26" s="1266"/>
      <c r="TMN26" s="1266"/>
      <c r="TMO26" s="1266"/>
      <c r="TMP26" s="1266"/>
      <c r="TMQ26" s="1266"/>
      <c r="TMR26" s="1266"/>
      <c r="TMS26" s="1266"/>
      <c r="TMT26" s="1266"/>
      <c r="TMU26" s="1266"/>
      <c r="TMV26" s="1266"/>
      <c r="TMW26" s="1266"/>
      <c r="TMX26" s="1266"/>
      <c r="TMY26" s="1266"/>
      <c r="TMZ26" s="1266"/>
      <c r="TNA26" s="1266"/>
      <c r="TNB26" s="1266"/>
      <c r="TNC26" s="1266"/>
      <c r="TND26" s="1266"/>
      <c r="TNE26" s="1266"/>
      <c r="TNF26" s="1266"/>
      <c r="TNG26" s="1266"/>
      <c r="TNH26" s="1266"/>
      <c r="TNI26" s="1266"/>
      <c r="TNJ26" s="1266"/>
      <c r="TNK26" s="1266"/>
      <c r="TNL26" s="1266"/>
      <c r="TNM26" s="1266"/>
      <c r="TNN26" s="1266"/>
      <c r="TNO26" s="1266"/>
      <c r="TNP26" s="1266"/>
      <c r="TNQ26" s="1266"/>
      <c r="TNR26" s="1266"/>
      <c r="TNS26" s="1266"/>
      <c r="TNT26" s="1266"/>
      <c r="TNU26" s="1266"/>
      <c r="TNV26" s="1266"/>
      <c r="TNW26" s="1266"/>
      <c r="TNX26" s="1266"/>
      <c r="TNY26" s="1266"/>
      <c r="TNZ26" s="1266"/>
      <c r="TOA26" s="1266"/>
      <c r="TOB26" s="1266"/>
      <c r="TOC26" s="1266"/>
      <c r="TOD26" s="1266"/>
      <c r="TOE26" s="1266"/>
      <c r="TOF26" s="1266"/>
      <c r="TOG26" s="1266"/>
      <c r="TOH26" s="1266"/>
      <c r="TOI26" s="1266"/>
      <c r="TOJ26" s="1266"/>
      <c r="TOK26" s="1266"/>
      <c r="TOL26" s="1266"/>
      <c r="TOM26" s="1266"/>
      <c r="TON26" s="1266"/>
      <c r="TOO26" s="1266"/>
      <c r="TOP26" s="1266"/>
      <c r="TOQ26" s="1266"/>
      <c r="TOR26" s="1266"/>
      <c r="TOS26" s="1266"/>
      <c r="TOT26" s="1266"/>
      <c r="TOU26" s="1266"/>
      <c r="TOV26" s="1266"/>
      <c r="TOW26" s="1266"/>
      <c r="TOX26" s="1266"/>
      <c r="TOY26" s="1266"/>
      <c r="TOZ26" s="1266"/>
      <c r="TPA26" s="1266"/>
      <c r="TPB26" s="1266"/>
      <c r="TPC26" s="1266"/>
      <c r="TPD26" s="1266"/>
      <c r="TPE26" s="1266"/>
      <c r="TPF26" s="1266"/>
      <c r="TPG26" s="1266"/>
      <c r="TPH26" s="1266"/>
      <c r="TPI26" s="1266"/>
      <c r="TPJ26" s="1266"/>
      <c r="TPK26" s="1266"/>
      <c r="TPL26" s="1266"/>
      <c r="TPM26" s="1266"/>
      <c r="TPN26" s="1266"/>
      <c r="TPO26" s="1266"/>
      <c r="TPP26" s="1266"/>
      <c r="TPQ26" s="1266"/>
      <c r="TPR26" s="1266"/>
      <c r="TPS26" s="1266"/>
      <c r="TPT26" s="1266"/>
      <c r="TPU26" s="1266"/>
      <c r="TPV26" s="1266"/>
      <c r="TPW26" s="1266"/>
      <c r="TPX26" s="1266"/>
      <c r="TPY26" s="1266"/>
      <c r="TPZ26" s="1266"/>
      <c r="TQA26" s="1266"/>
      <c r="TQB26" s="1266"/>
      <c r="TQC26" s="1266"/>
      <c r="TQD26" s="1266"/>
      <c r="TQE26" s="1266"/>
      <c r="TQF26" s="1266"/>
      <c r="TQG26" s="1266"/>
      <c r="TQH26" s="1266"/>
      <c r="TQI26" s="1266"/>
      <c r="TQJ26" s="1266"/>
      <c r="TQK26" s="1266"/>
      <c r="TQL26" s="1266"/>
      <c r="TQM26" s="1266"/>
      <c r="TQN26" s="1266"/>
      <c r="TQO26" s="1266"/>
      <c r="TQP26" s="1266"/>
      <c r="TQQ26" s="1266"/>
      <c r="TQR26" s="1266"/>
      <c r="TQS26" s="1266"/>
      <c r="TQT26" s="1266"/>
      <c r="TQU26" s="1266"/>
      <c r="TQV26" s="1266"/>
      <c r="TQW26" s="1266"/>
      <c r="TQX26" s="1266"/>
      <c r="TQY26" s="1266"/>
      <c r="TQZ26" s="1266"/>
      <c r="TRA26" s="1266"/>
      <c r="TRB26" s="1266"/>
      <c r="TRC26" s="1266"/>
      <c r="TRD26" s="1266"/>
      <c r="TRE26" s="1266"/>
      <c r="TRF26" s="1266"/>
      <c r="TRG26" s="1266"/>
      <c r="TRH26" s="1266"/>
      <c r="TRI26" s="1266"/>
      <c r="TRJ26" s="1266"/>
      <c r="TRK26" s="1266"/>
      <c r="TRL26" s="1266"/>
      <c r="TRM26" s="1266"/>
      <c r="TRN26" s="1266"/>
      <c r="TRO26" s="1266"/>
      <c r="TRP26" s="1266"/>
      <c r="TRQ26" s="1266"/>
      <c r="TRR26" s="1266"/>
      <c r="TRS26" s="1266"/>
      <c r="TRT26" s="1266"/>
      <c r="TRU26" s="1266"/>
      <c r="TRV26" s="1266"/>
      <c r="TRW26" s="1266"/>
      <c r="TRX26" s="1266"/>
      <c r="TRY26" s="1266"/>
      <c r="TRZ26" s="1266"/>
      <c r="TSA26" s="1266"/>
      <c r="TSB26" s="1266"/>
      <c r="TSC26" s="1266"/>
      <c r="TSD26" s="1266"/>
      <c r="TSE26" s="1266"/>
      <c r="TSF26" s="1266"/>
      <c r="TSG26" s="1266"/>
      <c r="TSH26" s="1266"/>
      <c r="TSI26" s="1266"/>
      <c r="TSJ26" s="1266"/>
      <c r="TSK26" s="1266"/>
      <c r="TSL26" s="1266"/>
      <c r="TSM26" s="1266"/>
      <c r="TSN26" s="1266"/>
      <c r="TSO26" s="1266"/>
      <c r="TSP26" s="1266"/>
      <c r="TSQ26" s="1266"/>
      <c r="TSR26" s="1266"/>
      <c r="TSS26" s="1266"/>
      <c r="TST26" s="1266"/>
      <c r="TSU26" s="1266"/>
      <c r="TSV26" s="1266"/>
      <c r="TSW26" s="1266"/>
      <c r="TSX26" s="1266"/>
      <c r="TSY26" s="1266"/>
      <c r="TSZ26" s="1266"/>
      <c r="TTA26" s="1266"/>
      <c r="TTB26" s="1266"/>
      <c r="TTC26" s="1266"/>
      <c r="TTD26" s="1266"/>
      <c r="TTE26" s="1266"/>
      <c r="TTF26" s="1266"/>
      <c r="TTG26" s="1266"/>
      <c r="TTH26" s="1266"/>
      <c r="TTI26" s="1266"/>
      <c r="TTJ26" s="1266"/>
      <c r="TTK26" s="1266"/>
      <c r="TTL26" s="1266"/>
      <c r="TTM26" s="1266"/>
      <c r="TTN26" s="1266"/>
      <c r="TTO26" s="1266"/>
      <c r="TTP26" s="1266"/>
      <c r="TTQ26" s="1266"/>
      <c r="TTR26" s="1266"/>
      <c r="TTS26" s="1266"/>
      <c r="TTT26" s="1266"/>
      <c r="TTU26" s="1266"/>
      <c r="TTV26" s="1266"/>
      <c r="TTW26" s="1266"/>
      <c r="TTX26" s="1266"/>
      <c r="TTY26" s="1266"/>
      <c r="TTZ26" s="1266"/>
      <c r="TUA26" s="1266"/>
      <c r="TUB26" s="1266"/>
      <c r="TUC26" s="1266"/>
      <c r="TUD26" s="1266"/>
      <c r="TUE26" s="1266"/>
      <c r="TUF26" s="1266"/>
      <c r="TUG26" s="1266"/>
      <c r="TUH26" s="1266"/>
      <c r="TUI26" s="1266"/>
      <c r="TUJ26" s="1266"/>
      <c r="TUK26" s="1266"/>
      <c r="TUL26" s="1266"/>
      <c r="TUM26" s="1266"/>
      <c r="TUN26" s="1266"/>
      <c r="TUO26" s="1266"/>
      <c r="TUP26" s="1266"/>
      <c r="TUQ26" s="1266"/>
      <c r="TUR26" s="1266"/>
      <c r="TUS26" s="1266"/>
      <c r="TUT26" s="1266"/>
      <c r="TUU26" s="1266"/>
      <c r="TUV26" s="1266"/>
      <c r="TUW26" s="1266"/>
      <c r="TUX26" s="1266"/>
      <c r="TUY26" s="1266"/>
      <c r="TUZ26" s="1266"/>
      <c r="TVA26" s="1266"/>
      <c r="TVB26" s="1266"/>
      <c r="TVC26" s="1266"/>
      <c r="TVD26" s="1266"/>
      <c r="TVE26" s="1266"/>
      <c r="TVF26" s="1266"/>
      <c r="TVG26" s="1266"/>
      <c r="TVH26" s="1266"/>
      <c r="TVI26" s="1266"/>
      <c r="TVJ26" s="1266"/>
      <c r="TVK26" s="1266"/>
      <c r="TVL26" s="1266"/>
      <c r="TVM26" s="1266"/>
      <c r="TVN26" s="1266"/>
      <c r="TVO26" s="1266"/>
      <c r="TVP26" s="1266"/>
      <c r="TVQ26" s="1266"/>
      <c r="TVR26" s="1266"/>
      <c r="TVS26" s="1266"/>
      <c r="TVT26" s="1266"/>
      <c r="TVU26" s="1266"/>
      <c r="TVV26" s="1266"/>
      <c r="TVW26" s="1266"/>
      <c r="TVX26" s="1266"/>
      <c r="TVY26" s="1266"/>
      <c r="TVZ26" s="1266"/>
      <c r="TWA26" s="1266"/>
      <c r="TWB26" s="1266"/>
      <c r="TWC26" s="1266"/>
      <c r="TWD26" s="1266"/>
      <c r="TWE26" s="1266"/>
      <c r="TWF26" s="1266"/>
      <c r="TWG26" s="1266"/>
      <c r="TWH26" s="1266"/>
      <c r="TWI26" s="1266"/>
      <c r="TWJ26" s="1266"/>
      <c r="TWK26" s="1266"/>
      <c r="TWL26" s="1266"/>
      <c r="TWM26" s="1266"/>
      <c r="TWN26" s="1266"/>
      <c r="TWO26" s="1266"/>
      <c r="TWP26" s="1266"/>
      <c r="TWQ26" s="1266"/>
      <c r="TWR26" s="1266"/>
      <c r="TWS26" s="1266"/>
      <c r="TWT26" s="1266"/>
      <c r="TWU26" s="1266"/>
      <c r="TWV26" s="1266"/>
      <c r="TWW26" s="1266"/>
      <c r="TWX26" s="1266"/>
      <c r="TWY26" s="1266"/>
      <c r="TWZ26" s="1266"/>
      <c r="TXA26" s="1266"/>
      <c r="TXB26" s="1266"/>
      <c r="TXC26" s="1266"/>
      <c r="TXD26" s="1266"/>
      <c r="TXE26" s="1266"/>
      <c r="TXF26" s="1266"/>
      <c r="TXG26" s="1266"/>
      <c r="TXH26" s="1266"/>
      <c r="TXI26" s="1266"/>
      <c r="TXJ26" s="1266"/>
      <c r="TXK26" s="1266"/>
      <c r="TXL26" s="1266"/>
      <c r="TXM26" s="1266"/>
      <c r="TXN26" s="1266"/>
      <c r="TXO26" s="1266"/>
      <c r="TXP26" s="1266"/>
      <c r="TXQ26" s="1266"/>
      <c r="TXR26" s="1266"/>
      <c r="TXS26" s="1266"/>
      <c r="TXT26" s="1266"/>
      <c r="TXU26" s="1266"/>
      <c r="TXV26" s="1266"/>
      <c r="TXW26" s="1266"/>
      <c r="TXX26" s="1266"/>
      <c r="TXY26" s="1266"/>
      <c r="TXZ26" s="1266"/>
      <c r="TYA26" s="1266"/>
      <c r="TYB26" s="1266"/>
      <c r="TYC26" s="1266"/>
      <c r="TYD26" s="1266"/>
      <c r="TYE26" s="1266"/>
      <c r="TYF26" s="1266"/>
      <c r="TYG26" s="1266"/>
      <c r="TYH26" s="1266"/>
      <c r="TYI26" s="1266"/>
      <c r="TYJ26" s="1266"/>
      <c r="TYK26" s="1266"/>
      <c r="TYL26" s="1266"/>
      <c r="TYM26" s="1266"/>
      <c r="TYN26" s="1266"/>
      <c r="TYO26" s="1266"/>
      <c r="TYP26" s="1266"/>
      <c r="TYQ26" s="1266"/>
      <c r="TYR26" s="1266"/>
      <c r="TYS26" s="1266"/>
      <c r="TYT26" s="1266"/>
      <c r="TYU26" s="1266"/>
      <c r="TYV26" s="1266"/>
      <c r="TYW26" s="1266"/>
      <c r="TYX26" s="1266"/>
      <c r="TYY26" s="1266"/>
      <c r="TYZ26" s="1266"/>
      <c r="TZA26" s="1266"/>
      <c r="TZB26" s="1266"/>
      <c r="TZC26" s="1266"/>
      <c r="TZD26" s="1266"/>
      <c r="TZE26" s="1266"/>
      <c r="TZF26" s="1266"/>
      <c r="TZG26" s="1266"/>
      <c r="TZH26" s="1266"/>
      <c r="TZI26" s="1266"/>
      <c r="TZJ26" s="1266"/>
      <c r="TZK26" s="1266"/>
      <c r="TZL26" s="1266"/>
      <c r="TZM26" s="1266"/>
      <c r="TZN26" s="1266"/>
      <c r="TZO26" s="1266"/>
      <c r="TZP26" s="1266"/>
      <c r="TZQ26" s="1266"/>
      <c r="TZR26" s="1266"/>
      <c r="TZS26" s="1266"/>
      <c r="TZT26" s="1266"/>
      <c r="TZU26" s="1266"/>
      <c r="TZV26" s="1266"/>
      <c r="TZW26" s="1266"/>
      <c r="TZX26" s="1266"/>
      <c r="TZY26" s="1266"/>
      <c r="TZZ26" s="1266"/>
      <c r="UAA26" s="1266"/>
      <c r="UAB26" s="1266"/>
      <c r="UAC26" s="1266"/>
      <c r="UAD26" s="1266"/>
      <c r="UAE26" s="1266"/>
      <c r="UAF26" s="1266"/>
      <c r="UAG26" s="1266"/>
      <c r="UAH26" s="1266"/>
      <c r="UAI26" s="1266"/>
      <c r="UAJ26" s="1266"/>
      <c r="UAK26" s="1266"/>
      <c r="UAL26" s="1266"/>
      <c r="UAM26" s="1266"/>
      <c r="UAN26" s="1266"/>
      <c r="UAO26" s="1266"/>
      <c r="UAP26" s="1266"/>
      <c r="UAQ26" s="1266"/>
      <c r="UAR26" s="1266"/>
      <c r="UAS26" s="1266"/>
      <c r="UAT26" s="1266"/>
      <c r="UAU26" s="1266"/>
      <c r="UAV26" s="1266"/>
      <c r="UAW26" s="1266"/>
      <c r="UAX26" s="1266"/>
      <c r="UAY26" s="1266"/>
      <c r="UAZ26" s="1266"/>
      <c r="UBA26" s="1266"/>
      <c r="UBB26" s="1266"/>
      <c r="UBC26" s="1266"/>
      <c r="UBD26" s="1266"/>
      <c r="UBE26" s="1266"/>
      <c r="UBF26" s="1266"/>
      <c r="UBG26" s="1266"/>
      <c r="UBH26" s="1266"/>
      <c r="UBI26" s="1266"/>
      <c r="UBJ26" s="1266"/>
      <c r="UBK26" s="1266"/>
      <c r="UBL26" s="1266"/>
      <c r="UBM26" s="1266"/>
      <c r="UBN26" s="1266"/>
      <c r="UBO26" s="1266"/>
      <c r="UBP26" s="1266"/>
      <c r="UBQ26" s="1266"/>
      <c r="UBR26" s="1266"/>
      <c r="UBS26" s="1266"/>
      <c r="UBT26" s="1266"/>
      <c r="UBU26" s="1266"/>
      <c r="UBV26" s="1266"/>
      <c r="UBW26" s="1266"/>
      <c r="UBX26" s="1266"/>
      <c r="UBY26" s="1266"/>
      <c r="UBZ26" s="1266"/>
      <c r="UCA26" s="1266"/>
      <c r="UCB26" s="1266"/>
      <c r="UCC26" s="1266"/>
      <c r="UCD26" s="1266"/>
      <c r="UCE26" s="1266"/>
      <c r="UCF26" s="1266"/>
      <c r="UCG26" s="1266"/>
      <c r="UCH26" s="1266"/>
      <c r="UCI26" s="1266"/>
      <c r="UCJ26" s="1266"/>
      <c r="UCK26" s="1266"/>
      <c r="UCL26" s="1266"/>
      <c r="UCM26" s="1266"/>
      <c r="UCN26" s="1266"/>
      <c r="UCO26" s="1266"/>
      <c r="UCP26" s="1266"/>
      <c r="UCQ26" s="1266"/>
      <c r="UCR26" s="1266"/>
      <c r="UCS26" s="1266"/>
      <c r="UCT26" s="1266"/>
      <c r="UCU26" s="1266"/>
      <c r="UCV26" s="1266"/>
      <c r="UCW26" s="1266"/>
      <c r="UCX26" s="1266"/>
      <c r="UCY26" s="1266"/>
      <c r="UCZ26" s="1266"/>
      <c r="UDA26" s="1266"/>
      <c r="UDB26" s="1266"/>
      <c r="UDC26" s="1266"/>
      <c r="UDD26" s="1266"/>
      <c r="UDE26" s="1266"/>
      <c r="UDF26" s="1266"/>
      <c r="UDG26" s="1266"/>
      <c r="UDH26" s="1266"/>
      <c r="UDI26" s="1266"/>
      <c r="UDJ26" s="1266"/>
      <c r="UDK26" s="1266"/>
      <c r="UDL26" s="1266"/>
      <c r="UDM26" s="1266"/>
      <c r="UDN26" s="1266"/>
      <c r="UDO26" s="1266"/>
      <c r="UDP26" s="1266"/>
      <c r="UDQ26" s="1266"/>
      <c r="UDR26" s="1266"/>
      <c r="UDS26" s="1266"/>
      <c r="UDT26" s="1266"/>
      <c r="UDU26" s="1266"/>
      <c r="UDV26" s="1266"/>
      <c r="UDW26" s="1266"/>
      <c r="UDX26" s="1266"/>
      <c r="UDY26" s="1266"/>
      <c r="UDZ26" s="1266"/>
      <c r="UEA26" s="1266"/>
      <c r="UEB26" s="1266"/>
      <c r="UEC26" s="1266"/>
      <c r="UED26" s="1266"/>
      <c r="UEE26" s="1266"/>
      <c r="UEF26" s="1266"/>
      <c r="UEG26" s="1266"/>
      <c r="UEH26" s="1266"/>
      <c r="UEI26" s="1266"/>
      <c r="UEJ26" s="1266"/>
      <c r="UEK26" s="1266"/>
      <c r="UEL26" s="1266"/>
      <c r="UEM26" s="1266"/>
      <c r="UEN26" s="1266"/>
      <c r="UEO26" s="1266"/>
      <c r="UEP26" s="1266"/>
      <c r="UEQ26" s="1266"/>
      <c r="UER26" s="1266"/>
      <c r="UES26" s="1266"/>
      <c r="UET26" s="1266"/>
      <c r="UEU26" s="1266"/>
      <c r="UEV26" s="1266"/>
      <c r="UEW26" s="1266"/>
      <c r="UEX26" s="1266"/>
      <c r="UEY26" s="1266"/>
      <c r="UEZ26" s="1266"/>
      <c r="UFA26" s="1266"/>
      <c r="UFB26" s="1266"/>
      <c r="UFC26" s="1266"/>
      <c r="UFD26" s="1266"/>
      <c r="UFE26" s="1266"/>
      <c r="UFF26" s="1266"/>
      <c r="UFG26" s="1266"/>
      <c r="UFH26" s="1266"/>
      <c r="UFI26" s="1266"/>
      <c r="UFJ26" s="1266"/>
      <c r="UFK26" s="1266"/>
      <c r="UFL26" s="1266"/>
      <c r="UFM26" s="1266"/>
      <c r="UFN26" s="1266"/>
      <c r="UFO26" s="1266"/>
      <c r="UFP26" s="1266"/>
      <c r="UFQ26" s="1266"/>
      <c r="UFR26" s="1266"/>
      <c r="UFS26" s="1266"/>
      <c r="UFT26" s="1266"/>
      <c r="UFU26" s="1266"/>
      <c r="UFV26" s="1266"/>
      <c r="UFW26" s="1266"/>
      <c r="UFX26" s="1266"/>
      <c r="UFY26" s="1266"/>
      <c r="UFZ26" s="1266"/>
      <c r="UGA26" s="1266"/>
      <c r="UGB26" s="1266"/>
      <c r="UGC26" s="1266"/>
      <c r="UGD26" s="1266"/>
      <c r="UGE26" s="1266"/>
      <c r="UGF26" s="1266"/>
      <c r="UGG26" s="1266"/>
      <c r="UGH26" s="1266"/>
      <c r="UGI26" s="1266"/>
      <c r="UGJ26" s="1266"/>
      <c r="UGK26" s="1266"/>
      <c r="UGL26" s="1266"/>
      <c r="UGM26" s="1266"/>
      <c r="UGN26" s="1266"/>
      <c r="UGO26" s="1266"/>
      <c r="UGP26" s="1266"/>
      <c r="UGQ26" s="1266"/>
      <c r="UGR26" s="1266"/>
      <c r="UGS26" s="1266"/>
      <c r="UGT26" s="1266"/>
      <c r="UGU26" s="1266"/>
      <c r="UGV26" s="1266"/>
      <c r="UGW26" s="1266"/>
      <c r="UGX26" s="1266"/>
      <c r="UGY26" s="1266"/>
      <c r="UGZ26" s="1266"/>
      <c r="UHA26" s="1266"/>
      <c r="UHB26" s="1266"/>
      <c r="UHC26" s="1266"/>
      <c r="UHD26" s="1266"/>
      <c r="UHE26" s="1266"/>
      <c r="UHF26" s="1266"/>
      <c r="UHG26" s="1266"/>
      <c r="UHH26" s="1266"/>
      <c r="UHI26" s="1266"/>
      <c r="UHJ26" s="1266"/>
      <c r="UHK26" s="1266"/>
      <c r="UHL26" s="1266"/>
      <c r="UHM26" s="1266"/>
      <c r="UHN26" s="1266"/>
      <c r="UHO26" s="1266"/>
      <c r="UHP26" s="1266"/>
      <c r="UHQ26" s="1266"/>
      <c r="UHR26" s="1266"/>
      <c r="UHS26" s="1266"/>
      <c r="UHT26" s="1266"/>
      <c r="UHU26" s="1266"/>
      <c r="UHV26" s="1266"/>
      <c r="UHW26" s="1266"/>
      <c r="UHX26" s="1266"/>
      <c r="UHY26" s="1266"/>
      <c r="UHZ26" s="1266"/>
      <c r="UIA26" s="1266"/>
      <c r="UIB26" s="1266"/>
      <c r="UIC26" s="1266"/>
      <c r="UID26" s="1266"/>
      <c r="UIE26" s="1266"/>
      <c r="UIF26" s="1266"/>
      <c r="UIG26" s="1266"/>
      <c r="UIH26" s="1266"/>
      <c r="UII26" s="1266"/>
      <c r="UIJ26" s="1266"/>
      <c r="UIK26" s="1266"/>
      <c r="UIL26" s="1266"/>
      <c r="UIM26" s="1266"/>
      <c r="UIN26" s="1266"/>
      <c r="UIO26" s="1266"/>
      <c r="UIP26" s="1266"/>
      <c r="UIQ26" s="1266"/>
      <c r="UIR26" s="1266"/>
      <c r="UIS26" s="1266"/>
      <c r="UIT26" s="1266"/>
      <c r="UIU26" s="1266"/>
      <c r="UIV26" s="1266"/>
      <c r="UIW26" s="1266"/>
      <c r="UIX26" s="1266"/>
      <c r="UIY26" s="1266"/>
      <c r="UIZ26" s="1266"/>
      <c r="UJA26" s="1266"/>
      <c r="UJB26" s="1266"/>
      <c r="UJC26" s="1266"/>
      <c r="UJD26" s="1266"/>
      <c r="UJE26" s="1266"/>
      <c r="UJF26" s="1266"/>
      <c r="UJG26" s="1266"/>
      <c r="UJH26" s="1266"/>
      <c r="UJI26" s="1266"/>
      <c r="UJJ26" s="1266"/>
      <c r="UJK26" s="1266"/>
      <c r="UJL26" s="1266"/>
      <c r="UJM26" s="1266"/>
      <c r="UJN26" s="1266"/>
      <c r="UJO26" s="1266"/>
      <c r="UJP26" s="1266"/>
      <c r="UJQ26" s="1266"/>
      <c r="UJR26" s="1266"/>
      <c r="UJS26" s="1266"/>
      <c r="UJT26" s="1266"/>
      <c r="UJU26" s="1266"/>
      <c r="UJV26" s="1266"/>
      <c r="UJW26" s="1266"/>
      <c r="UJX26" s="1266"/>
      <c r="UJY26" s="1266"/>
      <c r="UJZ26" s="1266"/>
      <c r="UKA26" s="1266"/>
      <c r="UKB26" s="1266"/>
      <c r="UKC26" s="1266"/>
      <c r="UKD26" s="1266"/>
      <c r="UKE26" s="1266"/>
      <c r="UKF26" s="1266"/>
      <c r="UKG26" s="1266"/>
      <c r="UKH26" s="1266"/>
      <c r="UKI26" s="1266"/>
      <c r="UKJ26" s="1266"/>
      <c r="UKK26" s="1266"/>
      <c r="UKL26" s="1266"/>
      <c r="UKM26" s="1266"/>
      <c r="UKN26" s="1266"/>
      <c r="UKO26" s="1266"/>
      <c r="UKP26" s="1266"/>
      <c r="UKQ26" s="1266"/>
      <c r="UKR26" s="1266"/>
      <c r="UKS26" s="1266"/>
      <c r="UKT26" s="1266"/>
      <c r="UKU26" s="1266"/>
      <c r="UKV26" s="1266"/>
      <c r="UKW26" s="1266"/>
      <c r="UKX26" s="1266"/>
      <c r="UKY26" s="1266"/>
      <c r="UKZ26" s="1266"/>
      <c r="ULA26" s="1266"/>
      <c r="ULB26" s="1266"/>
      <c r="ULC26" s="1266"/>
      <c r="ULD26" s="1266"/>
      <c r="ULE26" s="1266"/>
      <c r="ULF26" s="1266"/>
      <c r="ULG26" s="1266"/>
      <c r="ULH26" s="1266"/>
      <c r="ULI26" s="1266"/>
      <c r="ULJ26" s="1266"/>
      <c r="ULK26" s="1266"/>
      <c r="ULL26" s="1266"/>
      <c r="ULM26" s="1266"/>
      <c r="ULN26" s="1266"/>
      <c r="ULO26" s="1266"/>
      <c r="ULP26" s="1266"/>
      <c r="ULQ26" s="1266"/>
      <c r="ULR26" s="1266"/>
      <c r="ULS26" s="1266"/>
      <c r="ULT26" s="1266"/>
      <c r="ULU26" s="1266"/>
      <c r="ULV26" s="1266"/>
      <c r="ULW26" s="1266"/>
      <c r="ULX26" s="1266"/>
      <c r="ULY26" s="1266"/>
      <c r="ULZ26" s="1266"/>
      <c r="UMA26" s="1266"/>
      <c r="UMB26" s="1266"/>
      <c r="UMC26" s="1266"/>
      <c r="UMD26" s="1266"/>
      <c r="UME26" s="1266"/>
      <c r="UMF26" s="1266"/>
      <c r="UMG26" s="1266"/>
      <c r="UMH26" s="1266"/>
      <c r="UMI26" s="1266"/>
      <c r="UMJ26" s="1266"/>
      <c r="UMK26" s="1266"/>
      <c r="UML26" s="1266"/>
      <c r="UMM26" s="1266"/>
      <c r="UMN26" s="1266"/>
      <c r="UMO26" s="1266"/>
      <c r="UMP26" s="1266"/>
      <c r="UMQ26" s="1266"/>
      <c r="UMR26" s="1266"/>
      <c r="UMS26" s="1266"/>
      <c r="UMT26" s="1266"/>
      <c r="UMU26" s="1266"/>
      <c r="UMV26" s="1266"/>
      <c r="UMW26" s="1266"/>
      <c r="UMX26" s="1266"/>
      <c r="UMY26" s="1266"/>
      <c r="UMZ26" s="1266"/>
      <c r="UNA26" s="1266"/>
      <c r="UNB26" s="1266"/>
      <c r="UNC26" s="1266"/>
      <c r="UND26" s="1266"/>
      <c r="UNE26" s="1266"/>
      <c r="UNF26" s="1266"/>
      <c r="UNG26" s="1266"/>
      <c r="UNH26" s="1266"/>
      <c r="UNI26" s="1266"/>
      <c r="UNJ26" s="1266"/>
      <c r="UNK26" s="1266"/>
      <c r="UNL26" s="1266"/>
      <c r="UNM26" s="1266"/>
      <c r="UNN26" s="1266"/>
      <c r="UNO26" s="1266"/>
      <c r="UNP26" s="1266"/>
      <c r="UNQ26" s="1266"/>
      <c r="UNR26" s="1266"/>
      <c r="UNS26" s="1266"/>
      <c r="UNT26" s="1266"/>
      <c r="UNU26" s="1266"/>
      <c r="UNV26" s="1266"/>
      <c r="UNW26" s="1266"/>
      <c r="UNX26" s="1266"/>
      <c r="UNY26" s="1266"/>
      <c r="UNZ26" s="1266"/>
      <c r="UOA26" s="1266"/>
      <c r="UOB26" s="1266"/>
      <c r="UOC26" s="1266"/>
      <c r="UOD26" s="1266"/>
      <c r="UOE26" s="1266"/>
      <c r="UOF26" s="1266"/>
      <c r="UOG26" s="1266"/>
      <c r="UOH26" s="1266"/>
      <c r="UOI26" s="1266"/>
      <c r="UOJ26" s="1266"/>
      <c r="UOK26" s="1266"/>
      <c r="UOL26" s="1266"/>
      <c r="UOM26" s="1266"/>
      <c r="UON26" s="1266"/>
      <c r="UOO26" s="1266"/>
      <c r="UOP26" s="1266"/>
      <c r="UOQ26" s="1266"/>
      <c r="UOR26" s="1266"/>
      <c r="UOS26" s="1266"/>
      <c r="UOT26" s="1266"/>
      <c r="UOU26" s="1266"/>
      <c r="UOV26" s="1266"/>
      <c r="UOW26" s="1266"/>
      <c r="UOX26" s="1266"/>
      <c r="UOY26" s="1266"/>
      <c r="UOZ26" s="1266"/>
      <c r="UPA26" s="1266"/>
      <c r="UPB26" s="1266"/>
      <c r="UPC26" s="1266"/>
      <c r="UPD26" s="1266"/>
      <c r="UPE26" s="1266"/>
      <c r="UPF26" s="1266"/>
      <c r="UPG26" s="1266"/>
      <c r="UPH26" s="1266"/>
      <c r="UPI26" s="1266"/>
      <c r="UPJ26" s="1266"/>
      <c r="UPK26" s="1266"/>
      <c r="UPL26" s="1266"/>
      <c r="UPM26" s="1266"/>
      <c r="UPN26" s="1266"/>
      <c r="UPO26" s="1266"/>
      <c r="UPP26" s="1266"/>
      <c r="UPQ26" s="1266"/>
      <c r="UPR26" s="1266"/>
      <c r="UPS26" s="1266"/>
      <c r="UPT26" s="1266"/>
      <c r="UPU26" s="1266"/>
      <c r="UPV26" s="1266"/>
      <c r="UPW26" s="1266"/>
      <c r="UPX26" s="1266"/>
      <c r="UPY26" s="1266"/>
      <c r="UPZ26" s="1266"/>
      <c r="UQA26" s="1266"/>
      <c r="UQB26" s="1266"/>
      <c r="UQC26" s="1266"/>
      <c r="UQD26" s="1266"/>
      <c r="UQE26" s="1266"/>
      <c r="UQF26" s="1266"/>
      <c r="UQG26" s="1266"/>
      <c r="UQH26" s="1266"/>
      <c r="UQI26" s="1266"/>
      <c r="UQJ26" s="1266"/>
      <c r="UQK26" s="1266"/>
      <c r="UQL26" s="1266"/>
      <c r="UQM26" s="1266"/>
      <c r="UQN26" s="1266"/>
      <c r="UQO26" s="1266"/>
      <c r="UQP26" s="1266"/>
      <c r="UQQ26" s="1266"/>
      <c r="UQR26" s="1266"/>
      <c r="UQS26" s="1266"/>
      <c r="UQT26" s="1266"/>
      <c r="UQU26" s="1266"/>
      <c r="UQV26" s="1266"/>
      <c r="UQW26" s="1266"/>
      <c r="UQX26" s="1266"/>
      <c r="UQY26" s="1266"/>
      <c r="UQZ26" s="1266"/>
      <c r="URA26" s="1266"/>
      <c r="URB26" s="1266"/>
      <c r="URC26" s="1266"/>
      <c r="URD26" s="1266"/>
      <c r="URE26" s="1266"/>
      <c r="URF26" s="1266"/>
      <c r="URG26" s="1266"/>
      <c r="URH26" s="1266"/>
      <c r="URI26" s="1266"/>
      <c r="URJ26" s="1266"/>
      <c r="URK26" s="1266"/>
      <c r="URL26" s="1266"/>
      <c r="URM26" s="1266"/>
      <c r="URN26" s="1266"/>
      <c r="URO26" s="1266"/>
      <c r="URP26" s="1266"/>
      <c r="URQ26" s="1266"/>
      <c r="URR26" s="1266"/>
      <c r="URS26" s="1266"/>
      <c r="URT26" s="1266"/>
      <c r="URU26" s="1266"/>
      <c r="URV26" s="1266"/>
      <c r="URW26" s="1266"/>
      <c r="URX26" s="1266"/>
      <c r="URY26" s="1266"/>
      <c r="URZ26" s="1266"/>
      <c r="USA26" s="1266"/>
      <c r="USB26" s="1266"/>
      <c r="USC26" s="1266"/>
      <c r="USD26" s="1266"/>
      <c r="USE26" s="1266"/>
      <c r="USF26" s="1266"/>
      <c r="USG26" s="1266"/>
      <c r="USH26" s="1266"/>
      <c r="USI26" s="1266"/>
      <c r="USJ26" s="1266"/>
      <c r="USK26" s="1266"/>
      <c r="USL26" s="1266"/>
      <c r="USM26" s="1266"/>
      <c r="USN26" s="1266"/>
      <c r="USO26" s="1266"/>
      <c r="USP26" s="1266"/>
      <c r="USQ26" s="1266"/>
      <c r="USR26" s="1266"/>
      <c r="USS26" s="1266"/>
      <c r="UST26" s="1266"/>
      <c r="USU26" s="1266"/>
      <c r="USV26" s="1266"/>
      <c r="USW26" s="1266"/>
      <c r="USX26" s="1266"/>
      <c r="USY26" s="1266"/>
      <c r="USZ26" s="1266"/>
      <c r="UTA26" s="1266"/>
      <c r="UTB26" s="1266"/>
      <c r="UTC26" s="1266"/>
      <c r="UTD26" s="1266"/>
      <c r="UTE26" s="1266"/>
      <c r="UTF26" s="1266"/>
      <c r="UTG26" s="1266"/>
      <c r="UTH26" s="1266"/>
      <c r="UTI26" s="1266"/>
      <c r="UTJ26" s="1266"/>
      <c r="UTK26" s="1266"/>
      <c r="UTL26" s="1266"/>
      <c r="UTM26" s="1266"/>
      <c r="UTN26" s="1266"/>
      <c r="UTO26" s="1266"/>
      <c r="UTP26" s="1266"/>
      <c r="UTQ26" s="1266"/>
      <c r="UTR26" s="1266"/>
      <c r="UTS26" s="1266"/>
      <c r="UTT26" s="1266"/>
      <c r="UTU26" s="1266"/>
      <c r="UTV26" s="1266"/>
      <c r="UTW26" s="1266"/>
      <c r="UTX26" s="1266"/>
      <c r="UTY26" s="1266"/>
      <c r="UTZ26" s="1266"/>
      <c r="UUA26" s="1266"/>
      <c r="UUB26" s="1266"/>
      <c r="UUC26" s="1266"/>
      <c r="UUD26" s="1266"/>
      <c r="UUE26" s="1266"/>
      <c r="UUF26" s="1266"/>
      <c r="UUG26" s="1266"/>
      <c r="UUH26" s="1266"/>
      <c r="UUI26" s="1266"/>
      <c r="UUJ26" s="1266"/>
      <c r="UUK26" s="1266"/>
      <c r="UUL26" s="1266"/>
      <c r="UUM26" s="1266"/>
      <c r="UUN26" s="1266"/>
      <c r="UUO26" s="1266"/>
      <c r="UUP26" s="1266"/>
      <c r="UUQ26" s="1266"/>
      <c r="UUR26" s="1266"/>
      <c r="UUS26" s="1266"/>
      <c r="UUT26" s="1266"/>
      <c r="UUU26" s="1266"/>
      <c r="UUV26" s="1266"/>
      <c r="UUW26" s="1266"/>
      <c r="UUX26" s="1266"/>
      <c r="UUY26" s="1266"/>
      <c r="UUZ26" s="1266"/>
      <c r="UVA26" s="1266"/>
      <c r="UVB26" s="1266"/>
      <c r="UVC26" s="1266"/>
      <c r="UVD26" s="1266"/>
      <c r="UVE26" s="1266"/>
      <c r="UVF26" s="1266"/>
      <c r="UVG26" s="1266"/>
      <c r="UVH26" s="1266"/>
      <c r="UVI26" s="1266"/>
      <c r="UVJ26" s="1266"/>
      <c r="UVK26" s="1266"/>
      <c r="UVL26" s="1266"/>
      <c r="UVM26" s="1266"/>
      <c r="UVN26" s="1266"/>
      <c r="UVO26" s="1266"/>
      <c r="UVP26" s="1266"/>
      <c r="UVQ26" s="1266"/>
      <c r="UVR26" s="1266"/>
      <c r="UVS26" s="1266"/>
      <c r="UVT26" s="1266"/>
      <c r="UVU26" s="1266"/>
      <c r="UVV26" s="1266"/>
      <c r="UVW26" s="1266"/>
      <c r="UVX26" s="1266"/>
      <c r="UVY26" s="1266"/>
      <c r="UVZ26" s="1266"/>
      <c r="UWA26" s="1266"/>
      <c r="UWB26" s="1266"/>
      <c r="UWC26" s="1266"/>
      <c r="UWD26" s="1266"/>
      <c r="UWE26" s="1266"/>
      <c r="UWF26" s="1266"/>
      <c r="UWG26" s="1266"/>
      <c r="UWH26" s="1266"/>
      <c r="UWI26" s="1266"/>
      <c r="UWJ26" s="1266"/>
      <c r="UWK26" s="1266"/>
      <c r="UWL26" s="1266"/>
      <c r="UWM26" s="1266"/>
      <c r="UWN26" s="1266"/>
      <c r="UWO26" s="1266"/>
      <c r="UWP26" s="1266"/>
      <c r="UWQ26" s="1266"/>
      <c r="UWR26" s="1266"/>
      <c r="UWS26" s="1266"/>
      <c r="UWT26" s="1266"/>
      <c r="UWU26" s="1266"/>
      <c r="UWV26" s="1266"/>
      <c r="UWW26" s="1266"/>
      <c r="UWX26" s="1266"/>
      <c r="UWY26" s="1266"/>
      <c r="UWZ26" s="1266"/>
      <c r="UXA26" s="1266"/>
      <c r="UXB26" s="1266"/>
      <c r="UXC26" s="1266"/>
      <c r="UXD26" s="1266"/>
      <c r="UXE26" s="1266"/>
      <c r="UXF26" s="1266"/>
      <c r="UXG26" s="1266"/>
      <c r="UXH26" s="1266"/>
      <c r="UXI26" s="1266"/>
      <c r="UXJ26" s="1266"/>
      <c r="UXK26" s="1266"/>
      <c r="UXL26" s="1266"/>
      <c r="UXM26" s="1266"/>
      <c r="UXN26" s="1266"/>
      <c r="UXO26" s="1266"/>
      <c r="UXP26" s="1266"/>
      <c r="UXQ26" s="1266"/>
      <c r="UXR26" s="1266"/>
      <c r="UXS26" s="1266"/>
      <c r="UXT26" s="1266"/>
      <c r="UXU26" s="1266"/>
      <c r="UXV26" s="1266"/>
      <c r="UXW26" s="1266"/>
      <c r="UXX26" s="1266"/>
      <c r="UXY26" s="1266"/>
      <c r="UXZ26" s="1266"/>
      <c r="UYA26" s="1266"/>
      <c r="UYB26" s="1266"/>
      <c r="UYC26" s="1266"/>
      <c r="UYD26" s="1266"/>
      <c r="UYE26" s="1266"/>
      <c r="UYF26" s="1266"/>
      <c r="UYG26" s="1266"/>
      <c r="UYH26" s="1266"/>
      <c r="UYI26" s="1266"/>
      <c r="UYJ26" s="1266"/>
      <c r="UYK26" s="1266"/>
      <c r="UYL26" s="1266"/>
      <c r="UYM26" s="1266"/>
      <c r="UYN26" s="1266"/>
      <c r="UYO26" s="1266"/>
      <c r="UYP26" s="1266"/>
      <c r="UYQ26" s="1266"/>
      <c r="UYR26" s="1266"/>
      <c r="UYS26" s="1266"/>
      <c r="UYT26" s="1266"/>
      <c r="UYU26" s="1266"/>
      <c r="UYV26" s="1266"/>
      <c r="UYW26" s="1266"/>
      <c r="UYX26" s="1266"/>
      <c r="UYY26" s="1266"/>
      <c r="UYZ26" s="1266"/>
      <c r="UZA26" s="1266"/>
      <c r="UZB26" s="1266"/>
      <c r="UZC26" s="1266"/>
      <c r="UZD26" s="1266"/>
      <c r="UZE26" s="1266"/>
      <c r="UZF26" s="1266"/>
      <c r="UZG26" s="1266"/>
      <c r="UZH26" s="1266"/>
      <c r="UZI26" s="1266"/>
      <c r="UZJ26" s="1266"/>
      <c r="UZK26" s="1266"/>
      <c r="UZL26" s="1266"/>
      <c r="UZM26" s="1266"/>
      <c r="UZN26" s="1266"/>
      <c r="UZO26" s="1266"/>
      <c r="UZP26" s="1266"/>
      <c r="UZQ26" s="1266"/>
      <c r="UZR26" s="1266"/>
      <c r="UZS26" s="1266"/>
      <c r="UZT26" s="1266"/>
      <c r="UZU26" s="1266"/>
      <c r="UZV26" s="1266"/>
      <c r="UZW26" s="1266"/>
      <c r="UZX26" s="1266"/>
      <c r="UZY26" s="1266"/>
      <c r="UZZ26" s="1266"/>
      <c r="VAA26" s="1266"/>
      <c r="VAB26" s="1266"/>
      <c r="VAC26" s="1266"/>
      <c r="VAD26" s="1266"/>
      <c r="VAE26" s="1266"/>
      <c r="VAF26" s="1266"/>
      <c r="VAG26" s="1266"/>
      <c r="VAH26" s="1266"/>
      <c r="VAI26" s="1266"/>
      <c r="VAJ26" s="1266"/>
      <c r="VAK26" s="1266"/>
      <c r="VAL26" s="1266"/>
      <c r="VAM26" s="1266"/>
      <c r="VAN26" s="1266"/>
      <c r="VAO26" s="1266"/>
      <c r="VAP26" s="1266"/>
      <c r="VAQ26" s="1266"/>
      <c r="VAR26" s="1266"/>
      <c r="VAS26" s="1266"/>
      <c r="VAT26" s="1266"/>
      <c r="VAU26" s="1266"/>
      <c r="VAV26" s="1266"/>
      <c r="VAW26" s="1266"/>
      <c r="VAX26" s="1266"/>
      <c r="VAY26" s="1266"/>
      <c r="VAZ26" s="1266"/>
      <c r="VBA26" s="1266"/>
      <c r="VBB26" s="1266"/>
      <c r="VBC26" s="1266"/>
      <c r="VBD26" s="1266"/>
      <c r="VBE26" s="1266"/>
      <c r="VBF26" s="1266"/>
      <c r="VBG26" s="1266"/>
      <c r="VBH26" s="1266"/>
      <c r="VBI26" s="1266"/>
      <c r="VBJ26" s="1266"/>
      <c r="VBK26" s="1266"/>
      <c r="VBL26" s="1266"/>
      <c r="VBM26" s="1266"/>
      <c r="VBN26" s="1266"/>
      <c r="VBO26" s="1266"/>
      <c r="VBP26" s="1266"/>
      <c r="VBQ26" s="1266"/>
      <c r="VBR26" s="1266"/>
      <c r="VBS26" s="1266"/>
      <c r="VBT26" s="1266"/>
      <c r="VBU26" s="1266"/>
      <c r="VBV26" s="1266"/>
      <c r="VBW26" s="1266"/>
      <c r="VBX26" s="1266"/>
      <c r="VBY26" s="1266"/>
      <c r="VBZ26" s="1266"/>
      <c r="VCA26" s="1266"/>
      <c r="VCB26" s="1266"/>
      <c r="VCC26" s="1266"/>
      <c r="VCD26" s="1266"/>
      <c r="VCE26" s="1266"/>
      <c r="VCF26" s="1266"/>
      <c r="VCG26" s="1266"/>
      <c r="VCH26" s="1266"/>
      <c r="VCI26" s="1266"/>
      <c r="VCJ26" s="1266"/>
      <c r="VCK26" s="1266"/>
      <c r="VCL26" s="1266"/>
      <c r="VCM26" s="1266"/>
      <c r="VCN26" s="1266"/>
      <c r="VCO26" s="1266"/>
      <c r="VCP26" s="1266"/>
      <c r="VCQ26" s="1266"/>
      <c r="VCR26" s="1266"/>
      <c r="VCS26" s="1266"/>
      <c r="VCT26" s="1266"/>
      <c r="VCU26" s="1266"/>
      <c r="VCV26" s="1266"/>
      <c r="VCW26" s="1266"/>
      <c r="VCX26" s="1266"/>
      <c r="VCY26" s="1266"/>
      <c r="VCZ26" s="1266"/>
      <c r="VDA26" s="1266"/>
      <c r="VDB26" s="1266"/>
      <c r="VDC26" s="1266"/>
      <c r="VDD26" s="1266"/>
      <c r="VDE26" s="1266"/>
      <c r="VDF26" s="1266"/>
      <c r="VDG26" s="1266"/>
      <c r="VDH26" s="1266"/>
      <c r="VDI26" s="1266"/>
      <c r="VDJ26" s="1266"/>
      <c r="VDK26" s="1266"/>
      <c r="VDL26" s="1266"/>
      <c r="VDM26" s="1266"/>
      <c r="VDN26" s="1266"/>
      <c r="VDO26" s="1266"/>
      <c r="VDP26" s="1266"/>
      <c r="VDQ26" s="1266"/>
      <c r="VDR26" s="1266"/>
      <c r="VDS26" s="1266"/>
      <c r="VDT26" s="1266"/>
      <c r="VDU26" s="1266"/>
      <c r="VDV26" s="1266"/>
      <c r="VDW26" s="1266"/>
      <c r="VDX26" s="1266"/>
      <c r="VDY26" s="1266"/>
      <c r="VDZ26" s="1266"/>
      <c r="VEA26" s="1266"/>
      <c r="VEB26" s="1266"/>
      <c r="VEC26" s="1266"/>
      <c r="VED26" s="1266"/>
      <c r="VEE26" s="1266"/>
      <c r="VEF26" s="1266"/>
      <c r="VEG26" s="1266"/>
      <c r="VEH26" s="1266"/>
      <c r="VEI26" s="1266"/>
      <c r="VEJ26" s="1266"/>
      <c r="VEK26" s="1266"/>
      <c r="VEL26" s="1266"/>
      <c r="VEM26" s="1266"/>
      <c r="VEN26" s="1266"/>
      <c r="VEO26" s="1266"/>
      <c r="VEP26" s="1266"/>
      <c r="VEQ26" s="1266"/>
      <c r="VER26" s="1266"/>
      <c r="VES26" s="1266"/>
      <c r="VET26" s="1266"/>
      <c r="VEU26" s="1266"/>
      <c r="VEV26" s="1266"/>
      <c r="VEW26" s="1266"/>
      <c r="VEX26" s="1266"/>
      <c r="VEY26" s="1266"/>
      <c r="VEZ26" s="1266"/>
      <c r="VFA26" s="1266"/>
      <c r="VFB26" s="1266"/>
      <c r="VFC26" s="1266"/>
      <c r="VFD26" s="1266"/>
      <c r="VFE26" s="1266"/>
      <c r="VFF26" s="1266"/>
      <c r="VFG26" s="1266"/>
      <c r="VFH26" s="1266"/>
      <c r="VFI26" s="1266"/>
      <c r="VFJ26" s="1266"/>
      <c r="VFK26" s="1266"/>
      <c r="VFL26" s="1266"/>
      <c r="VFM26" s="1266"/>
      <c r="VFN26" s="1266"/>
      <c r="VFO26" s="1266"/>
      <c r="VFP26" s="1266"/>
      <c r="VFQ26" s="1266"/>
      <c r="VFR26" s="1266"/>
      <c r="VFS26" s="1266"/>
      <c r="VFT26" s="1266"/>
      <c r="VFU26" s="1266"/>
      <c r="VFV26" s="1266"/>
      <c r="VFW26" s="1266"/>
      <c r="VFX26" s="1266"/>
      <c r="VFY26" s="1266"/>
      <c r="VFZ26" s="1266"/>
      <c r="VGA26" s="1266"/>
      <c r="VGB26" s="1266"/>
      <c r="VGC26" s="1266"/>
      <c r="VGD26" s="1266"/>
      <c r="VGE26" s="1266"/>
      <c r="VGF26" s="1266"/>
      <c r="VGG26" s="1266"/>
      <c r="VGH26" s="1266"/>
      <c r="VGI26" s="1266"/>
      <c r="VGJ26" s="1266"/>
      <c r="VGK26" s="1266"/>
      <c r="VGL26" s="1266"/>
      <c r="VGM26" s="1266"/>
      <c r="VGN26" s="1266"/>
      <c r="VGO26" s="1266"/>
      <c r="VGP26" s="1266"/>
      <c r="VGQ26" s="1266"/>
      <c r="VGR26" s="1266"/>
      <c r="VGS26" s="1266"/>
      <c r="VGT26" s="1266"/>
      <c r="VGU26" s="1266"/>
      <c r="VGV26" s="1266"/>
      <c r="VGW26" s="1266"/>
      <c r="VGX26" s="1266"/>
      <c r="VGY26" s="1266"/>
      <c r="VGZ26" s="1266"/>
      <c r="VHA26" s="1266"/>
      <c r="VHB26" s="1266"/>
      <c r="VHC26" s="1266"/>
      <c r="VHD26" s="1266"/>
      <c r="VHE26" s="1266"/>
      <c r="VHF26" s="1266"/>
      <c r="VHG26" s="1266"/>
      <c r="VHH26" s="1266"/>
      <c r="VHI26" s="1266"/>
      <c r="VHJ26" s="1266"/>
      <c r="VHK26" s="1266"/>
      <c r="VHL26" s="1266"/>
      <c r="VHM26" s="1266"/>
      <c r="VHN26" s="1266"/>
      <c r="VHO26" s="1266"/>
      <c r="VHP26" s="1266"/>
      <c r="VHQ26" s="1266"/>
      <c r="VHR26" s="1266"/>
      <c r="VHS26" s="1266"/>
      <c r="VHT26" s="1266"/>
      <c r="VHU26" s="1266"/>
      <c r="VHV26" s="1266"/>
      <c r="VHW26" s="1266"/>
      <c r="VHX26" s="1266"/>
      <c r="VHY26" s="1266"/>
      <c r="VHZ26" s="1266"/>
      <c r="VIA26" s="1266"/>
      <c r="VIB26" s="1266"/>
      <c r="VIC26" s="1266"/>
      <c r="VID26" s="1266"/>
      <c r="VIE26" s="1266"/>
      <c r="VIF26" s="1266"/>
      <c r="VIG26" s="1266"/>
      <c r="VIH26" s="1266"/>
      <c r="VII26" s="1266"/>
      <c r="VIJ26" s="1266"/>
      <c r="VIK26" s="1266"/>
      <c r="VIL26" s="1266"/>
      <c r="VIM26" s="1266"/>
      <c r="VIN26" s="1266"/>
      <c r="VIO26" s="1266"/>
      <c r="VIP26" s="1266"/>
      <c r="VIQ26" s="1266"/>
      <c r="VIR26" s="1266"/>
      <c r="VIS26" s="1266"/>
      <c r="VIT26" s="1266"/>
      <c r="VIU26" s="1266"/>
      <c r="VIV26" s="1266"/>
      <c r="VIW26" s="1266"/>
      <c r="VIX26" s="1266"/>
      <c r="VIY26" s="1266"/>
      <c r="VIZ26" s="1266"/>
      <c r="VJA26" s="1266"/>
      <c r="VJB26" s="1266"/>
      <c r="VJC26" s="1266"/>
      <c r="VJD26" s="1266"/>
      <c r="VJE26" s="1266"/>
      <c r="VJF26" s="1266"/>
      <c r="VJG26" s="1266"/>
      <c r="VJH26" s="1266"/>
      <c r="VJI26" s="1266"/>
      <c r="VJJ26" s="1266"/>
      <c r="VJK26" s="1266"/>
      <c r="VJL26" s="1266"/>
      <c r="VJM26" s="1266"/>
      <c r="VJN26" s="1266"/>
      <c r="VJO26" s="1266"/>
      <c r="VJP26" s="1266"/>
      <c r="VJQ26" s="1266"/>
      <c r="VJR26" s="1266"/>
      <c r="VJS26" s="1266"/>
      <c r="VJT26" s="1266"/>
      <c r="VJU26" s="1266"/>
      <c r="VJV26" s="1266"/>
      <c r="VJW26" s="1266"/>
      <c r="VJX26" s="1266"/>
      <c r="VJY26" s="1266"/>
      <c r="VJZ26" s="1266"/>
      <c r="VKA26" s="1266"/>
      <c r="VKB26" s="1266"/>
      <c r="VKC26" s="1266"/>
      <c r="VKD26" s="1266"/>
      <c r="VKE26" s="1266"/>
      <c r="VKF26" s="1266"/>
      <c r="VKG26" s="1266"/>
      <c r="VKH26" s="1266"/>
      <c r="VKI26" s="1266"/>
      <c r="VKJ26" s="1266"/>
      <c r="VKK26" s="1266"/>
      <c r="VKL26" s="1266"/>
      <c r="VKM26" s="1266"/>
      <c r="VKN26" s="1266"/>
      <c r="VKO26" s="1266"/>
      <c r="VKP26" s="1266"/>
      <c r="VKQ26" s="1266"/>
      <c r="VKR26" s="1266"/>
      <c r="VKS26" s="1266"/>
      <c r="VKT26" s="1266"/>
      <c r="VKU26" s="1266"/>
      <c r="VKV26" s="1266"/>
      <c r="VKW26" s="1266"/>
      <c r="VKX26" s="1266"/>
      <c r="VKY26" s="1266"/>
      <c r="VKZ26" s="1266"/>
      <c r="VLA26" s="1266"/>
      <c r="VLB26" s="1266"/>
      <c r="VLC26" s="1266"/>
      <c r="VLD26" s="1266"/>
      <c r="VLE26" s="1266"/>
      <c r="VLF26" s="1266"/>
      <c r="VLG26" s="1266"/>
      <c r="VLH26" s="1266"/>
      <c r="VLI26" s="1266"/>
      <c r="VLJ26" s="1266"/>
      <c r="VLK26" s="1266"/>
      <c r="VLL26" s="1266"/>
      <c r="VLM26" s="1266"/>
      <c r="VLN26" s="1266"/>
      <c r="VLO26" s="1266"/>
      <c r="VLP26" s="1266"/>
      <c r="VLQ26" s="1266"/>
      <c r="VLR26" s="1266"/>
      <c r="VLS26" s="1266"/>
      <c r="VLT26" s="1266"/>
      <c r="VLU26" s="1266"/>
      <c r="VLV26" s="1266"/>
      <c r="VLW26" s="1266"/>
      <c r="VLX26" s="1266"/>
      <c r="VLY26" s="1266"/>
      <c r="VLZ26" s="1266"/>
      <c r="VMA26" s="1266"/>
      <c r="VMB26" s="1266"/>
      <c r="VMC26" s="1266"/>
      <c r="VMD26" s="1266"/>
      <c r="VME26" s="1266"/>
      <c r="VMF26" s="1266"/>
      <c r="VMG26" s="1266"/>
      <c r="VMH26" s="1266"/>
      <c r="VMI26" s="1266"/>
      <c r="VMJ26" s="1266"/>
      <c r="VMK26" s="1266"/>
      <c r="VML26" s="1266"/>
      <c r="VMM26" s="1266"/>
      <c r="VMN26" s="1266"/>
      <c r="VMO26" s="1266"/>
      <c r="VMP26" s="1266"/>
      <c r="VMQ26" s="1266"/>
      <c r="VMR26" s="1266"/>
      <c r="VMS26" s="1266"/>
      <c r="VMT26" s="1266"/>
      <c r="VMU26" s="1266"/>
      <c r="VMV26" s="1266"/>
      <c r="VMW26" s="1266"/>
      <c r="VMX26" s="1266"/>
      <c r="VMY26" s="1266"/>
      <c r="VMZ26" s="1266"/>
      <c r="VNA26" s="1266"/>
      <c r="VNB26" s="1266"/>
      <c r="VNC26" s="1266"/>
      <c r="VND26" s="1266"/>
      <c r="VNE26" s="1266"/>
      <c r="VNF26" s="1266"/>
      <c r="VNG26" s="1266"/>
      <c r="VNH26" s="1266"/>
      <c r="VNI26" s="1266"/>
      <c r="VNJ26" s="1266"/>
      <c r="VNK26" s="1266"/>
      <c r="VNL26" s="1266"/>
      <c r="VNM26" s="1266"/>
      <c r="VNN26" s="1266"/>
      <c r="VNO26" s="1266"/>
      <c r="VNP26" s="1266"/>
      <c r="VNQ26" s="1266"/>
      <c r="VNR26" s="1266"/>
      <c r="VNS26" s="1266"/>
      <c r="VNT26" s="1266"/>
      <c r="VNU26" s="1266"/>
      <c r="VNV26" s="1266"/>
      <c r="VNW26" s="1266"/>
      <c r="VNX26" s="1266"/>
      <c r="VNY26" s="1266"/>
      <c r="VNZ26" s="1266"/>
      <c r="VOA26" s="1266"/>
      <c r="VOB26" s="1266"/>
      <c r="VOC26" s="1266"/>
      <c r="VOD26" s="1266"/>
      <c r="VOE26" s="1266"/>
      <c r="VOF26" s="1266"/>
      <c r="VOG26" s="1266"/>
      <c r="VOH26" s="1266"/>
      <c r="VOI26" s="1266"/>
      <c r="VOJ26" s="1266"/>
      <c r="VOK26" s="1266"/>
      <c r="VOL26" s="1266"/>
      <c r="VOM26" s="1266"/>
      <c r="VON26" s="1266"/>
      <c r="VOO26" s="1266"/>
      <c r="VOP26" s="1266"/>
      <c r="VOQ26" s="1266"/>
      <c r="VOR26" s="1266"/>
      <c r="VOS26" s="1266"/>
      <c r="VOT26" s="1266"/>
      <c r="VOU26" s="1266"/>
      <c r="VOV26" s="1266"/>
      <c r="VOW26" s="1266"/>
      <c r="VOX26" s="1266"/>
      <c r="VOY26" s="1266"/>
      <c r="VOZ26" s="1266"/>
      <c r="VPA26" s="1266"/>
      <c r="VPB26" s="1266"/>
      <c r="VPC26" s="1266"/>
      <c r="VPD26" s="1266"/>
      <c r="VPE26" s="1266"/>
      <c r="VPF26" s="1266"/>
      <c r="VPG26" s="1266"/>
      <c r="VPH26" s="1266"/>
      <c r="VPI26" s="1266"/>
      <c r="VPJ26" s="1266"/>
      <c r="VPK26" s="1266"/>
      <c r="VPL26" s="1266"/>
      <c r="VPM26" s="1266"/>
      <c r="VPN26" s="1266"/>
      <c r="VPO26" s="1266"/>
      <c r="VPP26" s="1266"/>
      <c r="VPQ26" s="1266"/>
      <c r="VPR26" s="1266"/>
      <c r="VPS26" s="1266"/>
      <c r="VPT26" s="1266"/>
      <c r="VPU26" s="1266"/>
      <c r="VPV26" s="1266"/>
      <c r="VPW26" s="1266"/>
      <c r="VPX26" s="1266"/>
      <c r="VPY26" s="1266"/>
      <c r="VPZ26" s="1266"/>
      <c r="VQA26" s="1266"/>
      <c r="VQB26" s="1266"/>
      <c r="VQC26" s="1266"/>
      <c r="VQD26" s="1266"/>
      <c r="VQE26" s="1266"/>
      <c r="VQF26" s="1266"/>
      <c r="VQG26" s="1266"/>
      <c r="VQH26" s="1266"/>
      <c r="VQI26" s="1266"/>
      <c r="VQJ26" s="1266"/>
      <c r="VQK26" s="1266"/>
      <c r="VQL26" s="1266"/>
      <c r="VQM26" s="1266"/>
      <c r="VQN26" s="1266"/>
      <c r="VQO26" s="1266"/>
      <c r="VQP26" s="1266"/>
      <c r="VQQ26" s="1266"/>
      <c r="VQR26" s="1266"/>
      <c r="VQS26" s="1266"/>
      <c r="VQT26" s="1266"/>
      <c r="VQU26" s="1266"/>
      <c r="VQV26" s="1266"/>
      <c r="VQW26" s="1266"/>
      <c r="VQX26" s="1266"/>
      <c r="VQY26" s="1266"/>
      <c r="VQZ26" s="1266"/>
      <c r="VRA26" s="1266"/>
      <c r="VRB26" s="1266"/>
      <c r="VRC26" s="1266"/>
      <c r="VRD26" s="1266"/>
      <c r="VRE26" s="1266"/>
      <c r="VRF26" s="1266"/>
      <c r="VRG26" s="1266"/>
      <c r="VRH26" s="1266"/>
      <c r="VRI26" s="1266"/>
      <c r="VRJ26" s="1266"/>
      <c r="VRK26" s="1266"/>
      <c r="VRL26" s="1266"/>
      <c r="VRM26" s="1266"/>
      <c r="VRN26" s="1266"/>
      <c r="VRO26" s="1266"/>
      <c r="VRP26" s="1266"/>
      <c r="VRQ26" s="1266"/>
      <c r="VRR26" s="1266"/>
      <c r="VRS26" s="1266"/>
      <c r="VRT26" s="1266"/>
      <c r="VRU26" s="1266"/>
      <c r="VRV26" s="1266"/>
      <c r="VRW26" s="1266"/>
      <c r="VRX26" s="1266"/>
      <c r="VRY26" s="1266"/>
      <c r="VRZ26" s="1266"/>
      <c r="VSA26" s="1266"/>
      <c r="VSB26" s="1266"/>
      <c r="VSC26" s="1266"/>
      <c r="VSD26" s="1266"/>
      <c r="VSE26" s="1266"/>
      <c r="VSF26" s="1266"/>
      <c r="VSG26" s="1266"/>
      <c r="VSH26" s="1266"/>
      <c r="VSI26" s="1266"/>
      <c r="VSJ26" s="1266"/>
      <c r="VSK26" s="1266"/>
      <c r="VSL26" s="1266"/>
      <c r="VSM26" s="1266"/>
      <c r="VSN26" s="1266"/>
      <c r="VSO26" s="1266"/>
      <c r="VSP26" s="1266"/>
      <c r="VSQ26" s="1266"/>
      <c r="VSR26" s="1266"/>
      <c r="VSS26" s="1266"/>
      <c r="VST26" s="1266"/>
      <c r="VSU26" s="1266"/>
      <c r="VSV26" s="1266"/>
      <c r="VSW26" s="1266"/>
      <c r="VSX26" s="1266"/>
      <c r="VSY26" s="1266"/>
      <c r="VSZ26" s="1266"/>
      <c r="VTA26" s="1266"/>
      <c r="VTB26" s="1266"/>
      <c r="VTC26" s="1266"/>
      <c r="VTD26" s="1266"/>
      <c r="VTE26" s="1266"/>
      <c r="VTF26" s="1266"/>
      <c r="VTG26" s="1266"/>
      <c r="VTH26" s="1266"/>
      <c r="VTI26" s="1266"/>
      <c r="VTJ26" s="1266"/>
      <c r="VTK26" s="1266"/>
      <c r="VTL26" s="1266"/>
      <c r="VTM26" s="1266"/>
      <c r="VTN26" s="1266"/>
      <c r="VTO26" s="1266"/>
      <c r="VTP26" s="1266"/>
      <c r="VTQ26" s="1266"/>
      <c r="VTR26" s="1266"/>
      <c r="VTS26" s="1266"/>
      <c r="VTT26" s="1266"/>
      <c r="VTU26" s="1266"/>
      <c r="VTV26" s="1266"/>
      <c r="VTW26" s="1266"/>
      <c r="VTX26" s="1266"/>
      <c r="VTY26" s="1266"/>
      <c r="VTZ26" s="1266"/>
      <c r="VUA26" s="1266"/>
      <c r="VUB26" s="1266"/>
      <c r="VUC26" s="1266"/>
      <c r="VUD26" s="1266"/>
      <c r="VUE26" s="1266"/>
      <c r="VUF26" s="1266"/>
      <c r="VUG26" s="1266"/>
      <c r="VUH26" s="1266"/>
      <c r="VUI26" s="1266"/>
      <c r="VUJ26" s="1266"/>
      <c r="VUK26" s="1266"/>
      <c r="VUL26" s="1266"/>
      <c r="VUM26" s="1266"/>
      <c r="VUN26" s="1266"/>
      <c r="VUO26" s="1266"/>
      <c r="VUP26" s="1266"/>
      <c r="VUQ26" s="1266"/>
      <c r="VUR26" s="1266"/>
      <c r="VUS26" s="1266"/>
      <c r="VUT26" s="1266"/>
      <c r="VUU26" s="1266"/>
      <c r="VUV26" s="1266"/>
      <c r="VUW26" s="1266"/>
      <c r="VUX26" s="1266"/>
      <c r="VUY26" s="1266"/>
      <c r="VUZ26" s="1266"/>
      <c r="VVA26" s="1266"/>
      <c r="VVB26" s="1266"/>
      <c r="VVC26" s="1266"/>
      <c r="VVD26" s="1266"/>
      <c r="VVE26" s="1266"/>
      <c r="VVF26" s="1266"/>
      <c r="VVG26" s="1266"/>
      <c r="VVH26" s="1266"/>
      <c r="VVI26" s="1266"/>
      <c r="VVJ26" s="1266"/>
      <c r="VVK26" s="1266"/>
      <c r="VVL26" s="1266"/>
      <c r="VVM26" s="1266"/>
      <c r="VVN26" s="1266"/>
      <c r="VVO26" s="1266"/>
      <c r="VVP26" s="1266"/>
      <c r="VVQ26" s="1266"/>
      <c r="VVR26" s="1266"/>
      <c r="VVS26" s="1266"/>
      <c r="VVT26" s="1266"/>
      <c r="VVU26" s="1266"/>
      <c r="VVV26" s="1266"/>
      <c r="VVW26" s="1266"/>
      <c r="VVX26" s="1266"/>
      <c r="VVY26" s="1266"/>
      <c r="VVZ26" s="1266"/>
      <c r="VWA26" s="1266"/>
      <c r="VWB26" s="1266"/>
      <c r="VWC26" s="1266"/>
      <c r="VWD26" s="1266"/>
      <c r="VWE26" s="1266"/>
      <c r="VWF26" s="1266"/>
      <c r="VWG26" s="1266"/>
      <c r="VWH26" s="1266"/>
      <c r="VWI26" s="1266"/>
      <c r="VWJ26" s="1266"/>
      <c r="VWK26" s="1266"/>
      <c r="VWL26" s="1266"/>
      <c r="VWM26" s="1266"/>
      <c r="VWN26" s="1266"/>
      <c r="VWO26" s="1266"/>
      <c r="VWP26" s="1266"/>
      <c r="VWQ26" s="1266"/>
      <c r="VWR26" s="1266"/>
      <c r="VWS26" s="1266"/>
      <c r="VWT26" s="1266"/>
      <c r="VWU26" s="1266"/>
      <c r="VWV26" s="1266"/>
      <c r="VWW26" s="1266"/>
      <c r="VWX26" s="1266"/>
      <c r="VWY26" s="1266"/>
      <c r="VWZ26" s="1266"/>
      <c r="VXA26" s="1266"/>
      <c r="VXB26" s="1266"/>
      <c r="VXC26" s="1266"/>
      <c r="VXD26" s="1266"/>
      <c r="VXE26" s="1266"/>
      <c r="VXF26" s="1266"/>
      <c r="VXG26" s="1266"/>
      <c r="VXH26" s="1266"/>
      <c r="VXI26" s="1266"/>
      <c r="VXJ26" s="1266"/>
      <c r="VXK26" s="1266"/>
      <c r="VXL26" s="1266"/>
      <c r="VXM26" s="1266"/>
      <c r="VXN26" s="1266"/>
      <c r="VXO26" s="1266"/>
      <c r="VXP26" s="1266"/>
      <c r="VXQ26" s="1266"/>
      <c r="VXR26" s="1266"/>
      <c r="VXS26" s="1266"/>
      <c r="VXT26" s="1266"/>
      <c r="VXU26" s="1266"/>
      <c r="VXV26" s="1266"/>
      <c r="VXW26" s="1266"/>
      <c r="VXX26" s="1266"/>
      <c r="VXY26" s="1266"/>
      <c r="VXZ26" s="1266"/>
      <c r="VYA26" s="1266"/>
      <c r="VYB26" s="1266"/>
      <c r="VYC26" s="1266"/>
      <c r="VYD26" s="1266"/>
      <c r="VYE26" s="1266"/>
      <c r="VYF26" s="1266"/>
      <c r="VYG26" s="1266"/>
      <c r="VYH26" s="1266"/>
      <c r="VYI26" s="1266"/>
      <c r="VYJ26" s="1266"/>
      <c r="VYK26" s="1266"/>
      <c r="VYL26" s="1266"/>
      <c r="VYM26" s="1266"/>
      <c r="VYN26" s="1266"/>
      <c r="VYO26" s="1266"/>
      <c r="VYP26" s="1266"/>
      <c r="VYQ26" s="1266"/>
      <c r="VYR26" s="1266"/>
      <c r="VYS26" s="1266"/>
      <c r="VYT26" s="1266"/>
      <c r="VYU26" s="1266"/>
      <c r="VYV26" s="1266"/>
      <c r="VYW26" s="1266"/>
      <c r="VYX26" s="1266"/>
      <c r="VYY26" s="1266"/>
      <c r="VYZ26" s="1266"/>
      <c r="VZA26" s="1266"/>
      <c r="VZB26" s="1266"/>
      <c r="VZC26" s="1266"/>
      <c r="VZD26" s="1266"/>
      <c r="VZE26" s="1266"/>
      <c r="VZF26" s="1266"/>
      <c r="VZG26" s="1266"/>
      <c r="VZH26" s="1266"/>
      <c r="VZI26" s="1266"/>
      <c r="VZJ26" s="1266"/>
      <c r="VZK26" s="1266"/>
      <c r="VZL26" s="1266"/>
      <c r="VZM26" s="1266"/>
      <c r="VZN26" s="1266"/>
      <c r="VZO26" s="1266"/>
      <c r="VZP26" s="1266"/>
      <c r="VZQ26" s="1266"/>
      <c r="VZR26" s="1266"/>
      <c r="VZS26" s="1266"/>
      <c r="VZT26" s="1266"/>
      <c r="VZU26" s="1266"/>
      <c r="VZV26" s="1266"/>
      <c r="VZW26" s="1266"/>
      <c r="VZX26" s="1266"/>
      <c r="VZY26" s="1266"/>
      <c r="VZZ26" s="1266"/>
      <c r="WAA26" s="1266"/>
      <c r="WAB26" s="1266"/>
      <c r="WAC26" s="1266"/>
      <c r="WAD26" s="1266"/>
      <c r="WAE26" s="1266"/>
      <c r="WAF26" s="1266"/>
      <c r="WAG26" s="1266"/>
      <c r="WAH26" s="1266"/>
      <c r="WAI26" s="1266"/>
      <c r="WAJ26" s="1266"/>
      <c r="WAK26" s="1266"/>
      <c r="WAL26" s="1266"/>
      <c r="WAM26" s="1266"/>
      <c r="WAN26" s="1266"/>
      <c r="WAO26" s="1266"/>
      <c r="WAP26" s="1266"/>
      <c r="WAQ26" s="1266"/>
      <c r="WAR26" s="1266"/>
      <c r="WAS26" s="1266"/>
      <c r="WAT26" s="1266"/>
      <c r="WAU26" s="1266"/>
      <c r="WAV26" s="1266"/>
      <c r="WAW26" s="1266"/>
      <c r="WAX26" s="1266"/>
      <c r="WAY26" s="1266"/>
      <c r="WAZ26" s="1266"/>
      <c r="WBA26" s="1266"/>
      <c r="WBB26" s="1266"/>
      <c r="WBC26" s="1266"/>
      <c r="WBD26" s="1266"/>
      <c r="WBE26" s="1266"/>
      <c r="WBF26" s="1266"/>
      <c r="WBG26" s="1266"/>
      <c r="WBH26" s="1266"/>
      <c r="WBI26" s="1266"/>
      <c r="WBJ26" s="1266"/>
      <c r="WBK26" s="1266"/>
      <c r="WBL26" s="1266"/>
      <c r="WBM26" s="1266"/>
      <c r="WBN26" s="1266"/>
      <c r="WBO26" s="1266"/>
      <c r="WBP26" s="1266"/>
      <c r="WBQ26" s="1266"/>
      <c r="WBR26" s="1266"/>
      <c r="WBS26" s="1266"/>
      <c r="WBT26" s="1266"/>
      <c r="WBU26" s="1266"/>
      <c r="WBV26" s="1266"/>
      <c r="WBW26" s="1266"/>
      <c r="WBX26" s="1266"/>
      <c r="WBY26" s="1266"/>
      <c r="WBZ26" s="1266"/>
      <c r="WCA26" s="1266"/>
      <c r="WCB26" s="1266"/>
      <c r="WCC26" s="1266"/>
      <c r="WCD26" s="1266"/>
      <c r="WCE26" s="1266"/>
      <c r="WCF26" s="1266"/>
      <c r="WCG26" s="1266"/>
      <c r="WCH26" s="1266"/>
      <c r="WCI26" s="1266"/>
      <c r="WCJ26" s="1266"/>
      <c r="WCK26" s="1266"/>
      <c r="WCL26" s="1266"/>
      <c r="WCM26" s="1266"/>
      <c r="WCN26" s="1266"/>
      <c r="WCO26" s="1266"/>
      <c r="WCP26" s="1266"/>
      <c r="WCQ26" s="1266"/>
      <c r="WCR26" s="1266"/>
      <c r="WCS26" s="1266"/>
      <c r="WCT26" s="1266"/>
      <c r="WCU26" s="1266"/>
      <c r="WCV26" s="1266"/>
      <c r="WCW26" s="1266"/>
      <c r="WCX26" s="1266"/>
      <c r="WCY26" s="1266"/>
      <c r="WCZ26" s="1266"/>
      <c r="WDA26" s="1266"/>
      <c r="WDB26" s="1266"/>
      <c r="WDC26" s="1266"/>
      <c r="WDD26" s="1266"/>
      <c r="WDE26" s="1266"/>
      <c r="WDF26" s="1266"/>
      <c r="WDG26" s="1266"/>
      <c r="WDH26" s="1266"/>
      <c r="WDI26" s="1266"/>
      <c r="WDJ26" s="1266"/>
      <c r="WDK26" s="1266"/>
      <c r="WDL26" s="1266"/>
      <c r="WDM26" s="1266"/>
      <c r="WDN26" s="1266"/>
      <c r="WDO26" s="1266"/>
      <c r="WDP26" s="1266"/>
      <c r="WDQ26" s="1266"/>
      <c r="WDR26" s="1266"/>
      <c r="WDS26" s="1266"/>
      <c r="WDT26" s="1266"/>
      <c r="WDU26" s="1266"/>
      <c r="WDV26" s="1266"/>
      <c r="WDW26" s="1266"/>
      <c r="WDX26" s="1266"/>
      <c r="WDY26" s="1266"/>
      <c r="WDZ26" s="1266"/>
      <c r="WEA26" s="1266"/>
      <c r="WEB26" s="1266"/>
      <c r="WEC26" s="1266"/>
      <c r="WED26" s="1266"/>
      <c r="WEE26" s="1266"/>
      <c r="WEF26" s="1266"/>
      <c r="WEG26" s="1266"/>
      <c r="WEH26" s="1266"/>
      <c r="WEI26" s="1266"/>
      <c r="WEJ26" s="1266"/>
      <c r="WEK26" s="1266"/>
      <c r="WEL26" s="1266"/>
      <c r="WEM26" s="1266"/>
      <c r="WEN26" s="1266"/>
      <c r="WEO26" s="1266"/>
      <c r="WEP26" s="1266"/>
      <c r="WEQ26" s="1266"/>
      <c r="WER26" s="1266"/>
      <c r="WES26" s="1266"/>
      <c r="WET26" s="1266"/>
      <c r="WEU26" s="1266"/>
      <c r="WEV26" s="1266"/>
      <c r="WEW26" s="1266"/>
      <c r="WEX26" s="1266"/>
      <c r="WEY26" s="1266"/>
      <c r="WEZ26" s="1266"/>
      <c r="WFA26" s="1266"/>
      <c r="WFB26" s="1266"/>
      <c r="WFC26" s="1266"/>
      <c r="WFD26" s="1266"/>
      <c r="WFE26" s="1266"/>
      <c r="WFF26" s="1266"/>
      <c r="WFG26" s="1266"/>
      <c r="WFH26" s="1266"/>
      <c r="WFI26" s="1266"/>
      <c r="WFJ26" s="1266"/>
      <c r="WFK26" s="1266"/>
      <c r="WFL26" s="1266"/>
      <c r="WFM26" s="1266"/>
      <c r="WFN26" s="1266"/>
      <c r="WFO26" s="1266"/>
      <c r="WFP26" s="1266"/>
      <c r="WFQ26" s="1266"/>
      <c r="WFR26" s="1266"/>
      <c r="WFS26" s="1266"/>
      <c r="WFT26" s="1266"/>
      <c r="WFU26" s="1266"/>
      <c r="WFV26" s="1266"/>
      <c r="WFW26" s="1266"/>
      <c r="WFX26" s="1266"/>
      <c r="WFY26" s="1266"/>
      <c r="WFZ26" s="1266"/>
      <c r="WGA26" s="1266"/>
      <c r="WGB26" s="1266"/>
      <c r="WGC26" s="1266"/>
      <c r="WGD26" s="1266"/>
      <c r="WGE26" s="1266"/>
      <c r="WGF26" s="1266"/>
      <c r="WGG26" s="1266"/>
      <c r="WGH26" s="1266"/>
      <c r="WGI26" s="1266"/>
      <c r="WGJ26" s="1266"/>
      <c r="WGK26" s="1266"/>
      <c r="WGL26" s="1266"/>
      <c r="WGM26" s="1266"/>
      <c r="WGN26" s="1266"/>
      <c r="WGO26" s="1266"/>
      <c r="WGP26" s="1266"/>
      <c r="WGQ26" s="1266"/>
      <c r="WGR26" s="1266"/>
      <c r="WGS26" s="1266"/>
      <c r="WGT26" s="1266"/>
      <c r="WGU26" s="1266"/>
      <c r="WGV26" s="1266"/>
      <c r="WGW26" s="1266"/>
      <c r="WGX26" s="1266"/>
      <c r="WGY26" s="1266"/>
      <c r="WGZ26" s="1266"/>
      <c r="WHA26" s="1266"/>
      <c r="WHB26" s="1266"/>
      <c r="WHC26" s="1266"/>
      <c r="WHD26" s="1266"/>
      <c r="WHE26" s="1266"/>
      <c r="WHF26" s="1266"/>
      <c r="WHG26" s="1266"/>
      <c r="WHH26" s="1266"/>
      <c r="WHI26" s="1266"/>
      <c r="WHJ26" s="1266"/>
      <c r="WHK26" s="1266"/>
      <c r="WHL26" s="1266"/>
      <c r="WHM26" s="1266"/>
      <c r="WHN26" s="1266"/>
      <c r="WHO26" s="1266"/>
      <c r="WHP26" s="1266"/>
      <c r="WHQ26" s="1266"/>
      <c r="WHR26" s="1266"/>
      <c r="WHS26" s="1266"/>
      <c r="WHT26" s="1266"/>
      <c r="WHU26" s="1266"/>
      <c r="WHV26" s="1266"/>
      <c r="WHW26" s="1266"/>
      <c r="WHX26" s="1266"/>
      <c r="WHY26" s="1266"/>
      <c r="WHZ26" s="1266"/>
      <c r="WIA26" s="1266"/>
      <c r="WIB26" s="1266"/>
      <c r="WIC26" s="1266"/>
      <c r="WID26" s="1266"/>
      <c r="WIE26" s="1266"/>
      <c r="WIF26" s="1266"/>
      <c r="WIG26" s="1266"/>
      <c r="WIH26" s="1266"/>
      <c r="WII26" s="1266"/>
      <c r="WIJ26" s="1266"/>
      <c r="WIK26" s="1266"/>
      <c r="WIL26" s="1266"/>
      <c r="WIM26" s="1266"/>
      <c r="WIN26" s="1266"/>
      <c r="WIO26" s="1266"/>
      <c r="WIP26" s="1266"/>
      <c r="WIQ26" s="1266"/>
      <c r="WIR26" s="1266"/>
      <c r="WIS26" s="1266"/>
      <c r="WIT26" s="1266"/>
      <c r="WIU26" s="1266"/>
      <c r="WIV26" s="1266"/>
      <c r="WIW26" s="1266"/>
      <c r="WIX26" s="1266"/>
      <c r="WIY26" s="1266"/>
      <c r="WIZ26" s="1266"/>
      <c r="WJA26" s="1266"/>
      <c r="WJB26" s="1266"/>
      <c r="WJC26" s="1266"/>
      <c r="WJD26" s="1266"/>
      <c r="WJE26" s="1266"/>
      <c r="WJF26" s="1266"/>
      <c r="WJG26" s="1266"/>
      <c r="WJH26" s="1266"/>
      <c r="WJI26" s="1266"/>
      <c r="WJJ26" s="1266"/>
      <c r="WJK26" s="1266"/>
      <c r="WJL26" s="1266"/>
      <c r="WJM26" s="1266"/>
      <c r="WJN26" s="1266"/>
      <c r="WJO26" s="1266"/>
      <c r="WJP26" s="1266"/>
      <c r="WJQ26" s="1266"/>
      <c r="WJR26" s="1266"/>
      <c r="WJS26" s="1266"/>
      <c r="WJT26" s="1266"/>
      <c r="WJU26" s="1266"/>
      <c r="WJV26" s="1266"/>
      <c r="WJW26" s="1266"/>
      <c r="WJX26" s="1266"/>
      <c r="WJY26" s="1266"/>
      <c r="WJZ26" s="1266"/>
      <c r="WKA26" s="1266"/>
      <c r="WKB26" s="1266"/>
      <c r="WKC26" s="1266"/>
      <c r="WKD26" s="1266"/>
      <c r="WKE26" s="1266"/>
      <c r="WKF26" s="1266"/>
      <c r="WKG26" s="1266"/>
      <c r="WKH26" s="1266"/>
      <c r="WKI26" s="1266"/>
      <c r="WKJ26" s="1266"/>
      <c r="WKK26" s="1266"/>
      <c r="WKL26" s="1266"/>
      <c r="WKM26" s="1266"/>
      <c r="WKN26" s="1266"/>
      <c r="WKO26" s="1266"/>
      <c r="WKP26" s="1266"/>
      <c r="WKQ26" s="1266"/>
      <c r="WKR26" s="1266"/>
      <c r="WKS26" s="1266"/>
      <c r="WKT26" s="1266"/>
      <c r="WKU26" s="1266"/>
      <c r="WKV26" s="1266"/>
      <c r="WKW26" s="1266"/>
      <c r="WKX26" s="1266"/>
      <c r="WKY26" s="1266"/>
      <c r="WKZ26" s="1266"/>
      <c r="WLA26" s="1266"/>
      <c r="WLB26" s="1266"/>
      <c r="WLC26" s="1266"/>
      <c r="WLD26" s="1266"/>
      <c r="WLE26" s="1266"/>
      <c r="WLF26" s="1266"/>
      <c r="WLG26" s="1266"/>
      <c r="WLH26" s="1266"/>
      <c r="WLI26" s="1266"/>
      <c r="WLJ26" s="1266"/>
      <c r="WLK26" s="1266"/>
      <c r="WLL26" s="1266"/>
      <c r="WLM26" s="1266"/>
      <c r="WLN26" s="1266"/>
      <c r="WLO26" s="1266"/>
      <c r="WLP26" s="1266"/>
      <c r="WLQ26" s="1266"/>
      <c r="WLR26" s="1266"/>
      <c r="WLS26" s="1266"/>
      <c r="WLT26" s="1266"/>
      <c r="WLU26" s="1266"/>
      <c r="WLV26" s="1266"/>
      <c r="WLW26" s="1266"/>
      <c r="WLX26" s="1266"/>
      <c r="WLY26" s="1266"/>
      <c r="WLZ26" s="1266"/>
      <c r="WMA26" s="1266"/>
      <c r="WMB26" s="1266"/>
      <c r="WMC26" s="1266"/>
      <c r="WMD26" s="1266"/>
      <c r="WME26" s="1266"/>
      <c r="WMF26" s="1266"/>
      <c r="WMG26" s="1266"/>
      <c r="WMH26" s="1266"/>
      <c r="WMI26" s="1266"/>
      <c r="WMJ26" s="1266"/>
      <c r="WMK26" s="1266"/>
      <c r="WML26" s="1266"/>
      <c r="WMM26" s="1266"/>
      <c r="WMN26" s="1266"/>
      <c r="WMO26" s="1266"/>
      <c r="WMP26" s="1266"/>
      <c r="WMQ26" s="1266"/>
      <c r="WMR26" s="1266"/>
      <c r="WMS26" s="1266"/>
      <c r="WMT26" s="1266"/>
      <c r="WMU26" s="1266"/>
      <c r="WMV26" s="1266"/>
      <c r="WMW26" s="1266"/>
      <c r="WMX26" s="1266"/>
      <c r="WMY26" s="1266"/>
      <c r="WMZ26" s="1266"/>
      <c r="WNA26" s="1266"/>
      <c r="WNB26" s="1266"/>
      <c r="WNC26" s="1266"/>
      <c r="WND26" s="1266"/>
      <c r="WNE26" s="1266"/>
      <c r="WNF26" s="1266"/>
      <c r="WNG26" s="1266"/>
      <c r="WNH26" s="1266"/>
      <c r="WNI26" s="1266"/>
      <c r="WNJ26" s="1266"/>
      <c r="WNK26" s="1266"/>
      <c r="WNL26" s="1266"/>
      <c r="WNM26" s="1266"/>
      <c r="WNN26" s="1266"/>
      <c r="WNO26" s="1266"/>
      <c r="WNP26" s="1266"/>
      <c r="WNQ26" s="1266"/>
      <c r="WNR26" s="1266"/>
      <c r="WNS26" s="1266"/>
      <c r="WNT26" s="1266"/>
      <c r="WNU26" s="1266"/>
      <c r="WNV26" s="1266"/>
      <c r="WNW26" s="1266"/>
      <c r="WNX26" s="1266"/>
      <c r="WNY26" s="1266"/>
      <c r="WNZ26" s="1266"/>
      <c r="WOA26" s="1266"/>
      <c r="WOB26" s="1266"/>
      <c r="WOC26" s="1266"/>
      <c r="WOD26" s="1266"/>
      <c r="WOE26" s="1266"/>
      <c r="WOF26" s="1266"/>
      <c r="WOG26" s="1266"/>
      <c r="WOH26" s="1266"/>
      <c r="WOI26" s="1266"/>
      <c r="WOJ26" s="1266"/>
      <c r="WOK26" s="1266"/>
      <c r="WOL26" s="1266"/>
      <c r="WOM26" s="1266"/>
      <c r="WON26" s="1266"/>
      <c r="WOO26" s="1266"/>
      <c r="WOP26" s="1266"/>
      <c r="WOQ26" s="1266"/>
      <c r="WOR26" s="1266"/>
      <c r="WOS26" s="1266"/>
      <c r="WOT26" s="1266"/>
      <c r="WOU26" s="1266"/>
      <c r="WOV26" s="1266"/>
      <c r="WOW26" s="1266"/>
      <c r="WOX26" s="1266"/>
      <c r="WOY26" s="1266"/>
      <c r="WOZ26" s="1266"/>
      <c r="WPA26" s="1266"/>
      <c r="WPB26" s="1266"/>
      <c r="WPC26" s="1266"/>
      <c r="WPD26" s="1266"/>
      <c r="WPE26" s="1266"/>
      <c r="WPF26" s="1266"/>
      <c r="WPG26" s="1266"/>
      <c r="WPH26" s="1266"/>
      <c r="WPI26" s="1266"/>
      <c r="WPJ26" s="1266"/>
      <c r="WPK26" s="1266"/>
      <c r="WPL26" s="1266"/>
      <c r="WPM26" s="1266"/>
      <c r="WPN26" s="1266"/>
      <c r="WPO26" s="1266"/>
      <c r="WPP26" s="1266"/>
      <c r="WPQ26" s="1266"/>
      <c r="WPR26" s="1266"/>
      <c r="WPS26" s="1266"/>
      <c r="WPT26" s="1266"/>
      <c r="WPU26" s="1266"/>
      <c r="WPV26" s="1266"/>
      <c r="WPW26" s="1266"/>
      <c r="WPX26" s="1266"/>
      <c r="WPY26" s="1266"/>
      <c r="WPZ26" s="1266"/>
      <c r="WQA26" s="1266"/>
      <c r="WQB26" s="1266"/>
      <c r="WQC26" s="1266"/>
      <c r="WQD26" s="1266"/>
      <c r="WQE26" s="1266"/>
      <c r="WQF26" s="1266"/>
      <c r="WQG26" s="1266"/>
      <c r="WQH26" s="1266"/>
      <c r="WQI26" s="1266"/>
      <c r="WQJ26" s="1266"/>
      <c r="WQK26" s="1266"/>
      <c r="WQL26" s="1266"/>
      <c r="WQM26" s="1266"/>
      <c r="WQN26" s="1266"/>
      <c r="WQO26" s="1266"/>
      <c r="WQP26" s="1266"/>
      <c r="WQQ26" s="1266"/>
      <c r="WQR26" s="1266"/>
      <c r="WQS26" s="1266"/>
      <c r="WQT26" s="1266"/>
      <c r="WQU26" s="1266"/>
      <c r="WQV26" s="1266"/>
      <c r="WQW26" s="1266"/>
      <c r="WQX26" s="1266"/>
      <c r="WQY26" s="1266"/>
      <c r="WQZ26" s="1266"/>
      <c r="WRA26" s="1266"/>
      <c r="WRB26" s="1266"/>
      <c r="WRC26" s="1266"/>
      <c r="WRD26" s="1266"/>
      <c r="WRE26" s="1266"/>
      <c r="WRF26" s="1266"/>
      <c r="WRG26" s="1266"/>
      <c r="WRH26" s="1266"/>
      <c r="WRI26" s="1266"/>
      <c r="WRJ26" s="1266"/>
      <c r="WRK26" s="1266"/>
      <c r="WRL26" s="1266"/>
      <c r="WRM26" s="1266"/>
      <c r="WRN26" s="1266"/>
      <c r="WRO26" s="1266"/>
      <c r="WRP26" s="1266"/>
      <c r="WRQ26" s="1266"/>
      <c r="WRR26" s="1266"/>
      <c r="WRS26" s="1266"/>
      <c r="WRT26" s="1266"/>
      <c r="WRU26" s="1266"/>
      <c r="WRV26" s="1266"/>
      <c r="WRW26" s="1266"/>
      <c r="WRX26" s="1266"/>
      <c r="WRY26" s="1266"/>
      <c r="WRZ26" s="1266"/>
      <c r="WSA26" s="1266"/>
      <c r="WSB26" s="1266"/>
      <c r="WSC26" s="1266"/>
      <c r="WSD26" s="1266"/>
      <c r="WSE26" s="1266"/>
      <c r="WSF26" s="1266"/>
      <c r="WSG26" s="1266"/>
      <c r="WSH26" s="1266"/>
      <c r="WSI26" s="1266"/>
      <c r="WSJ26" s="1266"/>
      <c r="WSK26" s="1266"/>
      <c r="WSL26" s="1266"/>
      <c r="WSM26" s="1266"/>
      <c r="WSN26" s="1266"/>
      <c r="WSO26" s="1266"/>
      <c r="WSP26" s="1266"/>
      <c r="WSQ26" s="1266"/>
      <c r="WSR26" s="1266"/>
      <c r="WSS26" s="1266"/>
      <c r="WST26" s="1266"/>
      <c r="WSU26" s="1266"/>
      <c r="WSV26" s="1266"/>
      <c r="WSW26" s="1266"/>
      <c r="WSX26" s="1266"/>
      <c r="WSY26" s="1266"/>
      <c r="WSZ26" s="1266"/>
      <c r="WTA26" s="1266"/>
      <c r="WTB26" s="1266"/>
      <c r="WTC26" s="1266"/>
      <c r="WTD26" s="1266"/>
      <c r="WTE26" s="1266"/>
      <c r="WTF26" s="1266"/>
      <c r="WTG26" s="1266"/>
      <c r="WTH26" s="1266"/>
      <c r="WTI26" s="1266"/>
      <c r="WTJ26" s="1266"/>
      <c r="WTK26" s="1266"/>
      <c r="WTL26" s="1266"/>
      <c r="WTM26" s="1266"/>
      <c r="WTN26" s="1266"/>
      <c r="WTO26" s="1266"/>
      <c r="WTP26" s="1266"/>
      <c r="WTQ26" s="1266"/>
      <c r="WTR26" s="1266"/>
      <c r="WTS26" s="1266"/>
      <c r="WTT26" s="1266"/>
      <c r="WTU26" s="1266"/>
      <c r="WTV26" s="1266"/>
      <c r="WTW26" s="1266"/>
      <c r="WTX26" s="1266"/>
      <c r="WTY26" s="1266"/>
      <c r="WTZ26" s="1266"/>
      <c r="WUA26" s="1266"/>
      <c r="WUB26" s="1266"/>
      <c r="WUC26" s="1266"/>
      <c r="WUD26" s="1266"/>
      <c r="WUE26" s="1266"/>
      <c r="WUF26" s="1266"/>
      <c r="WUG26" s="1266"/>
      <c r="WUH26" s="1266"/>
      <c r="WUI26" s="1266"/>
      <c r="WUJ26" s="1266"/>
      <c r="WUK26" s="1266"/>
      <c r="WUL26" s="1266"/>
      <c r="WUM26" s="1266"/>
      <c r="WUN26" s="1266"/>
      <c r="WUO26" s="1266"/>
      <c r="WUP26" s="1266"/>
      <c r="WUQ26" s="1266"/>
      <c r="WUR26" s="1266"/>
      <c r="WUS26" s="1266"/>
      <c r="WUT26" s="1266"/>
      <c r="WUU26" s="1266"/>
      <c r="WUV26" s="1266"/>
      <c r="WUW26" s="1266"/>
      <c r="WUX26" s="1266"/>
      <c r="WUY26" s="1266"/>
      <c r="WUZ26" s="1266"/>
      <c r="WVA26" s="1266"/>
      <c r="WVB26" s="1266"/>
      <c r="WVC26" s="1266"/>
      <c r="WVD26" s="1266"/>
      <c r="WVE26" s="1266"/>
      <c r="WVF26" s="1266"/>
      <c r="WVG26" s="1266"/>
      <c r="WVH26" s="1266"/>
      <c r="WVI26" s="1266"/>
      <c r="WVJ26" s="1266"/>
      <c r="WVK26" s="1266"/>
      <c r="WVL26" s="1266"/>
      <c r="WVM26" s="1266"/>
      <c r="WVN26" s="1266"/>
      <c r="WVO26" s="1266"/>
      <c r="WVP26" s="1266"/>
      <c r="WVQ26" s="1266"/>
      <c r="WVR26" s="1266"/>
      <c r="WVS26" s="1266"/>
      <c r="WVT26" s="1266"/>
      <c r="WVU26" s="1266"/>
      <c r="WVV26" s="1266"/>
      <c r="WVW26" s="1266"/>
      <c r="WVX26" s="1266"/>
      <c r="WVY26" s="1266"/>
      <c r="WVZ26" s="1266"/>
      <c r="WWA26" s="1266"/>
      <c r="WWB26" s="1266"/>
      <c r="WWC26" s="1266"/>
      <c r="WWD26" s="1266"/>
      <c r="WWE26" s="1266"/>
      <c r="WWF26" s="1266"/>
      <c r="WWG26" s="1266"/>
      <c r="WWH26" s="1266"/>
      <c r="WWI26" s="1266"/>
      <c r="WWJ26" s="1266"/>
      <c r="WWK26" s="1266"/>
      <c r="WWL26" s="1266"/>
      <c r="WWM26" s="1266"/>
      <c r="WWN26" s="1266"/>
      <c r="WWO26" s="1266"/>
      <c r="WWP26" s="1266"/>
      <c r="WWQ26" s="1266"/>
      <c r="WWR26" s="1266"/>
      <c r="WWS26" s="1266"/>
      <c r="WWT26" s="1266"/>
      <c r="WWU26" s="1266"/>
      <c r="WWV26" s="1266"/>
      <c r="WWW26" s="1266"/>
      <c r="WWX26" s="1266"/>
      <c r="WWY26" s="1266"/>
      <c r="WWZ26" s="1266"/>
      <c r="WXA26" s="1266"/>
      <c r="WXB26" s="1266"/>
      <c r="WXC26" s="1266"/>
      <c r="WXD26" s="1266"/>
      <c r="WXE26" s="1266"/>
      <c r="WXF26" s="1266"/>
      <c r="WXG26" s="1266"/>
      <c r="WXH26" s="1266"/>
      <c r="WXI26" s="1266"/>
      <c r="WXJ26" s="1266"/>
      <c r="WXK26" s="1266"/>
      <c r="WXL26" s="1266"/>
      <c r="WXM26" s="1266"/>
      <c r="WXN26" s="1266"/>
      <c r="WXO26" s="1266"/>
      <c r="WXP26" s="1266"/>
      <c r="WXQ26" s="1266"/>
      <c r="WXR26" s="1266"/>
      <c r="WXS26" s="1266"/>
      <c r="WXT26" s="1266"/>
      <c r="WXU26" s="1266"/>
      <c r="WXV26" s="1266"/>
      <c r="WXW26" s="1266"/>
      <c r="WXX26" s="1266"/>
      <c r="WXY26" s="1266"/>
      <c r="WXZ26" s="1266"/>
      <c r="WYA26" s="1266"/>
      <c r="WYB26" s="1266"/>
      <c r="WYC26" s="1266"/>
      <c r="WYD26" s="1266"/>
      <c r="WYE26" s="1266"/>
      <c r="WYF26" s="1266"/>
      <c r="WYG26" s="1266"/>
      <c r="WYH26" s="1266"/>
      <c r="WYI26" s="1266"/>
      <c r="WYJ26" s="1266"/>
      <c r="WYK26" s="1266"/>
      <c r="WYL26" s="1266"/>
      <c r="WYM26" s="1266"/>
      <c r="WYN26" s="1266"/>
      <c r="WYO26" s="1266"/>
      <c r="WYP26" s="1266"/>
      <c r="WYQ26" s="1266"/>
      <c r="WYR26" s="1266"/>
      <c r="WYS26" s="1266"/>
      <c r="WYT26" s="1266"/>
      <c r="WYU26" s="1266"/>
      <c r="WYV26" s="1266"/>
      <c r="WYW26" s="1266"/>
      <c r="WYX26" s="1266"/>
      <c r="WYY26" s="1266"/>
      <c r="WYZ26" s="1266"/>
      <c r="WZA26" s="1266"/>
      <c r="WZB26" s="1266"/>
      <c r="WZC26" s="1266"/>
      <c r="WZD26" s="1266"/>
      <c r="WZE26" s="1266"/>
      <c r="WZF26" s="1266"/>
      <c r="WZG26" s="1266"/>
      <c r="WZH26" s="1266"/>
      <c r="WZI26" s="1266"/>
      <c r="WZJ26" s="1266"/>
      <c r="WZK26" s="1266"/>
      <c r="WZL26" s="1266"/>
      <c r="WZM26" s="1266"/>
      <c r="WZN26" s="1266"/>
      <c r="WZO26" s="1266"/>
      <c r="WZP26" s="1266"/>
      <c r="WZQ26" s="1266"/>
      <c r="WZR26" s="1266"/>
      <c r="WZS26" s="1266"/>
      <c r="WZT26" s="1266"/>
      <c r="WZU26" s="1266"/>
      <c r="WZV26" s="1266"/>
      <c r="WZW26" s="1266"/>
      <c r="WZX26" s="1266"/>
      <c r="WZY26" s="1266"/>
      <c r="WZZ26" s="1266"/>
      <c r="XAA26" s="1266"/>
      <c r="XAB26" s="1266"/>
      <c r="XAC26" s="1266"/>
      <c r="XAD26" s="1266"/>
      <c r="XAE26" s="1266"/>
      <c r="XAF26" s="1266"/>
      <c r="XAG26" s="1266"/>
      <c r="XAH26" s="1266"/>
      <c r="XAI26" s="1266"/>
      <c r="XAJ26" s="1266"/>
      <c r="XAK26" s="1266"/>
      <c r="XAL26" s="1266"/>
      <c r="XAM26" s="1266"/>
      <c r="XAN26" s="1266"/>
      <c r="XAO26" s="1266"/>
      <c r="XAP26" s="1266"/>
      <c r="XAQ26" s="1266"/>
      <c r="XAR26" s="1266"/>
      <c r="XAS26" s="1266"/>
      <c r="XAT26" s="1266"/>
      <c r="XAU26" s="1266"/>
      <c r="XAV26" s="1266"/>
      <c r="XAW26" s="1266"/>
      <c r="XAX26" s="1266"/>
      <c r="XAY26" s="1266"/>
      <c r="XAZ26" s="1266"/>
      <c r="XBA26" s="1266"/>
      <c r="XBB26" s="1266"/>
      <c r="XBC26" s="1266"/>
      <c r="XBD26" s="1266"/>
      <c r="XBE26" s="1266"/>
      <c r="XBF26" s="1266"/>
      <c r="XBG26" s="1266"/>
      <c r="XBH26" s="1266"/>
      <c r="XBI26" s="1266"/>
      <c r="XBJ26" s="1266"/>
      <c r="XBK26" s="1266"/>
      <c r="XBL26" s="1266"/>
      <c r="XBM26" s="1266"/>
      <c r="XBN26" s="1266"/>
      <c r="XBO26" s="1266"/>
      <c r="XBP26" s="1266"/>
      <c r="XBQ26" s="1266"/>
      <c r="XBR26" s="1266"/>
      <c r="XBS26" s="1266"/>
      <c r="XBT26" s="1266"/>
      <c r="XBU26" s="1266"/>
      <c r="XBV26" s="1266"/>
      <c r="XBW26" s="1266"/>
      <c r="XBX26" s="1266"/>
      <c r="XBY26" s="1266"/>
      <c r="XBZ26" s="1266"/>
      <c r="XCA26" s="1266"/>
      <c r="XCB26" s="1266"/>
      <c r="XCC26" s="1266"/>
      <c r="XCD26" s="1266"/>
      <c r="XCE26" s="1266"/>
      <c r="XCF26" s="1266"/>
      <c r="XCG26" s="1266"/>
      <c r="XCH26" s="1266"/>
      <c r="XCI26" s="1266"/>
      <c r="XCJ26" s="1266"/>
      <c r="XCK26" s="1266"/>
      <c r="XCL26" s="1266"/>
      <c r="XCM26" s="1266"/>
      <c r="XCN26" s="1266"/>
      <c r="XCO26" s="1266"/>
      <c r="XCP26" s="1266"/>
      <c r="XCQ26" s="1266"/>
      <c r="XCR26" s="1266"/>
      <c r="XCS26" s="1266"/>
      <c r="XCT26" s="1266"/>
      <c r="XCU26" s="1266"/>
      <c r="XCV26" s="1266"/>
      <c r="XCW26" s="1266"/>
      <c r="XCX26" s="1266"/>
      <c r="XCY26" s="1266"/>
      <c r="XCZ26" s="1266"/>
      <c r="XDA26" s="1266"/>
      <c r="XDB26" s="1266"/>
      <c r="XDC26" s="1266"/>
      <c r="XDD26" s="1266"/>
      <c r="XDE26" s="1266"/>
      <c r="XDF26" s="1266"/>
      <c r="XDG26" s="1266"/>
      <c r="XDH26" s="1266"/>
      <c r="XDI26" s="1266"/>
      <c r="XDJ26" s="1266"/>
      <c r="XDK26" s="1266"/>
      <c r="XDL26" s="1266"/>
      <c r="XDM26" s="1266"/>
      <c r="XDN26" s="1266"/>
      <c r="XDO26" s="1266"/>
      <c r="XDP26" s="1266"/>
      <c r="XDQ26" s="1266"/>
      <c r="XDR26" s="1266"/>
      <c r="XDS26" s="1266"/>
      <c r="XDT26" s="1266"/>
      <c r="XDU26" s="1266"/>
      <c r="XDV26" s="1266"/>
      <c r="XDW26" s="1266"/>
      <c r="XDX26" s="1266"/>
      <c r="XDY26" s="1266"/>
      <c r="XDZ26" s="1266"/>
      <c r="XEA26" s="1266"/>
      <c r="XEB26" s="1266"/>
      <c r="XEC26" s="1266"/>
      <c r="XED26" s="1266"/>
      <c r="XEE26" s="1266"/>
      <c r="XEF26" s="1266"/>
      <c r="XEG26" s="1266"/>
      <c r="XEH26" s="1266"/>
      <c r="XEI26" s="1266"/>
      <c r="XEJ26" s="1266"/>
      <c r="XEK26" s="1266"/>
      <c r="XEL26" s="1266"/>
      <c r="XEM26" s="1266"/>
      <c r="XEN26" s="1266"/>
      <c r="XEO26" s="1266"/>
      <c r="XEP26" s="1266"/>
      <c r="XEQ26" s="1266"/>
      <c r="XER26" s="1266"/>
      <c r="XES26" s="1266"/>
      <c r="XET26" s="1266"/>
      <c r="XEU26" s="1266"/>
      <c r="XEV26" s="1266"/>
      <c r="XEW26" s="1266"/>
      <c r="XEX26" s="1266"/>
      <c r="XEY26" s="1266"/>
      <c r="XEZ26" s="1266"/>
      <c r="XFA26" s="1266"/>
      <c r="XFB26" s="1266"/>
      <c r="XFC26" s="1266"/>
      <c r="XFD26" s="1266"/>
    </row>
    <row r="27" spans="1:16384" s="972" customFormat="1" ht="42.75" customHeight="1">
      <c r="A27" s="1267" t="s">
        <v>687</v>
      </c>
      <c r="B27" s="1267"/>
      <c r="C27" s="1268">
        <f>+cuadro!L6</f>
        <v>0</v>
      </c>
      <c r="D27" s="1268"/>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c r="CB27" s="1266"/>
      <c r="CC27" s="1266"/>
      <c r="CD27" s="1266"/>
      <c r="CE27" s="1266"/>
      <c r="CF27" s="1266"/>
      <c r="CG27" s="1266"/>
      <c r="CH27" s="1266"/>
      <c r="CI27" s="1266"/>
      <c r="CJ27" s="1266"/>
      <c r="CK27" s="1266"/>
      <c r="CL27" s="1266"/>
      <c r="CM27" s="1266"/>
      <c r="CN27" s="1266"/>
      <c r="CO27" s="1266"/>
      <c r="CP27" s="1266"/>
      <c r="CQ27" s="1266"/>
      <c r="CR27" s="1266"/>
      <c r="CS27" s="1266"/>
      <c r="CT27" s="1266"/>
      <c r="CU27" s="1266"/>
      <c r="CV27" s="1266"/>
      <c r="CW27" s="1266"/>
      <c r="CX27" s="1266"/>
      <c r="CY27" s="1266"/>
      <c r="CZ27" s="1266"/>
      <c r="DA27" s="1266"/>
      <c r="DB27" s="1266"/>
      <c r="DC27" s="1266"/>
      <c r="DD27" s="1266"/>
      <c r="DE27" s="1266"/>
      <c r="DF27" s="1266"/>
      <c r="DG27" s="1266"/>
      <c r="DH27" s="1266"/>
      <c r="DI27" s="1266"/>
      <c r="DJ27" s="1266"/>
      <c r="DK27" s="1266"/>
      <c r="DL27" s="1266"/>
      <c r="DM27" s="1266"/>
      <c r="DN27" s="1266"/>
      <c r="DO27" s="1266"/>
      <c r="DP27" s="1266"/>
      <c r="DQ27" s="1266"/>
      <c r="DR27" s="1266"/>
      <c r="DS27" s="1266"/>
      <c r="DT27" s="1266"/>
      <c r="DU27" s="1266"/>
      <c r="DV27" s="1266"/>
      <c r="DW27" s="1266"/>
      <c r="DX27" s="1266"/>
      <c r="DY27" s="1266"/>
      <c r="DZ27" s="1266"/>
      <c r="EA27" s="1266"/>
      <c r="EB27" s="1266"/>
      <c r="EC27" s="1266"/>
      <c r="ED27" s="1266"/>
      <c r="EE27" s="1266"/>
      <c r="EF27" s="1266"/>
      <c r="EG27" s="1266"/>
      <c r="EH27" s="1266"/>
      <c r="EI27" s="1266"/>
      <c r="EJ27" s="1266"/>
      <c r="EK27" s="1266"/>
      <c r="EL27" s="1266"/>
      <c r="EM27" s="1266"/>
      <c r="EN27" s="1266"/>
      <c r="EO27" s="1266"/>
      <c r="EP27" s="1266"/>
      <c r="EQ27" s="1266"/>
      <c r="ER27" s="1266"/>
      <c r="ES27" s="1266"/>
      <c r="ET27" s="1266"/>
      <c r="EU27" s="1266"/>
      <c r="EV27" s="1266"/>
      <c r="EW27" s="1266"/>
      <c r="EX27" s="1266"/>
      <c r="EY27" s="1266"/>
      <c r="EZ27" s="1266"/>
      <c r="FA27" s="1266"/>
      <c r="FB27" s="1266"/>
      <c r="FC27" s="1266"/>
      <c r="FD27" s="1266"/>
      <c r="FE27" s="1266"/>
      <c r="FF27" s="1266"/>
      <c r="FG27" s="1266"/>
      <c r="FH27" s="1266"/>
      <c r="FI27" s="1266"/>
      <c r="FJ27" s="1266"/>
      <c r="FK27" s="1266"/>
      <c r="FL27" s="1266"/>
      <c r="FM27" s="1266"/>
      <c r="FN27" s="1266"/>
      <c r="FO27" s="1266"/>
      <c r="FP27" s="1266"/>
      <c r="FQ27" s="1266"/>
      <c r="FR27" s="1266"/>
      <c r="FS27" s="1266"/>
      <c r="FT27" s="1266"/>
      <c r="FU27" s="1266"/>
      <c r="FV27" s="1266"/>
      <c r="FW27" s="1266"/>
      <c r="FX27" s="1266"/>
      <c r="FY27" s="1266"/>
      <c r="FZ27" s="1266"/>
      <c r="GA27" s="1266"/>
      <c r="GB27" s="1266"/>
      <c r="GC27" s="1266"/>
      <c r="GD27" s="1266"/>
      <c r="GE27" s="1266"/>
      <c r="GF27" s="1266"/>
      <c r="GG27" s="1266"/>
      <c r="GH27" s="1266"/>
      <c r="GI27" s="1266"/>
      <c r="GJ27" s="1266"/>
      <c r="GK27" s="1266"/>
      <c r="GL27" s="1266"/>
      <c r="GM27" s="1266"/>
      <c r="GN27" s="1266"/>
      <c r="GO27" s="1266"/>
      <c r="GP27" s="1266"/>
      <c r="GQ27" s="1266"/>
      <c r="GR27" s="1266"/>
      <c r="GS27" s="1266"/>
      <c r="GT27" s="1266"/>
      <c r="GU27" s="1266"/>
      <c r="GV27" s="1266"/>
      <c r="GW27" s="1266"/>
      <c r="GX27" s="1266"/>
      <c r="GY27" s="1266"/>
      <c r="GZ27" s="1266"/>
      <c r="HA27" s="1266"/>
      <c r="HB27" s="1266"/>
      <c r="HC27" s="1266"/>
      <c r="HD27" s="1266"/>
      <c r="HE27" s="1266"/>
      <c r="HF27" s="1266"/>
      <c r="HG27" s="1266"/>
      <c r="HH27" s="1266"/>
      <c r="HI27" s="1266"/>
      <c r="HJ27" s="1266"/>
      <c r="HK27" s="1266"/>
      <c r="HL27" s="1266"/>
      <c r="HM27" s="1266"/>
      <c r="HN27" s="1266"/>
      <c r="HO27" s="1266"/>
      <c r="HP27" s="1266"/>
      <c r="HQ27" s="1266"/>
      <c r="HR27" s="1266"/>
      <c r="HS27" s="1266"/>
      <c r="HT27" s="1266"/>
      <c r="HU27" s="1266"/>
      <c r="HV27" s="1266"/>
      <c r="HW27" s="1266"/>
      <c r="HX27" s="1266"/>
      <c r="HY27" s="1266"/>
      <c r="HZ27" s="1266"/>
      <c r="IA27" s="1266"/>
      <c r="IB27" s="1266"/>
      <c r="IC27" s="1266"/>
      <c r="ID27" s="1266"/>
      <c r="IE27" s="1266"/>
      <c r="IF27" s="1266"/>
      <c r="IG27" s="1266"/>
      <c r="IH27" s="1266"/>
      <c r="II27" s="1266"/>
      <c r="IJ27" s="1266"/>
      <c r="IK27" s="1266"/>
      <c r="IL27" s="1266"/>
      <c r="IM27" s="1266"/>
      <c r="IN27" s="1266"/>
      <c r="IO27" s="1266"/>
      <c r="IP27" s="1266"/>
      <c r="IQ27" s="1266"/>
      <c r="IR27" s="1266"/>
      <c r="IS27" s="1266"/>
      <c r="IT27" s="1266"/>
      <c r="IU27" s="1266"/>
      <c r="IV27" s="1266"/>
      <c r="IW27" s="1266"/>
      <c r="IX27" s="1266"/>
      <c r="IY27" s="1266"/>
      <c r="IZ27" s="1266"/>
      <c r="JA27" s="1266"/>
      <c r="JB27" s="1266"/>
      <c r="JC27" s="1266"/>
      <c r="JD27" s="1266"/>
      <c r="JE27" s="1266"/>
      <c r="JF27" s="1266"/>
      <c r="JG27" s="1266"/>
      <c r="JH27" s="1266"/>
      <c r="JI27" s="1266"/>
      <c r="JJ27" s="1266"/>
      <c r="JK27" s="1266"/>
      <c r="JL27" s="1266"/>
      <c r="JM27" s="1266"/>
      <c r="JN27" s="1266"/>
      <c r="JO27" s="1266"/>
      <c r="JP27" s="1266"/>
      <c r="JQ27" s="1266"/>
      <c r="JR27" s="1266"/>
      <c r="JS27" s="1266"/>
      <c r="JT27" s="1266"/>
      <c r="JU27" s="1266"/>
      <c r="JV27" s="1266"/>
      <c r="JW27" s="1266"/>
      <c r="JX27" s="1266"/>
      <c r="JY27" s="1266"/>
      <c r="JZ27" s="1266"/>
      <c r="KA27" s="1266"/>
      <c r="KB27" s="1266"/>
      <c r="KC27" s="1266"/>
      <c r="KD27" s="1266"/>
      <c r="KE27" s="1266"/>
      <c r="KF27" s="1266"/>
      <c r="KG27" s="1266"/>
      <c r="KH27" s="1266"/>
      <c r="KI27" s="1266"/>
      <c r="KJ27" s="1266"/>
      <c r="KK27" s="1266"/>
      <c r="KL27" s="1266"/>
      <c r="KM27" s="1266"/>
      <c r="KN27" s="1266"/>
      <c r="KO27" s="1266"/>
      <c r="KP27" s="1266"/>
      <c r="KQ27" s="1266"/>
      <c r="KR27" s="1266"/>
      <c r="KS27" s="1266"/>
      <c r="KT27" s="1266"/>
      <c r="KU27" s="1266"/>
      <c r="KV27" s="1266"/>
      <c r="KW27" s="1266"/>
      <c r="KX27" s="1266"/>
      <c r="KY27" s="1266"/>
      <c r="KZ27" s="1266"/>
      <c r="LA27" s="1266"/>
      <c r="LB27" s="1266"/>
      <c r="LC27" s="1266"/>
      <c r="LD27" s="1266"/>
      <c r="LE27" s="1266"/>
      <c r="LF27" s="1266"/>
      <c r="LG27" s="1266"/>
      <c r="LH27" s="1266"/>
      <c r="LI27" s="1266"/>
      <c r="LJ27" s="1266"/>
      <c r="LK27" s="1266"/>
      <c r="LL27" s="1266"/>
      <c r="LM27" s="1266"/>
      <c r="LN27" s="1266"/>
      <c r="LO27" s="1266"/>
      <c r="LP27" s="1266"/>
      <c r="LQ27" s="1266"/>
      <c r="LR27" s="1266"/>
      <c r="LS27" s="1266"/>
      <c r="LT27" s="1266"/>
      <c r="LU27" s="1266"/>
      <c r="LV27" s="1266"/>
      <c r="LW27" s="1266"/>
      <c r="LX27" s="1266"/>
      <c r="LY27" s="1266"/>
      <c r="LZ27" s="1266"/>
      <c r="MA27" s="1266"/>
      <c r="MB27" s="1266"/>
      <c r="MC27" s="1266"/>
      <c r="MD27" s="1266"/>
      <c r="ME27" s="1266"/>
      <c r="MF27" s="1266"/>
      <c r="MG27" s="1266"/>
      <c r="MH27" s="1266"/>
      <c r="MI27" s="1266"/>
      <c r="MJ27" s="1266"/>
      <c r="MK27" s="1266"/>
      <c r="ML27" s="1266"/>
      <c r="MM27" s="1266"/>
      <c r="MN27" s="1266"/>
      <c r="MO27" s="1266"/>
      <c r="MP27" s="1266"/>
      <c r="MQ27" s="1266"/>
      <c r="MR27" s="1266"/>
      <c r="MS27" s="1266"/>
      <c r="MT27" s="1266"/>
      <c r="MU27" s="1266"/>
      <c r="MV27" s="1266"/>
      <c r="MW27" s="1266"/>
      <c r="MX27" s="1266"/>
      <c r="MY27" s="1266"/>
      <c r="MZ27" s="1266"/>
      <c r="NA27" s="1266"/>
      <c r="NB27" s="1266"/>
      <c r="NC27" s="1266"/>
      <c r="ND27" s="1266"/>
      <c r="NE27" s="1266"/>
      <c r="NF27" s="1266"/>
      <c r="NG27" s="1266"/>
      <c r="NH27" s="1266"/>
      <c r="NI27" s="1266"/>
      <c r="NJ27" s="1266"/>
      <c r="NK27" s="1266"/>
      <c r="NL27" s="1266"/>
      <c r="NM27" s="1266"/>
      <c r="NN27" s="1266"/>
      <c r="NO27" s="1266"/>
      <c r="NP27" s="1266"/>
      <c r="NQ27" s="1266"/>
      <c r="NR27" s="1266"/>
      <c r="NS27" s="1266"/>
      <c r="NT27" s="1266"/>
      <c r="NU27" s="1266"/>
      <c r="NV27" s="1266"/>
      <c r="NW27" s="1266"/>
      <c r="NX27" s="1266"/>
      <c r="NY27" s="1266"/>
      <c r="NZ27" s="1266"/>
      <c r="OA27" s="1266"/>
      <c r="OB27" s="1266"/>
      <c r="OC27" s="1266"/>
      <c r="OD27" s="1266"/>
      <c r="OE27" s="1266"/>
      <c r="OF27" s="1266"/>
      <c r="OG27" s="1266"/>
      <c r="OH27" s="1266"/>
      <c r="OI27" s="1266"/>
      <c r="OJ27" s="1266"/>
      <c r="OK27" s="1266"/>
      <c r="OL27" s="1266"/>
      <c r="OM27" s="1266"/>
      <c r="ON27" s="1266"/>
      <c r="OO27" s="1266"/>
      <c r="OP27" s="1266"/>
      <c r="OQ27" s="1266"/>
      <c r="OR27" s="1266"/>
      <c r="OS27" s="1266"/>
      <c r="OT27" s="1266"/>
      <c r="OU27" s="1266"/>
      <c r="OV27" s="1266"/>
      <c r="OW27" s="1266"/>
      <c r="OX27" s="1266"/>
      <c r="OY27" s="1266"/>
      <c r="OZ27" s="1266"/>
      <c r="PA27" s="1266"/>
      <c r="PB27" s="1266"/>
      <c r="PC27" s="1266"/>
      <c r="PD27" s="1266"/>
      <c r="PE27" s="1266"/>
      <c r="PF27" s="1266"/>
      <c r="PG27" s="1266"/>
      <c r="PH27" s="1266"/>
      <c r="PI27" s="1266"/>
      <c r="PJ27" s="1266"/>
      <c r="PK27" s="1266"/>
      <c r="PL27" s="1266"/>
      <c r="PM27" s="1266"/>
      <c r="PN27" s="1266"/>
      <c r="PO27" s="1266"/>
      <c r="PP27" s="1266"/>
      <c r="PQ27" s="1266"/>
      <c r="PR27" s="1266"/>
      <c r="PS27" s="1266"/>
      <c r="PT27" s="1266"/>
      <c r="PU27" s="1266"/>
      <c r="PV27" s="1266"/>
      <c r="PW27" s="1266"/>
      <c r="PX27" s="1266"/>
      <c r="PY27" s="1266"/>
      <c r="PZ27" s="1266"/>
      <c r="QA27" s="1266"/>
      <c r="QB27" s="1266"/>
      <c r="QC27" s="1266"/>
      <c r="QD27" s="1266"/>
      <c r="QE27" s="1266"/>
      <c r="QF27" s="1266"/>
      <c r="QG27" s="1266"/>
      <c r="QH27" s="1266"/>
      <c r="QI27" s="1266"/>
      <c r="QJ27" s="1266"/>
      <c r="QK27" s="1266"/>
      <c r="QL27" s="1266"/>
      <c r="QM27" s="1266"/>
      <c r="QN27" s="1266"/>
      <c r="QO27" s="1266"/>
      <c r="QP27" s="1266"/>
      <c r="QQ27" s="1266"/>
      <c r="QR27" s="1266"/>
      <c r="QS27" s="1266"/>
      <c r="QT27" s="1266"/>
      <c r="QU27" s="1266"/>
      <c r="QV27" s="1266"/>
      <c r="QW27" s="1266"/>
      <c r="QX27" s="1266"/>
      <c r="QY27" s="1266"/>
      <c r="QZ27" s="1266"/>
      <c r="RA27" s="1266"/>
      <c r="RB27" s="1266"/>
      <c r="RC27" s="1266"/>
      <c r="RD27" s="1266"/>
      <c r="RE27" s="1266"/>
      <c r="RF27" s="1266"/>
      <c r="RG27" s="1266"/>
      <c r="RH27" s="1266"/>
      <c r="RI27" s="1266"/>
      <c r="RJ27" s="1266"/>
      <c r="RK27" s="1266"/>
      <c r="RL27" s="1266"/>
      <c r="RM27" s="1266"/>
      <c r="RN27" s="1266"/>
      <c r="RO27" s="1266"/>
      <c r="RP27" s="1266"/>
      <c r="RQ27" s="1266"/>
      <c r="RR27" s="1266"/>
      <c r="RS27" s="1266"/>
      <c r="RT27" s="1266"/>
      <c r="RU27" s="1266"/>
      <c r="RV27" s="1266"/>
      <c r="RW27" s="1266"/>
      <c r="RX27" s="1266"/>
      <c r="RY27" s="1266"/>
      <c r="RZ27" s="1266"/>
      <c r="SA27" s="1266"/>
      <c r="SB27" s="1266"/>
      <c r="SC27" s="1266"/>
      <c r="SD27" s="1266"/>
      <c r="SE27" s="1266"/>
      <c r="SF27" s="1266"/>
      <c r="SG27" s="1266"/>
      <c r="SH27" s="1266"/>
      <c r="SI27" s="1266"/>
      <c r="SJ27" s="1266"/>
      <c r="SK27" s="1266"/>
      <c r="SL27" s="1266"/>
      <c r="SM27" s="1266"/>
      <c r="SN27" s="1266"/>
      <c r="SO27" s="1266"/>
      <c r="SP27" s="1266"/>
      <c r="SQ27" s="1266"/>
      <c r="SR27" s="1266"/>
      <c r="SS27" s="1266"/>
      <c r="ST27" s="1266"/>
      <c r="SU27" s="1266"/>
      <c r="SV27" s="1266"/>
      <c r="SW27" s="1266"/>
      <c r="SX27" s="1266"/>
      <c r="SY27" s="1266"/>
      <c r="SZ27" s="1266"/>
      <c r="TA27" s="1266"/>
      <c r="TB27" s="1266"/>
      <c r="TC27" s="1266"/>
      <c r="TD27" s="1266"/>
      <c r="TE27" s="1266"/>
      <c r="TF27" s="1266"/>
      <c r="TG27" s="1266"/>
      <c r="TH27" s="1266"/>
      <c r="TI27" s="1266"/>
      <c r="TJ27" s="1266"/>
      <c r="TK27" s="1266"/>
      <c r="TL27" s="1266"/>
      <c r="TM27" s="1266"/>
      <c r="TN27" s="1266"/>
      <c r="TO27" s="1266"/>
      <c r="TP27" s="1266"/>
      <c r="TQ27" s="1266"/>
      <c r="TR27" s="1266"/>
      <c r="TS27" s="1266"/>
      <c r="TT27" s="1266"/>
      <c r="TU27" s="1266"/>
      <c r="TV27" s="1266"/>
      <c r="TW27" s="1266"/>
      <c r="TX27" s="1266"/>
      <c r="TY27" s="1266"/>
      <c r="TZ27" s="1266"/>
      <c r="UA27" s="1266"/>
      <c r="UB27" s="1266"/>
      <c r="UC27" s="1266"/>
      <c r="UD27" s="1266"/>
      <c r="UE27" s="1266"/>
      <c r="UF27" s="1266"/>
      <c r="UG27" s="1266"/>
      <c r="UH27" s="1266"/>
      <c r="UI27" s="1266"/>
      <c r="UJ27" s="1266"/>
      <c r="UK27" s="1266"/>
      <c r="UL27" s="1266"/>
      <c r="UM27" s="1266"/>
      <c r="UN27" s="1266"/>
      <c r="UO27" s="1266"/>
      <c r="UP27" s="1266"/>
      <c r="UQ27" s="1266"/>
      <c r="UR27" s="1266"/>
      <c r="US27" s="1266"/>
      <c r="UT27" s="1266"/>
      <c r="UU27" s="1266"/>
      <c r="UV27" s="1266"/>
      <c r="UW27" s="1266"/>
      <c r="UX27" s="1266"/>
      <c r="UY27" s="1266"/>
      <c r="UZ27" s="1266"/>
      <c r="VA27" s="1266"/>
      <c r="VB27" s="1266"/>
      <c r="VC27" s="1266"/>
      <c r="VD27" s="1266"/>
      <c r="VE27" s="1266"/>
      <c r="VF27" s="1266"/>
      <c r="VG27" s="1266"/>
      <c r="VH27" s="1266"/>
      <c r="VI27" s="1266"/>
      <c r="VJ27" s="1266"/>
      <c r="VK27" s="1266"/>
      <c r="VL27" s="1266"/>
      <c r="VM27" s="1266"/>
      <c r="VN27" s="1266"/>
      <c r="VO27" s="1266"/>
      <c r="VP27" s="1266"/>
      <c r="VQ27" s="1266"/>
      <c r="VR27" s="1266"/>
      <c r="VS27" s="1266"/>
      <c r="VT27" s="1266"/>
      <c r="VU27" s="1266"/>
      <c r="VV27" s="1266"/>
      <c r="VW27" s="1266"/>
      <c r="VX27" s="1266"/>
      <c r="VY27" s="1266"/>
      <c r="VZ27" s="1266"/>
      <c r="WA27" s="1266"/>
      <c r="WB27" s="1266"/>
      <c r="WC27" s="1266"/>
      <c r="WD27" s="1266"/>
      <c r="WE27" s="1266"/>
      <c r="WF27" s="1266"/>
      <c r="WG27" s="1266"/>
      <c r="WH27" s="1266"/>
      <c r="WI27" s="1266"/>
      <c r="WJ27" s="1266"/>
      <c r="WK27" s="1266"/>
      <c r="WL27" s="1266"/>
      <c r="WM27" s="1266"/>
      <c r="WN27" s="1266"/>
      <c r="WO27" s="1266"/>
      <c r="WP27" s="1266"/>
      <c r="WQ27" s="1266"/>
      <c r="WR27" s="1266"/>
      <c r="WS27" s="1266"/>
      <c r="WT27" s="1266"/>
      <c r="WU27" s="1266"/>
      <c r="WV27" s="1266"/>
      <c r="WW27" s="1266"/>
      <c r="WX27" s="1266"/>
      <c r="WY27" s="1266"/>
      <c r="WZ27" s="1266"/>
      <c r="XA27" s="1266"/>
      <c r="XB27" s="1266"/>
      <c r="XC27" s="1266"/>
      <c r="XD27" s="1266"/>
      <c r="XE27" s="1266"/>
      <c r="XF27" s="1266"/>
      <c r="XG27" s="1266"/>
      <c r="XH27" s="1266"/>
      <c r="XI27" s="1266"/>
      <c r="XJ27" s="1266"/>
      <c r="XK27" s="1266"/>
      <c r="XL27" s="1266"/>
      <c r="XM27" s="1266"/>
      <c r="XN27" s="1266"/>
      <c r="XO27" s="1266"/>
      <c r="XP27" s="1266"/>
      <c r="XQ27" s="1266"/>
      <c r="XR27" s="1266"/>
      <c r="XS27" s="1266"/>
      <c r="XT27" s="1266"/>
      <c r="XU27" s="1266"/>
      <c r="XV27" s="1266"/>
      <c r="XW27" s="1266"/>
      <c r="XX27" s="1266"/>
      <c r="XY27" s="1266"/>
      <c r="XZ27" s="1266"/>
      <c r="YA27" s="1266"/>
      <c r="YB27" s="1266"/>
      <c r="YC27" s="1266"/>
      <c r="YD27" s="1266"/>
      <c r="YE27" s="1266"/>
      <c r="YF27" s="1266"/>
      <c r="YG27" s="1266"/>
      <c r="YH27" s="1266"/>
      <c r="YI27" s="1266"/>
      <c r="YJ27" s="1266"/>
      <c r="YK27" s="1266"/>
      <c r="YL27" s="1266"/>
      <c r="YM27" s="1266"/>
      <c r="YN27" s="1266"/>
      <c r="YO27" s="1266"/>
      <c r="YP27" s="1266"/>
      <c r="YQ27" s="1266"/>
      <c r="YR27" s="1266"/>
      <c r="YS27" s="1266"/>
      <c r="YT27" s="1266"/>
      <c r="YU27" s="1266"/>
      <c r="YV27" s="1266"/>
      <c r="YW27" s="1266"/>
      <c r="YX27" s="1266"/>
      <c r="YY27" s="1266"/>
      <c r="YZ27" s="1266"/>
      <c r="ZA27" s="1266"/>
      <c r="ZB27" s="1266"/>
      <c r="ZC27" s="1266"/>
      <c r="ZD27" s="1266"/>
      <c r="ZE27" s="1266"/>
      <c r="ZF27" s="1266"/>
      <c r="ZG27" s="1266"/>
      <c r="ZH27" s="1266"/>
      <c r="ZI27" s="1266"/>
      <c r="ZJ27" s="1266"/>
      <c r="ZK27" s="1266"/>
      <c r="ZL27" s="1266"/>
      <c r="ZM27" s="1266"/>
      <c r="ZN27" s="1266"/>
      <c r="ZO27" s="1266"/>
      <c r="ZP27" s="1266"/>
      <c r="ZQ27" s="1266"/>
      <c r="ZR27" s="1266"/>
      <c r="ZS27" s="1266"/>
      <c r="ZT27" s="1266"/>
      <c r="ZU27" s="1266"/>
      <c r="ZV27" s="1266"/>
      <c r="ZW27" s="1266"/>
      <c r="ZX27" s="1266"/>
      <c r="ZY27" s="1266"/>
      <c r="ZZ27" s="1266"/>
      <c r="AAA27" s="1266"/>
      <c r="AAB27" s="1266"/>
      <c r="AAC27" s="1266"/>
      <c r="AAD27" s="1266"/>
      <c r="AAE27" s="1266"/>
      <c r="AAF27" s="1266"/>
      <c r="AAG27" s="1266"/>
      <c r="AAH27" s="1266"/>
      <c r="AAI27" s="1266"/>
      <c r="AAJ27" s="1266"/>
      <c r="AAK27" s="1266"/>
      <c r="AAL27" s="1266"/>
      <c r="AAM27" s="1266"/>
      <c r="AAN27" s="1266"/>
      <c r="AAO27" s="1266"/>
      <c r="AAP27" s="1266"/>
      <c r="AAQ27" s="1266"/>
      <c r="AAR27" s="1266"/>
      <c r="AAS27" s="1266"/>
      <c r="AAT27" s="1266"/>
      <c r="AAU27" s="1266"/>
      <c r="AAV27" s="1266"/>
      <c r="AAW27" s="1266"/>
      <c r="AAX27" s="1266"/>
      <c r="AAY27" s="1266"/>
      <c r="AAZ27" s="1266"/>
      <c r="ABA27" s="1266"/>
      <c r="ABB27" s="1266"/>
      <c r="ABC27" s="1266"/>
      <c r="ABD27" s="1266"/>
      <c r="ABE27" s="1266"/>
      <c r="ABF27" s="1266"/>
      <c r="ABG27" s="1266"/>
      <c r="ABH27" s="1266"/>
      <c r="ABI27" s="1266"/>
      <c r="ABJ27" s="1266"/>
      <c r="ABK27" s="1266"/>
      <c r="ABL27" s="1266"/>
      <c r="ABM27" s="1266"/>
      <c r="ABN27" s="1266"/>
      <c r="ABO27" s="1266"/>
      <c r="ABP27" s="1266"/>
      <c r="ABQ27" s="1266"/>
      <c r="ABR27" s="1266"/>
      <c r="ABS27" s="1266"/>
      <c r="ABT27" s="1266"/>
      <c r="ABU27" s="1266"/>
      <c r="ABV27" s="1266"/>
      <c r="ABW27" s="1266"/>
      <c r="ABX27" s="1266"/>
      <c r="ABY27" s="1266"/>
      <c r="ABZ27" s="1266"/>
      <c r="ACA27" s="1266"/>
      <c r="ACB27" s="1266"/>
      <c r="ACC27" s="1266"/>
      <c r="ACD27" s="1266"/>
      <c r="ACE27" s="1266"/>
      <c r="ACF27" s="1266"/>
      <c r="ACG27" s="1266"/>
      <c r="ACH27" s="1266"/>
      <c r="ACI27" s="1266"/>
      <c r="ACJ27" s="1266"/>
      <c r="ACK27" s="1266"/>
      <c r="ACL27" s="1266"/>
      <c r="ACM27" s="1266"/>
      <c r="ACN27" s="1266"/>
      <c r="ACO27" s="1266"/>
      <c r="ACP27" s="1266"/>
      <c r="ACQ27" s="1266"/>
      <c r="ACR27" s="1266"/>
      <c r="ACS27" s="1266"/>
      <c r="ACT27" s="1266"/>
      <c r="ACU27" s="1266"/>
      <c r="ACV27" s="1266"/>
      <c r="ACW27" s="1266"/>
      <c r="ACX27" s="1266"/>
      <c r="ACY27" s="1266"/>
      <c r="ACZ27" s="1266"/>
      <c r="ADA27" s="1266"/>
      <c r="ADB27" s="1266"/>
      <c r="ADC27" s="1266"/>
      <c r="ADD27" s="1266"/>
      <c r="ADE27" s="1266"/>
      <c r="ADF27" s="1266"/>
      <c r="ADG27" s="1266"/>
      <c r="ADH27" s="1266"/>
      <c r="ADI27" s="1266"/>
      <c r="ADJ27" s="1266"/>
      <c r="ADK27" s="1266"/>
      <c r="ADL27" s="1266"/>
      <c r="ADM27" s="1266"/>
      <c r="ADN27" s="1266"/>
      <c r="ADO27" s="1266"/>
      <c r="ADP27" s="1266"/>
      <c r="ADQ27" s="1266"/>
      <c r="ADR27" s="1266"/>
      <c r="ADS27" s="1266"/>
      <c r="ADT27" s="1266"/>
      <c r="ADU27" s="1266"/>
      <c r="ADV27" s="1266"/>
      <c r="ADW27" s="1266"/>
      <c r="ADX27" s="1266"/>
      <c r="ADY27" s="1266"/>
      <c r="ADZ27" s="1266"/>
      <c r="AEA27" s="1266"/>
      <c r="AEB27" s="1266"/>
      <c r="AEC27" s="1266"/>
      <c r="AED27" s="1266"/>
      <c r="AEE27" s="1266"/>
      <c r="AEF27" s="1266"/>
      <c r="AEG27" s="1266"/>
      <c r="AEH27" s="1266"/>
      <c r="AEI27" s="1266"/>
      <c r="AEJ27" s="1266"/>
      <c r="AEK27" s="1266"/>
      <c r="AEL27" s="1266"/>
      <c r="AEM27" s="1266"/>
      <c r="AEN27" s="1266"/>
      <c r="AEO27" s="1266"/>
      <c r="AEP27" s="1266"/>
      <c r="AEQ27" s="1266"/>
      <c r="AER27" s="1266"/>
      <c r="AES27" s="1266"/>
      <c r="AET27" s="1266"/>
      <c r="AEU27" s="1266"/>
      <c r="AEV27" s="1266"/>
      <c r="AEW27" s="1266"/>
      <c r="AEX27" s="1266"/>
      <c r="AEY27" s="1266"/>
      <c r="AEZ27" s="1266"/>
      <c r="AFA27" s="1266"/>
      <c r="AFB27" s="1266"/>
      <c r="AFC27" s="1266"/>
      <c r="AFD27" s="1266"/>
      <c r="AFE27" s="1266"/>
      <c r="AFF27" s="1266"/>
      <c r="AFG27" s="1266"/>
      <c r="AFH27" s="1266"/>
      <c r="AFI27" s="1266"/>
      <c r="AFJ27" s="1266"/>
      <c r="AFK27" s="1266"/>
      <c r="AFL27" s="1266"/>
      <c r="AFM27" s="1266"/>
      <c r="AFN27" s="1266"/>
      <c r="AFO27" s="1266"/>
      <c r="AFP27" s="1266"/>
      <c r="AFQ27" s="1266"/>
      <c r="AFR27" s="1266"/>
      <c r="AFS27" s="1266"/>
      <c r="AFT27" s="1266"/>
      <c r="AFU27" s="1266"/>
      <c r="AFV27" s="1266"/>
      <c r="AFW27" s="1266"/>
      <c r="AFX27" s="1266"/>
      <c r="AFY27" s="1266"/>
      <c r="AFZ27" s="1266"/>
      <c r="AGA27" s="1266"/>
      <c r="AGB27" s="1266"/>
      <c r="AGC27" s="1266"/>
      <c r="AGD27" s="1266"/>
      <c r="AGE27" s="1266"/>
      <c r="AGF27" s="1266"/>
      <c r="AGG27" s="1266"/>
      <c r="AGH27" s="1266"/>
      <c r="AGI27" s="1266"/>
      <c r="AGJ27" s="1266"/>
      <c r="AGK27" s="1266"/>
      <c r="AGL27" s="1266"/>
      <c r="AGM27" s="1266"/>
      <c r="AGN27" s="1266"/>
      <c r="AGO27" s="1266"/>
      <c r="AGP27" s="1266"/>
      <c r="AGQ27" s="1266"/>
      <c r="AGR27" s="1266"/>
      <c r="AGS27" s="1266"/>
      <c r="AGT27" s="1266"/>
      <c r="AGU27" s="1266"/>
      <c r="AGV27" s="1266"/>
      <c r="AGW27" s="1266"/>
      <c r="AGX27" s="1266"/>
      <c r="AGY27" s="1266"/>
      <c r="AGZ27" s="1266"/>
      <c r="AHA27" s="1266"/>
      <c r="AHB27" s="1266"/>
      <c r="AHC27" s="1266"/>
      <c r="AHD27" s="1266"/>
      <c r="AHE27" s="1266"/>
      <c r="AHF27" s="1266"/>
      <c r="AHG27" s="1266"/>
      <c r="AHH27" s="1266"/>
      <c r="AHI27" s="1266"/>
      <c r="AHJ27" s="1266"/>
      <c r="AHK27" s="1266"/>
      <c r="AHL27" s="1266"/>
      <c r="AHM27" s="1266"/>
      <c r="AHN27" s="1266"/>
      <c r="AHO27" s="1266"/>
      <c r="AHP27" s="1266"/>
      <c r="AHQ27" s="1266"/>
      <c r="AHR27" s="1266"/>
      <c r="AHS27" s="1266"/>
      <c r="AHT27" s="1266"/>
      <c r="AHU27" s="1266"/>
      <c r="AHV27" s="1266"/>
      <c r="AHW27" s="1266"/>
      <c r="AHX27" s="1266"/>
      <c r="AHY27" s="1266"/>
      <c r="AHZ27" s="1266"/>
      <c r="AIA27" s="1266"/>
      <c r="AIB27" s="1266"/>
      <c r="AIC27" s="1266"/>
      <c r="AID27" s="1266"/>
      <c r="AIE27" s="1266"/>
      <c r="AIF27" s="1266"/>
      <c r="AIG27" s="1266"/>
      <c r="AIH27" s="1266"/>
      <c r="AII27" s="1266"/>
      <c r="AIJ27" s="1266"/>
      <c r="AIK27" s="1266"/>
      <c r="AIL27" s="1266"/>
      <c r="AIM27" s="1266"/>
      <c r="AIN27" s="1266"/>
      <c r="AIO27" s="1266"/>
      <c r="AIP27" s="1266"/>
      <c r="AIQ27" s="1266"/>
      <c r="AIR27" s="1266"/>
      <c r="AIS27" s="1266"/>
      <c r="AIT27" s="1266"/>
      <c r="AIU27" s="1266"/>
      <c r="AIV27" s="1266"/>
      <c r="AIW27" s="1266"/>
      <c r="AIX27" s="1266"/>
      <c r="AIY27" s="1266"/>
      <c r="AIZ27" s="1266"/>
      <c r="AJA27" s="1266"/>
      <c r="AJB27" s="1266"/>
      <c r="AJC27" s="1266"/>
      <c r="AJD27" s="1266"/>
      <c r="AJE27" s="1266"/>
      <c r="AJF27" s="1266"/>
      <c r="AJG27" s="1266"/>
      <c r="AJH27" s="1266"/>
      <c r="AJI27" s="1266"/>
      <c r="AJJ27" s="1266"/>
      <c r="AJK27" s="1266"/>
      <c r="AJL27" s="1266"/>
      <c r="AJM27" s="1266"/>
      <c r="AJN27" s="1266"/>
      <c r="AJO27" s="1266"/>
      <c r="AJP27" s="1266"/>
      <c r="AJQ27" s="1266"/>
      <c r="AJR27" s="1266"/>
      <c r="AJS27" s="1266"/>
      <c r="AJT27" s="1266"/>
      <c r="AJU27" s="1266"/>
      <c r="AJV27" s="1266"/>
      <c r="AJW27" s="1266"/>
      <c r="AJX27" s="1266"/>
      <c r="AJY27" s="1266"/>
      <c r="AJZ27" s="1266"/>
      <c r="AKA27" s="1266"/>
      <c r="AKB27" s="1266"/>
      <c r="AKC27" s="1266"/>
      <c r="AKD27" s="1266"/>
      <c r="AKE27" s="1266"/>
      <c r="AKF27" s="1266"/>
      <c r="AKG27" s="1266"/>
      <c r="AKH27" s="1266"/>
      <c r="AKI27" s="1266"/>
      <c r="AKJ27" s="1266"/>
      <c r="AKK27" s="1266"/>
      <c r="AKL27" s="1266"/>
      <c r="AKM27" s="1266"/>
      <c r="AKN27" s="1266"/>
      <c r="AKO27" s="1266"/>
      <c r="AKP27" s="1266"/>
      <c r="AKQ27" s="1266"/>
      <c r="AKR27" s="1266"/>
      <c r="AKS27" s="1266"/>
      <c r="AKT27" s="1266"/>
      <c r="AKU27" s="1266"/>
      <c r="AKV27" s="1266"/>
      <c r="AKW27" s="1266"/>
      <c r="AKX27" s="1266"/>
      <c r="AKY27" s="1266"/>
      <c r="AKZ27" s="1266"/>
      <c r="ALA27" s="1266"/>
      <c r="ALB27" s="1266"/>
      <c r="ALC27" s="1266"/>
      <c r="ALD27" s="1266"/>
      <c r="ALE27" s="1266"/>
      <c r="ALF27" s="1266"/>
      <c r="ALG27" s="1266"/>
      <c r="ALH27" s="1266"/>
      <c r="ALI27" s="1266"/>
      <c r="ALJ27" s="1266"/>
      <c r="ALK27" s="1266"/>
      <c r="ALL27" s="1266"/>
      <c r="ALM27" s="1266"/>
      <c r="ALN27" s="1266"/>
      <c r="ALO27" s="1266"/>
      <c r="ALP27" s="1266"/>
      <c r="ALQ27" s="1266"/>
      <c r="ALR27" s="1266"/>
      <c r="ALS27" s="1266"/>
      <c r="ALT27" s="1266"/>
      <c r="ALU27" s="1266"/>
      <c r="ALV27" s="1266"/>
      <c r="ALW27" s="1266"/>
      <c r="ALX27" s="1266"/>
      <c r="ALY27" s="1266"/>
      <c r="ALZ27" s="1266"/>
      <c r="AMA27" s="1266"/>
      <c r="AMB27" s="1266"/>
      <c r="AMC27" s="1266"/>
      <c r="AMD27" s="1266"/>
      <c r="AME27" s="1266"/>
      <c r="AMF27" s="1266"/>
      <c r="AMG27" s="1266"/>
      <c r="AMH27" s="1266"/>
      <c r="AMI27" s="1266"/>
      <c r="AMJ27" s="1266"/>
      <c r="AMK27" s="1266"/>
      <c r="AML27" s="1266"/>
      <c r="AMM27" s="1266"/>
      <c r="AMN27" s="1266"/>
      <c r="AMO27" s="1266"/>
      <c r="AMP27" s="1266"/>
      <c r="AMQ27" s="1266"/>
      <c r="AMR27" s="1266"/>
      <c r="AMS27" s="1266"/>
      <c r="AMT27" s="1266"/>
      <c r="AMU27" s="1266"/>
      <c r="AMV27" s="1266"/>
      <c r="AMW27" s="1266"/>
      <c r="AMX27" s="1266"/>
      <c r="AMY27" s="1266"/>
      <c r="AMZ27" s="1266"/>
      <c r="ANA27" s="1266"/>
      <c r="ANB27" s="1266"/>
      <c r="ANC27" s="1266"/>
      <c r="AND27" s="1266"/>
      <c r="ANE27" s="1266"/>
      <c r="ANF27" s="1266"/>
      <c r="ANG27" s="1266"/>
      <c r="ANH27" s="1266"/>
      <c r="ANI27" s="1266"/>
      <c r="ANJ27" s="1266"/>
      <c r="ANK27" s="1266"/>
      <c r="ANL27" s="1266"/>
      <c r="ANM27" s="1266"/>
      <c r="ANN27" s="1266"/>
      <c r="ANO27" s="1266"/>
      <c r="ANP27" s="1266"/>
      <c r="ANQ27" s="1266"/>
      <c r="ANR27" s="1266"/>
      <c r="ANS27" s="1266"/>
      <c r="ANT27" s="1266"/>
      <c r="ANU27" s="1266"/>
      <c r="ANV27" s="1266"/>
      <c r="ANW27" s="1266"/>
      <c r="ANX27" s="1266"/>
      <c r="ANY27" s="1266"/>
      <c r="ANZ27" s="1266"/>
      <c r="AOA27" s="1266"/>
      <c r="AOB27" s="1266"/>
      <c r="AOC27" s="1266"/>
      <c r="AOD27" s="1266"/>
      <c r="AOE27" s="1266"/>
      <c r="AOF27" s="1266"/>
      <c r="AOG27" s="1266"/>
      <c r="AOH27" s="1266"/>
      <c r="AOI27" s="1266"/>
      <c r="AOJ27" s="1266"/>
      <c r="AOK27" s="1266"/>
      <c r="AOL27" s="1266"/>
      <c r="AOM27" s="1266"/>
      <c r="AON27" s="1266"/>
      <c r="AOO27" s="1266"/>
      <c r="AOP27" s="1266"/>
      <c r="AOQ27" s="1266"/>
      <c r="AOR27" s="1266"/>
      <c r="AOS27" s="1266"/>
      <c r="AOT27" s="1266"/>
      <c r="AOU27" s="1266"/>
      <c r="AOV27" s="1266"/>
      <c r="AOW27" s="1266"/>
      <c r="AOX27" s="1266"/>
      <c r="AOY27" s="1266"/>
      <c r="AOZ27" s="1266"/>
      <c r="APA27" s="1266"/>
      <c r="APB27" s="1266"/>
      <c r="APC27" s="1266"/>
      <c r="APD27" s="1266"/>
      <c r="APE27" s="1266"/>
      <c r="APF27" s="1266"/>
      <c r="APG27" s="1266"/>
      <c r="APH27" s="1266"/>
      <c r="API27" s="1266"/>
      <c r="APJ27" s="1266"/>
      <c r="APK27" s="1266"/>
      <c r="APL27" s="1266"/>
      <c r="APM27" s="1266"/>
      <c r="APN27" s="1266"/>
      <c r="APO27" s="1266"/>
      <c r="APP27" s="1266"/>
      <c r="APQ27" s="1266"/>
      <c r="APR27" s="1266"/>
      <c r="APS27" s="1266"/>
      <c r="APT27" s="1266"/>
      <c r="APU27" s="1266"/>
      <c r="APV27" s="1266"/>
      <c r="APW27" s="1266"/>
      <c r="APX27" s="1266"/>
      <c r="APY27" s="1266"/>
      <c r="APZ27" s="1266"/>
      <c r="AQA27" s="1266"/>
      <c r="AQB27" s="1266"/>
      <c r="AQC27" s="1266"/>
      <c r="AQD27" s="1266"/>
      <c r="AQE27" s="1266"/>
      <c r="AQF27" s="1266"/>
      <c r="AQG27" s="1266"/>
      <c r="AQH27" s="1266"/>
      <c r="AQI27" s="1266"/>
      <c r="AQJ27" s="1266"/>
      <c r="AQK27" s="1266"/>
      <c r="AQL27" s="1266"/>
      <c r="AQM27" s="1266"/>
      <c r="AQN27" s="1266"/>
      <c r="AQO27" s="1266"/>
      <c r="AQP27" s="1266"/>
      <c r="AQQ27" s="1266"/>
      <c r="AQR27" s="1266"/>
      <c r="AQS27" s="1266"/>
      <c r="AQT27" s="1266"/>
      <c r="AQU27" s="1266"/>
      <c r="AQV27" s="1266"/>
      <c r="AQW27" s="1266"/>
      <c r="AQX27" s="1266"/>
      <c r="AQY27" s="1266"/>
      <c r="AQZ27" s="1266"/>
      <c r="ARA27" s="1266"/>
      <c r="ARB27" s="1266"/>
      <c r="ARC27" s="1266"/>
      <c r="ARD27" s="1266"/>
      <c r="ARE27" s="1266"/>
      <c r="ARF27" s="1266"/>
      <c r="ARG27" s="1266"/>
      <c r="ARH27" s="1266"/>
      <c r="ARI27" s="1266"/>
      <c r="ARJ27" s="1266"/>
      <c r="ARK27" s="1266"/>
      <c r="ARL27" s="1266"/>
      <c r="ARM27" s="1266"/>
      <c r="ARN27" s="1266"/>
      <c r="ARO27" s="1266"/>
      <c r="ARP27" s="1266"/>
      <c r="ARQ27" s="1266"/>
      <c r="ARR27" s="1266"/>
      <c r="ARS27" s="1266"/>
      <c r="ART27" s="1266"/>
      <c r="ARU27" s="1266"/>
      <c r="ARV27" s="1266"/>
      <c r="ARW27" s="1266"/>
      <c r="ARX27" s="1266"/>
      <c r="ARY27" s="1266"/>
      <c r="ARZ27" s="1266"/>
      <c r="ASA27" s="1266"/>
      <c r="ASB27" s="1266"/>
      <c r="ASC27" s="1266"/>
      <c r="ASD27" s="1266"/>
      <c r="ASE27" s="1266"/>
      <c r="ASF27" s="1266"/>
      <c r="ASG27" s="1266"/>
      <c r="ASH27" s="1266"/>
      <c r="ASI27" s="1266"/>
      <c r="ASJ27" s="1266"/>
      <c r="ASK27" s="1266"/>
      <c r="ASL27" s="1266"/>
      <c r="ASM27" s="1266"/>
      <c r="ASN27" s="1266"/>
      <c r="ASO27" s="1266"/>
      <c r="ASP27" s="1266"/>
      <c r="ASQ27" s="1266"/>
      <c r="ASR27" s="1266"/>
      <c r="ASS27" s="1266"/>
      <c r="AST27" s="1266"/>
      <c r="ASU27" s="1266"/>
      <c r="ASV27" s="1266"/>
      <c r="ASW27" s="1266"/>
      <c r="ASX27" s="1266"/>
      <c r="ASY27" s="1266"/>
      <c r="ASZ27" s="1266"/>
      <c r="ATA27" s="1266"/>
      <c r="ATB27" s="1266"/>
      <c r="ATC27" s="1266"/>
      <c r="ATD27" s="1266"/>
      <c r="ATE27" s="1266"/>
      <c r="ATF27" s="1266"/>
      <c r="ATG27" s="1266"/>
      <c r="ATH27" s="1266"/>
      <c r="ATI27" s="1266"/>
      <c r="ATJ27" s="1266"/>
      <c r="ATK27" s="1266"/>
      <c r="ATL27" s="1266"/>
      <c r="ATM27" s="1266"/>
      <c r="ATN27" s="1266"/>
      <c r="ATO27" s="1266"/>
      <c r="ATP27" s="1266"/>
      <c r="ATQ27" s="1266"/>
      <c r="ATR27" s="1266"/>
      <c r="ATS27" s="1266"/>
      <c r="ATT27" s="1266"/>
      <c r="ATU27" s="1266"/>
      <c r="ATV27" s="1266"/>
      <c r="ATW27" s="1266"/>
      <c r="ATX27" s="1266"/>
      <c r="ATY27" s="1266"/>
      <c r="ATZ27" s="1266"/>
      <c r="AUA27" s="1266"/>
      <c r="AUB27" s="1266"/>
      <c r="AUC27" s="1266"/>
      <c r="AUD27" s="1266"/>
      <c r="AUE27" s="1266"/>
      <c r="AUF27" s="1266"/>
      <c r="AUG27" s="1266"/>
      <c r="AUH27" s="1266"/>
      <c r="AUI27" s="1266"/>
      <c r="AUJ27" s="1266"/>
      <c r="AUK27" s="1266"/>
      <c r="AUL27" s="1266"/>
      <c r="AUM27" s="1266"/>
      <c r="AUN27" s="1266"/>
      <c r="AUO27" s="1266"/>
      <c r="AUP27" s="1266"/>
      <c r="AUQ27" s="1266"/>
      <c r="AUR27" s="1266"/>
      <c r="AUS27" s="1266"/>
      <c r="AUT27" s="1266"/>
      <c r="AUU27" s="1266"/>
      <c r="AUV27" s="1266"/>
      <c r="AUW27" s="1266"/>
      <c r="AUX27" s="1266"/>
      <c r="AUY27" s="1266"/>
      <c r="AUZ27" s="1266"/>
      <c r="AVA27" s="1266"/>
      <c r="AVB27" s="1266"/>
      <c r="AVC27" s="1266"/>
      <c r="AVD27" s="1266"/>
      <c r="AVE27" s="1266"/>
      <c r="AVF27" s="1266"/>
      <c r="AVG27" s="1266"/>
      <c r="AVH27" s="1266"/>
      <c r="AVI27" s="1266"/>
      <c r="AVJ27" s="1266"/>
      <c r="AVK27" s="1266"/>
      <c r="AVL27" s="1266"/>
      <c r="AVM27" s="1266"/>
      <c r="AVN27" s="1266"/>
      <c r="AVO27" s="1266"/>
      <c r="AVP27" s="1266"/>
      <c r="AVQ27" s="1266"/>
      <c r="AVR27" s="1266"/>
      <c r="AVS27" s="1266"/>
      <c r="AVT27" s="1266"/>
      <c r="AVU27" s="1266"/>
      <c r="AVV27" s="1266"/>
      <c r="AVW27" s="1266"/>
      <c r="AVX27" s="1266"/>
      <c r="AVY27" s="1266"/>
      <c r="AVZ27" s="1266"/>
      <c r="AWA27" s="1266"/>
      <c r="AWB27" s="1266"/>
      <c r="AWC27" s="1266"/>
      <c r="AWD27" s="1266"/>
      <c r="AWE27" s="1266"/>
      <c r="AWF27" s="1266"/>
      <c r="AWG27" s="1266"/>
      <c r="AWH27" s="1266"/>
      <c r="AWI27" s="1266"/>
      <c r="AWJ27" s="1266"/>
      <c r="AWK27" s="1266"/>
      <c r="AWL27" s="1266"/>
      <c r="AWM27" s="1266"/>
      <c r="AWN27" s="1266"/>
      <c r="AWO27" s="1266"/>
      <c r="AWP27" s="1266"/>
      <c r="AWQ27" s="1266"/>
      <c r="AWR27" s="1266"/>
      <c r="AWS27" s="1266"/>
      <c r="AWT27" s="1266"/>
      <c r="AWU27" s="1266"/>
      <c r="AWV27" s="1266"/>
      <c r="AWW27" s="1266"/>
      <c r="AWX27" s="1266"/>
      <c r="AWY27" s="1266"/>
      <c r="AWZ27" s="1266"/>
      <c r="AXA27" s="1266"/>
      <c r="AXB27" s="1266"/>
      <c r="AXC27" s="1266"/>
      <c r="AXD27" s="1266"/>
      <c r="AXE27" s="1266"/>
      <c r="AXF27" s="1266"/>
      <c r="AXG27" s="1266"/>
      <c r="AXH27" s="1266"/>
      <c r="AXI27" s="1266"/>
      <c r="AXJ27" s="1266"/>
      <c r="AXK27" s="1266"/>
      <c r="AXL27" s="1266"/>
      <c r="AXM27" s="1266"/>
      <c r="AXN27" s="1266"/>
      <c r="AXO27" s="1266"/>
      <c r="AXP27" s="1266"/>
      <c r="AXQ27" s="1266"/>
      <c r="AXR27" s="1266"/>
      <c r="AXS27" s="1266"/>
      <c r="AXT27" s="1266"/>
      <c r="AXU27" s="1266"/>
      <c r="AXV27" s="1266"/>
      <c r="AXW27" s="1266"/>
      <c r="AXX27" s="1266"/>
      <c r="AXY27" s="1266"/>
      <c r="AXZ27" s="1266"/>
      <c r="AYA27" s="1266"/>
      <c r="AYB27" s="1266"/>
      <c r="AYC27" s="1266"/>
      <c r="AYD27" s="1266"/>
      <c r="AYE27" s="1266"/>
      <c r="AYF27" s="1266"/>
      <c r="AYG27" s="1266"/>
      <c r="AYH27" s="1266"/>
      <c r="AYI27" s="1266"/>
      <c r="AYJ27" s="1266"/>
      <c r="AYK27" s="1266"/>
      <c r="AYL27" s="1266"/>
      <c r="AYM27" s="1266"/>
      <c r="AYN27" s="1266"/>
      <c r="AYO27" s="1266"/>
      <c r="AYP27" s="1266"/>
      <c r="AYQ27" s="1266"/>
      <c r="AYR27" s="1266"/>
      <c r="AYS27" s="1266"/>
      <c r="AYT27" s="1266"/>
      <c r="AYU27" s="1266"/>
      <c r="AYV27" s="1266"/>
      <c r="AYW27" s="1266"/>
      <c r="AYX27" s="1266"/>
      <c r="AYY27" s="1266"/>
      <c r="AYZ27" s="1266"/>
      <c r="AZA27" s="1266"/>
      <c r="AZB27" s="1266"/>
      <c r="AZC27" s="1266"/>
      <c r="AZD27" s="1266"/>
      <c r="AZE27" s="1266"/>
      <c r="AZF27" s="1266"/>
      <c r="AZG27" s="1266"/>
      <c r="AZH27" s="1266"/>
      <c r="AZI27" s="1266"/>
      <c r="AZJ27" s="1266"/>
      <c r="AZK27" s="1266"/>
      <c r="AZL27" s="1266"/>
      <c r="AZM27" s="1266"/>
      <c r="AZN27" s="1266"/>
      <c r="AZO27" s="1266"/>
      <c r="AZP27" s="1266"/>
      <c r="AZQ27" s="1266"/>
      <c r="AZR27" s="1266"/>
      <c r="AZS27" s="1266"/>
      <c r="AZT27" s="1266"/>
      <c r="AZU27" s="1266"/>
      <c r="AZV27" s="1266"/>
      <c r="AZW27" s="1266"/>
      <c r="AZX27" s="1266"/>
      <c r="AZY27" s="1266"/>
      <c r="AZZ27" s="1266"/>
      <c r="BAA27" s="1266"/>
      <c r="BAB27" s="1266"/>
      <c r="BAC27" s="1266"/>
      <c r="BAD27" s="1266"/>
      <c r="BAE27" s="1266"/>
      <c r="BAF27" s="1266"/>
      <c r="BAG27" s="1266"/>
      <c r="BAH27" s="1266"/>
      <c r="BAI27" s="1266"/>
      <c r="BAJ27" s="1266"/>
      <c r="BAK27" s="1266"/>
      <c r="BAL27" s="1266"/>
      <c r="BAM27" s="1266"/>
      <c r="BAN27" s="1266"/>
      <c r="BAO27" s="1266"/>
      <c r="BAP27" s="1266"/>
      <c r="BAQ27" s="1266"/>
      <c r="BAR27" s="1266"/>
      <c r="BAS27" s="1266"/>
      <c r="BAT27" s="1266"/>
      <c r="BAU27" s="1266"/>
      <c r="BAV27" s="1266"/>
      <c r="BAW27" s="1266"/>
      <c r="BAX27" s="1266"/>
      <c r="BAY27" s="1266"/>
      <c r="BAZ27" s="1266"/>
      <c r="BBA27" s="1266"/>
      <c r="BBB27" s="1266"/>
      <c r="BBC27" s="1266"/>
      <c r="BBD27" s="1266"/>
      <c r="BBE27" s="1266"/>
      <c r="BBF27" s="1266"/>
      <c r="BBG27" s="1266"/>
      <c r="BBH27" s="1266"/>
      <c r="BBI27" s="1266"/>
      <c r="BBJ27" s="1266"/>
      <c r="BBK27" s="1266"/>
      <c r="BBL27" s="1266"/>
      <c r="BBM27" s="1266"/>
      <c r="BBN27" s="1266"/>
      <c r="BBO27" s="1266"/>
      <c r="BBP27" s="1266"/>
      <c r="BBQ27" s="1266"/>
      <c r="BBR27" s="1266"/>
      <c r="BBS27" s="1266"/>
      <c r="BBT27" s="1266"/>
      <c r="BBU27" s="1266"/>
      <c r="BBV27" s="1266"/>
      <c r="BBW27" s="1266"/>
      <c r="BBX27" s="1266"/>
      <c r="BBY27" s="1266"/>
      <c r="BBZ27" s="1266"/>
      <c r="BCA27" s="1266"/>
      <c r="BCB27" s="1266"/>
      <c r="BCC27" s="1266"/>
      <c r="BCD27" s="1266"/>
      <c r="BCE27" s="1266"/>
      <c r="BCF27" s="1266"/>
      <c r="BCG27" s="1266"/>
      <c r="BCH27" s="1266"/>
      <c r="BCI27" s="1266"/>
      <c r="BCJ27" s="1266"/>
      <c r="BCK27" s="1266"/>
      <c r="BCL27" s="1266"/>
      <c r="BCM27" s="1266"/>
      <c r="BCN27" s="1266"/>
      <c r="BCO27" s="1266"/>
      <c r="BCP27" s="1266"/>
      <c r="BCQ27" s="1266"/>
      <c r="BCR27" s="1266"/>
      <c r="BCS27" s="1266"/>
      <c r="BCT27" s="1266"/>
      <c r="BCU27" s="1266"/>
      <c r="BCV27" s="1266"/>
      <c r="BCW27" s="1266"/>
      <c r="BCX27" s="1266"/>
      <c r="BCY27" s="1266"/>
      <c r="BCZ27" s="1266"/>
      <c r="BDA27" s="1266"/>
      <c r="BDB27" s="1266"/>
      <c r="BDC27" s="1266"/>
      <c r="BDD27" s="1266"/>
      <c r="BDE27" s="1266"/>
      <c r="BDF27" s="1266"/>
      <c r="BDG27" s="1266"/>
      <c r="BDH27" s="1266"/>
      <c r="BDI27" s="1266"/>
      <c r="BDJ27" s="1266"/>
      <c r="BDK27" s="1266"/>
      <c r="BDL27" s="1266"/>
      <c r="BDM27" s="1266"/>
      <c r="BDN27" s="1266"/>
      <c r="BDO27" s="1266"/>
      <c r="BDP27" s="1266"/>
      <c r="BDQ27" s="1266"/>
      <c r="BDR27" s="1266"/>
      <c r="BDS27" s="1266"/>
      <c r="BDT27" s="1266"/>
      <c r="BDU27" s="1266"/>
      <c r="BDV27" s="1266"/>
      <c r="BDW27" s="1266"/>
      <c r="BDX27" s="1266"/>
      <c r="BDY27" s="1266"/>
      <c r="BDZ27" s="1266"/>
      <c r="BEA27" s="1266"/>
      <c r="BEB27" s="1266"/>
      <c r="BEC27" s="1266"/>
      <c r="BED27" s="1266"/>
      <c r="BEE27" s="1266"/>
      <c r="BEF27" s="1266"/>
      <c r="BEG27" s="1266"/>
      <c r="BEH27" s="1266"/>
      <c r="BEI27" s="1266"/>
      <c r="BEJ27" s="1266"/>
      <c r="BEK27" s="1266"/>
      <c r="BEL27" s="1266"/>
      <c r="BEM27" s="1266"/>
      <c r="BEN27" s="1266"/>
      <c r="BEO27" s="1266"/>
      <c r="BEP27" s="1266"/>
      <c r="BEQ27" s="1266"/>
      <c r="BER27" s="1266"/>
      <c r="BES27" s="1266"/>
      <c r="BET27" s="1266"/>
      <c r="BEU27" s="1266"/>
      <c r="BEV27" s="1266"/>
      <c r="BEW27" s="1266"/>
      <c r="BEX27" s="1266"/>
      <c r="BEY27" s="1266"/>
      <c r="BEZ27" s="1266"/>
      <c r="BFA27" s="1266"/>
      <c r="BFB27" s="1266"/>
      <c r="BFC27" s="1266"/>
      <c r="BFD27" s="1266"/>
      <c r="BFE27" s="1266"/>
      <c r="BFF27" s="1266"/>
      <c r="BFG27" s="1266"/>
      <c r="BFH27" s="1266"/>
      <c r="BFI27" s="1266"/>
      <c r="BFJ27" s="1266"/>
      <c r="BFK27" s="1266"/>
      <c r="BFL27" s="1266"/>
      <c r="BFM27" s="1266"/>
      <c r="BFN27" s="1266"/>
      <c r="BFO27" s="1266"/>
      <c r="BFP27" s="1266"/>
      <c r="BFQ27" s="1266"/>
      <c r="BFR27" s="1266"/>
      <c r="BFS27" s="1266"/>
      <c r="BFT27" s="1266"/>
      <c r="BFU27" s="1266"/>
      <c r="BFV27" s="1266"/>
      <c r="BFW27" s="1266"/>
      <c r="BFX27" s="1266"/>
      <c r="BFY27" s="1266"/>
      <c r="BFZ27" s="1266"/>
      <c r="BGA27" s="1266"/>
      <c r="BGB27" s="1266"/>
      <c r="BGC27" s="1266"/>
      <c r="BGD27" s="1266"/>
      <c r="BGE27" s="1266"/>
      <c r="BGF27" s="1266"/>
      <c r="BGG27" s="1266"/>
      <c r="BGH27" s="1266"/>
      <c r="BGI27" s="1266"/>
      <c r="BGJ27" s="1266"/>
      <c r="BGK27" s="1266"/>
      <c r="BGL27" s="1266"/>
      <c r="BGM27" s="1266"/>
      <c r="BGN27" s="1266"/>
      <c r="BGO27" s="1266"/>
      <c r="BGP27" s="1266"/>
      <c r="BGQ27" s="1266"/>
      <c r="BGR27" s="1266"/>
      <c r="BGS27" s="1266"/>
      <c r="BGT27" s="1266"/>
      <c r="BGU27" s="1266"/>
      <c r="BGV27" s="1266"/>
      <c r="BGW27" s="1266"/>
      <c r="BGX27" s="1266"/>
      <c r="BGY27" s="1266"/>
      <c r="BGZ27" s="1266"/>
      <c r="BHA27" s="1266"/>
      <c r="BHB27" s="1266"/>
      <c r="BHC27" s="1266"/>
      <c r="BHD27" s="1266"/>
      <c r="BHE27" s="1266"/>
      <c r="BHF27" s="1266"/>
      <c r="BHG27" s="1266"/>
      <c r="BHH27" s="1266"/>
      <c r="BHI27" s="1266"/>
      <c r="BHJ27" s="1266"/>
      <c r="BHK27" s="1266"/>
      <c r="BHL27" s="1266"/>
      <c r="BHM27" s="1266"/>
      <c r="BHN27" s="1266"/>
      <c r="BHO27" s="1266"/>
      <c r="BHP27" s="1266"/>
      <c r="BHQ27" s="1266"/>
      <c r="BHR27" s="1266"/>
      <c r="BHS27" s="1266"/>
      <c r="BHT27" s="1266"/>
      <c r="BHU27" s="1266"/>
      <c r="BHV27" s="1266"/>
      <c r="BHW27" s="1266"/>
      <c r="BHX27" s="1266"/>
      <c r="BHY27" s="1266"/>
      <c r="BHZ27" s="1266"/>
      <c r="BIA27" s="1266"/>
      <c r="BIB27" s="1266"/>
      <c r="BIC27" s="1266"/>
      <c r="BID27" s="1266"/>
      <c r="BIE27" s="1266"/>
      <c r="BIF27" s="1266"/>
      <c r="BIG27" s="1266"/>
      <c r="BIH27" s="1266"/>
      <c r="BII27" s="1266"/>
      <c r="BIJ27" s="1266"/>
      <c r="BIK27" s="1266"/>
      <c r="BIL27" s="1266"/>
      <c r="BIM27" s="1266"/>
      <c r="BIN27" s="1266"/>
      <c r="BIO27" s="1266"/>
      <c r="BIP27" s="1266"/>
      <c r="BIQ27" s="1266"/>
      <c r="BIR27" s="1266"/>
      <c r="BIS27" s="1266"/>
      <c r="BIT27" s="1266"/>
      <c r="BIU27" s="1266"/>
      <c r="BIV27" s="1266"/>
      <c r="BIW27" s="1266"/>
      <c r="BIX27" s="1266"/>
      <c r="BIY27" s="1266"/>
      <c r="BIZ27" s="1266"/>
      <c r="BJA27" s="1266"/>
      <c r="BJB27" s="1266"/>
      <c r="BJC27" s="1266"/>
      <c r="BJD27" s="1266"/>
      <c r="BJE27" s="1266"/>
      <c r="BJF27" s="1266"/>
      <c r="BJG27" s="1266"/>
      <c r="BJH27" s="1266"/>
      <c r="BJI27" s="1266"/>
      <c r="BJJ27" s="1266"/>
      <c r="BJK27" s="1266"/>
      <c r="BJL27" s="1266"/>
      <c r="BJM27" s="1266"/>
      <c r="BJN27" s="1266"/>
      <c r="BJO27" s="1266"/>
      <c r="BJP27" s="1266"/>
      <c r="BJQ27" s="1266"/>
      <c r="BJR27" s="1266"/>
      <c r="BJS27" s="1266"/>
      <c r="BJT27" s="1266"/>
      <c r="BJU27" s="1266"/>
      <c r="BJV27" s="1266"/>
      <c r="BJW27" s="1266"/>
      <c r="BJX27" s="1266"/>
      <c r="BJY27" s="1266"/>
      <c r="BJZ27" s="1266"/>
      <c r="BKA27" s="1266"/>
      <c r="BKB27" s="1266"/>
      <c r="BKC27" s="1266"/>
      <c r="BKD27" s="1266"/>
      <c r="BKE27" s="1266"/>
      <c r="BKF27" s="1266"/>
      <c r="BKG27" s="1266"/>
      <c r="BKH27" s="1266"/>
      <c r="BKI27" s="1266"/>
      <c r="BKJ27" s="1266"/>
      <c r="BKK27" s="1266"/>
      <c r="BKL27" s="1266"/>
      <c r="BKM27" s="1266"/>
      <c r="BKN27" s="1266"/>
      <c r="BKO27" s="1266"/>
      <c r="BKP27" s="1266"/>
      <c r="BKQ27" s="1266"/>
      <c r="BKR27" s="1266"/>
      <c r="BKS27" s="1266"/>
      <c r="BKT27" s="1266"/>
      <c r="BKU27" s="1266"/>
      <c r="BKV27" s="1266"/>
      <c r="BKW27" s="1266"/>
      <c r="BKX27" s="1266"/>
      <c r="BKY27" s="1266"/>
      <c r="BKZ27" s="1266"/>
      <c r="BLA27" s="1266"/>
      <c r="BLB27" s="1266"/>
      <c r="BLC27" s="1266"/>
      <c r="BLD27" s="1266"/>
      <c r="BLE27" s="1266"/>
      <c r="BLF27" s="1266"/>
      <c r="BLG27" s="1266"/>
      <c r="BLH27" s="1266"/>
      <c r="BLI27" s="1266"/>
      <c r="BLJ27" s="1266"/>
      <c r="BLK27" s="1266"/>
      <c r="BLL27" s="1266"/>
      <c r="BLM27" s="1266"/>
      <c r="BLN27" s="1266"/>
      <c r="BLO27" s="1266"/>
      <c r="BLP27" s="1266"/>
      <c r="BLQ27" s="1266"/>
      <c r="BLR27" s="1266"/>
      <c r="BLS27" s="1266"/>
      <c r="BLT27" s="1266"/>
      <c r="BLU27" s="1266"/>
      <c r="BLV27" s="1266"/>
      <c r="BLW27" s="1266"/>
      <c r="BLX27" s="1266"/>
      <c r="BLY27" s="1266"/>
      <c r="BLZ27" s="1266"/>
      <c r="BMA27" s="1266"/>
      <c r="BMB27" s="1266"/>
      <c r="BMC27" s="1266"/>
      <c r="BMD27" s="1266"/>
      <c r="BME27" s="1266"/>
      <c r="BMF27" s="1266"/>
      <c r="BMG27" s="1266"/>
      <c r="BMH27" s="1266"/>
      <c r="BMI27" s="1266"/>
      <c r="BMJ27" s="1266"/>
      <c r="BMK27" s="1266"/>
      <c r="BML27" s="1266"/>
      <c r="BMM27" s="1266"/>
      <c r="BMN27" s="1266"/>
      <c r="BMO27" s="1266"/>
      <c r="BMP27" s="1266"/>
      <c r="BMQ27" s="1266"/>
      <c r="BMR27" s="1266"/>
      <c r="BMS27" s="1266"/>
      <c r="BMT27" s="1266"/>
      <c r="BMU27" s="1266"/>
      <c r="BMV27" s="1266"/>
      <c r="BMW27" s="1266"/>
      <c r="BMX27" s="1266"/>
      <c r="BMY27" s="1266"/>
      <c r="BMZ27" s="1266"/>
      <c r="BNA27" s="1266"/>
      <c r="BNB27" s="1266"/>
      <c r="BNC27" s="1266"/>
      <c r="BND27" s="1266"/>
      <c r="BNE27" s="1266"/>
      <c r="BNF27" s="1266"/>
      <c r="BNG27" s="1266"/>
      <c r="BNH27" s="1266"/>
      <c r="BNI27" s="1266"/>
      <c r="BNJ27" s="1266"/>
      <c r="BNK27" s="1266"/>
      <c r="BNL27" s="1266"/>
      <c r="BNM27" s="1266"/>
      <c r="BNN27" s="1266"/>
      <c r="BNO27" s="1266"/>
      <c r="BNP27" s="1266"/>
      <c r="BNQ27" s="1266"/>
      <c r="BNR27" s="1266"/>
      <c r="BNS27" s="1266"/>
      <c r="BNT27" s="1266"/>
      <c r="BNU27" s="1266"/>
      <c r="BNV27" s="1266"/>
      <c r="BNW27" s="1266"/>
      <c r="BNX27" s="1266"/>
      <c r="BNY27" s="1266"/>
      <c r="BNZ27" s="1266"/>
      <c r="BOA27" s="1266"/>
      <c r="BOB27" s="1266"/>
      <c r="BOC27" s="1266"/>
      <c r="BOD27" s="1266"/>
      <c r="BOE27" s="1266"/>
      <c r="BOF27" s="1266"/>
      <c r="BOG27" s="1266"/>
      <c r="BOH27" s="1266"/>
      <c r="BOI27" s="1266"/>
      <c r="BOJ27" s="1266"/>
      <c r="BOK27" s="1266"/>
      <c r="BOL27" s="1266"/>
      <c r="BOM27" s="1266"/>
      <c r="BON27" s="1266"/>
      <c r="BOO27" s="1266"/>
      <c r="BOP27" s="1266"/>
      <c r="BOQ27" s="1266"/>
      <c r="BOR27" s="1266"/>
      <c r="BOS27" s="1266"/>
      <c r="BOT27" s="1266"/>
      <c r="BOU27" s="1266"/>
      <c r="BOV27" s="1266"/>
      <c r="BOW27" s="1266"/>
      <c r="BOX27" s="1266"/>
      <c r="BOY27" s="1266"/>
      <c r="BOZ27" s="1266"/>
      <c r="BPA27" s="1266"/>
      <c r="BPB27" s="1266"/>
      <c r="BPC27" s="1266"/>
      <c r="BPD27" s="1266"/>
      <c r="BPE27" s="1266"/>
      <c r="BPF27" s="1266"/>
      <c r="BPG27" s="1266"/>
      <c r="BPH27" s="1266"/>
      <c r="BPI27" s="1266"/>
      <c r="BPJ27" s="1266"/>
      <c r="BPK27" s="1266"/>
      <c r="BPL27" s="1266"/>
      <c r="BPM27" s="1266"/>
      <c r="BPN27" s="1266"/>
      <c r="BPO27" s="1266"/>
      <c r="BPP27" s="1266"/>
      <c r="BPQ27" s="1266"/>
      <c r="BPR27" s="1266"/>
      <c r="BPS27" s="1266"/>
      <c r="BPT27" s="1266"/>
      <c r="BPU27" s="1266"/>
      <c r="BPV27" s="1266"/>
      <c r="BPW27" s="1266"/>
      <c r="BPX27" s="1266"/>
      <c r="BPY27" s="1266"/>
      <c r="BPZ27" s="1266"/>
      <c r="BQA27" s="1266"/>
      <c r="BQB27" s="1266"/>
      <c r="BQC27" s="1266"/>
      <c r="BQD27" s="1266"/>
      <c r="BQE27" s="1266"/>
      <c r="BQF27" s="1266"/>
      <c r="BQG27" s="1266"/>
      <c r="BQH27" s="1266"/>
      <c r="BQI27" s="1266"/>
      <c r="BQJ27" s="1266"/>
      <c r="BQK27" s="1266"/>
      <c r="BQL27" s="1266"/>
      <c r="BQM27" s="1266"/>
      <c r="BQN27" s="1266"/>
      <c r="BQO27" s="1266"/>
      <c r="BQP27" s="1266"/>
      <c r="BQQ27" s="1266"/>
      <c r="BQR27" s="1266"/>
      <c r="BQS27" s="1266"/>
      <c r="BQT27" s="1266"/>
      <c r="BQU27" s="1266"/>
      <c r="BQV27" s="1266"/>
      <c r="BQW27" s="1266"/>
      <c r="BQX27" s="1266"/>
      <c r="BQY27" s="1266"/>
      <c r="BQZ27" s="1266"/>
      <c r="BRA27" s="1266"/>
      <c r="BRB27" s="1266"/>
      <c r="BRC27" s="1266"/>
      <c r="BRD27" s="1266"/>
      <c r="BRE27" s="1266"/>
      <c r="BRF27" s="1266"/>
      <c r="BRG27" s="1266"/>
      <c r="BRH27" s="1266"/>
      <c r="BRI27" s="1266"/>
      <c r="BRJ27" s="1266"/>
      <c r="BRK27" s="1266"/>
      <c r="BRL27" s="1266"/>
      <c r="BRM27" s="1266"/>
      <c r="BRN27" s="1266"/>
      <c r="BRO27" s="1266"/>
      <c r="BRP27" s="1266"/>
      <c r="BRQ27" s="1266"/>
      <c r="BRR27" s="1266"/>
      <c r="BRS27" s="1266"/>
      <c r="BRT27" s="1266"/>
      <c r="BRU27" s="1266"/>
      <c r="BRV27" s="1266"/>
      <c r="BRW27" s="1266"/>
      <c r="BRX27" s="1266"/>
      <c r="BRY27" s="1266"/>
      <c r="BRZ27" s="1266"/>
      <c r="BSA27" s="1266"/>
      <c r="BSB27" s="1266"/>
      <c r="BSC27" s="1266"/>
      <c r="BSD27" s="1266"/>
      <c r="BSE27" s="1266"/>
      <c r="BSF27" s="1266"/>
      <c r="BSG27" s="1266"/>
      <c r="BSH27" s="1266"/>
      <c r="BSI27" s="1266"/>
      <c r="BSJ27" s="1266"/>
      <c r="BSK27" s="1266"/>
      <c r="BSL27" s="1266"/>
      <c r="BSM27" s="1266"/>
      <c r="BSN27" s="1266"/>
      <c r="BSO27" s="1266"/>
      <c r="BSP27" s="1266"/>
      <c r="BSQ27" s="1266"/>
      <c r="BSR27" s="1266"/>
      <c r="BSS27" s="1266"/>
      <c r="BST27" s="1266"/>
      <c r="BSU27" s="1266"/>
      <c r="BSV27" s="1266"/>
      <c r="BSW27" s="1266"/>
      <c r="BSX27" s="1266"/>
      <c r="BSY27" s="1266"/>
      <c r="BSZ27" s="1266"/>
      <c r="BTA27" s="1266"/>
      <c r="BTB27" s="1266"/>
      <c r="BTC27" s="1266"/>
      <c r="BTD27" s="1266"/>
      <c r="BTE27" s="1266"/>
      <c r="BTF27" s="1266"/>
      <c r="BTG27" s="1266"/>
      <c r="BTH27" s="1266"/>
      <c r="BTI27" s="1266"/>
      <c r="BTJ27" s="1266"/>
      <c r="BTK27" s="1266"/>
      <c r="BTL27" s="1266"/>
      <c r="BTM27" s="1266"/>
      <c r="BTN27" s="1266"/>
      <c r="BTO27" s="1266"/>
      <c r="BTP27" s="1266"/>
      <c r="BTQ27" s="1266"/>
      <c r="BTR27" s="1266"/>
      <c r="BTS27" s="1266"/>
      <c r="BTT27" s="1266"/>
      <c r="BTU27" s="1266"/>
      <c r="BTV27" s="1266"/>
      <c r="BTW27" s="1266"/>
      <c r="BTX27" s="1266"/>
      <c r="BTY27" s="1266"/>
      <c r="BTZ27" s="1266"/>
      <c r="BUA27" s="1266"/>
      <c r="BUB27" s="1266"/>
      <c r="BUC27" s="1266"/>
      <c r="BUD27" s="1266"/>
      <c r="BUE27" s="1266"/>
      <c r="BUF27" s="1266"/>
      <c r="BUG27" s="1266"/>
      <c r="BUH27" s="1266"/>
      <c r="BUI27" s="1266"/>
      <c r="BUJ27" s="1266"/>
      <c r="BUK27" s="1266"/>
      <c r="BUL27" s="1266"/>
      <c r="BUM27" s="1266"/>
      <c r="BUN27" s="1266"/>
      <c r="BUO27" s="1266"/>
      <c r="BUP27" s="1266"/>
      <c r="BUQ27" s="1266"/>
      <c r="BUR27" s="1266"/>
      <c r="BUS27" s="1266"/>
      <c r="BUT27" s="1266"/>
      <c r="BUU27" s="1266"/>
      <c r="BUV27" s="1266"/>
      <c r="BUW27" s="1266"/>
      <c r="BUX27" s="1266"/>
      <c r="BUY27" s="1266"/>
      <c r="BUZ27" s="1266"/>
      <c r="BVA27" s="1266"/>
      <c r="BVB27" s="1266"/>
      <c r="BVC27" s="1266"/>
      <c r="BVD27" s="1266"/>
      <c r="BVE27" s="1266"/>
      <c r="BVF27" s="1266"/>
      <c r="BVG27" s="1266"/>
      <c r="BVH27" s="1266"/>
      <c r="BVI27" s="1266"/>
      <c r="BVJ27" s="1266"/>
      <c r="BVK27" s="1266"/>
      <c r="BVL27" s="1266"/>
      <c r="BVM27" s="1266"/>
      <c r="BVN27" s="1266"/>
      <c r="BVO27" s="1266"/>
      <c r="BVP27" s="1266"/>
      <c r="BVQ27" s="1266"/>
      <c r="BVR27" s="1266"/>
      <c r="BVS27" s="1266"/>
      <c r="BVT27" s="1266"/>
      <c r="BVU27" s="1266"/>
      <c r="BVV27" s="1266"/>
      <c r="BVW27" s="1266"/>
      <c r="BVX27" s="1266"/>
      <c r="BVY27" s="1266"/>
      <c r="BVZ27" s="1266"/>
      <c r="BWA27" s="1266"/>
      <c r="BWB27" s="1266"/>
      <c r="BWC27" s="1266"/>
      <c r="BWD27" s="1266"/>
      <c r="BWE27" s="1266"/>
      <c r="BWF27" s="1266"/>
      <c r="BWG27" s="1266"/>
      <c r="BWH27" s="1266"/>
      <c r="BWI27" s="1266"/>
      <c r="BWJ27" s="1266"/>
      <c r="BWK27" s="1266"/>
      <c r="BWL27" s="1266"/>
      <c r="BWM27" s="1266"/>
      <c r="BWN27" s="1266"/>
      <c r="BWO27" s="1266"/>
      <c r="BWP27" s="1266"/>
      <c r="BWQ27" s="1266"/>
      <c r="BWR27" s="1266"/>
      <c r="BWS27" s="1266"/>
      <c r="BWT27" s="1266"/>
      <c r="BWU27" s="1266"/>
      <c r="BWV27" s="1266"/>
      <c r="BWW27" s="1266"/>
      <c r="BWX27" s="1266"/>
      <c r="BWY27" s="1266"/>
      <c r="BWZ27" s="1266"/>
      <c r="BXA27" s="1266"/>
      <c r="BXB27" s="1266"/>
      <c r="BXC27" s="1266"/>
      <c r="BXD27" s="1266"/>
      <c r="BXE27" s="1266"/>
      <c r="BXF27" s="1266"/>
      <c r="BXG27" s="1266"/>
      <c r="BXH27" s="1266"/>
      <c r="BXI27" s="1266"/>
      <c r="BXJ27" s="1266"/>
      <c r="BXK27" s="1266"/>
      <c r="BXL27" s="1266"/>
      <c r="BXM27" s="1266"/>
      <c r="BXN27" s="1266"/>
      <c r="BXO27" s="1266"/>
      <c r="BXP27" s="1266"/>
      <c r="BXQ27" s="1266"/>
      <c r="BXR27" s="1266"/>
      <c r="BXS27" s="1266"/>
      <c r="BXT27" s="1266"/>
      <c r="BXU27" s="1266"/>
      <c r="BXV27" s="1266"/>
      <c r="BXW27" s="1266"/>
      <c r="BXX27" s="1266"/>
      <c r="BXY27" s="1266"/>
      <c r="BXZ27" s="1266"/>
      <c r="BYA27" s="1266"/>
      <c r="BYB27" s="1266"/>
      <c r="BYC27" s="1266"/>
      <c r="BYD27" s="1266"/>
      <c r="BYE27" s="1266"/>
      <c r="BYF27" s="1266"/>
      <c r="BYG27" s="1266"/>
      <c r="BYH27" s="1266"/>
      <c r="BYI27" s="1266"/>
      <c r="BYJ27" s="1266"/>
      <c r="BYK27" s="1266"/>
      <c r="BYL27" s="1266"/>
      <c r="BYM27" s="1266"/>
      <c r="BYN27" s="1266"/>
      <c r="BYO27" s="1266"/>
      <c r="BYP27" s="1266"/>
      <c r="BYQ27" s="1266"/>
      <c r="BYR27" s="1266"/>
      <c r="BYS27" s="1266"/>
      <c r="BYT27" s="1266"/>
      <c r="BYU27" s="1266"/>
      <c r="BYV27" s="1266"/>
      <c r="BYW27" s="1266"/>
      <c r="BYX27" s="1266"/>
      <c r="BYY27" s="1266"/>
      <c r="BYZ27" s="1266"/>
      <c r="BZA27" s="1266"/>
      <c r="BZB27" s="1266"/>
      <c r="BZC27" s="1266"/>
      <c r="BZD27" s="1266"/>
      <c r="BZE27" s="1266"/>
      <c r="BZF27" s="1266"/>
      <c r="BZG27" s="1266"/>
      <c r="BZH27" s="1266"/>
      <c r="BZI27" s="1266"/>
      <c r="BZJ27" s="1266"/>
      <c r="BZK27" s="1266"/>
      <c r="BZL27" s="1266"/>
      <c r="BZM27" s="1266"/>
      <c r="BZN27" s="1266"/>
      <c r="BZO27" s="1266"/>
      <c r="BZP27" s="1266"/>
      <c r="BZQ27" s="1266"/>
      <c r="BZR27" s="1266"/>
      <c r="BZS27" s="1266"/>
      <c r="BZT27" s="1266"/>
      <c r="BZU27" s="1266"/>
      <c r="BZV27" s="1266"/>
      <c r="BZW27" s="1266"/>
      <c r="BZX27" s="1266"/>
      <c r="BZY27" s="1266"/>
      <c r="BZZ27" s="1266"/>
      <c r="CAA27" s="1266"/>
      <c r="CAB27" s="1266"/>
      <c r="CAC27" s="1266"/>
      <c r="CAD27" s="1266"/>
      <c r="CAE27" s="1266"/>
      <c r="CAF27" s="1266"/>
      <c r="CAG27" s="1266"/>
      <c r="CAH27" s="1266"/>
      <c r="CAI27" s="1266"/>
      <c r="CAJ27" s="1266"/>
      <c r="CAK27" s="1266"/>
      <c r="CAL27" s="1266"/>
      <c r="CAM27" s="1266"/>
      <c r="CAN27" s="1266"/>
      <c r="CAO27" s="1266"/>
      <c r="CAP27" s="1266"/>
      <c r="CAQ27" s="1266"/>
      <c r="CAR27" s="1266"/>
      <c r="CAS27" s="1266"/>
      <c r="CAT27" s="1266"/>
      <c r="CAU27" s="1266"/>
      <c r="CAV27" s="1266"/>
      <c r="CAW27" s="1266"/>
      <c r="CAX27" s="1266"/>
      <c r="CAY27" s="1266"/>
      <c r="CAZ27" s="1266"/>
      <c r="CBA27" s="1266"/>
      <c r="CBB27" s="1266"/>
      <c r="CBC27" s="1266"/>
      <c r="CBD27" s="1266"/>
      <c r="CBE27" s="1266"/>
      <c r="CBF27" s="1266"/>
      <c r="CBG27" s="1266"/>
      <c r="CBH27" s="1266"/>
      <c r="CBI27" s="1266"/>
      <c r="CBJ27" s="1266"/>
      <c r="CBK27" s="1266"/>
      <c r="CBL27" s="1266"/>
      <c r="CBM27" s="1266"/>
      <c r="CBN27" s="1266"/>
      <c r="CBO27" s="1266"/>
      <c r="CBP27" s="1266"/>
      <c r="CBQ27" s="1266"/>
      <c r="CBR27" s="1266"/>
      <c r="CBS27" s="1266"/>
      <c r="CBT27" s="1266"/>
      <c r="CBU27" s="1266"/>
      <c r="CBV27" s="1266"/>
      <c r="CBW27" s="1266"/>
      <c r="CBX27" s="1266"/>
      <c r="CBY27" s="1266"/>
      <c r="CBZ27" s="1266"/>
      <c r="CCA27" s="1266"/>
      <c r="CCB27" s="1266"/>
      <c r="CCC27" s="1266"/>
      <c r="CCD27" s="1266"/>
      <c r="CCE27" s="1266"/>
      <c r="CCF27" s="1266"/>
      <c r="CCG27" s="1266"/>
      <c r="CCH27" s="1266"/>
      <c r="CCI27" s="1266"/>
      <c r="CCJ27" s="1266"/>
      <c r="CCK27" s="1266"/>
      <c r="CCL27" s="1266"/>
      <c r="CCM27" s="1266"/>
      <c r="CCN27" s="1266"/>
      <c r="CCO27" s="1266"/>
      <c r="CCP27" s="1266"/>
      <c r="CCQ27" s="1266"/>
      <c r="CCR27" s="1266"/>
      <c r="CCS27" s="1266"/>
      <c r="CCT27" s="1266"/>
      <c r="CCU27" s="1266"/>
      <c r="CCV27" s="1266"/>
      <c r="CCW27" s="1266"/>
      <c r="CCX27" s="1266"/>
      <c r="CCY27" s="1266"/>
      <c r="CCZ27" s="1266"/>
      <c r="CDA27" s="1266"/>
      <c r="CDB27" s="1266"/>
      <c r="CDC27" s="1266"/>
      <c r="CDD27" s="1266"/>
      <c r="CDE27" s="1266"/>
      <c r="CDF27" s="1266"/>
      <c r="CDG27" s="1266"/>
      <c r="CDH27" s="1266"/>
      <c r="CDI27" s="1266"/>
      <c r="CDJ27" s="1266"/>
      <c r="CDK27" s="1266"/>
      <c r="CDL27" s="1266"/>
      <c r="CDM27" s="1266"/>
      <c r="CDN27" s="1266"/>
      <c r="CDO27" s="1266"/>
      <c r="CDP27" s="1266"/>
      <c r="CDQ27" s="1266"/>
      <c r="CDR27" s="1266"/>
      <c r="CDS27" s="1266"/>
      <c r="CDT27" s="1266"/>
      <c r="CDU27" s="1266"/>
      <c r="CDV27" s="1266"/>
      <c r="CDW27" s="1266"/>
      <c r="CDX27" s="1266"/>
      <c r="CDY27" s="1266"/>
      <c r="CDZ27" s="1266"/>
      <c r="CEA27" s="1266"/>
      <c r="CEB27" s="1266"/>
      <c r="CEC27" s="1266"/>
      <c r="CED27" s="1266"/>
      <c r="CEE27" s="1266"/>
      <c r="CEF27" s="1266"/>
      <c r="CEG27" s="1266"/>
      <c r="CEH27" s="1266"/>
      <c r="CEI27" s="1266"/>
      <c r="CEJ27" s="1266"/>
      <c r="CEK27" s="1266"/>
      <c r="CEL27" s="1266"/>
      <c r="CEM27" s="1266"/>
      <c r="CEN27" s="1266"/>
      <c r="CEO27" s="1266"/>
      <c r="CEP27" s="1266"/>
      <c r="CEQ27" s="1266"/>
      <c r="CER27" s="1266"/>
      <c r="CES27" s="1266"/>
      <c r="CET27" s="1266"/>
      <c r="CEU27" s="1266"/>
      <c r="CEV27" s="1266"/>
      <c r="CEW27" s="1266"/>
      <c r="CEX27" s="1266"/>
      <c r="CEY27" s="1266"/>
      <c r="CEZ27" s="1266"/>
      <c r="CFA27" s="1266"/>
      <c r="CFB27" s="1266"/>
      <c r="CFC27" s="1266"/>
      <c r="CFD27" s="1266"/>
      <c r="CFE27" s="1266"/>
      <c r="CFF27" s="1266"/>
      <c r="CFG27" s="1266"/>
      <c r="CFH27" s="1266"/>
      <c r="CFI27" s="1266"/>
      <c r="CFJ27" s="1266"/>
      <c r="CFK27" s="1266"/>
      <c r="CFL27" s="1266"/>
      <c r="CFM27" s="1266"/>
      <c r="CFN27" s="1266"/>
      <c r="CFO27" s="1266"/>
      <c r="CFP27" s="1266"/>
      <c r="CFQ27" s="1266"/>
      <c r="CFR27" s="1266"/>
      <c r="CFS27" s="1266"/>
      <c r="CFT27" s="1266"/>
      <c r="CFU27" s="1266"/>
      <c r="CFV27" s="1266"/>
      <c r="CFW27" s="1266"/>
      <c r="CFX27" s="1266"/>
      <c r="CFY27" s="1266"/>
      <c r="CFZ27" s="1266"/>
      <c r="CGA27" s="1266"/>
      <c r="CGB27" s="1266"/>
      <c r="CGC27" s="1266"/>
      <c r="CGD27" s="1266"/>
      <c r="CGE27" s="1266"/>
      <c r="CGF27" s="1266"/>
      <c r="CGG27" s="1266"/>
      <c r="CGH27" s="1266"/>
      <c r="CGI27" s="1266"/>
      <c r="CGJ27" s="1266"/>
      <c r="CGK27" s="1266"/>
      <c r="CGL27" s="1266"/>
      <c r="CGM27" s="1266"/>
      <c r="CGN27" s="1266"/>
      <c r="CGO27" s="1266"/>
      <c r="CGP27" s="1266"/>
      <c r="CGQ27" s="1266"/>
      <c r="CGR27" s="1266"/>
      <c r="CGS27" s="1266"/>
      <c r="CGT27" s="1266"/>
      <c r="CGU27" s="1266"/>
      <c r="CGV27" s="1266"/>
      <c r="CGW27" s="1266"/>
      <c r="CGX27" s="1266"/>
      <c r="CGY27" s="1266"/>
      <c r="CGZ27" s="1266"/>
      <c r="CHA27" s="1266"/>
      <c r="CHB27" s="1266"/>
      <c r="CHC27" s="1266"/>
      <c r="CHD27" s="1266"/>
      <c r="CHE27" s="1266"/>
      <c r="CHF27" s="1266"/>
      <c r="CHG27" s="1266"/>
      <c r="CHH27" s="1266"/>
      <c r="CHI27" s="1266"/>
      <c r="CHJ27" s="1266"/>
      <c r="CHK27" s="1266"/>
      <c r="CHL27" s="1266"/>
      <c r="CHM27" s="1266"/>
      <c r="CHN27" s="1266"/>
      <c r="CHO27" s="1266"/>
      <c r="CHP27" s="1266"/>
      <c r="CHQ27" s="1266"/>
      <c r="CHR27" s="1266"/>
      <c r="CHS27" s="1266"/>
      <c r="CHT27" s="1266"/>
      <c r="CHU27" s="1266"/>
      <c r="CHV27" s="1266"/>
      <c r="CHW27" s="1266"/>
      <c r="CHX27" s="1266"/>
      <c r="CHY27" s="1266"/>
      <c r="CHZ27" s="1266"/>
      <c r="CIA27" s="1266"/>
      <c r="CIB27" s="1266"/>
      <c r="CIC27" s="1266"/>
      <c r="CID27" s="1266"/>
      <c r="CIE27" s="1266"/>
      <c r="CIF27" s="1266"/>
      <c r="CIG27" s="1266"/>
      <c r="CIH27" s="1266"/>
      <c r="CII27" s="1266"/>
      <c r="CIJ27" s="1266"/>
      <c r="CIK27" s="1266"/>
      <c r="CIL27" s="1266"/>
      <c r="CIM27" s="1266"/>
      <c r="CIN27" s="1266"/>
      <c r="CIO27" s="1266"/>
      <c r="CIP27" s="1266"/>
      <c r="CIQ27" s="1266"/>
      <c r="CIR27" s="1266"/>
      <c r="CIS27" s="1266"/>
      <c r="CIT27" s="1266"/>
      <c r="CIU27" s="1266"/>
      <c r="CIV27" s="1266"/>
      <c r="CIW27" s="1266"/>
      <c r="CIX27" s="1266"/>
      <c r="CIY27" s="1266"/>
      <c r="CIZ27" s="1266"/>
      <c r="CJA27" s="1266"/>
      <c r="CJB27" s="1266"/>
      <c r="CJC27" s="1266"/>
      <c r="CJD27" s="1266"/>
      <c r="CJE27" s="1266"/>
      <c r="CJF27" s="1266"/>
      <c r="CJG27" s="1266"/>
      <c r="CJH27" s="1266"/>
      <c r="CJI27" s="1266"/>
      <c r="CJJ27" s="1266"/>
      <c r="CJK27" s="1266"/>
      <c r="CJL27" s="1266"/>
      <c r="CJM27" s="1266"/>
      <c r="CJN27" s="1266"/>
      <c r="CJO27" s="1266"/>
      <c r="CJP27" s="1266"/>
      <c r="CJQ27" s="1266"/>
      <c r="CJR27" s="1266"/>
      <c r="CJS27" s="1266"/>
      <c r="CJT27" s="1266"/>
      <c r="CJU27" s="1266"/>
      <c r="CJV27" s="1266"/>
      <c r="CJW27" s="1266"/>
      <c r="CJX27" s="1266"/>
      <c r="CJY27" s="1266"/>
      <c r="CJZ27" s="1266"/>
      <c r="CKA27" s="1266"/>
      <c r="CKB27" s="1266"/>
      <c r="CKC27" s="1266"/>
      <c r="CKD27" s="1266"/>
      <c r="CKE27" s="1266"/>
      <c r="CKF27" s="1266"/>
      <c r="CKG27" s="1266"/>
      <c r="CKH27" s="1266"/>
      <c r="CKI27" s="1266"/>
      <c r="CKJ27" s="1266"/>
      <c r="CKK27" s="1266"/>
      <c r="CKL27" s="1266"/>
      <c r="CKM27" s="1266"/>
      <c r="CKN27" s="1266"/>
      <c r="CKO27" s="1266"/>
      <c r="CKP27" s="1266"/>
      <c r="CKQ27" s="1266"/>
      <c r="CKR27" s="1266"/>
      <c r="CKS27" s="1266"/>
      <c r="CKT27" s="1266"/>
      <c r="CKU27" s="1266"/>
      <c r="CKV27" s="1266"/>
      <c r="CKW27" s="1266"/>
      <c r="CKX27" s="1266"/>
      <c r="CKY27" s="1266"/>
      <c r="CKZ27" s="1266"/>
      <c r="CLA27" s="1266"/>
      <c r="CLB27" s="1266"/>
      <c r="CLC27" s="1266"/>
      <c r="CLD27" s="1266"/>
      <c r="CLE27" s="1266"/>
      <c r="CLF27" s="1266"/>
      <c r="CLG27" s="1266"/>
      <c r="CLH27" s="1266"/>
      <c r="CLI27" s="1266"/>
      <c r="CLJ27" s="1266"/>
      <c r="CLK27" s="1266"/>
      <c r="CLL27" s="1266"/>
      <c r="CLM27" s="1266"/>
      <c r="CLN27" s="1266"/>
      <c r="CLO27" s="1266"/>
      <c r="CLP27" s="1266"/>
      <c r="CLQ27" s="1266"/>
      <c r="CLR27" s="1266"/>
      <c r="CLS27" s="1266"/>
      <c r="CLT27" s="1266"/>
      <c r="CLU27" s="1266"/>
      <c r="CLV27" s="1266"/>
      <c r="CLW27" s="1266"/>
      <c r="CLX27" s="1266"/>
      <c r="CLY27" s="1266"/>
      <c r="CLZ27" s="1266"/>
      <c r="CMA27" s="1266"/>
      <c r="CMB27" s="1266"/>
      <c r="CMC27" s="1266"/>
      <c r="CMD27" s="1266"/>
      <c r="CME27" s="1266"/>
      <c r="CMF27" s="1266"/>
      <c r="CMG27" s="1266"/>
      <c r="CMH27" s="1266"/>
      <c r="CMI27" s="1266"/>
      <c r="CMJ27" s="1266"/>
      <c r="CMK27" s="1266"/>
      <c r="CML27" s="1266"/>
      <c r="CMM27" s="1266"/>
      <c r="CMN27" s="1266"/>
      <c r="CMO27" s="1266"/>
      <c r="CMP27" s="1266"/>
      <c r="CMQ27" s="1266"/>
      <c r="CMR27" s="1266"/>
      <c r="CMS27" s="1266"/>
      <c r="CMT27" s="1266"/>
      <c r="CMU27" s="1266"/>
      <c r="CMV27" s="1266"/>
      <c r="CMW27" s="1266"/>
      <c r="CMX27" s="1266"/>
      <c r="CMY27" s="1266"/>
      <c r="CMZ27" s="1266"/>
      <c r="CNA27" s="1266"/>
      <c r="CNB27" s="1266"/>
      <c r="CNC27" s="1266"/>
      <c r="CND27" s="1266"/>
      <c r="CNE27" s="1266"/>
      <c r="CNF27" s="1266"/>
      <c r="CNG27" s="1266"/>
      <c r="CNH27" s="1266"/>
      <c r="CNI27" s="1266"/>
      <c r="CNJ27" s="1266"/>
      <c r="CNK27" s="1266"/>
      <c r="CNL27" s="1266"/>
      <c r="CNM27" s="1266"/>
      <c r="CNN27" s="1266"/>
      <c r="CNO27" s="1266"/>
      <c r="CNP27" s="1266"/>
      <c r="CNQ27" s="1266"/>
      <c r="CNR27" s="1266"/>
      <c r="CNS27" s="1266"/>
      <c r="CNT27" s="1266"/>
      <c r="CNU27" s="1266"/>
      <c r="CNV27" s="1266"/>
      <c r="CNW27" s="1266"/>
      <c r="CNX27" s="1266"/>
      <c r="CNY27" s="1266"/>
      <c r="CNZ27" s="1266"/>
      <c r="COA27" s="1266"/>
      <c r="COB27" s="1266"/>
      <c r="COC27" s="1266"/>
      <c r="COD27" s="1266"/>
      <c r="COE27" s="1266"/>
      <c r="COF27" s="1266"/>
      <c r="COG27" s="1266"/>
      <c r="COH27" s="1266"/>
      <c r="COI27" s="1266"/>
      <c r="COJ27" s="1266"/>
      <c r="COK27" s="1266"/>
      <c r="COL27" s="1266"/>
      <c r="COM27" s="1266"/>
      <c r="CON27" s="1266"/>
      <c r="COO27" s="1266"/>
      <c r="COP27" s="1266"/>
      <c r="COQ27" s="1266"/>
      <c r="COR27" s="1266"/>
      <c r="COS27" s="1266"/>
      <c r="COT27" s="1266"/>
      <c r="COU27" s="1266"/>
      <c r="COV27" s="1266"/>
      <c r="COW27" s="1266"/>
      <c r="COX27" s="1266"/>
      <c r="COY27" s="1266"/>
      <c r="COZ27" s="1266"/>
      <c r="CPA27" s="1266"/>
      <c r="CPB27" s="1266"/>
      <c r="CPC27" s="1266"/>
      <c r="CPD27" s="1266"/>
      <c r="CPE27" s="1266"/>
      <c r="CPF27" s="1266"/>
      <c r="CPG27" s="1266"/>
      <c r="CPH27" s="1266"/>
      <c r="CPI27" s="1266"/>
      <c r="CPJ27" s="1266"/>
      <c r="CPK27" s="1266"/>
      <c r="CPL27" s="1266"/>
      <c r="CPM27" s="1266"/>
      <c r="CPN27" s="1266"/>
      <c r="CPO27" s="1266"/>
      <c r="CPP27" s="1266"/>
      <c r="CPQ27" s="1266"/>
      <c r="CPR27" s="1266"/>
      <c r="CPS27" s="1266"/>
      <c r="CPT27" s="1266"/>
      <c r="CPU27" s="1266"/>
      <c r="CPV27" s="1266"/>
      <c r="CPW27" s="1266"/>
      <c r="CPX27" s="1266"/>
      <c r="CPY27" s="1266"/>
      <c r="CPZ27" s="1266"/>
      <c r="CQA27" s="1266"/>
      <c r="CQB27" s="1266"/>
      <c r="CQC27" s="1266"/>
      <c r="CQD27" s="1266"/>
      <c r="CQE27" s="1266"/>
      <c r="CQF27" s="1266"/>
      <c r="CQG27" s="1266"/>
      <c r="CQH27" s="1266"/>
      <c r="CQI27" s="1266"/>
      <c r="CQJ27" s="1266"/>
      <c r="CQK27" s="1266"/>
      <c r="CQL27" s="1266"/>
      <c r="CQM27" s="1266"/>
      <c r="CQN27" s="1266"/>
      <c r="CQO27" s="1266"/>
      <c r="CQP27" s="1266"/>
      <c r="CQQ27" s="1266"/>
      <c r="CQR27" s="1266"/>
      <c r="CQS27" s="1266"/>
      <c r="CQT27" s="1266"/>
      <c r="CQU27" s="1266"/>
      <c r="CQV27" s="1266"/>
      <c r="CQW27" s="1266"/>
      <c r="CQX27" s="1266"/>
      <c r="CQY27" s="1266"/>
      <c r="CQZ27" s="1266"/>
      <c r="CRA27" s="1266"/>
      <c r="CRB27" s="1266"/>
      <c r="CRC27" s="1266"/>
      <c r="CRD27" s="1266"/>
      <c r="CRE27" s="1266"/>
      <c r="CRF27" s="1266"/>
      <c r="CRG27" s="1266"/>
      <c r="CRH27" s="1266"/>
      <c r="CRI27" s="1266"/>
      <c r="CRJ27" s="1266"/>
      <c r="CRK27" s="1266"/>
      <c r="CRL27" s="1266"/>
      <c r="CRM27" s="1266"/>
      <c r="CRN27" s="1266"/>
      <c r="CRO27" s="1266"/>
      <c r="CRP27" s="1266"/>
      <c r="CRQ27" s="1266"/>
      <c r="CRR27" s="1266"/>
      <c r="CRS27" s="1266"/>
      <c r="CRT27" s="1266"/>
      <c r="CRU27" s="1266"/>
      <c r="CRV27" s="1266"/>
      <c r="CRW27" s="1266"/>
      <c r="CRX27" s="1266"/>
      <c r="CRY27" s="1266"/>
      <c r="CRZ27" s="1266"/>
      <c r="CSA27" s="1266"/>
      <c r="CSB27" s="1266"/>
      <c r="CSC27" s="1266"/>
      <c r="CSD27" s="1266"/>
      <c r="CSE27" s="1266"/>
      <c r="CSF27" s="1266"/>
      <c r="CSG27" s="1266"/>
      <c r="CSH27" s="1266"/>
      <c r="CSI27" s="1266"/>
      <c r="CSJ27" s="1266"/>
      <c r="CSK27" s="1266"/>
      <c r="CSL27" s="1266"/>
      <c r="CSM27" s="1266"/>
      <c r="CSN27" s="1266"/>
      <c r="CSO27" s="1266"/>
      <c r="CSP27" s="1266"/>
      <c r="CSQ27" s="1266"/>
      <c r="CSR27" s="1266"/>
      <c r="CSS27" s="1266"/>
      <c r="CST27" s="1266"/>
      <c r="CSU27" s="1266"/>
      <c r="CSV27" s="1266"/>
      <c r="CSW27" s="1266"/>
      <c r="CSX27" s="1266"/>
      <c r="CSY27" s="1266"/>
      <c r="CSZ27" s="1266"/>
      <c r="CTA27" s="1266"/>
      <c r="CTB27" s="1266"/>
      <c r="CTC27" s="1266"/>
      <c r="CTD27" s="1266"/>
      <c r="CTE27" s="1266"/>
      <c r="CTF27" s="1266"/>
      <c r="CTG27" s="1266"/>
      <c r="CTH27" s="1266"/>
      <c r="CTI27" s="1266"/>
      <c r="CTJ27" s="1266"/>
      <c r="CTK27" s="1266"/>
      <c r="CTL27" s="1266"/>
      <c r="CTM27" s="1266"/>
      <c r="CTN27" s="1266"/>
      <c r="CTO27" s="1266"/>
      <c r="CTP27" s="1266"/>
      <c r="CTQ27" s="1266"/>
      <c r="CTR27" s="1266"/>
      <c r="CTS27" s="1266"/>
      <c r="CTT27" s="1266"/>
      <c r="CTU27" s="1266"/>
      <c r="CTV27" s="1266"/>
      <c r="CTW27" s="1266"/>
      <c r="CTX27" s="1266"/>
      <c r="CTY27" s="1266"/>
      <c r="CTZ27" s="1266"/>
      <c r="CUA27" s="1266"/>
      <c r="CUB27" s="1266"/>
      <c r="CUC27" s="1266"/>
      <c r="CUD27" s="1266"/>
      <c r="CUE27" s="1266"/>
      <c r="CUF27" s="1266"/>
      <c r="CUG27" s="1266"/>
      <c r="CUH27" s="1266"/>
      <c r="CUI27" s="1266"/>
      <c r="CUJ27" s="1266"/>
      <c r="CUK27" s="1266"/>
      <c r="CUL27" s="1266"/>
      <c r="CUM27" s="1266"/>
      <c r="CUN27" s="1266"/>
      <c r="CUO27" s="1266"/>
      <c r="CUP27" s="1266"/>
      <c r="CUQ27" s="1266"/>
      <c r="CUR27" s="1266"/>
      <c r="CUS27" s="1266"/>
      <c r="CUT27" s="1266"/>
      <c r="CUU27" s="1266"/>
      <c r="CUV27" s="1266"/>
      <c r="CUW27" s="1266"/>
      <c r="CUX27" s="1266"/>
      <c r="CUY27" s="1266"/>
      <c r="CUZ27" s="1266"/>
      <c r="CVA27" s="1266"/>
      <c r="CVB27" s="1266"/>
      <c r="CVC27" s="1266"/>
      <c r="CVD27" s="1266"/>
      <c r="CVE27" s="1266"/>
      <c r="CVF27" s="1266"/>
      <c r="CVG27" s="1266"/>
      <c r="CVH27" s="1266"/>
      <c r="CVI27" s="1266"/>
      <c r="CVJ27" s="1266"/>
      <c r="CVK27" s="1266"/>
      <c r="CVL27" s="1266"/>
      <c r="CVM27" s="1266"/>
      <c r="CVN27" s="1266"/>
      <c r="CVO27" s="1266"/>
      <c r="CVP27" s="1266"/>
      <c r="CVQ27" s="1266"/>
      <c r="CVR27" s="1266"/>
      <c r="CVS27" s="1266"/>
      <c r="CVT27" s="1266"/>
      <c r="CVU27" s="1266"/>
      <c r="CVV27" s="1266"/>
      <c r="CVW27" s="1266"/>
      <c r="CVX27" s="1266"/>
      <c r="CVY27" s="1266"/>
      <c r="CVZ27" s="1266"/>
      <c r="CWA27" s="1266"/>
      <c r="CWB27" s="1266"/>
      <c r="CWC27" s="1266"/>
      <c r="CWD27" s="1266"/>
      <c r="CWE27" s="1266"/>
      <c r="CWF27" s="1266"/>
      <c r="CWG27" s="1266"/>
      <c r="CWH27" s="1266"/>
      <c r="CWI27" s="1266"/>
      <c r="CWJ27" s="1266"/>
      <c r="CWK27" s="1266"/>
      <c r="CWL27" s="1266"/>
      <c r="CWM27" s="1266"/>
      <c r="CWN27" s="1266"/>
      <c r="CWO27" s="1266"/>
      <c r="CWP27" s="1266"/>
      <c r="CWQ27" s="1266"/>
      <c r="CWR27" s="1266"/>
      <c r="CWS27" s="1266"/>
      <c r="CWT27" s="1266"/>
      <c r="CWU27" s="1266"/>
      <c r="CWV27" s="1266"/>
      <c r="CWW27" s="1266"/>
      <c r="CWX27" s="1266"/>
      <c r="CWY27" s="1266"/>
      <c r="CWZ27" s="1266"/>
      <c r="CXA27" s="1266"/>
      <c r="CXB27" s="1266"/>
      <c r="CXC27" s="1266"/>
      <c r="CXD27" s="1266"/>
      <c r="CXE27" s="1266"/>
      <c r="CXF27" s="1266"/>
      <c r="CXG27" s="1266"/>
      <c r="CXH27" s="1266"/>
      <c r="CXI27" s="1266"/>
      <c r="CXJ27" s="1266"/>
      <c r="CXK27" s="1266"/>
      <c r="CXL27" s="1266"/>
      <c r="CXM27" s="1266"/>
      <c r="CXN27" s="1266"/>
      <c r="CXO27" s="1266"/>
      <c r="CXP27" s="1266"/>
      <c r="CXQ27" s="1266"/>
      <c r="CXR27" s="1266"/>
      <c r="CXS27" s="1266"/>
      <c r="CXT27" s="1266"/>
      <c r="CXU27" s="1266"/>
      <c r="CXV27" s="1266"/>
      <c r="CXW27" s="1266"/>
      <c r="CXX27" s="1266"/>
      <c r="CXY27" s="1266"/>
      <c r="CXZ27" s="1266"/>
      <c r="CYA27" s="1266"/>
      <c r="CYB27" s="1266"/>
      <c r="CYC27" s="1266"/>
      <c r="CYD27" s="1266"/>
      <c r="CYE27" s="1266"/>
      <c r="CYF27" s="1266"/>
      <c r="CYG27" s="1266"/>
      <c r="CYH27" s="1266"/>
      <c r="CYI27" s="1266"/>
      <c r="CYJ27" s="1266"/>
      <c r="CYK27" s="1266"/>
      <c r="CYL27" s="1266"/>
      <c r="CYM27" s="1266"/>
      <c r="CYN27" s="1266"/>
      <c r="CYO27" s="1266"/>
      <c r="CYP27" s="1266"/>
      <c r="CYQ27" s="1266"/>
      <c r="CYR27" s="1266"/>
      <c r="CYS27" s="1266"/>
      <c r="CYT27" s="1266"/>
      <c r="CYU27" s="1266"/>
      <c r="CYV27" s="1266"/>
      <c r="CYW27" s="1266"/>
      <c r="CYX27" s="1266"/>
      <c r="CYY27" s="1266"/>
      <c r="CYZ27" s="1266"/>
      <c r="CZA27" s="1266"/>
      <c r="CZB27" s="1266"/>
      <c r="CZC27" s="1266"/>
      <c r="CZD27" s="1266"/>
      <c r="CZE27" s="1266"/>
      <c r="CZF27" s="1266"/>
      <c r="CZG27" s="1266"/>
      <c r="CZH27" s="1266"/>
      <c r="CZI27" s="1266"/>
      <c r="CZJ27" s="1266"/>
      <c r="CZK27" s="1266"/>
      <c r="CZL27" s="1266"/>
      <c r="CZM27" s="1266"/>
      <c r="CZN27" s="1266"/>
      <c r="CZO27" s="1266"/>
      <c r="CZP27" s="1266"/>
      <c r="CZQ27" s="1266"/>
      <c r="CZR27" s="1266"/>
      <c r="CZS27" s="1266"/>
      <c r="CZT27" s="1266"/>
      <c r="CZU27" s="1266"/>
      <c r="CZV27" s="1266"/>
      <c r="CZW27" s="1266"/>
      <c r="CZX27" s="1266"/>
      <c r="CZY27" s="1266"/>
      <c r="CZZ27" s="1266"/>
      <c r="DAA27" s="1266"/>
      <c r="DAB27" s="1266"/>
      <c r="DAC27" s="1266"/>
      <c r="DAD27" s="1266"/>
      <c r="DAE27" s="1266"/>
      <c r="DAF27" s="1266"/>
      <c r="DAG27" s="1266"/>
      <c r="DAH27" s="1266"/>
      <c r="DAI27" s="1266"/>
      <c r="DAJ27" s="1266"/>
      <c r="DAK27" s="1266"/>
      <c r="DAL27" s="1266"/>
      <c r="DAM27" s="1266"/>
      <c r="DAN27" s="1266"/>
      <c r="DAO27" s="1266"/>
      <c r="DAP27" s="1266"/>
      <c r="DAQ27" s="1266"/>
      <c r="DAR27" s="1266"/>
      <c r="DAS27" s="1266"/>
      <c r="DAT27" s="1266"/>
      <c r="DAU27" s="1266"/>
      <c r="DAV27" s="1266"/>
      <c r="DAW27" s="1266"/>
      <c r="DAX27" s="1266"/>
      <c r="DAY27" s="1266"/>
      <c r="DAZ27" s="1266"/>
      <c r="DBA27" s="1266"/>
      <c r="DBB27" s="1266"/>
      <c r="DBC27" s="1266"/>
      <c r="DBD27" s="1266"/>
      <c r="DBE27" s="1266"/>
      <c r="DBF27" s="1266"/>
      <c r="DBG27" s="1266"/>
      <c r="DBH27" s="1266"/>
      <c r="DBI27" s="1266"/>
      <c r="DBJ27" s="1266"/>
      <c r="DBK27" s="1266"/>
      <c r="DBL27" s="1266"/>
      <c r="DBM27" s="1266"/>
      <c r="DBN27" s="1266"/>
      <c r="DBO27" s="1266"/>
      <c r="DBP27" s="1266"/>
      <c r="DBQ27" s="1266"/>
      <c r="DBR27" s="1266"/>
      <c r="DBS27" s="1266"/>
      <c r="DBT27" s="1266"/>
      <c r="DBU27" s="1266"/>
      <c r="DBV27" s="1266"/>
      <c r="DBW27" s="1266"/>
      <c r="DBX27" s="1266"/>
      <c r="DBY27" s="1266"/>
      <c r="DBZ27" s="1266"/>
      <c r="DCA27" s="1266"/>
      <c r="DCB27" s="1266"/>
      <c r="DCC27" s="1266"/>
      <c r="DCD27" s="1266"/>
      <c r="DCE27" s="1266"/>
      <c r="DCF27" s="1266"/>
      <c r="DCG27" s="1266"/>
      <c r="DCH27" s="1266"/>
      <c r="DCI27" s="1266"/>
      <c r="DCJ27" s="1266"/>
      <c r="DCK27" s="1266"/>
      <c r="DCL27" s="1266"/>
      <c r="DCM27" s="1266"/>
      <c r="DCN27" s="1266"/>
      <c r="DCO27" s="1266"/>
      <c r="DCP27" s="1266"/>
      <c r="DCQ27" s="1266"/>
      <c r="DCR27" s="1266"/>
      <c r="DCS27" s="1266"/>
      <c r="DCT27" s="1266"/>
      <c r="DCU27" s="1266"/>
      <c r="DCV27" s="1266"/>
      <c r="DCW27" s="1266"/>
      <c r="DCX27" s="1266"/>
      <c r="DCY27" s="1266"/>
      <c r="DCZ27" s="1266"/>
      <c r="DDA27" s="1266"/>
      <c r="DDB27" s="1266"/>
      <c r="DDC27" s="1266"/>
      <c r="DDD27" s="1266"/>
      <c r="DDE27" s="1266"/>
      <c r="DDF27" s="1266"/>
      <c r="DDG27" s="1266"/>
      <c r="DDH27" s="1266"/>
      <c r="DDI27" s="1266"/>
      <c r="DDJ27" s="1266"/>
      <c r="DDK27" s="1266"/>
      <c r="DDL27" s="1266"/>
      <c r="DDM27" s="1266"/>
      <c r="DDN27" s="1266"/>
      <c r="DDO27" s="1266"/>
      <c r="DDP27" s="1266"/>
      <c r="DDQ27" s="1266"/>
      <c r="DDR27" s="1266"/>
      <c r="DDS27" s="1266"/>
      <c r="DDT27" s="1266"/>
      <c r="DDU27" s="1266"/>
      <c r="DDV27" s="1266"/>
      <c r="DDW27" s="1266"/>
      <c r="DDX27" s="1266"/>
      <c r="DDY27" s="1266"/>
      <c r="DDZ27" s="1266"/>
      <c r="DEA27" s="1266"/>
      <c r="DEB27" s="1266"/>
      <c r="DEC27" s="1266"/>
      <c r="DED27" s="1266"/>
      <c r="DEE27" s="1266"/>
      <c r="DEF27" s="1266"/>
      <c r="DEG27" s="1266"/>
      <c r="DEH27" s="1266"/>
      <c r="DEI27" s="1266"/>
      <c r="DEJ27" s="1266"/>
      <c r="DEK27" s="1266"/>
      <c r="DEL27" s="1266"/>
      <c r="DEM27" s="1266"/>
      <c r="DEN27" s="1266"/>
      <c r="DEO27" s="1266"/>
      <c r="DEP27" s="1266"/>
      <c r="DEQ27" s="1266"/>
      <c r="DER27" s="1266"/>
      <c r="DES27" s="1266"/>
      <c r="DET27" s="1266"/>
      <c r="DEU27" s="1266"/>
      <c r="DEV27" s="1266"/>
      <c r="DEW27" s="1266"/>
      <c r="DEX27" s="1266"/>
      <c r="DEY27" s="1266"/>
      <c r="DEZ27" s="1266"/>
      <c r="DFA27" s="1266"/>
      <c r="DFB27" s="1266"/>
      <c r="DFC27" s="1266"/>
      <c r="DFD27" s="1266"/>
      <c r="DFE27" s="1266"/>
      <c r="DFF27" s="1266"/>
      <c r="DFG27" s="1266"/>
      <c r="DFH27" s="1266"/>
      <c r="DFI27" s="1266"/>
      <c r="DFJ27" s="1266"/>
      <c r="DFK27" s="1266"/>
      <c r="DFL27" s="1266"/>
      <c r="DFM27" s="1266"/>
      <c r="DFN27" s="1266"/>
      <c r="DFO27" s="1266"/>
      <c r="DFP27" s="1266"/>
      <c r="DFQ27" s="1266"/>
      <c r="DFR27" s="1266"/>
      <c r="DFS27" s="1266"/>
      <c r="DFT27" s="1266"/>
      <c r="DFU27" s="1266"/>
      <c r="DFV27" s="1266"/>
      <c r="DFW27" s="1266"/>
      <c r="DFX27" s="1266"/>
      <c r="DFY27" s="1266"/>
      <c r="DFZ27" s="1266"/>
      <c r="DGA27" s="1266"/>
      <c r="DGB27" s="1266"/>
      <c r="DGC27" s="1266"/>
      <c r="DGD27" s="1266"/>
      <c r="DGE27" s="1266"/>
      <c r="DGF27" s="1266"/>
      <c r="DGG27" s="1266"/>
      <c r="DGH27" s="1266"/>
      <c r="DGI27" s="1266"/>
      <c r="DGJ27" s="1266"/>
      <c r="DGK27" s="1266"/>
      <c r="DGL27" s="1266"/>
      <c r="DGM27" s="1266"/>
      <c r="DGN27" s="1266"/>
      <c r="DGO27" s="1266"/>
      <c r="DGP27" s="1266"/>
      <c r="DGQ27" s="1266"/>
      <c r="DGR27" s="1266"/>
      <c r="DGS27" s="1266"/>
      <c r="DGT27" s="1266"/>
      <c r="DGU27" s="1266"/>
      <c r="DGV27" s="1266"/>
      <c r="DGW27" s="1266"/>
      <c r="DGX27" s="1266"/>
      <c r="DGY27" s="1266"/>
      <c r="DGZ27" s="1266"/>
      <c r="DHA27" s="1266"/>
      <c r="DHB27" s="1266"/>
      <c r="DHC27" s="1266"/>
      <c r="DHD27" s="1266"/>
      <c r="DHE27" s="1266"/>
      <c r="DHF27" s="1266"/>
      <c r="DHG27" s="1266"/>
      <c r="DHH27" s="1266"/>
      <c r="DHI27" s="1266"/>
      <c r="DHJ27" s="1266"/>
      <c r="DHK27" s="1266"/>
      <c r="DHL27" s="1266"/>
      <c r="DHM27" s="1266"/>
      <c r="DHN27" s="1266"/>
      <c r="DHO27" s="1266"/>
      <c r="DHP27" s="1266"/>
      <c r="DHQ27" s="1266"/>
      <c r="DHR27" s="1266"/>
      <c r="DHS27" s="1266"/>
      <c r="DHT27" s="1266"/>
      <c r="DHU27" s="1266"/>
      <c r="DHV27" s="1266"/>
      <c r="DHW27" s="1266"/>
      <c r="DHX27" s="1266"/>
      <c r="DHY27" s="1266"/>
      <c r="DHZ27" s="1266"/>
      <c r="DIA27" s="1266"/>
      <c r="DIB27" s="1266"/>
      <c r="DIC27" s="1266"/>
      <c r="DID27" s="1266"/>
      <c r="DIE27" s="1266"/>
      <c r="DIF27" s="1266"/>
      <c r="DIG27" s="1266"/>
      <c r="DIH27" s="1266"/>
      <c r="DII27" s="1266"/>
      <c r="DIJ27" s="1266"/>
      <c r="DIK27" s="1266"/>
      <c r="DIL27" s="1266"/>
      <c r="DIM27" s="1266"/>
      <c r="DIN27" s="1266"/>
      <c r="DIO27" s="1266"/>
      <c r="DIP27" s="1266"/>
      <c r="DIQ27" s="1266"/>
      <c r="DIR27" s="1266"/>
      <c r="DIS27" s="1266"/>
      <c r="DIT27" s="1266"/>
      <c r="DIU27" s="1266"/>
      <c r="DIV27" s="1266"/>
      <c r="DIW27" s="1266"/>
      <c r="DIX27" s="1266"/>
      <c r="DIY27" s="1266"/>
      <c r="DIZ27" s="1266"/>
      <c r="DJA27" s="1266"/>
      <c r="DJB27" s="1266"/>
      <c r="DJC27" s="1266"/>
      <c r="DJD27" s="1266"/>
      <c r="DJE27" s="1266"/>
      <c r="DJF27" s="1266"/>
      <c r="DJG27" s="1266"/>
      <c r="DJH27" s="1266"/>
      <c r="DJI27" s="1266"/>
      <c r="DJJ27" s="1266"/>
      <c r="DJK27" s="1266"/>
      <c r="DJL27" s="1266"/>
      <c r="DJM27" s="1266"/>
      <c r="DJN27" s="1266"/>
      <c r="DJO27" s="1266"/>
      <c r="DJP27" s="1266"/>
      <c r="DJQ27" s="1266"/>
      <c r="DJR27" s="1266"/>
      <c r="DJS27" s="1266"/>
      <c r="DJT27" s="1266"/>
      <c r="DJU27" s="1266"/>
      <c r="DJV27" s="1266"/>
      <c r="DJW27" s="1266"/>
      <c r="DJX27" s="1266"/>
      <c r="DJY27" s="1266"/>
      <c r="DJZ27" s="1266"/>
      <c r="DKA27" s="1266"/>
      <c r="DKB27" s="1266"/>
      <c r="DKC27" s="1266"/>
      <c r="DKD27" s="1266"/>
      <c r="DKE27" s="1266"/>
      <c r="DKF27" s="1266"/>
      <c r="DKG27" s="1266"/>
      <c r="DKH27" s="1266"/>
      <c r="DKI27" s="1266"/>
      <c r="DKJ27" s="1266"/>
      <c r="DKK27" s="1266"/>
      <c r="DKL27" s="1266"/>
      <c r="DKM27" s="1266"/>
      <c r="DKN27" s="1266"/>
      <c r="DKO27" s="1266"/>
      <c r="DKP27" s="1266"/>
      <c r="DKQ27" s="1266"/>
      <c r="DKR27" s="1266"/>
      <c r="DKS27" s="1266"/>
      <c r="DKT27" s="1266"/>
      <c r="DKU27" s="1266"/>
      <c r="DKV27" s="1266"/>
      <c r="DKW27" s="1266"/>
      <c r="DKX27" s="1266"/>
      <c r="DKY27" s="1266"/>
      <c r="DKZ27" s="1266"/>
      <c r="DLA27" s="1266"/>
      <c r="DLB27" s="1266"/>
      <c r="DLC27" s="1266"/>
      <c r="DLD27" s="1266"/>
      <c r="DLE27" s="1266"/>
      <c r="DLF27" s="1266"/>
      <c r="DLG27" s="1266"/>
      <c r="DLH27" s="1266"/>
      <c r="DLI27" s="1266"/>
      <c r="DLJ27" s="1266"/>
      <c r="DLK27" s="1266"/>
      <c r="DLL27" s="1266"/>
      <c r="DLM27" s="1266"/>
      <c r="DLN27" s="1266"/>
      <c r="DLO27" s="1266"/>
      <c r="DLP27" s="1266"/>
      <c r="DLQ27" s="1266"/>
      <c r="DLR27" s="1266"/>
      <c r="DLS27" s="1266"/>
      <c r="DLT27" s="1266"/>
      <c r="DLU27" s="1266"/>
      <c r="DLV27" s="1266"/>
      <c r="DLW27" s="1266"/>
      <c r="DLX27" s="1266"/>
      <c r="DLY27" s="1266"/>
      <c r="DLZ27" s="1266"/>
      <c r="DMA27" s="1266"/>
      <c r="DMB27" s="1266"/>
      <c r="DMC27" s="1266"/>
      <c r="DMD27" s="1266"/>
      <c r="DME27" s="1266"/>
      <c r="DMF27" s="1266"/>
      <c r="DMG27" s="1266"/>
      <c r="DMH27" s="1266"/>
      <c r="DMI27" s="1266"/>
      <c r="DMJ27" s="1266"/>
      <c r="DMK27" s="1266"/>
      <c r="DML27" s="1266"/>
      <c r="DMM27" s="1266"/>
      <c r="DMN27" s="1266"/>
      <c r="DMO27" s="1266"/>
      <c r="DMP27" s="1266"/>
      <c r="DMQ27" s="1266"/>
      <c r="DMR27" s="1266"/>
      <c r="DMS27" s="1266"/>
      <c r="DMT27" s="1266"/>
      <c r="DMU27" s="1266"/>
      <c r="DMV27" s="1266"/>
      <c r="DMW27" s="1266"/>
      <c r="DMX27" s="1266"/>
      <c r="DMY27" s="1266"/>
      <c r="DMZ27" s="1266"/>
      <c r="DNA27" s="1266"/>
      <c r="DNB27" s="1266"/>
      <c r="DNC27" s="1266"/>
      <c r="DND27" s="1266"/>
      <c r="DNE27" s="1266"/>
      <c r="DNF27" s="1266"/>
      <c r="DNG27" s="1266"/>
      <c r="DNH27" s="1266"/>
      <c r="DNI27" s="1266"/>
      <c r="DNJ27" s="1266"/>
      <c r="DNK27" s="1266"/>
      <c r="DNL27" s="1266"/>
      <c r="DNM27" s="1266"/>
      <c r="DNN27" s="1266"/>
      <c r="DNO27" s="1266"/>
      <c r="DNP27" s="1266"/>
      <c r="DNQ27" s="1266"/>
      <c r="DNR27" s="1266"/>
      <c r="DNS27" s="1266"/>
      <c r="DNT27" s="1266"/>
      <c r="DNU27" s="1266"/>
      <c r="DNV27" s="1266"/>
      <c r="DNW27" s="1266"/>
      <c r="DNX27" s="1266"/>
      <c r="DNY27" s="1266"/>
      <c r="DNZ27" s="1266"/>
      <c r="DOA27" s="1266"/>
      <c r="DOB27" s="1266"/>
      <c r="DOC27" s="1266"/>
      <c r="DOD27" s="1266"/>
      <c r="DOE27" s="1266"/>
      <c r="DOF27" s="1266"/>
      <c r="DOG27" s="1266"/>
      <c r="DOH27" s="1266"/>
      <c r="DOI27" s="1266"/>
      <c r="DOJ27" s="1266"/>
      <c r="DOK27" s="1266"/>
      <c r="DOL27" s="1266"/>
      <c r="DOM27" s="1266"/>
      <c r="DON27" s="1266"/>
      <c r="DOO27" s="1266"/>
      <c r="DOP27" s="1266"/>
      <c r="DOQ27" s="1266"/>
      <c r="DOR27" s="1266"/>
      <c r="DOS27" s="1266"/>
      <c r="DOT27" s="1266"/>
      <c r="DOU27" s="1266"/>
      <c r="DOV27" s="1266"/>
      <c r="DOW27" s="1266"/>
      <c r="DOX27" s="1266"/>
      <c r="DOY27" s="1266"/>
      <c r="DOZ27" s="1266"/>
      <c r="DPA27" s="1266"/>
      <c r="DPB27" s="1266"/>
      <c r="DPC27" s="1266"/>
      <c r="DPD27" s="1266"/>
      <c r="DPE27" s="1266"/>
      <c r="DPF27" s="1266"/>
      <c r="DPG27" s="1266"/>
      <c r="DPH27" s="1266"/>
      <c r="DPI27" s="1266"/>
      <c r="DPJ27" s="1266"/>
      <c r="DPK27" s="1266"/>
      <c r="DPL27" s="1266"/>
      <c r="DPM27" s="1266"/>
      <c r="DPN27" s="1266"/>
      <c r="DPO27" s="1266"/>
      <c r="DPP27" s="1266"/>
      <c r="DPQ27" s="1266"/>
      <c r="DPR27" s="1266"/>
      <c r="DPS27" s="1266"/>
      <c r="DPT27" s="1266"/>
      <c r="DPU27" s="1266"/>
      <c r="DPV27" s="1266"/>
      <c r="DPW27" s="1266"/>
      <c r="DPX27" s="1266"/>
      <c r="DPY27" s="1266"/>
      <c r="DPZ27" s="1266"/>
      <c r="DQA27" s="1266"/>
      <c r="DQB27" s="1266"/>
      <c r="DQC27" s="1266"/>
      <c r="DQD27" s="1266"/>
      <c r="DQE27" s="1266"/>
      <c r="DQF27" s="1266"/>
      <c r="DQG27" s="1266"/>
      <c r="DQH27" s="1266"/>
      <c r="DQI27" s="1266"/>
      <c r="DQJ27" s="1266"/>
      <c r="DQK27" s="1266"/>
      <c r="DQL27" s="1266"/>
      <c r="DQM27" s="1266"/>
      <c r="DQN27" s="1266"/>
      <c r="DQO27" s="1266"/>
      <c r="DQP27" s="1266"/>
      <c r="DQQ27" s="1266"/>
      <c r="DQR27" s="1266"/>
      <c r="DQS27" s="1266"/>
      <c r="DQT27" s="1266"/>
      <c r="DQU27" s="1266"/>
      <c r="DQV27" s="1266"/>
      <c r="DQW27" s="1266"/>
      <c r="DQX27" s="1266"/>
      <c r="DQY27" s="1266"/>
      <c r="DQZ27" s="1266"/>
      <c r="DRA27" s="1266"/>
      <c r="DRB27" s="1266"/>
      <c r="DRC27" s="1266"/>
      <c r="DRD27" s="1266"/>
      <c r="DRE27" s="1266"/>
      <c r="DRF27" s="1266"/>
      <c r="DRG27" s="1266"/>
      <c r="DRH27" s="1266"/>
      <c r="DRI27" s="1266"/>
      <c r="DRJ27" s="1266"/>
      <c r="DRK27" s="1266"/>
      <c r="DRL27" s="1266"/>
      <c r="DRM27" s="1266"/>
      <c r="DRN27" s="1266"/>
      <c r="DRO27" s="1266"/>
      <c r="DRP27" s="1266"/>
      <c r="DRQ27" s="1266"/>
      <c r="DRR27" s="1266"/>
      <c r="DRS27" s="1266"/>
      <c r="DRT27" s="1266"/>
      <c r="DRU27" s="1266"/>
      <c r="DRV27" s="1266"/>
      <c r="DRW27" s="1266"/>
      <c r="DRX27" s="1266"/>
      <c r="DRY27" s="1266"/>
      <c r="DRZ27" s="1266"/>
      <c r="DSA27" s="1266"/>
      <c r="DSB27" s="1266"/>
      <c r="DSC27" s="1266"/>
      <c r="DSD27" s="1266"/>
      <c r="DSE27" s="1266"/>
      <c r="DSF27" s="1266"/>
      <c r="DSG27" s="1266"/>
      <c r="DSH27" s="1266"/>
      <c r="DSI27" s="1266"/>
      <c r="DSJ27" s="1266"/>
      <c r="DSK27" s="1266"/>
      <c r="DSL27" s="1266"/>
      <c r="DSM27" s="1266"/>
      <c r="DSN27" s="1266"/>
      <c r="DSO27" s="1266"/>
      <c r="DSP27" s="1266"/>
      <c r="DSQ27" s="1266"/>
      <c r="DSR27" s="1266"/>
      <c r="DSS27" s="1266"/>
      <c r="DST27" s="1266"/>
      <c r="DSU27" s="1266"/>
      <c r="DSV27" s="1266"/>
      <c r="DSW27" s="1266"/>
      <c r="DSX27" s="1266"/>
      <c r="DSY27" s="1266"/>
      <c r="DSZ27" s="1266"/>
      <c r="DTA27" s="1266"/>
      <c r="DTB27" s="1266"/>
      <c r="DTC27" s="1266"/>
      <c r="DTD27" s="1266"/>
      <c r="DTE27" s="1266"/>
      <c r="DTF27" s="1266"/>
      <c r="DTG27" s="1266"/>
      <c r="DTH27" s="1266"/>
      <c r="DTI27" s="1266"/>
      <c r="DTJ27" s="1266"/>
      <c r="DTK27" s="1266"/>
      <c r="DTL27" s="1266"/>
      <c r="DTM27" s="1266"/>
      <c r="DTN27" s="1266"/>
      <c r="DTO27" s="1266"/>
      <c r="DTP27" s="1266"/>
      <c r="DTQ27" s="1266"/>
      <c r="DTR27" s="1266"/>
      <c r="DTS27" s="1266"/>
      <c r="DTT27" s="1266"/>
      <c r="DTU27" s="1266"/>
      <c r="DTV27" s="1266"/>
      <c r="DTW27" s="1266"/>
      <c r="DTX27" s="1266"/>
      <c r="DTY27" s="1266"/>
      <c r="DTZ27" s="1266"/>
      <c r="DUA27" s="1266"/>
      <c r="DUB27" s="1266"/>
      <c r="DUC27" s="1266"/>
      <c r="DUD27" s="1266"/>
      <c r="DUE27" s="1266"/>
      <c r="DUF27" s="1266"/>
      <c r="DUG27" s="1266"/>
      <c r="DUH27" s="1266"/>
      <c r="DUI27" s="1266"/>
      <c r="DUJ27" s="1266"/>
      <c r="DUK27" s="1266"/>
      <c r="DUL27" s="1266"/>
      <c r="DUM27" s="1266"/>
      <c r="DUN27" s="1266"/>
      <c r="DUO27" s="1266"/>
      <c r="DUP27" s="1266"/>
      <c r="DUQ27" s="1266"/>
      <c r="DUR27" s="1266"/>
      <c r="DUS27" s="1266"/>
      <c r="DUT27" s="1266"/>
      <c r="DUU27" s="1266"/>
      <c r="DUV27" s="1266"/>
      <c r="DUW27" s="1266"/>
      <c r="DUX27" s="1266"/>
      <c r="DUY27" s="1266"/>
      <c r="DUZ27" s="1266"/>
      <c r="DVA27" s="1266"/>
      <c r="DVB27" s="1266"/>
      <c r="DVC27" s="1266"/>
      <c r="DVD27" s="1266"/>
      <c r="DVE27" s="1266"/>
      <c r="DVF27" s="1266"/>
      <c r="DVG27" s="1266"/>
      <c r="DVH27" s="1266"/>
      <c r="DVI27" s="1266"/>
      <c r="DVJ27" s="1266"/>
      <c r="DVK27" s="1266"/>
      <c r="DVL27" s="1266"/>
      <c r="DVM27" s="1266"/>
      <c r="DVN27" s="1266"/>
      <c r="DVO27" s="1266"/>
      <c r="DVP27" s="1266"/>
      <c r="DVQ27" s="1266"/>
      <c r="DVR27" s="1266"/>
      <c r="DVS27" s="1266"/>
      <c r="DVT27" s="1266"/>
      <c r="DVU27" s="1266"/>
      <c r="DVV27" s="1266"/>
      <c r="DVW27" s="1266"/>
      <c r="DVX27" s="1266"/>
      <c r="DVY27" s="1266"/>
      <c r="DVZ27" s="1266"/>
      <c r="DWA27" s="1266"/>
      <c r="DWB27" s="1266"/>
      <c r="DWC27" s="1266"/>
      <c r="DWD27" s="1266"/>
      <c r="DWE27" s="1266"/>
      <c r="DWF27" s="1266"/>
      <c r="DWG27" s="1266"/>
      <c r="DWH27" s="1266"/>
      <c r="DWI27" s="1266"/>
      <c r="DWJ27" s="1266"/>
      <c r="DWK27" s="1266"/>
      <c r="DWL27" s="1266"/>
      <c r="DWM27" s="1266"/>
      <c r="DWN27" s="1266"/>
      <c r="DWO27" s="1266"/>
      <c r="DWP27" s="1266"/>
      <c r="DWQ27" s="1266"/>
      <c r="DWR27" s="1266"/>
      <c r="DWS27" s="1266"/>
      <c r="DWT27" s="1266"/>
      <c r="DWU27" s="1266"/>
      <c r="DWV27" s="1266"/>
      <c r="DWW27" s="1266"/>
      <c r="DWX27" s="1266"/>
      <c r="DWY27" s="1266"/>
      <c r="DWZ27" s="1266"/>
      <c r="DXA27" s="1266"/>
      <c r="DXB27" s="1266"/>
      <c r="DXC27" s="1266"/>
      <c r="DXD27" s="1266"/>
      <c r="DXE27" s="1266"/>
      <c r="DXF27" s="1266"/>
      <c r="DXG27" s="1266"/>
      <c r="DXH27" s="1266"/>
      <c r="DXI27" s="1266"/>
      <c r="DXJ27" s="1266"/>
      <c r="DXK27" s="1266"/>
      <c r="DXL27" s="1266"/>
      <c r="DXM27" s="1266"/>
      <c r="DXN27" s="1266"/>
      <c r="DXO27" s="1266"/>
      <c r="DXP27" s="1266"/>
      <c r="DXQ27" s="1266"/>
      <c r="DXR27" s="1266"/>
      <c r="DXS27" s="1266"/>
      <c r="DXT27" s="1266"/>
      <c r="DXU27" s="1266"/>
      <c r="DXV27" s="1266"/>
      <c r="DXW27" s="1266"/>
      <c r="DXX27" s="1266"/>
      <c r="DXY27" s="1266"/>
      <c r="DXZ27" s="1266"/>
      <c r="DYA27" s="1266"/>
      <c r="DYB27" s="1266"/>
      <c r="DYC27" s="1266"/>
      <c r="DYD27" s="1266"/>
      <c r="DYE27" s="1266"/>
      <c r="DYF27" s="1266"/>
      <c r="DYG27" s="1266"/>
      <c r="DYH27" s="1266"/>
      <c r="DYI27" s="1266"/>
      <c r="DYJ27" s="1266"/>
      <c r="DYK27" s="1266"/>
      <c r="DYL27" s="1266"/>
      <c r="DYM27" s="1266"/>
      <c r="DYN27" s="1266"/>
      <c r="DYO27" s="1266"/>
      <c r="DYP27" s="1266"/>
      <c r="DYQ27" s="1266"/>
      <c r="DYR27" s="1266"/>
      <c r="DYS27" s="1266"/>
      <c r="DYT27" s="1266"/>
      <c r="DYU27" s="1266"/>
      <c r="DYV27" s="1266"/>
      <c r="DYW27" s="1266"/>
      <c r="DYX27" s="1266"/>
      <c r="DYY27" s="1266"/>
      <c r="DYZ27" s="1266"/>
      <c r="DZA27" s="1266"/>
      <c r="DZB27" s="1266"/>
      <c r="DZC27" s="1266"/>
      <c r="DZD27" s="1266"/>
      <c r="DZE27" s="1266"/>
      <c r="DZF27" s="1266"/>
      <c r="DZG27" s="1266"/>
      <c r="DZH27" s="1266"/>
      <c r="DZI27" s="1266"/>
      <c r="DZJ27" s="1266"/>
      <c r="DZK27" s="1266"/>
      <c r="DZL27" s="1266"/>
      <c r="DZM27" s="1266"/>
      <c r="DZN27" s="1266"/>
      <c r="DZO27" s="1266"/>
      <c r="DZP27" s="1266"/>
      <c r="DZQ27" s="1266"/>
      <c r="DZR27" s="1266"/>
      <c r="DZS27" s="1266"/>
      <c r="DZT27" s="1266"/>
      <c r="DZU27" s="1266"/>
      <c r="DZV27" s="1266"/>
      <c r="DZW27" s="1266"/>
      <c r="DZX27" s="1266"/>
      <c r="DZY27" s="1266"/>
      <c r="DZZ27" s="1266"/>
      <c r="EAA27" s="1266"/>
      <c r="EAB27" s="1266"/>
      <c r="EAC27" s="1266"/>
      <c r="EAD27" s="1266"/>
      <c r="EAE27" s="1266"/>
      <c r="EAF27" s="1266"/>
      <c r="EAG27" s="1266"/>
      <c r="EAH27" s="1266"/>
      <c r="EAI27" s="1266"/>
      <c r="EAJ27" s="1266"/>
      <c r="EAK27" s="1266"/>
      <c r="EAL27" s="1266"/>
      <c r="EAM27" s="1266"/>
      <c r="EAN27" s="1266"/>
      <c r="EAO27" s="1266"/>
      <c r="EAP27" s="1266"/>
      <c r="EAQ27" s="1266"/>
      <c r="EAR27" s="1266"/>
      <c r="EAS27" s="1266"/>
      <c r="EAT27" s="1266"/>
      <c r="EAU27" s="1266"/>
      <c r="EAV27" s="1266"/>
      <c r="EAW27" s="1266"/>
      <c r="EAX27" s="1266"/>
      <c r="EAY27" s="1266"/>
      <c r="EAZ27" s="1266"/>
      <c r="EBA27" s="1266"/>
      <c r="EBB27" s="1266"/>
      <c r="EBC27" s="1266"/>
      <c r="EBD27" s="1266"/>
      <c r="EBE27" s="1266"/>
      <c r="EBF27" s="1266"/>
      <c r="EBG27" s="1266"/>
      <c r="EBH27" s="1266"/>
      <c r="EBI27" s="1266"/>
      <c r="EBJ27" s="1266"/>
      <c r="EBK27" s="1266"/>
      <c r="EBL27" s="1266"/>
      <c r="EBM27" s="1266"/>
      <c r="EBN27" s="1266"/>
      <c r="EBO27" s="1266"/>
      <c r="EBP27" s="1266"/>
      <c r="EBQ27" s="1266"/>
      <c r="EBR27" s="1266"/>
      <c r="EBS27" s="1266"/>
      <c r="EBT27" s="1266"/>
      <c r="EBU27" s="1266"/>
      <c r="EBV27" s="1266"/>
      <c r="EBW27" s="1266"/>
      <c r="EBX27" s="1266"/>
      <c r="EBY27" s="1266"/>
      <c r="EBZ27" s="1266"/>
      <c r="ECA27" s="1266"/>
      <c r="ECB27" s="1266"/>
      <c r="ECC27" s="1266"/>
      <c r="ECD27" s="1266"/>
      <c r="ECE27" s="1266"/>
      <c r="ECF27" s="1266"/>
      <c r="ECG27" s="1266"/>
      <c r="ECH27" s="1266"/>
      <c r="ECI27" s="1266"/>
      <c r="ECJ27" s="1266"/>
      <c r="ECK27" s="1266"/>
      <c r="ECL27" s="1266"/>
      <c r="ECM27" s="1266"/>
      <c r="ECN27" s="1266"/>
      <c r="ECO27" s="1266"/>
      <c r="ECP27" s="1266"/>
      <c r="ECQ27" s="1266"/>
      <c r="ECR27" s="1266"/>
      <c r="ECS27" s="1266"/>
      <c r="ECT27" s="1266"/>
      <c r="ECU27" s="1266"/>
      <c r="ECV27" s="1266"/>
      <c r="ECW27" s="1266"/>
      <c r="ECX27" s="1266"/>
      <c r="ECY27" s="1266"/>
      <c r="ECZ27" s="1266"/>
      <c r="EDA27" s="1266"/>
      <c r="EDB27" s="1266"/>
      <c r="EDC27" s="1266"/>
      <c r="EDD27" s="1266"/>
      <c r="EDE27" s="1266"/>
      <c r="EDF27" s="1266"/>
      <c r="EDG27" s="1266"/>
      <c r="EDH27" s="1266"/>
      <c r="EDI27" s="1266"/>
      <c r="EDJ27" s="1266"/>
      <c r="EDK27" s="1266"/>
      <c r="EDL27" s="1266"/>
      <c r="EDM27" s="1266"/>
      <c r="EDN27" s="1266"/>
      <c r="EDO27" s="1266"/>
      <c r="EDP27" s="1266"/>
      <c r="EDQ27" s="1266"/>
      <c r="EDR27" s="1266"/>
      <c r="EDS27" s="1266"/>
      <c r="EDT27" s="1266"/>
      <c r="EDU27" s="1266"/>
      <c r="EDV27" s="1266"/>
      <c r="EDW27" s="1266"/>
      <c r="EDX27" s="1266"/>
      <c r="EDY27" s="1266"/>
      <c r="EDZ27" s="1266"/>
      <c r="EEA27" s="1266"/>
      <c r="EEB27" s="1266"/>
      <c r="EEC27" s="1266"/>
      <c r="EED27" s="1266"/>
      <c r="EEE27" s="1266"/>
      <c r="EEF27" s="1266"/>
      <c r="EEG27" s="1266"/>
      <c r="EEH27" s="1266"/>
      <c r="EEI27" s="1266"/>
      <c r="EEJ27" s="1266"/>
      <c r="EEK27" s="1266"/>
      <c r="EEL27" s="1266"/>
      <c r="EEM27" s="1266"/>
      <c r="EEN27" s="1266"/>
      <c r="EEO27" s="1266"/>
      <c r="EEP27" s="1266"/>
      <c r="EEQ27" s="1266"/>
      <c r="EER27" s="1266"/>
      <c r="EES27" s="1266"/>
      <c r="EET27" s="1266"/>
      <c r="EEU27" s="1266"/>
      <c r="EEV27" s="1266"/>
      <c r="EEW27" s="1266"/>
      <c r="EEX27" s="1266"/>
      <c r="EEY27" s="1266"/>
      <c r="EEZ27" s="1266"/>
      <c r="EFA27" s="1266"/>
      <c r="EFB27" s="1266"/>
      <c r="EFC27" s="1266"/>
      <c r="EFD27" s="1266"/>
      <c r="EFE27" s="1266"/>
      <c r="EFF27" s="1266"/>
      <c r="EFG27" s="1266"/>
      <c r="EFH27" s="1266"/>
      <c r="EFI27" s="1266"/>
      <c r="EFJ27" s="1266"/>
      <c r="EFK27" s="1266"/>
      <c r="EFL27" s="1266"/>
      <c r="EFM27" s="1266"/>
      <c r="EFN27" s="1266"/>
      <c r="EFO27" s="1266"/>
      <c r="EFP27" s="1266"/>
      <c r="EFQ27" s="1266"/>
      <c r="EFR27" s="1266"/>
      <c r="EFS27" s="1266"/>
      <c r="EFT27" s="1266"/>
      <c r="EFU27" s="1266"/>
      <c r="EFV27" s="1266"/>
      <c r="EFW27" s="1266"/>
      <c r="EFX27" s="1266"/>
      <c r="EFY27" s="1266"/>
      <c r="EFZ27" s="1266"/>
      <c r="EGA27" s="1266"/>
      <c r="EGB27" s="1266"/>
      <c r="EGC27" s="1266"/>
      <c r="EGD27" s="1266"/>
      <c r="EGE27" s="1266"/>
      <c r="EGF27" s="1266"/>
      <c r="EGG27" s="1266"/>
      <c r="EGH27" s="1266"/>
      <c r="EGI27" s="1266"/>
      <c r="EGJ27" s="1266"/>
      <c r="EGK27" s="1266"/>
      <c r="EGL27" s="1266"/>
      <c r="EGM27" s="1266"/>
      <c r="EGN27" s="1266"/>
      <c r="EGO27" s="1266"/>
      <c r="EGP27" s="1266"/>
      <c r="EGQ27" s="1266"/>
      <c r="EGR27" s="1266"/>
      <c r="EGS27" s="1266"/>
      <c r="EGT27" s="1266"/>
      <c r="EGU27" s="1266"/>
      <c r="EGV27" s="1266"/>
      <c r="EGW27" s="1266"/>
      <c r="EGX27" s="1266"/>
      <c r="EGY27" s="1266"/>
      <c r="EGZ27" s="1266"/>
      <c r="EHA27" s="1266"/>
      <c r="EHB27" s="1266"/>
      <c r="EHC27" s="1266"/>
      <c r="EHD27" s="1266"/>
      <c r="EHE27" s="1266"/>
      <c r="EHF27" s="1266"/>
      <c r="EHG27" s="1266"/>
      <c r="EHH27" s="1266"/>
      <c r="EHI27" s="1266"/>
      <c r="EHJ27" s="1266"/>
      <c r="EHK27" s="1266"/>
      <c r="EHL27" s="1266"/>
      <c r="EHM27" s="1266"/>
      <c r="EHN27" s="1266"/>
      <c r="EHO27" s="1266"/>
      <c r="EHP27" s="1266"/>
      <c r="EHQ27" s="1266"/>
      <c r="EHR27" s="1266"/>
      <c r="EHS27" s="1266"/>
      <c r="EHT27" s="1266"/>
      <c r="EHU27" s="1266"/>
      <c r="EHV27" s="1266"/>
      <c r="EHW27" s="1266"/>
      <c r="EHX27" s="1266"/>
      <c r="EHY27" s="1266"/>
      <c r="EHZ27" s="1266"/>
      <c r="EIA27" s="1266"/>
      <c r="EIB27" s="1266"/>
      <c r="EIC27" s="1266"/>
      <c r="EID27" s="1266"/>
      <c r="EIE27" s="1266"/>
      <c r="EIF27" s="1266"/>
      <c r="EIG27" s="1266"/>
      <c r="EIH27" s="1266"/>
      <c r="EII27" s="1266"/>
      <c r="EIJ27" s="1266"/>
      <c r="EIK27" s="1266"/>
      <c r="EIL27" s="1266"/>
      <c r="EIM27" s="1266"/>
      <c r="EIN27" s="1266"/>
      <c r="EIO27" s="1266"/>
      <c r="EIP27" s="1266"/>
      <c r="EIQ27" s="1266"/>
      <c r="EIR27" s="1266"/>
      <c r="EIS27" s="1266"/>
      <c r="EIT27" s="1266"/>
      <c r="EIU27" s="1266"/>
      <c r="EIV27" s="1266"/>
      <c r="EIW27" s="1266"/>
      <c r="EIX27" s="1266"/>
      <c r="EIY27" s="1266"/>
      <c r="EIZ27" s="1266"/>
      <c r="EJA27" s="1266"/>
      <c r="EJB27" s="1266"/>
      <c r="EJC27" s="1266"/>
      <c r="EJD27" s="1266"/>
      <c r="EJE27" s="1266"/>
      <c r="EJF27" s="1266"/>
      <c r="EJG27" s="1266"/>
      <c r="EJH27" s="1266"/>
      <c r="EJI27" s="1266"/>
      <c r="EJJ27" s="1266"/>
      <c r="EJK27" s="1266"/>
      <c r="EJL27" s="1266"/>
      <c r="EJM27" s="1266"/>
      <c r="EJN27" s="1266"/>
      <c r="EJO27" s="1266"/>
      <c r="EJP27" s="1266"/>
      <c r="EJQ27" s="1266"/>
      <c r="EJR27" s="1266"/>
      <c r="EJS27" s="1266"/>
      <c r="EJT27" s="1266"/>
      <c r="EJU27" s="1266"/>
      <c r="EJV27" s="1266"/>
      <c r="EJW27" s="1266"/>
      <c r="EJX27" s="1266"/>
      <c r="EJY27" s="1266"/>
      <c r="EJZ27" s="1266"/>
      <c r="EKA27" s="1266"/>
      <c r="EKB27" s="1266"/>
      <c r="EKC27" s="1266"/>
      <c r="EKD27" s="1266"/>
      <c r="EKE27" s="1266"/>
      <c r="EKF27" s="1266"/>
      <c r="EKG27" s="1266"/>
      <c r="EKH27" s="1266"/>
      <c r="EKI27" s="1266"/>
      <c r="EKJ27" s="1266"/>
      <c r="EKK27" s="1266"/>
      <c r="EKL27" s="1266"/>
      <c r="EKM27" s="1266"/>
      <c r="EKN27" s="1266"/>
      <c r="EKO27" s="1266"/>
      <c r="EKP27" s="1266"/>
      <c r="EKQ27" s="1266"/>
      <c r="EKR27" s="1266"/>
      <c r="EKS27" s="1266"/>
      <c r="EKT27" s="1266"/>
      <c r="EKU27" s="1266"/>
      <c r="EKV27" s="1266"/>
      <c r="EKW27" s="1266"/>
      <c r="EKX27" s="1266"/>
      <c r="EKY27" s="1266"/>
      <c r="EKZ27" s="1266"/>
      <c r="ELA27" s="1266"/>
      <c r="ELB27" s="1266"/>
      <c r="ELC27" s="1266"/>
      <c r="ELD27" s="1266"/>
      <c r="ELE27" s="1266"/>
      <c r="ELF27" s="1266"/>
      <c r="ELG27" s="1266"/>
      <c r="ELH27" s="1266"/>
      <c r="ELI27" s="1266"/>
      <c r="ELJ27" s="1266"/>
      <c r="ELK27" s="1266"/>
      <c r="ELL27" s="1266"/>
      <c r="ELM27" s="1266"/>
      <c r="ELN27" s="1266"/>
      <c r="ELO27" s="1266"/>
      <c r="ELP27" s="1266"/>
      <c r="ELQ27" s="1266"/>
      <c r="ELR27" s="1266"/>
      <c r="ELS27" s="1266"/>
      <c r="ELT27" s="1266"/>
      <c r="ELU27" s="1266"/>
      <c r="ELV27" s="1266"/>
      <c r="ELW27" s="1266"/>
      <c r="ELX27" s="1266"/>
      <c r="ELY27" s="1266"/>
      <c r="ELZ27" s="1266"/>
      <c r="EMA27" s="1266"/>
      <c r="EMB27" s="1266"/>
      <c r="EMC27" s="1266"/>
      <c r="EMD27" s="1266"/>
      <c r="EME27" s="1266"/>
      <c r="EMF27" s="1266"/>
      <c r="EMG27" s="1266"/>
      <c r="EMH27" s="1266"/>
      <c r="EMI27" s="1266"/>
      <c r="EMJ27" s="1266"/>
      <c r="EMK27" s="1266"/>
      <c r="EML27" s="1266"/>
      <c r="EMM27" s="1266"/>
      <c r="EMN27" s="1266"/>
      <c r="EMO27" s="1266"/>
      <c r="EMP27" s="1266"/>
      <c r="EMQ27" s="1266"/>
      <c r="EMR27" s="1266"/>
      <c r="EMS27" s="1266"/>
      <c r="EMT27" s="1266"/>
      <c r="EMU27" s="1266"/>
      <c r="EMV27" s="1266"/>
      <c r="EMW27" s="1266"/>
      <c r="EMX27" s="1266"/>
      <c r="EMY27" s="1266"/>
      <c r="EMZ27" s="1266"/>
      <c r="ENA27" s="1266"/>
      <c r="ENB27" s="1266"/>
      <c r="ENC27" s="1266"/>
      <c r="END27" s="1266"/>
      <c r="ENE27" s="1266"/>
      <c r="ENF27" s="1266"/>
      <c r="ENG27" s="1266"/>
      <c r="ENH27" s="1266"/>
      <c r="ENI27" s="1266"/>
      <c r="ENJ27" s="1266"/>
      <c r="ENK27" s="1266"/>
      <c r="ENL27" s="1266"/>
      <c r="ENM27" s="1266"/>
      <c r="ENN27" s="1266"/>
      <c r="ENO27" s="1266"/>
      <c r="ENP27" s="1266"/>
      <c r="ENQ27" s="1266"/>
      <c r="ENR27" s="1266"/>
      <c r="ENS27" s="1266"/>
      <c r="ENT27" s="1266"/>
      <c r="ENU27" s="1266"/>
      <c r="ENV27" s="1266"/>
      <c r="ENW27" s="1266"/>
      <c r="ENX27" s="1266"/>
      <c r="ENY27" s="1266"/>
      <c r="ENZ27" s="1266"/>
      <c r="EOA27" s="1266"/>
      <c r="EOB27" s="1266"/>
      <c r="EOC27" s="1266"/>
      <c r="EOD27" s="1266"/>
      <c r="EOE27" s="1266"/>
      <c r="EOF27" s="1266"/>
      <c r="EOG27" s="1266"/>
      <c r="EOH27" s="1266"/>
      <c r="EOI27" s="1266"/>
      <c r="EOJ27" s="1266"/>
      <c r="EOK27" s="1266"/>
      <c r="EOL27" s="1266"/>
      <c r="EOM27" s="1266"/>
      <c r="EON27" s="1266"/>
      <c r="EOO27" s="1266"/>
      <c r="EOP27" s="1266"/>
      <c r="EOQ27" s="1266"/>
      <c r="EOR27" s="1266"/>
      <c r="EOS27" s="1266"/>
      <c r="EOT27" s="1266"/>
      <c r="EOU27" s="1266"/>
      <c r="EOV27" s="1266"/>
      <c r="EOW27" s="1266"/>
      <c r="EOX27" s="1266"/>
      <c r="EOY27" s="1266"/>
      <c r="EOZ27" s="1266"/>
      <c r="EPA27" s="1266"/>
      <c r="EPB27" s="1266"/>
      <c r="EPC27" s="1266"/>
      <c r="EPD27" s="1266"/>
      <c r="EPE27" s="1266"/>
      <c r="EPF27" s="1266"/>
      <c r="EPG27" s="1266"/>
      <c r="EPH27" s="1266"/>
      <c r="EPI27" s="1266"/>
      <c r="EPJ27" s="1266"/>
      <c r="EPK27" s="1266"/>
      <c r="EPL27" s="1266"/>
      <c r="EPM27" s="1266"/>
      <c r="EPN27" s="1266"/>
      <c r="EPO27" s="1266"/>
      <c r="EPP27" s="1266"/>
      <c r="EPQ27" s="1266"/>
      <c r="EPR27" s="1266"/>
      <c r="EPS27" s="1266"/>
      <c r="EPT27" s="1266"/>
      <c r="EPU27" s="1266"/>
      <c r="EPV27" s="1266"/>
      <c r="EPW27" s="1266"/>
      <c r="EPX27" s="1266"/>
      <c r="EPY27" s="1266"/>
      <c r="EPZ27" s="1266"/>
      <c r="EQA27" s="1266"/>
      <c r="EQB27" s="1266"/>
      <c r="EQC27" s="1266"/>
      <c r="EQD27" s="1266"/>
      <c r="EQE27" s="1266"/>
      <c r="EQF27" s="1266"/>
      <c r="EQG27" s="1266"/>
      <c r="EQH27" s="1266"/>
      <c r="EQI27" s="1266"/>
      <c r="EQJ27" s="1266"/>
      <c r="EQK27" s="1266"/>
      <c r="EQL27" s="1266"/>
      <c r="EQM27" s="1266"/>
      <c r="EQN27" s="1266"/>
      <c r="EQO27" s="1266"/>
      <c r="EQP27" s="1266"/>
      <c r="EQQ27" s="1266"/>
      <c r="EQR27" s="1266"/>
      <c r="EQS27" s="1266"/>
      <c r="EQT27" s="1266"/>
      <c r="EQU27" s="1266"/>
      <c r="EQV27" s="1266"/>
      <c r="EQW27" s="1266"/>
      <c r="EQX27" s="1266"/>
      <c r="EQY27" s="1266"/>
      <c r="EQZ27" s="1266"/>
      <c r="ERA27" s="1266"/>
      <c r="ERB27" s="1266"/>
      <c r="ERC27" s="1266"/>
      <c r="ERD27" s="1266"/>
      <c r="ERE27" s="1266"/>
      <c r="ERF27" s="1266"/>
      <c r="ERG27" s="1266"/>
      <c r="ERH27" s="1266"/>
      <c r="ERI27" s="1266"/>
      <c r="ERJ27" s="1266"/>
      <c r="ERK27" s="1266"/>
      <c r="ERL27" s="1266"/>
      <c r="ERM27" s="1266"/>
      <c r="ERN27" s="1266"/>
      <c r="ERO27" s="1266"/>
      <c r="ERP27" s="1266"/>
      <c r="ERQ27" s="1266"/>
      <c r="ERR27" s="1266"/>
      <c r="ERS27" s="1266"/>
      <c r="ERT27" s="1266"/>
      <c r="ERU27" s="1266"/>
      <c r="ERV27" s="1266"/>
      <c r="ERW27" s="1266"/>
      <c r="ERX27" s="1266"/>
      <c r="ERY27" s="1266"/>
      <c r="ERZ27" s="1266"/>
      <c r="ESA27" s="1266"/>
      <c r="ESB27" s="1266"/>
      <c r="ESC27" s="1266"/>
      <c r="ESD27" s="1266"/>
      <c r="ESE27" s="1266"/>
      <c r="ESF27" s="1266"/>
      <c r="ESG27" s="1266"/>
      <c r="ESH27" s="1266"/>
      <c r="ESI27" s="1266"/>
      <c r="ESJ27" s="1266"/>
      <c r="ESK27" s="1266"/>
      <c r="ESL27" s="1266"/>
      <c r="ESM27" s="1266"/>
      <c r="ESN27" s="1266"/>
      <c r="ESO27" s="1266"/>
      <c r="ESP27" s="1266"/>
      <c r="ESQ27" s="1266"/>
      <c r="ESR27" s="1266"/>
      <c r="ESS27" s="1266"/>
      <c r="EST27" s="1266"/>
      <c r="ESU27" s="1266"/>
      <c r="ESV27" s="1266"/>
      <c r="ESW27" s="1266"/>
      <c r="ESX27" s="1266"/>
      <c r="ESY27" s="1266"/>
      <c r="ESZ27" s="1266"/>
      <c r="ETA27" s="1266"/>
      <c r="ETB27" s="1266"/>
      <c r="ETC27" s="1266"/>
      <c r="ETD27" s="1266"/>
      <c r="ETE27" s="1266"/>
      <c r="ETF27" s="1266"/>
      <c r="ETG27" s="1266"/>
      <c r="ETH27" s="1266"/>
      <c r="ETI27" s="1266"/>
      <c r="ETJ27" s="1266"/>
      <c r="ETK27" s="1266"/>
      <c r="ETL27" s="1266"/>
      <c r="ETM27" s="1266"/>
      <c r="ETN27" s="1266"/>
      <c r="ETO27" s="1266"/>
      <c r="ETP27" s="1266"/>
      <c r="ETQ27" s="1266"/>
      <c r="ETR27" s="1266"/>
      <c r="ETS27" s="1266"/>
      <c r="ETT27" s="1266"/>
      <c r="ETU27" s="1266"/>
      <c r="ETV27" s="1266"/>
      <c r="ETW27" s="1266"/>
      <c r="ETX27" s="1266"/>
      <c r="ETY27" s="1266"/>
      <c r="ETZ27" s="1266"/>
      <c r="EUA27" s="1266"/>
      <c r="EUB27" s="1266"/>
      <c r="EUC27" s="1266"/>
      <c r="EUD27" s="1266"/>
      <c r="EUE27" s="1266"/>
      <c r="EUF27" s="1266"/>
      <c r="EUG27" s="1266"/>
      <c r="EUH27" s="1266"/>
      <c r="EUI27" s="1266"/>
      <c r="EUJ27" s="1266"/>
      <c r="EUK27" s="1266"/>
      <c r="EUL27" s="1266"/>
      <c r="EUM27" s="1266"/>
      <c r="EUN27" s="1266"/>
      <c r="EUO27" s="1266"/>
      <c r="EUP27" s="1266"/>
      <c r="EUQ27" s="1266"/>
      <c r="EUR27" s="1266"/>
      <c r="EUS27" s="1266"/>
      <c r="EUT27" s="1266"/>
      <c r="EUU27" s="1266"/>
      <c r="EUV27" s="1266"/>
      <c r="EUW27" s="1266"/>
      <c r="EUX27" s="1266"/>
      <c r="EUY27" s="1266"/>
      <c r="EUZ27" s="1266"/>
      <c r="EVA27" s="1266"/>
      <c r="EVB27" s="1266"/>
      <c r="EVC27" s="1266"/>
      <c r="EVD27" s="1266"/>
      <c r="EVE27" s="1266"/>
      <c r="EVF27" s="1266"/>
      <c r="EVG27" s="1266"/>
      <c r="EVH27" s="1266"/>
      <c r="EVI27" s="1266"/>
      <c r="EVJ27" s="1266"/>
      <c r="EVK27" s="1266"/>
      <c r="EVL27" s="1266"/>
      <c r="EVM27" s="1266"/>
      <c r="EVN27" s="1266"/>
      <c r="EVO27" s="1266"/>
      <c r="EVP27" s="1266"/>
      <c r="EVQ27" s="1266"/>
      <c r="EVR27" s="1266"/>
      <c r="EVS27" s="1266"/>
      <c r="EVT27" s="1266"/>
      <c r="EVU27" s="1266"/>
      <c r="EVV27" s="1266"/>
      <c r="EVW27" s="1266"/>
      <c r="EVX27" s="1266"/>
      <c r="EVY27" s="1266"/>
      <c r="EVZ27" s="1266"/>
      <c r="EWA27" s="1266"/>
      <c r="EWB27" s="1266"/>
      <c r="EWC27" s="1266"/>
      <c r="EWD27" s="1266"/>
      <c r="EWE27" s="1266"/>
      <c r="EWF27" s="1266"/>
      <c r="EWG27" s="1266"/>
      <c r="EWH27" s="1266"/>
      <c r="EWI27" s="1266"/>
      <c r="EWJ27" s="1266"/>
      <c r="EWK27" s="1266"/>
      <c r="EWL27" s="1266"/>
      <c r="EWM27" s="1266"/>
      <c r="EWN27" s="1266"/>
      <c r="EWO27" s="1266"/>
      <c r="EWP27" s="1266"/>
      <c r="EWQ27" s="1266"/>
      <c r="EWR27" s="1266"/>
      <c r="EWS27" s="1266"/>
      <c r="EWT27" s="1266"/>
      <c r="EWU27" s="1266"/>
      <c r="EWV27" s="1266"/>
      <c r="EWW27" s="1266"/>
      <c r="EWX27" s="1266"/>
      <c r="EWY27" s="1266"/>
      <c r="EWZ27" s="1266"/>
      <c r="EXA27" s="1266"/>
      <c r="EXB27" s="1266"/>
      <c r="EXC27" s="1266"/>
      <c r="EXD27" s="1266"/>
      <c r="EXE27" s="1266"/>
      <c r="EXF27" s="1266"/>
      <c r="EXG27" s="1266"/>
      <c r="EXH27" s="1266"/>
      <c r="EXI27" s="1266"/>
      <c r="EXJ27" s="1266"/>
      <c r="EXK27" s="1266"/>
      <c r="EXL27" s="1266"/>
      <c r="EXM27" s="1266"/>
      <c r="EXN27" s="1266"/>
      <c r="EXO27" s="1266"/>
      <c r="EXP27" s="1266"/>
      <c r="EXQ27" s="1266"/>
      <c r="EXR27" s="1266"/>
      <c r="EXS27" s="1266"/>
      <c r="EXT27" s="1266"/>
      <c r="EXU27" s="1266"/>
      <c r="EXV27" s="1266"/>
      <c r="EXW27" s="1266"/>
      <c r="EXX27" s="1266"/>
      <c r="EXY27" s="1266"/>
      <c r="EXZ27" s="1266"/>
      <c r="EYA27" s="1266"/>
      <c r="EYB27" s="1266"/>
      <c r="EYC27" s="1266"/>
      <c r="EYD27" s="1266"/>
      <c r="EYE27" s="1266"/>
      <c r="EYF27" s="1266"/>
      <c r="EYG27" s="1266"/>
      <c r="EYH27" s="1266"/>
      <c r="EYI27" s="1266"/>
      <c r="EYJ27" s="1266"/>
      <c r="EYK27" s="1266"/>
      <c r="EYL27" s="1266"/>
      <c r="EYM27" s="1266"/>
      <c r="EYN27" s="1266"/>
      <c r="EYO27" s="1266"/>
      <c r="EYP27" s="1266"/>
      <c r="EYQ27" s="1266"/>
      <c r="EYR27" s="1266"/>
      <c r="EYS27" s="1266"/>
      <c r="EYT27" s="1266"/>
      <c r="EYU27" s="1266"/>
      <c r="EYV27" s="1266"/>
      <c r="EYW27" s="1266"/>
      <c r="EYX27" s="1266"/>
      <c r="EYY27" s="1266"/>
      <c r="EYZ27" s="1266"/>
      <c r="EZA27" s="1266"/>
      <c r="EZB27" s="1266"/>
      <c r="EZC27" s="1266"/>
      <c r="EZD27" s="1266"/>
      <c r="EZE27" s="1266"/>
      <c r="EZF27" s="1266"/>
      <c r="EZG27" s="1266"/>
      <c r="EZH27" s="1266"/>
      <c r="EZI27" s="1266"/>
      <c r="EZJ27" s="1266"/>
      <c r="EZK27" s="1266"/>
      <c r="EZL27" s="1266"/>
      <c r="EZM27" s="1266"/>
      <c r="EZN27" s="1266"/>
      <c r="EZO27" s="1266"/>
      <c r="EZP27" s="1266"/>
      <c r="EZQ27" s="1266"/>
      <c r="EZR27" s="1266"/>
      <c r="EZS27" s="1266"/>
      <c r="EZT27" s="1266"/>
      <c r="EZU27" s="1266"/>
      <c r="EZV27" s="1266"/>
      <c r="EZW27" s="1266"/>
      <c r="EZX27" s="1266"/>
      <c r="EZY27" s="1266"/>
      <c r="EZZ27" s="1266"/>
      <c r="FAA27" s="1266"/>
      <c r="FAB27" s="1266"/>
      <c r="FAC27" s="1266"/>
      <c r="FAD27" s="1266"/>
      <c r="FAE27" s="1266"/>
      <c r="FAF27" s="1266"/>
      <c r="FAG27" s="1266"/>
      <c r="FAH27" s="1266"/>
      <c r="FAI27" s="1266"/>
      <c r="FAJ27" s="1266"/>
      <c r="FAK27" s="1266"/>
      <c r="FAL27" s="1266"/>
      <c r="FAM27" s="1266"/>
      <c r="FAN27" s="1266"/>
      <c r="FAO27" s="1266"/>
      <c r="FAP27" s="1266"/>
      <c r="FAQ27" s="1266"/>
      <c r="FAR27" s="1266"/>
      <c r="FAS27" s="1266"/>
      <c r="FAT27" s="1266"/>
      <c r="FAU27" s="1266"/>
      <c r="FAV27" s="1266"/>
      <c r="FAW27" s="1266"/>
      <c r="FAX27" s="1266"/>
      <c r="FAY27" s="1266"/>
      <c r="FAZ27" s="1266"/>
      <c r="FBA27" s="1266"/>
      <c r="FBB27" s="1266"/>
      <c r="FBC27" s="1266"/>
      <c r="FBD27" s="1266"/>
      <c r="FBE27" s="1266"/>
      <c r="FBF27" s="1266"/>
      <c r="FBG27" s="1266"/>
      <c r="FBH27" s="1266"/>
      <c r="FBI27" s="1266"/>
      <c r="FBJ27" s="1266"/>
      <c r="FBK27" s="1266"/>
      <c r="FBL27" s="1266"/>
      <c r="FBM27" s="1266"/>
      <c r="FBN27" s="1266"/>
      <c r="FBO27" s="1266"/>
      <c r="FBP27" s="1266"/>
      <c r="FBQ27" s="1266"/>
      <c r="FBR27" s="1266"/>
      <c r="FBS27" s="1266"/>
      <c r="FBT27" s="1266"/>
      <c r="FBU27" s="1266"/>
      <c r="FBV27" s="1266"/>
      <c r="FBW27" s="1266"/>
      <c r="FBX27" s="1266"/>
      <c r="FBY27" s="1266"/>
      <c r="FBZ27" s="1266"/>
      <c r="FCA27" s="1266"/>
      <c r="FCB27" s="1266"/>
      <c r="FCC27" s="1266"/>
      <c r="FCD27" s="1266"/>
      <c r="FCE27" s="1266"/>
      <c r="FCF27" s="1266"/>
      <c r="FCG27" s="1266"/>
      <c r="FCH27" s="1266"/>
      <c r="FCI27" s="1266"/>
      <c r="FCJ27" s="1266"/>
      <c r="FCK27" s="1266"/>
      <c r="FCL27" s="1266"/>
      <c r="FCM27" s="1266"/>
      <c r="FCN27" s="1266"/>
      <c r="FCO27" s="1266"/>
      <c r="FCP27" s="1266"/>
      <c r="FCQ27" s="1266"/>
      <c r="FCR27" s="1266"/>
      <c r="FCS27" s="1266"/>
      <c r="FCT27" s="1266"/>
      <c r="FCU27" s="1266"/>
      <c r="FCV27" s="1266"/>
      <c r="FCW27" s="1266"/>
      <c r="FCX27" s="1266"/>
      <c r="FCY27" s="1266"/>
      <c r="FCZ27" s="1266"/>
      <c r="FDA27" s="1266"/>
      <c r="FDB27" s="1266"/>
      <c r="FDC27" s="1266"/>
      <c r="FDD27" s="1266"/>
      <c r="FDE27" s="1266"/>
      <c r="FDF27" s="1266"/>
      <c r="FDG27" s="1266"/>
      <c r="FDH27" s="1266"/>
      <c r="FDI27" s="1266"/>
      <c r="FDJ27" s="1266"/>
      <c r="FDK27" s="1266"/>
      <c r="FDL27" s="1266"/>
      <c r="FDM27" s="1266"/>
      <c r="FDN27" s="1266"/>
      <c r="FDO27" s="1266"/>
      <c r="FDP27" s="1266"/>
      <c r="FDQ27" s="1266"/>
      <c r="FDR27" s="1266"/>
      <c r="FDS27" s="1266"/>
      <c r="FDT27" s="1266"/>
      <c r="FDU27" s="1266"/>
      <c r="FDV27" s="1266"/>
      <c r="FDW27" s="1266"/>
      <c r="FDX27" s="1266"/>
      <c r="FDY27" s="1266"/>
      <c r="FDZ27" s="1266"/>
      <c r="FEA27" s="1266"/>
      <c r="FEB27" s="1266"/>
      <c r="FEC27" s="1266"/>
      <c r="FED27" s="1266"/>
      <c r="FEE27" s="1266"/>
      <c r="FEF27" s="1266"/>
      <c r="FEG27" s="1266"/>
      <c r="FEH27" s="1266"/>
      <c r="FEI27" s="1266"/>
      <c r="FEJ27" s="1266"/>
      <c r="FEK27" s="1266"/>
      <c r="FEL27" s="1266"/>
      <c r="FEM27" s="1266"/>
      <c r="FEN27" s="1266"/>
      <c r="FEO27" s="1266"/>
      <c r="FEP27" s="1266"/>
      <c r="FEQ27" s="1266"/>
      <c r="FER27" s="1266"/>
      <c r="FES27" s="1266"/>
      <c r="FET27" s="1266"/>
      <c r="FEU27" s="1266"/>
      <c r="FEV27" s="1266"/>
      <c r="FEW27" s="1266"/>
      <c r="FEX27" s="1266"/>
      <c r="FEY27" s="1266"/>
      <c r="FEZ27" s="1266"/>
      <c r="FFA27" s="1266"/>
      <c r="FFB27" s="1266"/>
      <c r="FFC27" s="1266"/>
      <c r="FFD27" s="1266"/>
      <c r="FFE27" s="1266"/>
      <c r="FFF27" s="1266"/>
      <c r="FFG27" s="1266"/>
      <c r="FFH27" s="1266"/>
      <c r="FFI27" s="1266"/>
      <c r="FFJ27" s="1266"/>
      <c r="FFK27" s="1266"/>
      <c r="FFL27" s="1266"/>
      <c r="FFM27" s="1266"/>
      <c r="FFN27" s="1266"/>
      <c r="FFO27" s="1266"/>
      <c r="FFP27" s="1266"/>
      <c r="FFQ27" s="1266"/>
      <c r="FFR27" s="1266"/>
      <c r="FFS27" s="1266"/>
      <c r="FFT27" s="1266"/>
      <c r="FFU27" s="1266"/>
      <c r="FFV27" s="1266"/>
      <c r="FFW27" s="1266"/>
      <c r="FFX27" s="1266"/>
      <c r="FFY27" s="1266"/>
      <c r="FFZ27" s="1266"/>
      <c r="FGA27" s="1266"/>
      <c r="FGB27" s="1266"/>
      <c r="FGC27" s="1266"/>
      <c r="FGD27" s="1266"/>
      <c r="FGE27" s="1266"/>
      <c r="FGF27" s="1266"/>
      <c r="FGG27" s="1266"/>
      <c r="FGH27" s="1266"/>
      <c r="FGI27" s="1266"/>
      <c r="FGJ27" s="1266"/>
      <c r="FGK27" s="1266"/>
      <c r="FGL27" s="1266"/>
      <c r="FGM27" s="1266"/>
      <c r="FGN27" s="1266"/>
      <c r="FGO27" s="1266"/>
      <c r="FGP27" s="1266"/>
      <c r="FGQ27" s="1266"/>
      <c r="FGR27" s="1266"/>
      <c r="FGS27" s="1266"/>
      <c r="FGT27" s="1266"/>
      <c r="FGU27" s="1266"/>
      <c r="FGV27" s="1266"/>
      <c r="FGW27" s="1266"/>
      <c r="FGX27" s="1266"/>
      <c r="FGY27" s="1266"/>
      <c r="FGZ27" s="1266"/>
      <c r="FHA27" s="1266"/>
      <c r="FHB27" s="1266"/>
      <c r="FHC27" s="1266"/>
      <c r="FHD27" s="1266"/>
      <c r="FHE27" s="1266"/>
      <c r="FHF27" s="1266"/>
      <c r="FHG27" s="1266"/>
      <c r="FHH27" s="1266"/>
      <c r="FHI27" s="1266"/>
      <c r="FHJ27" s="1266"/>
      <c r="FHK27" s="1266"/>
      <c r="FHL27" s="1266"/>
      <c r="FHM27" s="1266"/>
      <c r="FHN27" s="1266"/>
      <c r="FHO27" s="1266"/>
      <c r="FHP27" s="1266"/>
      <c r="FHQ27" s="1266"/>
      <c r="FHR27" s="1266"/>
      <c r="FHS27" s="1266"/>
      <c r="FHT27" s="1266"/>
      <c r="FHU27" s="1266"/>
      <c r="FHV27" s="1266"/>
      <c r="FHW27" s="1266"/>
      <c r="FHX27" s="1266"/>
      <c r="FHY27" s="1266"/>
      <c r="FHZ27" s="1266"/>
      <c r="FIA27" s="1266"/>
      <c r="FIB27" s="1266"/>
      <c r="FIC27" s="1266"/>
      <c r="FID27" s="1266"/>
      <c r="FIE27" s="1266"/>
      <c r="FIF27" s="1266"/>
      <c r="FIG27" s="1266"/>
      <c r="FIH27" s="1266"/>
      <c r="FII27" s="1266"/>
      <c r="FIJ27" s="1266"/>
      <c r="FIK27" s="1266"/>
      <c r="FIL27" s="1266"/>
      <c r="FIM27" s="1266"/>
      <c r="FIN27" s="1266"/>
      <c r="FIO27" s="1266"/>
      <c r="FIP27" s="1266"/>
      <c r="FIQ27" s="1266"/>
      <c r="FIR27" s="1266"/>
      <c r="FIS27" s="1266"/>
      <c r="FIT27" s="1266"/>
      <c r="FIU27" s="1266"/>
      <c r="FIV27" s="1266"/>
      <c r="FIW27" s="1266"/>
      <c r="FIX27" s="1266"/>
      <c r="FIY27" s="1266"/>
      <c r="FIZ27" s="1266"/>
      <c r="FJA27" s="1266"/>
      <c r="FJB27" s="1266"/>
      <c r="FJC27" s="1266"/>
      <c r="FJD27" s="1266"/>
      <c r="FJE27" s="1266"/>
      <c r="FJF27" s="1266"/>
      <c r="FJG27" s="1266"/>
      <c r="FJH27" s="1266"/>
      <c r="FJI27" s="1266"/>
      <c r="FJJ27" s="1266"/>
      <c r="FJK27" s="1266"/>
      <c r="FJL27" s="1266"/>
      <c r="FJM27" s="1266"/>
      <c r="FJN27" s="1266"/>
      <c r="FJO27" s="1266"/>
      <c r="FJP27" s="1266"/>
      <c r="FJQ27" s="1266"/>
      <c r="FJR27" s="1266"/>
      <c r="FJS27" s="1266"/>
      <c r="FJT27" s="1266"/>
      <c r="FJU27" s="1266"/>
      <c r="FJV27" s="1266"/>
      <c r="FJW27" s="1266"/>
      <c r="FJX27" s="1266"/>
      <c r="FJY27" s="1266"/>
      <c r="FJZ27" s="1266"/>
      <c r="FKA27" s="1266"/>
      <c r="FKB27" s="1266"/>
      <c r="FKC27" s="1266"/>
      <c r="FKD27" s="1266"/>
      <c r="FKE27" s="1266"/>
      <c r="FKF27" s="1266"/>
      <c r="FKG27" s="1266"/>
      <c r="FKH27" s="1266"/>
      <c r="FKI27" s="1266"/>
      <c r="FKJ27" s="1266"/>
      <c r="FKK27" s="1266"/>
      <c r="FKL27" s="1266"/>
      <c r="FKM27" s="1266"/>
      <c r="FKN27" s="1266"/>
      <c r="FKO27" s="1266"/>
      <c r="FKP27" s="1266"/>
      <c r="FKQ27" s="1266"/>
      <c r="FKR27" s="1266"/>
      <c r="FKS27" s="1266"/>
      <c r="FKT27" s="1266"/>
      <c r="FKU27" s="1266"/>
      <c r="FKV27" s="1266"/>
      <c r="FKW27" s="1266"/>
      <c r="FKX27" s="1266"/>
      <c r="FKY27" s="1266"/>
      <c r="FKZ27" s="1266"/>
      <c r="FLA27" s="1266"/>
      <c r="FLB27" s="1266"/>
      <c r="FLC27" s="1266"/>
      <c r="FLD27" s="1266"/>
      <c r="FLE27" s="1266"/>
      <c r="FLF27" s="1266"/>
      <c r="FLG27" s="1266"/>
      <c r="FLH27" s="1266"/>
      <c r="FLI27" s="1266"/>
      <c r="FLJ27" s="1266"/>
      <c r="FLK27" s="1266"/>
      <c r="FLL27" s="1266"/>
      <c r="FLM27" s="1266"/>
      <c r="FLN27" s="1266"/>
      <c r="FLO27" s="1266"/>
      <c r="FLP27" s="1266"/>
      <c r="FLQ27" s="1266"/>
      <c r="FLR27" s="1266"/>
      <c r="FLS27" s="1266"/>
      <c r="FLT27" s="1266"/>
      <c r="FLU27" s="1266"/>
      <c r="FLV27" s="1266"/>
      <c r="FLW27" s="1266"/>
      <c r="FLX27" s="1266"/>
      <c r="FLY27" s="1266"/>
      <c r="FLZ27" s="1266"/>
      <c r="FMA27" s="1266"/>
      <c r="FMB27" s="1266"/>
      <c r="FMC27" s="1266"/>
      <c r="FMD27" s="1266"/>
      <c r="FME27" s="1266"/>
      <c r="FMF27" s="1266"/>
      <c r="FMG27" s="1266"/>
      <c r="FMH27" s="1266"/>
      <c r="FMI27" s="1266"/>
      <c r="FMJ27" s="1266"/>
      <c r="FMK27" s="1266"/>
      <c r="FML27" s="1266"/>
      <c r="FMM27" s="1266"/>
      <c r="FMN27" s="1266"/>
      <c r="FMO27" s="1266"/>
      <c r="FMP27" s="1266"/>
      <c r="FMQ27" s="1266"/>
      <c r="FMR27" s="1266"/>
      <c r="FMS27" s="1266"/>
      <c r="FMT27" s="1266"/>
      <c r="FMU27" s="1266"/>
      <c r="FMV27" s="1266"/>
      <c r="FMW27" s="1266"/>
      <c r="FMX27" s="1266"/>
      <c r="FMY27" s="1266"/>
      <c r="FMZ27" s="1266"/>
      <c r="FNA27" s="1266"/>
      <c r="FNB27" s="1266"/>
      <c r="FNC27" s="1266"/>
      <c r="FND27" s="1266"/>
      <c r="FNE27" s="1266"/>
      <c r="FNF27" s="1266"/>
      <c r="FNG27" s="1266"/>
      <c r="FNH27" s="1266"/>
      <c r="FNI27" s="1266"/>
      <c r="FNJ27" s="1266"/>
      <c r="FNK27" s="1266"/>
      <c r="FNL27" s="1266"/>
      <c r="FNM27" s="1266"/>
      <c r="FNN27" s="1266"/>
      <c r="FNO27" s="1266"/>
      <c r="FNP27" s="1266"/>
      <c r="FNQ27" s="1266"/>
      <c r="FNR27" s="1266"/>
      <c r="FNS27" s="1266"/>
      <c r="FNT27" s="1266"/>
      <c r="FNU27" s="1266"/>
      <c r="FNV27" s="1266"/>
      <c r="FNW27" s="1266"/>
      <c r="FNX27" s="1266"/>
      <c r="FNY27" s="1266"/>
      <c r="FNZ27" s="1266"/>
      <c r="FOA27" s="1266"/>
      <c r="FOB27" s="1266"/>
      <c r="FOC27" s="1266"/>
      <c r="FOD27" s="1266"/>
      <c r="FOE27" s="1266"/>
      <c r="FOF27" s="1266"/>
      <c r="FOG27" s="1266"/>
      <c r="FOH27" s="1266"/>
      <c r="FOI27" s="1266"/>
      <c r="FOJ27" s="1266"/>
      <c r="FOK27" s="1266"/>
      <c r="FOL27" s="1266"/>
      <c r="FOM27" s="1266"/>
      <c r="FON27" s="1266"/>
      <c r="FOO27" s="1266"/>
      <c r="FOP27" s="1266"/>
      <c r="FOQ27" s="1266"/>
      <c r="FOR27" s="1266"/>
      <c r="FOS27" s="1266"/>
      <c r="FOT27" s="1266"/>
      <c r="FOU27" s="1266"/>
      <c r="FOV27" s="1266"/>
      <c r="FOW27" s="1266"/>
      <c r="FOX27" s="1266"/>
      <c r="FOY27" s="1266"/>
      <c r="FOZ27" s="1266"/>
      <c r="FPA27" s="1266"/>
      <c r="FPB27" s="1266"/>
      <c r="FPC27" s="1266"/>
      <c r="FPD27" s="1266"/>
      <c r="FPE27" s="1266"/>
      <c r="FPF27" s="1266"/>
      <c r="FPG27" s="1266"/>
      <c r="FPH27" s="1266"/>
      <c r="FPI27" s="1266"/>
      <c r="FPJ27" s="1266"/>
      <c r="FPK27" s="1266"/>
      <c r="FPL27" s="1266"/>
      <c r="FPM27" s="1266"/>
      <c r="FPN27" s="1266"/>
      <c r="FPO27" s="1266"/>
      <c r="FPP27" s="1266"/>
      <c r="FPQ27" s="1266"/>
      <c r="FPR27" s="1266"/>
      <c r="FPS27" s="1266"/>
      <c r="FPT27" s="1266"/>
      <c r="FPU27" s="1266"/>
      <c r="FPV27" s="1266"/>
      <c r="FPW27" s="1266"/>
      <c r="FPX27" s="1266"/>
      <c r="FPY27" s="1266"/>
      <c r="FPZ27" s="1266"/>
      <c r="FQA27" s="1266"/>
      <c r="FQB27" s="1266"/>
      <c r="FQC27" s="1266"/>
      <c r="FQD27" s="1266"/>
      <c r="FQE27" s="1266"/>
      <c r="FQF27" s="1266"/>
      <c r="FQG27" s="1266"/>
      <c r="FQH27" s="1266"/>
      <c r="FQI27" s="1266"/>
      <c r="FQJ27" s="1266"/>
      <c r="FQK27" s="1266"/>
      <c r="FQL27" s="1266"/>
      <c r="FQM27" s="1266"/>
      <c r="FQN27" s="1266"/>
      <c r="FQO27" s="1266"/>
      <c r="FQP27" s="1266"/>
      <c r="FQQ27" s="1266"/>
      <c r="FQR27" s="1266"/>
      <c r="FQS27" s="1266"/>
      <c r="FQT27" s="1266"/>
      <c r="FQU27" s="1266"/>
      <c r="FQV27" s="1266"/>
      <c r="FQW27" s="1266"/>
      <c r="FQX27" s="1266"/>
      <c r="FQY27" s="1266"/>
      <c r="FQZ27" s="1266"/>
      <c r="FRA27" s="1266"/>
      <c r="FRB27" s="1266"/>
      <c r="FRC27" s="1266"/>
      <c r="FRD27" s="1266"/>
      <c r="FRE27" s="1266"/>
      <c r="FRF27" s="1266"/>
      <c r="FRG27" s="1266"/>
      <c r="FRH27" s="1266"/>
      <c r="FRI27" s="1266"/>
      <c r="FRJ27" s="1266"/>
      <c r="FRK27" s="1266"/>
      <c r="FRL27" s="1266"/>
      <c r="FRM27" s="1266"/>
      <c r="FRN27" s="1266"/>
      <c r="FRO27" s="1266"/>
      <c r="FRP27" s="1266"/>
      <c r="FRQ27" s="1266"/>
      <c r="FRR27" s="1266"/>
      <c r="FRS27" s="1266"/>
      <c r="FRT27" s="1266"/>
      <c r="FRU27" s="1266"/>
      <c r="FRV27" s="1266"/>
      <c r="FRW27" s="1266"/>
      <c r="FRX27" s="1266"/>
      <c r="FRY27" s="1266"/>
      <c r="FRZ27" s="1266"/>
      <c r="FSA27" s="1266"/>
      <c r="FSB27" s="1266"/>
      <c r="FSC27" s="1266"/>
      <c r="FSD27" s="1266"/>
      <c r="FSE27" s="1266"/>
      <c r="FSF27" s="1266"/>
      <c r="FSG27" s="1266"/>
      <c r="FSH27" s="1266"/>
      <c r="FSI27" s="1266"/>
      <c r="FSJ27" s="1266"/>
      <c r="FSK27" s="1266"/>
      <c r="FSL27" s="1266"/>
      <c r="FSM27" s="1266"/>
      <c r="FSN27" s="1266"/>
      <c r="FSO27" s="1266"/>
      <c r="FSP27" s="1266"/>
      <c r="FSQ27" s="1266"/>
      <c r="FSR27" s="1266"/>
      <c r="FSS27" s="1266"/>
      <c r="FST27" s="1266"/>
      <c r="FSU27" s="1266"/>
      <c r="FSV27" s="1266"/>
      <c r="FSW27" s="1266"/>
      <c r="FSX27" s="1266"/>
      <c r="FSY27" s="1266"/>
      <c r="FSZ27" s="1266"/>
      <c r="FTA27" s="1266"/>
      <c r="FTB27" s="1266"/>
      <c r="FTC27" s="1266"/>
      <c r="FTD27" s="1266"/>
      <c r="FTE27" s="1266"/>
      <c r="FTF27" s="1266"/>
      <c r="FTG27" s="1266"/>
      <c r="FTH27" s="1266"/>
      <c r="FTI27" s="1266"/>
      <c r="FTJ27" s="1266"/>
      <c r="FTK27" s="1266"/>
      <c r="FTL27" s="1266"/>
      <c r="FTM27" s="1266"/>
      <c r="FTN27" s="1266"/>
      <c r="FTO27" s="1266"/>
      <c r="FTP27" s="1266"/>
      <c r="FTQ27" s="1266"/>
      <c r="FTR27" s="1266"/>
      <c r="FTS27" s="1266"/>
      <c r="FTT27" s="1266"/>
      <c r="FTU27" s="1266"/>
      <c r="FTV27" s="1266"/>
      <c r="FTW27" s="1266"/>
      <c r="FTX27" s="1266"/>
      <c r="FTY27" s="1266"/>
      <c r="FTZ27" s="1266"/>
      <c r="FUA27" s="1266"/>
      <c r="FUB27" s="1266"/>
      <c r="FUC27" s="1266"/>
      <c r="FUD27" s="1266"/>
      <c r="FUE27" s="1266"/>
      <c r="FUF27" s="1266"/>
      <c r="FUG27" s="1266"/>
      <c r="FUH27" s="1266"/>
      <c r="FUI27" s="1266"/>
      <c r="FUJ27" s="1266"/>
      <c r="FUK27" s="1266"/>
      <c r="FUL27" s="1266"/>
      <c r="FUM27" s="1266"/>
      <c r="FUN27" s="1266"/>
      <c r="FUO27" s="1266"/>
      <c r="FUP27" s="1266"/>
      <c r="FUQ27" s="1266"/>
      <c r="FUR27" s="1266"/>
      <c r="FUS27" s="1266"/>
      <c r="FUT27" s="1266"/>
      <c r="FUU27" s="1266"/>
      <c r="FUV27" s="1266"/>
      <c r="FUW27" s="1266"/>
      <c r="FUX27" s="1266"/>
      <c r="FUY27" s="1266"/>
      <c r="FUZ27" s="1266"/>
      <c r="FVA27" s="1266"/>
      <c r="FVB27" s="1266"/>
      <c r="FVC27" s="1266"/>
      <c r="FVD27" s="1266"/>
      <c r="FVE27" s="1266"/>
      <c r="FVF27" s="1266"/>
      <c r="FVG27" s="1266"/>
      <c r="FVH27" s="1266"/>
      <c r="FVI27" s="1266"/>
      <c r="FVJ27" s="1266"/>
      <c r="FVK27" s="1266"/>
      <c r="FVL27" s="1266"/>
      <c r="FVM27" s="1266"/>
      <c r="FVN27" s="1266"/>
      <c r="FVO27" s="1266"/>
      <c r="FVP27" s="1266"/>
      <c r="FVQ27" s="1266"/>
      <c r="FVR27" s="1266"/>
      <c r="FVS27" s="1266"/>
      <c r="FVT27" s="1266"/>
      <c r="FVU27" s="1266"/>
      <c r="FVV27" s="1266"/>
      <c r="FVW27" s="1266"/>
      <c r="FVX27" s="1266"/>
      <c r="FVY27" s="1266"/>
      <c r="FVZ27" s="1266"/>
      <c r="FWA27" s="1266"/>
      <c r="FWB27" s="1266"/>
      <c r="FWC27" s="1266"/>
      <c r="FWD27" s="1266"/>
      <c r="FWE27" s="1266"/>
      <c r="FWF27" s="1266"/>
      <c r="FWG27" s="1266"/>
      <c r="FWH27" s="1266"/>
      <c r="FWI27" s="1266"/>
      <c r="FWJ27" s="1266"/>
      <c r="FWK27" s="1266"/>
      <c r="FWL27" s="1266"/>
      <c r="FWM27" s="1266"/>
      <c r="FWN27" s="1266"/>
      <c r="FWO27" s="1266"/>
      <c r="FWP27" s="1266"/>
      <c r="FWQ27" s="1266"/>
      <c r="FWR27" s="1266"/>
      <c r="FWS27" s="1266"/>
      <c r="FWT27" s="1266"/>
      <c r="FWU27" s="1266"/>
      <c r="FWV27" s="1266"/>
      <c r="FWW27" s="1266"/>
      <c r="FWX27" s="1266"/>
      <c r="FWY27" s="1266"/>
      <c r="FWZ27" s="1266"/>
      <c r="FXA27" s="1266"/>
      <c r="FXB27" s="1266"/>
      <c r="FXC27" s="1266"/>
      <c r="FXD27" s="1266"/>
      <c r="FXE27" s="1266"/>
      <c r="FXF27" s="1266"/>
      <c r="FXG27" s="1266"/>
      <c r="FXH27" s="1266"/>
      <c r="FXI27" s="1266"/>
      <c r="FXJ27" s="1266"/>
      <c r="FXK27" s="1266"/>
      <c r="FXL27" s="1266"/>
      <c r="FXM27" s="1266"/>
      <c r="FXN27" s="1266"/>
      <c r="FXO27" s="1266"/>
      <c r="FXP27" s="1266"/>
      <c r="FXQ27" s="1266"/>
      <c r="FXR27" s="1266"/>
      <c r="FXS27" s="1266"/>
      <c r="FXT27" s="1266"/>
      <c r="FXU27" s="1266"/>
      <c r="FXV27" s="1266"/>
      <c r="FXW27" s="1266"/>
      <c r="FXX27" s="1266"/>
      <c r="FXY27" s="1266"/>
      <c r="FXZ27" s="1266"/>
      <c r="FYA27" s="1266"/>
      <c r="FYB27" s="1266"/>
      <c r="FYC27" s="1266"/>
      <c r="FYD27" s="1266"/>
      <c r="FYE27" s="1266"/>
      <c r="FYF27" s="1266"/>
      <c r="FYG27" s="1266"/>
      <c r="FYH27" s="1266"/>
      <c r="FYI27" s="1266"/>
      <c r="FYJ27" s="1266"/>
      <c r="FYK27" s="1266"/>
      <c r="FYL27" s="1266"/>
      <c r="FYM27" s="1266"/>
      <c r="FYN27" s="1266"/>
      <c r="FYO27" s="1266"/>
      <c r="FYP27" s="1266"/>
      <c r="FYQ27" s="1266"/>
      <c r="FYR27" s="1266"/>
      <c r="FYS27" s="1266"/>
      <c r="FYT27" s="1266"/>
      <c r="FYU27" s="1266"/>
      <c r="FYV27" s="1266"/>
      <c r="FYW27" s="1266"/>
      <c r="FYX27" s="1266"/>
      <c r="FYY27" s="1266"/>
      <c r="FYZ27" s="1266"/>
      <c r="FZA27" s="1266"/>
      <c r="FZB27" s="1266"/>
      <c r="FZC27" s="1266"/>
      <c r="FZD27" s="1266"/>
      <c r="FZE27" s="1266"/>
      <c r="FZF27" s="1266"/>
      <c r="FZG27" s="1266"/>
      <c r="FZH27" s="1266"/>
      <c r="FZI27" s="1266"/>
      <c r="FZJ27" s="1266"/>
      <c r="FZK27" s="1266"/>
      <c r="FZL27" s="1266"/>
      <c r="FZM27" s="1266"/>
      <c r="FZN27" s="1266"/>
      <c r="FZO27" s="1266"/>
      <c r="FZP27" s="1266"/>
      <c r="FZQ27" s="1266"/>
      <c r="FZR27" s="1266"/>
      <c r="FZS27" s="1266"/>
      <c r="FZT27" s="1266"/>
      <c r="FZU27" s="1266"/>
      <c r="FZV27" s="1266"/>
      <c r="FZW27" s="1266"/>
      <c r="FZX27" s="1266"/>
      <c r="FZY27" s="1266"/>
      <c r="FZZ27" s="1266"/>
      <c r="GAA27" s="1266"/>
      <c r="GAB27" s="1266"/>
      <c r="GAC27" s="1266"/>
      <c r="GAD27" s="1266"/>
      <c r="GAE27" s="1266"/>
      <c r="GAF27" s="1266"/>
      <c r="GAG27" s="1266"/>
      <c r="GAH27" s="1266"/>
      <c r="GAI27" s="1266"/>
      <c r="GAJ27" s="1266"/>
      <c r="GAK27" s="1266"/>
      <c r="GAL27" s="1266"/>
      <c r="GAM27" s="1266"/>
      <c r="GAN27" s="1266"/>
      <c r="GAO27" s="1266"/>
      <c r="GAP27" s="1266"/>
      <c r="GAQ27" s="1266"/>
      <c r="GAR27" s="1266"/>
      <c r="GAS27" s="1266"/>
      <c r="GAT27" s="1266"/>
      <c r="GAU27" s="1266"/>
      <c r="GAV27" s="1266"/>
      <c r="GAW27" s="1266"/>
      <c r="GAX27" s="1266"/>
      <c r="GAY27" s="1266"/>
      <c r="GAZ27" s="1266"/>
      <c r="GBA27" s="1266"/>
      <c r="GBB27" s="1266"/>
      <c r="GBC27" s="1266"/>
      <c r="GBD27" s="1266"/>
      <c r="GBE27" s="1266"/>
      <c r="GBF27" s="1266"/>
      <c r="GBG27" s="1266"/>
      <c r="GBH27" s="1266"/>
      <c r="GBI27" s="1266"/>
      <c r="GBJ27" s="1266"/>
      <c r="GBK27" s="1266"/>
      <c r="GBL27" s="1266"/>
      <c r="GBM27" s="1266"/>
      <c r="GBN27" s="1266"/>
      <c r="GBO27" s="1266"/>
      <c r="GBP27" s="1266"/>
      <c r="GBQ27" s="1266"/>
      <c r="GBR27" s="1266"/>
      <c r="GBS27" s="1266"/>
      <c r="GBT27" s="1266"/>
      <c r="GBU27" s="1266"/>
      <c r="GBV27" s="1266"/>
      <c r="GBW27" s="1266"/>
      <c r="GBX27" s="1266"/>
      <c r="GBY27" s="1266"/>
      <c r="GBZ27" s="1266"/>
      <c r="GCA27" s="1266"/>
      <c r="GCB27" s="1266"/>
      <c r="GCC27" s="1266"/>
      <c r="GCD27" s="1266"/>
      <c r="GCE27" s="1266"/>
      <c r="GCF27" s="1266"/>
      <c r="GCG27" s="1266"/>
      <c r="GCH27" s="1266"/>
      <c r="GCI27" s="1266"/>
      <c r="GCJ27" s="1266"/>
      <c r="GCK27" s="1266"/>
      <c r="GCL27" s="1266"/>
      <c r="GCM27" s="1266"/>
      <c r="GCN27" s="1266"/>
      <c r="GCO27" s="1266"/>
      <c r="GCP27" s="1266"/>
      <c r="GCQ27" s="1266"/>
      <c r="GCR27" s="1266"/>
      <c r="GCS27" s="1266"/>
      <c r="GCT27" s="1266"/>
      <c r="GCU27" s="1266"/>
      <c r="GCV27" s="1266"/>
      <c r="GCW27" s="1266"/>
      <c r="GCX27" s="1266"/>
      <c r="GCY27" s="1266"/>
      <c r="GCZ27" s="1266"/>
      <c r="GDA27" s="1266"/>
      <c r="GDB27" s="1266"/>
      <c r="GDC27" s="1266"/>
      <c r="GDD27" s="1266"/>
      <c r="GDE27" s="1266"/>
      <c r="GDF27" s="1266"/>
      <c r="GDG27" s="1266"/>
      <c r="GDH27" s="1266"/>
      <c r="GDI27" s="1266"/>
      <c r="GDJ27" s="1266"/>
      <c r="GDK27" s="1266"/>
      <c r="GDL27" s="1266"/>
      <c r="GDM27" s="1266"/>
      <c r="GDN27" s="1266"/>
      <c r="GDO27" s="1266"/>
      <c r="GDP27" s="1266"/>
      <c r="GDQ27" s="1266"/>
      <c r="GDR27" s="1266"/>
      <c r="GDS27" s="1266"/>
      <c r="GDT27" s="1266"/>
      <c r="GDU27" s="1266"/>
      <c r="GDV27" s="1266"/>
      <c r="GDW27" s="1266"/>
      <c r="GDX27" s="1266"/>
      <c r="GDY27" s="1266"/>
      <c r="GDZ27" s="1266"/>
      <c r="GEA27" s="1266"/>
      <c r="GEB27" s="1266"/>
      <c r="GEC27" s="1266"/>
      <c r="GED27" s="1266"/>
      <c r="GEE27" s="1266"/>
      <c r="GEF27" s="1266"/>
      <c r="GEG27" s="1266"/>
      <c r="GEH27" s="1266"/>
      <c r="GEI27" s="1266"/>
      <c r="GEJ27" s="1266"/>
      <c r="GEK27" s="1266"/>
      <c r="GEL27" s="1266"/>
      <c r="GEM27" s="1266"/>
      <c r="GEN27" s="1266"/>
      <c r="GEO27" s="1266"/>
      <c r="GEP27" s="1266"/>
      <c r="GEQ27" s="1266"/>
      <c r="GER27" s="1266"/>
      <c r="GES27" s="1266"/>
      <c r="GET27" s="1266"/>
      <c r="GEU27" s="1266"/>
      <c r="GEV27" s="1266"/>
      <c r="GEW27" s="1266"/>
      <c r="GEX27" s="1266"/>
      <c r="GEY27" s="1266"/>
      <c r="GEZ27" s="1266"/>
      <c r="GFA27" s="1266"/>
      <c r="GFB27" s="1266"/>
      <c r="GFC27" s="1266"/>
      <c r="GFD27" s="1266"/>
      <c r="GFE27" s="1266"/>
      <c r="GFF27" s="1266"/>
      <c r="GFG27" s="1266"/>
      <c r="GFH27" s="1266"/>
      <c r="GFI27" s="1266"/>
      <c r="GFJ27" s="1266"/>
      <c r="GFK27" s="1266"/>
      <c r="GFL27" s="1266"/>
      <c r="GFM27" s="1266"/>
      <c r="GFN27" s="1266"/>
      <c r="GFO27" s="1266"/>
      <c r="GFP27" s="1266"/>
      <c r="GFQ27" s="1266"/>
      <c r="GFR27" s="1266"/>
      <c r="GFS27" s="1266"/>
      <c r="GFT27" s="1266"/>
      <c r="GFU27" s="1266"/>
      <c r="GFV27" s="1266"/>
      <c r="GFW27" s="1266"/>
      <c r="GFX27" s="1266"/>
      <c r="GFY27" s="1266"/>
      <c r="GFZ27" s="1266"/>
      <c r="GGA27" s="1266"/>
      <c r="GGB27" s="1266"/>
      <c r="GGC27" s="1266"/>
      <c r="GGD27" s="1266"/>
      <c r="GGE27" s="1266"/>
      <c r="GGF27" s="1266"/>
      <c r="GGG27" s="1266"/>
      <c r="GGH27" s="1266"/>
      <c r="GGI27" s="1266"/>
      <c r="GGJ27" s="1266"/>
      <c r="GGK27" s="1266"/>
      <c r="GGL27" s="1266"/>
      <c r="GGM27" s="1266"/>
      <c r="GGN27" s="1266"/>
      <c r="GGO27" s="1266"/>
      <c r="GGP27" s="1266"/>
      <c r="GGQ27" s="1266"/>
      <c r="GGR27" s="1266"/>
      <c r="GGS27" s="1266"/>
      <c r="GGT27" s="1266"/>
      <c r="GGU27" s="1266"/>
      <c r="GGV27" s="1266"/>
      <c r="GGW27" s="1266"/>
      <c r="GGX27" s="1266"/>
      <c r="GGY27" s="1266"/>
      <c r="GGZ27" s="1266"/>
      <c r="GHA27" s="1266"/>
      <c r="GHB27" s="1266"/>
      <c r="GHC27" s="1266"/>
      <c r="GHD27" s="1266"/>
      <c r="GHE27" s="1266"/>
      <c r="GHF27" s="1266"/>
      <c r="GHG27" s="1266"/>
      <c r="GHH27" s="1266"/>
      <c r="GHI27" s="1266"/>
      <c r="GHJ27" s="1266"/>
      <c r="GHK27" s="1266"/>
      <c r="GHL27" s="1266"/>
      <c r="GHM27" s="1266"/>
      <c r="GHN27" s="1266"/>
      <c r="GHO27" s="1266"/>
      <c r="GHP27" s="1266"/>
      <c r="GHQ27" s="1266"/>
      <c r="GHR27" s="1266"/>
      <c r="GHS27" s="1266"/>
      <c r="GHT27" s="1266"/>
      <c r="GHU27" s="1266"/>
      <c r="GHV27" s="1266"/>
      <c r="GHW27" s="1266"/>
      <c r="GHX27" s="1266"/>
      <c r="GHY27" s="1266"/>
      <c r="GHZ27" s="1266"/>
      <c r="GIA27" s="1266"/>
      <c r="GIB27" s="1266"/>
      <c r="GIC27" s="1266"/>
      <c r="GID27" s="1266"/>
      <c r="GIE27" s="1266"/>
      <c r="GIF27" s="1266"/>
      <c r="GIG27" s="1266"/>
      <c r="GIH27" s="1266"/>
      <c r="GII27" s="1266"/>
      <c r="GIJ27" s="1266"/>
      <c r="GIK27" s="1266"/>
      <c r="GIL27" s="1266"/>
      <c r="GIM27" s="1266"/>
      <c r="GIN27" s="1266"/>
      <c r="GIO27" s="1266"/>
      <c r="GIP27" s="1266"/>
      <c r="GIQ27" s="1266"/>
      <c r="GIR27" s="1266"/>
      <c r="GIS27" s="1266"/>
      <c r="GIT27" s="1266"/>
      <c r="GIU27" s="1266"/>
      <c r="GIV27" s="1266"/>
      <c r="GIW27" s="1266"/>
      <c r="GIX27" s="1266"/>
      <c r="GIY27" s="1266"/>
      <c r="GIZ27" s="1266"/>
      <c r="GJA27" s="1266"/>
      <c r="GJB27" s="1266"/>
      <c r="GJC27" s="1266"/>
      <c r="GJD27" s="1266"/>
      <c r="GJE27" s="1266"/>
      <c r="GJF27" s="1266"/>
      <c r="GJG27" s="1266"/>
      <c r="GJH27" s="1266"/>
      <c r="GJI27" s="1266"/>
      <c r="GJJ27" s="1266"/>
      <c r="GJK27" s="1266"/>
      <c r="GJL27" s="1266"/>
      <c r="GJM27" s="1266"/>
      <c r="GJN27" s="1266"/>
      <c r="GJO27" s="1266"/>
      <c r="GJP27" s="1266"/>
      <c r="GJQ27" s="1266"/>
      <c r="GJR27" s="1266"/>
      <c r="GJS27" s="1266"/>
      <c r="GJT27" s="1266"/>
      <c r="GJU27" s="1266"/>
      <c r="GJV27" s="1266"/>
      <c r="GJW27" s="1266"/>
      <c r="GJX27" s="1266"/>
      <c r="GJY27" s="1266"/>
      <c r="GJZ27" s="1266"/>
      <c r="GKA27" s="1266"/>
      <c r="GKB27" s="1266"/>
      <c r="GKC27" s="1266"/>
      <c r="GKD27" s="1266"/>
      <c r="GKE27" s="1266"/>
      <c r="GKF27" s="1266"/>
      <c r="GKG27" s="1266"/>
      <c r="GKH27" s="1266"/>
      <c r="GKI27" s="1266"/>
      <c r="GKJ27" s="1266"/>
      <c r="GKK27" s="1266"/>
      <c r="GKL27" s="1266"/>
      <c r="GKM27" s="1266"/>
      <c r="GKN27" s="1266"/>
      <c r="GKO27" s="1266"/>
      <c r="GKP27" s="1266"/>
      <c r="GKQ27" s="1266"/>
      <c r="GKR27" s="1266"/>
      <c r="GKS27" s="1266"/>
      <c r="GKT27" s="1266"/>
      <c r="GKU27" s="1266"/>
      <c r="GKV27" s="1266"/>
      <c r="GKW27" s="1266"/>
      <c r="GKX27" s="1266"/>
      <c r="GKY27" s="1266"/>
      <c r="GKZ27" s="1266"/>
      <c r="GLA27" s="1266"/>
      <c r="GLB27" s="1266"/>
      <c r="GLC27" s="1266"/>
      <c r="GLD27" s="1266"/>
      <c r="GLE27" s="1266"/>
      <c r="GLF27" s="1266"/>
      <c r="GLG27" s="1266"/>
      <c r="GLH27" s="1266"/>
      <c r="GLI27" s="1266"/>
      <c r="GLJ27" s="1266"/>
      <c r="GLK27" s="1266"/>
      <c r="GLL27" s="1266"/>
      <c r="GLM27" s="1266"/>
      <c r="GLN27" s="1266"/>
      <c r="GLO27" s="1266"/>
      <c r="GLP27" s="1266"/>
      <c r="GLQ27" s="1266"/>
      <c r="GLR27" s="1266"/>
      <c r="GLS27" s="1266"/>
      <c r="GLT27" s="1266"/>
      <c r="GLU27" s="1266"/>
      <c r="GLV27" s="1266"/>
      <c r="GLW27" s="1266"/>
      <c r="GLX27" s="1266"/>
      <c r="GLY27" s="1266"/>
      <c r="GLZ27" s="1266"/>
      <c r="GMA27" s="1266"/>
      <c r="GMB27" s="1266"/>
      <c r="GMC27" s="1266"/>
      <c r="GMD27" s="1266"/>
      <c r="GME27" s="1266"/>
      <c r="GMF27" s="1266"/>
      <c r="GMG27" s="1266"/>
      <c r="GMH27" s="1266"/>
      <c r="GMI27" s="1266"/>
      <c r="GMJ27" s="1266"/>
      <c r="GMK27" s="1266"/>
      <c r="GML27" s="1266"/>
      <c r="GMM27" s="1266"/>
      <c r="GMN27" s="1266"/>
      <c r="GMO27" s="1266"/>
      <c r="GMP27" s="1266"/>
      <c r="GMQ27" s="1266"/>
      <c r="GMR27" s="1266"/>
      <c r="GMS27" s="1266"/>
      <c r="GMT27" s="1266"/>
      <c r="GMU27" s="1266"/>
      <c r="GMV27" s="1266"/>
      <c r="GMW27" s="1266"/>
      <c r="GMX27" s="1266"/>
      <c r="GMY27" s="1266"/>
      <c r="GMZ27" s="1266"/>
      <c r="GNA27" s="1266"/>
      <c r="GNB27" s="1266"/>
      <c r="GNC27" s="1266"/>
      <c r="GND27" s="1266"/>
      <c r="GNE27" s="1266"/>
      <c r="GNF27" s="1266"/>
      <c r="GNG27" s="1266"/>
      <c r="GNH27" s="1266"/>
      <c r="GNI27" s="1266"/>
      <c r="GNJ27" s="1266"/>
      <c r="GNK27" s="1266"/>
      <c r="GNL27" s="1266"/>
      <c r="GNM27" s="1266"/>
      <c r="GNN27" s="1266"/>
      <c r="GNO27" s="1266"/>
      <c r="GNP27" s="1266"/>
      <c r="GNQ27" s="1266"/>
      <c r="GNR27" s="1266"/>
      <c r="GNS27" s="1266"/>
      <c r="GNT27" s="1266"/>
      <c r="GNU27" s="1266"/>
      <c r="GNV27" s="1266"/>
      <c r="GNW27" s="1266"/>
      <c r="GNX27" s="1266"/>
      <c r="GNY27" s="1266"/>
      <c r="GNZ27" s="1266"/>
      <c r="GOA27" s="1266"/>
      <c r="GOB27" s="1266"/>
      <c r="GOC27" s="1266"/>
      <c r="GOD27" s="1266"/>
      <c r="GOE27" s="1266"/>
      <c r="GOF27" s="1266"/>
      <c r="GOG27" s="1266"/>
      <c r="GOH27" s="1266"/>
      <c r="GOI27" s="1266"/>
      <c r="GOJ27" s="1266"/>
      <c r="GOK27" s="1266"/>
      <c r="GOL27" s="1266"/>
      <c r="GOM27" s="1266"/>
      <c r="GON27" s="1266"/>
      <c r="GOO27" s="1266"/>
      <c r="GOP27" s="1266"/>
      <c r="GOQ27" s="1266"/>
      <c r="GOR27" s="1266"/>
      <c r="GOS27" s="1266"/>
      <c r="GOT27" s="1266"/>
      <c r="GOU27" s="1266"/>
      <c r="GOV27" s="1266"/>
      <c r="GOW27" s="1266"/>
      <c r="GOX27" s="1266"/>
      <c r="GOY27" s="1266"/>
      <c r="GOZ27" s="1266"/>
      <c r="GPA27" s="1266"/>
      <c r="GPB27" s="1266"/>
      <c r="GPC27" s="1266"/>
      <c r="GPD27" s="1266"/>
      <c r="GPE27" s="1266"/>
      <c r="GPF27" s="1266"/>
      <c r="GPG27" s="1266"/>
      <c r="GPH27" s="1266"/>
      <c r="GPI27" s="1266"/>
      <c r="GPJ27" s="1266"/>
      <c r="GPK27" s="1266"/>
      <c r="GPL27" s="1266"/>
      <c r="GPM27" s="1266"/>
      <c r="GPN27" s="1266"/>
      <c r="GPO27" s="1266"/>
      <c r="GPP27" s="1266"/>
      <c r="GPQ27" s="1266"/>
      <c r="GPR27" s="1266"/>
      <c r="GPS27" s="1266"/>
      <c r="GPT27" s="1266"/>
      <c r="GPU27" s="1266"/>
      <c r="GPV27" s="1266"/>
      <c r="GPW27" s="1266"/>
      <c r="GPX27" s="1266"/>
      <c r="GPY27" s="1266"/>
      <c r="GPZ27" s="1266"/>
      <c r="GQA27" s="1266"/>
      <c r="GQB27" s="1266"/>
      <c r="GQC27" s="1266"/>
      <c r="GQD27" s="1266"/>
      <c r="GQE27" s="1266"/>
      <c r="GQF27" s="1266"/>
      <c r="GQG27" s="1266"/>
      <c r="GQH27" s="1266"/>
      <c r="GQI27" s="1266"/>
      <c r="GQJ27" s="1266"/>
      <c r="GQK27" s="1266"/>
      <c r="GQL27" s="1266"/>
      <c r="GQM27" s="1266"/>
      <c r="GQN27" s="1266"/>
      <c r="GQO27" s="1266"/>
      <c r="GQP27" s="1266"/>
      <c r="GQQ27" s="1266"/>
      <c r="GQR27" s="1266"/>
      <c r="GQS27" s="1266"/>
      <c r="GQT27" s="1266"/>
      <c r="GQU27" s="1266"/>
      <c r="GQV27" s="1266"/>
      <c r="GQW27" s="1266"/>
      <c r="GQX27" s="1266"/>
      <c r="GQY27" s="1266"/>
      <c r="GQZ27" s="1266"/>
      <c r="GRA27" s="1266"/>
      <c r="GRB27" s="1266"/>
      <c r="GRC27" s="1266"/>
      <c r="GRD27" s="1266"/>
      <c r="GRE27" s="1266"/>
      <c r="GRF27" s="1266"/>
      <c r="GRG27" s="1266"/>
      <c r="GRH27" s="1266"/>
      <c r="GRI27" s="1266"/>
      <c r="GRJ27" s="1266"/>
      <c r="GRK27" s="1266"/>
      <c r="GRL27" s="1266"/>
      <c r="GRM27" s="1266"/>
      <c r="GRN27" s="1266"/>
      <c r="GRO27" s="1266"/>
      <c r="GRP27" s="1266"/>
      <c r="GRQ27" s="1266"/>
      <c r="GRR27" s="1266"/>
      <c r="GRS27" s="1266"/>
      <c r="GRT27" s="1266"/>
      <c r="GRU27" s="1266"/>
      <c r="GRV27" s="1266"/>
      <c r="GRW27" s="1266"/>
      <c r="GRX27" s="1266"/>
      <c r="GRY27" s="1266"/>
      <c r="GRZ27" s="1266"/>
      <c r="GSA27" s="1266"/>
      <c r="GSB27" s="1266"/>
      <c r="GSC27" s="1266"/>
      <c r="GSD27" s="1266"/>
      <c r="GSE27" s="1266"/>
      <c r="GSF27" s="1266"/>
      <c r="GSG27" s="1266"/>
      <c r="GSH27" s="1266"/>
      <c r="GSI27" s="1266"/>
      <c r="GSJ27" s="1266"/>
      <c r="GSK27" s="1266"/>
      <c r="GSL27" s="1266"/>
      <c r="GSM27" s="1266"/>
      <c r="GSN27" s="1266"/>
      <c r="GSO27" s="1266"/>
      <c r="GSP27" s="1266"/>
      <c r="GSQ27" s="1266"/>
      <c r="GSR27" s="1266"/>
      <c r="GSS27" s="1266"/>
      <c r="GST27" s="1266"/>
      <c r="GSU27" s="1266"/>
      <c r="GSV27" s="1266"/>
      <c r="GSW27" s="1266"/>
      <c r="GSX27" s="1266"/>
      <c r="GSY27" s="1266"/>
      <c r="GSZ27" s="1266"/>
      <c r="GTA27" s="1266"/>
      <c r="GTB27" s="1266"/>
      <c r="GTC27" s="1266"/>
      <c r="GTD27" s="1266"/>
      <c r="GTE27" s="1266"/>
      <c r="GTF27" s="1266"/>
      <c r="GTG27" s="1266"/>
      <c r="GTH27" s="1266"/>
      <c r="GTI27" s="1266"/>
      <c r="GTJ27" s="1266"/>
      <c r="GTK27" s="1266"/>
      <c r="GTL27" s="1266"/>
      <c r="GTM27" s="1266"/>
      <c r="GTN27" s="1266"/>
      <c r="GTO27" s="1266"/>
      <c r="GTP27" s="1266"/>
      <c r="GTQ27" s="1266"/>
      <c r="GTR27" s="1266"/>
      <c r="GTS27" s="1266"/>
      <c r="GTT27" s="1266"/>
      <c r="GTU27" s="1266"/>
      <c r="GTV27" s="1266"/>
      <c r="GTW27" s="1266"/>
      <c r="GTX27" s="1266"/>
      <c r="GTY27" s="1266"/>
      <c r="GTZ27" s="1266"/>
      <c r="GUA27" s="1266"/>
      <c r="GUB27" s="1266"/>
      <c r="GUC27" s="1266"/>
      <c r="GUD27" s="1266"/>
      <c r="GUE27" s="1266"/>
      <c r="GUF27" s="1266"/>
      <c r="GUG27" s="1266"/>
      <c r="GUH27" s="1266"/>
      <c r="GUI27" s="1266"/>
      <c r="GUJ27" s="1266"/>
      <c r="GUK27" s="1266"/>
      <c r="GUL27" s="1266"/>
      <c r="GUM27" s="1266"/>
      <c r="GUN27" s="1266"/>
      <c r="GUO27" s="1266"/>
      <c r="GUP27" s="1266"/>
      <c r="GUQ27" s="1266"/>
      <c r="GUR27" s="1266"/>
      <c r="GUS27" s="1266"/>
      <c r="GUT27" s="1266"/>
      <c r="GUU27" s="1266"/>
      <c r="GUV27" s="1266"/>
      <c r="GUW27" s="1266"/>
      <c r="GUX27" s="1266"/>
      <c r="GUY27" s="1266"/>
      <c r="GUZ27" s="1266"/>
      <c r="GVA27" s="1266"/>
      <c r="GVB27" s="1266"/>
      <c r="GVC27" s="1266"/>
      <c r="GVD27" s="1266"/>
      <c r="GVE27" s="1266"/>
      <c r="GVF27" s="1266"/>
      <c r="GVG27" s="1266"/>
      <c r="GVH27" s="1266"/>
      <c r="GVI27" s="1266"/>
      <c r="GVJ27" s="1266"/>
      <c r="GVK27" s="1266"/>
      <c r="GVL27" s="1266"/>
      <c r="GVM27" s="1266"/>
      <c r="GVN27" s="1266"/>
      <c r="GVO27" s="1266"/>
      <c r="GVP27" s="1266"/>
      <c r="GVQ27" s="1266"/>
      <c r="GVR27" s="1266"/>
      <c r="GVS27" s="1266"/>
      <c r="GVT27" s="1266"/>
      <c r="GVU27" s="1266"/>
      <c r="GVV27" s="1266"/>
      <c r="GVW27" s="1266"/>
      <c r="GVX27" s="1266"/>
      <c r="GVY27" s="1266"/>
      <c r="GVZ27" s="1266"/>
      <c r="GWA27" s="1266"/>
      <c r="GWB27" s="1266"/>
      <c r="GWC27" s="1266"/>
      <c r="GWD27" s="1266"/>
      <c r="GWE27" s="1266"/>
      <c r="GWF27" s="1266"/>
      <c r="GWG27" s="1266"/>
      <c r="GWH27" s="1266"/>
      <c r="GWI27" s="1266"/>
      <c r="GWJ27" s="1266"/>
      <c r="GWK27" s="1266"/>
      <c r="GWL27" s="1266"/>
      <c r="GWM27" s="1266"/>
      <c r="GWN27" s="1266"/>
      <c r="GWO27" s="1266"/>
      <c r="GWP27" s="1266"/>
      <c r="GWQ27" s="1266"/>
      <c r="GWR27" s="1266"/>
      <c r="GWS27" s="1266"/>
      <c r="GWT27" s="1266"/>
      <c r="GWU27" s="1266"/>
      <c r="GWV27" s="1266"/>
      <c r="GWW27" s="1266"/>
      <c r="GWX27" s="1266"/>
      <c r="GWY27" s="1266"/>
      <c r="GWZ27" s="1266"/>
      <c r="GXA27" s="1266"/>
      <c r="GXB27" s="1266"/>
      <c r="GXC27" s="1266"/>
      <c r="GXD27" s="1266"/>
      <c r="GXE27" s="1266"/>
      <c r="GXF27" s="1266"/>
      <c r="GXG27" s="1266"/>
      <c r="GXH27" s="1266"/>
      <c r="GXI27" s="1266"/>
      <c r="GXJ27" s="1266"/>
      <c r="GXK27" s="1266"/>
      <c r="GXL27" s="1266"/>
      <c r="GXM27" s="1266"/>
      <c r="GXN27" s="1266"/>
      <c r="GXO27" s="1266"/>
      <c r="GXP27" s="1266"/>
      <c r="GXQ27" s="1266"/>
      <c r="GXR27" s="1266"/>
      <c r="GXS27" s="1266"/>
      <c r="GXT27" s="1266"/>
      <c r="GXU27" s="1266"/>
      <c r="GXV27" s="1266"/>
      <c r="GXW27" s="1266"/>
      <c r="GXX27" s="1266"/>
      <c r="GXY27" s="1266"/>
      <c r="GXZ27" s="1266"/>
      <c r="GYA27" s="1266"/>
      <c r="GYB27" s="1266"/>
      <c r="GYC27" s="1266"/>
      <c r="GYD27" s="1266"/>
      <c r="GYE27" s="1266"/>
      <c r="GYF27" s="1266"/>
      <c r="GYG27" s="1266"/>
      <c r="GYH27" s="1266"/>
      <c r="GYI27" s="1266"/>
      <c r="GYJ27" s="1266"/>
      <c r="GYK27" s="1266"/>
      <c r="GYL27" s="1266"/>
      <c r="GYM27" s="1266"/>
      <c r="GYN27" s="1266"/>
      <c r="GYO27" s="1266"/>
      <c r="GYP27" s="1266"/>
      <c r="GYQ27" s="1266"/>
      <c r="GYR27" s="1266"/>
      <c r="GYS27" s="1266"/>
      <c r="GYT27" s="1266"/>
      <c r="GYU27" s="1266"/>
      <c r="GYV27" s="1266"/>
      <c r="GYW27" s="1266"/>
      <c r="GYX27" s="1266"/>
      <c r="GYY27" s="1266"/>
      <c r="GYZ27" s="1266"/>
      <c r="GZA27" s="1266"/>
      <c r="GZB27" s="1266"/>
      <c r="GZC27" s="1266"/>
      <c r="GZD27" s="1266"/>
      <c r="GZE27" s="1266"/>
      <c r="GZF27" s="1266"/>
      <c r="GZG27" s="1266"/>
      <c r="GZH27" s="1266"/>
      <c r="GZI27" s="1266"/>
      <c r="GZJ27" s="1266"/>
      <c r="GZK27" s="1266"/>
      <c r="GZL27" s="1266"/>
      <c r="GZM27" s="1266"/>
      <c r="GZN27" s="1266"/>
      <c r="GZO27" s="1266"/>
      <c r="GZP27" s="1266"/>
      <c r="GZQ27" s="1266"/>
      <c r="GZR27" s="1266"/>
      <c r="GZS27" s="1266"/>
      <c r="GZT27" s="1266"/>
      <c r="GZU27" s="1266"/>
      <c r="GZV27" s="1266"/>
      <c r="GZW27" s="1266"/>
      <c r="GZX27" s="1266"/>
      <c r="GZY27" s="1266"/>
      <c r="GZZ27" s="1266"/>
      <c r="HAA27" s="1266"/>
      <c r="HAB27" s="1266"/>
      <c r="HAC27" s="1266"/>
      <c r="HAD27" s="1266"/>
      <c r="HAE27" s="1266"/>
      <c r="HAF27" s="1266"/>
      <c r="HAG27" s="1266"/>
      <c r="HAH27" s="1266"/>
      <c r="HAI27" s="1266"/>
      <c r="HAJ27" s="1266"/>
      <c r="HAK27" s="1266"/>
      <c r="HAL27" s="1266"/>
      <c r="HAM27" s="1266"/>
      <c r="HAN27" s="1266"/>
      <c r="HAO27" s="1266"/>
      <c r="HAP27" s="1266"/>
      <c r="HAQ27" s="1266"/>
      <c r="HAR27" s="1266"/>
      <c r="HAS27" s="1266"/>
      <c r="HAT27" s="1266"/>
      <c r="HAU27" s="1266"/>
      <c r="HAV27" s="1266"/>
      <c r="HAW27" s="1266"/>
      <c r="HAX27" s="1266"/>
      <c r="HAY27" s="1266"/>
      <c r="HAZ27" s="1266"/>
      <c r="HBA27" s="1266"/>
      <c r="HBB27" s="1266"/>
      <c r="HBC27" s="1266"/>
      <c r="HBD27" s="1266"/>
      <c r="HBE27" s="1266"/>
      <c r="HBF27" s="1266"/>
      <c r="HBG27" s="1266"/>
      <c r="HBH27" s="1266"/>
      <c r="HBI27" s="1266"/>
      <c r="HBJ27" s="1266"/>
      <c r="HBK27" s="1266"/>
      <c r="HBL27" s="1266"/>
      <c r="HBM27" s="1266"/>
      <c r="HBN27" s="1266"/>
      <c r="HBO27" s="1266"/>
      <c r="HBP27" s="1266"/>
      <c r="HBQ27" s="1266"/>
      <c r="HBR27" s="1266"/>
      <c r="HBS27" s="1266"/>
      <c r="HBT27" s="1266"/>
      <c r="HBU27" s="1266"/>
      <c r="HBV27" s="1266"/>
      <c r="HBW27" s="1266"/>
      <c r="HBX27" s="1266"/>
      <c r="HBY27" s="1266"/>
      <c r="HBZ27" s="1266"/>
      <c r="HCA27" s="1266"/>
      <c r="HCB27" s="1266"/>
      <c r="HCC27" s="1266"/>
      <c r="HCD27" s="1266"/>
      <c r="HCE27" s="1266"/>
      <c r="HCF27" s="1266"/>
      <c r="HCG27" s="1266"/>
      <c r="HCH27" s="1266"/>
      <c r="HCI27" s="1266"/>
      <c r="HCJ27" s="1266"/>
      <c r="HCK27" s="1266"/>
      <c r="HCL27" s="1266"/>
      <c r="HCM27" s="1266"/>
      <c r="HCN27" s="1266"/>
      <c r="HCO27" s="1266"/>
      <c r="HCP27" s="1266"/>
      <c r="HCQ27" s="1266"/>
      <c r="HCR27" s="1266"/>
      <c r="HCS27" s="1266"/>
      <c r="HCT27" s="1266"/>
      <c r="HCU27" s="1266"/>
      <c r="HCV27" s="1266"/>
      <c r="HCW27" s="1266"/>
      <c r="HCX27" s="1266"/>
      <c r="HCY27" s="1266"/>
      <c r="HCZ27" s="1266"/>
      <c r="HDA27" s="1266"/>
      <c r="HDB27" s="1266"/>
      <c r="HDC27" s="1266"/>
      <c r="HDD27" s="1266"/>
      <c r="HDE27" s="1266"/>
      <c r="HDF27" s="1266"/>
      <c r="HDG27" s="1266"/>
      <c r="HDH27" s="1266"/>
      <c r="HDI27" s="1266"/>
      <c r="HDJ27" s="1266"/>
      <c r="HDK27" s="1266"/>
      <c r="HDL27" s="1266"/>
      <c r="HDM27" s="1266"/>
      <c r="HDN27" s="1266"/>
      <c r="HDO27" s="1266"/>
      <c r="HDP27" s="1266"/>
      <c r="HDQ27" s="1266"/>
      <c r="HDR27" s="1266"/>
      <c r="HDS27" s="1266"/>
      <c r="HDT27" s="1266"/>
      <c r="HDU27" s="1266"/>
      <c r="HDV27" s="1266"/>
      <c r="HDW27" s="1266"/>
      <c r="HDX27" s="1266"/>
      <c r="HDY27" s="1266"/>
      <c r="HDZ27" s="1266"/>
      <c r="HEA27" s="1266"/>
      <c r="HEB27" s="1266"/>
      <c r="HEC27" s="1266"/>
      <c r="HED27" s="1266"/>
      <c r="HEE27" s="1266"/>
      <c r="HEF27" s="1266"/>
      <c r="HEG27" s="1266"/>
      <c r="HEH27" s="1266"/>
      <c r="HEI27" s="1266"/>
      <c r="HEJ27" s="1266"/>
      <c r="HEK27" s="1266"/>
      <c r="HEL27" s="1266"/>
      <c r="HEM27" s="1266"/>
      <c r="HEN27" s="1266"/>
      <c r="HEO27" s="1266"/>
      <c r="HEP27" s="1266"/>
      <c r="HEQ27" s="1266"/>
      <c r="HER27" s="1266"/>
      <c r="HES27" s="1266"/>
      <c r="HET27" s="1266"/>
      <c r="HEU27" s="1266"/>
      <c r="HEV27" s="1266"/>
      <c r="HEW27" s="1266"/>
      <c r="HEX27" s="1266"/>
      <c r="HEY27" s="1266"/>
      <c r="HEZ27" s="1266"/>
      <c r="HFA27" s="1266"/>
      <c r="HFB27" s="1266"/>
      <c r="HFC27" s="1266"/>
      <c r="HFD27" s="1266"/>
      <c r="HFE27" s="1266"/>
      <c r="HFF27" s="1266"/>
      <c r="HFG27" s="1266"/>
      <c r="HFH27" s="1266"/>
      <c r="HFI27" s="1266"/>
      <c r="HFJ27" s="1266"/>
      <c r="HFK27" s="1266"/>
      <c r="HFL27" s="1266"/>
      <c r="HFM27" s="1266"/>
      <c r="HFN27" s="1266"/>
      <c r="HFO27" s="1266"/>
      <c r="HFP27" s="1266"/>
      <c r="HFQ27" s="1266"/>
      <c r="HFR27" s="1266"/>
      <c r="HFS27" s="1266"/>
      <c r="HFT27" s="1266"/>
      <c r="HFU27" s="1266"/>
      <c r="HFV27" s="1266"/>
      <c r="HFW27" s="1266"/>
      <c r="HFX27" s="1266"/>
      <c r="HFY27" s="1266"/>
      <c r="HFZ27" s="1266"/>
      <c r="HGA27" s="1266"/>
      <c r="HGB27" s="1266"/>
      <c r="HGC27" s="1266"/>
      <c r="HGD27" s="1266"/>
      <c r="HGE27" s="1266"/>
      <c r="HGF27" s="1266"/>
      <c r="HGG27" s="1266"/>
      <c r="HGH27" s="1266"/>
      <c r="HGI27" s="1266"/>
      <c r="HGJ27" s="1266"/>
      <c r="HGK27" s="1266"/>
      <c r="HGL27" s="1266"/>
      <c r="HGM27" s="1266"/>
      <c r="HGN27" s="1266"/>
      <c r="HGO27" s="1266"/>
      <c r="HGP27" s="1266"/>
      <c r="HGQ27" s="1266"/>
      <c r="HGR27" s="1266"/>
      <c r="HGS27" s="1266"/>
      <c r="HGT27" s="1266"/>
      <c r="HGU27" s="1266"/>
      <c r="HGV27" s="1266"/>
      <c r="HGW27" s="1266"/>
      <c r="HGX27" s="1266"/>
      <c r="HGY27" s="1266"/>
      <c r="HGZ27" s="1266"/>
      <c r="HHA27" s="1266"/>
      <c r="HHB27" s="1266"/>
      <c r="HHC27" s="1266"/>
      <c r="HHD27" s="1266"/>
      <c r="HHE27" s="1266"/>
      <c r="HHF27" s="1266"/>
      <c r="HHG27" s="1266"/>
      <c r="HHH27" s="1266"/>
      <c r="HHI27" s="1266"/>
      <c r="HHJ27" s="1266"/>
      <c r="HHK27" s="1266"/>
      <c r="HHL27" s="1266"/>
      <c r="HHM27" s="1266"/>
      <c r="HHN27" s="1266"/>
      <c r="HHO27" s="1266"/>
      <c r="HHP27" s="1266"/>
      <c r="HHQ27" s="1266"/>
      <c r="HHR27" s="1266"/>
      <c r="HHS27" s="1266"/>
      <c r="HHT27" s="1266"/>
      <c r="HHU27" s="1266"/>
      <c r="HHV27" s="1266"/>
      <c r="HHW27" s="1266"/>
      <c r="HHX27" s="1266"/>
      <c r="HHY27" s="1266"/>
      <c r="HHZ27" s="1266"/>
      <c r="HIA27" s="1266"/>
      <c r="HIB27" s="1266"/>
      <c r="HIC27" s="1266"/>
      <c r="HID27" s="1266"/>
      <c r="HIE27" s="1266"/>
      <c r="HIF27" s="1266"/>
      <c r="HIG27" s="1266"/>
      <c r="HIH27" s="1266"/>
      <c r="HII27" s="1266"/>
      <c r="HIJ27" s="1266"/>
      <c r="HIK27" s="1266"/>
      <c r="HIL27" s="1266"/>
      <c r="HIM27" s="1266"/>
      <c r="HIN27" s="1266"/>
      <c r="HIO27" s="1266"/>
      <c r="HIP27" s="1266"/>
      <c r="HIQ27" s="1266"/>
      <c r="HIR27" s="1266"/>
      <c r="HIS27" s="1266"/>
      <c r="HIT27" s="1266"/>
      <c r="HIU27" s="1266"/>
      <c r="HIV27" s="1266"/>
      <c r="HIW27" s="1266"/>
      <c r="HIX27" s="1266"/>
      <c r="HIY27" s="1266"/>
      <c r="HIZ27" s="1266"/>
      <c r="HJA27" s="1266"/>
      <c r="HJB27" s="1266"/>
      <c r="HJC27" s="1266"/>
      <c r="HJD27" s="1266"/>
      <c r="HJE27" s="1266"/>
      <c r="HJF27" s="1266"/>
      <c r="HJG27" s="1266"/>
      <c r="HJH27" s="1266"/>
      <c r="HJI27" s="1266"/>
      <c r="HJJ27" s="1266"/>
      <c r="HJK27" s="1266"/>
      <c r="HJL27" s="1266"/>
      <c r="HJM27" s="1266"/>
      <c r="HJN27" s="1266"/>
      <c r="HJO27" s="1266"/>
      <c r="HJP27" s="1266"/>
      <c r="HJQ27" s="1266"/>
      <c r="HJR27" s="1266"/>
      <c r="HJS27" s="1266"/>
      <c r="HJT27" s="1266"/>
      <c r="HJU27" s="1266"/>
      <c r="HJV27" s="1266"/>
      <c r="HJW27" s="1266"/>
      <c r="HJX27" s="1266"/>
      <c r="HJY27" s="1266"/>
      <c r="HJZ27" s="1266"/>
      <c r="HKA27" s="1266"/>
      <c r="HKB27" s="1266"/>
      <c r="HKC27" s="1266"/>
      <c r="HKD27" s="1266"/>
      <c r="HKE27" s="1266"/>
      <c r="HKF27" s="1266"/>
      <c r="HKG27" s="1266"/>
      <c r="HKH27" s="1266"/>
      <c r="HKI27" s="1266"/>
      <c r="HKJ27" s="1266"/>
      <c r="HKK27" s="1266"/>
      <c r="HKL27" s="1266"/>
      <c r="HKM27" s="1266"/>
      <c r="HKN27" s="1266"/>
      <c r="HKO27" s="1266"/>
      <c r="HKP27" s="1266"/>
      <c r="HKQ27" s="1266"/>
      <c r="HKR27" s="1266"/>
      <c r="HKS27" s="1266"/>
      <c r="HKT27" s="1266"/>
      <c r="HKU27" s="1266"/>
      <c r="HKV27" s="1266"/>
      <c r="HKW27" s="1266"/>
      <c r="HKX27" s="1266"/>
      <c r="HKY27" s="1266"/>
      <c r="HKZ27" s="1266"/>
      <c r="HLA27" s="1266"/>
      <c r="HLB27" s="1266"/>
      <c r="HLC27" s="1266"/>
      <c r="HLD27" s="1266"/>
      <c r="HLE27" s="1266"/>
      <c r="HLF27" s="1266"/>
      <c r="HLG27" s="1266"/>
      <c r="HLH27" s="1266"/>
      <c r="HLI27" s="1266"/>
      <c r="HLJ27" s="1266"/>
      <c r="HLK27" s="1266"/>
      <c r="HLL27" s="1266"/>
      <c r="HLM27" s="1266"/>
      <c r="HLN27" s="1266"/>
      <c r="HLO27" s="1266"/>
      <c r="HLP27" s="1266"/>
      <c r="HLQ27" s="1266"/>
      <c r="HLR27" s="1266"/>
      <c r="HLS27" s="1266"/>
      <c r="HLT27" s="1266"/>
      <c r="HLU27" s="1266"/>
      <c r="HLV27" s="1266"/>
      <c r="HLW27" s="1266"/>
      <c r="HLX27" s="1266"/>
      <c r="HLY27" s="1266"/>
      <c r="HLZ27" s="1266"/>
      <c r="HMA27" s="1266"/>
      <c r="HMB27" s="1266"/>
      <c r="HMC27" s="1266"/>
      <c r="HMD27" s="1266"/>
      <c r="HME27" s="1266"/>
      <c r="HMF27" s="1266"/>
      <c r="HMG27" s="1266"/>
      <c r="HMH27" s="1266"/>
      <c r="HMI27" s="1266"/>
      <c r="HMJ27" s="1266"/>
      <c r="HMK27" s="1266"/>
      <c r="HML27" s="1266"/>
      <c r="HMM27" s="1266"/>
      <c r="HMN27" s="1266"/>
      <c r="HMO27" s="1266"/>
      <c r="HMP27" s="1266"/>
      <c r="HMQ27" s="1266"/>
      <c r="HMR27" s="1266"/>
      <c r="HMS27" s="1266"/>
      <c r="HMT27" s="1266"/>
      <c r="HMU27" s="1266"/>
      <c r="HMV27" s="1266"/>
      <c r="HMW27" s="1266"/>
      <c r="HMX27" s="1266"/>
      <c r="HMY27" s="1266"/>
      <c r="HMZ27" s="1266"/>
      <c r="HNA27" s="1266"/>
      <c r="HNB27" s="1266"/>
      <c r="HNC27" s="1266"/>
      <c r="HND27" s="1266"/>
      <c r="HNE27" s="1266"/>
      <c r="HNF27" s="1266"/>
      <c r="HNG27" s="1266"/>
      <c r="HNH27" s="1266"/>
      <c r="HNI27" s="1266"/>
      <c r="HNJ27" s="1266"/>
      <c r="HNK27" s="1266"/>
      <c r="HNL27" s="1266"/>
      <c r="HNM27" s="1266"/>
      <c r="HNN27" s="1266"/>
      <c r="HNO27" s="1266"/>
      <c r="HNP27" s="1266"/>
      <c r="HNQ27" s="1266"/>
      <c r="HNR27" s="1266"/>
      <c r="HNS27" s="1266"/>
      <c r="HNT27" s="1266"/>
      <c r="HNU27" s="1266"/>
      <c r="HNV27" s="1266"/>
      <c r="HNW27" s="1266"/>
      <c r="HNX27" s="1266"/>
      <c r="HNY27" s="1266"/>
      <c r="HNZ27" s="1266"/>
      <c r="HOA27" s="1266"/>
      <c r="HOB27" s="1266"/>
      <c r="HOC27" s="1266"/>
      <c r="HOD27" s="1266"/>
      <c r="HOE27" s="1266"/>
      <c r="HOF27" s="1266"/>
      <c r="HOG27" s="1266"/>
      <c r="HOH27" s="1266"/>
      <c r="HOI27" s="1266"/>
      <c r="HOJ27" s="1266"/>
      <c r="HOK27" s="1266"/>
      <c r="HOL27" s="1266"/>
      <c r="HOM27" s="1266"/>
      <c r="HON27" s="1266"/>
      <c r="HOO27" s="1266"/>
      <c r="HOP27" s="1266"/>
      <c r="HOQ27" s="1266"/>
      <c r="HOR27" s="1266"/>
      <c r="HOS27" s="1266"/>
      <c r="HOT27" s="1266"/>
      <c r="HOU27" s="1266"/>
      <c r="HOV27" s="1266"/>
      <c r="HOW27" s="1266"/>
      <c r="HOX27" s="1266"/>
      <c r="HOY27" s="1266"/>
      <c r="HOZ27" s="1266"/>
      <c r="HPA27" s="1266"/>
      <c r="HPB27" s="1266"/>
      <c r="HPC27" s="1266"/>
      <c r="HPD27" s="1266"/>
      <c r="HPE27" s="1266"/>
      <c r="HPF27" s="1266"/>
      <c r="HPG27" s="1266"/>
      <c r="HPH27" s="1266"/>
      <c r="HPI27" s="1266"/>
      <c r="HPJ27" s="1266"/>
      <c r="HPK27" s="1266"/>
      <c r="HPL27" s="1266"/>
      <c r="HPM27" s="1266"/>
      <c r="HPN27" s="1266"/>
      <c r="HPO27" s="1266"/>
      <c r="HPP27" s="1266"/>
      <c r="HPQ27" s="1266"/>
      <c r="HPR27" s="1266"/>
      <c r="HPS27" s="1266"/>
      <c r="HPT27" s="1266"/>
      <c r="HPU27" s="1266"/>
      <c r="HPV27" s="1266"/>
      <c r="HPW27" s="1266"/>
      <c r="HPX27" s="1266"/>
      <c r="HPY27" s="1266"/>
      <c r="HPZ27" s="1266"/>
      <c r="HQA27" s="1266"/>
      <c r="HQB27" s="1266"/>
      <c r="HQC27" s="1266"/>
      <c r="HQD27" s="1266"/>
      <c r="HQE27" s="1266"/>
      <c r="HQF27" s="1266"/>
      <c r="HQG27" s="1266"/>
      <c r="HQH27" s="1266"/>
      <c r="HQI27" s="1266"/>
      <c r="HQJ27" s="1266"/>
      <c r="HQK27" s="1266"/>
      <c r="HQL27" s="1266"/>
      <c r="HQM27" s="1266"/>
      <c r="HQN27" s="1266"/>
      <c r="HQO27" s="1266"/>
      <c r="HQP27" s="1266"/>
      <c r="HQQ27" s="1266"/>
      <c r="HQR27" s="1266"/>
      <c r="HQS27" s="1266"/>
      <c r="HQT27" s="1266"/>
      <c r="HQU27" s="1266"/>
      <c r="HQV27" s="1266"/>
      <c r="HQW27" s="1266"/>
      <c r="HQX27" s="1266"/>
      <c r="HQY27" s="1266"/>
      <c r="HQZ27" s="1266"/>
      <c r="HRA27" s="1266"/>
      <c r="HRB27" s="1266"/>
      <c r="HRC27" s="1266"/>
      <c r="HRD27" s="1266"/>
      <c r="HRE27" s="1266"/>
      <c r="HRF27" s="1266"/>
      <c r="HRG27" s="1266"/>
      <c r="HRH27" s="1266"/>
      <c r="HRI27" s="1266"/>
      <c r="HRJ27" s="1266"/>
      <c r="HRK27" s="1266"/>
      <c r="HRL27" s="1266"/>
      <c r="HRM27" s="1266"/>
      <c r="HRN27" s="1266"/>
      <c r="HRO27" s="1266"/>
      <c r="HRP27" s="1266"/>
      <c r="HRQ27" s="1266"/>
      <c r="HRR27" s="1266"/>
      <c r="HRS27" s="1266"/>
      <c r="HRT27" s="1266"/>
      <c r="HRU27" s="1266"/>
      <c r="HRV27" s="1266"/>
      <c r="HRW27" s="1266"/>
      <c r="HRX27" s="1266"/>
      <c r="HRY27" s="1266"/>
      <c r="HRZ27" s="1266"/>
      <c r="HSA27" s="1266"/>
      <c r="HSB27" s="1266"/>
      <c r="HSC27" s="1266"/>
      <c r="HSD27" s="1266"/>
      <c r="HSE27" s="1266"/>
      <c r="HSF27" s="1266"/>
      <c r="HSG27" s="1266"/>
      <c r="HSH27" s="1266"/>
      <c r="HSI27" s="1266"/>
      <c r="HSJ27" s="1266"/>
      <c r="HSK27" s="1266"/>
      <c r="HSL27" s="1266"/>
      <c r="HSM27" s="1266"/>
      <c r="HSN27" s="1266"/>
      <c r="HSO27" s="1266"/>
      <c r="HSP27" s="1266"/>
      <c r="HSQ27" s="1266"/>
      <c r="HSR27" s="1266"/>
      <c r="HSS27" s="1266"/>
      <c r="HST27" s="1266"/>
      <c r="HSU27" s="1266"/>
      <c r="HSV27" s="1266"/>
      <c r="HSW27" s="1266"/>
      <c r="HSX27" s="1266"/>
      <c r="HSY27" s="1266"/>
      <c r="HSZ27" s="1266"/>
      <c r="HTA27" s="1266"/>
      <c r="HTB27" s="1266"/>
      <c r="HTC27" s="1266"/>
      <c r="HTD27" s="1266"/>
      <c r="HTE27" s="1266"/>
      <c r="HTF27" s="1266"/>
      <c r="HTG27" s="1266"/>
      <c r="HTH27" s="1266"/>
      <c r="HTI27" s="1266"/>
      <c r="HTJ27" s="1266"/>
      <c r="HTK27" s="1266"/>
      <c r="HTL27" s="1266"/>
      <c r="HTM27" s="1266"/>
      <c r="HTN27" s="1266"/>
      <c r="HTO27" s="1266"/>
      <c r="HTP27" s="1266"/>
      <c r="HTQ27" s="1266"/>
      <c r="HTR27" s="1266"/>
      <c r="HTS27" s="1266"/>
      <c r="HTT27" s="1266"/>
      <c r="HTU27" s="1266"/>
      <c r="HTV27" s="1266"/>
      <c r="HTW27" s="1266"/>
      <c r="HTX27" s="1266"/>
      <c r="HTY27" s="1266"/>
      <c r="HTZ27" s="1266"/>
      <c r="HUA27" s="1266"/>
      <c r="HUB27" s="1266"/>
      <c r="HUC27" s="1266"/>
      <c r="HUD27" s="1266"/>
      <c r="HUE27" s="1266"/>
      <c r="HUF27" s="1266"/>
      <c r="HUG27" s="1266"/>
      <c r="HUH27" s="1266"/>
      <c r="HUI27" s="1266"/>
      <c r="HUJ27" s="1266"/>
      <c r="HUK27" s="1266"/>
      <c r="HUL27" s="1266"/>
      <c r="HUM27" s="1266"/>
      <c r="HUN27" s="1266"/>
      <c r="HUO27" s="1266"/>
      <c r="HUP27" s="1266"/>
      <c r="HUQ27" s="1266"/>
      <c r="HUR27" s="1266"/>
      <c r="HUS27" s="1266"/>
      <c r="HUT27" s="1266"/>
      <c r="HUU27" s="1266"/>
      <c r="HUV27" s="1266"/>
      <c r="HUW27" s="1266"/>
      <c r="HUX27" s="1266"/>
      <c r="HUY27" s="1266"/>
      <c r="HUZ27" s="1266"/>
      <c r="HVA27" s="1266"/>
      <c r="HVB27" s="1266"/>
      <c r="HVC27" s="1266"/>
      <c r="HVD27" s="1266"/>
      <c r="HVE27" s="1266"/>
      <c r="HVF27" s="1266"/>
      <c r="HVG27" s="1266"/>
      <c r="HVH27" s="1266"/>
      <c r="HVI27" s="1266"/>
      <c r="HVJ27" s="1266"/>
      <c r="HVK27" s="1266"/>
      <c r="HVL27" s="1266"/>
      <c r="HVM27" s="1266"/>
      <c r="HVN27" s="1266"/>
      <c r="HVO27" s="1266"/>
      <c r="HVP27" s="1266"/>
      <c r="HVQ27" s="1266"/>
      <c r="HVR27" s="1266"/>
      <c r="HVS27" s="1266"/>
      <c r="HVT27" s="1266"/>
      <c r="HVU27" s="1266"/>
      <c r="HVV27" s="1266"/>
      <c r="HVW27" s="1266"/>
      <c r="HVX27" s="1266"/>
      <c r="HVY27" s="1266"/>
      <c r="HVZ27" s="1266"/>
      <c r="HWA27" s="1266"/>
      <c r="HWB27" s="1266"/>
      <c r="HWC27" s="1266"/>
      <c r="HWD27" s="1266"/>
      <c r="HWE27" s="1266"/>
      <c r="HWF27" s="1266"/>
      <c r="HWG27" s="1266"/>
      <c r="HWH27" s="1266"/>
      <c r="HWI27" s="1266"/>
      <c r="HWJ27" s="1266"/>
      <c r="HWK27" s="1266"/>
      <c r="HWL27" s="1266"/>
      <c r="HWM27" s="1266"/>
      <c r="HWN27" s="1266"/>
      <c r="HWO27" s="1266"/>
      <c r="HWP27" s="1266"/>
      <c r="HWQ27" s="1266"/>
      <c r="HWR27" s="1266"/>
      <c r="HWS27" s="1266"/>
      <c r="HWT27" s="1266"/>
      <c r="HWU27" s="1266"/>
      <c r="HWV27" s="1266"/>
      <c r="HWW27" s="1266"/>
      <c r="HWX27" s="1266"/>
      <c r="HWY27" s="1266"/>
      <c r="HWZ27" s="1266"/>
      <c r="HXA27" s="1266"/>
      <c r="HXB27" s="1266"/>
      <c r="HXC27" s="1266"/>
      <c r="HXD27" s="1266"/>
      <c r="HXE27" s="1266"/>
      <c r="HXF27" s="1266"/>
      <c r="HXG27" s="1266"/>
      <c r="HXH27" s="1266"/>
      <c r="HXI27" s="1266"/>
      <c r="HXJ27" s="1266"/>
      <c r="HXK27" s="1266"/>
      <c r="HXL27" s="1266"/>
      <c r="HXM27" s="1266"/>
      <c r="HXN27" s="1266"/>
      <c r="HXO27" s="1266"/>
      <c r="HXP27" s="1266"/>
      <c r="HXQ27" s="1266"/>
      <c r="HXR27" s="1266"/>
      <c r="HXS27" s="1266"/>
      <c r="HXT27" s="1266"/>
      <c r="HXU27" s="1266"/>
      <c r="HXV27" s="1266"/>
      <c r="HXW27" s="1266"/>
      <c r="HXX27" s="1266"/>
      <c r="HXY27" s="1266"/>
      <c r="HXZ27" s="1266"/>
      <c r="HYA27" s="1266"/>
      <c r="HYB27" s="1266"/>
      <c r="HYC27" s="1266"/>
      <c r="HYD27" s="1266"/>
      <c r="HYE27" s="1266"/>
      <c r="HYF27" s="1266"/>
      <c r="HYG27" s="1266"/>
      <c r="HYH27" s="1266"/>
      <c r="HYI27" s="1266"/>
      <c r="HYJ27" s="1266"/>
      <c r="HYK27" s="1266"/>
      <c r="HYL27" s="1266"/>
      <c r="HYM27" s="1266"/>
      <c r="HYN27" s="1266"/>
      <c r="HYO27" s="1266"/>
      <c r="HYP27" s="1266"/>
      <c r="HYQ27" s="1266"/>
      <c r="HYR27" s="1266"/>
      <c r="HYS27" s="1266"/>
      <c r="HYT27" s="1266"/>
      <c r="HYU27" s="1266"/>
      <c r="HYV27" s="1266"/>
      <c r="HYW27" s="1266"/>
      <c r="HYX27" s="1266"/>
      <c r="HYY27" s="1266"/>
      <c r="HYZ27" s="1266"/>
      <c r="HZA27" s="1266"/>
      <c r="HZB27" s="1266"/>
      <c r="HZC27" s="1266"/>
      <c r="HZD27" s="1266"/>
      <c r="HZE27" s="1266"/>
      <c r="HZF27" s="1266"/>
      <c r="HZG27" s="1266"/>
      <c r="HZH27" s="1266"/>
      <c r="HZI27" s="1266"/>
      <c r="HZJ27" s="1266"/>
      <c r="HZK27" s="1266"/>
      <c r="HZL27" s="1266"/>
      <c r="HZM27" s="1266"/>
      <c r="HZN27" s="1266"/>
      <c r="HZO27" s="1266"/>
      <c r="HZP27" s="1266"/>
      <c r="HZQ27" s="1266"/>
      <c r="HZR27" s="1266"/>
      <c r="HZS27" s="1266"/>
      <c r="HZT27" s="1266"/>
      <c r="HZU27" s="1266"/>
      <c r="HZV27" s="1266"/>
      <c r="HZW27" s="1266"/>
      <c r="HZX27" s="1266"/>
      <c r="HZY27" s="1266"/>
      <c r="HZZ27" s="1266"/>
      <c r="IAA27" s="1266"/>
      <c r="IAB27" s="1266"/>
      <c r="IAC27" s="1266"/>
      <c r="IAD27" s="1266"/>
      <c r="IAE27" s="1266"/>
      <c r="IAF27" s="1266"/>
      <c r="IAG27" s="1266"/>
      <c r="IAH27" s="1266"/>
      <c r="IAI27" s="1266"/>
      <c r="IAJ27" s="1266"/>
      <c r="IAK27" s="1266"/>
      <c r="IAL27" s="1266"/>
      <c r="IAM27" s="1266"/>
      <c r="IAN27" s="1266"/>
      <c r="IAO27" s="1266"/>
      <c r="IAP27" s="1266"/>
      <c r="IAQ27" s="1266"/>
      <c r="IAR27" s="1266"/>
      <c r="IAS27" s="1266"/>
      <c r="IAT27" s="1266"/>
      <c r="IAU27" s="1266"/>
      <c r="IAV27" s="1266"/>
      <c r="IAW27" s="1266"/>
      <c r="IAX27" s="1266"/>
      <c r="IAY27" s="1266"/>
      <c r="IAZ27" s="1266"/>
      <c r="IBA27" s="1266"/>
      <c r="IBB27" s="1266"/>
      <c r="IBC27" s="1266"/>
      <c r="IBD27" s="1266"/>
      <c r="IBE27" s="1266"/>
      <c r="IBF27" s="1266"/>
      <c r="IBG27" s="1266"/>
      <c r="IBH27" s="1266"/>
      <c r="IBI27" s="1266"/>
      <c r="IBJ27" s="1266"/>
      <c r="IBK27" s="1266"/>
      <c r="IBL27" s="1266"/>
      <c r="IBM27" s="1266"/>
      <c r="IBN27" s="1266"/>
      <c r="IBO27" s="1266"/>
      <c r="IBP27" s="1266"/>
      <c r="IBQ27" s="1266"/>
      <c r="IBR27" s="1266"/>
      <c r="IBS27" s="1266"/>
      <c r="IBT27" s="1266"/>
      <c r="IBU27" s="1266"/>
      <c r="IBV27" s="1266"/>
      <c r="IBW27" s="1266"/>
      <c r="IBX27" s="1266"/>
      <c r="IBY27" s="1266"/>
      <c r="IBZ27" s="1266"/>
      <c r="ICA27" s="1266"/>
      <c r="ICB27" s="1266"/>
      <c r="ICC27" s="1266"/>
      <c r="ICD27" s="1266"/>
      <c r="ICE27" s="1266"/>
      <c r="ICF27" s="1266"/>
      <c r="ICG27" s="1266"/>
      <c r="ICH27" s="1266"/>
      <c r="ICI27" s="1266"/>
      <c r="ICJ27" s="1266"/>
      <c r="ICK27" s="1266"/>
      <c r="ICL27" s="1266"/>
      <c r="ICM27" s="1266"/>
      <c r="ICN27" s="1266"/>
      <c r="ICO27" s="1266"/>
      <c r="ICP27" s="1266"/>
      <c r="ICQ27" s="1266"/>
      <c r="ICR27" s="1266"/>
      <c r="ICS27" s="1266"/>
      <c r="ICT27" s="1266"/>
      <c r="ICU27" s="1266"/>
      <c r="ICV27" s="1266"/>
      <c r="ICW27" s="1266"/>
      <c r="ICX27" s="1266"/>
      <c r="ICY27" s="1266"/>
      <c r="ICZ27" s="1266"/>
      <c r="IDA27" s="1266"/>
      <c r="IDB27" s="1266"/>
      <c r="IDC27" s="1266"/>
      <c r="IDD27" s="1266"/>
      <c r="IDE27" s="1266"/>
      <c r="IDF27" s="1266"/>
      <c r="IDG27" s="1266"/>
      <c r="IDH27" s="1266"/>
      <c r="IDI27" s="1266"/>
      <c r="IDJ27" s="1266"/>
      <c r="IDK27" s="1266"/>
      <c r="IDL27" s="1266"/>
      <c r="IDM27" s="1266"/>
      <c r="IDN27" s="1266"/>
      <c r="IDO27" s="1266"/>
      <c r="IDP27" s="1266"/>
      <c r="IDQ27" s="1266"/>
      <c r="IDR27" s="1266"/>
      <c r="IDS27" s="1266"/>
      <c r="IDT27" s="1266"/>
      <c r="IDU27" s="1266"/>
      <c r="IDV27" s="1266"/>
      <c r="IDW27" s="1266"/>
      <c r="IDX27" s="1266"/>
      <c r="IDY27" s="1266"/>
      <c r="IDZ27" s="1266"/>
      <c r="IEA27" s="1266"/>
      <c r="IEB27" s="1266"/>
      <c r="IEC27" s="1266"/>
      <c r="IED27" s="1266"/>
      <c r="IEE27" s="1266"/>
      <c r="IEF27" s="1266"/>
      <c r="IEG27" s="1266"/>
      <c r="IEH27" s="1266"/>
      <c r="IEI27" s="1266"/>
      <c r="IEJ27" s="1266"/>
      <c r="IEK27" s="1266"/>
      <c r="IEL27" s="1266"/>
      <c r="IEM27" s="1266"/>
      <c r="IEN27" s="1266"/>
      <c r="IEO27" s="1266"/>
      <c r="IEP27" s="1266"/>
      <c r="IEQ27" s="1266"/>
      <c r="IER27" s="1266"/>
      <c r="IES27" s="1266"/>
      <c r="IET27" s="1266"/>
      <c r="IEU27" s="1266"/>
      <c r="IEV27" s="1266"/>
      <c r="IEW27" s="1266"/>
      <c r="IEX27" s="1266"/>
      <c r="IEY27" s="1266"/>
      <c r="IEZ27" s="1266"/>
      <c r="IFA27" s="1266"/>
      <c r="IFB27" s="1266"/>
      <c r="IFC27" s="1266"/>
      <c r="IFD27" s="1266"/>
      <c r="IFE27" s="1266"/>
      <c r="IFF27" s="1266"/>
      <c r="IFG27" s="1266"/>
      <c r="IFH27" s="1266"/>
      <c r="IFI27" s="1266"/>
      <c r="IFJ27" s="1266"/>
      <c r="IFK27" s="1266"/>
      <c r="IFL27" s="1266"/>
      <c r="IFM27" s="1266"/>
      <c r="IFN27" s="1266"/>
      <c r="IFO27" s="1266"/>
      <c r="IFP27" s="1266"/>
      <c r="IFQ27" s="1266"/>
      <c r="IFR27" s="1266"/>
      <c r="IFS27" s="1266"/>
      <c r="IFT27" s="1266"/>
      <c r="IFU27" s="1266"/>
      <c r="IFV27" s="1266"/>
      <c r="IFW27" s="1266"/>
      <c r="IFX27" s="1266"/>
      <c r="IFY27" s="1266"/>
      <c r="IFZ27" s="1266"/>
      <c r="IGA27" s="1266"/>
      <c r="IGB27" s="1266"/>
      <c r="IGC27" s="1266"/>
      <c r="IGD27" s="1266"/>
      <c r="IGE27" s="1266"/>
      <c r="IGF27" s="1266"/>
      <c r="IGG27" s="1266"/>
      <c r="IGH27" s="1266"/>
      <c r="IGI27" s="1266"/>
      <c r="IGJ27" s="1266"/>
      <c r="IGK27" s="1266"/>
      <c r="IGL27" s="1266"/>
      <c r="IGM27" s="1266"/>
      <c r="IGN27" s="1266"/>
      <c r="IGO27" s="1266"/>
      <c r="IGP27" s="1266"/>
      <c r="IGQ27" s="1266"/>
      <c r="IGR27" s="1266"/>
      <c r="IGS27" s="1266"/>
      <c r="IGT27" s="1266"/>
      <c r="IGU27" s="1266"/>
      <c r="IGV27" s="1266"/>
      <c r="IGW27" s="1266"/>
      <c r="IGX27" s="1266"/>
      <c r="IGY27" s="1266"/>
      <c r="IGZ27" s="1266"/>
      <c r="IHA27" s="1266"/>
      <c r="IHB27" s="1266"/>
      <c r="IHC27" s="1266"/>
      <c r="IHD27" s="1266"/>
      <c r="IHE27" s="1266"/>
      <c r="IHF27" s="1266"/>
      <c r="IHG27" s="1266"/>
      <c r="IHH27" s="1266"/>
      <c r="IHI27" s="1266"/>
      <c r="IHJ27" s="1266"/>
      <c r="IHK27" s="1266"/>
      <c r="IHL27" s="1266"/>
      <c r="IHM27" s="1266"/>
      <c r="IHN27" s="1266"/>
      <c r="IHO27" s="1266"/>
      <c r="IHP27" s="1266"/>
      <c r="IHQ27" s="1266"/>
      <c r="IHR27" s="1266"/>
      <c r="IHS27" s="1266"/>
      <c r="IHT27" s="1266"/>
      <c r="IHU27" s="1266"/>
      <c r="IHV27" s="1266"/>
      <c r="IHW27" s="1266"/>
      <c r="IHX27" s="1266"/>
      <c r="IHY27" s="1266"/>
      <c r="IHZ27" s="1266"/>
      <c r="IIA27" s="1266"/>
      <c r="IIB27" s="1266"/>
      <c r="IIC27" s="1266"/>
      <c r="IID27" s="1266"/>
      <c r="IIE27" s="1266"/>
      <c r="IIF27" s="1266"/>
      <c r="IIG27" s="1266"/>
      <c r="IIH27" s="1266"/>
      <c r="III27" s="1266"/>
      <c r="IIJ27" s="1266"/>
      <c r="IIK27" s="1266"/>
      <c r="IIL27" s="1266"/>
      <c r="IIM27" s="1266"/>
      <c r="IIN27" s="1266"/>
      <c r="IIO27" s="1266"/>
      <c r="IIP27" s="1266"/>
      <c r="IIQ27" s="1266"/>
      <c r="IIR27" s="1266"/>
      <c r="IIS27" s="1266"/>
      <c r="IIT27" s="1266"/>
      <c r="IIU27" s="1266"/>
      <c r="IIV27" s="1266"/>
      <c r="IIW27" s="1266"/>
      <c r="IIX27" s="1266"/>
      <c r="IIY27" s="1266"/>
      <c r="IIZ27" s="1266"/>
      <c r="IJA27" s="1266"/>
      <c r="IJB27" s="1266"/>
      <c r="IJC27" s="1266"/>
      <c r="IJD27" s="1266"/>
      <c r="IJE27" s="1266"/>
      <c r="IJF27" s="1266"/>
      <c r="IJG27" s="1266"/>
      <c r="IJH27" s="1266"/>
      <c r="IJI27" s="1266"/>
      <c r="IJJ27" s="1266"/>
      <c r="IJK27" s="1266"/>
      <c r="IJL27" s="1266"/>
      <c r="IJM27" s="1266"/>
      <c r="IJN27" s="1266"/>
      <c r="IJO27" s="1266"/>
      <c r="IJP27" s="1266"/>
      <c r="IJQ27" s="1266"/>
      <c r="IJR27" s="1266"/>
      <c r="IJS27" s="1266"/>
      <c r="IJT27" s="1266"/>
      <c r="IJU27" s="1266"/>
      <c r="IJV27" s="1266"/>
      <c r="IJW27" s="1266"/>
      <c r="IJX27" s="1266"/>
      <c r="IJY27" s="1266"/>
      <c r="IJZ27" s="1266"/>
      <c r="IKA27" s="1266"/>
      <c r="IKB27" s="1266"/>
      <c r="IKC27" s="1266"/>
      <c r="IKD27" s="1266"/>
      <c r="IKE27" s="1266"/>
      <c r="IKF27" s="1266"/>
      <c r="IKG27" s="1266"/>
      <c r="IKH27" s="1266"/>
      <c r="IKI27" s="1266"/>
      <c r="IKJ27" s="1266"/>
      <c r="IKK27" s="1266"/>
      <c r="IKL27" s="1266"/>
      <c r="IKM27" s="1266"/>
      <c r="IKN27" s="1266"/>
      <c r="IKO27" s="1266"/>
      <c r="IKP27" s="1266"/>
      <c r="IKQ27" s="1266"/>
      <c r="IKR27" s="1266"/>
      <c r="IKS27" s="1266"/>
      <c r="IKT27" s="1266"/>
      <c r="IKU27" s="1266"/>
      <c r="IKV27" s="1266"/>
      <c r="IKW27" s="1266"/>
      <c r="IKX27" s="1266"/>
      <c r="IKY27" s="1266"/>
      <c r="IKZ27" s="1266"/>
      <c r="ILA27" s="1266"/>
      <c r="ILB27" s="1266"/>
      <c r="ILC27" s="1266"/>
      <c r="ILD27" s="1266"/>
      <c r="ILE27" s="1266"/>
      <c r="ILF27" s="1266"/>
      <c r="ILG27" s="1266"/>
      <c r="ILH27" s="1266"/>
      <c r="ILI27" s="1266"/>
      <c r="ILJ27" s="1266"/>
      <c r="ILK27" s="1266"/>
      <c r="ILL27" s="1266"/>
      <c r="ILM27" s="1266"/>
      <c r="ILN27" s="1266"/>
      <c r="ILO27" s="1266"/>
      <c r="ILP27" s="1266"/>
      <c r="ILQ27" s="1266"/>
      <c r="ILR27" s="1266"/>
      <c r="ILS27" s="1266"/>
      <c r="ILT27" s="1266"/>
      <c r="ILU27" s="1266"/>
      <c r="ILV27" s="1266"/>
      <c r="ILW27" s="1266"/>
      <c r="ILX27" s="1266"/>
      <c r="ILY27" s="1266"/>
      <c r="ILZ27" s="1266"/>
      <c r="IMA27" s="1266"/>
      <c r="IMB27" s="1266"/>
      <c r="IMC27" s="1266"/>
      <c r="IMD27" s="1266"/>
      <c r="IME27" s="1266"/>
      <c r="IMF27" s="1266"/>
      <c r="IMG27" s="1266"/>
      <c r="IMH27" s="1266"/>
      <c r="IMI27" s="1266"/>
      <c r="IMJ27" s="1266"/>
      <c r="IMK27" s="1266"/>
      <c r="IML27" s="1266"/>
      <c r="IMM27" s="1266"/>
      <c r="IMN27" s="1266"/>
      <c r="IMO27" s="1266"/>
      <c r="IMP27" s="1266"/>
      <c r="IMQ27" s="1266"/>
      <c r="IMR27" s="1266"/>
      <c r="IMS27" s="1266"/>
      <c r="IMT27" s="1266"/>
      <c r="IMU27" s="1266"/>
      <c r="IMV27" s="1266"/>
      <c r="IMW27" s="1266"/>
      <c r="IMX27" s="1266"/>
      <c r="IMY27" s="1266"/>
      <c r="IMZ27" s="1266"/>
      <c r="INA27" s="1266"/>
      <c r="INB27" s="1266"/>
      <c r="INC27" s="1266"/>
      <c r="IND27" s="1266"/>
      <c r="INE27" s="1266"/>
      <c r="INF27" s="1266"/>
      <c r="ING27" s="1266"/>
      <c r="INH27" s="1266"/>
      <c r="INI27" s="1266"/>
      <c r="INJ27" s="1266"/>
      <c r="INK27" s="1266"/>
      <c r="INL27" s="1266"/>
      <c r="INM27" s="1266"/>
      <c r="INN27" s="1266"/>
      <c r="INO27" s="1266"/>
      <c r="INP27" s="1266"/>
      <c r="INQ27" s="1266"/>
      <c r="INR27" s="1266"/>
      <c r="INS27" s="1266"/>
      <c r="INT27" s="1266"/>
      <c r="INU27" s="1266"/>
      <c r="INV27" s="1266"/>
      <c r="INW27" s="1266"/>
      <c r="INX27" s="1266"/>
      <c r="INY27" s="1266"/>
      <c r="INZ27" s="1266"/>
      <c r="IOA27" s="1266"/>
      <c r="IOB27" s="1266"/>
      <c r="IOC27" s="1266"/>
      <c r="IOD27" s="1266"/>
      <c r="IOE27" s="1266"/>
      <c r="IOF27" s="1266"/>
      <c r="IOG27" s="1266"/>
      <c r="IOH27" s="1266"/>
      <c r="IOI27" s="1266"/>
      <c r="IOJ27" s="1266"/>
      <c r="IOK27" s="1266"/>
      <c r="IOL27" s="1266"/>
      <c r="IOM27" s="1266"/>
      <c r="ION27" s="1266"/>
      <c r="IOO27" s="1266"/>
      <c r="IOP27" s="1266"/>
      <c r="IOQ27" s="1266"/>
      <c r="IOR27" s="1266"/>
      <c r="IOS27" s="1266"/>
      <c r="IOT27" s="1266"/>
      <c r="IOU27" s="1266"/>
      <c r="IOV27" s="1266"/>
      <c r="IOW27" s="1266"/>
      <c r="IOX27" s="1266"/>
      <c r="IOY27" s="1266"/>
      <c r="IOZ27" s="1266"/>
      <c r="IPA27" s="1266"/>
      <c r="IPB27" s="1266"/>
      <c r="IPC27" s="1266"/>
      <c r="IPD27" s="1266"/>
      <c r="IPE27" s="1266"/>
      <c r="IPF27" s="1266"/>
      <c r="IPG27" s="1266"/>
      <c r="IPH27" s="1266"/>
      <c r="IPI27" s="1266"/>
      <c r="IPJ27" s="1266"/>
      <c r="IPK27" s="1266"/>
      <c r="IPL27" s="1266"/>
      <c r="IPM27" s="1266"/>
      <c r="IPN27" s="1266"/>
      <c r="IPO27" s="1266"/>
      <c r="IPP27" s="1266"/>
      <c r="IPQ27" s="1266"/>
      <c r="IPR27" s="1266"/>
      <c r="IPS27" s="1266"/>
      <c r="IPT27" s="1266"/>
      <c r="IPU27" s="1266"/>
      <c r="IPV27" s="1266"/>
      <c r="IPW27" s="1266"/>
      <c r="IPX27" s="1266"/>
      <c r="IPY27" s="1266"/>
      <c r="IPZ27" s="1266"/>
      <c r="IQA27" s="1266"/>
      <c r="IQB27" s="1266"/>
      <c r="IQC27" s="1266"/>
      <c r="IQD27" s="1266"/>
      <c r="IQE27" s="1266"/>
      <c r="IQF27" s="1266"/>
      <c r="IQG27" s="1266"/>
      <c r="IQH27" s="1266"/>
      <c r="IQI27" s="1266"/>
      <c r="IQJ27" s="1266"/>
      <c r="IQK27" s="1266"/>
      <c r="IQL27" s="1266"/>
      <c r="IQM27" s="1266"/>
      <c r="IQN27" s="1266"/>
      <c r="IQO27" s="1266"/>
      <c r="IQP27" s="1266"/>
      <c r="IQQ27" s="1266"/>
      <c r="IQR27" s="1266"/>
      <c r="IQS27" s="1266"/>
      <c r="IQT27" s="1266"/>
      <c r="IQU27" s="1266"/>
      <c r="IQV27" s="1266"/>
      <c r="IQW27" s="1266"/>
      <c r="IQX27" s="1266"/>
      <c r="IQY27" s="1266"/>
      <c r="IQZ27" s="1266"/>
      <c r="IRA27" s="1266"/>
      <c r="IRB27" s="1266"/>
      <c r="IRC27" s="1266"/>
      <c r="IRD27" s="1266"/>
      <c r="IRE27" s="1266"/>
      <c r="IRF27" s="1266"/>
      <c r="IRG27" s="1266"/>
      <c r="IRH27" s="1266"/>
      <c r="IRI27" s="1266"/>
      <c r="IRJ27" s="1266"/>
      <c r="IRK27" s="1266"/>
      <c r="IRL27" s="1266"/>
      <c r="IRM27" s="1266"/>
      <c r="IRN27" s="1266"/>
      <c r="IRO27" s="1266"/>
      <c r="IRP27" s="1266"/>
      <c r="IRQ27" s="1266"/>
      <c r="IRR27" s="1266"/>
      <c r="IRS27" s="1266"/>
      <c r="IRT27" s="1266"/>
      <c r="IRU27" s="1266"/>
      <c r="IRV27" s="1266"/>
      <c r="IRW27" s="1266"/>
      <c r="IRX27" s="1266"/>
      <c r="IRY27" s="1266"/>
      <c r="IRZ27" s="1266"/>
      <c r="ISA27" s="1266"/>
      <c r="ISB27" s="1266"/>
      <c r="ISC27" s="1266"/>
      <c r="ISD27" s="1266"/>
      <c r="ISE27" s="1266"/>
      <c r="ISF27" s="1266"/>
      <c r="ISG27" s="1266"/>
      <c r="ISH27" s="1266"/>
      <c r="ISI27" s="1266"/>
      <c r="ISJ27" s="1266"/>
      <c r="ISK27" s="1266"/>
      <c r="ISL27" s="1266"/>
      <c r="ISM27" s="1266"/>
      <c r="ISN27" s="1266"/>
      <c r="ISO27" s="1266"/>
      <c r="ISP27" s="1266"/>
      <c r="ISQ27" s="1266"/>
      <c r="ISR27" s="1266"/>
      <c r="ISS27" s="1266"/>
      <c r="IST27" s="1266"/>
      <c r="ISU27" s="1266"/>
      <c r="ISV27" s="1266"/>
      <c r="ISW27" s="1266"/>
      <c r="ISX27" s="1266"/>
      <c r="ISY27" s="1266"/>
      <c r="ISZ27" s="1266"/>
      <c r="ITA27" s="1266"/>
      <c r="ITB27" s="1266"/>
      <c r="ITC27" s="1266"/>
      <c r="ITD27" s="1266"/>
      <c r="ITE27" s="1266"/>
      <c r="ITF27" s="1266"/>
      <c r="ITG27" s="1266"/>
      <c r="ITH27" s="1266"/>
      <c r="ITI27" s="1266"/>
      <c r="ITJ27" s="1266"/>
      <c r="ITK27" s="1266"/>
      <c r="ITL27" s="1266"/>
      <c r="ITM27" s="1266"/>
      <c r="ITN27" s="1266"/>
      <c r="ITO27" s="1266"/>
      <c r="ITP27" s="1266"/>
      <c r="ITQ27" s="1266"/>
      <c r="ITR27" s="1266"/>
      <c r="ITS27" s="1266"/>
      <c r="ITT27" s="1266"/>
      <c r="ITU27" s="1266"/>
      <c r="ITV27" s="1266"/>
      <c r="ITW27" s="1266"/>
      <c r="ITX27" s="1266"/>
      <c r="ITY27" s="1266"/>
      <c r="ITZ27" s="1266"/>
      <c r="IUA27" s="1266"/>
      <c r="IUB27" s="1266"/>
      <c r="IUC27" s="1266"/>
      <c r="IUD27" s="1266"/>
      <c r="IUE27" s="1266"/>
      <c r="IUF27" s="1266"/>
      <c r="IUG27" s="1266"/>
      <c r="IUH27" s="1266"/>
      <c r="IUI27" s="1266"/>
      <c r="IUJ27" s="1266"/>
      <c r="IUK27" s="1266"/>
      <c r="IUL27" s="1266"/>
      <c r="IUM27" s="1266"/>
      <c r="IUN27" s="1266"/>
      <c r="IUO27" s="1266"/>
      <c r="IUP27" s="1266"/>
      <c r="IUQ27" s="1266"/>
      <c r="IUR27" s="1266"/>
      <c r="IUS27" s="1266"/>
      <c r="IUT27" s="1266"/>
      <c r="IUU27" s="1266"/>
      <c r="IUV27" s="1266"/>
      <c r="IUW27" s="1266"/>
      <c r="IUX27" s="1266"/>
      <c r="IUY27" s="1266"/>
      <c r="IUZ27" s="1266"/>
      <c r="IVA27" s="1266"/>
      <c r="IVB27" s="1266"/>
      <c r="IVC27" s="1266"/>
      <c r="IVD27" s="1266"/>
      <c r="IVE27" s="1266"/>
      <c r="IVF27" s="1266"/>
      <c r="IVG27" s="1266"/>
      <c r="IVH27" s="1266"/>
      <c r="IVI27" s="1266"/>
      <c r="IVJ27" s="1266"/>
      <c r="IVK27" s="1266"/>
      <c r="IVL27" s="1266"/>
      <c r="IVM27" s="1266"/>
      <c r="IVN27" s="1266"/>
      <c r="IVO27" s="1266"/>
      <c r="IVP27" s="1266"/>
      <c r="IVQ27" s="1266"/>
      <c r="IVR27" s="1266"/>
      <c r="IVS27" s="1266"/>
      <c r="IVT27" s="1266"/>
      <c r="IVU27" s="1266"/>
      <c r="IVV27" s="1266"/>
      <c r="IVW27" s="1266"/>
      <c r="IVX27" s="1266"/>
      <c r="IVY27" s="1266"/>
      <c r="IVZ27" s="1266"/>
      <c r="IWA27" s="1266"/>
      <c r="IWB27" s="1266"/>
      <c r="IWC27" s="1266"/>
      <c r="IWD27" s="1266"/>
      <c r="IWE27" s="1266"/>
      <c r="IWF27" s="1266"/>
      <c r="IWG27" s="1266"/>
      <c r="IWH27" s="1266"/>
      <c r="IWI27" s="1266"/>
      <c r="IWJ27" s="1266"/>
      <c r="IWK27" s="1266"/>
      <c r="IWL27" s="1266"/>
      <c r="IWM27" s="1266"/>
      <c r="IWN27" s="1266"/>
      <c r="IWO27" s="1266"/>
      <c r="IWP27" s="1266"/>
      <c r="IWQ27" s="1266"/>
      <c r="IWR27" s="1266"/>
      <c r="IWS27" s="1266"/>
      <c r="IWT27" s="1266"/>
      <c r="IWU27" s="1266"/>
      <c r="IWV27" s="1266"/>
      <c r="IWW27" s="1266"/>
      <c r="IWX27" s="1266"/>
      <c r="IWY27" s="1266"/>
      <c r="IWZ27" s="1266"/>
      <c r="IXA27" s="1266"/>
      <c r="IXB27" s="1266"/>
      <c r="IXC27" s="1266"/>
      <c r="IXD27" s="1266"/>
      <c r="IXE27" s="1266"/>
      <c r="IXF27" s="1266"/>
      <c r="IXG27" s="1266"/>
      <c r="IXH27" s="1266"/>
      <c r="IXI27" s="1266"/>
      <c r="IXJ27" s="1266"/>
      <c r="IXK27" s="1266"/>
      <c r="IXL27" s="1266"/>
      <c r="IXM27" s="1266"/>
      <c r="IXN27" s="1266"/>
      <c r="IXO27" s="1266"/>
      <c r="IXP27" s="1266"/>
      <c r="IXQ27" s="1266"/>
      <c r="IXR27" s="1266"/>
      <c r="IXS27" s="1266"/>
      <c r="IXT27" s="1266"/>
      <c r="IXU27" s="1266"/>
      <c r="IXV27" s="1266"/>
      <c r="IXW27" s="1266"/>
      <c r="IXX27" s="1266"/>
      <c r="IXY27" s="1266"/>
      <c r="IXZ27" s="1266"/>
      <c r="IYA27" s="1266"/>
      <c r="IYB27" s="1266"/>
      <c r="IYC27" s="1266"/>
      <c r="IYD27" s="1266"/>
      <c r="IYE27" s="1266"/>
      <c r="IYF27" s="1266"/>
      <c r="IYG27" s="1266"/>
      <c r="IYH27" s="1266"/>
      <c r="IYI27" s="1266"/>
      <c r="IYJ27" s="1266"/>
      <c r="IYK27" s="1266"/>
      <c r="IYL27" s="1266"/>
      <c r="IYM27" s="1266"/>
      <c r="IYN27" s="1266"/>
      <c r="IYO27" s="1266"/>
      <c r="IYP27" s="1266"/>
      <c r="IYQ27" s="1266"/>
      <c r="IYR27" s="1266"/>
      <c r="IYS27" s="1266"/>
      <c r="IYT27" s="1266"/>
      <c r="IYU27" s="1266"/>
      <c r="IYV27" s="1266"/>
      <c r="IYW27" s="1266"/>
      <c r="IYX27" s="1266"/>
      <c r="IYY27" s="1266"/>
      <c r="IYZ27" s="1266"/>
      <c r="IZA27" s="1266"/>
      <c r="IZB27" s="1266"/>
      <c r="IZC27" s="1266"/>
      <c r="IZD27" s="1266"/>
      <c r="IZE27" s="1266"/>
      <c r="IZF27" s="1266"/>
      <c r="IZG27" s="1266"/>
      <c r="IZH27" s="1266"/>
      <c r="IZI27" s="1266"/>
      <c r="IZJ27" s="1266"/>
      <c r="IZK27" s="1266"/>
      <c r="IZL27" s="1266"/>
      <c r="IZM27" s="1266"/>
      <c r="IZN27" s="1266"/>
      <c r="IZO27" s="1266"/>
      <c r="IZP27" s="1266"/>
      <c r="IZQ27" s="1266"/>
      <c r="IZR27" s="1266"/>
      <c r="IZS27" s="1266"/>
      <c r="IZT27" s="1266"/>
      <c r="IZU27" s="1266"/>
      <c r="IZV27" s="1266"/>
      <c r="IZW27" s="1266"/>
      <c r="IZX27" s="1266"/>
      <c r="IZY27" s="1266"/>
      <c r="IZZ27" s="1266"/>
      <c r="JAA27" s="1266"/>
      <c r="JAB27" s="1266"/>
      <c r="JAC27" s="1266"/>
      <c r="JAD27" s="1266"/>
      <c r="JAE27" s="1266"/>
      <c r="JAF27" s="1266"/>
      <c r="JAG27" s="1266"/>
      <c r="JAH27" s="1266"/>
      <c r="JAI27" s="1266"/>
      <c r="JAJ27" s="1266"/>
      <c r="JAK27" s="1266"/>
      <c r="JAL27" s="1266"/>
      <c r="JAM27" s="1266"/>
      <c r="JAN27" s="1266"/>
      <c r="JAO27" s="1266"/>
      <c r="JAP27" s="1266"/>
      <c r="JAQ27" s="1266"/>
      <c r="JAR27" s="1266"/>
      <c r="JAS27" s="1266"/>
      <c r="JAT27" s="1266"/>
      <c r="JAU27" s="1266"/>
      <c r="JAV27" s="1266"/>
      <c r="JAW27" s="1266"/>
      <c r="JAX27" s="1266"/>
      <c r="JAY27" s="1266"/>
      <c r="JAZ27" s="1266"/>
      <c r="JBA27" s="1266"/>
      <c r="JBB27" s="1266"/>
      <c r="JBC27" s="1266"/>
      <c r="JBD27" s="1266"/>
      <c r="JBE27" s="1266"/>
      <c r="JBF27" s="1266"/>
      <c r="JBG27" s="1266"/>
      <c r="JBH27" s="1266"/>
      <c r="JBI27" s="1266"/>
      <c r="JBJ27" s="1266"/>
      <c r="JBK27" s="1266"/>
      <c r="JBL27" s="1266"/>
      <c r="JBM27" s="1266"/>
      <c r="JBN27" s="1266"/>
      <c r="JBO27" s="1266"/>
      <c r="JBP27" s="1266"/>
      <c r="JBQ27" s="1266"/>
      <c r="JBR27" s="1266"/>
      <c r="JBS27" s="1266"/>
      <c r="JBT27" s="1266"/>
      <c r="JBU27" s="1266"/>
      <c r="JBV27" s="1266"/>
      <c r="JBW27" s="1266"/>
      <c r="JBX27" s="1266"/>
      <c r="JBY27" s="1266"/>
      <c r="JBZ27" s="1266"/>
      <c r="JCA27" s="1266"/>
      <c r="JCB27" s="1266"/>
      <c r="JCC27" s="1266"/>
      <c r="JCD27" s="1266"/>
      <c r="JCE27" s="1266"/>
      <c r="JCF27" s="1266"/>
      <c r="JCG27" s="1266"/>
      <c r="JCH27" s="1266"/>
      <c r="JCI27" s="1266"/>
      <c r="JCJ27" s="1266"/>
      <c r="JCK27" s="1266"/>
      <c r="JCL27" s="1266"/>
      <c r="JCM27" s="1266"/>
      <c r="JCN27" s="1266"/>
      <c r="JCO27" s="1266"/>
      <c r="JCP27" s="1266"/>
      <c r="JCQ27" s="1266"/>
      <c r="JCR27" s="1266"/>
      <c r="JCS27" s="1266"/>
      <c r="JCT27" s="1266"/>
      <c r="JCU27" s="1266"/>
      <c r="JCV27" s="1266"/>
      <c r="JCW27" s="1266"/>
      <c r="JCX27" s="1266"/>
      <c r="JCY27" s="1266"/>
      <c r="JCZ27" s="1266"/>
      <c r="JDA27" s="1266"/>
      <c r="JDB27" s="1266"/>
      <c r="JDC27" s="1266"/>
      <c r="JDD27" s="1266"/>
      <c r="JDE27" s="1266"/>
      <c r="JDF27" s="1266"/>
      <c r="JDG27" s="1266"/>
      <c r="JDH27" s="1266"/>
      <c r="JDI27" s="1266"/>
      <c r="JDJ27" s="1266"/>
      <c r="JDK27" s="1266"/>
      <c r="JDL27" s="1266"/>
      <c r="JDM27" s="1266"/>
      <c r="JDN27" s="1266"/>
      <c r="JDO27" s="1266"/>
      <c r="JDP27" s="1266"/>
      <c r="JDQ27" s="1266"/>
      <c r="JDR27" s="1266"/>
      <c r="JDS27" s="1266"/>
      <c r="JDT27" s="1266"/>
      <c r="JDU27" s="1266"/>
      <c r="JDV27" s="1266"/>
      <c r="JDW27" s="1266"/>
      <c r="JDX27" s="1266"/>
      <c r="JDY27" s="1266"/>
      <c r="JDZ27" s="1266"/>
      <c r="JEA27" s="1266"/>
      <c r="JEB27" s="1266"/>
      <c r="JEC27" s="1266"/>
      <c r="JED27" s="1266"/>
      <c r="JEE27" s="1266"/>
      <c r="JEF27" s="1266"/>
      <c r="JEG27" s="1266"/>
      <c r="JEH27" s="1266"/>
      <c r="JEI27" s="1266"/>
      <c r="JEJ27" s="1266"/>
      <c r="JEK27" s="1266"/>
      <c r="JEL27" s="1266"/>
      <c r="JEM27" s="1266"/>
      <c r="JEN27" s="1266"/>
      <c r="JEO27" s="1266"/>
      <c r="JEP27" s="1266"/>
      <c r="JEQ27" s="1266"/>
      <c r="JER27" s="1266"/>
      <c r="JES27" s="1266"/>
      <c r="JET27" s="1266"/>
      <c r="JEU27" s="1266"/>
      <c r="JEV27" s="1266"/>
      <c r="JEW27" s="1266"/>
      <c r="JEX27" s="1266"/>
      <c r="JEY27" s="1266"/>
      <c r="JEZ27" s="1266"/>
      <c r="JFA27" s="1266"/>
      <c r="JFB27" s="1266"/>
      <c r="JFC27" s="1266"/>
      <c r="JFD27" s="1266"/>
      <c r="JFE27" s="1266"/>
      <c r="JFF27" s="1266"/>
      <c r="JFG27" s="1266"/>
      <c r="JFH27" s="1266"/>
      <c r="JFI27" s="1266"/>
      <c r="JFJ27" s="1266"/>
      <c r="JFK27" s="1266"/>
      <c r="JFL27" s="1266"/>
      <c r="JFM27" s="1266"/>
      <c r="JFN27" s="1266"/>
      <c r="JFO27" s="1266"/>
      <c r="JFP27" s="1266"/>
      <c r="JFQ27" s="1266"/>
      <c r="JFR27" s="1266"/>
      <c r="JFS27" s="1266"/>
      <c r="JFT27" s="1266"/>
      <c r="JFU27" s="1266"/>
      <c r="JFV27" s="1266"/>
      <c r="JFW27" s="1266"/>
      <c r="JFX27" s="1266"/>
      <c r="JFY27" s="1266"/>
      <c r="JFZ27" s="1266"/>
      <c r="JGA27" s="1266"/>
      <c r="JGB27" s="1266"/>
      <c r="JGC27" s="1266"/>
      <c r="JGD27" s="1266"/>
      <c r="JGE27" s="1266"/>
      <c r="JGF27" s="1266"/>
      <c r="JGG27" s="1266"/>
      <c r="JGH27" s="1266"/>
      <c r="JGI27" s="1266"/>
      <c r="JGJ27" s="1266"/>
      <c r="JGK27" s="1266"/>
      <c r="JGL27" s="1266"/>
      <c r="JGM27" s="1266"/>
      <c r="JGN27" s="1266"/>
      <c r="JGO27" s="1266"/>
      <c r="JGP27" s="1266"/>
      <c r="JGQ27" s="1266"/>
      <c r="JGR27" s="1266"/>
      <c r="JGS27" s="1266"/>
      <c r="JGT27" s="1266"/>
      <c r="JGU27" s="1266"/>
      <c r="JGV27" s="1266"/>
      <c r="JGW27" s="1266"/>
      <c r="JGX27" s="1266"/>
      <c r="JGY27" s="1266"/>
      <c r="JGZ27" s="1266"/>
      <c r="JHA27" s="1266"/>
      <c r="JHB27" s="1266"/>
      <c r="JHC27" s="1266"/>
      <c r="JHD27" s="1266"/>
      <c r="JHE27" s="1266"/>
      <c r="JHF27" s="1266"/>
      <c r="JHG27" s="1266"/>
      <c r="JHH27" s="1266"/>
      <c r="JHI27" s="1266"/>
      <c r="JHJ27" s="1266"/>
      <c r="JHK27" s="1266"/>
      <c r="JHL27" s="1266"/>
      <c r="JHM27" s="1266"/>
      <c r="JHN27" s="1266"/>
      <c r="JHO27" s="1266"/>
      <c r="JHP27" s="1266"/>
      <c r="JHQ27" s="1266"/>
      <c r="JHR27" s="1266"/>
      <c r="JHS27" s="1266"/>
      <c r="JHT27" s="1266"/>
      <c r="JHU27" s="1266"/>
      <c r="JHV27" s="1266"/>
      <c r="JHW27" s="1266"/>
      <c r="JHX27" s="1266"/>
      <c r="JHY27" s="1266"/>
      <c r="JHZ27" s="1266"/>
      <c r="JIA27" s="1266"/>
      <c r="JIB27" s="1266"/>
      <c r="JIC27" s="1266"/>
      <c r="JID27" s="1266"/>
      <c r="JIE27" s="1266"/>
      <c r="JIF27" s="1266"/>
      <c r="JIG27" s="1266"/>
      <c r="JIH27" s="1266"/>
      <c r="JII27" s="1266"/>
      <c r="JIJ27" s="1266"/>
      <c r="JIK27" s="1266"/>
      <c r="JIL27" s="1266"/>
      <c r="JIM27" s="1266"/>
      <c r="JIN27" s="1266"/>
      <c r="JIO27" s="1266"/>
      <c r="JIP27" s="1266"/>
      <c r="JIQ27" s="1266"/>
      <c r="JIR27" s="1266"/>
      <c r="JIS27" s="1266"/>
      <c r="JIT27" s="1266"/>
      <c r="JIU27" s="1266"/>
      <c r="JIV27" s="1266"/>
      <c r="JIW27" s="1266"/>
      <c r="JIX27" s="1266"/>
      <c r="JIY27" s="1266"/>
      <c r="JIZ27" s="1266"/>
      <c r="JJA27" s="1266"/>
      <c r="JJB27" s="1266"/>
      <c r="JJC27" s="1266"/>
      <c r="JJD27" s="1266"/>
      <c r="JJE27" s="1266"/>
      <c r="JJF27" s="1266"/>
      <c r="JJG27" s="1266"/>
      <c r="JJH27" s="1266"/>
      <c r="JJI27" s="1266"/>
      <c r="JJJ27" s="1266"/>
      <c r="JJK27" s="1266"/>
      <c r="JJL27" s="1266"/>
      <c r="JJM27" s="1266"/>
      <c r="JJN27" s="1266"/>
      <c r="JJO27" s="1266"/>
      <c r="JJP27" s="1266"/>
      <c r="JJQ27" s="1266"/>
      <c r="JJR27" s="1266"/>
      <c r="JJS27" s="1266"/>
      <c r="JJT27" s="1266"/>
      <c r="JJU27" s="1266"/>
      <c r="JJV27" s="1266"/>
      <c r="JJW27" s="1266"/>
      <c r="JJX27" s="1266"/>
      <c r="JJY27" s="1266"/>
      <c r="JJZ27" s="1266"/>
      <c r="JKA27" s="1266"/>
      <c r="JKB27" s="1266"/>
      <c r="JKC27" s="1266"/>
      <c r="JKD27" s="1266"/>
      <c r="JKE27" s="1266"/>
      <c r="JKF27" s="1266"/>
      <c r="JKG27" s="1266"/>
      <c r="JKH27" s="1266"/>
      <c r="JKI27" s="1266"/>
      <c r="JKJ27" s="1266"/>
      <c r="JKK27" s="1266"/>
      <c r="JKL27" s="1266"/>
      <c r="JKM27" s="1266"/>
      <c r="JKN27" s="1266"/>
      <c r="JKO27" s="1266"/>
      <c r="JKP27" s="1266"/>
      <c r="JKQ27" s="1266"/>
      <c r="JKR27" s="1266"/>
      <c r="JKS27" s="1266"/>
      <c r="JKT27" s="1266"/>
      <c r="JKU27" s="1266"/>
      <c r="JKV27" s="1266"/>
      <c r="JKW27" s="1266"/>
      <c r="JKX27" s="1266"/>
      <c r="JKY27" s="1266"/>
      <c r="JKZ27" s="1266"/>
      <c r="JLA27" s="1266"/>
      <c r="JLB27" s="1266"/>
      <c r="JLC27" s="1266"/>
      <c r="JLD27" s="1266"/>
      <c r="JLE27" s="1266"/>
      <c r="JLF27" s="1266"/>
      <c r="JLG27" s="1266"/>
      <c r="JLH27" s="1266"/>
      <c r="JLI27" s="1266"/>
      <c r="JLJ27" s="1266"/>
      <c r="JLK27" s="1266"/>
      <c r="JLL27" s="1266"/>
      <c r="JLM27" s="1266"/>
      <c r="JLN27" s="1266"/>
      <c r="JLO27" s="1266"/>
      <c r="JLP27" s="1266"/>
      <c r="JLQ27" s="1266"/>
      <c r="JLR27" s="1266"/>
      <c r="JLS27" s="1266"/>
      <c r="JLT27" s="1266"/>
      <c r="JLU27" s="1266"/>
      <c r="JLV27" s="1266"/>
      <c r="JLW27" s="1266"/>
      <c r="JLX27" s="1266"/>
      <c r="JLY27" s="1266"/>
      <c r="JLZ27" s="1266"/>
      <c r="JMA27" s="1266"/>
      <c r="JMB27" s="1266"/>
      <c r="JMC27" s="1266"/>
      <c r="JMD27" s="1266"/>
      <c r="JME27" s="1266"/>
      <c r="JMF27" s="1266"/>
      <c r="JMG27" s="1266"/>
      <c r="JMH27" s="1266"/>
      <c r="JMI27" s="1266"/>
      <c r="JMJ27" s="1266"/>
      <c r="JMK27" s="1266"/>
      <c r="JML27" s="1266"/>
      <c r="JMM27" s="1266"/>
      <c r="JMN27" s="1266"/>
      <c r="JMO27" s="1266"/>
      <c r="JMP27" s="1266"/>
      <c r="JMQ27" s="1266"/>
      <c r="JMR27" s="1266"/>
      <c r="JMS27" s="1266"/>
      <c r="JMT27" s="1266"/>
      <c r="JMU27" s="1266"/>
      <c r="JMV27" s="1266"/>
      <c r="JMW27" s="1266"/>
      <c r="JMX27" s="1266"/>
      <c r="JMY27" s="1266"/>
      <c r="JMZ27" s="1266"/>
      <c r="JNA27" s="1266"/>
      <c r="JNB27" s="1266"/>
      <c r="JNC27" s="1266"/>
      <c r="JND27" s="1266"/>
      <c r="JNE27" s="1266"/>
      <c r="JNF27" s="1266"/>
      <c r="JNG27" s="1266"/>
      <c r="JNH27" s="1266"/>
      <c r="JNI27" s="1266"/>
      <c r="JNJ27" s="1266"/>
      <c r="JNK27" s="1266"/>
      <c r="JNL27" s="1266"/>
      <c r="JNM27" s="1266"/>
      <c r="JNN27" s="1266"/>
      <c r="JNO27" s="1266"/>
      <c r="JNP27" s="1266"/>
      <c r="JNQ27" s="1266"/>
      <c r="JNR27" s="1266"/>
      <c r="JNS27" s="1266"/>
      <c r="JNT27" s="1266"/>
      <c r="JNU27" s="1266"/>
      <c r="JNV27" s="1266"/>
      <c r="JNW27" s="1266"/>
      <c r="JNX27" s="1266"/>
      <c r="JNY27" s="1266"/>
      <c r="JNZ27" s="1266"/>
      <c r="JOA27" s="1266"/>
      <c r="JOB27" s="1266"/>
      <c r="JOC27" s="1266"/>
      <c r="JOD27" s="1266"/>
      <c r="JOE27" s="1266"/>
      <c r="JOF27" s="1266"/>
      <c r="JOG27" s="1266"/>
      <c r="JOH27" s="1266"/>
      <c r="JOI27" s="1266"/>
      <c r="JOJ27" s="1266"/>
      <c r="JOK27" s="1266"/>
      <c r="JOL27" s="1266"/>
      <c r="JOM27" s="1266"/>
      <c r="JON27" s="1266"/>
      <c r="JOO27" s="1266"/>
      <c r="JOP27" s="1266"/>
      <c r="JOQ27" s="1266"/>
      <c r="JOR27" s="1266"/>
      <c r="JOS27" s="1266"/>
      <c r="JOT27" s="1266"/>
      <c r="JOU27" s="1266"/>
      <c r="JOV27" s="1266"/>
      <c r="JOW27" s="1266"/>
      <c r="JOX27" s="1266"/>
      <c r="JOY27" s="1266"/>
      <c r="JOZ27" s="1266"/>
      <c r="JPA27" s="1266"/>
      <c r="JPB27" s="1266"/>
      <c r="JPC27" s="1266"/>
      <c r="JPD27" s="1266"/>
      <c r="JPE27" s="1266"/>
      <c r="JPF27" s="1266"/>
      <c r="JPG27" s="1266"/>
      <c r="JPH27" s="1266"/>
      <c r="JPI27" s="1266"/>
      <c r="JPJ27" s="1266"/>
      <c r="JPK27" s="1266"/>
      <c r="JPL27" s="1266"/>
      <c r="JPM27" s="1266"/>
      <c r="JPN27" s="1266"/>
      <c r="JPO27" s="1266"/>
      <c r="JPP27" s="1266"/>
      <c r="JPQ27" s="1266"/>
      <c r="JPR27" s="1266"/>
      <c r="JPS27" s="1266"/>
      <c r="JPT27" s="1266"/>
      <c r="JPU27" s="1266"/>
      <c r="JPV27" s="1266"/>
      <c r="JPW27" s="1266"/>
      <c r="JPX27" s="1266"/>
      <c r="JPY27" s="1266"/>
      <c r="JPZ27" s="1266"/>
      <c r="JQA27" s="1266"/>
      <c r="JQB27" s="1266"/>
      <c r="JQC27" s="1266"/>
      <c r="JQD27" s="1266"/>
      <c r="JQE27" s="1266"/>
      <c r="JQF27" s="1266"/>
      <c r="JQG27" s="1266"/>
      <c r="JQH27" s="1266"/>
      <c r="JQI27" s="1266"/>
      <c r="JQJ27" s="1266"/>
      <c r="JQK27" s="1266"/>
      <c r="JQL27" s="1266"/>
      <c r="JQM27" s="1266"/>
      <c r="JQN27" s="1266"/>
      <c r="JQO27" s="1266"/>
      <c r="JQP27" s="1266"/>
      <c r="JQQ27" s="1266"/>
      <c r="JQR27" s="1266"/>
      <c r="JQS27" s="1266"/>
      <c r="JQT27" s="1266"/>
      <c r="JQU27" s="1266"/>
      <c r="JQV27" s="1266"/>
      <c r="JQW27" s="1266"/>
      <c r="JQX27" s="1266"/>
      <c r="JQY27" s="1266"/>
      <c r="JQZ27" s="1266"/>
      <c r="JRA27" s="1266"/>
      <c r="JRB27" s="1266"/>
      <c r="JRC27" s="1266"/>
      <c r="JRD27" s="1266"/>
      <c r="JRE27" s="1266"/>
      <c r="JRF27" s="1266"/>
      <c r="JRG27" s="1266"/>
      <c r="JRH27" s="1266"/>
      <c r="JRI27" s="1266"/>
      <c r="JRJ27" s="1266"/>
      <c r="JRK27" s="1266"/>
      <c r="JRL27" s="1266"/>
      <c r="JRM27" s="1266"/>
      <c r="JRN27" s="1266"/>
      <c r="JRO27" s="1266"/>
      <c r="JRP27" s="1266"/>
      <c r="JRQ27" s="1266"/>
      <c r="JRR27" s="1266"/>
      <c r="JRS27" s="1266"/>
      <c r="JRT27" s="1266"/>
      <c r="JRU27" s="1266"/>
      <c r="JRV27" s="1266"/>
      <c r="JRW27" s="1266"/>
      <c r="JRX27" s="1266"/>
      <c r="JRY27" s="1266"/>
      <c r="JRZ27" s="1266"/>
      <c r="JSA27" s="1266"/>
      <c r="JSB27" s="1266"/>
      <c r="JSC27" s="1266"/>
      <c r="JSD27" s="1266"/>
      <c r="JSE27" s="1266"/>
      <c r="JSF27" s="1266"/>
      <c r="JSG27" s="1266"/>
      <c r="JSH27" s="1266"/>
      <c r="JSI27" s="1266"/>
      <c r="JSJ27" s="1266"/>
      <c r="JSK27" s="1266"/>
      <c r="JSL27" s="1266"/>
      <c r="JSM27" s="1266"/>
      <c r="JSN27" s="1266"/>
      <c r="JSO27" s="1266"/>
      <c r="JSP27" s="1266"/>
      <c r="JSQ27" s="1266"/>
      <c r="JSR27" s="1266"/>
      <c r="JSS27" s="1266"/>
      <c r="JST27" s="1266"/>
      <c r="JSU27" s="1266"/>
      <c r="JSV27" s="1266"/>
      <c r="JSW27" s="1266"/>
      <c r="JSX27" s="1266"/>
      <c r="JSY27" s="1266"/>
      <c r="JSZ27" s="1266"/>
      <c r="JTA27" s="1266"/>
      <c r="JTB27" s="1266"/>
      <c r="JTC27" s="1266"/>
      <c r="JTD27" s="1266"/>
      <c r="JTE27" s="1266"/>
      <c r="JTF27" s="1266"/>
      <c r="JTG27" s="1266"/>
      <c r="JTH27" s="1266"/>
      <c r="JTI27" s="1266"/>
      <c r="JTJ27" s="1266"/>
      <c r="JTK27" s="1266"/>
      <c r="JTL27" s="1266"/>
      <c r="JTM27" s="1266"/>
      <c r="JTN27" s="1266"/>
      <c r="JTO27" s="1266"/>
      <c r="JTP27" s="1266"/>
      <c r="JTQ27" s="1266"/>
      <c r="JTR27" s="1266"/>
      <c r="JTS27" s="1266"/>
      <c r="JTT27" s="1266"/>
      <c r="JTU27" s="1266"/>
      <c r="JTV27" s="1266"/>
      <c r="JTW27" s="1266"/>
      <c r="JTX27" s="1266"/>
      <c r="JTY27" s="1266"/>
      <c r="JTZ27" s="1266"/>
      <c r="JUA27" s="1266"/>
      <c r="JUB27" s="1266"/>
      <c r="JUC27" s="1266"/>
      <c r="JUD27" s="1266"/>
      <c r="JUE27" s="1266"/>
      <c r="JUF27" s="1266"/>
      <c r="JUG27" s="1266"/>
      <c r="JUH27" s="1266"/>
      <c r="JUI27" s="1266"/>
      <c r="JUJ27" s="1266"/>
      <c r="JUK27" s="1266"/>
      <c r="JUL27" s="1266"/>
      <c r="JUM27" s="1266"/>
      <c r="JUN27" s="1266"/>
      <c r="JUO27" s="1266"/>
      <c r="JUP27" s="1266"/>
      <c r="JUQ27" s="1266"/>
      <c r="JUR27" s="1266"/>
      <c r="JUS27" s="1266"/>
      <c r="JUT27" s="1266"/>
      <c r="JUU27" s="1266"/>
      <c r="JUV27" s="1266"/>
      <c r="JUW27" s="1266"/>
      <c r="JUX27" s="1266"/>
      <c r="JUY27" s="1266"/>
      <c r="JUZ27" s="1266"/>
      <c r="JVA27" s="1266"/>
      <c r="JVB27" s="1266"/>
      <c r="JVC27" s="1266"/>
      <c r="JVD27" s="1266"/>
      <c r="JVE27" s="1266"/>
      <c r="JVF27" s="1266"/>
      <c r="JVG27" s="1266"/>
      <c r="JVH27" s="1266"/>
      <c r="JVI27" s="1266"/>
      <c r="JVJ27" s="1266"/>
      <c r="JVK27" s="1266"/>
      <c r="JVL27" s="1266"/>
      <c r="JVM27" s="1266"/>
      <c r="JVN27" s="1266"/>
      <c r="JVO27" s="1266"/>
      <c r="JVP27" s="1266"/>
      <c r="JVQ27" s="1266"/>
      <c r="JVR27" s="1266"/>
      <c r="JVS27" s="1266"/>
      <c r="JVT27" s="1266"/>
      <c r="JVU27" s="1266"/>
      <c r="JVV27" s="1266"/>
      <c r="JVW27" s="1266"/>
      <c r="JVX27" s="1266"/>
      <c r="JVY27" s="1266"/>
      <c r="JVZ27" s="1266"/>
      <c r="JWA27" s="1266"/>
      <c r="JWB27" s="1266"/>
      <c r="JWC27" s="1266"/>
      <c r="JWD27" s="1266"/>
      <c r="JWE27" s="1266"/>
      <c r="JWF27" s="1266"/>
      <c r="JWG27" s="1266"/>
      <c r="JWH27" s="1266"/>
      <c r="JWI27" s="1266"/>
      <c r="JWJ27" s="1266"/>
      <c r="JWK27" s="1266"/>
      <c r="JWL27" s="1266"/>
      <c r="JWM27" s="1266"/>
      <c r="JWN27" s="1266"/>
      <c r="JWO27" s="1266"/>
      <c r="JWP27" s="1266"/>
      <c r="JWQ27" s="1266"/>
      <c r="JWR27" s="1266"/>
      <c r="JWS27" s="1266"/>
      <c r="JWT27" s="1266"/>
      <c r="JWU27" s="1266"/>
      <c r="JWV27" s="1266"/>
      <c r="JWW27" s="1266"/>
      <c r="JWX27" s="1266"/>
      <c r="JWY27" s="1266"/>
      <c r="JWZ27" s="1266"/>
      <c r="JXA27" s="1266"/>
      <c r="JXB27" s="1266"/>
      <c r="JXC27" s="1266"/>
      <c r="JXD27" s="1266"/>
      <c r="JXE27" s="1266"/>
      <c r="JXF27" s="1266"/>
      <c r="JXG27" s="1266"/>
      <c r="JXH27" s="1266"/>
      <c r="JXI27" s="1266"/>
      <c r="JXJ27" s="1266"/>
      <c r="JXK27" s="1266"/>
      <c r="JXL27" s="1266"/>
      <c r="JXM27" s="1266"/>
      <c r="JXN27" s="1266"/>
      <c r="JXO27" s="1266"/>
      <c r="JXP27" s="1266"/>
      <c r="JXQ27" s="1266"/>
      <c r="JXR27" s="1266"/>
      <c r="JXS27" s="1266"/>
      <c r="JXT27" s="1266"/>
      <c r="JXU27" s="1266"/>
      <c r="JXV27" s="1266"/>
      <c r="JXW27" s="1266"/>
      <c r="JXX27" s="1266"/>
      <c r="JXY27" s="1266"/>
      <c r="JXZ27" s="1266"/>
      <c r="JYA27" s="1266"/>
      <c r="JYB27" s="1266"/>
      <c r="JYC27" s="1266"/>
      <c r="JYD27" s="1266"/>
      <c r="JYE27" s="1266"/>
      <c r="JYF27" s="1266"/>
      <c r="JYG27" s="1266"/>
      <c r="JYH27" s="1266"/>
      <c r="JYI27" s="1266"/>
      <c r="JYJ27" s="1266"/>
      <c r="JYK27" s="1266"/>
      <c r="JYL27" s="1266"/>
      <c r="JYM27" s="1266"/>
      <c r="JYN27" s="1266"/>
      <c r="JYO27" s="1266"/>
      <c r="JYP27" s="1266"/>
      <c r="JYQ27" s="1266"/>
      <c r="JYR27" s="1266"/>
      <c r="JYS27" s="1266"/>
      <c r="JYT27" s="1266"/>
      <c r="JYU27" s="1266"/>
      <c r="JYV27" s="1266"/>
      <c r="JYW27" s="1266"/>
      <c r="JYX27" s="1266"/>
      <c r="JYY27" s="1266"/>
      <c r="JYZ27" s="1266"/>
      <c r="JZA27" s="1266"/>
      <c r="JZB27" s="1266"/>
      <c r="JZC27" s="1266"/>
      <c r="JZD27" s="1266"/>
      <c r="JZE27" s="1266"/>
      <c r="JZF27" s="1266"/>
      <c r="JZG27" s="1266"/>
      <c r="JZH27" s="1266"/>
      <c r="JZI27" s="1266"/>
      <c r="JZJ27" s="1266"/>
      <c r="JZK27" s="1266"/>
      <c r="JZL27" s="1266"/>
      <c r="JZM27" s="1266"/>
      <c r="JZN27" s="1266"/>
      <c r="JZO27" s="1266"/>
      <c r="JZP27" s="1266"/>
      <c r="JZQ27" s="1266"/>
      <c r="JZR27" s="1266"/>
      <c r="JZS27" s="1266"/>
      <c r="JZT27" s="1266"/>
      <c r="JZU27" s="1266"/>
      <c r="JZV27" s="1266"/>
      <c r="JZW27" s="1266"/>
      <c r="JZX27" s="1266"/>
      <c r="JZY27" s="1266"/>
      <c r="JZZ27" s="1266"/>
      <c r="KAA27" s="1266"/>
      <c r="KAB27" s="1266"/>
      <c r="KAC27" s="1266"/>
      <c r="KAD27" s="1266"/>
      <c r="KAE27" s="1266"/>
      <c r="KAF27" s="1266"/>
      <c r="KAG27" s="1266"/>
      <c r="KAH27" s="1266"/>
      <c r="KAI27" s="1266"/>
      <c r="KAJ27" s="1266"/>
      <c r="KAK27" s="1266"/>
      <c r="KAL27" s="1266"/>
      <c r="KAM27" s="1266"/>
      <c r="KAN27" s="1266"/>
      <c r="KAO27" s="1266"/>
      <c r="KAP27" s="1266"/>
      <c r="KAQ27" s="1266"/>
      <c r="KAR27" s="1266"/>
      <c r="KAS27" s="1266"/>
      <c r="KAT27" s="1266"/>
      <c r="KAU27" s="1266"/>
      <c r="KAV27" s="1266"/>
      <c r="KAW27" s="1266"/>
      <c r="KAX27" s="1266"/>
      <c r="KAY27" s="1266"/>
      <c r="KAZ27" s="1266"/>
      <c r="KBA27" s="1266"/>
      <c r="KBB27" s="1266"/>
      <c r="KBC27" s="1266"/>
      <c r="KBD27" s="1266"/>
      <c r="KBE27" s="1266"/>
      <c r="KBF27" s="1266"/>
      <c r="KBG27" s="1266"/>
      <c r="KBH27" s="1266"/>
      <c r="KBI27" s="1266"/>
      <c r="KBJ27" s="1266"/>
      <c r="KBK27" s="1266"/>
      <c r="KBL27" s="1266"/>
      <c r="KBM27" s="1266"/>
      <c r="KBN27" s="1266"/>
      <c r="KBO27" s="1266"/>
      <c r="KBP27" s="1266"/>
      <c r="KBQ27" s="1266"/>
      <c r="KBR27" s="1266"/>
      <c r="KBS27" s="1266"/>
      <c r="KBT27" s="1266"/>
      <c r="KBU27" s="1266"/>
      <c r="KBV27" s="1266"/>
      <c r="KBW27" s="1266"/>
      <c r="KBX27" s="1266"/>
      <c r="KBY27" s="1266"/>
      <c r="KBZ27" s="1266"/>
      <c r="KCA27" s="1266"/>
      <c r="KCB27" s="1266"/>
      <c r="KCC27" s="1266"/>
      <c r="KCD27" s="1266"/>
      <c r="KCE27" s="1266"/>
      <c r="KCF27" s="1266"/>
      <c r="KCG27" s="1266"/>
      <c r="KCH27" s="1266"/>
      <c r="KCI27" s="1266"/>
      <c r="KCJ27" s="1266"/>
      <c r="KCK27" s="1266"/>
      <c r="KCL27" s="1266"/>
      <c r="KCM27" s="1266"/>
      <c r="KCN27" s="1266"/>
      <c r="KCO27" s="1266"/>
      <c r="KCP27" s="1266"/>
      <c r="KCQ27" s="1266"/>
      <c r="KCR27" s="1266"/>
      <c r="KCS27" s="1266"/>
      <c r="KCT27" s="1266"/>
      <c r="KCU27" s="1266"/>
      <c r="KCV27" s="1266"/>
      <c r="KCW27" s="1266"/>
      <c r="KCX27" s="1266"/>
      <c r="KCY27" s="1266"/>
      <c r="KCZ27" s="1266"/>
      <c r="KDA27" s="1266"/>
      <c r="KDB27" s="1266"/>
      <c r="KDC27" s="1266"/>
      <c r="KDD27" s="1266"/>
      <c r="KDE27" s="1266"/>
      <c r="KDF27" s="1266"/>
      <c r="KDG27" s="1266"/>
      <c r="KDH27" s="1266"/>
      <c r="KDI27" s="1266"/>
      <c r="KDJ27" s="1266"/>
      <c r="KDK27" s="1266"/>
      <c r="KDL27" s="1266"/>
      <c r="KDM27" s="1266"/>
      <c r="KDN27" s="1266"/>
      <c r="KDO27" s="1266"/>
      <c r="KDP27" s="1266"/>
      <c r="KDQ27" s="1266"/>
      <c r="KDR27" s="1266"/>
      <c r="KDS27" s="1266"/>
      <c r="KDT27" s="1266"/>
      <c r="KDU27" s="1266"/>
      <c r="KDV27" s="1266"/>
      <c r="KDW27" s="1266"/>
      <c r="KDX27" s="1266"/>
      <c r="KDY27" s="1266"/>
      <c r="KDZ27" s="1266"/>
      <c r="KEA27" s="1266"/>
      <c r="KEB27" s="1266"/>
      <c r="KEC27" s="1266"/>
      <c r="KED27" s="1266"/>
      <c r="KEE27" s="1266"/>
      <c r="KEF27" s="1266"/>
      <c r="KEG27" s="1266"/>
      <c r="KEH27" s="1266"/>
      <c r="KEI27" s="1266"/>
      <c r="KEJ27" s="1266"/>
      <c r="KEK27" s="1266"/>
      <c r="KEL27" s="1266"/>
      <c r="KEM27" s="1266"/>
      <c r="KEN27" s="1266"/>
      <c r="KEO27" s="1266"/>
      <c r="KEP27" s="1266"/>
      <c r="KEQ27" s="1266"/>
      <c r="KER27" s="1266"/>
      <c r="KES27" s="1266"/>
      <c r="KET27" s="1266"/>
      <c r="KEU27" s="1266"/>
      <c r="KEV27" s="1266"/>
      <c r="KEW27" s="1266"/>
      <c r="KEX27" s="1266"/>
      <c r="KEY27" s="1266"/>
      <c r="KEZ27" s="1266"/>
      <c r="KFA27" s="1266"/>
      <c r="KFB27" s="1266"/>
      <c r="KFC27" s="1266"/>
      <c r="KFD27" s="1266"/>
      <c r="KFE27" s="1266"/>
      <c r="KFF27" s="1266"/>
      <c r="KFG27" s="1266"/>
      <c r="KFH27" s="1266"/>
      <c r="KFI27" s="1266"/>
      <c r="KFJ27" s="1266"/>
      <c r="KFK27" s="1266"/>
      <c r="KFL27" s="1266"/>
      <c r="KFM27" s="1266"/>
      <c r="KFN27" s="1266"/>
      <c r="KFO27" s="1266"/>
      <c r="KFP27" s="1266"/>
      <c r="KFQ27" s="1266"/>
      <c r="KFR27" s="1266"/>
      <c r="KFS27" s="1266"/>
      <c r="KFT27" s="1266"/>
      <c r="KFU27" s="1266"/>
      <c r="KFV27" s="1266"/>
      <c r="KFW27" s="1266"/>
      <c r="KFX27" s="1266"/>
      <c r="KFY27" s="1266"/>
      <c r="KFZ27" s="1266"/>
      <c r="KGA27" s="1266"/>
      <c r="KGB27" s="1266"/>
      <c r="KGC27" s="1266"/>
      <c r="KGD27" s="1266"/>
      <c r="KGE27" s="1266"/>
      <c r="KGF27" s="1266"/>
      <c r="KGG27" s="1266"/>
      <c r="KGH27" s="1266"/>
      <c r="KGI27" s="1266"/>
      <c r="KGJ27" s="1266"/>
      <c r="KGK27" s="1266"/>
      <c r="KGL27" s="1266"/>
      <c r="KGM27" s="1266"/>
      <c r="KGN27" s="1266"/>
      <c r="KGO27" s="1266"/>
      <c r="KGP27" s="1266"/>
      <c r="KGQ27" s="1266"/>
      <c r="KGR27" s="1266"/>
      <c r="KGS27" s="1266"/>
      <c r="KGT27" s="1266"/>
      <c r="KGU27" s="1266"/>
      <c r="KGV27" s="1266"/>
      <c r="KGW27" s="1266"/>
      <c r="KGX27" s="1266"/>
      <c r="KGY27" s="1266"/>
      <c r="KGZ27" s="1266"/>
      <c r="KHA27" s="1266"/>
      <c r="KHB27" s="1266"/>
      <c r="KHC27" s="1266"/>
      <c r="KHD27" s="1266"/>
      <c r="KHE27" s="1266"/>
      <c r="KHF27" s="1266"/>
      <c r="KHG27" s="1266"/>
      <c r="KHH27" s="1266"/>
      <c r="KHI27" s="1266"/>
      <c r="KHJ27" s="1266"/>
      <c r="KHK27" s="1266"/>
      <c r="KHL27" s="1266"/>
      <c r="KHM27" s="1266"/>
      <c r="KHN27" s="1266"/>
      <c r="KHO27" s="1266"/>
      <c r="KHP27" s="1266"/>
      <c r="KHQ27" s="1266"/>
      <c r="KHR27" s="1266"/>
      <c r="KHS27" s="1266"/>
      <c r="KHT27" s="1266"/>
      <c r="KHU27" s="1266"/>
      <c r="KHV27" s="1266"/>
      <c r="KHW27" s="1266"/>
      <c r="KHX27" s="1266"/>
      <c r="KHY27" s="1266"/>
      <c r="KHZ27" s="1266"/>
      <c r="KIA27" s="1266"/>
      <c r="KIB27" s="1266"/>
      <c r="KIC27" s="1266"/>
      <c r="KID27" s="1266"/>
      <c r="KIE27" s="1266"/>
      <c r="KIF27" s="1266"/>
      <c r="KIG27" s="1266"/>
      <c r="KIH27" s="1266"/>
      <c r="KII27" s="1266"/>
      <c r="KIJ27" s="1266"/>
      <c r="KIK27" s="1266"/>
      <c r="KIL27" s="1266"/>
      <c r="KIM27" s="1266"/>
      <c r="KIN27" s="1266"/>
      <c r="KIO27" s="1266"/>
      <c r="KIP27" s="1266"/>
      <c r="KIQ27" s="1266"/>
      <c r="KIR27" s="1266"/>
      <c r="KIS27" s="1266"/>
      <c r="KIT27" s="1266"/>
      <c r="KIU27" s="1266"/>
      <c r="KIV27" s="1266"/>
      <c r="KIW27" s="1266"/>
      <c r="KIX27" s="1266"/>
      <c r="KIY27" s="1266"/>
      <c r="KIZ27" s="1266"/>
      <c r="KJA27" s="1266"/>
      <c r="KJB27" s="1266"/>
      <c r="KJC27" s="1266"/>
      <c r="KJD27" s="1266"/>
      <c r="KJE27" s="1266"/>
      <c r="KJF27" s="1266"/>
      <c r="KJG27" s="1266"/>
      <c r="KJH27" s="1266"/>
      <c r="KJI27" s="1266"/>
      <c r="KJJ27" s="1266"/>
      <c r="KJK27" s="1266"/>
      <c r="KJL27" s="1266"/>
      <c r="KJM27" s="1266"/>
      <c r="KJN27" s="1266"/>
      <c r="KJO27" s="1266"/>
      <c r="KJP27" s="1266"/>
      <c r="KJQ27" s="1266"/>
      <c r="KJR27" s="1266"/>
      <c r="KJS27" s="1266"/>
      <c r="KJT27" s="1266"/>
      <c r="KJU27" s="1266"/>
      <c r="KJV27" s="1266"/>
      <c r="KJW27" s="1266"/>
      <c r="KJX27" s="1266"/>
      <c r="KJY27" s="1266"/>
      <c r="KJZ27" s="1266"/>
      <c r="KKA27" s="1266"/>
      <c r="KKB27" s="1266"/>
      <c r="KKC27" s="1266"/>
      <c r="KKD27" s="1266"/>
      <c r="KKE27" s="1266"/>
      <c r="KKF27" s="1266"/>
      <c r="KKG27" s="1266"/>
      <c r="KKH27" s="1266"/>
      <c r="KKI27" s="1266"/>
      <c r="KKJ27" s="1266"/>
      <c r="KKK27" s="1266"/>
      <c r="KKL27" s="1266"/>
      <c r="KKM27" s="1266"/>
      <c r="KKN27" s="1266"/>
      <c r="KKO27" s="1266"/>
      <c r="KKP27" s="1266"/>
      <c r="KKQ27" s="1266"/>
      <c r="KKR27" s="1266"/>
      <c r="KKS27" s="1266"/>
      <c r="KKT27" s="1266"/>
      <c r="KKU27" s="1266"/>
      <c r="KKV27" s="1266"/>
      <c r="KKW27" s="1266"/>
      <c r="KKX27" s="1266"/>
      <c r="KKY27" s="1266"/>
      <c r="KKZ27" s="1266"/>
      <c r="KLA27" s="1266"/>
      <c r="KLB27" s="1266"/>
      <c r="KLC27" s="1266"/>
      <c r="KLD27" s="1266"/>
      <c r="KLE27" s="1266"/>
      <c r="KLF27" s="1266"/>
      <c r="KLG27" s="1266"/>
      <c r="KLH27" s="1266"/>
      <c r="KLI27" s="1266"/>
      <c r="KLJ27" s="1266"/>
      <c r="KLK27" s="1266"/>
      <c r="KLL27" s="1266"/>
      <c r="KLM27" s="1266"/>
      <c r="KLN27" s="1266"/>
      <c r="KLO27" s="1266"/>
      <c r="KLP27" s="1266"/>
      <c r="KLQ27" s="1266"/>
      <c r="KLR27" s="1266"/>
      <c r="KLS27" s="1266"/>
      <c r="KLT27" s="1266"/>
      <c r="KLU27" s="1266"/>
      <c r="KLV27" s="1266"/>
      <c r="KLW27" s="1266"/>
      <c r="KLX27" s="1266"/>
      <c r="KLY27" s="1266"/>
      <c r="KLZ27" s="1266"/>
      <c r="KMA27" s="1266"/>
      <c r="KMB27" s="1266"/>
      <c r="KMC27" s="1266"/>
      <c r="KMD27" s="1266"/>
      <c r="KME27" s="1266"/>
      <c r="KMF27" s="1266"/>
      <c r="KMG27" s="1266"/>
      <c r="KMH27" s="1266"/>
      <c r="KMI27" s="1266"/>
      <c r="KMJ27" s="1266"/>
      <c r="KMK27" s="1266"/>
      <c r="KML27" s="1266"/>
      <c r="KMM27" s="1266"/>
      <c r="KMN27" s="1266"/>
      <c r="KMO27" s="1266"/>
      <c r="KMP27" s="1266"/>
      <c r="KMQ27" s="1266"/>
      <c r="KMR27" s="1266"/>
      <c r="KMS27" s="1266"/>
      <c r="KMT27" s="1266"/>
      <c r="KMU27" s="1266"/>
      <c r="KMV27" s="1266"/>
      <c r="KMW27" s="1266"/>
      <c r="KMX27" s="1266"/>
      <c r="KMY27" s="1266"/>
      <c r="KMZ27" s="1266"/>
      <c r="KNA27" s="1266"/>
      <c r="KNB27" s="1266"/>
      <c r="KNC27" s="1266"/>
      <c r="KND27" s="1266"/>
      <c r="KNE27" s="1266"/>
      <c r="KNF27" s="1266"/>
      <c r="KNG27" s="1266"/>
      <c r="KNH27" s="1266"/>
      <c r="KNI27" s="1266"/>
      <c r="KNJ27" s="1266"/>
      <c r="KNK27" s="1266"/>
      <c r="KNL27" s="1266"/>
      <c r="KNM27" s="1266"/>
      <c r="KNN27" s="1266"/>
      <c r="KNO27" s="1266"/>
      <c r="KNP27" s="1266"/>
      <c r="KNQ27" s="1266"/>
      <c r="KNR27" s="1266"/>
      <c r="KNS27" s="1266"/>
      <c r="KNT27" s="1266"/>
      <c r="KNU27" s="1266"/>
      <c r="KNV27" s="1266"/>
      <c r="KNW27" s="1266"/>
      <c r="KNX27" s="1266"/>
      <c r="KNY27" s="1266"/>
      <c r="KNZ27" s="1266"/>
      <c r="KOA27" s="1266"/>
      <c r="KOB27" s="1266"/>
      <c r="KOC27" s="1266"/>
      <c r="KOD27" s="1266"/>
      <c r="KOE27" s="1266"/>
      <c r="KOF27" s="1266"/>
      <c r="KOG27" s="1266"/>
      <c r="KOH27" s="1266"/>
      <c r="KOI27" s="1266"/>
      <c r="KOJ27" s="1266"/>
      <c r="KOK27" s="1266"/>
      <c r="KOL27" s="1266"/>
      <c r="KOM27" s="1266"/>
      <c r="KON27" s="1266"/>
      <c r="KOO27" s="1266"/>
      <c r="KOP27" s="1266"/>
      <c r="KOQ27" s="1266"/>
      <c r="KOR27" s="1266"/>
      <c r="KOS27" s="1266"/>
      <c r="KOT27" s="1266"/>
      <c r="KOU27" s="1266"/>
      <c r="KOV27" s="1266"/>
      <c r="KOW27" s="1266"/>
      <c r="KOX27" s="1266"/>
      <c r="KOY27" s="1266"/>
      <c r="KOZ27" s="1266"/>
      <c r="KPA27" s="1266"/>
      <c r="KPB27" s="1266"/>
      <c r="KPC27" s="1266"/>
      <c r="KPD27" s="1266"/>
      <c r="KPE27" s="1266"/>
      <c r="KPF27" s="1266"/>
      <c r="KPG27" s="1266"/>
      <c r="KPH27" s="1266"/>
      <c r="KPI27" s="1266"/>
      <c r="KPJ27" s="1266"/>
      <c r="KPK27" s="1266"/>
      <c r="KPL27" s="1266"/>
      <c r="KPM27" s="1266"/>
      <c r="KPN27" s="1266"/>
      <c r="KPO27" s="1266"/>
      <c r="KPP27" s="1266"/>
      <c r="KPQ27" s="1266"/>
      <c r="KPR27" s="1266"/>
      <c r="KPS27" s="1266"/>
      <c r="KPT27" s="1266"/>
      <c r="KPU27" s="1266"/>
      <c r="KPV27" s="1266"/>
      <c r="KPW27" s="1266"/>
      <c r="KPX27" s="1266"/>
      <c r="KPY27" s="1266"/>
      <c r="KPZ27" s="1266"/>
      <c r="KQA27" s="1266"/>
      <c r="KQB27" s="1266"/>
      <c r="KQC27" s="1266"/>
      <c r="KQD27" s="1266"/>
      <c r="KQE27" s="1266"/>
      <c r="KQF27" s="1266"/>
      <c r="KQG27" s="1266"/>
      <c r="KQH27" s="1266"/>
      <c r="KQI27" s="1266"/>
      <c r="KQJ27" s="1266"/>
      <c r="KQK27" s="1266"/>
      <c r="KQL27" s="1266"/>
      <c r="KQM27" s="1266"/>
      <c r="KQN27" s="1266"/>
      <c r="KQO27" s="1266"/>
      <c r="KQP27" s="1266"/>
      <c r="KQQ27" s="1266"/>
      <c r="KQR27" s="1266"/>
      <c r="KQS27" s="1266"/>
      <c r="KQT27" s="1266"/>
      <c r="KQU27" s="1266"/>
      <c r="KQV27" s="1266"/>
      <c r="KQW27" s="1266"/>
      <c r="KQX27" s="1266"/>
      <c r="KQY27" s="1266"/>
      <c r="KQZ27" s="1266"/>
      <c r="KRA27" s="1266"/>
      <c r="KRB27" s="1266"/>
      <c r="KRC27" s="1266"/>
      <c r="KRD27" s="1266"/>
      <c r="KRE27" s="1266"/>
      <c r="KRF27" s="1266"/>
      <c r="KRG27" s="1266"/>
      <c r="KRH27" s="1266"/>
      <c r="KRI27" s="1266"/>
      <c r="KRJ27" s="1266"/>
      <c r="KRK27" s="1266"/>
      <c r="KRL27" s="1266"/>
      <c r="KRM27" s="1266"/>
      <c r="KRN27" s="1266"/>
      <c r="KRO27" s="1266"/>
      <c r="KRP27" s="1266"/>
      <c r="KRQ27" s="1266"/>
      <c r="KRR27" s="1266"/>
      <c r="KRS27" s="1266"/>
      <c r="KRT27" s="1266"/>
      <c r="KRU27" s="1266"/>
      <c r="KRV27" s="1266"/>
      <c r="KRW27" s="1266"/>
      <c r="KRX27" s="1266"/>
      <c r="KRY27" s="1266"/>
      <c r="KRZ27" s="1266"/>
      <c r="KSA27" s="1266"/>
      <c r="KSB27" s="1266"/>
      <c r="KSC27" s="1266"/>
      <c r="KSD27" s="1266"/>
      <c r="KSE27" s="1266"/>
      <c r="KSF27" s="1266"/>
      <c r="KSG27" s="1266"/>
      <c r="KSH27" s="1266"/>
      <c r="KSI27" s="1266"/>
      <c r="KSJ27" s="1266"/>
      <c r="KSK27" s="1266"/>
      <c r="KSL27" s="1266"/>
      <c r="KSM27" s="1266"/>
      <c r="KSN27" s="1266"/>
      <c r="KSO27" s="1266"/>
      <c r="KSP27" s="1266"/>
      <c r="KSQ27" s="1266"/>
      <c r="KSR27" s="1266"/>
      <c r="KSS27" s="1266"/>
      <c r="KST27" s="1266"/>
      <c r="KSU27" s="1266"/>
      <c r="KSV27" s="1266"/>
      <c r="KSW27" s="1266"/>
      <c r="KSX27" s="1266"/>
      <c r="KSY27" s="1266"/>
      <c r="KSZ27" s="1266"/>
      <c r="KTA27" s="1266"/>
      <c r="KTB27" s="1266"/>
      <c r="KTC27" s="1266"/>
      <c r="KTD27" s="1266"/>
      <c r="KTE27" s="1266"/>
      <c r="KTF27" s="1266"/>
      <c r="KTG27" s="1266"/>
      <c r="KTH27" s="1266"/>
      <c r="KTI27" s="1266"/>
      <c r="KTJ27" s="1266"/>
      <c r="KTK27" s="1266"/>
      <c r="KTL27" s="1266"/>
      <c r="KTM27" s="1266"/>
      <c r="KTN27" s="1266"/>
      <c r="KTO27" s="1266"/>
      <c r="KTP27" s="1266"/>
      <c r="KTQ27" s="1266"/>
      <c r="KTR27" s="1266"/>
      <c r="KTS27" s="1266"/>
      <c r="KTT27" s="1266"/>
      <c r="KTU27" s="1266"/>
      <c r="KTV27" s="1266"/>
      <c r="KTW27" s="1266"/>
      <c r="KTX27" s="1266"/>
      <c r="KTY27" s="1266"/>
      <c r="KTZ27" s="1266"/>
      <c r="KUA27" s="1266"/>
      <c r="KUB27" s="1266"/>
      <c r="KUC27" s="1266"/>
      <c r="KUD27" s="1266"/>
      <c r="KUE27" s="1266"/>
      <c r="KUF27" s="1266"/>
      <c r="KUG27" s="1266"/>
      <c r="KUH27" s="1266"/>
      <c r="KUI27" s="1266"/>
      <c r="KUJ27" s="1266"/>
      <c r="KUK27" s="1266"/>
      <c r="KUL27" s="1266"/>
      <c r="KUM27" s="1266"/>
      <c r="KUN27" s="1266"/>
      <c r="KUO27" s="1266"/>
      <c r="KUP27" s="1266"/>
      <c r="KUQ27" s="1266"/>
      <c r="KUR27" s="1266"/>
      <c r="KUS27" s="1266"/>
      <c r="KUT27" s="1266"/>
      <c r="KUU27" s="1266"/>
      <c r="KUV27" s="1266"/>
      <c r="KUW27" s="1266"/>
      <c r="KUX27" s="1266"/>
      <c r="KUY27" s="1266"/>
      <c r="KUZ27" s="1266"/>
      <c r="KVA27" s="1266"/>
      <c r="KVB27" s="1266"/>
      <c r="KVC27" s="1266"/>
      <c r="KVD27" s="1266"/>
      <c r="KVE27" s="1266"/>
      <c r="KVF27" s="1266"/>
      <c r="KVG27" s="1266"/>
      <c r="KVH27" s="1266"/>
      <c r="KVI27" s="1266"/>
      <c r="KVJ27" s="1266"/>
      <c r="KVK27" s="1266"/>
      <c r="KVL27" s="1266"/>
      <c r="KVM27" s="1266"/>
      <c r="KVN27" s="1266"/>
      <c r="KVO27" s="1266"/>
      <c r="KVP27" s="1266"/>
      <c r="KVQ27" s="1266"/>
      <c r="KVR27" s="1266"/>
      <c r="KVS27" s="1266"/>
      <c r="KVT27" s="1266"/>
      <c r="KVU27" s="1266"/>
      <c r="KVV27" s="1266"/>
      <c r="KVW27" s="1266"/>
      <c r="KVX27" s="1266"/>
      <c r="KVY27" s="1266"/>
      <c r="KVZ27" s="1266"/>
      <c r="KWA27" s="1266"/>
      <c r="KWB27" s="1266"/>
      <c r="KWC27" s="1266"/>
      <c r="KWD27" s="1266"/>
      <c r="KWE27" s="1266"/>
      <c r="KWF27" s="1266"/>
      <c r="KWG27" s="1266"/>
      <c r="KWH27" s="1266"/>
      <c r="KWI27" s="1266"/>
      <c r="KWJ27" s="1266"/>
      <c r="KWK27" s="1266"/>
      <c r="KWL27" s="1266"/>
      <c r="KWM27" s="1266"/>
      <c r="KWN27" s="1266"/>
      <c r="KWO27" s="1266"/>
      <c r="KWP27" s="1266"/>
      <c r="KWQ27" s="1266"/>
      <c r="KWR27" s="1266"/>
      <c r="KWS27" s="1266"/>
      <c r="KWT27" s="1266"/>
      <c r="KWU27" s="1266"/>
      <c r="KWV27" s="1266"/>
      <c r="KWW27" s="1266"/>
      <c r="KWX27" s="1266"/>
      <c r="KWY27" s="1266"/>
      <c r="KWZ27" s="1266"/>
      <c r="KXA27" s="1266"/>
      <c r="KXB27" s="1266"/>
      <c r="KXC27" s="1266"/>
      <c r="KXD27" s="1266"/>
      <c r="KXE27" s="1266"/>
      <c r="KXF27" s="1266"/>
      <c r="KXG27" s="1266"/>
      <c r="KXH27" s="1266"/>
      <c r="KXI27" s="1266"/>
      <c r="KXJ27" s="1266"/>
      <c r="KXK27" s="1266"/>
      <c r="KXL27" s="1266"/>
      <c r="KXM27" s="1266"/>
      <c r="KXN27" s="1266"/>
      <c r="KXO27" s="1266"/>
      <c r="KXP27" s="1266"/>
      <c r="KXQ27" s="1266"/>
      <c r="KXR27" s="1266"/>
      <c r="KXS27" s="1266"/>
      <c r="KXT27" s="1266"/>
      <c r="KXU27" s="1266"/>
      <c r="KXV27" s="1266"/>
      <c r="KXW27" s="1266"/>
      <c r="KXX27" s="1266"/>
      <c r="KXY27" s="1266"/>
      <c r="KXZ27" s="1266"/>
      <c r="KYA27" s="1266"/>
      <c r="KYB27" s="1266"/>
      <c r="KYC27" s="1266"/>
      <c r="KYD27" s="1266"/>
      <c r="KYE27" s="1266"/>
      <c r="KYF27" s="1266"/>
      <c r="KYG27" s="1266"/>
      <c r="KYH27" s="1266"/>
      <c r="KYI27" s="1266"/>
      <c r="KYJ27" s="1266"/>
      <c r="KYK27" s="1266"/>
      <c r="KYL27" s="1266"/>
      <c r="KYM27" s="1266"/>
      <c r="KYN27" s="1266"/>
      <c r="KYO27" s="1266"/>
      <c r="KYP27" s="1266"/>
      <c r="KYQ27" s="1266"/>
      <c r="KYR27" s="1266"/>
      <c r="KYS27" s="1266"/>
      <c r="KYT27" s="1266"/>
      <c r="KYU27" s="1266"/>
      <c r="KYV27" s="1266"/>
      <c r="KYW27" s="1266"/>
      <c r="KYX27" s="1266"/>
      <c r="KYY27" s="1266"/>
      <c r="KYZ27" s="1266"/>
      <c r="KZA27" s="1266"/>
      <c r="KZB27" s="1266"/>
      <c r="KZC27" s="1266"/>
      <c r="KZD27" s="1266"/>
      <c r="KZE27" s="1266"/>
      <c r="KZF27" s="1266"/>
      <c r="KZG27" s="1266"/>
      <c r="KZH27" s="1266"/>
      <c r="KZI27" s="1266"/>
      <c r="KZJ27" s="1266"/>
      <c r="KZK27" s="1266"/>
      <c r="KZL27" s="1266"/>
      <c r="KZM27" s="1266"/>
      <c r="KZN27" s="1266"/>
      <c r="KZO27" s="1266"/>
      <c r="KZP27" s="1266"/>
      <c r="KZQ27" s="1266"/>
      <c r="KZR27" s="1266"/>
      <c r="KZS27" s="1266"/>
      <c r="KZT27" s="1266"/>
      <c r="KZU27" s="1266"/>
      <c r="KZV27" s="1266"/>
      <c r="KZW27" s="1266"/>
      <c r="KZX27" s="1266"/>
      <c r="KZY27" s="1266"/>
      <c r="KZZ27" s="1266"/>
      <c r="LAA27" s="1266"/>
      <c r="LAB27" s="1266"/>
      <c r="LAC27" s="1266"/>
      <c r="LAD27" s="1266"/>
      <c r="LAE27" s="1266"/>
      <c r="LAF27" s="1266"/>
      <c r="LAG27" s="1266"/>
      <c r="LAH27" s="1266"/>
      <c r="LAI27" s="1266"/>
      <c r="LAJ27" s="1266"/>
      <c r="LAK27" s="1266"/>
      <c r="LAL27" s="1266"/>
      <c r="LAM27" s="1266"/>
      <c r="LAN27" s="1266"/>
      <c r="LAO27" s="1266"/>
      <c r="LAP27" s="1266"/>
      <c r="LAQ27" s="1266"/>
      <c r="LAR27" s="1266"/>
      <c r="LAS27" s="1266"/>
      <c r="LAT27" s="1266"/>
      <c r="LAU27" s="1266"/>
      <c r="LAV27" s="1266"/>
      <c r="LAW27" s="1266"/>
      <c r="LAX27" s="1266"/>
      <c r="LAY27" s="1266"/>
      <c r="LAZ27" s="1266"/>
      <c r="LBA27" s="1266"/>
      <c r="LBB27" s="1266"/>
      <c r="LBC27" s="1266"/>
      <c r="LBD27" s="1266"/>
      <c r="LBE27" s="1266"/>
      <c r="LBF27" s="1266"/>
      <c r="LBG27" s="1266"/>
      <c r="LBH27" s="1266"/>
      <c r="LBI27" s="1266"/>
      <c r="LBJ27" s="1266"/>
      <c r="LBK27" s="1266"/>
      <c r="LBL27" s="1266"/>
      <c r="LBM27" s="1266"/>
      <c r="LBN27" s="1266"/>
      <c r="LBO27" s="1266"/>
      <c r="LBP27" s="1266"/>
      <c r="LBQ27" s="1266"/>
      <c r="LBR27" s="1266"/>
      <c r="LBS27" s="1266"/>
      <c r="LBT27" s="1266"/>
      <c r="LBU27" s="1266"/>
      <c r="LBV27" s="1266"/>
      <c r="LBW27" s="1266"/>
      <c r="LBX27" s="1266"/>
      <c r="LBY27" s="1266"/>
      <c r="LBZ27" s="1266"/>
      <c r="LCA27" s="1266"/>
      <c r="LCB27" s="1266"/>
      <c r="LCC27" s="1266"/>
      <c r="LCD27" s="1266"/>
      <c r="LCE27" s="1266"/>
      <c r="LCF27" s="1266"/>
      <c r="LCG27" s="1266"/>
      <c r="LCH27" s="1266"/>
      <c r="LCI27" s="1266"/>
      <c r="LCJ27" s="1266"/>
      <c r="LCK27" s="1266"/>
      <c r="LCL27" s="1266"/>
      <c r="LCM27" s="1266"/>
      <c r="LCN27" s="1266"/>
      <c r="LCO27" s="1266"/>
      <c r="LCP27" s="1266"/>
      <c r="LCQ27" s="1266"/>
      <c r="LCR27" s="1266"/>
      <c r="LCS27" s="1266"/>
      <c r="LCT27" s="1266"/>
      <c r="LCU27" s="1266"/>
      <c r="LCV27" s="1266"/>
      <c r="LCW27" s="1266"/>
      <c r="LCX27" s="1266"/>
      <c r="LCY27" s="1266"/>
      <c r="LCZ27" s="1266"/>
      <c r="LDA27" s="1266"/>
      <c r="LDB27" s="1266"/>
      <c r="LDC27" s="1266"/>
      <c r="LDD27" s="1266"/>
      <c r="LDE27" s="1266"/>
      <c r="LDF27" s="1266"/>
      <c r="LDG27" s="1266"/>
      <c r="LDH27" s="1266"/>
      <c r="LDI27" s="1266"/>
      <c r="LDJ27" s="1266"/>
      <c r="LDK27" s="1266"/>
      <c r="LDL27" s="1266"/>
      <c r="LDM27" s="1266"/>
      <c r="LDN27" s="1266"/>
      <c r="LDO27" s="1266"/>
      <c r="LDP27" s="1266"/>
      <c r="LDQ27" s="1266"/>
      <c r="LDR27" s="1266"/>
      <c r="LDS27" s="1266"/>
      <c r="LDT27" s="1266"/>
      <c r="LDU27" s="1266"/>
      <c r="LDV27" s="1266"/>
      <c r="LDW27" s="1266"/>
      <c r="LDX27" s="1266"/>
      <c r="LDY27" s="1266"/>
      <c r="LDZ27" s="1266"/>
      <c r="LEA27" s="1266"/>
      <c r="LEB27" s="1266"/>
      <c r="LEC27" s="1266"/>
      <c r="LED27" s="1266"/>
      <c r="LEE27" s="1266"/>
      <c r="LEF27" s="1266"/>
      <c r="LEG27" s="1266"/>
      <c r="LEH27" s="1266"/>
      <c r="LEI27" s="1266"/>
      <c r="LEJ27" s="1266"/>
      <c r="LEK27" s="1266"/>
      <c r="LEL27" s="1266"/>
      <c r="LEM27" s="1266"/>
      <c r="LEN27" s="1266"/>
      <c r="LEO27" s="1266"/>
      <c r="LEP27" s="1266"/>
      <c r="LEQ27" s="1266"/>
      <c r="LER27" s="1266"/>
      <c r="LES27" s="1266"/>
      <c r="LET27" s="1266"/>
      <c r="LEU27" s="1266"/>
      <c r="LEV27" s="1266"/>
      <c r="LEW27" s="1266"/>
      <c r="LEX27" s="1266"/>
      <c r="LEY27" s="1266"/>
      <c r="LEZ27" s="1266"/>
      <c r="LFA27" s="1266"/>
      <c r="LFB27" s="1266"/>
      <c r="LFC27" s="1266"/>
      <c r="LFD27" s="1266"/>
      <c r="LFE27" s="1266"/>
      <c r="LFF27" s="1266"/>
      <c r="LFG27" s="1266"/>
      <c r="LFH27" s="1266"/>
      <c r="LFI27" s="1266"/>
      <c r="LFJ27" s="1266"/>
      <c r="LFK27" s="1266"/>
      <c r="LFL27" s="1266"/>
      <c r="LFM27" s="1266"/>
      <c r="LFN27" s="1266"/>
      <c r="LFO27" s="1266"/>
      <c r="LFP27" s="1266"/>
      <c r="LFQ27" s="1266"/>
      <c r="LFR27" s="1266"/>
      <c r="LFS27" s="1266"/>
      <c r="LFT27" s="1266"/>
      <c r="LFU27" s="1266"/>
      <c r="LFV27" s="1266"/>
      <c r="LFW27" s="1266"/>
      <c r="LFX27" s="1266"/>
      <c r="LFY27" s="1266"/>
      <c r="LFZ27" s="1266"/>
      <c r="LGA27" s="1266"/>
      <c r="LGB27" s="1266"/>
      <c r="LGC27" s="1266"/>
      <c r="LGD27" s="1266"/>
      <c r="LGE27" s="1266"/>
      <c r="LGF27" s="1266"/>
      <c r="LGG27" s="1266"/>
      <c r="LGH27" s="1266"/>
      <c r="LGI27" s="1266"/>
      <c r="LGJ27" s="1266"/>
      <c r="LGK27" s="1266"/>
      <c r="LGL27" s="1266"/>
      <c r="LGM27" s="1266"/>
      <c r="LGN27" s="1266"/>
      <c r="LGO27" s="1266"/>
      <c r="LGP27" s="1266"/>
      <c r="LGQ27" s="1266"/>
      <c r="LGR27" s="1266"/>
      <c r="LGS27" s="1266"/>
      <c r="LGT27" s="1266"/>
      <c r="LGU27" s="1266"/>
      <c r="LGV27" s="1266"/>
      <c r="LGW27" s="1266"/>
      <c r="LGX27" s="1266"/>
      <c r="LGY27" s="1266"/>
      <c r="LGZ27" s="1266"/>
      <c r="LHA27" s="1266"/>
      <c r="LHB27" s="1266"/>
      <c r="LHC27" s="1266"/>
      <c r="LHD27" s="1266"/>
      <c r="LHE27" s="1266"/>
      <c r="LHF27" s="1266"/>
      <c r="LHG27" s="1266"/>
      <c r="LHH27" s="1266"/>
      <c r="LHI27" s="1266"/>
      <c r="LHJ27" s="1266"/>
      <c r="LHK27" s="1266"/>
      <c r="LHL27" s="1266"/>
      <c r="LHM27" s="1266"/>
      <c r="LHN27" s="1266"/>
      <c r="LHO27" s="1266"/>
      <c r="LHP27" s="1266"/>
      <c r="LHQ27" s="1266"/>
      <c r="LHR27" s="1266"/>
      <c r="LHS27" s="1266"/>
      <c r="LHT27" s="1266"/>
      <c r="LHU27" s="1266"/>
      <c r="LHV27" s="1266"/>
      <c r="LHW27" s="1266"/>
      <c r="LHX27" s="1266"/>
      <c r="LHY27" s="1266"/>
      <c r="LHZ27" s="1266"/>
      <c r="LIA27" s="1266"/>
      <c r="LIB27" s="1266"/>
      <c r="LIC27" s="1266"/>
      <c r="LID27" s="1266"/>
      <c r="LIE27" s="1266"/>
      <c r="LIF27" s="1266"/>
      <c r="LIG27" s="1266"/>
      <c r="LIH27" s="1266"/>
      <c r="LII27" s="1266"/>
      <c r="LIJ27" s="1266"/>
      <c r="LIK27" s="1266"/>
      <c r="LIL27" s="1266"/>
      <c r="LIM27" s="1266"/>
      <c r="LIN27" s="1266"/>
      <c r="LIO27" s="1266"/>
      <c r="LIP27" s="1266"/>
      <c r="LIQ27" s="1266"/>
      <c r="LIR27" s="1266"/>
      <c r="LIS27" s="1266"/>
      <c r="LIT27" s="1266"/>
      <c r="LIU27" s="1266"/>
      <c r="LIV27" s="1266"/>
      <c r="LIW27" s="1266"/>
      <c r="LIX27" s="1266"/>
      <c r="LIY27" s="1266"/>
      <c r="LIZ27" s="1266"/>
      <c r="LJA27" s="1266"/>
      <c r="LJB27" s="1266"/>
      <c r="LJC27" s="1266"/>
      <c r="LJD27" s="1266"/>
      <c r="LJE27" s="1266"/>
      <c r="LJF27" s="1266"/>
      <c r="LJG27" s="1266"/>
      <c r="LJH27" s="1266"/>
      <c r="LJI27" s="1266"/>
      <c r="LJJ27" s="1266"/>
      <c r="LJK27" s="1266"/>
      <c r="LJL27" s="1266"/>
      <c r="LJM27" s="1266"/>
      <c r="LJN27" s="1266"/>
      <c r="LJO27" s="1266"/>
      <c r="LJP27" s="1266"/>
      <c r="LJQ27" s="1266"/>
      <c r="LJR27" s="1266"/>
      <c r="LJS27" s="1266"/>
      <c r="LJT27" s="1266"/>
      <c r="LJU27" s="1266"/>
      <c r="LJV27" s="1266"/>
      <c r="LJW27" s="1266"/>
      <c r="LJX27" s="1266"/>
      <c r="LJY27" s="1266"/>
      <c r="LJZ27" s="1266"/>
      <c r="LKA27" s="1266"/>
      <c r="LKB27" s="1266"/>
      <c r="LKC27" s="1266"/>
      <c r="LKD27" s="1266"/>
      <c r="LKE27" s="1266"/>
      <c r="LKF27" s="1266"/>
      <c r="LKG27" s="1266"/>
      <c r="LKH27" s="1266"/>
      <c r="LKI27" s="1266"/>
      <c r="LKJ27" s="1266"/>
      <c r="LKK27" s="1266"/>
      <c r="LKL27" s="1266"/>
      <c r="LKM27" s="1266"/>
      <c r="LKN27" s="1266"/>
      <c r="LKO27" s="1266"/>
      <c r="LKP27" s="1266"/>
      <c r="LKQ27" s="1266"/>
      <c r="LKR27" s="1266"/>
      <c r="LKS27" s="1266"/>
      <c r="LKT27" s="1266"/>
      <c r="LKU27" s="1266"/>
      <c r="LKV27" s="1266"/>
      <c r="LKW27" s="1266"/>
      <c r="LKX27" s="1266"/>
      <c r="LKY27" s="1266"/>
      <c r="LKZ27" s="1266"/>
      <c r="LLA27" s="1266"/>
      <c r="LLB27" s="1266"/>
      <c r="LLC27" s="1266"/>
      <c r="LLD27" s="1266"/>
      <c r="LLE27" s="1266"/>
      <c r="LLF27" s="1266"/>
      <c r="LLG27" s="1266"/>
      <c r="LLH27" s="1266"/>
      <c r="LLI27" s="1266"/>
      <c r="LLJ27" s="1266"/>
      <c r="LLK27" s="1266"/>
      <c r="LLL27" s="1266"/>
      <c r="LLM27" s="1266"/>
      <c r="LLN27" s="1266"/>
      <c r="LLO27" s="1266"/>
      <c r="LLP27" s="1266"/>
      <c r="LLQ27" s="1266"/>
      <c r="LLR27" s="1266"/>
      <c r="LLS27" s="1266"/>
      <c r="LLT27" s="1266"/>
      <c r="LLU27" s="1266"/>
      <c r="LLV27" s="1266"/>
      <c r="LLW27" s="1266"/>
      <c r="LLX27" s="1266"/>
      <c r="LLY27" s="1266"/>
      <c r="LLZ27" s="1266"/>
      <c r="LMA27" s="1266"/>
      <c r="LMB27" s="1266"/>
      <c r="LMC27" s="1266"/>
      <c r="LMD27" s="1266"/>
      <c r="LME27" s="1266"/>
      <c r="LMF27" s="1266"/>
      <c r="LMG27" s="1266"/>
      <c r="LMH27" s="1266"/>
      <c r="LMI27" s="1266"/>
      <c r="LMJ27" s="1266"/>
      <c r="LMK27" s="1266"/>
      <c r="LML27" s="1266"/>
      <c r="LMM27" s="1266"/>
      <c r="LMN27" s="1266"/>
      <c r="LMO27" s="1266"/>
      <c r="LMP27" s="1266"/>
      <c r="LMQ27" s="1266"/>
      <c r="LMR27" s="1266"/>
      <c r="LMS27" s="1266"/>
      <c r="LMT27" s="1266"/>
      <c r="LMU27" s="1266"/>
      <c r="LMV27" s="1266"/>
      <c r="LMW27" s="1266"/>
      <c r="LMX27" s="1266"/>
      <c r="LMY27" s="1266"/>
      <c r="LMZ27" s="1266"/>
      <c r="LNA27" s="1266"/>
      <c r="LNB27" s="1266"/>
      <c r="LNC27" s="1266"/>
      <c r="LND27" s="1266"/>
      <c r="LNE27" s="1266"/>
      <c r="LNF27" s="1266"/>
      <c r="LNG27" s="1266"/>
      <c r="LNH27" s="1266"/>
      <c r="LNI27" s="1266"/>
      <c r="LNJ27" s="1266"/>
      <c r="LNK27" s="1266"/>
      <c r="LNL27" s="1266"/>
      <c r="LNM27" s="1266"/>
      <c r="LNN27" s="1266"/>
      <c r="LNO27" s="1266"/>
      <c r="LNP27" s="1266"/>
      <c r="LNQ27" s="1266"/>
      <c r="LNR27" s="1266"/>
      <c r="LNS27" s="1266"/>
      <c r="LNT27" s="1266"/>
      <c r="LNU27" s="1266"/>
      <c r="LNV27" s="1266"/>
      <c r="LNW27" s="1266"/>
      <c r="LNX27" s="1266"/>
      <c r="LNY27" s="1266"/>
      <c r="LNZ27" s="1266"/>
      <c r="LOA27" s="1266"/>
      <c r="LOB27" s="1266"/>
      <c r="LOC27" s="1266"/>
      <c r="LOD27" s="1266"/>
      <c r="LOE27" s="1266"/>
      <c r="LOF27" s="1266"/>
      <c r="LOG27" s="1266"/>
      <c r="LOH27" s="1266"/>
      <c r="LOI27" s="1266"/>
      <c r="LOJ27" s="1266"/>
      <c r="LOK27" s="1266"/>
      <c r="LOL27" s="1266"/>
      <c r="LOM27" s="1266"/>
      <c r="LON27" s="1266"/>
      <c r="LOO27" s="1266"/>
      <c r="LOP27" s="1266"/>
      <c r="LOQ27" s="1266"/>
      <c r="LOR27" s="1266"/>
      <c r="LOS27" s="1266"/>
      <c r="LOT27" s="1266"/>
      <c r="LOU27" s="1266"/>
      <c r="LOV27" s="1266"/>
      <c r="LOW27" s="1266"/>
      <c r="LOX27" s="1266"/>
      <c r="LOY27" s="1266"/>
      <c r="LOZ27" s="1266"/>
      <c r="LPA27" s="1266"/>
      <c r="LPB27" s="1266"/>
      <c r="LPC27" s="1266"/>
      <c r="LPD27" s="1266"/>
      <c r="LPE27" s="1266"/>
      <c r="LPF27" s="1266"/>
      <c r="LPG27" s="1266"/>
      <c r="LPH27" s="1266"/>
      <c r="LPI27" s="1266"/>
      <c r="LPJ27" s="1266"/>
      <c r="LPK27" s="1266"/>
      <c r="LPL27" s="1266"/>
      <c r="LPM27" s="1266"/>
      <c r="LPN27" s="1266"/>
      <c r="LPO27" s="1266"/>
      <c r="LPP27" s="1266"/>
      <c r="LPQ27" s="1266"/>
      <c r="LPR27" s="1266"/>
      <c r="LPS27" s="1266"/>
      <c r="LPT27" s="1266"/>
      <c r="LPU27" s="1266"/>
      <c r="LPV27" s="1266"/>
      <c r="LPW27" s="1266"/>
      <c r="LPX27" s="1266"/>
      <c r="LPY27" s="1266"/>
      <c r="LPZ27" s="1266"/>
      <c r="LQA27" s="1266"/>
      <c r="LQB27" s="1266"/>
      <c r="LQC27" s="1266"/>
      <c r="LQD27" s="1266"/>
      <c r="LQE27" s="1266"/>
      <c r="LQF27" s="1266"/>
      <c r="LQG27" s="1266"/>
      <c r="LQH27" s="1266"/>
      <c r="LQI27" s="1266"/>
      <c r="LQJ27" s="1266"/>
      <c r="LQK27" s="1266"/>
      <c r="LQL27" s="1266"/>
      <c r="LQM27" s="1266"/>
      <c r="LQN27" s="1266"/>
      <c r="LQO27" s="1266"/>
      <c r="LQP27" s="1266"/>
      <c r="LQQ27" s="1266"/>
      <c r="LQR27" s="1266"/>
      <c r="LQS27" s="1266"/>
      <c r="LQT27" s="1266"/>
      <c r="LQU27" s="1266"/>
      <c r="LQV27" s="1266"/>
      <c r="LQW27" s="1266"/>
      <c r="LQX27" s="1266"/>
      <c r="LQY27" s="1266"/>
      <c r="LQZ27" s="1266"/>
      <c r="LRA27" s="1266"/>
      <c r="LRB27" s="1266"/>
      <c r="LRC27" s="1266"/>
      <c r="LRD27" s="1266"/>
      <c r="LRE27" s="1266"/>
      <c r="LRF27" s="1266"/>
      <c r="LRG27" s="1266"/>
      <c r="LRH27" s="1266"/>
      <c r="LRI27" s="1266"/>
      <c r="LRJ27" s="1266"/>
      <c r="LRK27" s="1266"/>
      <c r="LRL27" s="1266"/>
      <c r="LRM27" s="1266"/>
      <c r="LRN27" s="1266"/>
      <c r="LRO27" s="1266"/>
      <c r="LRP27" s="1266"/>
      <c r="LRQ27" s="1266"/>
      <c r="LRR27" s="1266"/>
      <c r="LRS27" s="1266"/>
      <c r="LRT27" s="1266"/>
      <c r="LRU27" s="1266"/>
      <c r="LRV27" s="1266"/>
      <c r="LRW27" s="1266"/>
      <c r="LRX27" s="1266"/>
      <c r="LRY27" s="1266"/>
      <c r="LRZ27" s="1266"/>
      <c r="LSA27" s="1266"/>
      <c r="LSB27" s="1266"/>
      <c r="LSC27" s="1266"/>
      <c r="LSD27" s="1266"/>
      <c r="LSE27" s="1266"/>
      <c r="LSF27" s="1266"/>
      <c r="LSG27" s="1266"/>
      <c r="LSH27" s="1266"/>
      <c r="LSI27" s="1266"/>
      <c r="LSJ27" s="1266"/>
      <c r="LSK27" s="1266"/>
      <c r="LSL27" s="1266"/>
      <c r="LSM27" s="1266"/>
      <c r="LSN27" s="1266"/>
      <c r="LSO27" s="1266"/>
      <c r="LSP27" s="1266"/>
      <c r="LSQ27" s="1266"/>
      <c r="LSR27" s="1266"/>
      <c r="LSS27" s="1266"/>
      <c r="LST27" s="1266"/>
      <c r="LSU27" s="1266"/>
      <c r="LSV27" s="1266"/>
      <c r="LSW27" s="1266"/>
      <c r="LSX27" s="1266"/>
      <c r="LSY27" s="1266"/>
      <c r="LSZ27" s="1266"/>
      <c r="LTA27" s="1266"/>
      <c r="LTB27" s="1266"/>
      <c r="LTC27" s="1266"/>
      <c r="LTD27" s="1266"/>
      <c r="LTE27" s="1266"/>
      <c r="LTF27" s="1266"/>
      <c r="LTG27" s="1266"/>
      <c r="LTH27" s="1266"/>
      <c r="LTI27" s="1266"/>
      <c r="LTJ27" s="1266"/>
      <c r="LTK27" s="1266"/>
      <c r="LTL27" s="1266"/>
      <c r="LTM27" s="1266"/>
      <c r="LTN27" s="1266"/>
      <c r="LTO27" s="1266"/>
      <c r="LTP27" s="1266"/>
      <c r="LTQ27" s="1266"/>
      <c r="LTR27" s="1266"/>
      <c r="LTS27" s="1266"/>
      <c r="LTT27" s="1266"/>
      <c r="LTU27" s="1266"/>
      <c r="LTV27" s="1266"/>
      <c r="LTW27" s="1266"/>
      <c r="LTX27" s="1266"/>
      <c r="LTY27" s="1266"/>
      <c r="LTZ27" s="1266"/>
      <c r="LUA27" s="1266"/>
      <c r="LUB27" s="1266"/>
      <c r="LUC27" s="1266"/>
      <c r="LUD27" s="1266"/>
      <c r="LUE27" s="1266"/>
      <c r="LUF27" s="1266"/>
      <c r="LUG27" s="1266"/>
      <c r="LUH27" s="1266"/>
      <c r="LUI27" s="1266"/>
      <c r="LUJ27" s="1266"/>
      <c r="LUK27" s="1266"/>
      <c r="LUL27" s="1266"/>
      <c r="LUM27" s="1266"/>
      <c r="LUN27" s="1266"/>
      <c r="LUO27" s="1266"/>
      <c r="LUP27" s="1266"/>
      <c r="LUQ27" s="1266"/>
      <c r="LUR27" s="1266"/>
      <c r="LUS27" s="1266"/>
      <c r="LUT27" s="1266"/>
      <c r="LUU27" s="1266"/>
      <c r="LUV27" s="1266"/>
      <c r="LUW27" s="1266"/>
      <c r="LUX27" s="1266"/>
      <c r="LUY27" s="1266"/>
      <c r="LUZ27" s="1266"/>
      <c r="LVA27" s="1266"/>
      <c r="LVB27" s="1266"/>
      <c r="LVC27" s="1266"/>
      <c r="LVD27" s="1266"/>
      <c r="LVE27" s="1266"/>
      <c r="LVF27" s="1266"/>
      <c r="LVG27" s="1266"/>
      <c r="LVH27" s="1266"/>
      <c r="LVI27" s="1266"/>
      <c r="LVJ27" s="1266"/>
      <c r="LVK27" s="1266"/>
      <c r="LVL27" s="1266"/>
      <c r="LVM27" s="1266"/>
      <c r="LVN27" s="1266"/>
      <c r="LVO27" s="1266"/>
      <c r="LVP27" s="1266"/>
      <c r="LVQ27" s="1266"/>
      <c r="LVR27" s="1266"/>
      <c r="LVS27" s="1266"/>
      <c r="LVT27" s="1266"/>
      <c r="LVU27" s="1266"/>
      <c r="LVV27" s="1266"/>
      <c r="LVW27" s="1266"/>
      <c r="LVX27" s="1266"/>
      <c r="LVY27" s="1266"/>
      <c r="LVZ27" s="1266"/>
      <c r="LWA27" s="1266"/>
      <c r="LWB27" s="1266"/>
      <c r="LWC27" s="1266"/>
      <c r="LWD27" s="1266"/>
      <c r="LWE27" s="1266"/>
      <c r="LWF27" s="1266"/>
      <c r="LWG27" s="1266"/>
      <c r="LWH27" s="1266"/>
      <c r="LWI27" s="1266"/>
      <c r="LWJ27" s="1266"/>
      <c r="LWK27" s="1266"/>
      <c r="LWL27" s="1266"/>
      <c r="LWM27" s="1266"/>
      <c r="LWN27" s="1266"/>
      <c r="LWO27" s="1266"/>
      <c r="LWP27" s="1266"/>
      <c r="LWQ27" s="1266"/>
      <c r="LWR27" s="1266"/>
      <c r="LWS27" s="1266"/>
      <c r="LWT27" s="1266"/>
      <c r="LWU27" s="1266"/>
      <c r="LWV27" s="1266"/>
      <c r="LWW27" s="1266"/>
      <c r="LWX27" s="1266"/>
      <c r="LWY27" s="1266"/>
      <c r="LWZ27" s="1266"/>
      <c r="LXA27" s="1266"/>
      <c r="LXB27" s="1266"/>
      <c r="LXC27" s="1266"/>
      <c r="LXD27" s="1266"/>
      <c r="LXE27" s="1266"/>
      <c r="LXF27" s="1266"/>
      <c r="LXG27" s="1266"/>
      <c r="LXH27" s="1266"/>
      <c r="LXI27" s="1266"/>
      <c r="LXJ27" s="1266"/>
      <c r="LXK27" s="1266"/>
      <c r="LXL27" s="1266"/>
      <c r="LXM27" s="1266"/>
      <c r="LXN27" s="1266"/>
      <c r="LXO27" s="1266"/>
      <c r="LXP27" s="1266"/>
      <c r="LXQ27" s="1266"/>
      <c r="LXR27" s="1266"/>
      <c r="LXS27" s="1266"/>
      <c r="LXT27" s="1266"/>
      <c r="LXU27" s="1266"/>
      <c r="LXV27" s="1266"/>
      <c r="LXW27" s="1266"/>
      <c r="LXX27" s="1266"/>
      <c r="LXY27" s="1266"/>
      <c r="LXZ27" s="1266"/>
      <c r="LYA27" s="1266"/>
      <c r="LYB27" s="1266"/>
      <c r="LYC27" s="1266"/>
      <c r="LYD27" s="1266"/>
      <c r="LYE27" s="1266"/>
      <c r="LYF27" s="1266"/>
      <c r="LYG27" s="1266"/>
      <c r="LYH27" s="1266"/>
      <c r="LYI27" s="1266"/>
      <c r="LYJ27" s="1266"/>
      <c r="LYK27" s="1266"/>
      <c r="LYL27" s="1266"/>
      <c r="LYM27" s="1266"/>
      <c r="LYN27" s="1266"/>
      <c r="LYO27" s="1266"/>
      <c r="LYP27" s="1266"/>
      <c r="LYQ27" s="1266"/>
      <c r="LYR27" s="1266"/>
      <c r="LYS27" s="1266"/>
      <c r="LYT27" s="1266"/>
      <c r="LYU27" s="1266"/>
      <c r="LYV27" s="1266"/>
      <c r="LYW27" s="1266"/>
      <c r="LYX27" s="1266"/>
      <c r="LYY27" s="1266"/>
      <c r="LYZ27" s="1266"/>
      <c r="LZA27" s="1266"/>
      <c r="LZB27" s="1266"/>
      <c r="LZC27" s="1266"/>
      <c r="LZD27" s="1266"/>
      <c r="LZE27" s="1266"/>
      <c r="LZF27" s="1266"/>
      <c r="LZG27" s="1266"/>
      <c r="LZH27" s="1266"/>
      <c r="LZI27" s="1266"/>
      <c r="LZJ27" s="1266"/>
      <c r="LZK27" s="1266"/>
      <c r="LZL27" s="1266"/>
      <c r="LZM27" s="1266"/>
      <c r="LZN27" s="1266"/>
      <c r="LZO27" s="1266"/>
      <c r="LZP27" s="1266"/>
      <c r="LZQ27" s="1266"/>
      <c r="LZR27" s="1266"/>
      <c r="LZS27" s="1266"/>
      <c r="LZT27" s="1266"/>
      <c r="LZU27" s="1266"/>
      <c r="LZV27" s="1266"/>
      <c r="LZW27" s="1266"/>
      <c r="LZX27" s="1266"/>
      <c r="LZY27" s="1266"/>
      <c r="LZZ27" s="1266"/>
      <c r="MAA27" s="1266"/>
      <c r="MAB27" s="1266"/>
      <c r="MAC27" s="1266"/>
      <c r="MAD27" s="1266"/>
      <c r="MAE27" s="1266"/>
      <c r="MAF27" s="1266"/>
      <c r="MAG27" s="1266"/>
      <c r="MAH27" s="1266"/>
      <c r="MAI27" s="1266"/>
      <c r="MAJ27" s="1266"/>
      <c r="MAK27" s="1266"/>
      <c r="MAL27" s="1266"/>
      <c r="MAM27" s="1266"/>
      <c r="MAN27" s="1266"/>
      <c r="MAO27" s="1266"/>
      <c r="MAP27" s="1266"/>
      <c r="MAQ27" s="1266"/>
      <c r="MAR27" s="1266"/>
      <c r="MAS27" s="1266"/>
      <c r="MAT27" s="1266"/>
      <c r="MAU27" s="1266"/>
      <c r="MAV27" s="1266"/>
      <c r="MAW27" s="1266"/>
      <c r="MAX27" s="1266"/>
      <c r="MAY27" s="1266"/>
      <c r="MAZ27" s="1266"/>
      <c r="MBA27" s="1266"/>
      <c r="MBB27" s="1266"/>
      <c r="MBC27" s="1266"/>
      <c r="MBD27" s="1266"/>
      <c r="MBE27" s="1266"/>
      <c r="MBF27" s="1266"/>
      <c r="MBG27" s="1266"/>
      <c r="MBH27" s="1266"/>
      <c r="MBI27" s="1266"/>
      <c r="MBJ27" s="1266"/>
      <c r="MBK27" s="1266"/>
      <c r="MBL27" s="1266"/>
      <c r="MBM27" s="1266"/>
      <c r="MBN27" s="1266"/>
      <c r="MBO27" s="1266"/>
      <c r="MBP27" s="1266"/>
      <c r="MBQ27" s="1266"/>
      <c r="MBR27" s="1266"/>
      <c r="MBS27" s="1266"/>
      <c r="MBT27" s="1266"/>
      <c r="MBU27" s="1266"/>
      <c r="MBV27" s="1266"/>
      <c r="MBW27" s="1266"/>
      <c r="MBX27" s="1266"/>
      <c r="MBY27" s="1266"/>
      <c r="MBZ27" s="1266"/>
      <c r="MCA27" s="1266"/>
      <c r="MCB27" s="1266"/>
      <c r="MCC27" s="1266"/>
      <c r="MCD27" s="1266"/>
      <c r="MCE27" s="1266"/>
      <c r="MCF27" s="1266"/>
      <c r="MCG27" s="1266"/>
      <c r="MCH27" s="1266"/>
      <c r="MCI27" s="1266"/>
      <c r="MCJ27" s="1266"/>
      <c r="MCK27" s="1266"/>
      <c r="MCL27" s="1266"/>
      <c r="MCM27" s="1266"/>
      <c r="MCN27" s="1266"/>
      <c r="MCO27" s="1266"/>
      <c r="MCP27" s="1266"/>
      <c r="MCQ27" s="1266"/>
      <c r="MCR27" s="1266"/>
      <c r="MCS27" s="1266"/>
      <c r="MCT27" s="1266"/>
      <c r="MCU27" s="1266"/>
      <c r="MCV27" s="1266"/>
      <c r="MCW27" s="1266"/>
      <c r="MCX27" s="1266"/>
      <c r="MCY27" s="1266"/>
      <c r="MCZ27" s="1266"/>
      <c r="MDA27" s="1266"/>
      <c r="MDB27" s="1266"/>
      <c r="MDC27" s="1266"/>
      <c r="MDD27" s="1266"/>
      <c r="MDE27" s="1266"/>
      <c r="MDF27" s="1266"/>
      <c r="MDG27" s="1266"/>
      <c r="MDH27" s="1266"/>
      <c r="MDI27" s="1266"/>
      <c r="MDJ27" s="1266"/>
      <c r="MDK27" s="1266"/>
      <c r="MDL27" s="1266"/>
      <c r="MDM27" s="1266"/>
      <c r="MDN27" s="1266"/>
      <c r="MDO27" s="1266"/>
      <c r="MDP27" s="1266"/>
      <c r="MDQ27" s="1266"/>
      <c r="MDR27" s="1266"/>
      <c r="MDS27" s="1266"/>
      <c r="MDT27" s="1266"/>
      <c r="MDU27" s="1266"/>
      <c r="MDV27" s="1266"/>
      <c r="MDW27" s="1266"/>
      <c r="MDX27" s="1266"/>
      <c r="MDY27" s="1266"/>
      <c r="MDZ27" s="1266"/>
      <c r="MEA27" s="1266"/>
      <c r="MEB27" s="1266"/>
      <c r="MEC27" s="1266"/>
      <c r="MED27" s="1266"/>
      <c r="MEE27" s="1266"/>
      <c r="MEF27" s="1266"/>
      <c r="MEG27" s="1266"/>
      <c r="MEH27" s="1266"/>
      <c r="MEI27" s="1266"/>
      <c r="MEJ27" s="1266"/>
      <c r="MEK27" s="1266"/>
      <c r="MEL27" s="1266"/>
      <c r="MEM27" s="1266"/>
      <c r="MEN27" s="1266"/>
      <c r="MEO27" s="1266"/>
      <c r="MEP27" s="1266"/>
      <c r="MEQ27" s="1266"/>
      <c r="MER27" s="1266"/>
      <c r="MES27" s="1266"/>
      <c r="MET27" s="1266"/>
      <c r="MEU27" s="1266"/>
      <c r="MEV27" s="1266"/>
      <c r="MEW27" s="1266"/>
      <c r="MEX27" s="1266"/>
      <c r="MEY27" s="1266"/>
      <c r="MEZ27" s="1266"/>
      <c r="MFA27" s="1266"/>
      <c r="MFB27" s="1266"/>
      <c r="MFC27" s="1266"/>
      <c r="MFD27" s="1266"/>
      <c r="MFE27" s="1266"/>
      <c r="MFF27" s="1266"/>
      <c r="MFG27" s="1266"/>
      <c r="MFH27" s="1266"/>
      <c r="MFI27" s="1266"/>
      <c r="MFJ27" s="1266"/>
      <c r="MFK27" s="1266"/>
      <c r="MFL27" s="1266"/>
      <c r="MFM27" s="1266"/>
      <c r="MFN27" s="1266"/>
      <c r="MFO27" s="1266"/>
      <c r="MFP27" s="1266"/>
      <c r="MFQ27" s="1266"/>
      <c r="MFR27" s="1266"/>
      <c r="MFS27" s="1266"/>
      <c r="MFT27" s="1266"/>
      <c r="MFU27" s="1266"/>
      <c r="MFV27" s="1266"/>
      <c r="MFW27" s="1266"/>
      <c r="MFX27" s="1266"/>
      <c r="MFY27" s="1266"/>
      <c r="MFZ27" s="1266"/>
      <c r="MGA27" s="1266"/>
      <c r="MGB27" s="1266"/>
      <c r="MGC27" s="1266"/>
      <c r="MGD27" s="1266"/>
      <c r="MGE27" s="1266"/>
      <c r="MGF27" s="1266"/>
      <c r="MGG27" s="1266"/>
      <c r="MGH27" s="1266"/>
      <c r="MGI27" s="1266"/>
      <c r="MGJ27" s="1266"/>
      <c r="MGK27" s="1266"/>
      <c r="MGL27" s="1266"/>
      <c r="MGM27" s="1266"/>
      <c r="MGN27" s="1266"/>
      <c r="MGO27" s="1266"/>
      <c r="MGP27" s="1266"/>
      <c r="MGQ27" s="1266"/>
      <c r="MGR27" s="1266"/>
      <c r="MGS27" s="1266"/>
      <c r="MGT27" s="1266"/>
      <c r="MGU27" s="1266"/>
      <c r="MGV27" s="1266"/>
      <c r="MGW27" s="1266"/>
      <c r="MGX27" s="1266"/>
      <c r="MGY27" s="1266"/>
      <c r="MGZ27" s="1266"/>
      <c r="MHA27" s="1266"/>
      <c r="MHB27" s="1266"/>
      <c r="MHC27" s="1266"/>
      <c r="MHD27" s="1266"/>
      <c r="MHE27" s="1266"/>
      <c r="MHF27" s="1266"/>
      <c r="MHG27" s="1266"/>
      <c r="MHH27" s="1266"/>
      <c r="MHI27" s="1266"/>
      <c r="MHJ27" s="1266"/>
      <c r="MHK27" s="1266"/>
      <c r="MHL27" s="1266"/>
      <c r="MHM27" s="1266"/>
      <c r="MHN27" s="1266"/>
      <c r="MHO27" s="1266"/>
      <c r="MHP27" s="1266"/>
      <c r="MHQ27" s="1266"/>
      <c r="MHR27" s="1266"/>
      <c r="MHS27" s="1266"/>
      <c r="MHT27" s="1266"/>
      <c r="MHU27" s="1266"/>
      <c r="MHV27" s="1266"/>
      <c r="MHW27" s="1266"/>
      <c r="MHX27" s="1266"/>
      <c r="MHY27" s="1266"/>
      <c r="MHZ27" s="1266"/>
      <c r="MIA27" s="1266"/>
      <c r="MIB27" s="1266"/>
      <c r="MIC27" s="1266"/>
      <c r="MID27" s="1266"/>
      <c r="MIE27" s="1266"/>
      <c r="MIF27" s="1266"/>
      <c r="MIG27" s="1266"/>
      <c r="MIH27" s="1266"/>
      <c r="MII27" s="1266"/>
      <c r="MIJ27" s="1266"/>
      <c r="MIK27" s="1266"/>
      <c r="MIL27" s="1266"/>
      <c r="MIM27" s="1266"/>
      <c r="MIN27" s="1266"/>
      <c r="MIO27" s="1266"/>
      <c r="MIP27" s="1266"/>
      <c r="MIQ27" s="1266"/>
      <c r="MIR27" s="1266"/>
      <c r="MIS27" s="1266"/>
      <c r="MIT27" s="1266"/>
      <c r="MIU27" s="1266"/>
      <c r="MIV27" s="1266"/>
      <c r="MIW27" s="1266"/>
      <c r="MIX27" s="1266"/>
      <c r="MIY27" s="1266"/>
      <c r="MIZ27" s="1266"/>
      <c r="MJA27" s="1266"/>
      <c r="MJB27" s="1266"/>
      <c r="MJC27" s="1266"/>
      <c r="MJD27" s="1266"/>
      <c r="MJE27" s="1266"/>
      <c r="MJF27" s="1266"/>
      <c r="MJG27" s="1266"/>
      <c r="MJH27" s="1266"/>
      <c r="MJI27" s="1266"/>
      <c r="MJJ27" s="1266"/>
      <c r="MJK27" s="1266"/>
      <c r="MJL27" s="1266"/>
      <c r="MJM27" s="1266"/>
      <c r="MJN27" s="1266"/>
      <c r="MJO27" s="1266"/>
      <c r="MJP27" s="1266"/>
      <c r="MJQ27" s="1266"/>
      <c r="MJR27" s="1266"/>
      <c r="MJS27" s="1266"/>
      <c r="MJT27" s="1266"/>
      <c r="MJU27" s="1266"/>
      <c r="MJV27" s="1266"/>
      <c r="MJW27" s="1266"/>
      <c r="MJX27" s="1266"/>
      <c r="MJY27" s="1266"/>
      <c r="MJZ27" s="1266"/>
      <c r="MKA27" s="1266"/>
      <c r="MKB27" s="1266"/>
      <c r="MKC27" s="1266"/>
      <c r="MKD27" s="1266"/>
      <c r="MKE27" s="1266"/>
      <c r="MKF27" s="1266"/>
      <c r="MKG27" s="1266"/>
      <c r="MKH27" s="1266"/>
      <c r="MKI27" s="1266"/>
      <c r="MKJ27" s="1266"/>
      <c r="MKK27" s="1266"/>
      <c r="MKL27" s="1266"/>
      <c r="MKM27" s="1266"/>
      <c r="MKN27" s="1266"/>
      <c r="MKO27" s="1266"/>
      <c r="MKP27" s="1266"/>
      <c r="MKQ27" s="1266"/>
      <c r="MKR27" s="1266"/>
      <c r="MKS27" s="1266"/>
      <c r="MKT27" s="1266"/>
      <c r="MKU27" s="1266"/>
      <c r="MKV27" s="1266"/>
      <c r="MKW27" s="1266"/>
      <c r="MKX27" s="1266"/>
      <c r="MKY27" s="1266"/>
      <c r="MKZ27" s="1266"/>
      <c r="MLA27" s="1266"/>
      <c r="MLB27" s="1266"/>
      <c r="MLC27" s="1266"/>
      <c r="MLD27" s="1266"/>
      <c r="MLE27" s="1266"/>
      <c r="MLF27" s="1266"/>
      <c r="MLG27" s="1266"/>
      <c r="MLH27" s="1266"/>
      <c r="MLI27" s="1266"/>
      <c r="MLJ27" s="1266"/>
      <c r="MLK27" s="1266"/>
      <c r="MLL27" s="1266"/>
      <c r="MLM27" s="1266"/>
      <c r="MLN27" s="1266"/>
      <c r="MLO27" s="1266"/>
      <c r="MLP27" s="1266"/>
      <c r="MLQ27" s="1266"/>
      <c r="MLR27" s="1266"/>
      <c r="MLS27" s="1266"/>
      <c r="MLT27" s="1266"/>
      <c r="MLU27" s="1266"/>
      <c r="MLV27" s="1266"/>
      <c r="MLW27" s="1266"/>
      <c r="MLX27" s="1266"/>
      <c r="MLY27" s="1266"/>
      <c r="MLZ27" s="1266"/>
      <c r="MMA27" s="1266"/>
      <c r="MMB27" s="1266"/>
      <c r="MMC27" s="1266"/>
      <c r="MMD27" s="1266"/>
      <c r="MME27" s="1266"/>
      <c r="MMF27" s="1266"/>
      <c r="MMG27" s="1266"/>
      <c r="MMH27" s="1266"/>
      <c r="MMI27" s="1266"/>
      <c r="MMJ27" s="1266"/>
      <c r="MMK27" s="1266"/>
      <c r="MML27" s="1266"/>
      <c r="MMM27" s="1266"/>
      <c r="MMN27" s="1266"/>
      <c r="MMO27" s="1266"/>
      <c r="MMP27" s="1266"/>
      <c r="MMQ27" s="1266"/>
      <c r="MMR27" s="1266"/>
      <c r="MMS27" s="1266"/>
      <c r="MMT27" s="1266"/>
      <c r="MMU27" s="1266"/>
      <c r="MMV27" s="1266"/>
      <c r="MMW27" s="1266"/>
      <c r="MMX27" s="1266"/>
      <c r="MMY27" s="1266"/>
      <c r="MMZ27" s="1266"/>
      <c r="MNA27" s="1266"/>
      <c r="MNB27" s="1266"/>
      <c r="MNC27" s="1266"/>
      <c r="MND27" s="1266"/>
      <c r="MNE27" s="1266"/>
      <c r="MNF27" s="1266"/>
      <c r="MNG27" s="1266"/>
      <c r="MNH27" s="1266"/>
      <c r="MNI27" s="1266"/>
      <c r="MNJ27" s="1266"/>
      <c r="MNK27" s="1266"/>
      <c r="MNL27" s="1266"/>
      <c r="MNM27" s="1266"/>
      <c r="MNN27" s="1266"/>
      <c r="MNO27" s="1266"/>
      <c r="MNP27" s="1266"/>
      <c r="MNQ27" s="1266"/>
      <c r="MNR27" s="1266"/>
      <c r="MNS27" s="1266"/>
      <c r="MNT27" s="1266"/>
      <c r="MNU27" s="1266"/>
      <c r="MNV27" s="1266"/>
      <c r="MNW27" s="1266"/>
      <c r="MNX27" s="1266"/>
      <c r="MNY27" s="1266"/>
      <c r="MNZ27" s="1266"/>
      <c r="MOA27" s="1266"/>
      <c r="MOB27" s="1266"/>
      <c r="MOC27" s="1266"/>
      <c r="MOD27" s="1266"/>
      <c r="MOE27" s="1266"/>
      <c r="MOF27" s="1266"/>
      <c r="MOG27" s="1266"/>
      <c r="MOH27" s="1266"/>
      <c r="MOI27" s="1266"/>
      <c r="MOJ27" s="1266"/>
      <c r="MOK27" s="1266"/>
      <c r="MOL27" s="1266"/>
      <c r="MOM27" s="1266"/>
      <c r="MON27" s="1266"/>
      <c r="MOO27" s="1266"/>
      <c r="MOP27" s="1266"/>
      <c r="MOQ27" s="1266"/>
      <c r="MOR27" s="1266"/>
      <c r="MOS27" s="1266"/>
      <c r="MOT27" s="1266"/>
      <c r="MOU27" s="1266"/>
      <c r="MOV27" s="1266"/>
      <c r="MOW27" s="1266"/>
      <c r="MOX27" s="1266"/>
      <c r="MOY27" s="1266"/>
      <c r="MOZ27" s="1266"/>
      <c r="MPA27" s="1266"/>
      <c r="MPB27" s="1266"/>
      <c r="MPC27" s="1266"/>
      <c r="MPD27" s="1266"/>
      <c r="MPE27" s="1266"/>
      <c r="MPF27" s="1266"/>
      <c r="MPG27" s="1266"/>
      <c r="MPH27" s="1266"/>
      <c r="MPI27" s="1266"/>
      <c r="MPJ27" s="1266"/>
      <c r="MPK27" s="1266"/>
      <c r="MPL27" s="1266"/>
      <c r="MPM27" s="1266"/>
      <c r="MPN27" s="1266"/>
      <c r="MPO27" s="1266"/>
      <c r="MPP27" s="1266"/>
      <c r="MPQ27" s="1266"/>
      <c r="MPR27" s="1266"/>
      <c r="MPS27" s="1266"/>
      <c r="MPT27" s="1266"/>
      <c r="MPU27" s="1266"/>
      <c r="MPV27" s="1266"/>
      <c r="MPW27" s="1266"/>
      <c r="MPX27" s="1266"/>
      <c r="MPY27" s="1266"/>
      <c r="MPZ27" s="1266"/>
      <c r="MQA27" s="1266"/>
      <c r="MQB27" s="1266"/>
      <c r="MQC27" s="1266"/>
      <c r="MQD27" s="1266"/>
      <c r="MQE27" s="1266"/>
      <c r="MQF27" s="1266"/>
      <c r="MQG27" s="1266"/>
      <c r="MQH27" s="1266"/>
      <c r="MQI27" s="1266"/>
      <c r="MQJ27" s="1266"/>
      <c r="MQK27" s="1266"/>
      <c r="MQL27" s="1266"/>
      <c r="MQM27" s="1266"/>
      <c r="MQN27" s="1266"/>
      <c r="MQO27" s="1266"/>
      <c r="MQP27" s="1266"/>
      <c r="MQQ27" s="1266"/>
      <c r="MQR27" s="1266"/>
      <c r="MQS27" s="1266"/>
      <c r="MQT27" s="1266"/>
      <c r="MQU27" s="1266"/>
      <c r="MQV27" s="1266"/>
      <c r="MQW27" s="1266"/>
      <c r="MQX27" s="1266"/>
      <c r="MQY27" s="1266"/>
      <c r="MQZ27" s="1266"/>
      <c r="MRA27" s="1266"/>
      <c r="MRB27" s="1266"/>
      <c r="MRC27" s="1266"/>
      <c r="MRD27" s="1266"/>
      <c r="MRE27" s="1266"/>
      <c r="MRF27" s="1266"/>
      <c r="MRG27" s="1266"/>
      <c r="MRH27" s="1266"/>
      <c r="MRI27" s="1266"/>
      <c r="MRJ27" s="1266"/>
      <c r="MRK27" s="1266"/>
      <c r="MRL27" s="1266"/>
      <c r="MRM27" s="1266"/>
      <c r="MRN27" s="1266"/>
      <c r="MRO27" s="1266"/>
      <c r="MRP27" s="1266"/>
      <c r="MRQ27" s="1266"/>
      <c r="MRR27" s="1266"/>
      <c r="MRS27" s="1266"/>
      <c r="MRT27" s="1266"/>
      <c r="MRU27" s="1266"/>
      <c r="MRV27" s="1266"/>
      <c r="MRW27" s="1266"/>
      <c r="MRX27" s="1266"/>
      <c r="MRY27" s="1266"/>
      <c r="MRZ27" s="1266"/>
      <c r="MSA27" s="1266"/>
      <c r="MSB27" s="1266"/>
      <c r="MSC27" s="1266"/>
      <c r="MSD27" s="1266"/>
      <c r="MSE27" s="1266"/>
      <c r="MSF27" s="1266"/>
      <c r="MSG27" s="1266"/>
      <c r="MSH27" s="1266"/>
      <c r="MSI27" s="1266"/>
      <c r="MSJ27" s="1266"/>
      <c r="MSK27" s="1266"/>
      <c r="MSL27" s="1266"/>
      <c r="MSM27" s="1266"/>
      <c r="MSN27" s="1266"/>
      <c r="MSO27" s="1266"/>
      <c r="MSP27" s="1266"/>
      <c r="MSQ27" s="1266"/>
      <c r="MSR27" s="1266"/>
      <c r="MSS27" s="1266"/>
      <c r="MST27" s="1266"/>
      <c r="MSU27" s="1266"/>
      <c r="MSV27" s="1266"/>
      <c r="MSW27" s="1266"/>
      <c r="MSX27" s="1266"/>
      <c r="MSY27" s="1266"/>
      <c r="MSZ27" s="1266"/>
      <c r="MTA27" s="1266"/>
      <c r="MTB27" s="1266"/>
      <c r="MTC27" s="1266"/>
      <c r="MTD27" s="1266"/>
      <c r="MTE27" s="1266"/>
      <c r="MTF27" s="1266"/>
      <c r="MTG27" s="1266"/>
      <c r="MTH27" s="1266"/>
      <c r="MTI27" s="1266"/>
      <c r="MTJ27" s="1266"/>
      <c r="MTK27" s="1266"/>
      <c r="MTL27" s="1266"/>
      <c r="MTM27" s="1266"/>
      <c r="MTN27" s="1266"/>
      <c r="MTO27" s="1266"/>
      <c r="MTP27" s="1266"/>
      <c r="MTQ27" s="1266"/>
      <c r="MTR27" s="1266"/>
      <c r="MTS27" s="1266"/>
      <c r="MTT27" s="1266"/>
      <c r="MTU27" s="1266"/>
      <c r="MTV27" s="1266"/>
      <c r="MTW27" s="1266"/>
      <c r="MTX27" s="1266"/>
      <c r="MTY27" s="1266"/>
      <c r="MTZ27" s="1266"/>
      <c r="MUA27" s="1266"/>
      <c r="MUB27" s="1266"/>
      <c r="MUC27" s="1266"/>
      <c r="MUD27" s="1266"/>
      <c r="MUE27" s="1266"/>
      <c r="MUF27" s="1266"/>
      <c r="MUG27" s="1266"/>
      <c r="MUH27" s="1266"/>
      <c r="MUI27" s="1266"/>
      <c r="MUJ27" s="1266"/>
      <c r="MUK27" s="1266"/>
      <c r="MUL27" s="1266"/>
      <c r="MUM27" s="1266"/>
      <c r="MUN27" s="1266"/>
      <c r="MUO27" s="1266"/>
      <c r="MUP27" s="1266"/>
      <c r="MUQ27" s="1266"/>
      <c r="MUR27" s="1266"/>
      <c r="MUS27" s="1266"/>
      <c r="MUT27" s="1266"/>
      <c r="MUU27" s="1266"/>
      <c r="MUV27" s="1266"/>
      <c r="MUW27" s="1266"/>
      <c r="MUX27" s="1266"/>
      <c r="MUY27" s="1266"/>
      <c r="MUZ27" s="1266"/>
      <c r="MVA27" s="1266"/>
      <c r="MVB27" s="1266"/>
      <c r="MVC27" s="1266"/>
      <c r="MVD27" s="1266"/>
      <c r="MVE27" s="1266"/>
      <c r="MVF27" s="1266"/>
      <c r="MVG27" s="1266"/>
      <c r="MVH27" s="1266"/>
      <c r="MVI27" s="1266"/>
      <c r="MVJ27" s="1266"/>
      <c r="MVK27" s="1266"/>
      <c r="MVL27" s="1266"/>
      <c r="MVM27" s="1266"/>
      <c r="MVN27" s="1266"/>
      <c r="MVO27" s="1266"/>
      <c r="MVP27" s="1266"/>
      <c r="MVQ27" s="1266"/>
      <c r="MVR27" s="1266"/>
      <c r="MVS27" s="1266"/>
      <c r="MVT27" s="1266"/>
      <c r="MVU27" s="1266"/>
      <c r="MVV27" s="1266"/>
      <c r="MVW27" s="1266"/>
      <c r="MVX27" s="1266"/>
      <c r="MVY27" s="1266"/>
      <c r="MVZ27" s="1266"/>
      <c r="MWA27" s="1266"/>
      <c r="MWB27" s="1266"/>
      <c r="MWC27" s="1266"/>
      <c r="MWD27" s="1266"/>
      <c r="MWE27" s="1266"/>
      <c r="MWF27" s="1266"/>
      <c r="MWG27" s="1266"/>
      <c r="MWH27" s="1266"/>
      <c r="MWI27" s="1266"/>
      <c r="MWJ27" s="1266"/>
      <c r="MWK27" s="1266"/>
      <c r="MWL27" s="1266"/>
      <c r="MWM27" s="1266"/>
      <c r="MWN27" s="1266"/>
      <c r="MWO27" s="1266"/>
      <c r="MWP27" s="1266"/>
      <c r="MWQ27" s="1266"/>
      <c r="MWR27" s="1266"/>
      <c r="MWS27" s="1266"/>
      <c r="MWT27" s="1266"/>
      <c r="MWU27" s="1266"/>
      <c r="MWV27" s="1266"/>
      <c r="MWW27" s="1266"/>
      <c r="MWX27" s="1266"/>
      <c r="MWY27" s="1266"/>
      <c r="MWZ27" s="1266"/>
      <c r="MXA27" s="1266"/>
      <c r="MXB27" s="1266"/>
      <c r="MXC27" s="1266"/>
      <c r="MXD27" s="1266"/>
      <c r="MXE27" s="1266"/>
      <c r="MXF27" s="1266"/>
      <c r="MXG27" s="1266"/>
      <c r="MXH27" s="1266"/>
      <c r="MXI27" s="1266"/>
      <c r="MXJ27" s="1266"/>
      <c r="MXK27" s="1266"/>
      <c r="MXL27" s="1266"/>
      <c r="MXM27" s="1266"/>
      <c r="MXN27" s="1266"/>
      <c r="MXO27" s="1266"/>
      <c r="MXP27" s="1266"/>
      <c r="MXQ27" s="1266"/>
      <c r="MXR27" s="1266"/>
      <c r="MXS27" s="1266"/>
      <c r="MXT27" s="1266"/>
      <c r="MXU27" s="1266"/>
      <c r="MXV27" s="1266"/>
      <c r="MXW27" s="1266"/>
      <c r="MXX27" s="1266"/>
      <c r="MXY27" s="1266"/>
      <c r="MXZ27" s="1266"/>
      <c r="MYA27" s="1266"/>
      <c r="MYB27" s="1266"/>
      <c r="MYC27" s="1266"/>
      <c r="MYD27" s="1266"/>
      <c r="MYE27" s="1266"/>
      <c r="MYF27" s="1266"/>
      <c r="MYG27" s="1266"/>
      <c r="MYH27" s="1266"/>
      <c r="MYI27" s="1266"/>
      <c r="MYJ27" s="1266"/>
      <c r="MYK27" s="1266"/>
      <c r="MYL27" s="1266"/>
      <c r="MYM27" s="1266"/>
      <c r="MYN27" s="1266"/>
      <c r="MYO27" s="1266"/>
      <c r="MYP27" s="1266"/>
      <c r="MYQ27" s="1266"/>
      <c r="MYR27" s="1266"/>
      <c r="MYS27" s="1266"/>
      <c r="MYT27" s="1266"/>
      <c r="MYU27" s="1266"/>
      <c r="MYV27" s="1266"/>
      <c r="MYW27" s="1266"/>
      <c r="MYX27" s="1266"/>
      <c r="MYY27" s="1266"/>
      <c r="MYZ27" s="1266"/>
      <c r="MZA27" s="1266"/>
      <c r="MZB27" s="1266"/>
      <c r="MZC27" s="1266"/>
      <c r="MZD27" s="1266"/>
      <c r="MZE27" s="1266"/>
      <c r="MZF27" s="1266"/>
      <c r="MZG27" s="1266"/>
      <c r="MZH27" s="1266"/>
      <c r="MZI27" s="1266"/>
      <c r="MZJ27" s="1266"/>
      <c r="MZK27" s="1266"/>
      <c r="MZL27" s="1266"/>
      <c r="MZM27" s="1266"/>
      <c r="MZN27" s="1266"/>
      <c r="MZO27" s="1266"/>
      <c r="MZP27" s="1266"/>
      <c r="MZQ27" s="1266"/>
      <c r="MZR27" s="1266"/>
      <c r="MZS27" s="1266"/>
      <c r="MZT27" s="1266"/>
      <c r="MZU27" s="1266"/>
      <c r="MZV27" s="1266"/>
      <c r="MZW27" s="1266"/>
      <c r="MZX27" s="1266"/>
      <c r="MZY27" s="1266"/>
      <c r="MZZ27" s="1266"/>
      <c r="NAA27" s="1266"/>
      <c r="NAB27" s="1266"/>
      <c r="NAC27" s="1266"/>
      <c r="NAD27" s="1266"/>
      <c r="NAE27" s="1266"/>
      <c r="NAF27" s="1266"/>
      <c r="NAG27" s="1266"/>
      <c r="NAH27" s="1266"/>
      <c r="NAI27" s="1266"/>
      <c r="NAJ27" s="1266"/>
      <c r="NAK27" s="1266"/>
      <c r="NAL27" s="1266"/>
      <c r="NAM27" s="1266"/>
      <c r="NAN27" s="1266"/>
      <c r="NAO27" s="1266"/>
      <c r="NAP27" s="1266"/>
      <c r="NAQ27" s="1266"/>
      <c r="NAR27" s="1266"/>
      <c r="NAS27" s="1266"/>
      <c r="NAT27" s="1266"/>
      <c r="NAU27" s="1266"/>
      <c r="NAV27" s="1266"/>
      <c r="NAW27" s="1266"/>
      <c r="NAX27" s="1266"/>
      <c r="NAY27" s="1266"/>
      <c r="NAZ27" s="1266"/>
      <c r="NBA27" s="1266"/>
      <c r="NBB27" s="1266"/>
      <c r="NBC27" s="1266"/>
      <c r="NBD27" s="1266"/>
      <c r="NBE27" s="1266"/>
      <c r="NBF27" s="1266"/>
      <c r="NBG27" s="1266"/>
      <c r="NBH27" s="1266"/>
      <c r="NBI27" s="1266"/>
      <c r="NBJ27" s="1266"/>
      <c r="NBK27" s="1266"/>
      <c r="NBL27" s="1266"/>
      <c r="NBM27" s="1266"/>
      <c r="NBN27" s="1266"/>
      <c r="NBO27" s="1266"/>
      <c r="NBP27" s="1266"/>
      <c r="NBQ27" s="1266"/>
      <c r="NBR27" s="1266"/>
      <c r="NBS27" s="1266"/>
      <c r="NBT27" s="1266"/>
      <c r="NBU27" s="1266"/>
      <c r="NBV27" s="1266"/>
      <c r="NBW27" s="1266"/>
      <c r="NBX27" s="1266"/>
      <c r="NBY27" s="1266"/>
      <c r="NBZ27" s="1266"/>
      <c r="NCA27" s="1266"/>
      <c r="NCB27" s="1266"/>
      <c r="NCC27" s="1266"/>
      <c r="NCD27" s="1266"/>
      <c r="NCE27" s="1266"/>
      <c r="NCF27" s="1266"/>
      <c r="NCG27" s="1266"/>
      <c r="NCH27" s="1266"/>
      <c r="NCI27" s="1266"/>
      <c r="NCJ27" s="1266"/>
      <c r="NCK27" s="1266"/>
      <c r="NCL27" s="1266"/>
      <c r="NCM27" s="1266"/>
      <c r="NCN27" s="1266"/>
      <c r="NCO27" s="1266"/>
      <c r="NCP27" s="1266"/>
      <c r="NCQ27" s="1266"/>
      <c r="NCR27" s="1266"/>
      <c r="NCS27" s="1266"/>
      <c r="NCT27" s="1266"/>
      <c r="NCU27" s="1266"/>
      <c r="NCV27" s="1266"/>
      <c r="NCW27" s="1266"/>
      <c r="NCX27" s="1266"/>
      <c r="NCY27" s="1266"/>
      <c r="NCZ27" s="1266"/>
      <c r="NDA27" s="1266"/>
      <c r="NDB27" s="1266"/>
      <c r="NDC27" s="1266"/>
      <c r="NDD27" s="1266"/>
      <c r="NDE27" s="1266"/>
      <c r="NDF27" s="1266"/>
      <c r="NDG27" s="1266"/>
      <c r="NDH27" s="1266"/>
      <c r="NDI27" s="1266"/>
      <c r="NDJ27" s="1266"/>
      <c r="NDK27" s="1266"/>
      <c r="NDL27" s="1266"/>
      <c r="NDM27" s="1266"/>
      <c r="NDN27" s="1266"/>
      <c r="NDO27" s="1266"/>
      <c r="NDP27" s="1266"/>
      <c r="NDQ27" s="1266"/>
      <c r="NDR27" s="1266"/>
      <c r="NDS27" s="1266"/>
      <c r="NDT27" s="1266"/>
      <c r="NDU27" s="1266"/>
      <c r="NDV27" s="1266"/>
      <c r="NDW27" s="1266"/>
      <c r="NDX27" s="1266"/>
      <c r="NDY27" s="1266"/>
      <c r="NDZ27" s="1266"/>
      <c r="NEA27" s="1266"/>
      <c r="NEB27" s="1266"/>
      <c r="NEC27" s="1266"/>
      <c r="NED27" s="1266"/>
      <c r="NEE27" s="1266"/>
      <c r="NEF27" s="1266"/>
      <c r="NEG27" s="1266"/>
      <c r="NEH27" s="1266"/>
      <c r="NEI27" s="1266"/>
      <c r="NEJ27" s="1266"/>
      <c r="NEK27" s="1266"/>
      <c r="NEL27" s="1266"/>
      <c r="NEM27" s="1266"/>
      <c r="NEN27" s="1266"/>
      <c r="NEO27" s="1266"/>
      <c r="NEP27" s="1266"/>
      <c r="NEQ27" s="1266"/>
      <c r="NER27" s="1266"/>
      <c r="NES27" s="1266"/>
      <c r="NET27" s="1266"/>
      <c r="NEU27" s="1266"/>
      <c r="NEV27" s="1266"/>
      <c r="NEW27" s="1266"/>
      <c r="NEX27" s="1266"/>
      <c r="NEY27" s="1266"/>
      <c r="NEZ27" s="1266"/>
      <c r="NFA27" s="1266"/>
      <c r="NFB27" s="1266"/>
      <c r="NFC27" s="1266"/>
      <c r="NFD27" s="1266"/>
      <c r="NFE27" s="1266"/>
      <c r="NFF27" s="1266"/>
      <c r="NFG27" s="1266"/>
      <c r="NFH27" s="1266"/>
      <c r="NFI27" s="1266"/>
      <c r="NFJ27" s="1266"/>
      <c r="NFK27" s="1266"/>
      <c r="NFL27" s="1266"/>
      <c r="NFM27" s="1266"/>
      <c r="NFN27" s="1266"/>
      <c r="NFO27" s="1266"/>
      <c r="NFP27" s="1266"/>
      <c r="NFQ27" s="1266"/>
      <c r="NFR27" s="1266"/>
      <c r="NFS27" s="1266"/>
      <c r="NFT27" s="1266"/>
      <c r="NFU27" s="1266"/>
      <c r="NFV27" s="1266"/>
      <c r="NFW27" s="1266"/>
      <c r="NFX27" s="1266"/>
      <c r="NFY27" s="1266"/>
      <c r="NFZ27" s="1266"/>
      <c r="NGA27" s="1266"/>
      <c r="NGB27" s="1266"/>
      <c r="NGC27" s="1266"/>
      <c r="NGD27" s="1266"/>
      <c r="NGE27" s="1266"/>
      <c r="NGF27" s="1266"/>
      <c r="NGG27" s="1266"/>
      <c r="NGH27" s="1266"/>
      <c r="NGI27" s="1266"/>
      <c r="NGJ27" s="1266"/>
      <c r="NGK27" s="1266"/>
      <c r="NGL27" s="1266"/>
      <c r="NGM27" s="1266"/>
      <c r="NGN27" s="1266"/>
      <c r="NGO27" s="1266"/>
      <c r="NGP27" s="1266"/>
      <c r="NGQ27" s="1266"/>
      <c r="NGR27" s="1266"/>
      <c r="NGS27" s="1266"/>
      <c r="NGT27" s="1266"/>
      <c r="NGU27" s="1266"/>
      <c r="NGV27" s="1266"/>
      <c r="NGW27" s="1266"/>
      <c r="NGX27" s="1266"/>
      <c r="NGY27" s="1266"/>
      <c r="NGZ27" s="1266"/>
      <c r="NHA27" s="1266"/>
      <c r="NHB27" s="1266"/>
      <c r="NHC27" s="1266"/>
      <c r="NHD27" s="1266"/>
      <c r="NHE27" s="1266"/>
      <c r="NHF27" s="1266"/>
      <c r="NHG27" s="1266"/>
      <c r="NHH27" s="1266"/>
      <c r="NHI27" s="1266"/>
      <c r="NHJ27" s="1266"/>
      <c r="NHK27" s="1266"/>
      <c r="NHL27" s="1266"/>
      <c r="NHM27" s="1266"/>
      <c r="NHN27" s="1266"/>
      <c r="NHO27" s="1266"/>
      <c r="NHP27" s="1266"/>
      <c r="NHQ27" s="1266"/>
      <c r="NHR27" s="1266"/>
      <c r="NHS27" s="1266"/>
      <c r="NHT27" s="1266"/>
      <c r="NHU27" s="1266"/>
      <c r="NHV27" s="1266"/>
      <c r="NHW27" s="1266"/>
      <c r="NHX27" s="1266"/>
      <c r="NHY27" s="1266"/>
      <c r="NHZ27" s="1266"/>
      <c r="NIA27" s="1266"/>
      <c r="NIB27" s="1266"/>
      <c r="NIC27" s="1266"/>
      <c r="NID27" s="1266"/>
      <c r="NIE27" s="1266"/>
      <c r="NIF27" s="1266"/>
      <c r="NIG27" s="1266"/>
      <c r="NIH27" s="1266"/>
      <c r="NII27" s="1266"/>
      <c r="NIJ27" s="1266"/>
      <c r="NIK27" s="1266"/>
      <c r="NIL27" s="1266"/>
      <c r="NIM27" s="1266"/>
      <c r="NIN27" s="1266"/>
      <c r="NIO27" s="1266"/>
      <c r="NIP27" s="1266"/>
      <c r="NIQ27" s="1266"/>
      <c r="NIR27" s="1266"/>
      <c r="NIS27" s="1266"/>
      <c r="NIT27" s="1266"/>
      <c r="NIU27" s="1266"/>
      <c r="NIV27" s="1266"/>
      <c r="NIW27" s="1266"/>
      <c r="NIX27" s="1266"/>
      <c r="NIY27" s="1266"/>
      <c r="NIZ27" s="1266"/>
      <c r="NJA27" s="1266"/>
      <c r="NJB27" s="1266"/>
      <c r="NJC27" s="1266"/>
      <c r="NJD27" s="1266"/>
      <c r="NJE27" s="1266"/>
      <c r="NJF27" s="1266"/>
      <c r="NJG27" s="1266"/>
      <c r="NJH27" s="1266"/>
      <c r="NJI27" s="1266"/>
      <c r="NJJ27" s="1266"/>
      <c r="NJK27" s="1266"/>
      <c r="NJL27" s="1266"/>
      <c r="NJM27" s="1266"/>
      <c r="NJN27" s="1266"/>
      <c r="NJO27" s="1266"/>
      <c r="NJP27" s="1266"/>
      <c r="NJQ27" s="1266"/>
      <c r="NJR27" s="1266"/>
      <c r="NJS27" s="1266"/>
      <c r="NJT27" s="1266"/>
      <c r="NJU27" s="1266"/>
      <c r="NJV27" s="1266"/>
      <c r="NJW27" s="1266"/>
      <c r="NJX27" s="1266"/>
      <c r="NJY27" s="1266"/>
      <c r="NJZ27" s="1266"/>
      <c r="NKA27" s="1266"/>
      <c r="NKB27" s="1266"/>
      <c r="NKC27" s="1266"/>
      <c r="NKD27" s="1266"/>
      <c r="NKE27" s="1266"/>
      <c r="NKF27" s="1266"/>
      <c r="NKG27" s="1266"/>
      <c r="NKH27" s="1266"/>
      <c r="NKI27" s="1266"/>
      <c r="NKJ27" s="1266"/>
      <c r="NKK27" s="1266"/>
      <c r="NKL27" s="1266"/>
      <c r="NKM27" s="1266"/>
      <c r="NKN27" s="1266"/>
      <c r="NKO27" s="1266"/>
      <c r="NKP27" s="1266"/>
      <c r="NKQ27" s="1266"/>
      <c r="NKR27" s="1266"/>
      <c r="NKS27" s="1266"/>
      <c r="NKT27" s="1266"/>
      <c r="NKU27" s="1266"/>
      <c r="NKV27" s="1266"/>
      <c r="NKW27" s="1266"/>
      <c r="NKX27" s="1266"/>
      <c r="NKY27" s="1266"/>
      <c r="NKZ27" s="1266"/>
      <c r="NLA27" s="1266"/>
      <c r="NLB27" s="1266"/>
      <c r="NLC27" s="1266"/>
      <c r="NLD27" s="1266"/>
      <c r="NLE27" s="1266"/>
      <c r="NLF27" s="1266"/>
      <c r="NLG27" s="1266"/>
      <c r="NLH27" s="1266"/>
      <c r="NLI27" s="1266"/>
      <c r="NLJ27" s="1266"/>
      <c r="NLK27" s="1266"/>
      <c r="NLL27" s="1266"/>
      <c r="NLM27" s="1266"/>
      <c r="NLN27" s="1266"/>
      <c r="NLO27" s="1266"/>
      <c r="NLP27" s="1266"/>
      <c r="NLQ27" s="1266"/>
      <c r="NLR27" s="1266"/>
      <c r="NLS27" s="1266"/>
      <c r="NLT27" s="1266"/>
      <c r="NLU27" s="1266"/>
      <c r="NLV27" s="1266"/>
      <c r="NLW27" s="1266"/>
      <c r="NLX27" s="1266"/>
      <c r="NLY27" s="1266"/>
      <c r="NLZ27" s="1266"/>
      <c r="NMA27" s="1266"/>
      <c r="NMB27" s="1266"/>
      <c r="NMC27" s="1266"/>
      <c r="NMD27" s="1266"/>
      <c r="NME27" s="1266"/>
      <c r="NMF27" s="1266"/>
      <c r="NMG27" s="1266"/>
      <c r="NMH27" s="1266"/>
      <c r="NMI27" s="1266"/>
      <c r="NMJ27" s="1266"/>
      <c r="NMK27" s="1266"/>
      <c r="NML27" s="1266"/>
      <c r="NMM27" s="1266"/>
      <c r="NMN27" s="1266"/>
      <c r="NMO27" s="1266"/>
      <c r="NMP27" s="1266"/>
      <c r="NMQ27" s="1266"/>
      <c r="NMR27" s="1266"/>
      <c r="NMS27" s="1266"/>
      <c r="NMT27" s="1266"/>
      <c r="NMU27" s="1266"/>
      <c r="NMV27" s="1266"/>
      <c r="NMW27" s="1266"/>
      <c r="NMX27" s="1266"/>
      <c r="NMY27" s="1266"/>
      <c r="NMZ27" s="1266"/>
      <c r="NNA27" s="1266"/>
      <c r="NNB27" s="1266"/>
      <c r="NNC27" s="1266"/>
      <c r="NND27" s="1266"/>
      <c r="NNE27" s="1266"/>
      <c r="NNF27" s="1266"/>
      <c r="NNG27" s="1266"/>
      <c r="NNH27" s="1266"/>
      <c r="NNI27" s="1266"/>
      <c r="NNJ27" s="1266"/>
      <c r="NNK27" s="1266"/>
      <c r="NNL27" s="1266"/>
      <c r="NNM27" s="1266"/>
      <c r="NNN27" s="1266"/>
      <c r="NNO27" s="1266"/>
      <c r="NNP27" s="1266"/>
      <c r="NNQ27" s="1266"/>
      <c r="NNR27" s="1266"/>
      <c r="NNS27" s="1266"/>
      <c r="NNT27" s="1266"/>
      <c r="NNU27" s="1266"/>
      <c r="NNV27" s="1266"/>
      <c r="NNW27" s="1266"/>
      <c r="NNX27" s="1266"/>
      <c r="NNY27" s="1266"/>
      <c r="NNZ27" s="1266"/>
      <c r="NOA27" s="1266"/>
      <c r="NOB27" s="1266"/>
      <c r="NOC27" s="1266"/>
      <c r="NOD27" s="1266"/>
      <c r="NOE27" s="1266"/>
      <c r="NOF27" s="1266"/>
      <c r="NOG27" s="1266"/>
      <c r="NOH27" s="1266"/>
      <c r="NOI27" s="1266"/>
      <c r="NOJ27" s="1266"/>
      <c r="NOK27" s="1266"/>
      <c r="NOL27" s="1266"/>
      <c r="NOM27" s="1266"/>
      <c r="NON27" s="1266"/>
      <c r="NOO27" s="1266"/>
      <c r="NOP27" s="1266"/>
      <c r="NOQ27" s="1266"/>
      <c r="NOR27" s="1266"/>
      <c r="NOS27" s="1266"/>
      <c r="NOT27" s="1266"/>
      <c r="NOU27" s="1266"/>
      <c r="NOV27" s="1266"/>
      <c r="NOW27" s="1266"/>
      <c r="NOX27" s="1266"/>
      <c r="NOY27" s="1266"/>
      <c r="NOZ27" s="1266"/>
      <c r="NPA27" s="1266"/>
      <c r="NPB27" s="1266"/>
      <c r="NPC27" s="1266"/>
      <c r="NPD27" s="1266"/>
      <c r="NPE27" s="1266"/>
      <c r="NPF27" s="1266"/>
      <c r="NPG27" s="1266"/>
      <c r="NPH27" s="1266"/>
      <c r="NPI27" s="1266"/>
      <c r="NPJ27" s="1266"/>
      <c r="NPK27" s="1266"/>
      <c r="NPL27" s="1266"/>
      <c r="NPM27" s="1266"/>
      <c r="NPN27" s="1266"/>
      <c r="NPO27" s="1266"/>
      <c r="NPP27" s="1266"/>
      <c r="NPQ27" s="1266"/>
      <c r="NPR27" s="1266"/>
      <c r="NPS27" s="1266"/>
      <c r="NPT27" s="1266"/>
      <c r="NPU27" s="1266"/>
      <c r="NPV27" s="1266"/>
      <c r="NPW27" s="1266"/>
      <c r="NPX27" s="1266"/>
      <c r="NPY27" s="1266"/>
      <c r="NPZ27" s="1266"/>
      <c r="NQA27" s="1266"/>
      <c r="NQB27" s="1266"/>
      <c r="NQC27" s="1266"/>
      <c r="NQD27" s="1266"/>
      <c r="NQE27" s="1266"/>
      <c r="NQF27" s="1266"/>
      <c r="NQG27" s="1266"/>
      <c r="NQH27" s="1266"/>
      <c r="NQI27" s="1266"/>
      <c r="NQJ27" s="1266"/>
      <c r="NQK27" s="1266"/>
      <c r="NQL27" s="1266"/>
      <c r="NQM27" s="1266"/>
      <c r="NQN27" s="1266"/>
      <c r="NQO27" s="1266"/>
      <c r="NQP27" s="1266"/>
      <c r="NQQ27" s="1266"/>
      <c r="NQR27" s="1266"/>
      <c r="NQS27" s="1266"/>
      <c r="NQT27" s="1266"/>
      <c r="NQU27" s="1266"/>
      <c r="NQV27" s="1266"/>
      <c r="NQW27" s="1266"/>
      <c r="NQX27" s="1266"/>
      <c r="NQY27" s="1266"/>
      <c r="NQZ27" s="1266"/>
      <c r="NRA27" s="1266"/>
      <c r="NRB27" s="1266"/>
      <c r="NRC27" s="1266"/>
      <c r="NRD27" s="1266"/>
      <c r="NRE27" s="1266"/>
      <c r="NRF27" s="1266"/>
      <c r="NRG27" s="1266"/>
      <c r="NRH27" s="1266"/>
      <c r="NRI27" s="1266"/>
      <c r="NRJ27" s="1266"/>
      <c r="NRK27" s="1266"/>
      <c r="NRL27" s="1266"/>
      <c r="NRM27" s="1266"/>
      <c r="NRN27" s="1266"/>
      <c r="NRO27" s="1266"/>
      <c r="NRP27" s="1266"/>
      <c r="NRQ27" s="1266"/>
      <c r="NRR27" s="1266"/>
      <c r="NRS27" s="1266"/>
      <c r="NRT27" s="1266"/>
      <c r="NRU27" s="1266"/>
      <c r="NRV27" s="1266"/>
      <c r="NRW27" s="1266"/>
      <c r="NRX27" s="1266"/>
      <c r="NRY27" s="1266"/>
      <c r="NRZ27" s="1266"/>
      <c r="NSA27" s="1266"/>
      <c r="NSB27" s="1266"/>
      <c r="NSC27" s="1266"/>
      <c r="NSD27" s="1266"/>
      <c r="NSE27" s="1266"/>
      <c r="NSF27" s="1266"/>
      <c r="NSG27" s="1266"/>
      <c r="NSH27" s="1266"/>
      <c r="NSI27" s="1266"/>
      <c r="NSJ27" s="1266"/>
      <c r="NSK27" s="1266"/>
      <c r="NSL27" s="1266"/>
      <c r="NSM27" s="1266"/>
      <c r="NSN27" s="1266"/>
      <c r="NSO27" s="1266"/>
      <c r="NSP27" s="1266"/>
      <c r="NSQ27" s="1266"/>
      <c r="NSR27" s="1266"/>
      <c r="NSS27" s="1266"/>
      <c r="NST27" s="1266"/>
      <c r="NSU27" s="1266"/>
      <c r="NSV27" s="1266"/>
      <c r="NSW27" s="1266"/>
      <c r="NSX27" s="1266"/>
      <c r="NSY27" s="1266"/>
      <c r="NSZ27" s="1266"/>
      <c r="NTA27" s="1266"/>
      <c r="NTB27" s="1266"/>
      <c r="NTC27" s="1266"/>
      <c r="NTD27" s="1266"/>
      <c r="NTE27" s="1266"/>
      <c r="NTF27" s="1266"/>
      <c r="NTG27" s="1266"/>
      <c r="NTH27" s="1266"/>
      <c r="NTI27" s="1266"/>
      <c r="NTJ27" s="1266"/>
      <c r="NTK27" s="1266"/>
      <c r="NTL27" s="1266"/>
      <c r="NTM27" s="1266"/>
      <c r="NTN27" s="1266"/>
      <c r="NTO27" s="1266"/>
      <c r="NTP27" s="1266"/>
      <c r="NTQ27" s="1266"/>
      <c r="NTR27" s="1266"/>
      <c r="NTS27" s="1266"/>
      <c r="NTT27" s="1266"/>
      <c r="NTU27" s="1266"/>
      <c r="NTV27" s="1266"/>
      <c r="NTW27" s="1266"/>
      <c r="NTX27" s="1266"/>
      <c r="NTY27" s="1266"/>
      <c r="NTZ27" s="1266"/>
      <c r="NUA27" s="1266"/>
      <c r="NUB27" s="1266"/>
      <c r="NUC27" s="1266"/>
      <c r="NUD27" s="1266"/>
      <c r="NUE27" s="1266"/>
      <c r="NUF27" s="1266"/>
      <c r="NUG27" s="1266"/>
      <c r="NUH27" s="1266"/>
      <c r="NUI27" s="1266"/>
      <c r="NUJ27" s="1266"/>
      <c r="NUK27" s="1266"/>
      <c r="NUL27" s="1266"/>
      <c r="NUM27" s="1266"/>
      <c r="NUN27" s="1266"/>
      <c r="NUO27" s="1266"/>
      <c r="NUP27" s="1266"/>
      <c r="NUQ27" s="1266"/>
      <c r="NUR27" s="1266"/>
      <c r="NUS27" s="1266"/>
      <c r="NUT27" s="1266"/>
      <c r="NUU27" s="1266"/>
      <c r="NUV27" s="1266"/>
      <c r="NUW27" s="1266"/>
      <c r="NUX27" s="1266"/>
      <c r="NUY27" s="1266"/>
      <c r="NUZ27" s="1266"/>
      <c r="NVA27" s="1266"/>
      <c r="NVB27" s="1266"/>
      <c r="NVC27" s="1266"/>
      <c r="NVD27" s="1266"/>
      <c r="NVE27" s="1266"/>
      <c r="NVF27" s="1266"/>
      <c r="NVG27" s="1266"/>
      <c r="NVH27" s="1266"/>
      <c r="NVI27" s="1266"/>
      <c r="NVJ27" s="1266"/>
      <c r="NVK27" s="1266"/>
      <c r="NVL27" s="1266"/>
      <c r="NVM27" s="1266"/>
      <c r="NVN27" s="1266"/>
      <c r="NVO27" s="1266"/>
      <c r="NVP27" s="1266"/>
      <c r="NVQ27" s="1266"/>
      <c r="NVR27" s="1266"/>
      <c r="NVS27" s="1266"/>
      <c r="NVT27" s="1266"/>
      <c r="NVU27" s="1266"/>
      <c r="NVV27" s="1266"/>
      <c r="NVW27" s="1266"/>
      <c r="NVX27" s="1266"/>
      <c r="NVY27" s="1266"/>
      <c r="NVZ27" s="1266"/>
      <c r="NWA27" s="1266"/>
      <c r="NWB27" s="1266"/>
      <c r="NWC27" s="1266"/>
      <c r="NWD27" s="1266"/>
      <c r="NWE27" s="1266"/>
      <c r="NWF27" s="1266"/>
      <c r="NWG27" s="1266"/>
      <c r="NWH27" s="1266"/>
      <c r="NWI27" s="1266"/>
      <c r="NWJ27" s="1266"/>
      <c r="NWK27" s="1266"/>
      <c r="NWL27" s="1266"/>
      <c r="NWM27" s="1266"/>
      <c r="NWN27" s="1266"/>
      <c r="NWO27" s="1266"/>
      <c r="NWP27" s="1266"/>
      <c r="NWQ27" s="1266"/>
      <c r="NWR27" s="1266"/>
      <c r="NWS27" s="1266"/>
      <c r="NWT27" s="1266"/>
      <c r="NWU27" s="1266"/>
      <c r="NWV27" s="1266"/>
      <c r="NWW27" s="1266"/>
      <c r="NWX27" s="1266"/>
      <c r="NWY27" s="1266"/>
      <c r="NWZ27" s="1266"/>
      <c r="NXA27" s="1266"/>
      <c r="NXB27" s="1266"/>
      <c r="NXC27" s="1266"/>
      <c r="NXD27" s="1266"/>
      <c r="NXE27" s="1266"/>
      <c r="NXF27" s="1266"/>
      <c r="NXG27" s="1266"/>
      <c r="NXH27" s="1266"/>
      <c r="NXI27" s="1266"/>
      <c r="NXJ27" s="1266"/>
      <c r="NXK27" s="1266"/>
      <c r="NXL27" s="1266"/>
      <c r="NXM27" s="1266"/>
      <c r="NXN27" s="1266"/>
      <c r="NXO27" s="1266"/>
      <c r="NXP27" s="1266"/>
      <c r="NXQ27" s="1266"/>
      <c r="NXR27" s="1266"/>
      <c r="NXS27" s="1266"/>
      <c r="NXT27" s="1266"/>
      <c r="NXU27" s="1266"/>
      <c r="NXV27" s="1266"/>
      <c r="NXW27" s="1266"/>
      <c r="NXX27" s="1266"/>
      <c r="NXY27" s="1266"/>
      <c r="NXZ27" s="1266"/>
      <c r="NYA27" s="1266"/>
      <c r="NYB27" s="1266"/>
      <c r="NYC27" s="1266"/>
      <c r="NYD27" s="1266"/>
      <c r="NYE27" s="1266"/>
      <c r="NYF27" s="1266"/>
      <c r="NYG27" s="1266"/>
      <c r="NYH27" s="1266"/>
      <c r="NYI27" s="1266"/>
      <c r="NYJ27" s="1266"/>
      <c r="NYK27" s="1266"/>
      <c r="NYL27" s="1266"/>
      <c r="NYM27" s="1266"/>
      <c r="NYN27" s="1266"/>
      <c r="NYO27" s="1266"/>
      <c r="NYP27" s="1266"/>
      <c r="NYQ27" s="1266"/>
      <c r="NYR27" s="1266"/>
      <c r="NYS27" s="1266"/>
      <c r="NYT27" s="1266"/>
      <c r="NYU27" s="1266"/>
      <c r="NYV27" s="1266"/>
      <c r="NYW27" s="1266"/>
      <c r="NYX27" s="1266"/>
      <c r="NYY27" s="1266"/>
      <c r="NYZ27" s="1266"/>
      <c r="NZA27" s="1266"/>
      <c r="NZB27" s="1266"/>
      <c r="NZC27" s="1266"/>
      <c r="NZD27" s="1266"/>
      <c r="NZE27" s="1266"/>
      <c r="NZF27" s="1266"/>
      <c r="NZG27" s="1266"/>
      <c r="NZH27" s="1266"/>
      <c r="NZI27" s="1266"/>
      <c r="NZJ27" s="1266"/>
      <c r="NZK27" s="1266"/>
      <c r="NZL27" s="1266"/>
      <c r="NZM27" s="1266"/>
      <c r="NZN27" s="1266"/>
      <c r="NZO27" s="1266"/>
      <c r="NZP27" s="1266"/>
      <c r="NZQ27" s="1266"/>
      <c r="NZR27" s="1266"/>
      <c r="NZS27" s="1266"/>
      <c r="NZT27" s="1266"/>
      <c r="NZU27" s="1266"/>
      <c r="NZV27" s="1266"/>
      <c r="NZW27" s="1266"/>
      <c r="NZX27" s="1266"/>
      <c r="NZY27" s="1266"/>
      <c r="NZZ27" s="1266"/>
      <c r="OAA27" s="1266"/>
      <c r="OAB27" s="1266"/>
      <c r="OAC27" s="1266"/>
      <c r="OAD27" s="1266"/>
      <c r="OAE27" s="1266"/>
      <c r="OAF27" s="1266"/>
      <c r="OAG27" s="1266"/>
      <c r="OAH27" s="1266"/>
      <c r="OAI27" s="1266"/>
      <c r="OAJ27" s="1266"/>
      <c r="OAK27" s="1266"/>
      <c r="OAL27" s="1266"/>
      <c r="OAM27" s="1266"/>
      <c r="OAN27" s="1266"/>
      <c r="OAO27" s="1266"/>
      <c r="OAP27" s="1266"/>
      <c r="OAQ27" s="1266"/>
      <c r="OAR27" s="1266"/>
      <c r="OAS27" s="1266"/>
      <c r="OAT27" s="1266"/>
      <c r="OAU27" s="1266"/>
      <c r="OAV27" s="1266"/>
      <c r="OAW27" s="1266"/>
      <c r="OAX27" s="1266"/>
      <c r="OAY27" s="1266"/>
      <c r="OAZ27" s="1266"/>
      <c r="OBA27" s="1266"/>
      <c r="OBB27" s="1266"/>
      <c r="OBC27" s="1266"/>
      <c r="OBD27" s="1266"/>
      <c r="OBE27" s="1266"/>
      <c r="OBF27" s="1266"/>
      <c r="OBG27" s="1266"/>
      <c r="OBH27" s="1266"/>
      <c r="OBI27" s="1266"/>
      <c r="OBJ27" s="1266"/>
      <c r="OBK27" s="1266"/>
      <c r="OBL27" s="1266"/>
      <c r="OBM27" s="1266"/>
      <c r="OBN27" s="1266"/>
      <c r="OBO27" s="1266"/>
      <c r="OBP27" s="1266"/>
      <c r="OBQ27" s="1266"/>
      <c r="OBR27" s="1266"/>
      <c r="OBS27" s="1266"/>
      <c r="OBT27" s="1266"/>
      <c r="OBU27" s="1266"/>
      <c r="OBV27" s="1266"/>
      <c r="OBW27" s="1266"/>
      <c r="OBX27" s="1266"/>
      <c r="OBY27" s="1266"/>
      <c r="OBZ27" s="1266"/>
      <c r="OCA27" s="1266"/>
      <c r="OCB27" s="1266"/>
      <c r="OCC27" s="1266"/>
      <c r="OCD27" s="1266"/>
      <c r="OCE27" s="1266"/>
      <c r="OCF27" s="1266"/>
      <c r="OCG27" s="1266"/>
      <c r="OCH27" s="1266"/>
      <c r="OCI27" s="1266"/>
      <c r="OCJ27" s="1266"/>
      <c r="OCK27" s="1266"/>
      <c r="OCL27" s="1266"/>
      <c r="OCM27" s="1266"/>
      <c r="OCN27" s="1266"/>
      <c r="OCO27" s="1266"/>
      <c r="OCP27" s="1266"/>
      <c r="OCQ27" s="1266"/>
      <c r="OCR27" s="1266"/>
      <c r="OCS27" s="1266"/>
      <c r="OCT27" s="1266"/>
      <c r="OCU27" s="1266"/>
      <c r="OCV27" s="1266"/>
      <c r="OCW27" s="1266"/>
      <c r="OCX27" s="1266"/>
      <c r="OCY27" s="1266"/>
      <c r="OCZ27" s="1266"/>
      <c r="ODA27" s="1266"/>
      <c r="ODB27" s="1266"/>
      <c r="ODC27" s="1266"/>
      <c r="ODD27" s="1266"/>
      <c r="ODE27" s="1266"/>
      <c r="ODF27" s="1266"/>
      <c r="ODG27" s="1266"/>
      <c r="ODH27" s="1266"/>
      <c r="ODI27" s="1266"/>
      <c r="ODJ27" s="1266"/>
      <c r="ODK27" s="1266"/>
      <c r="ODL27" s="1266"/>
      <c r="ODM27" s="1266"/>
      <c r="ODN27" s="1266"/>
      <c r="ODO27" s="1266"/>
      <c r="ODP27" s="1266"/>
      <c r="ODQ27" s="1266"/>
      <c r="ODR27" s="1266"/>
      <c r="ODS27" s="1266"/>
      <c r="ODT27" s="1266"/>
      <c r="ODU27" s="1266"/>
      <c r="ODV27" s="1266"/>
      <c r="ODW27" s="1266"/>
      <c r="ODX27" s="1266"/>
      <c r="ODY27" s="1266"/>
      <c r="ODZ27" s="1266"/>
      <c r="OEA27" s="1266"/>
      <c r="OEB27" s="1266"/>
      <c r="OEC27" s="1266"/>
      <c r="OED27" s="1266"/>
      <c r="OEE27" s="1266"/>
      <c r="OEF27" s="1266"/>
      <c r="OEG27" s="1266"/>
      <c r="OEH27" s="1266"/>
      <c r="OEI27" s="1266"/>
      <c r="OEJ27" s="1266"/>
      <c r="OEK27" s="1266"/>
      <c r="OEL27" s="1266"/>
      <c r="OEM27" s="1266"/>
      <c r="OEN27" s="1266"/>
      <c r="OEO27" s="1266"/>
      <c r="OEP27" s="1266"/>
      <c r="OEQ27" s="1266"/>
      <c r="OER27" s="1266"/>
      <c r="OES27" s="1266"/>
      <c r="OET27" s="1266"/>
      <c r="OEU27" s="1266"/>
      <c r="OEV27" s="1266"/>
      <c r="OEW27" s="1266"/>
      <c r="OEX27" s="1266"/>
      <c r="OEY27" s="1266"/>
      <c r="OEZ27" s="1266"/>
      <c r="OFA27" s="1266"/>
      <c r="OFB27" s="1266"/>
      <c r="OFC27" s="1266"/>
      <c r="OFD27" s="1266"/>
      <c r="OFE27" s="1266"/>
      <c r="OFF27" s="1266"/>
      <c r="OFG27" s="1266"/>
      <c r="OFH27" s="1266"/>
      <c r="OFI27" s="1266"/>
      <c r="OFJ27" s="1266"/>
      <c r="OFK27" s="1266"/>
      <c r="OFL27" s="1266"/>
      <c r="OFM27" s="1266"/>
      <c r="OFN27" s="1266"/>
      <c r="OFO27" s="1266"/>
      <c r="OFP27" s="1266"/>
      <c r="OFQ27" s="1266"/>
      <c r="OFR27" s="1266"/>
      <c r="OFS27" s="1266"/>
      <c r="OFT27" s="1266"/>
      <c r="OFU27" s="1266"/>
      <c r="OFV27" s="1266"/>
      <c r="OFW27" s="1266"/>
      <c r="OFX27" s="1266"/>
      <c r="OFY27" s="1266"/>
      <c r="OFZ27" s="1266"/>
      <c r="OGA27" s="1266"/>
      <c r="OGB27" s="1266"/>
      <c r="OGC27" s="1266"/>
      <c r="OGD27" s="1266"/>
      <c r="OGE27" s="1266"/>
      <c r="OGF27" s="1266"/>
      <c r="OGG27" s="1266"/>
      <c r="OGH27" s="1266"/>
      <c r="OGI27" s="1266"/>
      <c r="OGJ27" s="1266"/>
      <c r="OGK27" s="1266"/>
      <c r="OGL27" s="1266"/>
      <c r="OGM27" s="1266"/>
      <c r="OGN27" s="1266"/>
      <c r="OGO27" s="1266"/>
      <c r="OGP27" s="1266"/>
      <c r="OGQ27" s="1266"/>
      <c r="OGR27" s="1266"/>
      <c r="OGS27" s="1266"/>
      <c r="OGT27" s="1266"/>
      <c r="OGU27" s="1266"/>
      <c r="OGV27" s="1266"/>
      <c r="OGW27" s="1266"/>
      <c r="OGX27" s="1266"/>
      <c r="OGY27" s="1266"/>
      <c r="OGZ27" s="1266"/>
      <c r="OHA27" s="1266"/>
      <c r="OHB27" s="1266"/>
      <c r="OHC27" s="1266"/>
      <c r="OHD27" s="1266"/>
      <c r="OHE27" s="1266"/>
      <c r="OHF27" s="1266"/>
      <c r="OHG27" s="1266"/>
      <c r="OHH27" s="1266"/>
      <c r="OHI27" s="1266"/>
      <c r="OHJ27" s="1266"/>
      <c r="OHK27" s="1266"/>
      <c r="OHL27" s="1266"/>
      <c r="OHM27" s="1266"/>
      <c r="OHN27" s="1266"/>
      <c r="OHO27" s="1266"/>
      <c r="OHP27" s="1266"/>
      <c r="OHQ27" s="1266"/>
      <c r="OHR27" s="1266"/>
      <c r="OHS27" s="1266"/>
      <c r="OHT27" s="1266"/>
      <c r="OHU27" s="1266"/>
      <c r="OHV27" s="1266"/>
      <c r="OHW27" s="1266"/>
      <c r="OHX27" s="1266"/>
      <c r="OHY27" s="1266"/>
      <c r="OHZ27" s="1266"/>
      <c r="OIA27" s="1266"/>
      <c r="OIB27" s="1266"/>
      <c r="OIC27" s="1266"/>
      <c r="OID27" s="1266"/>
      <c r="OIE27" s="1266"/>
      <c r="OIF27" s="1266"/>
      <c r="OIG27" s="1266"/>
      <c r="OIH27" s="1266"/>
      <c r="OII27" s="1266"/>
      <c r="OIJ27" s="1266"/>
      <c r="OIK27" s="1266"/>
      <c r="OIL27" s="1266"/>
      <c r="OIM27" s="1266"/>
      <c r="OIN27" s="1266"/>
      <c r="OIO27" s="1266"/>
      <c r="OIP27" s="1266"/>
      <c r="OIQ27" s="1266"/>
      <c r="OIR27" s="1266"/>
      <c r="OIS27" s="1266"/>
      <c r="OIT27" s="1266"/>
      <c r="OIU27" s="1266"/>
      <c r="OIV27" s="1266"/>
      <c r="OIW27" s="1266"/>
      <c r="OIX27" s="1266"/>
      <c r="OIY27" s="1266"/>
      <c r="OIZ27" s="1266"/>
      <c r="OJA27" s="1266"/>
      <c r="OJB27" s="1266"/>
      <c r="OJC27" s="1266"/>
      <c r="OJD27" s="1266"/>
      <c r="OJE27" s="1266"/>
      <c r="OJF27" s="1266"/>
      <c r="OJG27" s="1266"/>
      <c r="OJH27" s="1266"/>
      <c r="OJI27" s="1266"/>
      <c r="OJJ27" s="1266"/>
      <c r="OJK27" s="1266"/>
      <c r="OJL27" s="1266"/>
      <c r="OJM27" s="1266"/>
      <c r="OJN27" s="1266"/>
      <c r="OJO27" s="1266"/>
      <c r="OJP27" s="1266"/>
      <c r="OJQ27" s="1266"/>
      <c r="OJR27" s="1266"/>
      <c r="OJS27" s="1266"/>
      <c r="OJT27" s="1266"/>
      <c r="OJU27" s="1266"/>
      <c r="OJV27" s="1266"/>
      <c r="OJW27" s="1266"/>
      <c r="OJX27" s="1266"/>
      <c r="OJY27" s="1266"/>
      <c r="OJZ27" s="1266"/>
      <c r="OKA27" s="1266"/>
      <c r="OKB27" s="1266"/>
      <c r="OKC27" s="1266"/>
      <c r="OKD27" s="1266"/>
      <c r="OKE27" s="1266"/>
      <c r="OKF27" s="1266"/>
      <c r="OKG27" s="1266"/>
      <c r="OKH27" s="1266"/>
      <c r="OKI27" s="1266"/>
      <c r="OKJ27" s="1266"/>
      <c r="OKK27" s="1266"/>
      <c r="OKL27" s="1266"/>
      <c r="OKM27" s="1266"/>
      <c r="OKN27" s="1266"/>
      <c r="OKO27" s="1266"/>
      <c r="OKP27" s="1266"/>
      <c r="OKQ27" s="1266"/>
      <c r="OKR27" s="1266"/>
      <c r="OKS27" s="1266"/>
      <c r="OKT27" s="1266"/>
      <c r="OKU27" s="1266"/>
      <c r="OKV27" s="1266"/>
      <c r="OKW27" s="1266"/>
      <c r="OKX27" s="1266"/>
      <c r="OKY27" s="1266"/>
      <c r="OKZ27" s="1266"/>
      <c r="OLA27" s="1266"/>
      <c r="OLB27" s="1266"/>
      <c r="OLC27" s="1266"/>
      <c r="OLD27" s="1266"/>
      <c r="OLE27" s="1266"/>
      <c r="OLF27" s="1266"/>
      <c r="OLG27" s="1266"/>
      <c r="OLH27" s="1266"/>
      <c r="OLI27" s="1266"/>
      <c r="OLJ27" s="1266"/>
      <c r="OLK27" s="1266"/>
      <c r="OLL27" s="1266"/>
      <c r="OLM27" s="1266"/>
      <c r="OLN27" s="1266"/>
      <c r="OLO27" s="1266"/>
      <c r="OLP27" s="1266"/>
      <c r="OLQ27" s="1266"/>
      <c r="OLR27" s="1266"/>
      <c r="OLS27" s="1266"/>
      <c r="OLT27" s="1266"/>
      <c r="OLU27" s="1266"/>
      <c r="OLV27" s="1266"/>
      <c r="OLW27" s="1266"/>
      <c r="OLX27" s="1266"/>
      <c r="OLY27" s="1266"/>
      <c r="OLZ27" s="1266"/>
      <c r="OMA27" s="1266"/>
      <c r="OMB27" s="1266"/>
      <c r="OMC27" s="1266"/>
      <c r="OMD27" s="1266"/>
      <c r="OME27" s="1266"/>
      <c r="OMF27" s="1266"/>
      <c r="OMG27" s="1266"/>
      <c r="OMH27" s="1266"/>
      <c r="OMI27" s="1266"/>
      <c r="OMJ27" s="1266"/>
      <c r="OMK27" s="1266"/>
      <c r="OML27" s="1266"/>
      <c r="OMM27" s="1266"/>
      <c r="OMN27" s="1266"/>
      <c r="OMO27" s="1266"/>
      <c r="OMP27" s="1266"/>
      <c r="OMQ27" s="1266"/>
      <c r="OMR27" s="1266"/>
      <c r="OMS27" s="1266"/>
      <c r="OMT27" s="1266"/>
      <c r="OMU27" s="1266"/>
      <c r="OMV27" s="1266"/>
      <c r="OMW27" s="1266"/>
      <c r="OMX27" s="1266"/>
      <c r="OMY27" s="1266"/>
      <c r="OMZ27" s="1266"/>
      <c r="ONA27" s="1266"/>
      <c r="ONB27" s="1266"/>
      <c r="ONC27" s="1266"/>
      <c r="OND27" s="1266"/>
      <c r="ONE27" s="1266"/>
      <c r="ONF27" s="1266"/>
      <c r="ONG27" s="1266"/>
      <c r="ONH27" s="1266"/>
      <c r="ONI27" s="1266"/>
      <c r="ONJ27" s="1266"/>
      <c r="ONK27" s="1266"/>
      <c r="ONL27" s="1266"/>
      <c r="ONM27" s="1266"/>
      <c r="ONN27" s="1266"/>
      <c r="ONO27" s="1266"/>
      <c r="ONP27" s="1266"/>
      <c r="ONQ27" s="1266"/>
      <c r="ONR27" s="1266"/>
      <c r="ONS27" s="1266"/>
      <c r="ONT27" s="1266"/>
      <c r="ONU27" s="1266"/>
      <c r="ONV27" s="1266"/>
      <c r="ONW27" s="1266"/>
      <c r="ONX27" s="1266"/>
      <c r="ONY27" s="1266"/>
      <c r="ONZ27" s="1266"/>
      <c r="OOA27" s="1266"/>
      <c r="OOB27" s="1266"/>
      <c r="OOC27" s="1266"/>
      <c r="OOD27" s="1266"/>
      <c r="OOE27" s="1266"/>
      <c r="OOF27" s="1266"/>
      <c r="OOG27" s="1266"/>
      <c r="OOH27" s="1266"/>
      <c r="OOI27" s="1266"/>
      <c r="OOJ27" s="1266"/>
      <c r="OOK27" s="1266"/>
      <c r="OOL27" s="1266"/>
      <c r="OOM27" s="1266"/>
      <c r="OON27" s="1266"/>
      <c r="OOO27" s="1266"/>
      <c r="OOP27" s="1266"/>
      <c r="OOQ27" s="1266"/>
      <c r="OOR27" s="1266"/>
      <c r="OOS27" s="1266"/>
      <c r="OOT27" s="1266"/>
      <c r="OOU27" s="1266"/>
      <c r="OOV27" s="1266"/>
      <c r="OOW27" s="1266"/>
      <c r="OOX27" s="1266"/>
      <c r="OOY27" s="1266"/>
      <c r="OOZ27" s="1266"/>
      <c r="OPA27" s="1266"/>
      <c r="OPB27" s="1266"/>
      <c r="OPC27" s="1266"/>
      <c r="OPD27" s="1266"/>
      <c r="OPE27" s="1266"/>
      <c r="OPF27" s="1266"/>
      <c r="OPG27" s="1266"/>
      <c r="OPH27" s="1266"/>
      <c r="OPI27" s="1266"/>
      <c r="OPJ27" s="1266"/>
      <c r="OPK27" s="1266"/>
      <c r="OPL27" s="1266"/>
      <c r="OPM27" s="1266"/>
      <c r="OPN27" s="1266"/>
      <c r="OPO27" s="1266"/>
      <c r="OPP27" s="1266"/>
      <c r="OPQ27" s="1266"/>
      <c r="OPR27" s="1266"/>
      <c r="OPS27" s="1266"/>
      <c r="OPT27" s="1266"/>
      <c r="OPU27" s="1266"/>
      <c r="OPV27" s="1266"/>
      <c r="OPW27" s="1266"/>
      <c r="OPX27" s="1266"/>
      <c r="OPY27" s="1266"/>
      <c r="OPZ27" s="1266"/>
      <c r="OQA27" s="1266"/>
      <c r="OQB27" s="1266"/>
      <c r="OQC27" s="1266"/>
      <c r="OQD27" s="1266"/>
      <c r="OQE27" s="1266"/>
      <c r="OQF27" s="1266"/>
      <c r="OQG27" s="1266"/>
      <c r="OQH27" s="1266"/>
      <c r="OQI27" s="1266"/>
      <c r="OQJ27" s="1266"/>
      <c r="OQK27" s="1266"/>
      <c r="OQL27" s="1266"/>
      <c r="OQM27" s="1266"/>
      <c r="OQN27" s="1266"/>
      <c r="OQO27" s="1266"/>
      <c r="OQP27" s="1266"/>
      <c r="OQQ27" s="1266"/>
      <c r="OQR27" s="1266"/>
      <c r="OQS27" s="1266"/>
      <c r="OQT27" s="1266"/>
      <c r="OQU27" s="1266"/>
      <c r="OQV27" s="1266"/>
      <c r="OQW27" s="1266"/>
      <c r="OQX27" s="1266"/>
      <c r="OQY27" s="1266"/>
      <c r="OQZ27" s="1266"/>
      <c r="ORA27" s="1266"/>
      <c r="ORB27" s="1266"/>
      <c r="ORC27" s="1266"/>
      <c r="ORD27" s="1266"/>
      <c r="ORE27" s="1266"/>
      <c r="ORF27" s="1266"/>
      <c r="ORG27" s="1266"/>
      <c r="ORH27" s="1266"/>
      <c r="ORI27" s="1266"/>
      <c r="ORJ27" s="1266"/>
      <c r="ORK27" s="1266"/>
      <c r="ORL27" s="1266"/>
      <c r="ORM27" s="1266"/>
      <c r="ORN27" s="1266"/>
      <c r="ORO27" s="1266"/>
      <c r="ORP27" s="1266"/>
      <c r="ORQ27" s="1266"/>
      <c r="ORR27" s="1266"/>
      <c r="ORS27" s="1266"/>
      <c r="ORT27" s="1266"/>
      <c r="ORU27" s="1266"/>
      <c r="ORV27" s="1266"/>
      <c r="ORW27" s="1266"/>
      <c r="ORX27" s="1266"/>
      <c r="ORY27" s="1266"/>
      <c r="ORZ27" s="1266"/>
      <c r="OSA27" s="1266"/>
      <c r="OSB27" s="1266"/>
      <c r="OSC27" s="1266"/>
      <c r="OSD27" s="1266"/>
      <c r="OSE27" s="1266"/>
      <c r="OSF27" s="1266"/>
      <c r="OSG27" s="1266"/>
      <c r="OSH27" s="1266"/>
      <c r="OSI27" s="1266"/>
      <c r="OSJ27" s="1266"/>
      <c r="OSK27" s="1266"/>
      <c r="OSL27" s="1266"/>
      <c r="OSM27" s="1266"/>
      <c r="OSN27" s="1266"/>
      <c r="OSO27" s="1266"/>
      <c r="OSP27" s="1266"/>
      <c r="OSQ27" s="1266"/>
      <c r="OSR27" s="1266"/>
      <c r="OSS27" s="1266"/>
      <c r="OST27" s="1266"/>
      <c r="OSU27" s="1266"/>
      <c r="OSV27" s="1266"/>
      <c r="OSW27" s="1266"/>
      <c r="OSX27" s="1266"/>
      <c r="OSY27" s="1266"/>
      <c r="OSZ27" s="1266"/>
      <c r="OTA27" s="1266"/>
      <c r="OTB27" s="1266"/>
      <c r="OTC27" s="1266"/>
      <c r="OTD27" s="1266"/>
      <c r="OTE27" s="1266"/>
      <c r="OTF27" s="1266"/>
      <c r="OTG27" s="1266"/>
      <c r="OTH27" s="1266"/>
      <c r="OTI27" s="1266"/>
      <c r="OTJ27" s="1266"/>
      <c r="OTK27" s="1266"/>
      <c r="OTL27" s="1266"/>
      <c r="OTM27" s="1266"/>
      <c r="OTN27" s="1266"/>
      <c r="OTO27" s="1266"/>
      <c r="OTP27" s="1266"/>
      <c r="OTQ27" s="1266"/>
      <c r="OTR27" s="1266"/>
      <c r="OTS27" s="1266"/>
      <c r="OTT27" s="1266"/>
      <c r="OTU27" s="1266"/>
      <c r="OTV27" s="1266"/>
      <c r="OTW27" s="1266"/>
      <c r="OTX27" s="1266"/>
      <c r="OTY27" s="1266"/>
      <c r="OTZ27" s="1266"/>
      <c r="OUA27" s="1266"/>
      <c r="OUB27" s="1266"/>
      <c r="OUC27" s="1266"/>
      <c r="OUD27" s="1266"/>
      <c r="OUE27" s="1266"/>
      <c r="OUF27" s="1266"/>
      <c r="OUG27" s="1266"/>
      <c r="OUH27" s="1266"/>
      <c r="OUI27" s="1266"/>
      <c r="OUJ27" s="1266"/>
      <c r="OUK27" s="1266"/>
      <c r="OUL27" s="1266"/>
      <c r="OUM27" s="1266"/>
      <c r="OUN27" s="1266"/>
      <c r="OUO27" s="1266"/>
      <c r="OUP27" s="1266"/>
      <c r="OUQ27" s="1266"/>
      <c r="OUR27" s="1266"/>
      <c r="OUS27" s="1266"/>
      <c r="OUT27" s="1266"/>
      <c r="OUU27" s="1266"/>
      <c r="OUV27" s="1266"/>
      <c r="OUW27" s="1266"/>
      <c r="OUX27" s="1266"/>
      <c r="OUY27" s="1266"/>
      <c r="OUZ27" s="1266"/>
      <c r="OVA27" s="1266"/>
      <c r="OVB27" s="1266"/>
      <c r="OVC27" s="1266"/>
      <c r="OVD27" s="1266"/>
      <c r="OVE27" s="1266"/>
      <c r="OVF27" s="1266"/>
      <c r="OVG27" s="1266"/>
      <c r="OVH27" s="1266"/>
      <c r="OVI27" s="1266"/>
      <c r="OVJ27" s="1266"/>
      <c r="OVK27" s="1266"/>
      <c r="OVL27" s="1266"/>
      <c r="OVM27" s="1266"/>
      <c r="OVN27" s="1266"/>
      <c r="OVO27" s="1266"/>
      <c r="OVP27" s="1266"/>
      <c r="OVQ27" s="1266"/>
      <c r="OVR27" s="1266"/>
      <c r="OVS27" s="1266"/>
      <c r="OVT27" s="1266"/>
      <c r="OVU27" s="1266"/>
      <c r="OVV27" s="1266"/>
      <c r="OVW27" s="1266"/>
      <c r="OVX27" s="1266"/>
      <c r="OVY27" s="1266"/>
      <c r="OVZ27" s="1266"/>
      <c r="OWA27" s="1266"/>
      <c r="OWB27" s="1266"/>
      <c r="OWC27" s="1266"/>
      <c r="OWD27" s="1266"/>
      <c r="OWE27" s="1266"/>
      <c r="OWF27" s="1266"/>
      <c r="OWG27" s="1266"/>
      <c r="OWH27" s="1266"/>
      <c r="OWI27" s="1266"/>
      <c r="OWJ27" s="1266"/>
      <c r="OWK27" s="1266"/>
      <c r="OWL27" s="1266"/>
      <c r="OWM27" s="1266"/>
      <c r="OWN27" s="1266"/>
      <c r="OWO27" s="1266"/>
      <c r="OWP27" s="1266"/>
      <c r="OWQ27" s="1266"/>
      <c r="OWR27" s="1266"/>
      <c r="OWS27" s="1266"/>
      <c r="OWT27" s="1266"/>
      <c r="OWU27" s="1266"/>
      <c r="OWV27" s="1266"/>
      <c r="OWW27" s="1266"/>
      <c r="OWX27" s="1266"/>
      <c r="OWY27" s="1266"/>
      <c r="OWZ27" s="1266"/>
      <c r="OXA27" s="1266"/>
      <c r="OXB27" s="1266"/>
      <c r="OXC27" s="1266"/>
      <c r="OXD27" s="1266"/>
      <c r="OXE27" s="1266"/>
      <c r="OXF27" s="1266"/>
      <c r="OXG27" s="1266"/>
      <c r="OXH27" s="1266"/>
      <c r="OXI27" s="1266"/>
      <c r="OXJ27" s="1266"/>
      <c r="OXK27" s="1266"/>
      <c r="OXL27" s="1266"/>
      <c r="OXM27" s="1266"/>
      <c r="OXN27" s="1266"/>
      <c r="OXO27" s="1266"/>
      <c r="OXP27" s="1266"/>
      <c r="OXQ27" s="1266"/>
      <c r="OXR27" s="1266"/>
      <c r="OXS27" s="1266"/>
      <c r="OXT27" s="1266"/>
      <c r="OXU27" s="1266"/>
      <c r="OXV27" s="1266"/>
      <c r="OXW27" s="1266"/>
      <c r="OXX27" s="1266"/>
      <c r="OXY27" s="1266"/>
      <c r="OXZ27" s="1266"/>
      <c r="OYA27" s="1266"/>
      <c r="OYB27" s="1266"/>
      <c r="OYC27" s="1266"/>
      <c r="OYD27" s="1266"/>
      <c r="OYE27" s="1266"/>
      <c r="OYF27" s="1266"/>
      <c r="OYG27" s="1266"/>
      <c r="OYH27" s="1266"/>
      <c r="OYI27" s="1266"/>
      <c r="OYJ27" s="1266"/>
      <c r="OYK27" s="1266"/>
      <c r="OYL27" s="1266"/>
      <c r="OYM27" s="1266"/>
      <c r="OYN27" s="1266"/>
      <c r="OYO27" s="1266"/>
      <c r="OYP27" s="1266"/>
      <c r="OYQ27" s="1266"/>
      <c r="OYR27" s="1266"/>
      <c r="OYS27" s="1266"/>
      <c r="OYT27" s="1266"/>
      <c r="OYU27" s="1266"/>
      <c r="OYV27" s="1266"/>
      <c r="OYW27" s="1266"/>
      <c r="OYX27" s="1266"/>
      <c r="OYY27" s="1266"/>
      <c r="OYZ27" s="1266"/>
      <c r="OZA27" s="1266"/>
      <c r="OZB27" s="1266"/>
      <c r="OZC27" s="1266"/>
      <c r="OZD27" s="1266"/>
      <c r="OZE27" s="1266"/>
      <c r="OZF27" s="1266"/>
      <c r="OZG27" s="1266"/>
      <c r="OZH27" s="1266"/>
      <c r="OZI27" s="1266"/>
      <c r="OZJ27" s="1266"/>
      <c r="OZK27" s="1266"/>
      <c r="OZL27" s="1266"/>
      <c r="OZM27" s="1266"/>
      <c r="OZN27" s="1266"/>
      <c r="OZO27" s="1266"/>
      <c r="OZP27" s="1266"/>
      <c r="OZQ27" s="1266"/>
      <c r="OZR27" s="1266"/>
      <c r="OZS27" s="1266"/>
      <c r="OZT27" s="1266"/>
      <c r="OZU27" s="1266"/>
      <c r="OZV27" s="1266"/>
      <c r="OZW27" s="1266"/>
      <c r="OZX27" s="1266"/>
      <c r="OZY27" s="1266"/>
      <c r="OZZ27" s="1266"/>
      <c r="PAA27" s="1266"/>
      <c r="PAB27" s="1266"/>
      <c r="PAC27" s="1266"/>
      <c r="PAD27" s="1266"/>
      <c r="PAE27" s="1266"/>
      <c r="PAF27" s="1266"/>
      <c r="PAG27" s="1266"/>
      <c r="PAH27" s="1266"/>
      <c r="PAI27" s="1266"/>
      <c r="PAJ27" s="1266"/>
      <c r="PAK27" s="1266"/>
      <c r="PAL27" s="1266"/>
      <c r="PAM27" s="1266"/>
      <c r="PAN27" s="1266"/>
      <c r="PAO27" s="1266"/>
      <c r="PAP27" s="1266"/>
      <c r="PAQ27" s="1266"/>
      <c r="PAR27" s="1266"/>
      <c r="PAS27" s="1266"/>
      <c r="PAT27" s="1266"/>
      <c r="PAU27" s="1266"/>
      <c r="PAV27" s="1266"/>
      <c r="PAW27" s="1266"/>
      <c r="PAX27" s="1266"/>
      <c r="PAY27" s="1266"/>
      <c r="PAZ27" s="1266"/>
      <c r="PBA27" s="1266"/>
      <c r="PBB27" s="1266"/>
      <c r="PBC27" s="1266"/>
      <c r="PBD27" s="1266"/>
      <c r="PBE27" s="1266"/>
      <c r="PBF27" s="1266"/>
      <c r="PBG27" s="1266"/>
      <c r="PBH27" s="1266"/>
      <c r="PBI27" s="1266"/>
      <c r="PBJ27" s="1266"/>
      <c r="PBK27" s="1266"/>
      <c r="PBL27" s="1266"/>
      <c r="PBM27" s="1266"/>
      <c r="PBN27" s="1266"/>
      <c r="PBO27" s="1266"/>
      <c r="PBP27" s="1266"/>
      <c r="PBQ27" s="1266"/>
      <c r="PBR27" s="1266"/>
      <c r="PBS27" s="1266"/>
      <c r="PBT27" s="1266"/>
      <c r="PBU27" s="1266"/>
      <c r="PBV27" s="1266"/>
      <c r="PBW27" s="1266"/>
      <c r="PBX27" s="1266"/>
      <c r="PBY27" s="1266"/>
      <c r="PBZ27" s="1266"/>
      <c r="PCA27" s="1266"/>
      <c r="PCB27" s="1266"/>
      <c r="PCC27" s="1266"/>
      <c r="PCD27" s="1266"/>
      <c r="PCE27" s="1266"/>
      <c r="PCF27" s="1266"/>
      <c r="PCG27" s="1266"/>
      <c r="PCH27" s="1266"/>
      <c r="PCI27" s="1266"/>
      <c r="PCJ27" s="1266"/>
      <c r="PCK27" s="1266"/>
      <c r="PCL27" s="1266"/>
      <c r="PCM27" s="1266"/>
      <c r="PCN27" s="1266"/>
      <c r="PCO27" s="1266"/>
      <c r="PCP27" s="1266"/>
      <c r="PCQ27" s="1266"/>
      <c r="PCR27" s="1266"/>
      <c r="PCS27" s="1266"/>
      <c r="PCT27" s="1266"/>
      <c r="PCU27" s="1266"/>
      <c r="PCV27" s="1266"/>
      <c r="PCW27" s="1266"/>
      <c r="PCX27" s="1266"/>
      <c r="PCY27" s="1266"/>
      <c r="PCZ27" s="1266"/>
      <c r="PDA27" s="1266"/>
      <c r="PDB27" s="1266"/>
      <c r="PDC27" s="1266"/>
      <c r="PDD27" s="1266"/>
      <c r="PDE27" s="1266"/>
      <c r="PDF27" s="1266"/>
      <c r="PDG27" s="1266"/>
      <c r="PDH27" s="1266"/>
      <c r="PDI27" s="1266"/>
      <c r="PDJ27" s="1266"/>
      <c r="PDK27" s="1266"/>
      <c r="PDL27" s="1266"/>
      <c r="PDM27" s="1266"/>
      <c r="PDN27" s="1266"/>
      <c r="PDO27" s="1266"/>
      <c r="PDP27" s="1266"/>
      <c r="PDQ27" s="1266"/>
      <c r="PDR27" s="1266"/>
      <c r="PDS27" s="1266"/>
      <c r="PDT27" s="1266"/>
      <c r="PDU27" s="1266"/>
      <c r="PDV27" s="1266"/>
      <c r="PDW27" s="1266"/>
      <c r="PDX27" s="1266"/>
      <c r="PDY27" s="1266"/>
      <c r="PDZ27" s="1266"/>
      <c r="PEA27" s="1266"/>
      <c r="PEB27" s="1266"/>
      <c r="PEC27" s="1266"/>
      <c r="PED27" s="1266"/>
      <c r="PEE27" s="1266"/>
      <c r="PEF27" s="1266"/>
      <c r="PEG27" s="1266"/>
      <c r="PEH27" s="1266"/>
      <c r="PEI27" s="1266"/>
      <c r="PEJ27" s="1266"/>
      <c r="PEK27" s="1266"/>
      <c r="PEL27" s="1266"/>
      <c r="PEM27" s="1266"/>
      <c r="PEN27" s="1266"/>
      <c r="PEO27" s="1266"/>
      <c r="PEP27" s="1266"/>
      <c r="PEQ27" s="1266"/>
      <c r="PER27" s="1266"/>
      <c r="PES27" s="1266"/>
      <c r="PET27" s="1266"/>
      <c r="PEU27" s="1266"/>
      <c r="PEV27" s="1266"/>
      <c r="PEW27" s="1266"/>
      <c r="PEX27" s="1266"/>
      <c r="PEY27" s="1266"/>
      <c r="PEZ27" s="1266"/>
      <c r="PFA27" s="1266"/>
      <c r="PFB27" s="1266"/>
      <c r="PFC27" s="1266"/>
      <c r="PFD27" s="1266"/>
      <c r="PFE27" s="1266"/>
      <c r="PFF27" s="1266"/>
      <c r="PFG27" s="1266"/>
      <c r="PFH27" s="1266"/>
      <c r="PFI27" s="1266"/>
      <c r="PFJ27" s="1266"/>
      <c r="PFK27" s="1266"/>
      <c r="PFL27" s="1266"/>
      <c r="PFM27" s="1266"/>
      <c r="PFN27" s="1266"/>
      <c r="PFO27" s="1266"/>
      <c r="PFP27" s="1266"/>
      <c r="PFQ27" s="1266"/>
      <c r="PFR27" s="1266"/>
      <c r="PFS27" s="1266"/>
      <c r="PFT27" s="1266"/>
      <c r="PFU27" s="1266"/>
      <c r="PFV27" s="1266"/>
      <c r="PFW27" s="1266"/>
      <c r="PFX27" s="1266"/>
      <c r="PFY27" s="1266"/>
      <c r="PFZ27" s="1266"/>
      <c r="PGA27" s="1266"/>
      <c r="PGB27" s="1266"/>
      <c r="PGC27" s="1266"/>
      <c r="PGD27" s="1266"/>
      <c r="PGE27" s="1266"/>
      <c r="PGF27" s="1266"/>
      <c r="PGG27" s="1266"/>
      <c r="PGH27" s="1266"/>
      <c r="PGI27" s="1266"/>
      <c r="PGJ27" s="1266"/>
      <c r="PGK27" s="1266"/>
      <c r="PGL27" s="1266"/>
      <c r="PGM27" s="1266"/>
      <c r="PGN27" s="1266"/>
      <c r="PGO27" s="1266"/>
      <c r="PGP27" s="1266"/>
      <c r="PGQ27" s="1266"/>
      <c r="PGR27" s="1266"/>
      <c r="PGS27" s="1266"/>
      <c r="PGT27" s="1266"/>
      <c r="PGU27" s="1266"/>
      <c r="PGV27" s="1266"/>
      <c r="PGW27" s="1266"/>
      <c r="PGX27" s="1266"/>
      <c r="PGY27" s="1266"/>
      <c r="PGZ27" s="1266"/>
      <c r="PHA27" s="1266"/>
      <c r="PHB27" s="1266"/>
      <c r="PHC27" s="1266"/>
      <c r="PHD27" s="1266"/>
      <c r="PHE27" s="1266"/>
      <c r="PHF27" s="1266"/>
      <c r="PHG27" s="1266"/>
      <c r="PHH27" s="1266"/>
      <c r="PHI27" s="1266"/>
      <c r="PHJ27" s="1266"/>
      <c r="PHK27" s="1266"/>
      <c r="PHL27" s="1266"/>
      <c r="PHM27" s="1266"/>
      <c r="PHN27" s="1266"/>
      <c r="PHO27" s="1266"/>
      <c r="PHP27" s="1266"/>
      <c r="PHQ27" s="1266"/>
      <c r="PHR27" s="1266"/>
      <c r="PHS27" s="1266"/>
      <c r="PHT27" s="1266"/>
      <c r="PHU27" s="1266"/>
      <c r="PHV27" s="1266"/>
      <c r="PHW27" s="1266"/>
      <c r="PHX27" s="1266"/>
      <c r="PHY27" s="1266"/>
      <c r="PHZ27" s="1266"/>
      <c r="PIA27" s="1266"/>
      <c r="PIB27" s="1266"/>
      <c r="PIC27" s="1266"/>
      <c r="PID27" s="1266"/>
      <c r="PIE27" s="1266"/>
      <c r="PIF27" s="1266"/>
      <c r="PIG27" s="1266"/>
      <c r="PIH27" s="1266"/>
      <c r="PII27" s="1266"/>
      <c r="PIJ27" s="1266"/>
      <c r="PIK27" s="1266"/>
      <c r="PIL27" s="1266"/>
      <c r="PIM27" s="1266"/>
      <c r="PIN27" s="1266"/>
      <c r="PIO27" s="1266"/>
      <c r="PIP27" s="1266"/>
      <c r="PIQ27" s="1266"/>
      <c r="PIR27" s="1266"/>
      <c r="PIS27" s="1266"/>
      <c r="PIT27" s="1266"/>
      <c r="PIU27" s="1266"/>
      <c r="PIV27" s="1266"/>
      <c r="PIW27" s="1266"/>
      <c r="PIX27" s="1266"/>
      <c r="PIY27" s="1266"/>
      <c r="PIZ27" s="1266"/>
      <c r="PJA27" s="1266"/>
      <c r="PJB27" s="1266"/>
      <c r="PJC27" s="1266"/>
      <c r="PJD27" s="1266"/>
      <c r="PJE27" s="1266"/>
      <c r="PJF27" s="1266"/>
      <c r="PJG27" s="1266"/>
      <c r="PJH27" s="1266"/>
      <c r="PJI27" s="1266"/>
      <c r="PJJ27" s="1266"/>
      <c r="PJK27" s="1266"/>
      <c r="PJL27" s="1266"/>
      <c r="PJM27" s="1266"/>
      <c r="PJN27" s="1266"/>
      <c r="PJO27" s="1266"/>
      <c r="PJP27" s="1266"/>
      <c r="PJQ27" s="1266"/>
      <c r="PJR27" s="1266"/>
      <c r="PJS27" s="1266"/>
      <c r="PJT27" s="1266"/>
      <c r="PJU27" s="1266"/>
      <c r="PJV27" s="1266"/>
      <c r="PJW27" s="1266"/>
      <c r="PJX27" s="1266"/>
      <c r="PJY27" s="1266"/>
      <c r="PJZ27" s="1266"/>
      <c r="PKA27" s="1266"/>
      <c r="PKB27" s="1266"/>
      <c r="PKC27" s="1266"/>
      <c r="PKD27" s="1266"/>
      <c r="PKE27" s="1266"/>
      <c r="PKF27" s="1266"/>
      <c r="PKG27" s="1266"/>
      <c r="PKH27" s="1266"/>
      <c r="PKI27" s="1266"/>
      <c r="PKJ27" s="1266"/>
      <c r="PKK27" s="1266"/>
      <c r="PKL27" s="1266"/>
      <c r="PKM27" s="1266"/>
      <c r="PKN27" s="1266"/>
      <c r="PKO27" s="1266"/>
      <c r="PKP27" s="1266"/>
      <c r="PKQ27" s="1266"/>
      <c r="PKR27" s="1266"/>
      <c r="PKS27" s="1266"/>
      <c r="PKT27" s="1266"/>
      <c r="PKU27" s="1266"/>
      <c r="PKV27" s="1266"/>
      <c r="PKW27" s="1266"/>
      <c r="PKX27" s="1266"/>
      <c r="PKY27" s="1266"/>
      <c r="PKZ27" s="1266"/>
      <c r="PLA27" s="1266"/>
      <c r="PLB27" s="1266"/>
      <c r="PLC27" s="1266"/>
      <c r="PLD27" s="1266"/>
      <c r="PLE27" s="1266"/>
      <c r="PLF27" s="1266"/>
      <c r="PLG27" s="1266"/>
      <c r="PLH27" s="1266"/>
      <c r="PLI27" s="1266"/>
      <c r="PLJ27" s="1266"/>
      <c r="PLK27" s="1266"/>
      <c r="PLL27" s="1266"/>
      <c r="PLM27" s="1266"/>
      <c r="PLN27" s="1266"/>
      <c r="PLO27" s="1266"/>
      <c r="PLP27" s="1266"/>
      <c r="PLQ27" s="1266"/>
      <c r="PLR27" s="1266"/>
      <c r="PLS27" s="1266"/>
      <c r="PLT27" s="1266"/>
      <c r="PLU27" s="1266"/>
      <c r="PLV27" s="1266"/>
      <c r="PLW27" s="1266"/>
      <c r="PLX27" s="1266"/>
      <c r="PLY27" s="1266"/>
      <c r="PLZ27" s="1266"/>
      <c r="PMA27" s="1266"/>
      <c r="PMB27" s="1266"/>
      <c r="PMC27" s="1266"/>
      <c r="PMD27" s="1266"/>
      <c r="PME27" s="1266"/>
      <c r="PMF27" s="1266"/>
      <c r="PMG27" s="1266"/>
      <c r="PMH27" s="1266"/>
      <c r="PMI27" s="1266"/>
      <c r="PMJ27" s="1266"/>
      <c r="PMK27" s="1266"/>
      <c r="PML27" s="1266"/>
      <c r="PMM27" s="1266"/>
      <c r="PMN27" s="1266"/>
      <c r="PMO27" s="1266"/>
      <c r="PMP27" s="1266"/>
      <c r="PMQ27" s="1266"/>
      <c r="PMR27" s="1266"/>
      <c r="PMS27" s="1266"/>
      <c r="PMT27" s="1266"/>
      <c r="PMU27" s="1266"/>
      <c r="PMV27" s="1266"/>
      <c r="PMW27" s="1266"/>
      <c r="PMX27" s="1266"/>
      <c r="PMY27" s="1266"/>
      <c r="PMZ27" s="1266"/>
      <c r="PNA27" s="1266"/>
      <c r="PNB27" s="1266"/>
      <c r="PNC27" s="1266"/>
      <c r="PND27" s="1266"/>
      <c r="PNE27" s="1266"/>
      <c r="PNF27" s="1266"/>
      <c r="PNG27" s="1266"/>
      <c r="PNH27" s="1266"/>
      <c r="PNI27" s="1266"/>
      <c r="PNJ27" s="1266"/>
      <c r="PNK27" s="1266"/>
      <c r="PNL27" s="1266"/>
      <c r="PNM27" s="1266"/>
      <c r="PNN27" s="1266"/>
      <c r="PNO27" s="1266"/>
      <c r="PNP27" s="1266"/>
      <c r="PNQ27" s="1266"/>
      <c r="PNR27" s="1266"/>
      <c r="PNS27" s="1266"/>
      <c r="PNT27" s="1266"/>
      <c r="PNU27" s="1266"/>
      <c r="PNV27" s="1266"/>
      <c r="PNW27" s="1266"/>
      <c r="PNX27" s="1266"/>
      <c r="PNY27" s="1266"/>
      <c r="PNZ27" s="1266"/>
      <c r="POA27" s="1266"/>
      <c r="POB27" s="1266"/>
      <c r="POC27" s="1266"/>
      <c r="POD27" s="1266"/>
      <c r="POE27" s="1266"/>
      <c r="POF27" s="1266"/>
      <c r="POG27" s="1266"/>
      <c r="POH27" s="1266"/>
      <c r="POI27" s="1266"/>
      <c r="POJ27" s="1266"/>
      <c r="POK27" s="1266"/>
      <c r="POL27" s="1266"/>
      <c r="POM27" s="1266"/>
      <c r="PON27" s="1266"/>
      <c r="POO27" s="1266"/>
      <c r="POP27" s="1266"/>
      <c r="POQ27" s="1266"/>
      <c r="POR27" s="1266"/>
      <c r="POS27" s="1266"/>
      <c r="POT27" s="1266"/>
      <c r="POU27" s="1266"/>
      <c r="POV27" s="1266"/>
      <c r="POW27" s="1266"/>
      <c r="POX27" s="1266"/>
      <c r="POY27" s="1266"/>
      <c r="POZ27" s="1266"/>
      <c r="PPA27" s="1266"/>
      <c r="PPB27" s="1266"/>
      <c r="PPC27" s="1266"/>
      <c r="PPD27" s="1266"/>
      <c r="PPE27" s="1266"/>
      <c r="PPF27" s="1266"/>
      <c r="PPG27" s="1266"/>
      <c r="PPH27" s="1266"/>
      <c r="PPI27" s="1266"/>
      <c r="PPJ27" s="1266"/>
      <c r="PPK27" s="1266"/>
      <c r="PPL27" s="1266"/>
      <c r="PPM27" s="1266"/>
      <c r="PPN27" s="1266"/>
      <c r="PPO27" s="1266"/>
      <c r="PPP27" s="1266"/>
      <c r="PPQ27" s="1266"/>
      <c r="PPR27" s="1266"/>
      <c r="PPS27" s="1266"/>
      <c r="PPT27" s="1266"/>
      <c r="PPU27" s="1266"/>
      <c r="PPV27" s="1266"/>
      <c r="PPW27" s="1266"/>
      <c r="PPX27" s="1266"/>
      <c r="PPY27" s="1266"/>
      <c r="PPZ27" s="1266"/>
      <c r="PQA27" s="1266"/>
      <c r="PQB27" s="1266"/>
      <c r="PQC27" s="1266"/>
      <c r="PQD27" s="1266"/>
      <c r="PQE27" s="1266"/>
      <c r="PQF27" s="1266"/>
      <c r="PQG27" s="1266"/>
      <c r="PQH27" s="1266"/>
      <c r="PQI27" s="1266"/>
      <c r="PQJ27" s="1266"/>
      <c r="PQK27" s="1266"/>
      <c r="PQL27" s="1266"/>
      <c r="PQM27" s="1266"/>
      <c r="PQN27" s="1266"/>
      <c r="PQO27" s="1266"/>
      <c r="PQP27" s="1266"/>
      <c r="PQQ27" s="1266"/>
      <c r="PQR27" s="1266"/>
      <c r="PQS27" s="1266"/>
      <c r="PQT27" s="1266"/>
      <c r="PQU27" s="1266"/>
      <c r="PQV27" s="1266"/>
      <c r="PQW27" s="1266"/>
      <c r="PQX27" s="1266"/>
      <c r="PQY27" s="1266"/>
      <c r="PQZ27" s="1266"/>
      <c r="PRA27" s="1266"/>
      <c r="PRB27" s="1266"/>
      <c r="PRC27" s="1266"/>
      <c r="PRD27" s="1266"/>
      <c r="PRE27" s="1266"/>
      <c r="PRF27" s="1266"/>
      <c r="PRG27" s="1266"/>
      <c r="PRH27" s="1266"/>
      <c r="PRI27" s="1266"/>
      <c r="PRJ27" s="1266"/>
      <c r="PRK27" s="1266"/>
      <c r="PRL27" s="1266"/>
      <c r="PRM27" s="1266"/>
      <c r="PRN27" s="1266"/>
      <c r="PRO27" s="1266"/>
      <c r="PRP27" s="1266"/>
      <c r="PRQ27" s="1266"/>
      <c r="PRR27" s="1266"/>
      <c r="PRS27" s="1266"/>
      <c r="PRT27" s="1266"/>
      <c r="PRU27" s="1266"/>
      <c r="PRV27" s="1266"/>
      <c r="PRW27" s="1266"/>
      <c r="PRX27" s="1266"/>
      <c r="PRY27" s="1266"/>
      <c r="PRZ27" s="1266"/>
      <c r="PSA27" s="1266"/>
      <c r="PSB27" s="1266"/>
      <c r="PSC27" s="1266"/>
      <c r="PSD27" s="1266"/>
      <c r="PSE27" s="1266"/>
      <c r="PSF27" s="1266"/>
      <c r="PSG27" s="1266"/>
      <c r="PSH27" s="1266"/>
      <c r="PSI27" s="1266"/>
      <c r="PSJ27" s="1266"/>
      <c r="PSK27" s="1266"/>
      <c r="PSL27" s="1266"/>
      <c r="PSM27" s="1266"/>
      <c r="PSN27" s="1266"/>
      <c r="PSO27" s="1266"/>
      <c r="PSP27" s="1266"/>
      <c r="PSQ27" s="1266"/>
      <c r="PSR27" s="1266"/>
      <c r="PSS27" s="1266"/>
      <c r="PST27" s="1266"/>
      <c r="PSU27" s="1266"/>
      <c r="PSV27" s="1266"/>
      <c r="PSW27" s="1266"/>
      <c r="PSX27" s="1266"/>
      <c r="PSY27" s="1266"/>
      <c r="PSZ27" s="1266"/>
      <c r="PTA27" s="1266"/>
      <c r="PTB27" s="1266"/>
      <c r="PTC27" s="1266"/>
      <c r="PTD27" s="1266"/>
      <c r="PTE27" s="1266"/>
      <c r="PTF27" s="1266"/>
      <c r="PTG27" s="1266"/>
      <c r="PTH27" s="1266"/>
      <c r="PTI27" s="1266"/>
      <c r="PTJ27" s="1266"/>
      <c r="PTK27" s="1266"/>
      <c r="PTL27" s="1266"/>
      <c r="PTM27" s="1266"/>
      <c r="PTN27" s="1266"/>
      <c r="PTO27" s="1266"/>
      <c r="PTP27" s="1266"/>
      <c r="PTQ27" s="1266"/>
      <c r="PTR27" s="1266"/>
      <c r="PTS27" s="1266"/>
      <c r="PTT27" s="1266"/>
      <c r="PTU27" s="1266"/>
      <c r="PTV27" s="1266"/>
      <c r="PTW27" s="1266"/>
      <c r="PTX27" s="1266"/>
      <c r="PTY27" s="1266"/>
      <c r="PTZ27" s="1266"/>
      <c r="PUA27" s="1266"/>
      <c r="PUB27" s="1266"/>
      <c r="PUC27" s="1266"/>
      <c r="PUD27" s="1266"/>
      <c r="PUE27" s="1266"/>
      <c r="PUF27" s="1266"/>
      <c r="PUG27" s="1266"/>
      <c r="PUH27" s="1266"/>
      <c r="PUI27" s="1266"/>
      <c r="PUJ27" s="1266"/>
      <c r="PUK27" s="1266"/>
      <c r="PUL27" s="1266"/>
      <c r="PUM27" s="1266"/>
      <c r="PUN27" s="1266"/>
      <c r="PUO27" s="1266"/>
      <c r="PUP27" s="1266"/>
      <c r="PUQ27" s="1266"/>
      <c r="PUR27" s="1266"/>
      <c r="PUS27" s="1266"/>
      <c r="PUT27" s="1266"/>
      <c r="PUU27" s="1266"/>
      <c r="PUV27" s="1266"/>
      <c r="PUW27" s="1266"/>
      <c r="PUX27" s="1266"/>
      <c r="PUY27" s="1266"/>
      <c r="PUZ27" s="1266"/>
      <c r="PVA27" s="1266"/>
      <c r="PVB27" s="1266"/>
      <c r="PVC27" s="1266"/>
      <c r="PVD27" s="1266"/>
      <c r="PVE27" s="1266"/>
      <c r="PVF27" s="1266"/>
      <c r="PVG27" s="1266"/>
      <c r="PVH27" s="1266"/>
      <c r="PVI27" s="1266"/>
      <c r="PVJ27" s="1266"/>
      <c r="PVK27" s="1266"/>
      <c r="PVL27" s="1266"/>
      <c r="PVM27" s="1266"/>
      <c r="PVN27" s="1266"/>
      <c r="PVO27" s="1266"/>
      <c r="PVP27" s="1266"/>
      <c r="PVQ27" s="1266"/>
      <c r="PVR27" s="1266"/>
      <c r="PVS27" s="1266"/>
      <c r="PVT27" s="1266"/>
      <c r="PVU27" s="1266"/>
      <c r="PVV27" s="1266"/>
      <c r="PVW27" s="1266"/>
      <c r="PVX27" s="1266"/>
      <c r="PVY27" s="1266"/>
      <c r="PVZ27" s="1266"/>
      <c r="PWA27" s="1266"/>
      <c r="PWB27" s="1266"/>
      <c r="PWC27" s="1266"/>
      <c r="PWD27" s="1266"/>
      <c r="PWE27" s="1266"/>
      <c r="PWF27" s="1266"/>
      <c r="PWG27" s="1266"/>
      <c r="PWH27" s="1266"/>
      <c r="PWI27" s="1266"/>
      <c r="PWJ27" s="1266"/>
      <c r="PWK27" s="1266"/>
      <c r="PWL27" s="1266"/>
      <c r="PWM27" s="1266"/>
      <c r="PWN27" s="1266"/>
      <c r="PWO27" s="1266"/>
      <c r="PWP27" s="1266"/>
      <c r="PWQ27" s="1266"/>
      <c r="PWR27" s="1266"/>
      <c r="PWS27" s="1266"/>
      <c r="PWT27" s="1266"/>
      <c r="PWU27" s="1266"/>
      <c r="PWV27" s="1266"/>
      <c r="PWW27" s="1266"/>
      <c r="PWX27" s="1266"/>
      <c r="PWY27" s="1266"/>
      <c r="PWZ27" s="1266"/>
      <c r="PXA27" s="1266"/>
      <c r="PXB27" s="1266"/>
      <c r="PXC27" s="1266"/>
      <c r="PXD27" s="1266"/>
      <c r="PXE27" s="1266"/>
      <c r="PXF27" s="1266"/>
      <c r="PXG27" s="1266"/>
      <c r="PXH27" s="1266"/>
      <c r="PXI27" s="1266"/>
      <c r="PXJ27" s="1266"/>
      <c r="PXK27" s="1266"/>
      <c r="PXL27" s="1266"/>
      <c r="PXM27" s="1266"/>
      <c r="PXN27" s="1266"/>
      <c r="PXO27" s="1266"/>
      <c r="PXP27" s="1266"/>
      <c r="PXQ27" s="1266"/>
      <c r="PXR27" s="1266"/>
      <c r="PXS27" s="1266"/>
      <c r="PXT27" s="1266"/>
      <c r="PXU27" s="1266"/>
      <c r="PXV27" s="1266"/>
      <c r="PXW27" s="1266"/>
      <c r="PXX27" s="1266"/>
      <c r="PXY27" s="1266"/>
      <c r="PXZ27" s="1266"/>
      <c r="PYA27" s="1266"/>
      <c r="PYB27" s="1266"/>
      <c r="PYC27" s="1266"/>
      <c r="PYD27" s="1266"/>
      <c r="PYE27" s="1266"/>
      <c r="PYF27" s="1266"/>
      <c r="PYG27" s="1266"/>
      <c r="PYH27" s="1266"/>
      <c r="PYI27" s="1266"/>
      <c r="PYJ27" s="1266"/>
      <c r="PYK27" s="1266"/>
      <c r="PYL27" s="1266"/>
      <c r="PYM27" s="1266"/>
      <c r="PYN27" s="1266"/>
      <c r="PYO27" s="1266"/>
      <c r="PYP27" s="1266"/>
      <c r="PYQ27" s="1266"/>
      <c r="PYR27" s="1266"/>
      <c r="PYS27" s="1266"/>
      <c r="PYT27" s="1266"/>
      <c r="PYU27" s="1266"/>
      <c r="PYV27" s="1266"/>
      <c r="PYW27" s="1266"/>
      <c r="PYX27" s="1266"/>
      <c r="PYY27" s="1266"/>
      <c r="PYZ27" s="1266"/>
      <c r="PZA27" s="1266"/>
      <c r="PZB27" s="1266"/>
      <c r="PZC27" s="1266"/>
      <c r="PZD27" s="1266"/>
      <c r="PZE27" s="1266"/>
      <c r="PZF27" s="1266"/>
      <c r="PZG27" s="1266"/>
      <c r="PZH27" s="1266"/>
      <c r="PZI27" s="1266"/>
      <c r="PZJ27" s="1266"/>
      <c r="PZK27" s="1266"/>
      <c r="PZL27" s="1266"/>
      <c r="PZM27" s="1266"/>
      <c r="PZN27" s="1266"/>
      <c r="PZO27" s="1266"/>
      <c r="PZP27" s="1266"/>
      <c r="PZQ27" s="1266"/>
      <c r="PZR27" s="1266"/>
      <c r="PZS27" s="1266"/>
      <c r="PZT27" s="1266"/>
      <c r="PZU27" s="1266"/>
      <c r="PZV27" s="1266"/>
      <c r="PZW27" s="1266"/>
      <c r="PZX27" s="1266"/>
      <c r="PZY27" s="1266"/>
      <c r="PZZ27" s="1266"/>
      <c r="QAA27" s="1266"/>
      <c r="QAB27" s="1266"/>
      <c r="QAC27" s="1266"/>
      <c r="QAD27" s="1266"/>
      <c r="QAE27" s="1266"/>
      <c r="QAF27" s="1266"/>
      <c r="QAG27" s="1266"/>
      <c r="QAH27" s="1266"/>
      <c r="QAI27" s="1266"/>
      <c r="QAJ27" s="1266"/>
      <c r="QAK27" s="1266"/>
      <c r="QAL27" s="1266"/>
      <c r="QAM27" s="1266"/>
      <c r="QAN27" s="1266"/>
      <c r="QAO27" s="1266"/>
      <c r="QAP27" s="1266"/>
      <c r="QAQ27" s="1266"/>
      <c r="QAR27" s="1266"/>
      <c r="QAS27" s="1266"/>
      <c r="QAT27" s="1266"/>
      <c r="QAU27" s="1266"/>
      <c r="QAV27" s="1266"/>
      <c r="QAW27" s="1266"/>
      <c r="QAX27" s="1266"/>
      <c r="QAY27" s="1266"/>
      <c r="QAZ27" s="1266"/>
      <c r="QBA27" s="1266"/>
      <c r="QBB27" s="1266"/>
      <c r="QBC27" s="1266"/>
      <c r="QBD27" s="1266"/>
      <c r="QBE27" s="1266"/>
      <c r="QBF27" s="1266"/>
      <c r="QBG27" s="1266"/>
      <c r="QBH27" s="1266"/>
      <c r="QBI27" s="1266"/>
      <c r="QBJ27" s="1266"/>
      <c r="QBK27" s="1266"/>
      <c r="QBL27" s="1266"/>
      <c r="QBM27" s="1266"/>
      <c r="QBN27" s="1266"/>
      <c r="QBO27" s="1266"/>
      <c r="QBP27" s="1266"/>
      <c r="QBQ27" s="1266"/>
      <c r="QBR27" s="1266"/>
      <c r="QBS27" s="1266"/>
      <c r="QBT27" s="1266"/>
      <c r="QBU27" s="1266"/>
      <c r="QBV27" s="1266"/>
      <c r="QBW27" s="1266"/>
      <c r="QBX27" s="1266"/>
      <c r="QBY27" s="1266"/>
      <c r="QBZ27" s="1266"/>
      <c r="QCA27" s="1266"/>
      <c r="QCB27" s="1266"/>
      <c r="QCC27" s="1266"/>
      <c r="QCD27" s="1266"/>
      <c r="QCE27" s="1266"/>
      <c r="QCF27" s="1266"/>
      <c r="QCG27" s="1266"/>
      <c r="QCH27" s="1266"/>
      <c r="QCI27" s="1266"/>
      <c r="QCJ27" s="1266"/>
      <c r="QCK27" s="1266"/>
      <c r="QCL27" s="1266"/>
      <c r="QCM27" s="1266"/>
      <c r="QCN27" s="1266"/>
      <c r="QCO27" s="1266"/>
      <c r="QCP27" s="1266"/>
      <c r="QCQ27" s="1266"/>
      <c r="QCR27" s="1266"/>
      <c r="QCS27" s="1266"/>
      <c r="QCT27" s="1266"/>
      <c r="QCU27" s="1266"/>
      <c r="QCV27" s="1266"/>
      <c r="QCW27" s="1266"/>
      <c r="QCX27" s="1266"/>
      <c r="QCY27" s="1266"/>
      <c r="QCZ27" s="1266"/>
      <c r="QDA27" s="1266"/>
      <c r="QDB27" s="1266"/>
      <c r="QDC27" s="1266"/>
      <c r="QDD27" s="1266"/>
      <c r="QDE27" s="1266"/>
      <c r="QDF27" s="1266"/>
      <c r="QDG27" s="1266"/>
      <c r="QDH27" s="1266"/>
      <c r="QDI27" s="1266"/>
      <c r="QDJ27" s="1266"/>
      <c r="QDK27" s="1266"/>
      <c r="QDL27" s="1266"/>
      <c r="QDM27" s="1266"/>
      <c r="QDN27" s="1266"/>
      <c r="QDO27" s="1266"/>
      <c r="QDP27" s="1266"/>
      <c r="QDQ27" s="1266"/>
      <c r="QDR27" s="1266"/>
      <c r="QDS27" s="1266"/>
      <c r="QDT27" s="1266"/>
      <c r="QDU27" s="1266"/>
      <c r="QDV27" s="1266"/>
      <c r="QDW27" s="1266"/>
      <c r="QDX27" s="1266"/>
      <c r="QDY27" s="1266"/>
      <c r="QDZ27" s="1266"/>
      <c r="QEA27" s="1266"/>
      <c r="QEB27" s="1266"/>
      <c r="QEC27" s="1266"/>
      <c r="QED27" s="1266"/>
      <c r="QEE27" s="1266"/>
      <c r="QEF27" s="1266"/>
      <c r="QEG27" s="1266"/>
      <c r="QEH27" s="1266"/>
      <c r="QEI27" s="1266"/>
      <c r="QEJ27" s="1266"/>
      <c r="QEK27" s="1266"/>
      <c r="QEL27" s="1266"/>
      <c r="QEM27" s="1266"/>
      <c r="QEN27" s="1266"/>
      <c r="QEO27" s="1266"/>
      <c r="QEP27" s="1266"/>
      <c r="QEQ27" s="1266"/>
      <c r="QER27" s="1266"/>
      <c r="QES27" s="1266"/>
      <c r="QET27" s="1266"/>
      <c r="QEU27" s="1266"/>
      <c r="QEV27" s="1266"/>
      <c r="QEW27" s="1266"/>
      <c r="QEX27" s="1266"/>
      <c r="QEY27" s="1266"/>
      <c r="QEZ27" s="1266"/>
      <c r="QFA27" s="1266"/>
      <c r="QFB27" s="1266"/>
      <c r="QFC27" s="1266"/>
      <c r="QFD27" s="1266"/>
      <c r="QFE27" s="1266"/>
      <c r="QFF27" s="1266"/>
      <c r="QFG27" s="1266"/>
      <c r="QFH27" s="1266"/>
      <c r="QFI27" s="1266"/>
      <c r="QFJ27" s="1266"/>
      <c r="QFK27" s="1266"/>
      <c r="QFL27" s="1266"/>
      <c r="QFM27" s="1266"/>
      <c r="QFN27" s="1266"/>
      <c r="QFO27" s="1266"/>
      <c r="QFP27" s="1266"/>
      <c r="QFQ27" s="1266"/>
      <c r="QFR27" s="1266"/>
      <c r="QFS27" s="1266"/>
      <c r="QFT27" s="1266"/>
      <c r="QFU27" s="1266"/>
      <c r="QFV27" s="1266"/>
      <c r="QFW27" s="1266"/>
      <c r="QFX27" s="1266"/>
      <c r="QFY27" s="1266"/>
      <c r="QFZ27" s="1266"/>
      <c r="QGA27" s="1266"/>
      <c r="QGB27" s="1266"/>
      <c r="QGC27" s="1266"/>
      <c r="QGD27" s="1266"/>
      <c r="QGE27" s="1266"/>
      <c r="QGF27" s="1266"/>
      <c r="QGG27" s="1266"/>
      <c r="QGH27" s="1266"/>
      <c r="QGI27" s="1266"/>
      <c r="QGJ27" s="1266"/>
      <c r="QGK27" s="1266"/>
      <c r="QGL27" s="1266"/>
      <c r="QGM27" s="1266"/>
      <c r="QGN27" s="1266"/>
      <c r="QGO27" s="1266"/>
      <c r="QGP27" s="1266"/>
      <c r="QGQ27" s="1266"/>
      <c r="QGR27" s="1266"/>
      <c r="QGS27" s="1266"/>
      <c r="QGT27" s="1266"/>
      <c r="QGU27" s="1266"/>
      <c r="QGV27" s="1266"/>
      <c r="QGW27" s="1266"/>
      <c r="QGX27" s="1266"/>
      <c r="QGY27" s="1266"/>
      <c r="QGZ27" s="1266"/>
      <c r="QHA27" s="1266"/>
      <c r="QHB27" s="1266"/>
      <c r="QHC27" s="1266"/>
      <c r="QHD27" s="1266"/>
      <c r="QHE27" s="1266"/>
      <c r="QHF27" s="1266"/>
      <c r="QHG27" s="1266"/>
      <c r="QHH27" s="1266"/>
      <c r="QHI27" s="1266"/>
      <c r="QHJ27" s="1266"/>
      <c r="QHK27" s="1266"/>
      <c r="QHL27" s="1266"/>
      <c r="QHM27" s="1266"/>
      <c r="QHN27" s="1266"/>
      <c r="QHO27" s="1266"/>
      <c r="QHP27" s="1266"/>
      <c r="QHQ27" s="1266"/>
      <c r="QHR27" s="1266"/>
      <c r="QHS27" s="1266"/>
      <c r="QHT27" s="1266"/>
      <c r="QHU27" s="1266"/>
      <c r="QHV27" s="1266"/>
      <c r="QHW27" s="1266"/>
      <c r="QHX27" s="1266"/>
      <c r="QHY27" s="1266"/>
      <c r="QHZ27" s="1266"/>
      <c r="QIA27" s="1266"/>
      <c r="QIB27" s="1266"/>
      <c r="QIC27" s="1266"/>
      <c r="QID27" s="1266"/>
      <c r="QIE27" s="1266"/>
      <c r="QIF27" s="1266"/>
      <c r="QIG27" s="1266"/>
      <c r="QIH27" s="1266"/>
      <c r="QII27" s="1266"/>
      <c r="QIJ27" s="1266"/>
      <c r="QIK27" s="1266"/>
      <c r="QIL27" s="1266"/>
      <c r="QIM27" s="1266"/>
      <c r="QIN27" s="1266"/>
      <c r="QIO27" s="1266"/>
      <c r="QIP27" s="1266"/>
      <c r="QIQ27" s="1266"/>
      <c r="QIR27" s="1266"/>
      <c r="QIS27" s="1266"/>
      <c r="QIT27" s="1266"/>
      <c r="QIU27" s="1266"/>
      <c r="QIV27" s="1266"/>
      <c r="QIW27" s="1266"/>
      <c r="QIX27" s="1266"/>
      <c r="QIY27" s="1266"/>
      <c r="QIZ27" s="1266"/>
      <c r="QJA27" s="1266"/>
      <c r="QJB27" s="1266"/>
      <c r="QJC27" s="1266"/>
      <c r="QJD27" s="1266"/>
      <c r="QJE27" s="1266"/>
      <c r="QJF27" s="1266"/>
      <c r="QJG27" s="1266"/>
      <c r="QJH27" s="1266"/>
      <c r="QJI27" s="1266"/>
      <c r="QJJ27" s="1266"/>
      <c r="QJK27" s="1266"/>
      <c r="QJL27" s="1266"/>
      <c r="QJM27" s="1266"/>
      <c r="QJN27" s="1266"/>
      <c r="QJO27" s="1266"/>
      <c r="QJP27" s="1266"/>
      <c r="QJQ27" s="1266"/>
      <c r="QJR27" s="1266"/>
      <c r="QJS27" s="1266"/>
      <c r="QJT27" s="1266"/>
      <c r="QJU27" s="1266"/>
      <c r="QJV27" s="1266"/>
      <c r="QJW27" s="1266"/>
      <c r="QJX27" s="1266"/>
      <c r="QJY27" s="1266"/>
      <c r="QJZ27" s="1266"/>
      <c r="QKA27" s="1266"/>
      <c r="QKB27" s="1266"/>
      <c r="QKC27" s="1266"/>
      <c r="QKD27" s="1266"/>
      <c r="QKE27" s="1266"/>
      <c r="QKF27" s="1266"/>
      <c r="QKG27" s="1266"/>
      <c r="QKH27" s="1266"/>
      <c r="QKI27" s="1266"/>
      <c r="QKJ27" s="1266"/>
      <c r="QKK27" s="1266"/>
      <c r="QKL27" s="1266"/>
      <c r="QKM27" s="1266"/>
      <c r="QKN27" s="1266"/>
      <c r="QKO27" s="1266"/>
      <c r="QKP27" s="1266"/>
      <c r="QKQ27" s="1266"/>
      <c r="QKR27" s="1266"/>
      <c r="QKS27" s="1266"/>
      <c r="QKT27" s="1266"/>
      <c r="QKU27" s="1266"/>
      <c r="QKV27" s="1266"/>
      <c r="QKW27" s="1266"/>
      <c r="QKX27" s="1266"/>
      <c r="QKY27" s="1266"/>
      <c r="QKZ27" s="1266"/>
      <c r="QLA27" s="1266"/>
      <c r="QLB27" s="1266"/>
      <c r="QLC27" s="1266"/>
      <c r="QLD27" s="1266"/>
      <c r="QLE27" s="1266"/>
      <c r="QLF27" s="1266"/>
      <c r="QLG27" s="1266"/>
      <c r="QLH27" s="1266"/>
      <c r="QLI27" s="1266"/>
      <c r="QLJ27" s="1266"/>
      <c r="QLK27" s="1266"/>
      <c r="QLL27" s="1266"/>
      <c r="QLM27" s="1266"/>
      <c r="QLN27" s="1266"/>
      <c r="QLO27" s="1266"/>
      <c r="QLP27" s="1266"/>
      <c r="QLQ27" s="1266"/>
      <c r="QLR27" s="1266"/>
      <c r="QLS27" s="1266"/>
      <c r="QLT27" s="1266"/>
      <c r="QLU27" s="1266"/>
      <c r="QLV27" s="1266"/>
      <c r="QLW27" s="1266"/>
      <c r="QLX27" s="1266"/>
      <c r="QLY27" s="1266"/>
      <c r="QLZ27" s="1266"/>
      <c r="QMA27" s="1266"/>
      <c r="QMB27" s="1266"/>
      <c r="QMC27" s="1266"/>
      <c r="QMD27" s="1266"/>
      <c r="QME27" s="1266"/>
      <c r="QMF27" s="1266"/>
      <c r="QMG27" s="1266"/>
      <c r="QMH27" s="1266"/>
      <c r="QMI27" s="1266"/>
      <c r="QMJ27" s="1266"/>
      <c r="QMK27" s="1266"/>
      <c r="QML27" s="1266"/>
      <c r="QMM27" s="1266"/>
      <c r="QMN27" s="1266"/>
      <c r="QMO27" s="1266"/>
      <c r="QMP27" s="1266"/>
      <c r="QMQ27" s="1266"/>
      <c r="QMR27" s="1266"/>
      <c r="QMS27" s="1266"/>
      <c r="QMT27" s="1266"/>
      <c r="QMU27" s="1266"/>
      <c r="QMV27" s="1266"/>
      <c r="QMW27" s="1266"/>
      <c r="QMX27" s="1266"/>
      <c r="QMY27" s="1266"/>
      <c r="QMZ27" s="1266"/>
      <c r="QNA27" s="1266"/>
      <c r="QNB27" s="1266"/>
      <c r="QNC27" s="1266"/>
      <c r="QND27" s="1266"/>
      <c r="QNE27" s="1266"/>
      <c r="QNF27" s="1266"/>
      <c r="QNG27" s="1266"/>
      <c r="QNH27" s="1266"/>
      <c r="QNI27" s="1266"/>
      <c r="QNJ27" s="1266"/>
      <c r="QNK27" s="1266"/>
      <c r="QNL27" s="1266"/>
      <c r="QNM27" s="1266"/>
      <c r="QNN27" s="1266"/>
      <c r="QNO27" s="1266"/>
      <c r="QNP27" s="1266"/>
      <c r="QNQ27" s="1266"/>
      <c r="QNR27" s="1266"/>
      <c r="QNS27" s="1266"/>
      <c r="QNT27" s="1266"/>
      <c r="QNU27" s="1266"/>
      <c r="QNV27" s="1266"/>
      <c r="QNW27" s="1266"/>
      <c r="QNX27" s="1266"/>
      <c r="QNY27" s="1266"/>
      <c r="QNZ27" s="1266"/>
      <c r="QOA27" s="1266"/>
      <c r="QOB27" s="1266"/>
      <c r="QOC27" s="1266"/>
      <c r="QOD27" s="1266"/>
      <c r="QOE27" s="1266"/>
      <c r="QOF27" s="1266"/>
      <c r="QOG27" s="1266"/>
      <c r="QOH27" s="1266"/>
      <c r="QOI27" s="1266"/>
      <c r="QOJ27" s="1266"/>
      <c r="QOK27" s="1266"/>
      <c r="QOL27" s="1266"/>
      <c r="QOM27" s="1266"/>
      <c r="QON27" s="1266"/>
      <c r="QOO27" s="1266"/>
      <c r="QOP27" s="1266"/>
      <c r="QOQ27" s="1266"/>
      <c r="QOR27" s="1266"/>
      <c r="QOS27" s="1266"/>
      <c r="QOT27" s="1266"/>
      <c r="QOU27" s="1266"/>
      <c r="QOV27" s="1266"/>
      <c r="QOW27" s="1266"/>
      <c r="QOX27" s="1266"/>
      <c r="QOY27" s="1266"/>
      <c r="QOZ27" s="1266"/>
      <c r="QPA27" s="1266"/>
      <c r="QPB27" s="1266"/>
      <c r="QPC27" s="1266"/>
      <c r="QPD27" s="1266"/>
      <c r="QPE27" s="1266"/>
      <c r="QPF27" s="1266"/>
      <c r="QPG27" s="1266"/>
      <c r="QPH27" s="1266"/>
      <c r="QPI27" s="1266"/>
      <c r="QPJ27" s="1266"/>
      <c r="QPK27" s="1266"/>
      <c r="QPL27" s="1266"/>
      <c r="QPM27" s="1266"/>
      <c r="QPN27" s="1266"/>
      <c r="QPO27" s="1266"/>
      <c r="QPP27" s="1266"/>
      <c r="QPQ27" s="1266"/>
      <c r="QPR27" s="1266"/>
      <c r="QPS27" s="1266"/>
      <c r="QPT27" s="1266"/>
      <c r="QPU27" s="1266"/>
      <c r="QPV27" s="1266"/>
      <c r="QPW27" s="1266"/>
      <c r="QPX27" s="1266"/>
      <c r="QPY27" s="1266"/>
      <c r="QPZ27" s="1266"/>
      <c r="QQA27" s="1266"/>
      <c r="QQB27" s="1266"/>
      <c r="QQC27" s="1266"/>
      <c r="QQD27" s="1266"/>
      <c r="QQE27" s="1266"/>
      <c r="QQF27" s="1266"/>
      <c r="QQG27" s="1266"/>
      <c r="QQH27" s="1266"/>
      <c r="QQI27" s="1266"/>
      <c r="QQJ27" s="1266"/>
      <c r="QQK27" s="1266"/>
      <c r="QQL27" s="1266"/>
      <c r="QQM27" s="1266"/>
      <c r="QQN27" s="1266"/>
      <c r="QQO27" s="1266"/>
      <c r="QQP27" s="1266"/>
      <c r="QQQ27" s="1266"/>
      <c r="QQR27" s="1266"/>
      <c r="QQS27" s="1266"/>
      <c r="QQT27" s="1266"/>
      <c r="QQU27" s="1266"/>
      <c r="QQV27" s="1266"/>
      <c r="QQW27" s="1266"/>
      <c r="QQX27" s="1266"/>
      <c r="QQY27" s="1266"/>
      <c r="QQZ27" s="1266"/>
      <c r="QRA27" s="1266"/>
      <c r="QRB27" s="1266"/>
      <c r="QRC27" s="1266"/>
      <c r="QRD27" s="1266"/>
      <c r="QRE27" s="1266"/>
      <c r="QRF27" s="1266"/>
      <c r="QRG27" s="1266"/>
      <c r="QRH27" s="1266"/>
      <c r="QRI27" s="1266"/>
      <c r="QRJ27" s="1266"/>
      <c r="QRK27" s="1266"/>
      <c r="QRL27" s="1266"/>
      <c r="QRM27" s="1266"/>
      <c r="QRN27" s="1266"/>
      <c r="QRO27" s="1266"/>
      <c r="QRP27" s="1266"/>
      <c r="QRQ27" s="1266"/>
      <c r="QRR27" s="1266"/>
      <c r="QRS27" s="1266"/>
      <c r="QRT27" s="1266"/>
      <c r="QRU27" s="1266"/>
      <c r="QRV27" s="1266"/>
      <c r="QRW27" s="1266"/>
      <c r="QRX27" s="1266"/>
      <c r="QRY27" s="1266"/>
      <c r="QRZ27" s="1266"/>
      <c r="QSA27" s="1266"/>
      <c r="QSB27" s="1266"/>
      <c r="QSC27" s="1266"/>
      <c r="QSD27" s="1266"/>
      <c r="QSE27" s="1266"/>
      <c r="QSF27" s="1266"/>
      <c r="QSG27" s="1266"/>
      <c r="QSH27" s="1266"/>
      <c r="QSI27" s="1266"/>
      <c r="QSJ27" s="1266"/>
      <c r="QSK27" s="1266"/>
      <c r="QSL27" s="1266"/>
      <c r="QSM27" s="1266"/>
      <c r="QSN27" s="1266"/>
      <c r="QSO27" s="1266"/>
      <c r="QSP27" s="1266"/>
      <c r="QSQ27" s="1266"/>
      <c r="QSR27" s="1266"/>
      <c r="QSS27" s="1266"/>
      <c r="QST27" s="1266"/>
      <c r="QSU27" s="1266"/>
      <c r="QSV27" s="1266"/>
      <c r="QSW27" s="1266"/>
      <c r="QSX27" s="1266"/>
      <c r="QSY27" s="1266"/>
      <c r="QSZ27" s="1266"/>
      <c r="QTA27" s="1266"/>
      <c r="QTB27" s="1266"/>
      <c r="QTC27" s="1266"/>
      <c r="QTD27" s="1266"/>
      <c r="QTE27" s="1266"/>
      <c r="QTF27" s="1266"/>
      <c r="QTG27" s="1266"/>
      <c r="QTH27" s="1266"/>
      <c r="QTI27" s="1266"/>
      <c r="QTJ27" s="1266"/>
      <c r="QTK27" s="1266"/>
      <c r="QTL27" s="1266"/>
      <c r="QTM27" s="1266"/>
      <c r="QTN27" s="1266"/>
      <c r="QTO27" s="1266"/>
      <c r="QTP27" s="1266"/>
      <c r="QTQ27" s="1266"/>
      <c r="QTR27" s="1266"/>
      <c r="QTS27" s="1266"/>
      <c r="QTT27" s="1266"/>
      <c r="QTU27" s="1266"/>
      <c r="QTV27" s="1266"/>
      <c r="QTW27" s="1266"/>
      <c r="QTX27" s="1266"/>
      <c r="QTY27" s="1266"/>
      <c r="QTZ27" s="1266"/>
      <c r="QUA27" s="1266"/>
      <c r="QUB27" s="1266"/>
      <c r="QUC27" s="1266"/>
      <c r="QUD27" s="1266"/>
      <c r="QUE27" s="1266"/>
      <c r="QUF27" s="1266"/>
      <c r="QUG27" s="1266"/>
      <c r="QUH27" s="1266"/>
      <c r="QUI27" s="1266"/>
      <c r="QUJ27" s="1266"/>
      <c r="QUK27" s="1266"/>
      <c r="QUL27" s="1266"/>
      <c r="QUM27" s="1266"/>
      <c r="QUN27" s="1266"/>
      <c r="QUO27" s="1266"/>
      <c r="QUP27" s="1266"/>
      <c r="QUQ27" s="1266"/>
      <c r="QUR27" s="1266"/>
      <c r="QUS27" s="1266"/>
      <c r="QUT27" s="1266"/>
      <c r="QUU27" s="1266"/>
      <c r="QUV27" s="1266"/>
      <c r="QUW27" s="1266"/>
      <c r="QUX27" s="1266"/>
      <c r="QUY27" s="1266"/>
      <c r="QUZ27" s="1266"/>
      <c r="QVA27" s="1266"/>
      <c r="QVB27" s="1266"/>
      <c r="QVC27" s="1266"/>
      <c r="QVD27" s="1266"/>
      <c r="QVE27" s="1266"/>
      <c r="QVF27" s="1266"/>
      <c r="QVG27" s="1266"/>
      <c r="QVH27" s="1266"/>
      <c r="QVI27" s="1266"/>
      <c r="QVJ27" s="1266"/>
      <c r="QVK27" s="1266"/>
      <c r="QVL27" s="1266"/>
      <c r="QVM27" s="1266"/>
      <c r="QVN27" s="1266"/>
      <c r="QVO27" s="1266"/>
      <c r="QVP27" s="1266"/>
      <c r="QVQ27" s="1266"/>
      <c r="QVR27" s="1266"/>
      <c r="QVS27" s="1266"/>
      <c r="QVT27" s="1266"/>
      <c r="QVU27" s="1266"/>
      <c r="QVV27" s="1266"/>
      <c r="QVW27" s="1266"/>
      <c r="QVX27" s="1266"/>
      <c r="QVY27" s="1266"/>
      <c r="QVZ27" s="1266"/>
      <c r="QWA27" s="1266"/>
      <c r="QWB27" s="1266"/>
      <c r="QWC27" s="1266"/>
      <c r="QWD27" s="1266"/>
      <c r="QWE27" s="1266"/>
      <c r="QWF27" s="1266"/>
      <c r="QWG27" s="1266"/>
      <c r="QWH27" s="1266"/>
      <c r="QWI27" s="1266"/>
      <c r="QWJ27" s="1266"/>
      <c r="QWK27" s="1266"/>
      <c r="QWL27" s="1266"/>
      <c r="QWM27" s="1266"/>
      <c r="QWN27" s="1266"/>
      <c r="QWO27" s="1266"/>
      <c r="QWP27" s="1266"/>
      <c r="QWQ27" s="1266"/>
      <c r="QWR27" s="1266"/>
      <c r="QWS27" s="1266"/>
      <c r="QWT27" s="1266"/>
      <c r="QWU27" s="1266"/>
      <c r="QWV27" s="1266"/>
      <c r="QWW27" s="1266"/>
      <c r="QWX27" s="1266"/>
      <c r="QWY27" s="1266"/>
      <c r="QWZ27" s="1266"/>
      <c r="QXA27" s="1266"/>
      <c r="QXB27" s="1266"/>
      <c r="QXC27" s="1266"/>
      <c r="QXD27" s="1266"/>
      <c r="QXE27" s="1266"/>
      <c r="QXF27" s="1266"/>
      <c r="QXG27" s="1266"/>
      <c r="QXH27" s="1266"/>
      <c r="QXI27" s="1266"/>
      <c r="QXJ27" s="1266"/>
      <c r="QXK27" s="1266"/>
      <c r="QXL27" s="1266"/>
      <c r="QXM27" s="1266"/>
      <c r="QXN27" s="1266"/>
      <c r="QXO27" s="1266"/>
      <c r="QXP27" s="1266"/>
      <c r="QXQ27" s="1266"/>
      <c r="QXR27" s="1266"/>
      <c r="QXS27" s="1266"/>
      <c r="QXT27" s="1266"/>
      <c r="QXU27" s="1266"/>
      <c r="QXV27" s="1266"/>
      <c r="QXW27" s="1266"/>
      <c r="QXX27" s="1266"/>
      <c r="QXY27" s="1266"/>
      <c r="QXZ27" s="1266"/>
      <c r="QYA27" s="1266"/>
      <c r="QYB27" s="1266"/>
      <c r="QYC27" s="1266"/>
      <c r="QYD27" s="1266"/>
      <c r="QYE27" s="1266"/>
      <c r="QYF27" s="1266"/>
      <c r="QYG27" s="1266"/>
      <c r="QYH27" s="1266"/>
      <c r="QYI27" s="1266"/>
      <c r="QYJ27" s="1266"/>
      <c r="QYK27" s="1266"/>
      <c r="QYL27" s="1266"/>
      <c r="QYM27" s="1266"/>
      <c r="QYN27" s="1266"/>
      <c r="QYO27" s="1266"/>
      <c r="QYP27" s="1266"/>
      <c r="QYQ27" s="1266"/>
      <c r="QYR27" s="1266"/>
      <c r="QYS27" s="1266"/>
      <c r="QYT27" s="1266"/>
      <c r="QYU27" s="1266"/>
      <c r="QYV27" s="1266"/>
      <c r="QYW27" s="1266"/>
      <c r="QYX27" s="1266"/>
      <c r="QYY27" s="1266"/>
      <c r="QYZ27" s="1266"/>
      <c r="QZA27" s="1266"/>
      <c r="QZB27" s="1266"/>
      <c r="QZC27" s="1266"/>
      <c r="QZD27" s="1266"/>
      <c r="QZE27" s="1266"/>
      <c r="QZF27" s="1266"/>
      <c r="QZG27" s="1266"/>
      <c r="QZH27" s="1266"/>
      <c r="QZI27" s="1266"/>
      <c r="QZJ27" s="1266"/>
      <c r="QZK27" s="1266"/>
      <c r="QZL27" s="1266"/>
      <c r="QZM27" s="1266"/>
      <c r="QZN27" s="1266"/>
      <c r="QZO27" s="1266"/>
      <c r="QZP27" s="1266"/>
      <c r="QZQ27" s="1266"/>
      <c r="QZR27" s="1266"/>
      <c r="QZS27" s="1266"/>
      <c r="QZT27" s="1266"/>
      <c r="QZU27" s="1266"/>
      <c r="QZV27" s="1266"/>
      <c r="QZW27" s="1266"/>
      <c r="QZX27" s="1266"/>
      <c r="QZY27" s="1266"/>
      <c r="QZZ27" s="1266"/>
      <c r="RAA27" s="1266"/>
      <c r="RAB27" s="1266"/>
      <c r="RAC27" s="1266"/>
      <c r="RAD27" s="1266"/>
      <c r="RAE27" s="1266"/>
      <c r="RAF27" s="1266"/>
      <c r="RAG27" s="1266"/>
      <c r="RAH27" s="1266"/>
      <c r="RAI27" s="1266"/>
      <c r="RAJ27" s="1266"/>
      <c r="RAK27" s="1266"/>
      <c r="RAL27" s="1266"/>
      <c r="RAM27" s="1266"/>
      <c r="RAN27" s="1266"/>
      <c r="RAO27" s="1266"/>
      <c r="RAP27" s="1266"/>
      <c r="RAQ27" s="1266"/>
      <c r="RAR27" s="1266"/>
      <c r="RAS27" s="1266"/>
      <c r="RAT27" s="1266"/>
      <c r="RAU27" s="1266"/>
      <c r="RAV27" s="1266"/>
      <c r="RAW27" s="1266"/>
      <c r="RAX27" s="1266"/>
      <c r="RAY27" s="1266"/>
      <c r="RAZ27" s="1266"/>
      <c r="RBA27" s="1266"/>
      <c r="RBB27" s="1266"/>
      <c r="RBC27" s="1266"/>
      <c r="RBD27" s="1266"/>
      <c r="RBE27" s="1266"/>
      <c r="RBF27" s="1266"/>
      <c r="RBG27" s="1266"/>
      <c r="RBH27" s="1266"/>
      <c r="RBI27" s="1266"/>
      <c r="RBJ27" s="1266"/>
      <c r="RBK27" s="1266"/>
      <c r="RBL27" s="1266"/>
      <c r="RBM27" s="1266"/>
      <c r="RBN27" s="1266"/>
      <c r="RBO27" s="1266"/>
      <c r="RBP27" s="1266"/>
      <c r="RBQ27" s="1266"/>
      <c r="RBR27" s="1266"/>
      <c r="RBS27" s="1266"/>
      <c r="RBT27" s="1266"/>
      <c r="RBU27" s="1266"/>
      <c r="RBV27" s="1266"/>
      <c r="RBW27" s="1266"/>
      <c r="RBX27" s="1266"/>
      <c r="RBY27" s="1266"/>
      <c r="RBZ27" s="1266"/>
      <c r="RCA27" s="1266"/>
      <c r="RCB27" s="1266"/>
      <c r="RCC27" s="1266"/>
      <c r="RCD27" s="1266"/>
      <c r="RCE27" s="1266"/>
      <c r="RCF27" s="1266"/>
      <c r="RCG27" s="1266"/>
      <c r="RCH27" s="1266"/>
      <c r="RCI27" s="1266"/>
      <c r="RCJ27" s="1266"/>
      <c r="RCK27" s="1266"/>
      <c r="RCL27" s="1266"/>
      <c r="RCM27" s="1266"/>
      <c r="RCN27" s="1266"/>
      <c r="RCO27" s="1266"/>
      <c r="RCP27" s="1266"/>
      <c r="RCQ27" s="1266"/>
      <c r="RCR27" s="1266"/>
      <c r="RCS27" s="1266"/>
      <c r="RCT27" s="1266"/>
      <c r="RCU27" s="1266"/>
      <c r="RCV27" s="1266"/>
      <c r="RCW27" s="1266"/>
      <c r="RCX27" s="1266"/>
      <c r="RCY27" s="1266"/>
      <c r="RCZ27" s="1266"/>
      <c r="RDA27" s="1266"/>
      <c r="RDB27" s="1266"/>
      <c r="RDC27" s="1266"/>
      <c r="RDD27" s="1266"/>
      <c r="RDE27" s="1266"/>
      <c r="RDF27" s="1266"/>
      <c r="RDG27" s="1266"/>
      <c r="RDH27" s="1266"/>
      <c r="RDI27" s="1266"/>
      <c r="RDJ27" s="1266"/>
      <c r="RDK27" s="1266"/>
      <c r="RDL27" s="1266"/>
      <c r="RDM27" s="1266"/>
      <c r="RDN27" s="1266"/>
      <c r="RDO27" s="1266"/>
      <c r="RDP27" s="1266"/>
      <c r="RDQ27" s="1266"/>
      <c r="RDR27" s="1266"/>
      <c r="RDS27" s="1266"/>
      <c r="RDT27" s="1266"/>
      <c r="RDU27" s="1266"/>
      <c r="RDV27" s="1266"/>
      <c r="RDW27" s="1266"/>
      <c r="RDX27" s="1266"/>
      <c r="RDY27" s="1266"/>
      <c r="RDZ27" s="1266"/>
      <c r="REA27" s="1266"/>
      <c r="REB27" s="1266"/>
      <c r="REC27" s="1266"/>
      <c r="RED27" s="1266"/>
      <c r="REE27" s="1266"/>
      <c r="REF27" s="1266"/>
      <c r="REG27" s="1266"/>
      <c r="REH27" s="1266"/>
      <c r="REI27" s="1266"/>
      <c r="REJ27" s="1266"/>
      <c r="REK27" s="1266"/>
      <c r="REL27" s="1266"/>
      <c r="REM27" s="1266"/>
      <c r="REN27" s="1266"/>
      <c r="REO27" s="1266"/>
      <c r="REP27" s="1266"/>
      <c r="REQ27" s="1266"/>
      <c r="RER27" s="1266"/>
      <c r="RES27" s="1266"/>
      <c r="RET27" s="1266"/>
      <c r="REU27" s="1266"/>
      <c r="REV27" s="1266"/>
      <c r="REW27" s="1266"/>
      <c r="REX27" s="1266"/>
      <c r="REY27" s="1266"/>
      <c r="REZ27" s="1266"/>
      <c r="RFA27" s="1266"/>
      <c r="RFB27" s="1266"/>
      <c r="RFC27" s="1266"/>
      <c r="RFD27" s="1266"/>
      <c r="RFE27" s="1266"/>
      <c r="RFF27" s="1266"/>
      <c r="RFG27" s="1266"/>
      <c r="RFH27" s="1266"/>
      <c r="RFI27" s="1266"/>
      <c r="RFJ27" s="1266"/>
      <c r="RFK27" s="1266"/>
      <c r="RFL27" s="1266"/>
      <c r="RFM27" s="1266"/>
      <c r="RFN27" s="1266"/>
      <c r="RFO27" s="1266"/>
      <c r="RFP27" s="1266"/>
      <c r="RFQ27" s="1266"/>
      <c r="RFR27" s="1266"/>
      <c r="RFS27" s="1266"/>
      <c r="RFT27" s="1266"/>
      <c r="RFU27" s="1266"/>
      <c r="RFV27" s="1266"/>
      <c r="RFW27" s="1266"/>
      <c r="RFX27" s="1266"/>
      <c r="RFY27" s="1266"/>
      <c r="RFZ27" s="1266"/>
      <c r="RGA27" s="1266"/>
      <c r="RGB27" s="1266"/>
      <c r="RGC27" s="1266"/>
      <c r="RGD27" s="1266"/>
      <c r="RGE27" s="1266"/>
      <c r="RGF27" s="1266"/>
      <c r="RGG27" s="1266"/>
      <c r="RGH27" s="1266"/>
      <c r="RGI27" s="1266"/>
      <c r="RGJ27" s="1266"/>
      <c r="RGK27" s="1266"/>
      <c r="RGL27" s="1266"/>
      <c r="RGM27" s="1266"/>
      <c r="RGN27" s="1266"/>
      <c r="RGO27" s="1266"/>
      <c r="RGP27" s="1266"/>
      <c r="RGQ27" s="1266"/>
      <c r="RGR27" s="1266"/>
      <c r="RGS27" s="1266"/>
      <c r="RGT27" s="1266"/>
      <c r="RGU27" s="1266"/>
      <c r="RGV27" s="1266"/>
      <c r="RGW27" s="1266"/>
      <c r="RGX27" s="1266"/>
      <c r="RGY27" s="1266"/>
      <c r="RGZ27" s="1266"/>
      <c r="RHA27" s="1266"/>
      <c r="RHB27" s="1266"/>
      <c r="RHC27" s="1266"/>
      <c r="RHD27" s="1266"/>
      <c r="RHE27" s="1266"/>
      <c r="RHF27" s="1266"/>
      <c r="RHG27" s="1266"/>
      <c r="RHH27" s="1266"/>
      <c r="RHI27" s="1266"/>
      <c r="RHJ27" s="1266"/>
      <c r="RHK27" s="1266"/>
      <c r="RHL27" s="1266"/>
      <c r="RHM27" s="1266"/>
      <c r="RHN27" s="1266"/>
      <c r="RHO27" s="1266"/>
      <c r="RHP27" s="1266"/>
      <c r="RHQ27" s="1266"/>
      <c r="RHR27" s="1266"/>
      <c r="RHS27" s="1266"/>
      <c r="RHT27" s="1266"/>
      <c r="RHU27" s="1266"/>
      <c r="RHV27" s="1266"/>
      <c r="RHW27" s="1266"/>
      <c r="RHX27" s="1266"/>
      <c r="RHY27" s="1266"/>
      <c r="RHZ27" s="1266"/>
      <c r="RIA27" s="1266"/>
      <c r="RIB27" s="1266"/>
      <c r="RIC27" s="1266"/>
      <c r="RID27" s="1266"/>
      <c r="RIE27" s="1266"/>
      <c r="RIF27" s="1266"/>
      <c r="RIG27" s="1266"/>
      <c r="RIH27" s="1266"/>
      <c r="RII27" s="1266"/>
      <c r="RIJ27" s="1266"/>
      <c r="RIK27" s="1266"/>
      <c r="RIL27" s="1266"/>
      <c r="RIM27" s="1266"/>
      <c r="RIN27" s="1266"/>
      <c r="RIO27" s="1266"/>
      <c r="RIP27" s="1266"/>
      <c r="RIQ27" s="1266"/>
      <c r="RIR27" s="1266"/>
      <c r="RIS27" s="1266"/>
      <c r="RIT27" s="1266"/>
      <c r="RIU27" s="1266"/>
      <c r="RIV27" s="1266"/>
      <c r="RIW27" s="1266"/>
      <c r="RIX27" s="1266"/>
      <c r="RIY27" s="1266"/>
      <c r="RIZ27" s="1266"/>
      <c r="RJA27" s="1266"/>
      <c r="RJB27" s="1266"/>
      <c r="RJC27" s="1266"/>
      <c r="RJD27" s="1266"/>
      <c r="RJE27" s="1266"/>
      <c r="RJF27" s="1266"/>
      <c r="RJG27" s="1266"/>
      <c r="RJH27" s="1266"/>
      <c r="RJI27" s="1266"/>
      <c r="RJJ27" s="1266"/>
      <c r="RJK27" s="1266"/>
      <c r="RJL27" s="1266"/>
      <c r="RJM27" s="1266"/>
      <c r="RJN27" s="1266"/>
      <c r="RJO27" s="1266"/>
      <c r="RJP27" s="1266"/>
      <c r="RJQ27" s="1266"/>
      <c r="RJR27" s="1266"/>
      <c r="RJS27" s="1266"/>
      <c r="RJT27" s="1266"/>
      <c r="RJU27" s="1266"/>
      <c r="RJV27" s="1266"/>
      <c r="RJW27" s="1266"/>
      <c r="RJX27" s="1266"/>
      <c r="RJY27" s="1266"/>
      <c r="RJZ27" s="1266"/>
      <c r="RKA27" s="1266"/>
      <c r="RKB27" s="1266"/>
      <c r="RKC27" s="1266"/>
      <c r="RKD27" s="1266"/>
      <c r="RKE27" s="1266"/>
      <c r="RKF27" s="1266"/>
      <c r="RKG27" s="1266"/>
      <c r="RKH27" s="1266"/>
      <c r="RKI27" s="1266"/>
      <c r="RKJ27" s="1266"/>
      <c r="RKK27" s="1266"/>
      <c r="RKL27" s="1266"/>
      <c r="RKM27" s="1266"/>
      <c r="RKN27" s="1266"/>
      <c r="RKO27" s="1266"/>
      <c r="RKP27" s="1266"/>
      <c r="RKQ27" s="1266"/>
      <c r="RKR27" s="1266"/>
      <c r="RKS27" s="1266"/>
      <c r="RKT27" s="1266"/>
      <c r="RKU27" s="1266"/>
      <c r="RKV27" s="1266"/>
      <c r="RKW27" s="1266"/>
      <c r="RKX27" s="1266"/>
      <c r="RKY27" s="1266"/>
      <c r="RKZ27" s="1266"/>
      <c r="RLA27" s="1266"/>
      <c r="RLB27" s="1266"/>
      <c r="RLC27" s="1266"/>
      <c r="RLD27" s="1266"/>
      <c r="RLE27" s="1266"/>
      <c r="RLF27" s="1266"/>
      <c r="RLG27" s="1266"/>
      <c r="RLH27" s="1266"/>
      <c r="RLI27" s="1266"/>
      <c r="RLJ27" s="1266"/>
      <c r="RLK27" s="1266"/>
      <c r="RLL27" s="1266"/>
      <c r="RLM27" s="1266"/>
      <c r="RLN27" s="1266"/>
      <c r="RLO27" s="1266"/>
      <c r="RLP27" s="1266"/>
      <c r="RLQ27" s="1266"/>
      <c r="RLR27" s="1266"/>
      <c r="RLS27" s="1266"/>
      <c r="RLT27" s="1266"/>
      <c r="RLU27" s="1266"/>
      <c r="RLV27" s="1266"/>
      <c r="RLW27" s="1266"/>
      <c r="RLX27" s="1266"/>
      <c r="RLY27" s="1266"/>
      <c r="RLZ27" s="1266"/>
      <c r="RMA27" s="1266"/>
      <c r="RMB27" s="1266"/>
      <c r="RMC27" s="1266"/>
      <c r="RMD27" s="1266"/>
      <c r="RME27" s="1266"/>
      <c r="RMF27" s="1266"/>
      <c r="RMG27" s="1266"/>
      <c r="RMH27" s="1266"/>
      <c r="RMI27" s="1266"/>
      <c r="RMJ27" s="1266"/>
      <c r="RMK27" s="1266"/>
      <c r="RML27" s="1266"/>
      <c r="RMM27" s="1266"/>
      <c r="RMN27" s="1266"/>
      <c r="RMO27" s="1266"/>
      <c r="RMP27" s="1266"/>
      <c r="RMQ27" s="1266"/>
      <c r="RMR27" s="1266"/>
      <c r="RMS27" s="1266"/>
      <c r="RMT27" s="1266"/>
      <c r="RMU27" s="1266"/>
      <c r="RMV27" s="1266"/>
      <c r="RMW27" s="1266"/>
      <c r="RMX27" s="1266"/>
      <c r="RMY27" s="1266"/>
      <c r="RMZ27" s="1266"/>
      <c r="RNA27" s="1266"/>
      <c r="RNB27" s="1266"/>
      <c r="RNC27" s="1266"/>
      <c r="RND27" s="1266"/>
      <c r="RNE27" s="1266"/>
      <c r="RNF27" s="1266"/>
      <c r="RNG27" s="1266"/>
      <c r="RNH27" s="1266"/>
      <c r="RNI27" s="1266"/>
      <c r="RNJ27" s="1266"/>
      <c r="RNK27" s="1266"/>
      <c r="RNL27" s="1266"/>
      <c r="RNM27" s="1266"/>
      <c r="RNN27" s="1266"/>
      <c r="RNO27" s="1266"/>
      <c r="RNP27" s="1266"/>
      <c r="RNQ27" s="1266"/>
      <c r="RNR27" s="1266"/>
      <c r="RNS27" s="1266"/>
      <c r="RNT27" s="1266"/>
      <c r="RNU27" s="1266"/>
      <c r="RNV27" s="1266"/>
      <c r="RNW27" s="1266"/>
      <c r="RNX27" s="1266"/>
      <c r="RNY27" s="1266"/>
      <c r="RNZ27" s="1266"/>
      <c r="ROA27" s="1266"/>
      <c r="ROB27" s="1266"/>
      <c r="ROC27" s="1266"/>
      <c r="ROD27" s="1266"/>
      <c r="ROE27" s="1266"/>
      <c r="ROF27" s="1266"/>
      <c r="ROG27" s="1266"/>
      <c r="ROH27" s="1266"/>
      <c r="ROI27" s="1266"/>
      <c r="ROJ27" s="1266"/>
      <c r="ROK27" s="1266"/>
      <c r="ROL27" s="1266"/>
      <c r="ROM27" s="1266"/>
      <c r="RON27" s="1266"/>
      <c r="ROO27" s="1266"/>
      <c r="ROP27" s="1266"/>
      <c r="ROQ27" s="1266"/>
      <c r="ROR27" s="1266"/>
      <c r="ROS27" s="1266"/>
      <c r="ROT27" s="1266"/>
      <c r="ROU27" s="1266"/>
      <c r="ROV27" s="1266"/>
      <c r="ROW27" s="1266"/>
      <c r="ROX27" s="1266"/>
      <c r="ROY27" s="1266"/>
      <c r="ROZ27" s="1266"/>
      <c r="RPA27" s="1266"/>
      <c r="RPB27" s="1266"/>
      <c r="RPC27" s="1266"/>
      <c r="RPD27" s="1266"/>
      <c r="RPE27" s="1266"/>
      <c r="RPF27" s="1266"/>
      <c r="RPG27" s="1266"/>
      <c r="RPH27" s="1266"/>
      <c r="RPI27" s="1266"/>
      <c r="RPJ27" s="1266"/>
      <c r="RPK27" s="1266"/>
      <c r="RPL27" s="1266"/>
      <c r="RPM27" s="1266"/>
      <c r="RPN27" s="1266"/>
      <c r="RPO27" s="1266"/>
      <c r="RPP27" s="1266"/>
      <c r="RPQ27" s="1266"/>
      <c r="RPR27" s="1266"/>
      <c r="RPS27" s="1266"/>
      <c r="RPT27" s="1266"/>
      <c r="RPU27" s="1266"/>
      <c r="RPV27" s="1266"/>
      <c r="RPW27" s="1266"/>
      <c r="RPX27" s="1266"/>
      <c r="RPY27" s="1266"/>
      <c r="RPZ27" s="1266"/>
      <c r="RQA27" s="1266"/>
      <c r="RQB27" s="1266"/>
      <c r="RQC27" s="1266"/>
      <c r="RQD27" s="1266"/>
      <c r="RQE27" s="1266"/>
      <c r="RQF27" s="1266"/>
      <c r="RQG27" s="1266"/>
      <c r="RQH27" s="1266"/>
      <c r="RQI27" s="1266"/>
      <c r="RQJ27" s="1266"/>
      <c r="RQK27" s="1266"/>
      <c r="RQL27" s="1266"/>
      <c r="RQM27" s="1266"/>
      <c r="RQN27" s="1266"/>
      <c r="RQO27" s="1266"/>
      <c r="RQP27" s="1266"/>
      <c r="RQQ27" s="1266"/>
      <c r="RQR27" s="1266"/>
      <c r="RQS27" s="1266"/>
      <c r="RQT27" s="1266"/>
      <c r="RQU27" s="1266"/>
      <c r="RQV27" s="1266"/>
      <c r="RQW27" s="1266"/>
      <c r="RQX27" s="1266"/>
      <c r="RQY27" s="1266"/>
      <c r="RQZ27" s="1266"/>
      <c r="RRA27" s="1266"/>
      <c r="RRB27" s="1266"/>
      <c r="RRC27" s="1266"/>
      <c r="RRD27" s="1266"/>
      <c r="RRE27" s="1266"/>
      <c r="RRF27" s="1266"/>
      <c r="RRG27" s="1266"/>
      <c r="RRH27" s="1266"/>
      <c r="RRI27" s="1266"/>
      <c r="RRJ27" s="1266"/>
      <c r="RRK27" s="1266"/>
      <c r="RRL27" s="1266"/>
      <c r="RRM27" s="1266"/>
      <c r="RRN27" s="1266"/>
      <c r="RRO27" s="1266"/>
      <c r="RRP27" s="1266"/>
      <c r="RRQ27" s="1266"/>
      <c r="RRR27" s="1266"/>
      <c r="RRS27" s="1266"/>
      <c r="RRT27" s="1266"/>
      <c r="RRU27" s="1266"/>
      <c r="RRV27" s="1266"/>
      <c r="RRW27" s="1266"/>
      <c r="RRX27" s="1266"/>
      <c r="RRY27" s="1266"/>
      <c r="RRZ27" s="1266"/>
      <c r="RSA27" s="1266"/>
      <c r="RSB27" s="1266"/>
      <c r="RSC27" s="1266"/>
      <c r="RSD27" s="1266"/>
      <c r="RSE27" s="1266"/>
      <c r="RSF27" s="1266"/>
      <c r="RSG27" s="1266"/>
      <c r="RSH27" s="1266"/>
      <c r="RSI27" s="1266"/>
      <c r="RSJ27" s="1266"/>
      <c r="RSK27" s="1266"/>
      <c r="RSL27" s="1266"/>
      <c r="RSM27" s="1266"/>
      <c r="RSN27" s="1266"/>
      <c r="RSO27" s="1266"/>
      <c r="RSP27" s="1266"/>
      <c r="RSQ27" s="1266"/>
      <c r="RSR27" s="1266"/>
      <c r="RSS27" s="1266"/>
      <c r="RST27" s="1266"/>
      <c r="RSU27" s="1266"/>
      <c r="RSV27" s="1266"/>
      <c r="RSW27" s="1266"/>
      <c r="RSX27" s="1266"/>
      <c r="RSY27" s="1266"/>
      <c r="RSZ27" s="1266"/>
      <c r="RTA27" s="1266"/>
      <c r="RTB27" s="1266"/>
      <c r="RTC27" s="1266"/>
      <c r="RTD27" s="1266"/>
      <c r="RTE27" s="1266"/>
      <c r="RTF27" s="1266"/>
      <c r="RTG27" s="1266"/>
      <c r="RTH27" s="1266"/>
      <c r="RTI27" s="1266"/>
      <c r="RTJ27" s="1266"/>
      <c r="RTK27" s="1266"/>
      <c r="RTL27" s="1266"/>
      <c r="RTM27" s="1266"/>
      <c r="RTN27" s="1266"/>
      <c r="RTO27" s="1266"/>
      <c r="RTP27" s="1266"/>
      <c r="RTQ27" s="1266"/>
      <c r="RTR27" s="1266"/>
      <c r="RTS27" s="1266"/>
      <c r="RTT27" s="1266"/>
      <c r="RTU27" s="1266"/>
      <c r="RTV27" s="1266"/>
      <c r="RTW27" s="1266"/>
      <c r="RTX27" s="1266"/>
      <c r="RTY27" s="1266"/>
      <c r="RTZ27" s="1266"/>
      <c r="RUA27" s="1266"/>
      <c r="RUB27" s="1266"/>
      <c r="RUC27" s="1266"/>
      <c r="RUD27" s="1266"/>
      <c r="RUE27" s="1266"/>
      <c r="RUF27" s="1266"/>
      <c r="RUG27" s="1266"/>
      <c r="RUH27" s="1266"/>
      <c r="RUI27" s="1266"/>
      <c r="RUJ27" s="1266"/>
      <c r="RUK27" s="1266"/>
      <c r="RUL27" s="1266"/>
      <c r="RUM27" s="1266"/>
      <c r="RUN27" s="1266"/>
      <c r="RUO27" s="1266"/>
      <c r="RUP27" s="1266"/>
      <c r="RUQ27" s="1266"/>
      <c r="RUR27" s="1266"/>
      <c r="RUS27" s="1266"/>
      <c r="RUT27" s="1266"/>
      <c r="RUU27" s="1266"/>
      <c r="RUV27" s="1266"/>
      <c r="RUW27" s="1266"/>
      <c r="RUX27" s="1266"/>
      <c r="RUY27" s="1266"/>
      <c r="RUZ27" s="1266"/>
      <c r="RVA27" s="1266"/>
      <c r="RVB27" s="1266"/>
      <c r="RVC27" s="1266"/>
      <c r="RVD27" s="1266"/>
      <c r="RVE27" s="1266"/>
      <c r="RVF27" s="1266"/>
      <c r="RVG27" s="1266"/>
      <c r="RVH27" s="1266"/>
      <c r="RVI27" s="1266"/>
      <c r="RVJ27" s="1266"/>
      <c r="RVK27" s="1266"/>
      <c r="RVL27" s="1266"/>
      <c r="RVM27" s="1266"/>
      <c r="RVN27" s="1266"/>
      <c r="RVO27" s="1266"/>
      <c r="RVP27" s="1266"/>
      <c r="RVQ27" s="1266"/>
      <c r="RVR27" s="1266"/>
      <c r="RVS27" s="1266"/>
      <c r="RVT27" s="1266"/>
      <c r="RVU27" s="1266"/>
      <c r="RVV27" s="1266"/>
      <c r="RVW27" s="1266"/>
      <c r="RVX27" s="1266"/>
      <c r="RVY27" s="1266"/>
      <c r="RVZ27" s="1266"/>
      <c r="RWA27" s="1266"/>
      <c r="RWB27" s="1266"/>
      <c r="RWC27" s="1266"/>
      <c r="RWD27" s="1266"/>
      <c r="RWE27" s="1266"/>
      <c r="RWF27" s="1266"/>
      <c r="RWG27" s="1266"/>
      <c r="RWH27" s="1266"/>
      <c r="RWI27" s="1266"/>
      <c r="RWJ27" s="1266"/>
      <c r="RWK27" s="1266"/>
      <c r="RWL27" s="1266"/>
      <c r="RWM27" s="1266"/>
      <c r="RWN27" s="1266"/>
      <c r="RWO27" s="1266"/>
      <c r="RWP27" s="1266"/>
      <c r="RWQ27" s="1266"/>
      <c r="RWR27" s="1266"/>
      <c r="RWS27" s="1266"/>
      <c r="RWT27" s="1266"/>
      <c r="RWU27" s="1266"/>
      <c r="RWV27" s="1266"/>
      <c r="RWW27" s="1266"/>
      <c r="RWX27" s="1266"/>
      <c r="RWY27" s="1266"/>
      <c r="RWZ27" s="1266"/>
      <c r="RXA27" s="1266"/>
      <c r="RXB27" s="1266"/>
      <c r="RXC27" s="1266"/>
      <c r="RXD27" s="1266"/>
      <c r="RXE27" s="1266"/>
      <c r="RXF27" s="1266"/>
      <c r="RXG27" s="1266"/>
      <c r="RXH27" s="1266"/>
      <c r="RXI27" s="1266"/>
      <c r="RXJ27" s="1266"/>
      <c r="RXK27" s="1266"/>
      <c r="RXL27" s="1266"/>
      <c r="RXM27" s="1266"/>
      <c r="RXN27" s="1266"/>
      <c r="RXO27" s="1266"/>
      <c r="RXP27" s="1266"/>
      <c r="RXQ27" s="1266"/>
      <c r="RXR27" s="1266"/>
      <c r="RXS27" s="1266"/>
      <c r="RXT27" s="1266"/>
      <c r="RXU27" s="1266"/>
      <c r="RXV27" s="1266"/>
      <c r="RXW27" s="1266"/>
      <c r="RXX27" s="1266"/>
      <c r="RXY27" s="1266"/>
      <c r="RXZ27" s="1266"/>
      <c r="RYA27" s="1266"/>
      <c r="RYB27" s="1266"/>
      <c r="RYC27" s="1266"/>
      <c r="RYD27" s="1266"/>
      <c r="RYE27" s="1266"/>
      <c r="RYF27" s="1266"/>
      <c r="RYG27" s="1266"/>
      <c r="RYH27" s="1266"/>
      <c r="RYI27" s="1266"/>
      <c r="RYJ27" s="1266"/>
      <c r="RYK27" s="1266"/>
      <c r="RYL27" s="1266"/>
      <c r="RYM27" s="1266"/>
      <c r="RYN27" s="1266"/>
      <c r="RYO27" s="1266"/>
      <c r="RYP27" s="1266"/>
      <c r="RYQ27" s="1266"/>
      <c r="RYR27" s="1266"/>
      <c r="RYS27" s="1266"/>
      <c r="RYT27" s="1266"/>
      <c r="RYU27" s="1266"/>
      <c r="RYV27" s="1266"/>
      <c r="RYW27" s="1266"/>
      <c r="RYX27" s="1266"/>
      <c r="RYY27" s="1266"/>
      <c r="RYZ27" s="1266"/>
      <c r="RZA27" s="1266"/>
      <c r="RZB27" s="1266"/>
      <c r="RZC27" s="1266"/>
      <c r="RZD27" s="1266"/>
      <c r="RZE27" s="1266"/>
      <c r="RZF27" s="1266"/>
      <c r="RZG27" s="1266"/>
      <c r="RZH27" s="1266"/>
      <c r="RZI27" s="1266"/>
      <c r="RZJ27" s="1266"/>
      <c r="RZK27" s="1266"/>
      <c r="RZL27" s="1266"/>
      <c r="RZM27" s="1266"/>
      <c r="RZN27" s="1266"/>
      <c r="RZO27" s="1266"/>
      <c r="RZP27" s="1266"/>
      <c r="RZQ27" s="1266"/>
      <c r="RZR27" s="1266"/>
      <c r="RZS27" s="1266"/>
      <c r="RZT27" s="1266"/>
      <c r="RZU27" s="1266"/>
      <c r="RZV27" s="1266"/>
      <c r="RZW27" s="1266"/>
      <c r="RZX27" s="1266"/>
      <c r="RZY27" s="1266"/>
      <c r="RZZ27" s="1266"/>
      <c r="SAA27" s="1266"/>
      <c r="SAB27" s="1266"/>
      <c r="SAC27" s="1266"/>
      <c r="SAD27" s="1266"/>
      <c r="SAE27" s="1266"/>
      <c r="SAF27" s="1266"/>
      <c r="SAG27" s="1266"/>
      <c r="SAH27" s="1266"/>
      <c r="SAI27" s="1266"/>
      <c r="SAJ27" s="1266"/>
      <c r="SAK27" s="1266"/>
      <c r="SAL27" s="1266"/>
      <c r="SAM27" s="1266"/>
      <c r="SAN27" s="1266"/>
      <c r="SAO27" s="1266"/>
      <c r="SAP27" s="1266"/>
      <c r="SAQ27" s="1266"/>
      <c r="SAR27" s="1266"/>
      <c r="SAS27" s="1266"/>
      <c r="SAT27" s="1266"/>
      <c r="SAU27" s="1266"/>
      <c r="SAV27" s="1266"/>
      <c r="SAW27" s="1266"/>
      <c r="SAX27" s="1266"/>
      <c r="SAY27" s="1266"/>
      <c r="SAZ27" s="1266"/>
      <c r="SBA27" s="1266"/>
      <c r="SBB27" s="1266"/>
      <c r="SBC27" s="1266"/>
      <c r="SBD27" s="1266"/>
      <c r="SBE27" s="1266"/>
      <c r="SBF27" s="1266"/>
      <c r="SBG27" s="1266"/>
      <c r="SBH27" s="1266"/>
      <c r="SBI27" s="1266"/>
      <c r="SBJ27" s="1266"/>
      <c r="SBK27" s="1266"/>
      <c r="SBL27" s="1266"/>
      <c r="SBM27" s="1266"/>
      <c r="SBN27" s="1266"/>
      <c r="SBO27" s="1266"/>
      <c r="SBP27" s="1266"/>
      <c r="SBQ27" s="1266"/>
      <c r="SBR27" s="1266"/>
      <c r="SBS27" s="1266"/>
      <c r="SBT27" s="1266"/>
      <c r="SBU27" s="1266"/>
      <c r="SBV27" s="1266"/>
      <c r="SBW27" s="1266"/>
      <c r="SBX27" s="1266"/>
      <c r="SBY27" s="1266"/>
      <c r="SBZ27" s="1266"/>
      <c r="SCA27" s="1266"/>
      <c r="SCB27" s="1266"/>
      <c r="SCC27" s="1266"/>
      <c r="SCD27" s="1266"/>
      <c r="SCE27" s="1266"/>
      <c r="SCF27" s="1266"/>
      <c r="SCG27" s="1266"/>
      <c r="SCH27" s="1266"/>
      <c r="SCI27" s="1266"/>
      <c r="SCJ27" s="1266"/>
      <c r="SCK27" s="1266"/>
      <c r="SCL27" s="1266"/>
      <c r="SCM27" s="1266"/>
      <c r="SCN27" s="1266"/>
      <c r="SCO27" s="1266"/>
      <c r="SCP27" s="1266"/>
      <c r="SCQ27" s="1266"/>
      <c r="SCR27" s="1266"/>
      <c r="SCS27" s="1266"/>
      <c r="SCT27" s="1266"/>
      <c r="SCU27" s="1266"/>
      <c r="SCV27" s="1266"/>
      <c r="SCW27" s="1266"/>
      <c r="SCX27" s="1266"/>
      <c r="SCY27" s="1266"/>
      <c r="SCZ27" s="1266"/>
      <c r="SDA27" s="1266"/>
      <c r="SDB27" s="1266"/>
      <c r="SDC27" s="1266"/>
      <c r="SDD27" s="1266"/>
      <c r="SDE27" s="1266"/>
      <c r="SDF27" s="1266"/>
      <c r="SDG27" s="1266"/>
      <c r="SDH27" s="1266"/>
      <c r="SDI27" s="1266"/>
      <c r="SDJ27" s="1266"/>
      <c r="SDK27" s="1266"/>
      <c r="SDL27" s="1266"/>
      <c r="SDM27" s="1266"/>
      <c r="SDN27" s="1266"/>
      <c r="SDO27" s="1266"/>
      <c r="SDP27" s="1266"/>
      <c r="SDQ27" s="1266"/>
      <c r="SDR27" s="1266"/>
      <c r="SDS27" s="1266"/>
      <c r="SDT27" s="1266"/>
      <c r="SDU27" s="1266"/>
      <c r="SDV27" s="1266"/>
      <c r="SDW27" s="1266"/>
      <c r="SDX27" s="1266"/>
      <c r="SDY27" s="1266"/>
      <c r="SDZ27" s="1266"/>
      <c r="SEA27" s="1266"/>
      <c r="SEB27" s="1266"/>
      <c r="SEC27" s="1266"/>
      <c r="SED27" s="1266"/>
      <c r="SEE27" s="1266"/>
      <c r="SEF27" s="1266"/>
      <c r="SEG27" s="1266"/>
      <c r="SEH27" s="1266"/>
      <c r="SEI27" s="1266"/>
      <c r="SEJ27" s="1266"/>
      <c r="SEK27" s="1266"/>
      <c r="SEL27" s="1266"/>
      <c r="SEM27" s="1266"/>
      <c r="SEN27" s="1266"/>
      <c r="SEO27" s="1266"/>
      <c r="SEP27" s="1266"/>
      <c r="SEQ27" s="1266"/>
      <c r="SER27" s="1266"/>
      <c r="SES27" s="1266"/>
      <c r="SET27" s="1266"/>
      <c r="SEU27" s="1266"/>
      <c r="SEV27" s="1266"/>
      <c r="SEW27" s="1266"/>
      <c r="SEX27" s="1266"/>
      <c r="SEY27" s="1266"/>
      <c r="SEZ27" s="1266"/>
      <c r="SFA27" s="1266"/>
      <c r="SFB27" s="1266"/>
      <c r="SFC27" s="1266"/>
      <c r="SFD27" s="1266"/>
      <c r="SFE27" s="1266"/>
      <c r="SFF27" s="1266"/>
      <c r="SFG27" s="1266"/>
      <c r="SFH27" s="1266"/>
      <c r="SFI27" s="1266"/>
      <c r="SFJ27" s="1266"/>
      <c r="SFK27" s="1266"/>
      <c r="SFL27" s="1266"/>
      <c r="SFM27" s="1266"/>
      <c r="SFN27" s="1266"/>
      <c r="SFO27" s="1266"/>
      <c r="SFP27" s="1266"/>
      <c r="SFQ27" s="1266"/>
      <c r="SFR27" s="1266"/>
      <c r="SFS27" s="1266"/>
      <c r="SFT27" s="1266"/>
      <c r="SFU27" s="1266"/>
      <c r="SFV27" s="1266"/>
      <c r="SFW27" s="1266"/>
      <c r="SFX27" s="1266"/>
      <c r="SFY27" s="1266"/>
      <c r="SFZ27" s="1266"/>
      <c r="SGA27" s="1266"/>
      <c r="SGB27" s="1266"/>
      <c r="SGC27" s="1266"/>
      <c r="SGD27" s="1266"/>
      <c r="SGE27" s="1266"/>
      <c r="SGF27" s="1266"/>
      <c r="SGG27" s="1266"/>
      <c r="SGH27" s="1266"/>
      <c r="SGI27" s="1266"/>
      <c r="SGJ27" s="1266"/>
      <c r="SGK27" s="1266"/>
      <c r="SGL27" s="1266"/>
      <c r="SGM27" s="1266"/>
      <c r="SGN27" s="1266"/>
      <c r="SGO27" s="1266"/>
      <c r="SGP27" s="1266"/>
      <c r="SGQ27" s="1266"/>
      <c r="SGR27" s="1266"/>
      <c r="SGS27" s="1266"/>
      <c r="SGT27" s="1266"/>
      <c r="SGU27" s="1266"/>
      <c r="SGV27" s="1266"/>
      <c r="SGW27" s="1266"/>
      <c r="SGX27" s="1266"/>
      <c r="SGY27" s="1266"/>
      <c r="SGZ27" s="1266"/>
      <c r="SHA27" s="1266"/>
      <c r="SHB27" s="1266"/>
      <c r="SHC27" s="1266"/>
      <c r="SHD27" s="1266"/>
      <c r="SHE27" s="1266"/>
      <c r="SHF27" s="1266"/>
      <c r="SHG27" s="1266"/>
      <c r="SHH27" s="1266"/>
      <c r="SHI27" s="1266"/>
      <c r="SHJ27" s="1266"/>
      <c r="SHK27" s="1266"/>
      <c r="SHL27" s="1266"/>
      <c r="SHM27" s="1266"/>
      <c r="SHN27" s="1266"/>
      <c r="SHO27" s="1266"/>
      <c r="SHP27" s="1266"/>
      <c r="SHQ27" s="1266"/>
      <c r="SHR27" s="1266"/>
      <c r="SHS27" s="1266"/>
      <c r="SHT27" s="1266"/>
      <c r="SHU27" s="1266"/>
      <c r="SHV27" s="1266"/>
      <c r="SHW27" s="1266"/>
      <c r="SHX27" s="1266"/>
      <c r="SHY27" s="1266"/>
      <c r="SHZ27" s="1266"/>
      <c r="SIA27" s="1266"/>
      <c r="SIB27" s="1266"/>
      <c r="SIC27" s="1266"/>
      <c r="SID27" s="1266"/>
      <c r="SIE27" s="1266"/>
      <c r="SIF27" s="1266"/>
      <c r="SIG27" s="1266"/>
      <c r="SIH27" s="1266"/>
      <c r="SII27" s="1266"/>
      <c r="SIJ27" s="1266"/>
      <c r="SIK27" s="1266"/>
      <c r="SIL27" s="1266"/>
      <c r="SIM27" s="1266"/>
      <c r="SIN27" s="1266"/>
      <c r="SIO27" s="1266"/>
      <c r="SIP27" s="1266"/>
      <c r="SIQ27" s="1266"/>
      <c r="SIR27" s="1266"/>
      <c r="SIS27" s="1266"/>
      <c r="SIT27" s="1266"/>
      <c r="SIU27" s="1266"/>
      <c r="SIV27" s="1266"/>
      <c r="SIW27" s="1266"/>
      <c r="SIX27" s="1266"/>
      <c r="SIY27" s="1266"/>
      <c r="SIZ27" s="1266"/>
      <c r="SJA27" s="1266"/>
      <c r="SJB27" s="1266"/>
      <c r="SJC27" s="1266"/>
      <c r="SJD27" s="1266"/>
      <c r="SJE27" s="1266"/>
      <c r="SJF27" s="1266"/>
      <c r="SJG27" s="1266"/>
      <c r="SJH27" s="1266"/>
      <c r="SJI27" s="1266"/>
      <c r="SJJ27" s="1266"/>
      <c r="SJK27" s="1266"/>
      <c r="SJL27" s="1266"/>
      <c r="SJM27" s="1266"/>
      <c r="SJN27" s="1266"/>
      <c r="SJO27" s="1266"/>
      <c r="SJP27" s="1266"/>
      <c r="SJQ27" s="1266"/>
      <c r="SJR27" s="1266"/>
      <c r="SJS27" s="1266"/>
      <c r="SJT27" s="1266"/>
      <c r="SJU27" s="1266"/>
      <c r="SJV27" s="1266"/>
      <c r="SJW27" s="1266"/>
      <c r="SJX27" s="1266"/>
      <c r="SJY27" s="1266"/>
      <c r="SJZ27" s="1266"/>
      <c r="SKA27" s="1266"/>
      <c r="SKB27" s="1266"/>
      <c r="SKC27" s="1266"/>
      <c r="SKD27" s="1266"/>
      <c r="SKE27" s="1266"/>
      <c r="SKF27" s="1266"/>
      <c r="SKG27" s="1266"/>
      <c r="SKH27" s="1266"/>
      <c r="SKI27" s="1266"/>
      <c r="SKJ27" s="1266"/>
      <c r="SKK27" s="1266"/>
      <c r="SKL27" s="1266"/>
      <c r="SKM27" s="1266"/>
      <c r="SKN27" s="1266"/>
      <c r="SKO27" s="1266"/>
      <c r="SKP27" s="1266"/>
      <c r="SKQ27" s="1266"/>
      <c r="SKR27" s="1266"/>
      <c r="SKS27" s="1266"/>
      <c r="SKT27" s="1266"/>
      <c r="SKU27" s="1266"/>
      <c r="SKV27" s="1266"/>
      <c r="SKW27" s="1266"/>
      <c r="SKX27" s="1266"/>
      <c r="SKY27" s="1266"/>
      <c r="SKZ27" s="1266"/>
      <c r="SLA27" s="1266"/>
      <c r="SLB27" s="1266"/>
      <c r="SLC27" s="1266"/>
      <c r="SLD27" s="1266"/>
      <c r="SLE27" s="1266"/>
      <c r="SLF27" s="1266"/>
      <c r="SLG27" s="1266"/>
      <c r="SLH27" s="1266"/>
      <c r="SLI27" s="1266"/>
      <c r="SLJ27" s="1266"/>
      <c r="SLK27" s="1266"/>
      <c r="SLL27" s="1266"/>
      <c r="SLM27" s="1266"/>
      <c r="SLN27" s="1266"/>
      <c r="SLO27" s="1266"/>
      <c r="SLP27" s="1266"/>
      <c r="SLQ27" s="1266"/>
      <c r="SLR27" s="1266"/>
      <c r="SLS27" s="1266"/>
      <c r="SLT27" s="1266"/>
      <c r="SLU27" s="1266"/>
      <c r="SLV27" s="1266"/>
      <c r="SLW27" s="1266"/>
      <c r="SLX27" s="1266"/>
      <c r="SLY27" s="1266"/>
      <c r="SLZ27" s="1266"/>
      <c r="SMA27" s="1266"/>
      <c r="SMB27" s="1266"/>
      <c r="SMC27" s="1266"/>
      <c r="SMD27" s="1266"/>
      <c r="SME27" s="1266"/>
      <c r="SMF27" s="1266"/>
      <c r="SMG27" s="1266"/>
      <c r="SMH27" s="1266"/>
      <c r="SMI27" s="1266"/>
      <c r="SMJ27" s="1266"/>
      <c r="SMK27" s="1266"/>
      <c r="SML27" s="1266"/>
      <c r="SMM27" s="1266"/>
      <c r="SMN27" s="1266"/>
      <c r="SMO27" s="1266"/>
      <c r="SMP27" s="1266"/>
      <c r="SMQ27" s="1266"/>
      <c r="SMR27" s="1266"/>
      <c r="SMS27" s="1266"/>
      <c r="SMT27" s="1266"/>
      <c r="SMU27" s="1266"/>
      <c r="SMV27" s="1266"/>
      <c r="SMW27" s="1266"/>
      <c r="SMX27" s="1266"/>
      <c r="SMY27" s="1266"/>
      <c r="SMZ27" s="1266"/>
      <c r="SNA27" s="1266"/>
      <c r="SNB27" s="1266"/>
      <c r="SNC27" s="1266"/>
      <c r="SND27" s="1266"/>
      <c r="SNE27" s="1266"/>
      <c r="SNF27" s="1266"/>
      <c r="SNG27" s="1266"/>
      <c r="SNH27" s="1266"/>
      <c r="SNI27" s="1266"/>
      <c r="SNJ27" s="1266"/>
      <c r="SNK27" s="1266"/>
      <c r="SNL27" s="1266"/>
      <c r="SNM27" s="1266"/>
      <c r="SNN27" s="1266"/>
      <c r="SNO27" s="1266"/>
      <c r="SNP27" s="1266"/>
      <c r="SNQ27" s="1266"/>
      <c r="SNR27" s="1266"/>
      <c r="SNS27" s="1266"/>
      <c r="SNT27" s="1266"/>
      <c r="SNU27" s="1266"/>
      <c r="SNV27" s="1266"/>
      <c r="SNW27" s="1266"/>
      <c r="SNX27" s="1266"/>
      <c r="SNY27" s="1266"/>
      <c r="SNZ27" s="1266"/>
      <c r="SOA27" s="1266"/>
      <c r="SOB27" s="1266"/>
      <c r="SOC27" s="1266"/>
      <c r="SOD27" s="1266"/>
      <c r="SOE27" s="1266"/>
      <c r="SOF27" s="1266"/>
      <c r="SOG27" s="1266"/>
      <c r="SOH27" s="1266"/>
      <c r="SOI27" s="1266"/>
      <c r="SOJ27" s="1266"/>
      <c r="SOK27" s="1266"/>
      <c r="SOL27" s="1266"/>
      <c r="SOM27" s="1266"/>
      <c r="SON27" s="1266"/>
      <c r="SOO27" s="1266"/>
      <c r="SOP27" s="1266"/>
      <c r="SOQ27" s="1266"/>
      <c r="SOR27" s="1266"/>
      <c r="SOS27" s="1266"/>
      <c r="SOT27" s="1266"/>
      <c r="SOU27" s="1266"/>
      <c r="SOV27" s="1266"/>
      <c r="SOW27" s="1266"/>
      <c r="SOX27" s="1266"/>
      <c r="SOY27" s="1266"/>
      <c r="SOZ27" s="1266"/>
      <c r="SPA27" s="1266"/>
      <c r="SPB27" s="1266"/>
      <c r="SPC27" s="1266"/>
      <c r="SPD27" s="1266"/>
      <c r="SPE27" s="1266"/>
      <c r="SPF27" s="1266"/>
      <c r="SPG27" s="1266"/>
      <c r="SPH27" s="1266"/>
      <c r="SPI27" s="1266"/>
      <c r="SPJ27" s="1266"/>
      <c r="SPK27" s="1266"/>
      <c r="SPL27" s="1266"/>
      <c r="SPM27" s="1266"/>
      <c r="SPN27" s="1266"/>
      <c r="SPO27" s="1266"/>
      <c r="SPP27" s="1266"/>
      <c r="SPQ27" s="1266"/>
      <c r="SPR27" s="1266"/>
      <c r="SPS27" s="1266"/>
      <c r="SPT27" s="1266"/>
      <c r="SPU27" s="1266"/>
      <c r="SPV27" s="1266"/>
      <c r="SPW27" s="1266"/>
      <c r="SPX27" s="1266"/>
      <c r="SPY27" s="1266"/>
      <c r="SPZ27" s="1266"/>
      <c r="SQA27" s="1266"/>
      <c r="SQB27" s="1266"/>
      <c r="SQC27" s="1266"/>
      <c r="SQD27" s="1266"/>
      <c r="SQE27" s="1266"/>
      <c r="SQF27" s="1266"/>
      <c r="SQG27" s="1266"/>
      <c r="SQH27" s="1266"/>
      <c r="SQI27" s="1266"/>
      <c r="SQJ27" s="1266"/>
      <c r="SQK27" s="1266"/>
      <c r="SQL27" s="1266"/>
      <c r="SQM27" s="1266"/>
      <c r="SQN27" s="1266"/>
      <c r="SQO27" s="1266"/>
      <c r="SQP27" s="1266"/>
      <c r="SQQ27" s="1266"/>
      <c r="SQR27" s="1266"/>
      <c r="SQS27" s="1266"/>
      <c r="SQT27" s="1266"/>
      <c r="SQU27" s="1266"/>
      <c r="SQV27" s="1266"/>
      <c r="SQW27" s="1266"/>
      <c r="SQX27" s="1266"/>
      <c r="SQY27" s="1266"/>
      <c r="SQZ27" s="1266"/>
      <c r="SRA27" s="1266"/>
      <c r="SRB27" s="1266"/>
      <c r="SRC27" s="1266"/>
      <c r="SRD27" s="1266"/>
      <c r="SRE27" s="1266"/>
      <c r="SRF27" s="1266"/>
      <c r="SRG27" s="1266"/>
      <c r="SRH27" s="1266"/>
      <c r="SRI27" s="1266"/>
      <c r="SRJ27" s="1266"/>
      <c r="SRK27" s="1266"/>
      <c r="SRL27" s="1266"/>
      <c r="SRM27" s="1266"/>
      <c r="SRN27" s="1266"/>
      <c r="SRO27" s="1266"/>
      <c r="SRP27" s="1266"/>
      <c r="SRQ27" s="1266"/>
      <c r="SRR27" s="1266"/>
      <c r="SRS27" s="1266"/>
      <c r="SRT27" s="1266"/>
      <c r="SRU27" s="1266"/>
      <c r="SRV27" s="1266"/>
      <c r="SRW27" s="1266"/>
      <c r="SRX27" s="1266"/>
      <c r="SRY27" s="1266"/>
      <c r="SRZ27" s="1266"/>
      <c r="SSA27" s="1266"/>
      <c r="SSB27" s="1266"/>
      <c r="SSC27" s="1266"/>
      <c r="SSD27" s="1266"/>
      <c r="SSE27" s="1266"/>
      <c r="SSF27" s="1266"/>
      <c r="SSG27" s="1266"/>
      <c r="SSH27" s="1266"/>
      <c r="SSI27" s="1266"/>
      <c r="SSJ27" s="1266"/>
      <c r="SSK27" s="1266"/>
      <c r="SSL27" s="1266"/>
      <c r="SSM27" s="1266"/>
      <c r="SSN27" s="1266"/>
      <c r="SSO27" s="1266"/>
      <c r="SSP27" s="1266"/>
      <c r="SSQ27" s="1266"/>
      <c r="SSR27" s="1266"/>
      <c r="SSS27" s="1266"/>
      <c r="SST27" s="1266"/>
      <c r="SSU27" s="1266"/>
      <c r="SSV27" s="1266"/>
      <c r="SSW27" s="1266"/>
      <c r="SSX27" s="1266"/>
      <c r="SSY27" s="1266"/>
      <c r="SSZ27" s="1266"/>
      <c r="STA27" s="1266"/>
      <c r="STB27" s="1266"/>
      <c r="STC27" s="1266"/>
      <c r="STD27" s="1266"/>
      <c r="STE27" s="1266"/>
      <c r="STF27" s="1266"/>
      <c r="STG27" s="1266"/>
      <c r="STH27" s="1266"/>
      <c r="STI27" s="1266"/>
      <c r="STJ27" s="1266"/>
      <c r="STK27" s="1266"/>
      <c r="STL27" s="1266"/>
      <c r="STM27" s="1266"/>
      <c r="STN27" s="1266"/>
      <c r="STO27" s="1266"/>
      <c r="STP27" s="1266"/>
      <c r="STQ27" s="1266"/>
      <c r="STR27" s="1266"/>
      <c r="STS27" s="1266"/>
      <c r="STT27" s="1266"/>
      <c r="STU27" s="1266"/>
      <c r="STV27" s="1266"/>
      <c r="STW27" s="1266"/>
      <c r="STX27" s="1266"/>
      <c r="STY27" s="1266"/>
      <c r="STZ27" s="1266"/>
      <c r="SUA27" s="1266"/>
      <c r="SUB27" s="1266"/>
      <c r="SUC27" s="1266"/>
      <c r="SUD27" s="1266"/>
      <c r="SUE27" s="1266"/>
      <c r="SUF27" s="1266"/>
      <c r="SUG27" s="1266"/>
      <c r="SUH27" s="1266"/>
      <c r="SUI27" s="1266"/>
      <c r="SUJ27" s="1266"/>
      <c r="SUK27" s="1266"/>
      <c r="SUL27" s="1266"/>
      <c r="SUM27" s="1266"/>
      <c r="SUN27" s="1266"/>
      <c r="SUO27" s="1266"/>
      <c r="SUP27" s="1266"/>
      <c r="SUQ27" s="1266"/>
      <c r="SUR27" s="1266"/>
      <c r="SUS27" s="1266"/>
      <c r="SUT27" s="1266"/>
      <c r="SUU27" s="1266"/>
      <c r="SUV27" s="1266"/>
      <c r="SUW27" s="1266"/>
      <c r="SUX27" s="1266"/>
      <c r="SUY27" s="1266"/>
      <c r="SUZ27" s="1266"/>
      <c r="SVA27" s="1266"/>
      <c r="SVB27" s="1266"/>
      <c r="SVC27" s="1266"/>
      <c r="SVD27" s="1266"/>
      <c r="SVE27" s="1266"/>
      <c r="SVF27" s="1266"/>
      <c r="SVG27" s="1266"/>
      <c r="SVH27" s="1266"/>
      <c r="SVI27" s="1266"/>
      <c r="SVJ27" s="1266"/>
      <c r="SVK27" s="1266"/>
      <c r="SVL27" s="1266"/>
      <c r="SVM27" s="1266"/>
      <c r="SVN27" s="1266"/>
      <c r="SVO27" s="1266"/>
      <c r="SVP27" s="1266"/>
      <c r="SVQ27" s="1266"/>
      <c r="SVR27" s="1266"/>
      <c r="SVS27" s="1266"/>
      <c r="SVT27" s="1266"/>
      <c r="SVU27" s="1266"/>
      <c r="SVV27" s="1266"/>
      <c r="SVW27" s="1266"/>
      <c r="SVX27" s="1266"/>
      <c r="SVY27" s="1266"/>
      <c r="SVZ27" s="1266"/>
      <c r="SWA27" s="1266"/>
      <c r="SWB27" s="1266"/>
      <c r="SWC27" s="1266"/>
      <c r="SWD27" s="1266"/>
      <c r="SWE27" s="1266"/>
      <c r="SWF27" s="1266"/>
      <c r="SWG27" s="1266"/>
      <c r="SWH27" s="1266"/>
      <c r="SWI27" s="1266"/>
      <c r="SWJ27" s="1266"/>
      <c r="SWK27" s="1266"/>
      <c r="SWL27" s="1266"/>
      <c r="SWM27" s="1266"/>
      <c r="SWN27" s="1266"/>
      <c r="SWO27" s="1266"/>
      <c r="SWP27" s="1266"/>
      <c r="SWQ27" s="1266"/>
      <c r="SWR27" s="1266"/>
      <c r="SWS27" s="1266"/>
      <c r="SWT27" s="1266"/>
      <c r="SWU27" s="1266"/>
      <c r="SWV27" s="1266"/>
      <c r="SWW27" s="1266"/>
      <c r="SWX27" s="1266"/>
      <c r="SWY27" s="1266"/>
      <c r="SWZ27" s="1266"/>
      <c r="SXA27" s="1266"/>
      <c r="SXB27" s="1266"/>
      <c r="SXC27" s="1266"/>
      <c r="SXD27" s="1266"/>
      <c r="SXE27" s="1266"/>
      <c r="SXF27" s="1266"/>
      <c r="SXG27" s="1266"/>
      <c r="SXH27" s="1266"/>
      <c r="SXI27" s="1266"/>
      <c r="SXJ27" s="1266"/>
      <c r="SXK27" s="1266"/>
      <c r="SXL27" s="1266"/>
      <c r="SXM27" s="1266"/>
      <c r="SXN27" s="1266"/>
      <c r="SXO27" s="1266"/>
      <c r="SXP27" s="1266"/>
      <c r="SXQ27" s="1266"/>
      <c r="SXR27" s="1266"/>
      <c r="SXS27" s="1266"/>
      <c r="SXT27" s="1266"/>
      <c r="SXU27" s="1266"/>
      <c r="SXV27" s="1266"/>
      <c r="SXW27" s="1266"/>
      <c r="SXX27" s="1266"/>
      <c r="SXY27" s="1266"/>
      <c r="SXZ27" s="1266"/>
      <c r="SYA27" s="1266"/>
      <c r="SYB27" s="1266"/>
      <c r="SYC27" s="1266"/>
      <c r="SYD27" s="1266"/>
      <c r="SYE27" s="1266"/>
      <c r="SYF27" s="1266"/>
      <c r="SYG27" s="1266"/>
      <c r="SYH27" s="1266"/>
      <c r="SYI27" s="1266"/>
      <c r="SYJ27" s="1266"/>
      <c r="SYK27" s="1266"/>
      <c r="SYL27" s="1266"/>
      <c r="SYM27" s="1266"/>
      <c r="SYN27" s="1266"/>
      <c r="SYO27" s="1266"/>
      <c r="SYP27" s="1266"/>
      <c r="SYQ27" s="1266"/>
      <c r="SYR27" s="1266"/>
      <c r="SYS27" s="1266"/>
      <c r="SYT27" s="1266"/>
      <c r="SYU27" s="1266"/>
      <c r="SYV27" s="1266"/>
      <c r="SYW27" s="1266"/>
      <c r="SYX27" s="1266"/>
      <c r="SYY27" s="1266"/>
      <c r="SYZ27" s="1266"/>
      <c r="SZA27" s="1266"/>
      <c r="SZB27" s="1266"/>
      <c r="SZC27" s="1266"/>
      <c r="SZD27" s="1266"/>
      <c r="SZE27" s="1266"/>
      <c r="SZF27" s="1266"/>
      <c r="SZG27" s="1266"/>
      <c r="SZH27" s="1266"/>
      <c r="SZI27" s="1266"/>
      <c r="SZJ27" s="1266"/>
      <c r="SZK27" s="1266"/>
      <c r="SZL27" s="1266"/>
      <c r="SZM27" s="1266"/>
      <c r="SZN27" s="1266"/>
      <c r="SZO27" s="1266"/>
      <c r="SZP27" s="1266"/>
      <c r="SZQ27" s="1266"/>
      <c r="SZR27" s="1266"/>
      <c r="SZS27" s="1266"/>
      <c r="SZT27" s="1266"/>
      <c r="SZU27" s="1266"/>
      <c r="SZV27" s="1266"/>
      <c r="SZW27" s="1266"/>
      <c r="SZX27" s="1266"/>
      <c r="SZY27" s="1266"/>
      <c r="SZZ27" s="1266"/>
      <c r="TAA27" s="1266"/>
      <c r="TAB27" s="1266"/>
      <c r="TAC27" s="1266"/>
      <c r="TAD27" s="1266"/>
      <c r="TAE27" s="1266"/>
      <c r="TAF27" s="1266"/>
      <c r="TAG27" s="1266"/>
      <c r="TAH27" s="1266"/>
      <c r="TAI27" s="1266"/>
      <c r="TAJ27" s="1266"/>
      <c r="TAK27" s="1266"/>
      <c r="TAL27" s="1266"/>
      <c r="TAM27" s="1266"/>
      <c r="TAN27" s="1266"/>
      <c r="TAO27" s="1266"/>
      <c r="TAP27" s="1266"/>
      <c r="TAQ27" s="1266"/>
      <c r="TAR27" s="1266"/>
      <c r="TAS27" s="1266"/>
      <c r="TAT27" s="1266"/>
      <c r="TAU27" s="1266"/>
      <c r="TAV27" s="1266"/>
      <c r="TAW27" s="1266"/>
      <c r="TAX27" s="1266"/>
      <c r="TAY27" s="1266"/>
      <c r="TAZ27" s="1266"/>
      <c r="TBA27" s="1266"/>
      <c r="TBB27" s="1266"/>
      <c r="TBC27" s="1266"/>
      <c r="TBD27" s="1266"/>
      <c r="TBE27" s="1266"/>
      <c r="TBF27" s="1266"/>
      <c r="TBG27" s="1266"/>
      <c r="TBH27" s="1266"/>
      <c r="TBI27" s="1266"/>
      <c r="TBJ27" s="1266"/>
      <c r="TBK27" s="1266"/>
      <c r="TBL27" s="1266"/>
      <c r="TBM27" s="1266"/>
      <c r="TBN27" s="1266"/>
      <c r="TBO27" s="1266"/>
      <c r="TBP27" s="1266"/>
      <c r="TBQ27" s="1266"/>
      <c r="TBR27" s="1266"/>
      <c r="TBS27" s="1266"/>
      <c r="TBT27" s="1266"/>
      <c r="TBU27" s="1266"/>
      <c r="TBV27" s="1266"/>
      <c r="TBW27" s="1266"/>
      <c r="TBX27" s="1266"/>
      <c r="TBY27" s="1266"/>
      <c r="TBZ27" s="1266"/>
      <c r="TCA27" s="1266"/>
      <c r="TCB27" s="1266"/>
      <c r="TCC27" s="1266"/>
      <c r="TCD27" s="1266"/>
      <c r="TCE27" s="1266"/>
      <c r="TCF27" s="1266"/>
      <c r="TCG27" s="1266"/>
      <c r="TCH27" s="1266"/>
      <c r="TCI27" s="1266"/>
      <c r="TCJ27" s="1266"/>
      <c r="TCK27" s="1266"/>
      <c r="TCL27" s="1266"/>
      <c r="TCM27" s="1266"/>
      <c r="TCN27" s="1266"/>
      <c r="TCO27" s="1266"/>
      <c r="TCP27" s="1266"/>
      <c r="TCQ27" s="1266"/>
      <c r="TCR27" s="1266"/>
      <c r="TCS27" s="1266"/>
      <c r="TCT27" s="1266"/>
      <c r="TCU27" s="1266"/>
      <c r="TCV27" s="1266"/>
      <c r="TCW27" s="1266"/>
      <c r="TCX27" s="1266"/>
      <c r="TCY27" s="1266"/>
      <c r="TCZ27" s="1266"/>
      <c r="TDA27" s="1266"/>
      <c r="TDB27" s="1266"/>
      <c r="TDC27" s="1266"/>
      <c r="TDD27" s="1266"/>
      <c r="TDE27" s="1266"/>
      <c r="TDF27" s="1266"/>
      <c r="TDG27" s="1266"/>
      <c r="TDH27" s="1266"/>
      <c r="TDI27" s="1266"/>
      <c r="TDJ27" s="1266"/>
      <c r="TDK27" s="1266"/>
      <c r="TDL27" s="1266"/>
      <c r="TDM27" s="1266"/>
      <c r="TDN27" s="1266"/>
      <c r="TDO27" s="1266"/>
      <c r="TDP27" s="1266"/>
      <c r="TDQ27" s="1266"/>
      <c r="TDR27" s="1266"/>
      <c r="TDS27" s="1266"/>
      <c r="TDT27" s="1266"/>
      <c r="TDU27" s="1266"/>
      <c r="TDV27" s="1266"/>
      <c r="TDW27" s="1266"/>
      <c r="TDX27" s="1266"/>
      <c r="TDY27" s="1266"/>
      <c r="TDZ27" s="1266"/>
      <c r="TEA27" s="1266"/>
      <c r="TEB27" s="1266"/>
      <c r="TEC27" s="1266"/>
      <c r="TED27" s="1266"/>
      <c r="TEE27" s="1266"/>
      <c r="TEF27" s="1266"/>
      <c r="TEG27" s="1266"/>
      <c r="TEH27" s="1266"/>
      <c r="TEI27" s="1266"/>
      <c r="TEJ27" s="1266"/>
      <c r="TEK27" s="1266"/>
      <c r="TEL27" s="1266"/>
      <c r="TEM27" s="1266"/>
      <c r="TEN27" s="1266"/>
      <c r="TEO27" s="1266"/>
      <c r="TEP27" s="1266"/>
      <c r="TEQ27" s="1266"/>
      <c r="TER27" s="1266"/>
      <c r="TES27" s="1266"/>
      <c r="TET27" s="1266"/>
      <c r="TEU27" s="1266"/>
      <c r="TEV27" s="1266"/>
      <c r="TEW27" s="1266"/>
      <c r="TEX27" s="1266"/>
      <c r="TEY27" s="1266"/>
      <c r="TEZ27" s="1266"/>
      <c r="TFA27" s="1266"/>
      <c r="TFB27" s="1266"/>
      <c r="TFC27" s="1266"/>
      <c r="TFD27" s="1266"/>
      <c r="TFE27" s="1266"/>
      <c r="TFF27" s="1266"/>
      <c r="TFG27" s="1266"/>
      <c r="TFH27" s="1266"/>
      <c r="TFI27" s="1266"/>
      <c r="TFJ27" s="1266"/>
      <c r="TFK27" s="1266"/>
      <c r="TFL27" s="1266"/>
      <c r="TFM27" s="1266"/>
      <c r="TFN27" s="1266"/>
      <c r="TFO27" s="1266"/>
      <c r="TFP27" s="1266"/>
      <c r="TFQ27" s="1266"/>
      <c r="TFR27" s="1266"/>
      <c r="TFS27" s="1266"/>
      <c r="TFT27" s="1266"/>
      <c r="TFU27" s="1266"/>
      <c r="TFV27" s="1266"/>
      <c r="TFW27" s="1266"/>
      <c r="TFX27" s="1266"/>
      <c r="TFY27" s="1266"/>
      <c r="TFZ27" s="1266"/>
      <c r="TGA27" s="1266"/>
      <c r="TGB27" s="1266"/>
      <c r="TGC27" s="1266"/>
      <c r="TGD27" s="1266"/>
      <c r="TGE27" s="1266"/>
      <c r="TGF27" s="1266"/>
      <c r="TGG27" s="1266"/>
      <c r="TGH27" s="1266"/>
      <c r="TGI27" s="1266"/>
      <c r="TGJ27" s="1266"/>
      <c r="TGK27" s="1266"/>
      <c r="TGL27" s="1266"/>
      <c r="TGM27" s="1266"/>
      <c r="TGN27" s="1266"/>
      <c r="TGO27" s="1266"/>
      <c r="TGP27" s="1266"/>
      <c r="TGQ27" s="1266"/>
      <c r="TGR27" s="1266"/>
      <c r="TGS27" s="1266"/>
      <c r="TGT27" s="1266"/>
      <c r="TGU27" s="1266"/>
      <c r="TGV27" s="1266"/>
      <c r="TGW27" s="1266"/>
      <c r="TGX27" s="1266"/>
      <c r="TGY27" s="1266"/>
      <c r="TGZ27" s="1266"/>
      <c r="THA27" s="1266"/>
      <c r="THB27" s="1266"/>
      <c r="THC27" s="1266"/>
      <c r="THD27" s="1266"/>
      <c r="THE27" s="1266"/>
      <c r="THF27" s="1266"/>
      <c r="THG27" s="1266"/>
      <c r="THH27" s="1266"/>
      <c r="THI27" s="1266"/>
      <c r="THJ27" s="1266"/>
      <c r="THK27" s="1266"/>
      <c r="THL27" s="1266"/>
      <c r="THM27" s="1266"/>
      <c r="THN27" s="1266"/>
      <c r="THO27" s="1266"/>
      <c r="THP27" s="1266"/>
      <c r="THQ27" s="1266"/>
      <c r="THR27" s="1266"/>
      <c r="THS27" s="1266"/>
      <c r="THT27" s="1266"/>
      <c r="THU27" s="1266"/>
      <c r="THV27" s="1266"/>
      <c r="THW27" s="1266"/>
      <c r="THX27" s="1266"/>
      <c r="THY27" s="1266"/>
      <c r="THZ27" s="1266"/>
      <c r="TIA27" s="1266"/>
      <c r="TIB27" s="1266"/>
      <c r="TIC27" s="1266"/>
      <c r="TID27" s="1266"/>
      <c r="TIE27" s="1266"/>
      <c r="TIF27" s="1266"/>
      <c r="TIG27" s="1266"/>
      <c r="TIH27" s="1266"/>
      <c r="TII27" s="1266"/>
      <c r="TIJ27" s="1266"/>
      <c r="TIK27" s="1266"/>
      <c r="TIL27" s="1266"/>
      <c r="TIM27" s="1266"/>
      <c r="TIN27" s="1266"/>
      <c r="TIO27" s="1266"/>
      <c r="TIP27" s="1266"/>
      <c r="TIQ27" s="1266"/>
      <c r="TIR27" s="1266"/>
      <c r="TIS27" s="1266"/>
      <c r="TIT27" s="1266"/>
      <c r="TIU27" s="1266"/>
      <c r="TIV27" s="1266"/>
      <c r="TIW27" s="1266"/>
      <c r="TIX27" s="1266"/>
      <c r="TIY27" s="1266"/>
      <c r="TIZ27" s="1266"/>
      <c r="TJA27" s="1266"/>
      <c r="TJB27" s="1266"/>
      <c r="TJC27" s="1266"/>
      <c r="TJD27" s="1266"/>
      <c r="TJE27" s="1266"/>
      <c r="TJF27" s="1266"/>
      <c r="TJG27" s="1266"/>
      <c r="TJH27" s="1266"/>
      <c r="TJI27" s="1266"/>
      <c r="TJJ27" s="1266"/>
      <c r="TJK27" s="1266"/>
      <c r="TJL27" s="1266"/>
      <c r="TJM27" s="1266"/>
      <c r="TJN27" s="1266"/>
      <c r="TJO27" s="1266"/>
      <c r="TJP27" s="1266"/>
      <c r="TJQ27" s="1266"/>
      <c r="TJR27" s="1266"/>
      <c r="TJS27" s="1266"/>
      <c r="TJT27" s="1266"/>
      <c r="TJU27" s="1266"/>
      <c r="TJV27" s="1266"/>
      <c r="TJW27" s="1266"/>
      <c r="TJX27" s="1266"/>
      <c r="TJY27" s="1266"/>
      <c r="TJZ27" s="1266"/>
      <c r="TKA27" s="1266"/>
      <c r="TKB27" s="1266"/>
      <c r="TKC27" s="1266"/>
      <c r="TKD27" s="1266"/>
      <c r="TKE27" s="1266"/>
      <c r="TKF27" s="1266"/>
      <c r="TKG27" s="1266"/>
      <c r="TKH27" s="1266"/>
      <c r="TKI27" s="1266"/>
      <c r="TKJ27" s="1266"/>
      <c r="TKK27" s="1266"/>
      <c r="TKL27" s="1266"/>
      <c r="TKM27" s="1266"/>
      <c r="TKN27" s="1266"/>
      <c r="TKO27" s="1266"/>
      <c r="TKP27" s="1266"/>
      <c r="TKQ27" s="1266"/>
      <c r="TKR27" s="1266"/>
      <c r="TKS27" s="1266"/>
      <c r="TKT27" s="1266"/>
      <c r="TKU27" s="1266"/>
      <c r="TKV27" s="1266"/>
      <c r="TKW27" s="1266"/>
      <c r="TKX27" s="1266"/>
      <c r="TKY27" s="1266"/>
      <c r="TKZ27" s="1266"/>
      <c r="TLA27" s="1266"/>
      <c r="TLB27" s="1266"/>
      <c r="TLC27" s="1266"/>
      <c r="TLD27" s="1266"/>
      <c r="TLE27" s="1266"/>
      <c r="TLF27" s="1266"/>
      <c r="TLG27" s="1266"/>
      <c r="TLH27" s="1266"/>
      <c r="TLI27" s="1266"/>
      <c r="TLJ27" s="1266"/>
      <c r="TLK27" s="1266"/>
      <c r="TLL27" s="1266"/>
      <c r="TLM27" s="1266"/>
      <c r="TLN27" s="1266"/>
      <c r="TLO27" s="1266"/>
      <c r="TLP27" s="1266"/>
      <c r="TLQ27" s="1266"/>
      <c r="TLR27" s="1266"/>
      <c r="TLS27" s="1266"/>
      <c r="TLT27" s="1266"/>
      <c r="TLU27" s="1266"/>
      <c r="TLV27" s="1266"/>
      <c r="TLW27" s="1266"/>
      <c r="TLX27" s="1266"/>
      <c r="TLY27" s="1266"/>
      <c r="TLZ27" s="1266"/>
      <c r="TMA27" s="1266"/>
      <c r="TMB27" s="1266"/>
      <c r="TMC27" s="1266"/>
      <c r="TMD27" s="1266"/>
      <c r="TME27" s="1266"/>
      <c r="TMF27" s="1266"/>
      <c r="TMG27" s="1266"/>
      <c r="TMH27" s="1266"/>
      <c r="TMI27" s="1266"/>
      <c r="TMJ27" s="1266"/>
      <c r="TMK27" s="1266"/>
      <c r="TML27" s="1266"/>
      <c r="TMM27" s="1266"/>
      <c r="TMN27" s="1266"/>
      <c r="TMO27" s="1266"/>
      <c r="TMP27" s="1266"/>
      <c r="TMQ27" s="1266"/>
      <c r="TMR27" s="1266"/>
      <c r="TMS27" s="1266"/>
      <c r="TMT27" s="1266"/>
      <c r="TMU27" s="1266"/>
      <c r="TMV27" s="1266"/>
      <c r="TMW27" s="1266"/>
      <c r="TMX27" s="1266"/>
      <c r="TMY27" s="1266"/>
      <c r="TMZ27" s="1266"/>
      <c r="TNA27" s="1266"/>
      <c r="TNB27" s="1266"/>
      <c r="TNC27" s="1266"/>
      <c r="TND27" s="1266"/>
      <c r="TNE27" s="1266"/>
      <c r="TNF27" s="1266"/>
      <c r="TNG27" s="1266"/>
      <c r="TNH27" s="1266"/>
      <c r="TNI27" s="1266"/>
      <c r="TNJ27" s="1266"/>
      <c r="TNK27" s="1266"/>
      <c r="TNL27" s="1266"/>
      <c r="TNM27" s="1266"/>
      <c r="TNN27" s="1266"/>
      <c r="TNO27" s="1266"/>
      <c r="TNP27" s="1266"/>
      <c r="TNQ27" s="1266"/>
      <c r="TNR27" s="1266"/>
      <c r="TNS27" s="1266"/>
      <c r="TNT27" s="1266"/>
      <c r="TNU27" s="1266"/>
      <c r="TNV27" s="1266"/>
      <c r="TNW27" s="1266"/>
      <c r="TNX27" s="1266"/>
      <c r="TNY27" s="1266"/>
      <c r="TNZ27" s="1266"/>
      <c r="TOA27" s="1266"/>
      <c r="TOB27" s="1266"/>
      <c r="TOC27" s="1266"/>
      <c r="TOD27" s="1266"/>
      <c r="TOE27" s="1266"/>
      <c r="TOF27" s="1266"/>
      <c r="TOG27" s="1266"/>
      <c r="TOH27" s="1266"/>
      <c r="TOI27" s="1266"/>
      <c r="TOJ27" s="1266"/>
      <c r="TOK27" s="1266"/>
      <c r="TOL27" s="1266"/>
      <c r="TOM27" s="1266"/>
      <c r="TON27" s="1266"/>
      <c r="TOO27" s="1266"/>
      <c r="TOP27" s="1266"/>
      <c r="TOQ27" s="1266"/>
      <c r="TOR27" s="1266"/>
      <c r="TOS27" s="1266"/>
      <c r="TOT27" s="1266"/>
      <c r="TOU27" s="1266"/>
      <c r="TOV27" s="1266"/>
      <c r="TOW27" s="1266"/>
      <c r="TOX27" s="1266"/>
      <c r="TOY27" s="1266"/>
      <c r="TOZ27" s="1266"/>
      <c r="TPA27" s="1266"/>
      <c r="TPB27" s="1266"/>
      <c r="TPC27" s="1266"/>
      <c r="TPD27" s="1266"/>
      <c r="TPE27" s="1266"/>
      <c r="TPF27" s="1266"/>
      <c r="TPG27" s="1266"/>
      <c r="TPH27" s="1266"/>
      <c r="TPI27" s="1266"/>
      <c r="TPJ27" s="1266"/>
      <c r="TPK27" s="1266"/>
      <c r="TPL27" s="1266"/>
      <c r="TPM27" s="1266"/>
      <c r="TPN27" s="1266"/>
      <c r="TPO27" s="1266"/>
      <c r="TPP27" s="1266"/>
      <c r="TPQ27" s="1266"/>
      <c r="TPR27" s="1266"/>
      <c r="TPS27" s="1266"/>
      <c r="TPT27" s="1266"/>
      <c r="TPU27" s="1266"/>
      <c r="TPV27" s="1266"/>
      <c r="TPW27" s="1266"/>
      <c r="TPX27" s="1266"/>
      <c r="TPY27" s="1266"/>
      <c r="TPZ27" s="1266"/>
      <c r="TQA27" s="1266"/>
      <c r="TQB27" s="1266"/>
      <c r="TQC27" s="1266"/>
      <c r="TQD27" s="1266"/>
      <c r="TQE27" s="1266"/>
      <c r="TQF27" s="1266"/>
      <c r="TQG27" s="1266"/>
      <c r="TQH27" s="1266"/>
      <c r="TQI27" s="1266"/>
      <c r="TQJ27" s="1266"/>
      <c r="TQK27" s="1266"/>
      <c r="TQL27" s="1266"/>
      <c r="TQM27" s="1266"/>
      <c r="TQN27" s="1266"/>
      <c r="TQO27" s="1266"/>
      <c r="TQP27" s="1266"/>
      <c r="TQQ27" s="1266"/>
      <c r="TQR27" s="1266"/>
      <c r="TQS27" s="1266"/>
      <c r="TQT27" s="1266"/>
      <c r="TQU27" s="1266"/>
      <c r="TQV27" s="1266"/>
      <c r="TQW27" s="1266"/>
      <c r="TQX27" s="1266"/>
      <c r="TQY27" s="1266"/>
      <c r="TQZ27" s="1266"/>
      <c r="TRA27" s="1266"/>
      <c r="TRB27" s="1266"/>
      <c r="TRC27" s="1266"/>
      <c r="TRD27" s="1266"/>
      <c r="TRE27" s="1266"/>
      <c r="TRF27" s="1266"/>
      <c r="TRG27" s="1266"/>
      <c r="TRH27" s="1266"/>
      <c r="TRI27" s="1266"/>
      <c r="TRJ27" s="1266"/>
      <c r="TRK27" s="1266"/>
      <c r="TRL27" s="1266"/>
      <c r="TRM27" s="1266"/>
      <c r="TRN27" s="1266"/>
      <c r="TRO27" s="1266"/>
      <c r="TRP27" s="1266"/>
      <c r="TRQ27" s="1266"/>
      <c r="TRR27" s="1266"/>
      <c r="TRS27" s="1266"/>
      <c r="TRT27" s="1266"/>
      <c r="TRU27" s="1266"/>
      <c r="TRV27" s="1266"/>
      <c r="TRW27" s="1266"/>
      <c r="TRX27" s="1266"/>
      <c r="TRY27" s="1266"/>
      <c r="TRZ27" s="1266"/>
      <c r="TSA27" s="1266"/>
      <c r="TSB27" s="1266"/>
      <c r="TSC27" s="1266"/>
      <c r="TSD27" s="1266"/>
      <c r="TSE27" s="1266"/>
      <c r="TSF27" s="1266"/>
      <c r="TSG27" s="1266"/>
      <c r="TSH27" s="1266"/>
      <c r="TSI27" s="1266"/>
      <c r="TSJ27" s="1266"/>
      <c r="TSK27" s="1266"/>
      <c r="TSL27" s="1266"/>
      <c r="TSM27" s="1266"/>
      <c r="TSN27" s="1266"/>
      <c r="TSO27" s="1266"/>
      <c r="TSP27" s="1266"/>
      <c r="TSQ27" s="1266"/>
      <c r="TSR27" s="1266"/>
      <c r="TSS27" s="1266"/>
      <c r="TST27" s="1266"/>
      <c r="TSU27" s="1266"/>
      <c r="TSV27" s="1266"/>
      <c r="TSW27" s="1266"/>
      <c r="TSX27" s="1266"/>
      <c r="TSY27" s="1266"/>
      <c r="TSZ27" s="1266"/>
      <c r="TTA27" s="1266"/>
      <c r="TTB27" s="1266"/>
      <c r="TTC27" s="1266"/>
      <c r="TTD27" s="1266"/>
      <c r="TTE27" s="1266"/>
      <c r="TTF27" s="1266"/>
      <c r="TTG27" s="1266"/>
      <c r="TTH27" s="1266"/>
      <c r="TTI27" s="1266"/>
      <c r="TTJ27" s="1266"/>
      <c r="TTK27" s="1266"/>
      <c r="TTL27" s="1266"/>
      <c r="TTM27" s="1266"/>
      <c r="TTN27" s="1266"/>
      <c r="TTO27" s="1266"/>
      <c r="TTP27" s="1266"/>
      <c r="TTQ27" s="1266"/>
      <c r="TTR27" s="1266"/>
      <c r="TTS27" s="1266"/>
      <c r="TTT27" s="1266"/>
      <c r="TTU27" s="1266"/>
      <c r="TTV27" s="1266"/>
      <c r="TTW27" s="1266"/>
      <c r="TTX27" s="1266"/>
      <c r="TTY27" s="1266"/>
      <c r="TTZ27" s="1266"/>
      <c r="TUA27" s="1266"/>
      <c r="TUB27" s="1266"/>
      <c r="TUC27" s="1266"/>
      <c r="TUD27" s="1266"/>
      <c r="TUE27" s="1266"/>
      <c r="TUF27" s="1266"/>
      <c r="TUG27" s="1266"/>
      <c r="TUH27" s="1266"/>
      <c r="TUI27" s="1266"/>
      <c r="TUJ27" s="1266"/>
      <c r="TUK27" s="1266"/>
      <c r="TUL27" s="1266"/>
      <c r="TUM27" s="1266"/>
      <c r="TUN27" s="1266"/>
      <c r="TUO27" s="1266"/>
      <c r="TUP27" s="1266"/>
      <c r="TUQ27" s="1266"/>
      <c r="TUR27" s="1266"/>
      <c r="TUS27" s="1266"/>
      <c r="TUT27" s="1266"/>
      <c r="TUU27" s="1266"/>
      <c r="TUV27" s="1266"/>
      <c r="TUW27" s="1266"/>
      <c r="TUX27" s="1266"/>
      <c r="TUY27" s="1266"/>
      <c r="TUZ27" s="1266"/>
      <c r="TVA27" s="1266"/>
      <c r="TVB27" s="1266"/>
      <c r="TVC27" s="1266"/>
      <c r="TVD27" s="1266"/>
      <c r="TVE27" s="1266"/>
      <c r="TVF27" s="1266"/>
      <c r="TVG27" s="1266"/>
      <c r="TVH27" s="1266"/>
      <c r="TVI27" s="1266"/>
      <c r="TVJ27" s="1266"/>
      <c r="TVK27" s="1266"/>
      <c r="TVL27" s="1266"/>
      <c r="TVM27" s="1266"/>
      <c r="TVN27" s="1266"/>
      <c r="TVO27" s="1266"/>
      <c r="TVP27" s="1266"/>
      <c r="TVQ27" s="1266"/>
      <c r="TVR27" s="1266"/>
      <c r="TVS27" s="1266"/>
      <c r="TVT27" s="1266"/>
      <c r="TVU27" s="1266"/>
      <c r="TVV27" s="1266"/>
      <c r="TVW27" s="1266"/>
      <c r="TVX27" s="1266"/>
      <c r="TVY27" s="1266"/>
      <c r="TVZ27" s="1266"/>
      <c r="TWA27" s="1266"/>
      <c r="TWB27" s="1266"/>
      <c r="TWC27" s="1266"/>
      <c r="TWD27" s="1266"/>
      <c r="TWE27" s="1266"/>
      <c r="TWF27" s="1266"/>
      <c r="TWG27" s="1266"/>
      <c r="TWH27" s="1266"/>
      <c r="TWI27" s="1266"/>
      <c r="TWJ27" s="1266"/>
      <c r="TWK27" s="1266"/>
      <c r="TWL27" s="1266"/>
      <c r="TWM27" s="1266"/>
      <c r="TWN27" s="1266"/>
      <c r="TWO27" s="1266"/>
      <c r="TWP27" s="1266"/>
      <c r="TWQ27" s="1266"/>
      <c r="TWR27" s="1266"/>
      <c r="TWS27" s="1266"/>
      <c r="TWT27" s="1266"/>
      <c r="TWU27" s="1266"/>
      <c r="TWV27" s="1266"/>
      <c r="TWW27" s="1266"/>
      <c r="TWX27" s="1266"/>
      <c r="TWY27" s="1266"/>
      <c r="TWZ27" s="1266"/>
      <c r="TXA27" s="1266"/>
      <c r="TXB27" s="1266"/>
      <c r="TXC27" s="1266"/>
      <c r="TXD27" s="1266"/>
      <c r="TXE27" s="1266"/>
      <c r="TXF27" s="1266"/>
      <c r="TXG27" s="1266"/>
      <c r="TXH27" s="1266"/>
      <c r="TXI27" s="1266"/>
      <c r="TXJ27" s="1266"/>
      <c r="TXK27" s="1266"/>
      <c r="TXL27" s="1266"/>
      <c r="TXM27" s="1266"/>
      <c r="TXN27" s="1266"/>
      <c r="TXO27" s="1266"/>
      <c r="TXP27" s="1266"/>
      <c r="TXQ27" s="1266"/>
      <c r="TXR27" s="1266"/>
      <c r="TXS27" s="1266"/>
      <c r="TXT27" s="1266"/>
      <c r="TXU27" s="1266"/>
      <c r="TXV27" s="1266"/>
      <c r="TXW27" s="1266"/>
      <c r="TXX27" s="1266"/>
      <c r="TXY27" s="1266"/>
      <c r="TXZ27" s="1266"/>
      <c r="TYA27" s="1266"/>
      <c r="TYB27" s="1266"/>
      <c r="TYC27" s="1266"/>
      <c r="TYD27" s="1266"/>
      <c r="TYE27" s="1266"/>
      <c r="TYF27" s="1266"/>
      <c r="TYG27" s="1266"/>
      <c r="TYH27" s="1266"/>
      <c r="TYI27" s="1266"/>
      <c r="TYJ27" s="1266"/>
      <c r="TYK27" s="1266"/>
      <c r="TYL27" s="1266"/>
      <c r="TYM27" s="1266"/>
      <c r="TYN27" s="1266"/>
      <c r="TYO27" s="1266"/>
      <c r="TYP27" s="1266"/>
      <c r="TYQ27" s="1266"/>
      <c r="TYR27" s="1266"/>
      <c r="TYS27" s="1266"/>
      <c r="TYT27" s="1266"/>
      <c r="TYU27" s="1266"/>
      <c r="TYV27" s="1266"/>
      <c r="TYW27" s="1266"/>
      <c r="TYX27" s="1266"/>
      <c r="TYY27" s="1266"/>
      <c r="TYZ27" s="1266"/>
      <c r="TZA27" s="1266"/>
      <c r="TZB27" s="1266"/>
      <c r="TZC27" s="1266"/>
      <c r="TZD27" s="1266"/>
      <c r="TZE27" s="1266"/>
      <c r="TZF27" s="1266"/>
      <c r="TZG27" s="1266"/>
      <c r="TZH27" s="1266"/>
      <c r="TZI27" s="1266"/>
      <c r="TZJ27" s="1266"/>
      <c r="TZK27" s="1266"/>
      <c r="TZL27" s="1266"/>
      <c r="TZM27" s="1266"/>
      <c r="TZN27" s="1266"/>
      <c r="TZO27" s="1266"/>
      <c r="TZP27" s="1266"/>
      <c r="TZQ27" s="1266"/>
      <c r="TZR27" s="1266"/>
      <c r="TZS27" s="1266"/>
      <c r="TZT27" s="1266"/>
      <c r="TZU27" s="1266"/>
      <c r="TZV27" s="1266"/>
      <c r="TZW27" s="1266"/>
      <c r="TZX27" s="1266"/>
      <c r="TZY27" s="1266"/>
      <c r="TZZ27" s="1266"/>
      <c r="UAA27" s="1266"/>
      <c r="UAB27" s="1266"/>
      <c r="UAC27" s="1266"/>
      <c r="UAD27" s="1266"/>
      <c r="UAE27" s="1266"/>
      <c r="UAF27" s="1266"/>
      <c r="UAG27" s="1266"/>
      <c r="UAH27" s="1266"/>
      <c r="UAI27" s="1266"/>
      <c r="UAJ27" s="1266"/>
      <c r="UAK27" s="1266"/>
      <c r="UAL27" s="1266"/>
      <c r="UAM27" s="1266"/>
      <c r="UAN27" s="1266"/>
      <c r="UAO27" s="1266"/>
      <c r="UAP27" s="1266"/>
      <c r="UAQ27" s="1266"/>
      <c r="UAR27" s="1266"/>
      <c r="UAS27" s="1266"/>
      <c r="UAT27" s="1266"/>
      <c r="UAU27" s="1266"/>
      <c r="UAV27" s="1266"/>
      <c r="UAW27" s="1266"/>
      <c r="UAX27" s="1266"/>
      <c r="UAY27" s="1266"/>
      <c r="UAZ27" s="1266"/>
      <c r="UBA27" s="1266"/>
      <c r="UBB27" s="1266"/>
      <c r="UBC27" s="1266"/>
      <c r="UBD27" s="1266"/>
      <c r="UBE27" s="1266"/>
      <c r="UBF27" s="1266"/>
      <c r="UBG27" s="1266"/>
      <c r="UBH27" s="1266"/>
      <c r="UBI27" s="1266"/>
      <c r="UBJ27" s="1266"/>
      <c r="UBK27" s="1266"/>
      <c r="UBL27" s="1266"/>
      <c r="UBM27" s="1266"/>
      <c r="UBN27" s="1266"/>
      <c r="UBO27" s="1266"/>
      <c r="UBP27" s="1266"/>
      <c r="UBQ27" s="1266"/>
      <c r="UBR27" s="1266"/>
      <c r="UBS27" s="1266"/>
      <c r="UBT27" s="1266"/>
      <c r="UBU27" s="1266"/>
      <c r="UBV27" s="1266"/>
      <c r="UBW27" s="1266"/>
      <c r="UBX27" s="1266"/>
      <c r="UBY27" s="1266"/>
      <c r="UBZ27" s="1266"/>
      <c r="UCA27" s="1266"/>
      <c r="UCB27" s="1266"/>
      <c r="UCC27" s="1266"/>
      <c r="UCD27" s="1266"/>
      <c r="UCE27" s="1266"/>
      <c r="UCF27" s="1266"/>
      <c r="UCG27" s="1266"/>
      <c r="UCH27" s="1266"/>
      <c r="UCI27" s="1266"/>
      <c r="UCJ27" s="1266"/>
      <c r="UCK27" s="1266"/>
      <c r="UCL27" s="1266"/>
      <c r="UCM27" s="1266"/>
      <c r="UCN27" s="1266"/>
      <c r="UCO27" s="1266"/>
      <c r="UCP27" s="1266"/>
      <c r="UCQ27" s="1266"/>
      <c r="UCR27" s="1266"/>
      <c r="UCS27" s="1266"/>
      <c r="UCT27" s="1266"/>
      <c r="UCU27" s="1266"/>
      <c r="UCV27" s="1266"/>
      <c r="UCW27" s="1266"/>
      <c r="UCX27" s="1266"/>
      <c r="UCY27" s="1266"/>
      <c r="UCZ27" s="1266"/>
      <c r="UDA27" s="1266"/>
      <c r="UDB27" s="1266"/>
      <c r="UDC27" s="1266"/>
      <c r="UDD27" s="1266"/>
      <c r="UDE27" s="1266"/>
      <c r="UDF27" s="1266"/>
      <c r="UDG27" s="1266"/>
      <c r="UDH27" s="1266"/>
      <c r="UDI27" s="1266"/>
      <c r="UDJ27" s="1266"/>
      <c r="UDK27" s="1266"/>
      <c r="UDL27" s="1266"/>
      <c r="UDM27" s="1266"/>
      <c r="UDN27" s="1266"/>
      <c r="UDO27" s="1266"/>
      <c r="UDP27" s="1266"/>
      <c r="UDQ27" s="1266"/>
      <c r="UDR27" s="1266"/>
      <c r="UDS27" s="1266"/>
      <c r="UDT27" s="1266"/>
      <c r="UDU27" s="1266"/>
      <c r="UDV27" s="1266"/>
      <c r="UDW27" s="1266"/>
      <c r="UDX27" s="1266"/>
      <c r="UDY27" s="1266"/>
      <c r="UDZ27" s="1266"/>
      <c r="UEA27" s="1266"/>
      <c r="UEB27" s="1266"/>
      <c r="UEC27" s="1266"/>
      <c r="UED27" s="1266"/>
      <c r="UEE27" s="1266"/>
      <c r="UEF27" s="1266"/>
      <c r="UEG27" s="1266"/>
      <c r="UEH27" s="1266"/>
      <c r="UEI27" s="1266"/>
      <c r="UEJ27" s="1266"/>
      <c r="UEK27" s="1266"/>
      <c r="UEL27" s="1266"/>
      <c r="UEM27" s="1266"/>
      <c r="UEN27" s="1266"/>
      <c r="UEO27" s="1266"/>
      <c r="UEP27" s="1266"/>
      <c r="UEQ27" s="1266"/>
      <c r="UER27" s="1266"/>
      <c r="UES27" s="1266"/>
      <c r="UET27" s="1266"/>
      <c r="UEU27" s="1266"/>
      <c r="UEV27" s="1266"/>
      <c r="UEW27" s="1266"/>
      <c r="UEX27" s="1266"/>
      <c r="UEY27" s="1266"/>
      <c r="UEZ27" s="1266"/>
      <c r="UFA27" s="1266"/>
      <c r="UFB27" s="1266"/>
      <c r="UFC27" s="1266"/>
      <c r="UFD27" s="1266"/>
      <c r="UFE27" s="1266"/>
      <c r="UFF27" s="1266"/>
      <c r="UFG27" s="1266"/>
      <c r="UFH27" s="1266"/>
      <c r="UFI27" s="1266"/>
      <c r="UFJ27" s="1266"/>
      <c r="UFK27" s="1266"/>
      <c r="UFL27" s="1266"/>
      <c r="UFM27" s="1266"/>
      <c r="UFN27" s="1266"/>
      <c r="UFO27" s="1266"/>
      <c r="UFP27" s="1266"/>
      <c r="UFQ27" s="1266"/>
      <c r="UFR27" s="1266"/>
      <c r="UFS27" s="1266"/>
      <c r="UFT27" s="1266"/>
      <c r="UFU27" s="1266"/>
      <c r="UFV27" s="1266"/>
      <c r="UFW27" s="1266"/>
      <c r="UFX27" s="1266"/>
      <c r="UFY27" s="1266"/>
      <c r="UFZ27" s="1266"/>
      <c r="UGA27" s="1266"/>
      <c r="UGB27" s="1266"/>
      <c r="UGC27" s="1266"/>
      <c r="UGD27" s="1266"/>
      <c r="UGE27" s="1266"/>
      <c r="UGF27" s="1266"/>
      <c r="UGG27" s="1266"/>
      <c r="UGH27" s="1266"/>
      <c r="UGI27" s="1266"/>
      <c r="UGJ27" s="1266"/>
      <c r="UGK27" s="1266"/>
      <c r="UGL27" s="1266"/>
      <c r="UGM27" s="1266"/>
      <c r="UGN27" s="1266"/>
      <c r="UGO27" s="1266"/>
      <c r="UGP27" s="1266"/>
      <c r="UGQ27" s="1266"/>
      <c r="UGR27" s="1266"/>
      <c r="UGS27" s="1266"/>
      <c r="UGT27" s="1266"/>
      <c r="UGU27" s="1266"/>
      <c r="UGV27" s="1266"/>
      <c r="UGW27" s="1266"/>
      <c r="UGX27" s="1266"/>
      <c r="UGY27" s="1266"/>
      <c r="UGZ27" s="1266"/>
      <c r="UHA27" s="1266"/>
      <c r="UHB27" s="1266"/>
      <c r="UHC27" s="1266"/>
      <c r="UHD27" s="1266"/>
      <c r="UHE27" s="1266"/>
      <c r="UHF27" s="1266"/>
      <c r="UHG27" s="1266"/>
      <c r="UHH27" s="1266"/>
      <c r="UHI27" s="1266"/>
      <c r="UHJ27" s="1266"/>
      <c r="UHK27" s="1266"/>
      <c r="UHL27" s="1266"/>
      <c r="UHM27" s="1266"/>
      <c r="UHN27" s="1266"/>
      <c r="UHO27" s="1266"/>
      <c r="UHP27" s="1266"/>
      <c r="UHQ27" s="1266"/>
      <c r="UHR27" s="1266"/>
      <c r="UHS27" s="1266"/>
      <c r="UHT27" s="1266"/>
      <c r="UHU27" s="1266"/>
      <c r="UHV27" s="1266"/>
      <c r="UHW27" s="1266"/>
      <c r="UHX27" s="1266"/>
      <c r="UHY27" s="1266"/>
      <c r="UHZ27" s="1266"/>
      <c r="UIA27" s="1266"/>
      <c r="UIB27" s="1266"/>
      <c r="UIC27" s="1266"/>
      <c r="UID27" s="1266"/>
      <c r="UIE27" s="1266"/>
      <c r="UIF27" s="1266"/>
      <c r="UIG27" s="1266"/>
      <c r="UIH27" s="1266"/>
      <c r="UII27" s="1266"/>
      <c r="UIJ27" s="1266"/>
      <c r="UIK27" s="1266"/>
      <c r="UIL27" s="1266"/>
      <c r="UIM27" s="1266"/>
      <c r="UIN27" s="1266"/>
      <c r="UIO27" s="1266"/>
      <c r="UIP27" s="1266"/>
      <c r="UIQ27" s="1266"/>
      <c r="UIR27" s="1266"/>
      <c r="UIS27" s="1266"/>
      <c r="UIT27" s="1266"/>
      <c r="UIU27" s="1266"/>
      <c r="UIV27" s="1266"/>
      <c r="UIW27" s="1266"/>
      <c r="UIX27" s="1266"/>
      <c r="UIY27" s="1266"/>
      <c r="UIZ27" s="1266"/>
      <c r="UJA27" s="1266"/>
      <c r="UJB27" s="1266"/>
      <c r="UJC27" s="1266"/>
      <c r="UJD27" s="1266"/>
      <c r="UJE27" s="1266"/>
      <c r="UJF27" s="1266"/>
      <c r="UJG27" s="1266"/>
      <c r="UJH27" s="1266"/>
      <c r="UJI27" s="1266"/>
      <c r="UJJ27" s="1266"/>
      <c r="UJK27" s="1266"/>
      <c r="UJL27" s="1266"/>
      <c r="UJM27" s="1266"/>
      <c r="UJN27" s="1266"/>
      <c r="UJO27" s="1266"/>
      <c r="UJP27" s="1266"/>
      <c r="UJQ27" s="1266"/>
      <c r="UJR27" s="1266"/>
      <c r="UJS27" s="1266"/>
      <c r="UJT27" s="1266"/>
      <c r="UJU27" s="1266"/>
      <c r="UJV27" s="1266"/>
      <c r="UJW27" s="1266"/>
      <c r="UJX27" s="1266"/>
      <c r="UJY27" s="1266"/>
      <c r="UJZ27" s="1266"/>
      <c r="UKA27" s="1266"/>
      <c r="UKB27" s="1266"/>
      <c r="UKC27" s="1266"/>
      <c r="UKD27" s="1266"/>
      <c r="UKE27" s="1266"/>
      <c r="UKF27" s="1266"/>
      <c r="UKG27" s="1266"/>
      <c r="UKH27" s="1266"/>
      <c r="UKI27" s="1266"/>
      <c r="UKJ27" s="1266"/>
      <c r="UKK27" s="1266"/>
      <c r="UKL27" s="1266"/>
      <c r="UKM27" s="1266"/>
      <c r="UKN27" s="1266"/>
      <c r="UKO27" s="1266"/>
      <c r="UKP27" s="1266"/>
      <c r="UKQ27" s="1266"/>
      <c r="UKR27" s="1266"/>
      <c r="UKS27" s="1266"/>
      <c r="UKT27" s="1266"/>
      <c r="UKU27" s="1266"/>
      <c r="UKV27" s="1266"/>
      <c r="UKW27" s="1266"/>
      <c r="UKX27" s="1266"/>
      <c r="UKY27" s="1266"/>
      <c r="UKZ27" s="1266"/>
      <c r="ULA27" s="1266"/>
      <c r="ULB27" s="1266"/>
      <c r="ULC27" s="1266"/>
      <c r="ULD27" s="1266"/>
      <c r="ULE27" s="1266"/>
      <c r="ULF27" s="1266"/>
      <c r="ULG27" s="1266"/>
      <c r="ULH27" s="1266"/>
      <c r="ULI27" s="1266"/>
      <c r="ULJ27" s="1266"/>
      <c r="ULK27" s="1266"/>
      <c r="ULL27" s="1266"/>
      <c r="ULM27" s="1266"/>
      <c r="ULN27" s="1266"/>
      <c r="ULO27" s="1266"/>
      <c r="ULP27" s="1266"/>
      <c r="ULQ27" s="1266"/>
      <c r="ULR27" s="1266"/>
      <c r="ULS27" s="1266"/>
      <c r="ULT27" s="1266"/>
      <c r="ULU27" s="1266"/>
      <c r="ULV27" s="1266"/>
      <c r="ULW27" s="1266"/>
      <c r="ULX27" s="1266"/>
      <c r="ULY27" s="1266"/>
      <c r="ULZ27" s="1266"/>
      <c r="UMA27" s="1266"/>
      <c r="UMB27" s="1266"/>
      <c r="UMC27" s="1266"/>
      <c r="UMD27" s="1266"/>
      <c r="UME27" s="1266"/>
      <c r="UMF27" s="1266"/>
      <c r="UMG27" s="1266"/>
      <c r="UMH27" s="1266"/>
      <c r="UMI27" s="1266"/>
      <c r="UMJ27" s="1266"/>
      <c r="UMK27" s="1266"/>
      <c r="UML27" s="1266"/>
      <c r="UMM27" s="1266"/>
      <c r="UMN27" s="1266"/>
      <c r="UMO27" s="1266"/>
      <c r="UMP27" s="1266"/>
      <c r="UMQ27" s="1266"/>
      <c r="UMR27" s="1266"/>
      <c r="UMS27" s="1266"/>
      <c r="UMT27" s="1266"/>
      <c r="UMU27" s="1266"/>
      <c r="UMV27" s="1266"/>
      <c r="UMW27" s="1266"/>
      <c r="UMX27" s="1266"/>
      <c r="UMY27" s="1266"/>
      <c r="UMZ27" s="1266"/>
      <c r="UNA27" s="1266"/>
      <c r="UNB27" s="1266"/>
      <c r="UNC27" s="1266"/>
      <c r="UND27" s="1266"/>
      <c r="UNE27" s="1266"/>
      <c r="UNF27" s="1266"/>
      <c r="UNG27" s="1266"/>
      <c r="UNH27" s="1266"/>
      <c r="UNI27" s="1266"/>
      <c r="UNJ27" s="1266"/>
      <c r="UNK27" s="1266"/>
      <c r="UNL27" s="1266"/>
      <c r="UNM27" s="1266"/>
      <c r="UNN27" s="1266"/>
      <c r="UNO27" s="1266"/>
      <c r="UNP27" s="1266"/>
      <c r="UNQ27" s="1266"/>
      <c r="UNR27" s="1266"/>
      <c r="UNS27" s="1266"/>
      <c r="UNT27" s="1266"/>
      <c r="UNU27" s="1266"/>
      <c r="UNV27" s="1266"/>
      <c r="UNW27" s="1266"/>
      <c r="UNX27" s="1266"/>
      <c r="UNY27" s="1266"/>
      <c r="UNZ27" s="1266"/>
      <c r="UOA27" s="1266"/>
      <c r="UOB27" s="1266"/>
      <c r="UOC27" s="1266"/>
      <c r="UOD27" s="1266"/>
      <c r="UOE27" s="1266"/>
      <c r="UOF27" s="1266"/>
      <c r="UOG27" s="1266"/>
      <c r="UOH27" s="1266"/>
      <c r="UOI27" s="1266"/>
      <c r="UOJ27" s="1266"/>
      <c r="UOK27" s="1266"/>
      <c r="UOL27" s="1266"/>
      <c r="UOM27" s="1266"/>
      <c r="UON27" s="1266"/>
      <c r="UOO27" s="1266"/>
      <c r="UOP27" s="1266"/>
      <c r="UOQ27" s="1266"/>
      <c r="UOR27" s="1266"/>
      <c r="UOS27" s="1266"/>
      <c r="UOT27" s="1266"/>
      <c r="UOU27" s="1266"/>
      <c r="UOV27" s="1266"/>
      <c r="UOW27" s="1266"/>
      <c r="UOX27" s="1266"/>
      <c r="UOY27" s="1266"/>
      <c r="UOZ27" s="1266"/>
      <c r="UPA27" s="1266"/>
      <c r="UPB27" s="1266"/>
      <c r="UPC27" s="1266"/>
      <c r="UPD27" s="1266"/>
      <c r="UPE27" s="1266"/>
      <c r="UPF27" s="1266"/>
      <c r="UPG27" s="1266"/>
      <c r="UPH27" s="1266"/>
      <c r="UPI27" s="1266"/>
      <c r="UPJ27" s="1266"/>
      <c r="UPK27" s="1266"/>
      <c r="UPL27" s="1266"/>
      <c r="UPM27" s="1266"/>
      <c r="UPN27" s="1266"/>
      <c r="UPO27" s="1266"/>
      <c r="UPP27" s="1266"/>
      <c r="UPQ27" s="1266"/>
      <c r="UPR27" s="1266"/>
      <c r="UPS27" s="1266"/>
      <c r="UPT27" s="1266"/>
      <c r="UPU27" s="1266"/>
      <c r="UPV27" s="1266"/>
      <c r="UPW27" s="1266"/>
      <c r="UPX27" s="1266"/>
      <c r="UPY27" s="1266"/>
      <c r="UPZ27" s="1266"/>
      <c r="UQA27" s="1266"/>
      <c r="UQB27" s="1266"/>
      <c r="UQC27" s="1266"/>
      <c r="UQD27" s="1266"/>
      <c r="UQE27" s="1266"/>
      <c r="UQF27" s="1266"/>
      <c r="UQG27" s="1266"/>
      <c r="UQH27" s="1266"/>
      <c r="UQI27" s="1266"/>
      <c r="UQJ27" s="1266"/>
      <c r="UQK27" s="1266"/>
      <c r="UQL27" s="1266"/>
      <c r="UQM27" s="1266"/>
      <c r="UQN27" s="1266"/>
      <c r="UQO27" s="1266"/>
      <c r="UQP27" s="1266"/>
      <c r="UQQ27" s="1266"/>
      <c r="UQR27" s="1266"/>
      <c r="UQS27" s="1266"/>
      <c r="UQT27" s="1266"/>
      <c r="UQU27" s="1266"/>
      <c r="UQV27" s="1266"/>
      <c r="UQW27" s="1266"/>
      <c r="UQX27" s="1266"/>
      <c r="UQY27" s="1266"/>
      <c r="UQZ27" s="1266"/>
      <c r="URA27" s="1266"/>
      <c r="URB27" s="1266"/>
      <c r="URC27" s="1266"/>
      <c r="URD27" s="1266"/>
      <c r="URE27" s="1266"/>
      <c r="URF27" s="1266"/>
      <c r="URG27" s="1266"/>
      <c r="URH27" s="1266"/>
      <c r="URI27" s="1266"/>
      <c r="URJ27" s="1266"/>
      <c r="URK27" s="1266"/>
      <c r="URL27" s="1266"/>
      <c r="URM27" s="1266"/>
      <c r="URN27" s="1266"/>
      <c r="URO27" s="1266"/>
      <c r="URP27" s="1266"/>
      <c r="URQ27" s="1266"/>
      <c r="URR27" s="1266"/>
      <c r="URS27" s="1266"/>
      <c r="URT27" s="1266"/>
      <c r="URU27" s="1266"/>
      <c r="URV27" s="1266"/>
      <c r="URW27" s="1266"/>
      <c r="URX27" s="1266"/>
      <c r="URY27" s="1266"/>
      <c r="URZ27" s="1266"/>
      <c r="USA27" s="1266"/>
      <c r="USB27" s="1266"/>
      <c r="USC27" s="1266"/>
      <c r="USD27" s="1266"/>
      <c r="USE27" s="1266"/>
      <c r="USF27" s="1266"/>
      <c r="USG27" s="1266"/>
      <c r="USH27" s="1266"/>
      <c r="USI27" s="1266"/>
      <c r="USJ27" s="1266"/>
      <c r="USK27" s="1266"/>
      <c r="USL27" s="1266"/>
      <c r="USM27" s="1266"/>
      <c r="USN27" s="1266"/>
      <c r="USO27" s="1266"/>
      <c r="USP27" s="1266"/>
      <c r="USQ27" s="1266"/>
      <c r="USR27" s="1266"/>
      <c r="USS27" s="1266"/>
      <c r="UST27" s="1266"/>
      <c r="USU27" s="1266"/>
      <c r="USV27" s="1266"/>
      <c r="USW27" s="1266"/>
      <c r="USX27" s="1266"/>
      <c r="USY27" s="1266"/>
      <c r="USZ27" s="1266"/>
      <c r="UTA27" s="1266"/>
      <c r="UTB27" s="1266"/>
      <c r="UTC27" s="1266"/>
      <c r="UTD27" s="1266"/>
      <c r="UTE27" s="1266"/>
      <c r="UTF27" s="1266"/>
      <c r="UTG27" s="1266"/>
      <c r="UTH27" s="1266"/>
      <c r="UTI27" s="1266"/>
      <c r="UTJ27" s="1266"/>
      <c r="UTK27" s="1266"/>
      <c r="UTL27" s="1266"/>
      <c r="UTM27" s="1266"/>
      <c r="UTN27" s="1266"/>
      <c r="UTO27" s="1266"/>
      <c r="UTP27" s="1266"/>
      <c r="UTQ27" s="1266"/>
      <c r="UTR27" s="1266"/>
      <c r="UTS27" s="1266"/>
      <c r="UTT27" s="1266"/>
      <c r="UTU27" s="1266"/>
      <c r="UTV27" s="1266"/>
      <c r="UTW27" s="1266"/>
      <c r="UTX27" s="1266"/>
      <c r="UTY27" s="1266"/>
      <c r="UTZ27" s="1266"/>
      <c r="UUA27" s="1266"/>
      <c r="UUB27" s="1266"/>
      <c r="UUC27" s="1266"/>
      <c r="UUD27" s="1266"/>
      <c r="UUE27" s="1266"/>
      <c r="UUF27" s="1266"/>
      <c r="UUG27" s="1266"/>
      <c r="UUH27" s="1266"/>
      <c r="UUI27" s="1266"/>
      <c r="UUJ27" s="1266"/>
      <c r="UUK27" s="1266"/>
      <c r="UUL27" s="1266"/>
      <c r="UUM27" s="1266"/>
      <c r="UUN27" s="1266"/>
      <c r="UUO27" s="1266"/>
      <c r="UUP27" s="1266"/>
      <c r="UUQ27" s="1266"/>
      <c r="UUR27" s="1266"/>
      <c r="UUS27" s="1266"/>
      <c r="UUT27" s="1266"/>
      <c r="UUU27" s="1266"/>
      <c r="UUV27" s="1266"/>
      <c r="UUW27" s="1266"/>
      <c r="UUX27" s="1266"/>
      <c r="UUY27" s="1266"/>
      <c r="UUZ27" s="1266"/>
      <c r="UVA27" s="1266"/>
      <c r="UVB27" s="1266"/>
      <c r="UVC27" s="1266"/>
      <c r="UVD27" s="1266"/>
      <c r="UVE27" s="1266"/>
      <c r="UVF27" s="1266"/>
      <c r="UVG27" s="1266"/>
      <c r="UVH27" s="1266"/>
      <c r="UVI27" s="1266"/>
      <c r="UVJ27" s="1266"/>
      <c r="UVK27" s="1266"/>
      <c r="UVL27" s="1266"/>
      <c r="UVM27" s="1266"/>
      <c r="UVN27" s="1266"/>
      <c r="UVO27" s="1266"/>
      <c r="UVP27" s="1266"/>
      <c r="UVQ27" s="1266"/>
      <c r="UVR27" s="1266"/>
      <c r="UVS27" s="1266"/>
      <c r="UVT27" s="1266"/>
      <c r="UVU27" s="1266"/>
      <c r="UVV27" s="1266"/>
      <c r="UVW27" s="1266"/>
      <c r="UVX27" s="1266"/>
      <c r="UVY27" s="1266"/>
      <c r="UVZ27" s="1266"/>
      <c r="UWA27" s="1266"/>
      <c r="UWB27" s="1266"/>
      <c r="UWC27" s="1266"/>
      <c r="UWD27" s="1266"/>
      <c r="UWE27" s="1266"/>
      <c r="UWF27" s="1266"/>
      <c r="UWG27" s="1266"/>
      <c r="UWH27" s="1266"/>
      <c r="UWI27" s="1266"/>
      <c r="UWJ27" s="1266"/>
      <c r="UWK27" s="1266"/>
      <c r="UWL27" s="1266"/>
      <c r="UWM27" s="1266"/>
      <c r="UWN27" s="1266"/>
      <c r="UWO27" s="1266"/>
      <c r="UWP27" s="1266"/>
      <c r="UWQ27" s="1266"/>
      <c r="UWR27" s="1266"/>
      <c r="UWS27" s="1266"/>
      <c r="UWT27" s="1266"/>
      <c r="UWU27" s="1266"/>
      <c r="UWV27" s="1266"/>
      <c r="UWW27" s="1266"/>
      <c r="UWX27" s="1266"/>
      <c r="UWY27" s="1266"/>
      <c r="UWZ27" s="1266"/>
      <c r="UXA27" s="1266"/>
      <c r="UXB27" s="1266"/>
      <c r="UXC27" s="1266"/>
      <c r="UXD27" s="1266"/>
      <c r="UXE27" s="1266"/>
      <c r="UXF27" s="1266"/>
      <c r="UXG27" s="1266"/>
      <c r="UXH27" s="1266"/>
      <c r="UXI27" s="1266"/>
      <c r="UXJ27" s="1266"/>
      <c r="UXK27" s="1266"/>
      <c r="UXL27" s="1266"/>
      <c r="UXM27" s="1266"/>
      <c r="UXN27" s="1266"/>
      <c r="UXO27" s="1266"/>
      <c r="UXP27" s="1266"/>
      <c r="UXQ27" s="1266"/>
      <c r="UXR27" s="1266"/>
      <c r="UXS27" s="1266"/>
      <c r="UXT27" s="1266"/>
      <c r="UXU27" s="1266"/>
      <c r="UXV27" s="1266"/>
      <c r="UXW27" s="1266"/>
      <c r="UXX27" s="1266"/>
      <c r="UXY27" s="1266"/>
      <c r="UXZ27" s="1266"/>
      <c r="UYA27" s="1266"/>
      <c r="UYB27" s="1266"/>
      <c r="UYC27" s="1266"/>
      <c r="UYD27" s="1266"/>
      <c r="UYE27" s="1266"/>
      <c r="UYF27" s="1266"/>
      <c r="UYG27" s="1266"/>
      <c r="UYH27" s="1266"/>
      <c r="UYI27" s="1266"/>
      <c r="UYJ27" s="1266"/>
      <c r="UYK27" s="1266"/>
      <c r="UYL27" s="1266"/>
      <c r="UYM27" s="1266"/>
      <c r="UYN27" s="1266"/>
      <c r="UYO27" s="1266"/>
      <c r="UYP27" s="1266"/>
      <c r="UYQ27" s="1266"/>
      <c r="UYR27" s="1266"/>
      <c r="UYS27" s="1266"/>
      <c r="UYT27" s="1266"/>
      <c r="UYU27" s="1266"/>
      <c r="UYV27" s="1266"/>
      <c r="UYW27" s="1266"/>
      <c r="UYX27" s="1266"/>
      <c r="UYY27" s="1266"/>
      <c r="UYZ27" s="1266"/>
      <c r="UZA27" s="1266"/>
      <c r="UZB27" s="1266"/>
      <c r="UZC27" s="1266"/>
      <c r="UZD27" s="1266"/>
      <c r="UZE27" s="1266"/>
      <c r="UZF27" s="1266"/>
      <c r="UZG27" s="1266"/>
      <c r="UZH27" s="1266"/>
      <c r="UZI27" s="1266"/>
      <c r="UZJ27" s="1266"/>
      <c r="UZK27" s="1266"/>
      <c r="UZL27" s="1266"/>
      <c r="UZM27" s="1266"/>
      <c r="UZN27" s="1266"/>
      <c r="UZO27" s="1266"/>
      <c r="UZP27" s="1266"/>
      <c r="UZQ27" s="1266"/>
      <c r="UZR27" s="1266"/>
      <c r="UZS27" s="1266"/>
      <c r="UZT27" s="1266"/>
      <c r="UZU27" s="1266"/>
      <c r="UZV27" s="1266"/>
      <c r="UZW27" s="1266"/>
      <c r="UZX27" s="1266"/>
      <c r="UZY27" s="1266"/>
      <c r="UZZ27" s="1266"/>
      <c r="VAA27" s="1266"/>
      <c r="VAB27" s="1266"/>
      <c r="VAC27" s="1266"/>
      <c r="VAD27" s="1266"/>
      <c r="VAE27" s="1266"/>
      <c r="VAF27" s="1266"/>
      <c r="VAG27" s="1266"/>
      <c r="VAH27" s="1266"/>
      <c r="VAI27" s="1266"/>
      <c r="VAJ27" s="1266"/>
      <c r="VAK27" s="1266"/>
      <c r="VAL27" s="1266"/>
      <c r="VAM27" s="1266"/>
      <c r="VAN27" s="1266"/>
      <c r="VAO27" s="1266"/>
      <c r="VAP27" s="1266"/>
      <c r="VAQ27" s="1266"/>
      <c r="VAR27" s="1266"/>
      <c r="VAS27" s="1266"/>
      <c r="VAT27" s="1266"/>
      <c r="VAU27" s="1266"/>
      <c r="VAV27" s="1266"/>
      <c r="VAW27" s="1266"/>
      <c r="VAX27" s="1266"/>
      <c r="VAY27" s="1266"/>
      <c r="VAZ27" s="1266"/>
      <c r="VBA27" s="1266"/>
      <c r="VBB27" s="1266"/>
      <c r="VBC27" s="1266"/>
      <c r="VBD27" s="1266"/>
      <c r="VBE27" s="1266"/>
      <c r="VBF27" s="1266"/>
      <c r="VBG27" s="1266"/>
      <c r="VBH27" s="1266"/>
      <c r="VBI27" s="1266"/>
      <c r="VBJ27" s="1266"/>
      <c r="VBK27" s="1266"/>
      <c r="VBL27" s="1266"/>
      <c r="VBM27" s="1266"/>
      <c r="VBN27" s="1266"/>
      <c r="VBO27" s="1266"/>
      <c r="VBP27" s="1266"/>
      <c r="VBQ27" s="1266"/>
      <c r="VBR27" s="1266"/>
      <c r="VBS27" s="1266"/>
      <c r="VBT27" s="1266"/>
      <c r="VBU27" s="1266"/>
      <c r="VBV27" s="1266"/>
      <c r="VBW27" s="1266"/>
      <c r="VBX27" s="1266"/>
      <c r="VBY27" s="1266"/>
      <c r="VBZ27" s="1266"/>
      <c r="VCA27" s="1266"/>
      <c r="VCB27" s="1266"/>
      <c r="VCC27" s="1266"/>
      <c r="VCD27" s="1266"/>
      <c r="VCE27" s="1266"/>
      <c r="VCF27" s="1266"/>
      <c r="VCG27" s="1266"/>
      <c r="VCH27" s="1266"/>
      <c r="VCI27" s="1266"/>
      <c r="VCJ27" s="1266"/>
      <c r="VCK27" s="1266"/>
      <c r="VCL27" s="1266"/>
      <c r="VCM27" s="1266"/>
      <c r="VCN27" s="1266"/>
      <c r="VCO27" s="1266"/>
      <c r="VCP27" s="1266"/>
      <c r="VCQ27" s="1266"/>
      <c r="VCR27" s="1266"/>
      <c r="VCS27" s="1266"/>
      <c r="VCT27" s="1266"/>
      <c r="VCU27" s="1266"/>
      <c r="VCV27" s="1266"/>
      <c r="VCW27" s="1266"/>
      <c r="VCX27" s="1266"/>
      <c r="VCY27" s="1266"/>
      <c r="VCZ27" s="1266"/>
      <c r="VDA27" s="1266"/>
      <c r="VDB27" s="1266"/>
      <c r="VDC27" s="1266"/>
      <c r="VDD27" s="1266"/>
      <c r="VDE27" s="1266"/>
      <c r="VDF27" s="1266"/>
      <c r="VDG27" s="1266"/>
      <c r="VDH27" s="1266"/>
      <c r="VDI27" s="1266"/>
      <c r="VDJ27" s="1266"/>
      <c r="VDK27" s="1266"/>
      <c r="VDL27" s="1266"/>
      <c r="VDM27" s="1266"/>
      <c r="VDN27" s="1266"/>
      <c r="VDO27" s="1266"/>
      <c r="VDP27" s="1266"/>
      <c r="VDQ27" s="1266"/>
      <c r="VDR27" s="1266"/>
      <c r="VDS27" s="1266"/>
      <c r="VDT27" s="1266"/>
      <c r="VDU27" s="1266"/>
      <c r="VDV27" s="1266"/>
      <c r="VDW27" s="1266"/>
      <c r="VDX27" s="1266"/>
      <c r="VDY27" s="1266"/>
      <c r="VDZ27" s="1266"/>
      <c r="VEA27" s="1266"/>
      <c r="VEB27" s="1266"/>
      <c r="VEC27" s="1266"/>
      <c r="VED27" s="1266"/>
      <c r="VEE27" s="1266"/>
      <c r="VEF27" s="1266"/>
      <c r="VEG27" s="1266"/>
      <c r="VEH27" s="1266"/>
      <c r="VEI27" s="1266"/>
      <c r="VEJ27" s="1266"/>
      <c r="VEK27" s="1266"/>
      <c r="VEL27" s="1266"/>
      <c r="VEM27" s="1266"/>
      <c r="VEN27" s="1266"/>
      <c r="VEO27" s="1266"/>
      <c r="VEP27" s="1266"/>
      <c r="VEQ27" s="1266"/>
      <c r="VER27" s="1266"/>
      <c r="VES27" s="1266"/>
      <c r="VET27" s="1266"/>
      <c r="VEU27" s="1266"/>
      <c r="VEV27" s="1266"/>
      <c r="VEW27" s="1266"/>
      <c r="VEX27" s="1266"/>
      <c r="VEY27" s="1266"/>
      <c r="VEZ27" s="1266"/>
      <c r="VFA27" s="1266"/>
      <c r="VFB27" s="1266"/>
      <c r="VFC27" s="1266"/>
      <c r="VFD27" s="1266"/>
      <c r="VFE27" s="1266"/>
      <c r="VFF27" s="1266"/>
      <c r="VFG27" s="1266"/>
      <c r="VFH27" s="1266"/>
      <c r="VFI27" s="1266"/>
      <c r="VFJ27" s="1266"/>
      <c r="VFK27" s="1266"/>
      <c r="VFL27" s="1266"/>
      <c r="VFM27" s="1266"/>
      <c r="VFN27" s="1266"/>
      <c r="VFO27" s="1266"/>
      <c r="VFP27" s="1266"/>
      <c r="VFQ27" s="1266"/>
      <c r="VFR27" s="1266"/>
      <c r="VFS27" s="1266"/>
      <c r="VFT27" s="1266"/>
      <c r="VFU27" s="1266"/>
      <c r="VFV27" s="1266"/>
      <c r="VFW27" s="1266"/>
      <c r="VFX27" s="1266"/>
      <c r="VFY27" s="1266"/>
      <c r="VFZ27" s="1266"/>
      <c r="VGA27" s="1266"/>
      <c r="VGB27" s="1266"/>
      <c r="VGC27" s="1266"/>
      <c r="VGD27" s="1266"/>
      <c r="VGE27" s="1266"/>
      <c r="VGF27" s="1266"/>
      <c r="VGG27" s="1266"/>
      <c r="VGH27" s="1266"/>
      <c r="VGI27" s="1266"/>
      <c r="VGJ27" s="1266"/>
      <c r="VGK27" s="1266"/>
      <c r="VGL27" s="1266"/>
      <c r="VGM27" s="1266"/>
      <c r="VGN27" s="1266"/>
      <c r="VGO27" s="1266"/>
      <c r="VGP27" s="1266"/>
      <c r="VGQ27" s="1266"/>
      <c r="VGR27" s="1266"/>
      <c r="VGS27" s="1266"/>
      <c r="VGT27" s="1266"/>
      <c r="VGU27" s="1266"/>
      <c r="VGV27" s="1266"/>
      <c r="VGW27" s="1266"/>
      <c r="VGX27" s="1266"/>
      <c r="VGY27" s="1266"/>
      <c r="VGZ27" s="1266"/>
      <c r="VHA27" s="1266"/>
      <c r="VHB27" s="1266"/>
      <c r="VHC27" s="1266"/>
      <c r="VHD27" s="1266"/>
      <c r="VHE27" s="1266"/>
      <c r="VHF27" s="1266"/>
      <c r="VHG27" s="1266"/>
      <c r="VHH27" s="1266"/>
      <c r="VHI27" s="1266"/>
      <c r="VHJ27" s="1266"/>
      <c r="VHK27" s="1266"/>
      <c r="VHL27" s="1266"/>
      <c r="VHM27" s="1266"/>
      <c r="VHN27" s="1266"/>
      <c r="VHO27" s="1266"/>
      <c r="VHP27" s="1266"/>
      <c r="VHQ27" s="1266"/>
      <c r="VHR27" s="1266"/>
      <c r="VHS27" s="1266"/>
      <c r="VHT27" s="1266"/>
      <c r="VHU27" s="1266"/>
      <c r="VHV27" s="1266"/>
      <c r="VHW27" s="1266"/>
      <c r="VHX27" s="1266"/>
      <c r="VHY27" s="1266"/>
      <c r="VHZ27" s="1266"/>
      <c r="VIA27" s="1266"/>
      <c r="VIB27" s="1266"/>
      <c r="VIC27" s="1266"/>
      <c r="VID27" s="1266"/>
      <c r="VIE27" s="1266"/>
      <c r="VIF27" s="1266"/>
      <c r="VIG27" s="1266"/>
      <c r="VIH27" s="1266"/>
      <c r="VII27" s="1266"/>
      <c r="VIJ27" s="1266"/>
      <c r="VIK27" s="1266"/>
      <c r="VIL27" s="1266"/>
      <c r="VIM27" s="1266"/>
      <c r="VIN27" s="1266"/>
      <c r="VIO27" s="1266"/>
      <c r="VIP27" s="1266"/>
      <c r="VIQ27" s="1266"/>
      <c r="VIR27" s="1266"/>
      <c r="VIS27" s="1266"/>
      <c r="VIT27" s="1266"/>
      <c r="VIU27" s="1266"/>
      <c r="VIV27" s="1266"/>
      <c r="VIW27" s="1266"/>
      <c r="VIX27" s="1266"/>
      <c r="VIY27" s="1266"/>
      <c r="VIZ27" s="1266"/>
      <c r="VJA27" s="1266"/>
      <c r="VJB27" s="1266"/>
      <c r="VJC27" s="1266"/>
      <c r="VJD27" s="1266"/>
      <c r="VJE27" s="1266"/>
      <c r="VJF27" s="1266"/>
      <c r="VJG27" s="1266"/>
      <c r="VJH27" s="1266"/>
      <c r="VJI27" s="1266"/>
      <c r="VJJ27" s="1266"/>
      <c r="VJK27" s="1266"/>
      <c r="VJL27" s="1266"/>
      <c r="VJM27" s="1266"/>
      <c r="VJN27" s="1266"/>
      <c r="VJO27" s="1266"/>
      <c r="VJP27" s="1266"/>
      <c r="VJQ27" s="1266"/>
      <c r="VJR27" s="1266"/>
      <c r="VJS27" s="1266"/>
      <c r="VJT27" s="1266"/>
      <c r="VJU27" s="1266"/>
      <c r="VJV27" s="1266"/>
      <c r="VJW27" s="1266"/>
      <c r="VJX27" s="1266"/>
      <c r="VJY27" s="1266"/>
      <c r="VJZ27" s="1266"/>
      <c r="VKA27" s="1266"/>
      <c r="VKB27" s="1266"/>
      <c r="VKC27" s="1266"/>
      <c r="VKD27" s="1266"/>
      <c r="VKE27" s="1266"/>
      <c r="VKF27" s="1266"/>
      <c r="VKG27" s="1266"/>
      <c r="VKH27" s="1266"/>
      <c r="VKI27" s="1266"/>
      <c r="VKJ27" s="1266"/>
      <c r="VKK27" s="1266"/>
      <c r="VKL27" s="1266"/>
      <c r="VKM27" s="1266"/>
      <c r="VKN27" s="1266"/>
      <c r="VKO27" s="1266"/>
      <c r="VKP27" s="1266"/>
      <c r="VKQ27" s="1266"/>
      <c r="VKR27" s="1266"/>
      <c r="VKS27" s="1266"/>
      <c r="VKT27" s="1266"/>
      <c r="VKU27" s="1266"/>
      <c r="VKV27" s="1266"/>
      <c r="VKW27" s="1266"/>
      <c r="VKX27" s="1266"/>
      <c r="VKY27" s="1266"/>
      <c r="VKZ27" s="1266"/>
      <c r="VLA27" s="1266"/>
      <c r="VLB27" s="1266"/>
      <c r="VLC27" s="1266"/>
      <c r="VLD27" s="1266"/>
      <c r="VLE27" s="1266"/>
      <c r="VLF27" s="1266"/>
      <c r="VLG27" s="1266"/>
      <c r="VLH27" s="1266"/>
      <c r="VLI27" s="1266"/>
      <c r="VLJ27" s="1266"/>
      <c r="VLK27" s="1266"/>
      <c r="VLL27" s="1266"/>
      <c r="VLM27" s="1266"/>
      <c r="VLN27" s="1266"/>
      <c r="VLO27" s="1266"/>
      <c r="VLP27" s="1266"/>
      <c r="VLQ27" s="1266"/>
      <c r="VLR27" s="1266"/>
      <c r="VLS27" s="1266"/>
      <c r="VLT27" s="1266"/>
      <c r="VLU27" s="1266"/>
      <c r="VLV27" s="1266"/>
      <c r="VLW27" s="1266"/>
      <c r="VLX27" s="1266"/>
      <c r="VLY27" s="1266"/>
      <c r="VLZ27" s="1266"/>
      <c r="VMA27" s="1266"/>
      <c r="VMB27" s="1266"/>
      <c r="VMC27" s="1266"/>
      <c r="VMD27" s="1266"/>
      <c r="VME27" s="1266"/>
      <c r="VMF27" s="1266"/>
      <c r="VMG27" s="1266"/>
      <c r="VMH27" s="1266"/>
      <c r="VMI27" s="1266"/>
      <c r="VMJ27" s="1266"/>
      <c r="VMK27" s="1266"/>
      <c r="VML27" s="1266"/>
      <c r="VMM27" s="1266"/>
      <c r="VMN27" s="1266"/>
      <c r="VMO27" s="1266"/>
      <c r="VMP27" s="1266"/>
      <c r="VMQ27" s="1266"/>
      <c r="VMR27" s="1266"/>
      <c r="VMS27" s="1266"/>
      <c r="VMT27" s="1266"/>
      <c r="VMU27" s="1266"/>
      <c r="VMV27" s="1266"/>
      <c r="VMW27" s="1266"/>
      <c r="VMX27" s="1266"/>
      <c r="VMY27" s="1266"/>
      <c r="VMZ27" s="1266"/>
      <c r="VNA27" s="1266"/>
      <c r="VNB27" s="1266"/>
      <c r="VNC27" s="1266"/>
      <c r="VND27" s="1266"/>
      <c r="VNE27" s="1266"/>
      <c r="VNF27" s="1266"/>
      <c r="VNG27" s="1266"/>
      <c r="VNH27" s="1266"/>
      <c r="VNI27" s="1266"/>
      <c r="VNJ27" s="1266"/>
      <c r="VNK27" s="1266"/>
      <c r="VNL27" s="1266"/>
      <c r="VNM27" s="1266"/>
      <c r="VNN27" s="1266"/>
      <c r="VNO27" s="1266"/>
      <c r="VNP27" s="1266"/>
      <c r="VNQ27" s="1266"/>
      <c r="VNR27" s="1266"/>
      <c r="VNS27" s="1266"/>
      <c r="VNT27" s="1266"/>
      <c r="VNU27" s="1266"/>
      <c r="VNV27" s="1266"/>
      <c r="VNW27" s="1266"/>
      <c r="VNX27" s="1266"/>
      <c r="VNY27" s="1266"/>
      <c r="VNZ27" s="1266"/>
      <c r="VOA27" s="1266"/>
      <c r="VOB27" s="1266"/>
      <c r="VOC27" s="1266"/>
      <c r="VOD27" s="1266"/>
      <c r="VOE27" s="1266"/>
      <c r="VOF27" s="1266"/>
      <c r="VOG27" s="1266"/>
      <c r="VOH27" s="1266"/>
      <c r="VOI27" s="1266"/>
      <c r="VOJ27" s="1266"/>
      <c r="VOK27" s="1266"/>
      <c r="VOL27" s="1266"/>
      <c r="VOM27" s="1266"/>
      <c r="VON27" s="1266"/>
      <c r="VOO27" s="1266"/>
      <c r="VOP27" s="1266"/>
      <c r="VOQ27" s="1266"/>
      <c r="VOR27" s="1266"/>
      <c r="VOS27" s="1266"/>
      <c r="VOT27" s="1266"/>
      <c r="VOU27" s="1266"/>
      <c r="VOV27" s="1266"/>
      <c r="VOW27" s="1266"/>
      <c r="VOX27" s="1266"/>
      <c r="VOY27" s="1266"/>
      <c r="VOZ27" s="1266"/>
      <c r="VPA27" s="1266"/>
      <c r="VPB27" s="1266"/>
      <c r="VPC27" s="1266"/>
      <c r="VPD27" s="1266"/>
      <c r="VPE27" s="1266"/>
      <c r="VPF27" s="1266"/>
      <c r="VPG27" s="1266"/>
      <c r="VPH27" s="1266"/>
      <c r="VPI27" s="1266"/>
      <c r="VPJ27" s="1266"/>
      <c r="VPK27" s="1266"/>
      <c r="VPL27" s="1266"/>
      <c r="VPM27" s="1266"/>
      <c r="VPN27" s="1266"/>
      <c r="VPO27" s="1266"/>
      <c r="VPP27" s="1266"/>
      <c r="VPQ27" s="1266"/>
      <c r="VPR27" s="1266"/>
      <c r="VPS27" s="1266"/>
      <c r="VPT27" s="1266"/>
      <c r="VPU27" s="1266"/>
      <c r="VPV27" s="1266"/>
      <c r="VPW27" s="1266"/>
      <c r="VPX27" s="1266"/>
      <c r="VPY27" s="1266"/>
      <c r="VPZ27" s="1266"/>
      <c r="VQA27" s="1266"/>
      <c r="VQB27" s="1266"/>
      <c r="VQC27" s="1266"/>
      <c r="VQD27" s="1266"/>
      <c r="VQE27" s="1266"/>
      <c r="VQF27" s="1266"/>
      <c r="VQG27" s="1266"/>
      <c r="VQH27" s="1266"/>
      <c r="VQI27" s="1266"/>
      <c r="VQJ27" s="1266"/>
      <c r="VQK27" s="1266"/>
      <c r="VQL27" s="1266"/>
      <c r="VQM27" s="1266"/>
      <c r="VQN27" s="1266"/>
      <c r="VQO27" s="1266"/>
      <c r="VQP27" s="1266"/>
      <c r="VQQ27" s="1266"/>
      <c r="VQR27" s="1266"/>
      <c r="VQS27" s="1266"/>
      <c r="VQT27" s="1266"/>
      <c r="VQU27" s="1266"/>
      <c r="VQV27" s="1266"/>
      <c r="VQW27" s="1266"/>
      <c r="VQX27" s="1266"/>
      <c r="VQY27" s="1266"/>
      <c r="VQZ27" s="1266"/>
      <c r="VRA27" s="1266"/>
      <c r="VRB27" s="1266"/>
      <c r="VRC27" s="1266"/>
      <c r="VRD27" s="1266"/>
      <c r="VRE27" s="1266"/>
      <c r="VRF27" s="1266"/>
      <c r="VRG27" s="1266"/>
      <c r="VRH27" s="1266"/>
      <c r="VRI27" s="1266"/>
      <c r="VRJ27" s="1266"/>
      <c r="VRK27" s="1266"/>
      <c r="VRL27" s="1266"/>
      <c r="VRM27" s="1266"/>
      <c r="VRN27" s="1266"/>
      <c r="VRO27" s="1266"/>
      <c r="VRP27" s="1266"/>
      <c r="VRQ27" s="1266"/>
      <c r="VRR27" s="1266"/>
      <c r="VRS27" s="1266"/>
      <c r="VRT27" s="1266"/>
      <c r="VRU27" s="1266"/>
      <c r="VRV27" s="1266"/>
      <c r="VRW27" s="1266"/>
      <c r="VRX27" s="1266"/>
      <c r="VRY27" s="1266"/>
      <c r="VRZ27" s="1266"/>
      <c r="VSA27" s="1266"/>
      <c r="VSB27" s="1266"/>
      <c r="VSC27" s="1266"/>
      <c r="VSD27" s="1266"/>
      <c r="VSE27" s="1266"/>
      <c r="VSF27" s="1266"/>
      <c r="VSG27" s="1266"/>
      <c r="VSH27" s="1266"/>
      <c r="VSI27" s="1266"/>
      <c r="VSJ27" s="1266"/>
      <c r="VSK27" s="1266"/>
      <c r="VSL27" s="1266"/>
      <c r="VSM27" s="1266"/>
      <c r="VSN27" s="1266"/>
      <c r="VSO27" s="1266"/>
      <c r="VSP27" s="1266"/>
      <c r="VSQ27" s="1266"/>
      <c r="VSR27" s="1266"/>
      <c r="VSS27" s="1266"/>
      <c r="VST27" s="1266"/>
      <c r="VSU27" s="1266"/>
      <c r="VSV27" s="1266"/>
      <c r="VSW27" s="1266"/>
      <c r="VSX27" s="1266"/>
      <c r="VSY27" s="1266"/>
      <c r="VSZ27" s="1266"/>
      <c r="VTA27" s="1266"/>
      <c r="VTB27" s="1266"/>
      <c r="VTC27" s="1266"/>
      <c r="VTD27" s="1266"/>
      <c r="VTE27" s="1266"/>
      <c r="VTF27" s="1266"/>
      <c r="VTG27" s="1266"/>
      <c r="VTH27" s="1266"/>
      <c r="VTI27" s="1266"/>
      <c r="VTJ27" s="1266"/>
      <c r="VTK27" s="1266"/>
      <c r="VTL27" s="1266"/>
      <c r="VTM27" s="1266"/>
      <c r="VTN27" s="1266"/>
      <c r="VTO27" s="1266"/>
      <c r="VTP27" s="1266"/>
      <c r="VTQ27" s="1266"/>
      <c r="VTR27" s="1266"/>
      <c r="VTS27" s="1266"/>
      <c r="VTT27" s="1266"/>
      <c r="VTU27" s="1266"/>
      <c r="VTV27" s="1266"/>
      <c r="VTW27" s="1266"/>
      <c r="VTX27" s="1266"/>
      <c r="VTY27" s="1266"/>
      <c r="VTZ27" s="1266"/>
      <c r="VUA27" s="1266"/>
      <c r="VUB27" s="1266"/>
      <c r="VUC27" s="1266"/>
      <c r="VUD27" s="1266"/>
      <c r="VUE27" s="1266"/>
      <c r="VUF27" s="1266"/>
      <c r="VUG27" s="1266"/>
      <c r="VUH27" s="1266"/>
      <c r="VUI27" s="1266"/>
      <c r="VUJ27" s="1266"/>
      <c r="VUK27" s="1266"/>
      <c r="VUL27" s="1266"/>
      <c r="VUM27" s="1266"/>
      <c r="VUN27" s="1266"/>
      <c r="VUO27" s="1266"/>
      <c r="VUP27" s="1266"/>
      <c r="VUQ27" s="1266"/>
      <c r="VUR27" s="1266"/>
      <c r="VUS27" s="1266"/>
      <c r="VUT27" s="1266"/>
      <c r="VUU27" s="1266"/>
      <c r="VUV27" s="1266"/>
      <c r="VUW27" s="1266"/>
      <c r="VUX27" s="1266"/>
      <c r="VUY27" s="1266"/>
      <c r="VUZ27" s="1266"/>
      <c r="VVA27" s="1266"/>
      <c r="VVB27" s="1266"/>
      <c r="VVC27" s="1266"/>
      <c r="VVD27" s="1266"/>
      <c r="VVE27" s="1266"/>
      <c r="VVF27" s="1266"/>
      <c r="VVG27" s="1266"/>
      <c r="VVH27" s="1266"/>
      <c r="VVI27" s="1266"/>
      <c r="VVJ27" s="1266"/>
      <c r="VVK27" s="1266"/>
      <c r="VVL27" s="1266"/>
      <c r="VVM27" s="1266"/>
      <c r="VVN27" s="1266"/>
      <c r="VVO27" s="1266"/>
      <c r="VVP27" s="1266"/>
      <c r="VVQ27" s="1266"/>
      <c r="VVR27" s="1266"/>
      <c r="VVS27" s="1266"/>
      <c r="VVT27" s="1266"/>
      <c r="VVU27" s="1266"/>
      <c r="VVV27" s="1266"/>
      <c r="VVW27" s="1266"/>
      <c r="VVX27" s="1266"/>
      <c r="VVY27" s="1266"/>
      <c r="VVZ27" s="1266"/>
      <c r="VWA27" s="1266"/>
      <c r="VWB27" s="1266"/>
      <c r="VWC27" s="1266"/>
      <c r="VWD27" s="1266"/>
      <c r="VWE27" s="1266"/>
      <c r="VWF27" s="1266"/>
      <c r="VWG27" s="1266"/>
      <c r="VWH27" s="1266"/>
      <c r="VWI27" s="1266"/>
      <c r="VWJ27" s="1266"/>
      <c r="VWK27" s="1266"/>
      <c r="VWL27" s="1266"/>
      <c r="VWM27" s="1266"/>
      <c r="VWN27" s="1266"/>
      <c r="VWO27" s="1266"/>
      <c r="VWP27" s="1266"/>
      <c r="VWQ27" s="1266"/>
      <c r="VWR27" s="1266"/>
      <c r="VWS27" s="1266"/>
      <c r="VWT27" s="1266"/>
      <c r="VWU27" s="1266"/>
      <c r="VWV27" s="1266"/>
      <c r="VWW27" s="1266"/>
      <c r="VWX27" s="1266"/>
      <c r="VWY27" s="1266"/>
      <c r="VWZ27" s="1266"/>
      <c r="VXA27" s="1266"/>
      <c r="VXB27" s="1266"/>
      <c r="VXC27" s="1266"/>
      <c r="VXD27" s="1266"/>
      <c r="VXE27" s="1266"/>
      <c r="VXF27" s="1266"/>
      <c r="VXG27" s="1266"/>
      <c r="VXH27" s="1266"/>
      <c r="VXI27" s="1266"/>
      <c r="VXJ27" s="1266"/>
      <c r="VXK27" s="1266"/>
      <c r="VXL27" s="1266"/>
      <c r="VXM27" s="1266"/>
      <c r="VXN27" s="1266"/>
      <c r="VXO27" s="1266"/>
      <c r="VXP27" s="1266"/>
      <c r="VXQ27" s="1266"/>
      <c r="VXR27" s="1266"/>
      <c r="VXS27" s="1266"/>
      <c r="VXT27" s="1266"/>
      <c r="VXU27" s="1266"/>
      <c r="VXV27" s="1266"/>
      <c r="VXW27" s="1266"/>
      <c r="VXX27" s="1266"/>
      <c r="VXY27" s="1266"/>
      <c r="VXZ27" s="1266"/>
      <c r="VYA27" s="1266"/>
      <c r="VYB27" s="1266"/>
      <c r="VYC27" s="1266"/>
      <c r="VYD27" s="1266"/>
      <c r="VYE27" s="1266"/>
      <c r="VYF27" s="1266"/>
      <c r="VYG27" s="1266"/>
      <c r="VYH27" s="1266"/>
      <c r="VYI27" s="1266"/>
      <c r="VYJ27" s="1266"/>
      <c r="VYK27" s="1266"/>
      <c r="VYL27" s="1266"/>
      <c r="VYM27" s="1266"/>
      <c r="VYN27" s="1266"/>
      <c r="VYO27" s="1266"/>
      <c r="VYP27" s="1266"/>
      <c r="VYQ27" s="1266"/>
      <c r="VYR27" s="1266"/>
      <c r="VYS27" s="1266"/>
      <c r="VYT27" s="1266"/>
      <c r="VYU27" s="1266"/>
      <c r="VYV27" s="1266"/>
      <c r="VYW27" s="1266"/>
      <c r="VYX27" s="1266"/>
      <c r="VYY27" s="1266"/>
      <c r="VYZ27" s="1266"/>
      <c r="VZA27" s="1266"/>
      <c r="VZB27" s="1266"/>
      <c r="VZC27" s="1266"/>
      <c r="VZD27" s="1266"/>
      <c r="VZE27" s="1266"/>
      <c r="VZF27" s="1266"/>
      <c r="VZG27" s="1266"/>
      <c r="VZH27" s="1266"/>
      <c r="VZI27" s="1266"/>
      <c r="VZJ27" s="1266"/>
      <c r="VZK27" s="1266"/>
      <c r="VZL27" s="1266"/>
      <c r="VZM27" s="1266"/>
      <c r="VZN27" s="1266"/>
      <c r="VZO27" s="1266"/>
      <c r="VZP27" s="1266"/>
      <c r="VZQ27" s="1266"/>
      <c r="VZR27" s="1266"/>
      <c r="VZS27" s="1266"/>
      <c r="VZT27" s="1266"/>
      <c r="VZU27" s="1266"/>
      <c r="VZV27" s="1266"/>
      <c r="VZW27" s="1266"/>
      <c r="VZX27" s="1266"/>
      <c r="VZY27" s="1266"/>
      <c r="VZZ27" s="1266"/>
      <c r="WAA27" s="1266"/>
      <c r="WAB27" s="1266"/>
      <c r="WAC27" s="1266"/>
      <c r="WAD27" s="1266"/>
      <c r="WAE27" s="1266"/>
      <c r="WAF27" s="1266"/>
      <c r="WAG27" s="1266"/>
      <c r="WAH27" s="1266"/>
      <c r="WAI27" s="1266"/>
      <c r="WAJ27" s="1266"/>
      <c r="WAK27" s="1266"/>
      <c r="WAL27" s="1266"/>
      <c r="WAM27" s="1266"/>
      <c r="WAN27" s="1266"/>
      <c r="WAO27" s="1266"/>
      <c r="WAP27" s="1266"/>
      <c r="WAQ27" s="1266"/>
      <c r="WAR27" s="1266"/>
      <c r="WAS27" s="1266"/>
      <c r="WAT27" s="1266"/>
      <c r="WAU27" s="1266"/>
      <c r="WAV27" s="1266"/>
      <c r="WAW27" s="1266"/>
      <c r="WAX27" s="1266"/>
      <c r="WAY27" s="1266"/>
      <c r="WAZ27" s="1266"/>
      <c r="WBA27" s="1266"/>
      <c r="WBB27" s="1266"/>
      <c r="WBC27" s="1266"/>
      <c r="WBD27" s="1266"/>
      <c r="WBE27" s="1266"/>
      <c r="WBF27" s="1266"/>
      <c r="WBG27" s="1266"/>
      <c r="WBH27" s="1266"/>
      <c r="WBI27" s="1266"/>
      <c r="WBJ27" s="1266"/>
      <c r="WBK27" s="1266"/>
      <c r="WBL27" s="1266"/>
      <c r="WBM27" s="1266"/>
      <c r="WBN27" s="1266"/>
      <c r="WBO27" s="1266"/>
      <c r="WBP27" s="1266"/>
      <c r="WBQ27" s="1266"/>
      <c r="WBR27" s="1266"/>
      <c r="WBS27" s="1266"/>
      <c r="WBT27" s="1266"/>
      <c r="WBU27" s="1266"/>
      <c r="WBV27" s="1266"/>
      <c r="WBW27" s="1266"/>
      <c r="WBX27" s="1266"/>
      <c r="WBY27" s="1266"/>
      <c r="WBZ27" s="1266"/>
      <c r="WCA27" s="1266"/>
      <c r="WCB27" s="1266"/>
      <c r="WCC27" s="1266"/>
      <c r="WCD27" s="1266"/>
      <c r="WCE27" s="1266"/>
      <c r="WCF27" s="1266"/>
      <c r="WCG27" s="1266"/>
      <c r="WCH27" s="1266"/>
      <c r="WCI27" s="1266"/>
      <c r="WCJ27" s="1266"/>
      <c r="WCK27" s="1266"/>
      <c r="WCL27" s="1266"/>
      <c r="WCM27" s="1266"/>
      <c r="WCN27" s="1266"/>
      <c r="WCO27" s="1266"/>
      <c r="WCP27" s="1266"/>
      <c r="WCQ27" s="1266"/>
      <c r="WCR27" s="1266"/>
      <c r="WCS27" s="1266"/>
      <c r="WCT27" s="1266"/>
      <c r="WCU27" s="1266"/>
      <c r="WCV27" s="1266"/>
      <c r="WCW27" s="1266"/>
      <c r="WCX27" s="1266"/>
      <c r="WCY27" s="1266"/>
      <c r="WCZ27" s="1266"/>
      <c r="WDA27" s="1266"/>
      <c r="WDB27" s="1266"/>
      <c r="WDC27" s="1266"/>
      <c r="WDD27" s="1266"/>
      <c r="WDE27" s="1266"/>
      <c r="WDF27" s="1266"/>
      <c r="WDG27" s="1266"/>
      <c r="WDH27" s="1266"/>
      <c r="WDI27" s="1266"/>
      <c r="WDJ27" s="1266"/>
      <c r="WDK27" s="1266"/>
      <c r="WDL27" s="1266"/>
      <c r="WDM27" s="1266"/>
      <c r="WDN27" s="1266"/>
      <c r="WDO27" s="1266"/>
      <c r="WDP27" s="1266"/>
      <c r="WDQ27" s="1266"/>
      <c r="WDR27" s="1266"/>
      <c r="WDS27" s="1266"/>
      <c r="WDT27" s="1266"/>
      <c r="WDU27" s="1266"/>
      <c r="WDV27" s="1266"/>
      <c r="WDW27" s="1266"/>
      <c r="WDX27" s="1266"/>
      <c r="WDY27" s="1266"/>
      <c r="WDZ27" s="1266"/>
      <c r="WEA27" s="1266"/>
      <c r="WEB27" s="1266"/>
      <c r="WEC27" s="1266"/>
      <c r="WED27" s="1266"/>
      <c r="WEE27" s="1266"/>
      <c r="WEF27" s="1266"/>
      <c r="WEG27" s="1266"/>
      <c r="WEH27" s="1266"/>
      <c r="WEI27" s="1266"/>
      <c r="WEJ27" s="1266"/>
      <c r="WEK27" s="1266"/>
      <c r="WEL27" s="1266"/>
      <c r="WEM27" s="1266"/>
      <c r="WEN27" s="1266"/>
      <c r="WEO27" s="1266"/>
      <c r="WEP27" s="1266"/>
      <c r="WEQ27" s="1266"/>
      <c r="WER27" s="1266"/>
      <c r="WES27" s="1266"/>
      <c r="WET27" s="1266"/>
      <c r="WEU27" s="1266"/>
      <c r="WEV27" s="1266"/>
      <c r="WEW27" s="1266"/>
      <c r="WEX27" s="1266"/>
      <c r="WEY27" s="1266"/>
      <c r="WEZ27" s="1266"/>
      <c r="WFA27" s="1266"/>
      <c r="WFB27" s="1266"/>
      <c r="WFC27" s="1266"/>
      <c r="WFD27" s="1266"/>
      <c r="WFE27" s="1266"/>
      <c r="WFF27" s="1266"/>
      <c r="WFG27" s="1266"/>
      <c r="WFH27" s="1266"/>
      <c r="WFI27" s="1266"/>
      <c r="WFJ27" s="1266"/>
      <c r="WFK27" s="1266"/>
      <c r="WFL27" s="1266"/>
      <c r="WFM27" s="1266"/>
      <c r="WFN27" s="1266"/>
      <c r="WFO27" s="1266"/>
      <c r="WFP27" s="1266"/>
      <c r="WFQ27" s="1266"/>
      <c r="WFR27" s="1266"/>
      <c r="WFS27" s="1266"/>
      <c r="WFT27" s="1266"/>
      <c r="WFU27" s="1266"/>
      <c r="WFV27" s="1266"/>
      <c r="WFW27" s="1266"/>
      <c r="WFX27" s="1266"/>
      <c r="WFY27" s="1266"/>
      <c r="WFZ27" s="1266"/>
      <c r="WGA27" s="1266"/>
      <c r="WGB27" s="1266"/>
      <c r="WGC27" s="1266"/>
      <c r="WGD27" s="1266"/>
      <c r="WGE27" s="1266"/>
      <c r="WGF27" s="1266"/>
      <c r="WGG27" s="1266"/>
      <c r="WGH27" s="1266"/>
      <c r="WGI27" s="1266"/>
      <c r="WGJ27" s="1266"/>
      <c r="WGK27" s="1266"/>
      <c r="WGL27" s="1266"/>
      <c r="WGM27" s="1266"/>
      <c r="WGN27" s="1266"/>
      <c r="WGO27" s="1266"/>
      <c r="WGP27" s="1266"/>
      <c r="WGQ27" s="1266"/>
      <c r="WGR27" s="1266"/>
      <c r="WGS27" s="1266"/>
      <c r="WGT27" s="1266"/>
      <c r="WGU27" s="1266"/>
      <c r="WGV27" s="1266"/>
      <c r="WGW27" s="1266"/>
      <c r="WGX27" s="1266"/>
      <c r="WGY27" s="1266"/>
      <c r="WGZ27" s="1266"/>
      <c r="WHA27" s="1266"/>
      <c r="WHB27" s="1266"/>
      <c r="WHC27" s="1266"/>
      <c r="WHD27" s="1266"/>
      <c r="WHE27" s="1266"/>
      <c r="WHF27" s="1266"/>
      <c r="WHG27" s="1266"/>
      <c r="WHH27" s="1266"/>
      <c r="WHI27" s="1266"/>
      <c r="WHJ27" s="1266"/>
      <c r="WHK27" s="1266"/>
      <c r="WHL27" s="1266"/>
      <c r="WHM27" s="1266"/>
      <c r="WHN27" s="1266"/>
      <c r="WHO27" s="1266"/>
      <c r="WHP27" s="1266"/>
      <c r="WHQ27" s="1266"/>
      <c r="WHR27" s="1266"/>
      <c r="WHS27" s="1266"/>
      <c r="WHT27" s="1266"/>
      <c r="WHU27" s="1266"/>
      <c r="WHV27" s="1266"/>
      <c r="WHW27" s="1266"/>
      <c r="WHX27" s="1266"/>
      <c r="WHY27" s="1266"/>
      <c r="WHZ27" s="1266"/>
      <c r="WIA27" s="1266"/>
      <c r="WIB27" s="1266"/>
      <c r="WIC27" s="1266"/>
      <c r="WID27" s="1266"/>
      <c r="WIE27" s="1266"/>
      <c r="WIF27" s="1266"/>
      <c r="WIG27" s="1266"/>
      <c r="WIH27" s="1266"/>
      <c r="WII27" s="1266"/>
      <c r="WIJ27" s="1266"/>
      <c r="WIK27" s="1266"/>
      <c r="WIL27" s="1266"/>
      <c r="WIM27" s="1266"/>
      <c r="WIN27" s="1266"/>
      <c r="WIO27" s="1266"/>
      <c r="WIP27" s="1266"/>
      <c r="WIQ27" s="1266"/>
      <c r="WIR27" s="1266"/>
      <c r="WIS27" s="1266"/>
      <c r="WIT27" s="1266"/>
      <c r="WIU27" s="1266"/>
      <c r="WIV27" s="1266"/>
      <c r="WIW27" s="1266"/>
      <c r="WIX27" s="1266"/>
      <c r="WIY27" s="1266"/>
      <c r="WIZ27" s="1266"/>
      <c r="WJA27" s="1266"/>
      <c r="WJB27" s="1266"/>
      <c r="WJC27" s="1266"/>
      <c r="WJD27" s="1266"/>
      <c r="WJE27" s="1266"/>
      <c r="WJF27" s="1266"/>
      <c r="WJG27" s="1266"/>
      <c r="WJH27" s="1266"/>
      <c r="WJI27" s="1266"/>
      <c r="WJJ27" s="1266"/>
      <c r="WJK27" s="1266"/>
      <c r="WJL27" s="1266"/>
      <c r="WJM27" s="1266"/>
      <c r="WJN27" s="1266"/>
      <c r="WJO27" s="1266"/>
      <c r="WJP27" s="1266"/>
      <c r="WJQ27" s="1266"/>
      <c r="WJR27" s="1266"/>
      <c r="WJS27" s="1266"/>
      <c r="WJT27" s="1266"/>
      <c r="WJU27" s="1266"/>
      <c r="WJV27" s="1266"/>
      <c r="WJW27" s="1266"/>
      <c r="WJX27" s="1266"/>
      <c r="WJY27" s="1266"/>
      <c r="WJZ27" s="1266"/>
      <c r="WKA27" s="1266"/>
      <c r="WKB27" s="1266"/>
      <c r="WKC27" s="1266"/>
      <c r="WKD27" s="1266"/>
      <c r="WKE27" s="1266"/>
      <c r="WKF27" s="1266"/>
      <c r="WKG27" s="1266"/>
      <c r="WKH27" s="1266"/>
      <c r="WKI27" s="1266"/>
      <c r="WKJ27" s="1266"/>
      <c r="WKK27" s="1266"/>
      <c r="WKL27" s="1266"/>
      <c r="WKM27" s="1266"/>
      <c r="WKN27" s="1266"/>
      <c r="WKO27" s="1266"/>
      <c r="WKP27" s="1266"/>
      <c r="WKQ27" s="1266"/>
      <c r="WKR27" s="1266"/>
      <c r="WKS27" s="1266"/>
      <c r="WKT27" s="1266"/>
      <c r="WKU27" s="1266"/>
      <c r="WKV27" s="1266"/>
      <c r="WKW27" s="1266"/>
      <c r="WKX27" s="1266"/>
      <c r="WKY27" s="1266"/>
      <c r="WKZ27" s="1266"/>
      <c r="WLA27" s="1266"/>
      <c r="WLB27" s="1266"/>
      <c r="WLC27" s="1266"/>
      <c r="WLD27" s="1266"/>
      <c r="WLE27" s="1266"/>
      <c r="WLF27" s="1266"/>
      <c r="WLG27" s="1266"/>
      <c r="WLH27" s="1266"/>
      <c r="WLI27" s="1266"/>
      <c r="WLJ27" s="1266"/>
      <c r="WLK27" s="1266"/>
      <c r="WLL27" s="1266"/>
      <c r="WLM27" s="1266"/>
      <c r="WLN27" s="1266"/>
      <c r="WLO27" s="1266"/>
      <c r="WLP27" s="1266"/>
      <c r="WLQ27" s="1266"/>
      <c r="WLR27" s="1266"/>
      <c r="WLS27" s="1266"/>
      <c r="WLT27" s="1266"/>
      <c r="WLU27" s="1266"/>
      <c r="WLV27" s="1266"/>
      <c r="WLW27" s="1266"/>
      <c r="WLX27" s="1266"/>
      <c r="WLY27" s="1266"/>
      <c r="WLZ27" s="1266"/>
      <c r="WMA27" s="1266"/>
      <c r="WMB27" s="1266"/>
      <c r="WMC27" s="1266"/>
      <c r="WMD27" s="1266"/>
      <c r="WME27" s="1266"/>
      <c r="WMF27" s="1266"/>
      <c r="WMG27" s="1266"/>
      <c r="WMH27" s="1266"/>
      <c r="WMI27" s="1266"/>
      <c r="WMJ27" s="1266"/>
      <c r="WMK27" s="1266"/>
      <c r="WML27" s="1266"/>
      <c r="WMM27" s="1266"/>
      <c r="WMN27" s="1266"/>
      <c r="WMO27" s="1266"/>
      <c r="WMP27" s="1266"/>
      <c r="WMQ27" s="1266"/>
      <c r="WMR27" s="1266"/>
      <c r="WMS27" s="1266"/>
      <c r="WMT27" s="1266"/>
      <c r="WMU27" s="1266"/>
      <c r="WMV27" s="1266"/>
      <c r="WMW27" s="1266"/>
      <c r="WMX27" s="1266"/>
      <c r="WMY27" s="1266"/>
      <c r="WMZ27" s="1266"/>
      <c r="WNA27" s="1266"/>
      <c r="WNB27" s="1266"/>
      <c r="WNC27" s="1266"/>
      <c r="WND27" s="1266"/>
      <c r="WNE27" s="1266"/>
      <c r="WNF27" s="1266"/>
      <c r="WNG27" s="1266"/>
      <c r="WNH27" s="1266"/>
      <c r="WNI27" s="1266"/>
      <c r="WNJ27" s="1266"/>
      <c r="WNK27" s="1266"/>
      <c r="WNL27" s="1266"/>
      <c r="WNM27" s="1266"/>
      <c r="WNN27" s="1266"/>
      <c r="WNO27" s="1266"/>
      <c r="WNP27" s="1266"/>
      <c r="WNQ27" s="1266"/>
      <c r="WNR27" s="1266"/>
      <c r="WNS27" s="1266"/>
      <c r="WNT27" s="1266"/>
      <c r="WNU27" s="1266"/>
      <c r="WNV27" s="1266"/>
      <c r="WNW27" s="1266"/>
      <c r="WNX27" s="1266"/>
      <c r="WNY27" s="1266"/>
      <c r="WNZ27" s="1266"/>
      <c r="WOA27" s="1266"/>
      <c r="WOB27" s="1266"/>
      <c r="WOC27" s="1266"/>
      <c r="WOD27" s="1266"/>
      <c r="WOE27" s="1266"/>
      <c r="WOF27" s="1266"/>
      <c r="WOG27" s="1266"/>
      <c r="WOH27" s="1266"/>
      <c r="WOI27" s="1266"/>
      <c r="WOJ27" s="1266"/>
      <c r="WOK27" s="1266"/>
      <c r="WOL27" s="1266"/>
      <c r="WOM27" s="1266"/>
      <c r="WON27" s="1266"/>
      <c r="WOO27" s="1266"/>
      <c r="WOP27" s="1266"/>
      <c r="WOQ27" s="1266"/>
      <c r="WOR27" s="1266"/>
      <c r="WOS27" s="1266"/>
      <c r="WOT27" s="1266"/>
      <c r="WOU27" s="1266"/>
      <c r="WOV27" s="1266"/>
      <c r="WOW27" s="1266"/>
      <c r="WOX27" s="1266"/>
      <c r="WOY27" s="1266"/>
      <c r="WOZ27" s="1266"/>
      <c r="WPA27" s="1266"/>
      <c r="WPB27" s="1266"/>
      <c r="WPC27" s="1266"/>
      <c r="WPD27" s="1266"/>
      <c r="WPE27" s="1266"/>
      <c r="WPF27" s="1266"/>
      <c r="WPG27" s="1266"/>
      <c r="WPH27" s="1266"/>
      <c r="WPI27" s="1266"/>
      <c r="WPJ27" s="1266"/>
      <c r="WPK27" s="1266"/>
      <c r="WPL27" s="1266"/>
      <c r="WPM27" s="1266"/>
      <c r="WPN27" s="1266"/>
      <c r="WPO27" s="1266"/>
      <c r="WPP27" s="1266"/>
      <c r="WPQ27" s="1266"/>
      <c r="WPR27" s="1266"/>
      <c r="WPS27" s="1266"/>
      <c r="WPT27" s="1266"/>
      <c r="WPU27" s="1266"/>
      <c r="WPV27" s="1266"/>
      <c r="WPW27" s="1266"/>
      <c r="WPX27" s="1266"/>
      <c r="WPY27" s="1266"/>
      <c r="WPZ27" s="1266"/>
      <c r="WQA27" s="1266"/>
      <c r="WQB27" s="1266"/>
      <c r="WQC27" s="1266"/>
      <c r="WQD27" s="1266"/>
      <c r="WQE27" s="1266"/>
      <c r="WQF27" s="1266"/>
      <c r="WQG27" s="1266"/>
      <c r="WQH27" s="1266"/>
      <c r="WQI27" s="1266"/>
      <c r="WQJ27" s="1266"/>
      <c r="WQK27" s="1266"/>
      <c r="WQL27" s="1266"/>
      <c r="WQM27" s="1266"/>
      <c r="WQN27" s="1266"/>
      <c r="WQO27" s="1266"/>
      <c r="WQP27" s="1266"/>
      <c r="WQQ27" s="1266"/>
      <c r="WQR27" s="1266"/>
      <c r="WQS27" s="1266"/>
      <c r="WQT27" s="1266"/>
      <c r="WQU27" s="1266"/>
      <c r="WQV27" s="1266"/>
      <c r="WQW27" s="1266"/>
      <c r="WQX27" s="1266"/>
      <c r="WQY27" s="1266"/>
      <c r="WQZ27" s="1266"/>
      <c r="WRA27" s="1266"/>
      <c r="WRB27" s="1266"/>
      <c r="WRC27" s="1266"/>
      <c r="WRD27" s="1266"/>
      <c r="WRE27" s="1266"/>
      <c r="WRF27" s="1266"/>
      <c r="WRG27" s="1266"/>
      <c r="WRH27" s="1266"/>
      <c r="WRI27" s="1266"/>
      <c r="WRJ27" s="1266"/>
      <c r="WRK27" s="1266"/>
      <c r="WRL27" s="1266"/>
      <c r="WRM27" s="1266"/>
      <c r="WRN27" s="1266"/>
      <c r="WRO27" s="1266"/>
      <c r="WRP27" s="1266"/>
      <c r="WRQ27" s="1266"/>
      <c r="WRR27" s="1266"/>
      <c r="WRS27" s="1266"/>
      <c r="WRT27" s="1266"/>
      <c r="WRU27" s="1266"/>
      <c r="WRV27" s="1266"/>
      <c r="WRW27" s="1266"/>
      <c r="WRX27" s="1266"/>
      <c r="WRY27" s="1266"/>
      <c r="WRZ27" s="1266"/>
      <c r="WSA27" s="1266"/>
      <c r="WSB27" s="1266"/>
      <c r="WSC27" s="1266"/>
      <c r="WSD27" s="1266"/>
      <c r="WSE27" s="1266"/>
      <c r="WSF27" s="1266"/>
      <c r="WSG27" s="1266"/>
      <c r="WSH27" s="1266"/>
      <c r="WSI27" s="1266"/>
      <c r="WSJ27" s="1266"/>
      <c r="WSK27" s="1266"/>
      <c r="WSL27" s="1266"/>
      <c r="WSM27" s="1266"/>
      <c r="WSN27" s="1266"/>
      <c r="WSO27" s="1266"/>
      <c r="WSP27" s="1266"/>
      <c r="WSQ27" s="1266"/>
      <c r="WSR27" s="1266"/>
      <c r="WSS27" s="1266"/>
      <c r="WST27" s="1266"/>
      <c r="WSU27" s="1266"/>
      <c r="WSV27" s="1266"/>
      <c r="WSW27" s="1266"/>
      <c r="WSX27" s="1266"/>
      <c r="WSY27" s="1266"/>
      <c r="WSZ27" s="1266"/>
      <c r="WTA27" s="1266"/>
      <c r="WTB27" s="1266"/>
      <c r="WTC27" s="1266"/>
      <c r="WTD27" s="1266"/>
      <c r="WTE27" s="1266"/>
      <c r="WTF27" s="1266"/>
      <c r="WTG27" s="1266"/>
      <c r="WTH27" s="1266"/>
      <c r="WTI27" s="1266"/>
      <c r="WTJ27" s="1266"/>
      <c r="WTK27" s="1266"/>
      <c r="WTL27" s="1266"/>
      <c r="WTM27" s="1266"/>
      <c r="WTN27" s="1266"/>
      <c r="WTO27" s="1266"/>
      <c r="WTP27" s="1266"/>
      <c r="WTQ27" s="1266"/>
      <c r="WTR27" s="1266"/>
      <c r="WTS27" s="1266"/>
      <c r="WTT27" s="1266"/>
      <c r="WTU27" s="1266"/>
      <c r="WTV27" s="1266"/>
      <c r="WTW27" s="1266"/>
      <c r="WTX27" s="1266"/>
      <c r="WTY27" s="1266"/>
      <c r="WTZ27" s="1266"/>
      <c r="WUA27" s="1266"/>
      <c r="WUB27" s="1266"/>
      <c r="WUC27" s="1266"/>
      <c r="WUD27" s="1266"/>
      <c r="WUE27" s="1266"/>
      <c r="WUF27" s="1266"/>
      <c r="WUG27" s="1266"/>
      <c r="WUH27" s="1266"/>
      <c r="WUI27" s="1266"/>
      <c r="WUJ27" s="1266"/>
      <c r="WUK27" s="1266"/>
      <c r="WUL27" s="1266"/>
      <c r="WUM27" s="1266"/>
      <c r="WUN27" s="1266"/>
      <c r="WUO27" s="1266"/>
      <c r="WUP27" s="1266"/>
      <c r="WUQ27" s="1266"/>
      <c r="WUR27" s="1266"/>
      <c r="WUS27" s="1266"/>
      <c r="WUT27" s="1266"/>
      <c r="WUU27" s="1266"/>
      <c r="WUV27" s="1266"/>
      <c r="WUW27" s="1266"/>
      <c r="WUX27" s="1266"/>
      <c r="WUY27" s="1266"/>
      <c r="WUZ27" s="1266"/>
      <c r="WVA27" s="1266"/>
      <c r="WVB27" s="1266"/>
      <c r="WVC27" s="1266"/>
      <c r="WVD27" s="1266"/>
      <c r="WVE27" s="1266"/>
      <c r="WVF27" s="1266"/>
      <c r="WVG27" s="1266"/>
      <c r="WVH27" s="1266"/>
      <c r="WVI27" s="1266"/>
      <c r="WVJ27" s="1266"/>
      <c r="WVK27" s="1266"/>
      <c r="WVL27" s="1266"/>
      <c r="WVM27" s="1266"/>
      <c r="WVN27" s="1266"/>
      <c r="WVO27" s="1266"/>
      <c r="WVP27" s="1266"/>
      <c r="WVQ27" s="1266"/>
      <c r="WVR27" s="1266"/>
      <c r="WVS27" s="1266"/>
      <c r="WVT27" s="1266"/>
      <c r="WVU27" s="1266"/>
      <c r="WVV27" s="1266"/>
      <c r="WVW27" s="1266"/>
      <c r="WVX27" s="1266"/>
      <c r="WVY27" s="1266"/>
      <c r="WVZ27" s="1266"/>
      <c r="WWA27" s="1266"/>
      <c r="WWB27" s="1266"/>
      <c r="WWC27" s="1266"/>
      <c r="WWD27" s="1266"/>
      <c r="WWE27" s="1266"/>
      <c r="WWF27" s="1266"/>
      <c r="WWG27" s="1266"/>
      <c r="WWH27" s="1266"/>
      <c r="WWI27" s="1266"/>
      <c r="WWJ27" s="1266"/>
      <c r="WWK27" s="1266"/>
      <c r="WWL27" s="1266"/>
      <c r="WWM27" s="1266"/>
      <c r="WWN27" s="1266"/>
      <c r="WWO27" s="1266"/>
      <c r="WWP27" s="1266"/>
      <c r="WWQ27" s="1266"/>
      <c r="WWR27" s="1266"/>
      <c r="WWS27" s="1266"/>
      <c r="WWT27" s="1266"/>
      <c r="WWU27" s="1266"/>
      <c r="WWV27" s="1266"/>
      <c r="WWW27" s="1266"/>
      <c r="WWX27" s="1266"/>
      <c r="WWY27" s="1266"/>
      <c r="WWZ27" s="1266"/>
      <c r="WXA27" s="1266"/>
      <c r="WXB27" s="1266"/>
      <c r="WXC27" s="1266"/>
      <c r="WXD27" s="1266"/>
      <c r="WXE27" s="1266"/>
      <c r="WXF27" s="1266"/>
      <c r="WXG27" s="1266"/>
      <c r="WXH27" s="1266"/>
      <c r="WXI27" s="1266"/>
      <c r="WXJ27" s="1266"/>
      <c r="WXK27" s="1266"/>
      <c r="WXL27" s="1266"/>
      <c r="WXM27" s="1266"/>
      <c r="WXN27" s="1266"/>
      <c r="WXO27" s="1266"/>
      <c r="WXP27" s="1266"/>
      <c r="WXQ27" s="1266"/>
      <c r="WXR27" s="1266"/>
      <c r="WXS27" s="1266"/>
      <c r="WXT27" s="1266"/>
      <c r="WXU27" s="1266"/>
      <c r="WXV27" s="1266"/>
      <c r="WXW27" s="1266"/>
      <c r="WXX27" s="1266"/>
      <c r="WXY27" s="1266"/>
      <c r="WXZ27" s="1266"/>
      <c r="WYA27" s="1266"/>
      <c r="WYB27" s="1266"/>
      <c r="WYC27" s="1266"/>
      <c r="WYD27" s="1266"/>
      <c r="WYE27" s="1266"/>
      <c r="WYF27" s="1266"/>
      <c r="WYG27" s="1266"/>
      <c r="WYH27" s="1266"/>
      <c r="WYI27" s="1266"/>
      <c r="WYJ27" s="1266"/>
      <c r="WYK27" s="1266"/>
      <c r="WYL27" s="1266"/>
      <c r="WYM27" s="1266"/>
      <c r="WYN27" s="1266"/>
      <c r="WYO27" s="1266"/>
      <c r="WYP27" s="1266"/>
      <c r="WYQ27" s="1266"/>
      <c r="WYR27" s="1266"/>
      <c r="WYS27" s="1266"/>
      <c r="WYT27" s="1266"/>
      <c r="WYU27" s="1266"/>
      <c r="WYV27" s="1266"/>
      <c r="WYW27" s="1266"/>
      <c r="WYX27" s="1266"/>
      <c r="WYY27" s="1266"/>
      <c r="WYZ27" s="1266"/>
      <c r="WZA27" s="1266"/>
      <c r="WZB27" s="1266"/>
      <c r="WZC27" s="1266"/>
      <c r="WZD27" s="1266"/>
      <c r="WZE27" s="1266"/>
      <c r="WZF27" s="1266"/>
      <c r="WZG27" s="1266"/>
      <c r="WZH27" s="1266"/>
      <c r="WZI27" s="1266"/>
      <c r="WZJ27" s="1266"/>
      <c r="WZK27" s="1266"/>
      <c r="WZL27" s="1266"/>
      <c r="WZM27" s="1266"/>
      <c r="WZN27" s="1266"/>
      <c r="WZO27" s="1266"/>
      <c r="WZP27" s="1266"/>
      <c r="WZQ27" s="1266"/>
      <c r="WZR27" s="1266"/>
      <c r="WZS27" s="1266"/>
      <c r="WZT27" s="1266"/>
      <c r="WZU27" s="1266"/>
      <c r="WZV27" s="1266"/>
      <c r="WZW27" s="1266"/>
      <c r="WZX27" s="1266"/>
      <c r="WZY27" s="1266"/>
      <c r="WZZ27" s="1266"/>
      <c r="XAA27" s="1266"/>
      <c r="XAB27" s="1266"/>
      <c r="XAC27" s="1266"/>
      <c r="XAD27" s="1266"/>
      <c r="XAE27" s="1266"/>
      <c r="XAF27" s="1266"/>
      <c r="XAG27" s="1266"/>
      <c r="XAH27" s="1266"/>
      <c r="XAI27" s="1266"/>
      <c r="XAJ27" s="1266"/>
      <c r="XAK27" s="1266"/>
      <c r="XAL27" s="1266"/>
      <c r="XAM27" s="1266"/>
      <c r="XAN27" s="1266"/>
      <c r="XAO27" s="1266"/>
      <c r="XAP27" s="1266"/>
      <c r="XAQ27" s="1266"/>
      <c r="XAR27" s="1266"/>
      <c r="XAS27" s="1266"/>
      <c r="XAT27" s="1266"/>
      <c r="XAU27" s="1266"/>
      <c r="XAV27" s="1266"/>
      <c r="XAW27" s="1266"/>
      <c r="XAX27" s="1266"/>
      <c r="XAY27" s="1266"/>
      <c r="XAZ27" s="1266"/>
      <c r="XBA27" s="1266"/>
      <c r="XBB27" s="1266"/>
      <c r="XBC27" s="1266"/>
      <c r="XBD27" s="1266"/>
      <c r="XBE27" s="1266"/>
      <c r="XBF27" s="1266"/>
      <c r="XBG27" s="1266"/>
      <c r="XBH27" s="1266"/>
      <c r="XBI27" s="1266"/>
      <c r="XBJ27" s="1266"/>
      <c r="XBK27" s="1266"/>
      <c r="XBL27" s="1266"/>
      <c r="XBM27" s="1266"/>
      <c r="XBN27" s="1266"/>
      <c r="XBO27" s="1266"/>
      <c r="XBP27" s="1266"/>
      <c r="XBQ27" s="1266"/>
      <c r="XBR27" s="1266"/>
      <c r="XBS27" s="1266"/>
      <c r="XBT27" s="1266"/>
      <c r="XBU27" s="1266"/>
      <c r="XBV27" s="1266"/>
      <c r="XBW27" s="1266"/>
      <c r="XBX27" s="1266"/>
      <c r="XBY27" s="1266"/>
      <c r="XBZ27" s="1266"/>
      <c r="XCA27" s="1266"/>
      <c r="XCB27" s="1266"/>
      <c r="XCC27" s="1266"/>
      <c r="XCD27" s="1266"/>
      <c r="XCE27" s="1266"/>
      <c r="XCF27" s="1266"/>
      <c r="XCG27" s="1266"/>
      <c r="XCH27" s="1266"/>
      <c r="XCI27" s="1266"/>
      <c r="XCJ27" s="1266"/>
      <c r="XCK27" s="1266"/>
      <c r="XCL27" s="1266"/>
      <c r="XCM27" s="1266"/>
      <c r="XCN27" s="1266"/>
      <c r="XCO27" s="1266"/>
      <c r="XCP27" s="1266"/>
      <c r="XCQ27" s="1266"/>
      <c r="XCR27" s="1266"/>
      <c r="XCS27" s="1266"/>
      <c r="XCT27" s="1266"/>
      <c r="XCU27" s="1266"/>
      <c r="XCV27" s="1266"/>
      <c r="XCW27" s="1266"/>
      <c r="XCX27" s="1266"/>
      <c r="XCY27" s="1266"/>
      <c r="XCZ27" s="1266"/>
      <c r="XDA27" s="1266"/>
      <c r="XDB27" s="1266"/>
      <c r="XDC27" s="1266"/>
      <c r="XDD27" s="1266"/>
      <c r="XDE27" s="1266"/>
      <c r="XDF27" s="1266"/>
      <c r="XDG27" s="1266"/>
      <c r="XDH27" s="1266"/>
      <c r="XDI27" s="1266"/>
      <c r="XDJ27" s="1266"/>
      <c r="XDK27" s="1266"/>
      <c r="XDL27" s="1266"/>
      <c r="XDM27" s="1266"/>
      <c r="XDN27" s="1266"/>
      <c r="XDO27" s="1266"/>
      <c r="XDP27" s="1266"/>
      <c r="XDQ27" s="1266"/>
      <c r="XDR27" s="1266"/>
      <c r="XDS27" s="1266"/>
      <c r="XDT27" s="1266"/>
      <c r="XDU27" s="1266"/>
      <c r="XDV27" s="1266"/>
      <c r="XDW27" s="1266"/>
      <c r="XDX27" s="1266"/>
      <c r="XDY27" s="1266"/>
      <c r="XDZ27" s="1266"/>
      <c r="XEA27" s="1266"/>
      <c r="XEB27" s="1266"/>
      <c r="XEC27" s="1266"/>
      <c r="XED27" s="1266"/>
      <c r="XEE27" s="1266"/>
      <c r="XEF27" s="1266"/>
      <c r="XEG27" s="1266"/>
      <c r="XEH27" s="1266"/>
      <c r="XEI27" s="1266"/>
      <c r="XEJ27" s="1266"/>
      <c r="XEK27" s="1266"/>
      <c r="XEL27" s="1266"/>
      <c r="XEM27" s="1266"/>
      <c r="XEN27" s="1266"/>
      <c r="XEO27" s="1266"/>
      <c r="XEP27" s="1266"/>
      <c r="XEQ27" s="1266"/>
      <c r="XER27" s="1266"/>
      <c r="XES27" s="1266"/>
      <c r="XET27" s="1266"/>
      <c r="XEU27" s="1266"/>
      <c r="XEV27" s="1266"/>
      <c r="XEW27" s="1266"/>
      <c r="XEX27" s="1266"/>
      <c r="XEY27" s="1266"/>
      <c r="XEZ27" s="1266"/>
      <c r="XFA27" s="1266"/>
      <c r="XFB27" s="1266"/>
      <c r="XFC27" s="1266"/>
      <c r="XFD27" s="1266"/>
    </row>
    <row r="28" spans="1:16384" s="972" customFormat="1" ht="42.75" customHeight="1">
      <c r="A28" s="1267" t="s">
        <v>700</v>
      </c>
      <c r="B28" s="1267"/>
      <c r="C28" s="1268" t="e">
        <f>+cuadro!L12</f>
        <v>#REF!</v>
      </c>
      <c r="D28" s="1268"/>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c r="CB28" s="1266"/>
      <c r="CC28" s="1266"/>
      <c r="CD28" s="1266"/>
      <c r="CE28" s="1266"/>
      <c r="CF28" s="1266"/>
      <c r="CG28" s="1266"/>
      <c r="CH28" s="1266"/>
      <c r="CI28" s="1266"/>
      <c r="CJ28" s="1266"/>
      <c r="CK28" s="1266"/>
      <c r="CL28" s="1266"/>
      <c r="CM28" s="1266"/>
      <c r="CN28" s="1266"/>
      <c r="CO28" s="1266"/>
      <c r="CP28" s="1266"/>
      <c r="CQ28" s="1266"/>
      <c r="CR28" s="1266"/>
      <c r="CS28" s="1266"/>
      <c r="CT28" s="1266"/>
      <c r="CU28" s="1266"/>
      <c r="CV28" s="1266"/>
      <c r="CW28" s="1266"/>
      <c r="CX28" s="1266"/>
      <c r="CY28" s="1266"/>
      <c r="CZ28" s="1266"/>
      <c r="DA28" s="1266"/>
      <c r="DB28" s="1266"/>
      <c r="DC28" s="1266"/>
      <c r="DD28" s="1266"/>
      <c r="DE28" s="1266"/>
      <c r="DF28" s="1266"/>
      <c r="DG28" s="1266"/>
      <c r="DH28" s="1266"/>
      <c r="DI28" s="1266"/>
      <c r="DJ28" s="1266"/>
      <c r="DK28" s="1266"/>
      <c r="DL28" s="1266"/>
      <c r="DM28" s="1266"/>
      <c r="DN28" s="1266"/>
      <c r="DO28" s="1266"/>
      <c r="DP28" s="1266"/>
      <c r="DQ28" s="1266"/>
      <c r="DR28" s="1266"/>
      <c r="DS28" s="1266"/>
      <c r="DT28" s="1266"/>
      <c r="DU28" s="1266"/>
      <c r="DV28" s="1266"/>
      <c r="DW28" s="1266"/>
      <c r="DX28" s="1266"/>
      <c r="DY28" s="1266"/>
      <c r="DZ28" s="1266"/>
      <c r="EA28" s="1266"/>
      <c r="EB28" s="1266"/>
      <c r="EC28" s="1266"/>
      <c r="ED28" s="1266"/>
      <c r="EE28" s="1266"/>
      <c r="EF28" s="1266"/>
      <c r="EG28" s="1266"/>
      <c r="EH28" s="1266"/>
      <c r="EI28" s="1266"/>
      <c r="EJ28" s="1266"/>
      <c r="EK28" s="1266"/>
      <c r="EL28" s="1266"/>
      <c r="EM28" s="1266"/>
      <c r="EN28" s="1266"/>
      <c r="EO28" s="1266"/>
      <c r="EP28" s="1266"/>
      <c r="EQ28" s="1266"/>
      <c r="ER28" s="1266"/>
      <c r="ES28" s="1266"/>
      <c r="ET28" s="1266"/>
      <c r="EU28" s="1266"/>
      <c r="EV28" s="1266"/>
      <c r="EW28" s="1266"/>
      <c r="EX28" s="1266"/>
      <c r="EY28" s="1266"/>
      <c r="EZ28" s="1266"/>
      <c r="FA28" s="1266"/>
      <c r="FB28" s="1266"/>
      <c r="FC28" s="1266"/>
      <c r="FD28" s="1266"/>
      <c r="FE28" s="1266"/>
      <c r="FF28" s="1266"/>
      <c r="FG28" s="1266"/>
      <c r="FH28" s="1266"/>
      <c r="FI28" s="1266"/>
      <c r="FJ28" s="1266"/>
      <c r="FK28" s="1266"/>
      <c r="FL28" s="1266"/>
      <c r="FM28" s="1266"/>
      <c r="FN28" s="1266"/>
      <c r="FO28" s="1266"/>
      <c r="FP28" s="1266"/>
      <c r="FQ28" s="1266"/>
      <c r="FR28" s="1266"/>
      <c r="FS28" s="1266"/>
      <c r="FT28" s="1266"/>
      <c r="FU28" s="1266"/>
      <c r="FV28" s="1266"/>
      <c r="FW28" s="1266"/>
      <c r="FX28" s="1266"/>
      <c r="FY28" s="1266"/>
      <c r="FZ28" s="1266"/>
      <c r="GA28" s="1266"/>
      <c r="GB28" s="1266"/>
      <c r="GC28" s="1266"/>
      <c r="GD28" s="1266"/>
      <c r="GE28" s="1266"/>
      <c r="GF28" s="1266"/>
      <c r="GG28" s="1266"/>
      <c r="GH28" s="1266"/>
      <c r="GI28" s="1266"/>
      <c r="GJ28" s="1266"/>
      <c r="GK28" s="1266"/>
      <c r="GL28" s="1266"/>
      <c r="GM28" s="1266"/>
      <c r="GN28" s="1266"/>
      <c r="GO28" s="1266"/>
      <c r="GP28" s="1266"/>
      <c r="GQ28" s="1266"/>
      <c r="GR28" s="1266"/>
      <c r="GS28" s="1266"/>
      <c r="GT28" s="1266"/>
      <c r="GU28" s="1266"/>
      <c r="GV28" s="1266"/>
      <c r="GW28" s="1266"/>
      <c r="GX28" s="1266"/>
      <c r="GY28" s="1266"/>
      <c r="GZ28" s="1266"/>
      <c r="HA28" s="1266"/>
      <c r="HB28" s="1266"/>
      <c r="HC28" s="1266"/>
      <c r="HD28" s="1266"/>
      <c r="HE28" s="1266"/>
      <c r="HF28" s="1266"/>
      <c r="HG28" s="1266"/>
      <c r="HH28" s="1266"/>
      <c r="HI28" s="1266"/>
      <c r="HJ28" s="1266"/>
      <c r="HK28" s="1266"/>
      <c r="HL28" s="1266"/>
      <c r="HM28" s="1266"/>
      <c r="HN28" s="1266"/>
      <c r="HO28" s="1266"/>
      <c r="HP28" s="1266"/>
      <c r="HQ28" s="1266"/>
      <c r="HR28" s="1266"/>
      <c r="HS28" s="1266"/>
      <c r="HT28" s="1266"/>
      <c r="HU28" s="1266"/>
      <c r="HV28" s="1266"/>
      <c r="HW28" s="1266"/>
      <c r="HX28" s="1266"/>
      <c r="HY28" s="1266"/>
      <c r="HZ28" s="1266"/>
      <c r="IA28" s="1266"/>
      <c r="IB28" s="1266"/>
      <c r="IC28" s="1266"/>
      <c r="ID28" s="1266"/>
      <c r="IE28" s="1266"/>
      <c r="IF28" s="1266"/>
      <c r="IG28" s="1266"/>
      <c r="IH28" s="1266"/>
      <c r="II28" s="1266"/>
      <c r="IJ28" s="1266"/>
      <c r="IK28" s="1266"/>
      <c r="IL28" s="1266"/>
      <c r="IM28" s="1266"/>
      <c r="IN28" s="1266"/>
      <c r="IO28" s="1266"/>
      <c r="IP28" s="1266"/>
      <c r="IQ28" s="1266"/>
      <c r="IR28" s="1266"/>
      <c r="IS28" s="1266"/>
      <c r="IT28" s="1266"/>
      <c r="IU28" s="1266"/>
      <c r="IV28" s="1266"/>
      <c r="IW28" s="1266"/>
      <c r="IX28" s="1266"/>
      <c r="IY28" s="1266"/>
      <c r="IZ28" s="1266"/>
      <c r="JA28" s="1266"/>
      <c r="JB28" s="1266"/>
      <c r="JC28" s="1266"/>
      <c r="JD28" s="1266"/>
      <c r="JE28" s="1266"/>
      <c r="JF28" s="1266"/>
      <c r="JG28" s="1266"/>
      <c r="JH28" s="1266"/>
      <c r="JI28" s="1266"/>
      <c r="JJ28" s="1266"/>
      <c r="JK28" s="1266"/>
      <c r="JL28" s="1266"/>
      <c r="JM28" s="1266"/>
      <c r="JN28" s="1266"/>
      <c r="JO28" s="1266"/>
      <c r="JP28" s="1266"/>
      <c r="JQ28" s="1266"/>
      <c r="JR28" s="1266"/>
      <c r="JS28" s="1266"/>
      <c r="JT28" s="1266"/>
      <c r="JU28" s="1266"/>
      <c r="JV28" s="1266"/>
      <c r="JW28" s="1266"/>
      <c r="JX28" s="1266"/>
      <c r="JY28" s="1266"/>
      <c r="JZ28" s="1266"/>
      <c r="KA28" s="1266"/>
      <c r="KB28" s="1266"/>
      <c r="KC28" s="1266"/>
      <c r="KD28" s="1266"/>
      <c r="KE28" s="1266"/>
      <c r="KF28" s="1266"/>
      <c r="KG28" s="1266"/>
      <c r="KH28" s="1266"/>
      <c r="KI28" s="1266"/>
      <c r="KJ28" s="1266"/>
      <c r="KK28" s="1266"/>
      <c r="KL28" s="1266"/>
      <c r="KM28" s="1266"/>
      <c r="KN28" s="1266"/>
      <c r="KO28" s="1266"/>
      <c r="KP28" s="1266"/>
      <c r="KQ28" s="1266"/>
      <c r="KR28" s="1266"/>
      <c r="KS28" s="1266"/>
      <c r="KT28" s="1266"/>
      <c r="KU28" s="1266"/>
      <c r="KV28" s="1266"/>
      <c r="KW28" s="1266"/>
      <c r="KX28" s="1266"/>
      <c r="KY28" s="1266"/>
      <c r="KZ28" s="1266"/>
      <c r="LA28" s="1266"/>
      <c r="LB28" s="1266"/>
      <c r="LC28" s="1266"/>
      <c r="LD28" s="1266"/>
      <c r="LE28" s="1266"/>
      <c r="LF28" s="1266"/>
      <c r="LG28" s="1266"/>
      <c r="LH28" s="1266"/>
      <c r="LI28" s="1266"/>
      <c r="LJ28" s="1266"/>
      <c r="LK28" s="1266"/>
      <c r="LL28" s="1266"/>
      <c r="LM28" s="1266"/>
      <c r="LN28" s="1266"/>
      <c r="LO28" s="1266"/>
      <c r="LP28" s="1266"/>
      <c r="LQ28" s="1266"/>
      <c r="LR28" s="1266"/>
      <c r="LS28" s="1266"/>
      <c r="LT28" s="1266"/>
      <c r="LU28" s="1266"/>
      <c r="LV28" s="1266"/>
      <c r="LW28" s="1266"/>
      <c r="LX28" s="1266"/>
      <c r="LY28" s="1266"/>
      <c r="LZ28" s="1266"/>
      <c r="MA28" s="1266"/>
      <c r="MB28" s="1266"/>
      <c r="MC28" s="1266"/>
      <c r="MD28" s="1266"/>
      <c r="ME28" s="1266"/>
      <c r="MF28" s="1266"/>
      <c r="MG28" s="1266"/>
      <c r="MH28" s="1266"/>
      <c r="MI28" s="1266"/>
      <c r="MJ28" s="1266"/>
      <c r="MK28" s="1266"/>
      <c r="ML28" s="1266"/>
      <c r="MM28" s="1266"/>
      <c r="MN28" s="1266"/>
      <c r="MO28" s="1266"/>
      <c r="MP28" s="1266"/>
      <c r="MQ28" s="1266"/>
      <c r="MR28" s="1266"/>
      <c r="MS28" s="1266"/>
      <c r="MT28" s="1266"/>
      <c r="MU28" s="1266"/>
      <c r="MV28" s="1266"/>
      <c r="MW28" s="1266"/>
      <c r="MX28" s="1266"/>
      <c r="MY28" s="1266"/>
      <c r="MZ28" s="1266"/>
      <c r="NA28" s="1266"/>
      <c r="NB28" s="1266"/>
      <c r="NC28" s="1266"/>
      <c r="ND28" s="1266"/>
      <c r="NE28" s="1266"/>
      <c r="NF28" s="1266"/>
      <c r="NG28" s="1266"/>
      <c r="NH28" s="1266"/>
      <c r="NI28" s="1266"/>
      <c r="NJ28" s="1266"/>
      <c r="NK28" s="1266"/>
      <c r="NL28" s="1266"/>
      <c r="NM28" s="1266"/>
      <c r="NN28" s="1266"/>
      <c r="NO28" s="1266"/>
      <c r="NP28" s="1266"/>
      <c r="NQ28" s="1266"/>
      <c r="NR28" s="1266"/>
      <c r="NS28" s="1266"/>
      <c r="NT28" s="1266"/>
      <c r="NU28" s="1266"/>
      <c r="NV28" s="1266"/>
      <c r="NW28" s="1266"/>
      <c r="NX28" s="1266"/>
      <c r="NY28" s="1266"/>
      <c r="NZ28" s="1266"/>
      <c r="OA28" s="1266"/>
      <c r="OB28" s="1266"/>
      <c r="OC28" s="1266"/>
      <c r="OD28" s="1266"/>
      <c r="OE28" s="1266"/>
      <c r="OF28" s="1266"/>
      <c r="OG28" s="1266"/>
      <c r="OH28" s="1266"/>
      <c r="OI28" s="1266"/>
      <c r="OJ28" s="1266"/>
      <c r="OK28" s="1266"/>
      <c r="OL28" s="1266"/>
      <c r="OM28" s="1266"/>
      <c r="ON28" s="1266"/>
      <c r="OO28" s="1266"/>
      <c r="OP28" s="1266"/>
      <c r="OQ28" s="1266"/>
      <c r="OR28" s="1266"/>
      <c r="OS28" s="1266"/>
      <c r="OT28" s="1266"/>
      <c r="OU28" s="1266"/>
      <c r="OV28" s="1266"/>
      <c r="OW28" s="1266"/>
      <c r="OX28" s="1266"/>
      <c r="OY28" s="1266"/>
      <c r="OZ28" s="1266"/>
      <c r="PA28" s="1266"/>
      <c r="PB28" s="1266"/>
      <c r="PC28" s="1266"/>
      <c r="PD28" s="1266"/>
      <c r="PE28" s="1266"/>
      <c r="PF28" s="1266"/>
      <c r="PG28" s="1266"/>
      <c r="PH28" s="1266"/>
      <c r="PI28" s="1266"/>
      <c r="PJ28" s="1266"/>
      <c r="PK28" s="1266"/>
      <c r="PL28" s="1266"/>
      <c r="PM28" s="1266"/>
      <c r="PN28" s="1266"/>
      <c r="PO28" s="1266"/>
      <c r="PP28" s="1266"/>
      <c r="PQ28" s="1266"/>
      <c r="PR28" s="1266"/>
      <c r="PS28" s="1266"/>
      <c r="PT28" s="1266"/>
      <c r="PU28" s="1266"/>
      <c r="PV28" s="1266"/>
      <c r="PW28" s="1266"/>
      <c r="PX28" s="1266"/>
      <c r="PY28" s="1266"/>
      <c r="PZ28" s="1266"/>
      <c r="QA28" s="1266"/>
      <c r="QB28" s="1266"/>
      <c r="QC28" s="1266"/>
      <c r="QD28" s="1266"/>
      <c r="QE28" s="1266"/>
      <c r="QF28" s="1266"/>
      <c r="QG28" s="1266"/>
      <c r="QH28" s="1266"/>
      <c r="QI28" s="1266"/>
      <c r="QJ28" s="1266"/>
      <c r="QK28" s="1266"/>
      <c r="QL28" s="1266"/>
      <c r="QM28" s="1266"/>
      <c r="QN28" s="1266"/>
      <c r="QO28" s="1266"/>
      <c r="QP28" s="1266"/>
      <c r="QQ28" s="1266"/>
      <c r="QR28" s="1266"/>
      <c r="QS28" s="1266"/>
      <c r="QT28" s="1266"/>
      <c r="QU28" s="1266"/>
      <c r="QV28" s="1266"/>
      <c r="QW28" s="1266"/>
      <c r="QX28" s="1266"/>
      <c r="QY28" s="1266"/>
      <c r="QZ28" s="1266"/>
      <c r="RA28" s="1266"/>
      <c r="RB28" s="1266"/>
      <c r="RC28" s="1266"/>
      <c r="RD28" s="1266"/>
      <c r="RE28" s="1266"/>
      <c r="RF28" s="1266"/>
      <c r="RG28" s="1266"/>
      <c r="RH28" s="1266"/>
      <c r="RI28" s="1266"/>
      <c r="RJ28" s="1266"/>
      <c r="RK28" s="1266"/>
      <c r="RL28" s="1266"/>
      <c r="RM28" s="1266"/>
      <c r="RN28" s="1266"/>
      <c r="RO28" s="1266"/>
      <c r="RP28" s="1266"/>
      <c r="RQ28" s="1266"/>
      <c r="RR28" s="1266"/>
      <c r="RS28" s="1266"/>
      <c r="RT28" s="1266"/>
      <c r="RU28" s="1266"/>
      <c r="RV28" s="1266"/>
      <c r="RW28" s="1266"/>
      <c r="RX28" s="1266"/>
      <c r="RY28" s="1266"/>
      <c r="RZ28" s="1266"/>
      <c r="SA28" s="1266"/>
      <c r="SB28" s="1266"/>
      <c r="SC28" s="1266"/>
      <c r="SD28" s="1266"/>
      <c r="SE28" s="1266"/>
      <c r="SF28" s="1266"/>
      <c r="SG28" s="1266"/>
      <c r="SH28" s="1266"/>
      <c r="SI28" s="1266"/>
      <c r="SJ28" s="1266"/>
      <c r="SK28" s="1266"/>
      <c r="SL28" s="1266"/>
      <c r="SM28" s="1266"/>
      <c r="SN28" s="1266"/>
      <c r="SO28" s="1266"/>
      <c r="SP28" s="1266"/>
      <c r="SQ28" s="1266"/>
      <c r="SR28" s="1266"/>
      <c r="SS28" s="1266"/>
      <c r="ST28" s="1266"/>
      <c r="SU28" s="1266"/>
      <c r="SV28" s="1266"/>
      <c r="SW28" s="1266"/>
      <c r="SX28" s="1266"/>
      <c r="SY28" s="1266"/>
      <c r="SZ28" s="1266"/>
      <c r="TA28" s="1266"/>
      <c r="TB28" s="1266"/>
      <c r="TC28" s="1266"/>
      <c r="TD28" s="1266"/>
      <c r="TE28" s="1266"/>
      <c r="TF28" s="1266"/>
      <c r="TG28" s="1266"/>
      <c r="TH28" s="1266"/>
      <c r="TI28" s="1266"/>
      <c r="TJ28" s="1266"/>
      <c r="TK28" s="1266"/>
      <c r="TL28" s="1266"/>
      <c r="TM28" s="1266"/>
      <c r="TN28" s="1266"/>
      <c r="TO28" s="1266"/>
      <c r="TP28" s="1266"/>
      <c r="TQ28" s="1266"/>
      <c r="TR28" s="1266"/>
      <c r="TS28" s="1266"/>
      <c r="TT28" s="1266"/>
      <c r="TU28" s="1266"/>
      <c r="TV28" s="1266"/>
      <c r="TW28" s="1266"/>
      <c r="TX28" s="1266"/>
      <c r="TY28" s="1266"/>
      <c r="TZ28" s="1266"/>
      <c r="UA28" s="1266"/>
      <c r="UB28" s="1266"/>
      <c r="UC28" s="1266"/>
      <c r="UD28" s="1266"/>
      <c r="UE28" s="1266"/>
      <c r="UF28" s="1266"/>
      <c r="UG28" s="1266"/>
      <c r="UH28" s="1266"/>
      <c r="UI28" s="1266"/>
      <c r="UJ28" s="1266"/>
      <c r="UK28" s="1266"/>
      <c r="UL28" s="1266"/>
      <c r="UM28" s="1266"/>
      <c r="UN28" s="1266"/>
      <c r="UO28" s="1266"/>
      <c r="UP28" s="1266"/>
      <c r="UQ28" s="1266"/>
      <c r="UR28" s="1266"/>
      <c r="US28" s="1266"/>
      <c r="UT28" s="1266"/>
      <c r="UU28" s="1266"/>
      <c r="UV28" s="1266"/>
      <c r="UW28" s="1266"/>
      <c r="UX28" s="1266"/>
      <c r="UY28" s="1266"/>
      <c r="UZ28" s="1266"/>
      <c r="VA28" s="1266"/>
      <c r="VB28" s="1266"/>
      <c r="VC28" s="1266"/>
      <c r="VD28" s="1266"/>
      <c r="VE28" s="1266"/>
      <c r="VF28" s="1266"/>
      <c r="VG28" s="1266"/>
      <c r="VH28" s="1266"/>
      <c r="VI28" s="1266"/>
      <c r="VJ28" s="1266"/>
      <c r="VK28" s="1266"/>
      <c r="VL28" s="1266"/>
      <c r="VM28" s="1266"/>
      <c r="VN28" s="1266"/>
      <c r="VO28" s="1266"/>
      <c r="VP28" s="1266"/>
      <c r="VQ28" s="1266"/>
      <c r="VR28" s="1266"/>
      <c r="VS28" s="1266"/>
      <c r="VT28" s="1266"/>
      <c r="VU28" s="1266"/>
      <c r="VV28" s="1266"/>
      <c r="VW28" s="1266"/>
      <c r="VX28" s="1266"/>
      <c r="VY28" s="1266"/>
      <c r="VZ28" s="1266"/>
      <c r="WA28" s="1266"/>
      <c r="WB28" s="1266"/>
      <c r="WC28" s="1266"/>
      <c r="WD28" s="1266"/>
      <c r="WE28" s="1266"/>
      <c r="WF28" s="1266"/>
      <c r="WG28" s="1266"/>
      <c r="WH28" s="1266"/>
      <c r="WI28" s="1266"/>
      <c r="WJ28" s="1266"/>
      <c r="WK28" s="1266"/>
      <c r="WL28" s="1266"/>
      <c r="WM28" s="1266"/>
      <c r="WN28" s="1266"/>
      <c r="WO28" s="1266"/>
      <c r="WP28" s="1266"/>
      <c r="WQ28" s="1266"/>
      <c r="WR28" s="1266"/>
      <c r="WS28" s="1266"/>
      <c r="WT28" s="1266"/>
      <c r="WU28" s="1266"/>
      <c r="WV28" s="1266"/>
      <c r="WW28" s="1266"/>
      <c r="WX28" s="1266"/>
      <c r="WY28" s="1266"/>
      <c r="WZ28" s="1266"/>
      <c r="XA28" s="1266"/>
      <c r="XB28" s="1266"/>
      <c r="XC28" s="1266"/>
      <c r="XD28" s="1266"/>
      <c r="XE28" s="1266"/>
      <c r="XF28" s="1266"/>
      <c r="XG28" s="1266"/>
      <c r="XH28" s="1266"/>
      <c r="XI28" s="1266"/>
      <c r="XJ28" s="1266"/>
      <c r="XK28" s="1266"/>
      <c r="XL28" s="1266"/>
      <c r="XM28" s="1266"/>
      <c r="XN28" s="1266"/>
      <c r="XO28" s="1266"/>
      <c r="XP28" s="1266"/>
      <c r="XQ28" s="1266"/>
      <c r="XR28" s="1266"/>
      <c r="XS28" s="1266"/>
      <c r="XT28" s="1266"/>
      <c r="XU28" s="1266"/>
      <c r="XV28" s="1266"/>
      <c r="XW28" s="1266"/>
      <c r="XX28" s="1266"/>
      <c r="XY28" s="1266"/>
      <c r="XZ28" s="1266"/>
      <c r="YA28" s="1266"/>
      <c r="YB28" s="1266"/>
      <c r="YC28" s="1266"/>
      <c r="YD28" s="1266"/>
      <c r="YE28" s="1266"/>
      <c r="YF28" s="1266"/>
      <c r="YG28" s="1266"/>
      <c r="YH28" s="1266"/>
      <c r="YI28" s="1266"/>
      <c r="YJ28" s="1266"/>
      <c r="YK28" s="1266"/>
      <c r="YL28" s="1266"/>
      <c r="YM28" s="1266"/>
      <c r="YN28" s="1266"/>
      <c r="YO28" s="1266"/>
      <c r="YP28" s="1266"/>
      <c r="YQ28" s="1266"/>
      <c r="YR28" s="1266"/>
      <c r="YS28" s="1266"/>
      <c r="YT28" s="1266"/>
      <c r="YU28" s="1266"/>
      <c r="YV28" s="1266"/>
      <c r="YW28" s="1266"/>
      <c r="YX28" s="1266"/>
      <c r="YY28" s="1266"/>
      <c r="YZ28" s="1266"/>
      <c r="ZA28" s="1266"/>
      <c r="ZB28" s="1266"/>
      <c r="ZC28" s="1266"/>
      <c r="ZD28" s="1266"/>
      <c r="ZE28" s="1266"/>
      <c r="ZF28" s="1266"/>
      <c r="ZG28" s="1266"/>
      <c r="ZH28" s="1266"/>
      <c r="ZI28" s="1266"/>
      <c r="ZJ28" s="1266"/>
      <c r="ZK28" s="1266"/>
      <c r="ZL28" s="1266"/>
      <c r="ZM28" s="1266"/>
      <c r="ZN28" s="1266"/>
      <c r="ZO28" s="1266"/>
      <c r="ZP28" s="1266"/>
      <c r="ZQ28" s="1266"/>
      <c r="ZR28" s="1266"/>
      <c r="ZS28" s="1266"/>
      <c r="ZT28" s="1266"/>
      <c r="ZU28" s="1266"/>
      <c r="ZV28" s="1266"/>
      <c r="ZW28" s="1266"/>
      <c r="ZX28" s="1266"/>
      <c r="ZY28" s="1266"/>
      <c r="ZZ28" s="1266"/>
      <c r="AAA28" s="1266"/>
      <c r="AAB28" s="1266"/>
      <c r="AAC28" s="1266"/>
      <c r="AAD28" s="1266"/>
      <c r="AAE28" s="1266"/>
      <c r="AAF28" s="1266"/>
      <c r="AAG28" s="1266"/>
      <c r="AAH28" s="1266"/>
      <c r="AAI28" s="1266"/>
      <c r="AAJ28" s="1266"/>
      <c r="AAK28" s="1266"/>
      <c r="AAL28" s="1266"/>
      <c r="AAM28" s="1266"/>
      <c r="AAN28" s="1266"/>
      <c r="AAO28" s="1266"/>
      <c r="AAP28" s="1266"/>
      <c r="AAQ28" s="1266"/>
      <c r="AAR28" s="1266"/>
      <c r="AAS28" s="1266"/>
      <c r="AAT28" s="1266"/>
      <c r="AAU28" s="1266"/>
      <c r="AAV28" s="1266"/>
      <c r="AAW28" s="1266"/>
      <c r="AAX28" s="1266"/>
      <c r="AAY28" s="1266"/>
      <c r="AAZ28" s="1266"/>
      <c r="ABA28" s="1266"/>
      <c r="ABB28" s="1266"/>
      <c r="ABC28" s="1266"/>
      <c r="ABD28" s="1266"/>
      <c r="ABE28" s="1266"/>
      <c r="ABF28" s="1266"/>
      <c r="ABG28" s="1266"/>
      <c r="ABH28" s="1266"/>
      <c r="ABI28" s="1266"/>
      <c r="ABJ28" s="1266"/>
      <c r="ABK28" s="1266"/>
      <c r="ABL28" s="1266"/>
      <c r="ABM28" s="1266"/>
      <c r="ABN28" s="1266"/>
      <c r="ABO28" s="1266"/>
      <c r="ABP28" s="1266"/>
      <c r="ABQ28" s="1266"/>
      <c r="ABR28" s="1266"/>
      <c r="ABS28" s="1266"/>
      <c r="ABT28" s="1266"/>
      <c r="ABU28" s="1266"/>
      <c r="ABV28" s="1266"/>
      <c r="ABW28" s="1266"/>
      <c r="ABX28" s="1266"/>
      <c r="ABY28" s="1266"/>
      <c r="ABZ28" s="1266"/>
      <c r="ACA28" s="1266"/>
      <c r="ACB28" s="1266"/>
      <c r="ACC28" s="1266"/>
      <c r="ACD28" s="1266"/>
      <c r="ACE28" s="1266"/>
      <c r="ACF28" s="1266"/>
      <c r="ACG28" s="1266"/>
      <c r="ACH28" s="1266"/>
      <c r="ACI28" s="1266"/>
      <c r="ACJ28" s="1266"/>
      <c r="ACK28" s="1266"/>
      <c r="ACL28" s="1266"/>
      <c r="ACM28" s="1266"/>
      <c r="ACN28" s="1266"/>
      <c r="ACO28" s="1266"/>
      <c r="ACP28" s="1266"/>
      <c r="ACQ28" s="1266"/>
      <c r="ACR28" s="1266"/>
      <c r="ACS28" s="1266"/>
      <c r="ACT28" s="1266"/>
      <c r="ACU28" s="1266"/>
      <c r="ACV28" s="1266"/>
      <c r="ACW28" s="1266"/>
      <c r="ACX28" s="1266"/>
      <c r="ACY28" s="1266"/>
      <c r="ACZ28" s="1266"/>
      <c r="ADA28" s="1266"/>
      <c r="ADB28" s="1266"/>
      <c r="ADC28" s="1266"/>
      <c r="ADD28" s="1266"/>
      <c r="ADE28" s="1266"/>
      <c r="ADF28" s="1266"/>
      <c r="ADG28" s="1266"/>
      <c r="ADH28" s="1266"/>
      <c r="ADI28" s="1266"/>
      <c r="ADJ28" s="1266"/>
      <c r="ADK28" s="1266"/>
      <c r="ADL28" s="1266"/>
      <c r="ADM28" s="1266"/>
      <c r="ADN28" s="1266"/>
      <c r="ADO28" s="1266"/>
      <c r="ADP28" s="1266"/>
      <c r="ADQ28" s="1266"/>
      <c r="ADR28" s="1266"/>
      <c r="ADS28" s="1266"/>
      <c r="ADT28" s="1266"/>
      <c r="ADU28" s="1266"/>
      <c r="ADV28" s="1266"/>
      <c r="ADW28" s="1266"/>
      <c r="ADX28" s="1266"/>
      <c r="ADY28" s="1266"/>
      <c r="ADZ28" s="1266"/>
      <c r="AEA28" s="1266"/>
      <c r="AEB28" s="1266"/>
      <c r="AEC28" s="1266"/>
      <c r="AED28" s="1266"/>
      <c r="AEE28" s="1266"/>
      <c r="AEF28" s="1266"/>
      <c r="AEG28" s="1266"/>
      <c r="AEH28" s="1266"/>
      <c r="AEI28" s="1266"/>
      <c r="AEJ28" s="1266"/>
      <c r="AEK28" s="1266"/>
      <c r="AEL28" s="1266"/>
      <c r="AEM28" s="1266"/>
      <c r="AEN28" s="1266"/>
      <c r="AEO28" s="1266"/>
      <c r="AEP28" s="1266"/>
      <c r="AEQ28" s="1266"/>
      <c r="AER28" s="1266"/>
      <c r="AES28" s="1266"/>
      <c r="AET28" s="1266"/>
      <c r="AEU28" s="1266"/>
      <c r="AEV28" s="1266"/>
      <c r="AEW28" s="1266"/>
      <c r="AEX28" s="1266"/>
      <c r="AEY28" s="1266"/>
      <c r="AEZ28" s="1266"/>
      <c r="AFA28" s="1266"/>
      <c r="AFB28" s="1266"/>
      <c r="AFC28" s="1266"/>
      <c r="AFD28" s="1266"/>
      <c r="AFE28" s="1266"/>
      <c r="AFF28" s="1266"/>
      <c r="AFG28" s="1266"/>
      <c r="AFH28" s="1266"/>
      <c r="AFI28" s="1266"/>
      <c r="AFJ28" s="1266"/>
      <c r="AFK28" s="1266"/>
      <c r="AFL28" s="1266"/>
      <c r="AFM28" s="1266"/>
      <c r="AFN28" s="1266"/>
      <c r="AFO28" s="1266"/>
      <c r="AFP28" s="1266"/>
      <c r="AFQ28" s="1266"/>
      <c r="AFR28" s="1266"/>
      <c r="AFS28" s="1266"/>
      <c r="AFT28" s="1266"/>
      <c r="AFU28" s="1266"/>
      <c r="AFV28" s="1266"/>
      <c r="AFW28" s="1266"/>
      <c r="AFX28" s="1266"/>
      <c r="AFY28" s="1266"/>
      <c r="AFZ28" s="1266"/>
      <c r="AGA28" s="1266"/>
      <c r="AGB28" s="1266"/>
      <c r="AGC28" s="1266"/>
      <c r="AGD28" s="1266"/>
      <c r="AGE28" s="1266"/>
      <c r="AGF28" s="1266"/>
      <c r="AGG28" s="1266"/>
      <c r="AGH28" s="1266"/>
      <c r="AGI28" s="1266"/>
      <c r="AGJ28" s="1266"/>
      <c r="AGK28" s="1266"/>
      <c r="AGL28" s="1266"/>
      <c r="AGM28" s="1266"/>
      <c r="AGN28" s="1266"/>
      <c r="AGO28" s="1266"/>
      <c r="AGP28" s="1266"/>
      <c r="AGQ28" s="1266"/>
      <c r="AGR28" s="1266"/>
      <c r="AGS28" s="1266"/>
      <c r="AGT28" s="1266"/>
      <c r="AGU28" s="1266"/>
      <c r="AGV28" s="1266"/>
      <c r="AGW28" s="1266"/>
      <c r="AGX28" s="1266"/>
      <c r="AGY28" s="1266"/>
      <c r="AGZ28" s="1266"/>
      <c r="AHA28" s="1266"/>
      <c r="AHB28" s="1266"/>
      <c r="AHC28" s="1266"/>
      <c r="AHD28" s="1266"/>
      <c r="AHE28" s="1266"/>
      <c r="AHF28" s="1266"/>
      <c r="AHG28" s="1266"/>
      <c r="AHH28" s="1266"/>
      <c r="AHI28" s="1266"/>
      <c r="AHJ28" s="1266"/>
      <c r="AHK28" s="1266"/>
      <c r="AHL28" s="1266"/>
      <c r="AHM28" s="1266"/>
      <c r="AHN28" s="1266"/>
      <c r="AHO28" s="1266"/>
      <c r="AHP28" s="1266"/>
      <c r="AHQ28" s="1266"/>
      <c r="AHR28" s="1266"/>
      <c r="AHS28" s="1266"/>
      <c r="AHT28" s="1266"/>
      <c r="AHU28" s="1266"/>
      <c r="AHV28" s="1266"/>
      <c r="AHW28" s="1266"/>
      <c r="AHX28" s="1266"/>
      <c r="AHY28" s="1266"/>
      <c r="AHZ28" s="1266"/>
      <c r="AIA28" s="1266"/>
      <c r="AIB28" s="1266"/>
      <c r="AIC28" s="1266"/>
      <c r="AID28" s="1266"/>
      <c r="AIE28" s="1266"/>
      <c r="AIF28" s="1266"/>
      <c r="AIG28" s="1266"/>
      <c r="AIH28" s="1266"/>
      <c r="AII28" s="1266"/>
      <c r="AIJ28" s="1266"/>
      <c r="AIK28" s="1266"/>
      <c r="AIL28" s="1266"/>
      <c r="AIM28" s="1266"/>
      <c r="AIN28" s="1266"/>
      <c r="AIO28" s="1266"/>
      <c r="AIP28" s="1266"/>
      <c r="AIQ28" s="1266"/>
      <c r="AIR28" s="1266"/>
      <c r="AIS28" s="1266"/>
      <c r="AIT28" s="1266"/>
      <c r="AIU28" s="1266"/>
      <c r="AIV28" s="1266"/>
      <c r="AIW28" s="1266"/>
      <c r="AIX28" s="1266"/>
      <c r="AIY28" s="1266"/>
      <c r="AIZ28" s="1266"/>
      <c r="AJA28" s="1266"/>
      <c r="AJB28" s="1266"/>
      <c r="AJC28" s="1266"/>
      <c r="AJD28" s="1266"/>
      <c r="AJE28" s="1266"/>
      <c r="AJF28" s="1266"/>
      <c r="AJG28" s="1266"/>
      <c r="AJH28" s="1266"/>
      <c r="AJI28" s="1266"/>
      <c r="AJJ28" s="1266"/>
      <c r="AJK28" s="1266"/>
      <c r="AJL28" s="1266"/>
      <c r="AJM28" s="1266"/>
      <c r="AJN28" s="1266"/>
      <c r="AJO28" s="1266"/>
      <c r="AJP28" s="1266"/>
      <c r="AJQ28" s="1266"/>
      <c r="AJR28" s="1266"/>
      <c r="AJS28" s="1266"/>
      <c r="AJT28" s="1266"/>
      <c r="AJU28" s="1266"/>
      <c r="AJV28" s="1266"/>
      <c r="AJW28" s="1266"/>
      <c r="AJX28" s="1266"/>
      <c r="AJY28" s="1266"/>
      <c r="AJZ28" s="1266"/>
      <c r="AKA28" s="1266"/>
      <c r="AKB28" s="1266"/>
      <c r="AKC28" s="1266"/>
      <c r="AKD28" s="1266"/>
      <c r="AKE28" s="1266"/>
      <c r="AKF28" s="1266"/>
      <c r="AKG28" s="1266"/>
      <c r="AKH28" s="1266"/>
      <c r="AKI28" s="1266"/>
      <c r="AKJ28" s="1266"/>
      <c r="AKK28" s="1266"/>
      <c r="AKL28" s="1266"/>
      <c r="AKM28" s="1266"/>
      <c r="AKN28" s="1266"/>
      <c r="AKO28" s="1266"/>
      <c r="AKP28" s="1266"/>
      <c r="AKQ28" s="1266"/>
      <c r="AKR28" s="1266"/>
      <c r="AKS28" s="1266"/>
      <c r="AKT28" s="1266"/>
      <c r="AKU28" s="1266"/>
      <c r="AKV28" s="1266"/>
      <c r="AKW28" s="1266"/>
      <c r="AKX28" s="1266"/>
      <c r="AKY28" s="1266"/>
      <c r="AKZ28" s="1266"/>
      <c r="ALA28" s="1266"/>
      <c r="ALB28" s="1266"/>
      <c r="ALC28" s="1266"/>
      <c r="ALD28" s="1266"/>
      <c r="ALE28" s="1266"/>
      <c r="ALF28" s="1266"/>
      <c r="ALG28" s="1266"/>
      <c r="ALH28" s="1266"/>
      <c r="ALI28" s="1266"/>
      <c r="ALJ28" s="1266"/>
      <c r="ALK28" s="1266"/>
      <c r="ALL28" s="1266"/>
      <c r="ALM28" s="1266"/>
      <c r="ALN28" s="1266"/>
      <c r="ALO28" s="1266"/>
      <c r="ALP28" s="1266"/>
      <c r="ALQ28" s="1266"/>
      <c r="ALR28" s="1266"/>
      <c r="ALS28" s="1266"/>
      <c r="ALT28" s="1266"/>
      <c r="ALU28" s="1266"/>
      <c r="ALV28" s="1266"/>
      <c r="ALW28" s="1266"/>
      <c r="ALX28" s="1266"/>
      <c r="ALY28" s="1266"/>
      <c r="ALZ28" s="1266"/>
      <c r="AMA28" s="1266"/>
      <c r="AMB28" s="1266"/>
      <c r="AMC28" s="1266"/>
      <c r="AMD28" s="1266"/>
      <c r="AME28" s="1266"/>
      <c r="AMF28" s="1266"/>
      <c r="AMG28" s="1266"/>
      <c r="AMH28" s="1266"/>
      <c r="AMI28" s="1266"/>
      <c r="AMJ28" s="1266"/>
      <c r="AMK28" s="1266"/>
      <c r="AML28" s="1266"/>
      <c r="AMM28" s="1266"/>
      <c r="AMN28" s="1266"/>
      <c r="AMO28" s="1266"/>
      <c r="AMP28" s="1266"/>
      <c r="AMQ28" s="1266"/>
      <c r="AMR28" s="1266"/>
      <c r="AMS28" s="1266"/>
      <c r="AMT28" s="1266"/>
      <c r="AMU28" s="1266"/>
      <c r="AMV28" s="1266"/>
      <c r="AMW28" s="1266"/>
      <c r="AMX28" s="1266"/>
      <c r="AMY28" s="1266"/>
      <c r="AMZ28" s="1266"/>
      <c r="ANA28" s="1266"/>
      <c r="ANB28" s="1266"/>
      <c r="ANC28" s="1266"/>
      <c r="AND28" s="1266"/>
      <c r="ANE28" s="1266"/>
      <c r="ANF28" s="1266"/>
      <c r="ANG28" s="1266"/>
      <c r="ANH28" s="1266"/>
      <c r="ANI28" s="1266"/>
      <c r="ANJ28" s="1266"/>
      <c r="ANK28" s="1266"/>
      <c r="ANL28" s="1266"/>
      <c r="ANM28" s="1266"/>
      <c r="ANN28" s="1266"/>
      <c r="ANO28" s="1266"/>
      <c r="ANP28" s="1266"/>
      <c r="ANQ28" s="1266"/>
      <c r="ANR28" s="1266"/>
      <c r="ANS28" s="1266"/>
      <c r="ANT28" s="1266"/>
      <c r="ANU28" s="1266"/>
      <c r="ANV28" s="1266"/>
      <c r="ANW28" s="1266"/>
      <c r="ANX28" s="1266"/>
      <c r="ANY28" s="1266"/>
      <c r="ANZ28" s="1266"/>
      <c r="AOA28" s="1266"/>
      <c r="AOB28" s="1266"/>
      <c r="AOC28" s="1266"/>
      <c r="AOD28" s="1266"/>
      <c r="AOE28" s="1266"/>
      <c r="AOF28" s="1266"/>
      <c r="AOG28" s="1266"/>
      <c r="AOH28" s="1266"/>
      <c r="AOI28" s="1266"/>
      <c r="AOJ28" s="1266"/>
      <c r="AOK28" s="1266"/>
      <c r="AOL28" s="1266"/>
      <c r="AOM28" s="1266"/>
      <c r="AON28" s="1266"/>
      <c r="AOO28" s="1266"/>
      <c r="AOP28" s="1266"/>
      <c r="AOQ28" s="1266"/>
      <c r="AOR28" s="1266"/>
      <c r="AOS28" s="1266"/>
      <c r="AOT28" s="1266"/>
      <c r="AOU28" s="1266"/>
      <c r="AOV28" s="1266"/>
      <c r="AOW28" s="1266"/>
      <c r="AOX28" s="1266"/>
      <c r="AOY28" s="1266"/>
      <c r="AOZ28" s="1266"/>
      <c r="APA28" s="1266"/>
      <c r="APB28" s="1266"/>
      <c r="APC28" s="1266"/>
      <c r="APD28" s="1266"/>
      <c r="APE28" s="1266"/>
      <c r="APF28" s="1266"/>
      <c r="APG28" s="1266"/>
      <c r="APH28" s="1266"/>
      <c r="API28" s="1266"/>
      <c r="APJ28" s="1266"/>
      <c r="APK28" s="1266"/>
      <c r="APL28" s="1266"/>
      <c r="APM28" s="1266"/>
      <c r="APN28" s="1266"/>
      <c r="APO28" s="1266"/>
      <c r="APP28" s="1266"/>
      <c r="APQ28" s="1266"/>
      <c r="APR28" s="1266"/>
      <c r="APS28" s="1266"/>
      <c r="APT28" s="1266"/>
      <c r="APU28" s="1266"/>
      <c r="APV28" s="1266"/>
      <c r="APW28" s="1266"/>
      <c r="APX28" s="1266"/>
      <c r="APY28" s="1266"/>
      <c r="APZ28" s="1266"/>
      <c r="AQA28" s="1266"/>
      <c r="AQB28" s="1266"/>
      <c r="AQC28" s="1266"/>
      <c r="AQD28" s="1266"/>
      <c r="AQE28" s="1266"/>
      <c r="AQF28" s="1266"/>
      <c r="AQG28" s="1266"/>
      <c r="AQH28" s="1266"/>
      <c r="AQI28" s="1266"/>
      <c r="AQJ28" s="1266"/>
      <c r="AQK28" s="1266"/>
      <c r="AQL28" s="1266"/>
      <c r="AQM28" s="1266"/>
      <c r="AQN28" s="1266"/>
      <c r="AQO28" s="1266"/>
      <c r="AQP28" s="1266"/>
      <c r="AQQ28" s="1266"/>
      <c r="AQR28" s="1266"/>
      <c r="AQS28" s="1266"/>
      <c r="AQT28" s="1266"/>
      <c r="AQU28" s="1266"/>
      <c r="AQV28" s="1266"/>
      <c r="AQW28" s="1266"/>
      <c r="AQX28" s="1266"/>
      <c r="AQY28" s="1266"/>
      <c r="AQZ28" s="1266"/>
      <c r="ARA28" s="1266"/>
      <c r="ARB28" s="1266"/>
      <c r="ARC28" s="1266"/>
      <c r="ARD28" s="1266"/>
      <c r="ARE28" s="1266"/>
      <c r="ARF28" s="1266"/>
      <c r="ARG28" s="1266"/>
      <c r="ARH28" s="1266"/>
      <c r="ARI28" s="1266"/>
      <c r="ARJ28" s="1266"/>
      <c r="ARK28" s="1266"/>
      <c r="ARL28" s="1266"/>
      <c r="ARM28" s="1266"/>
      <c r="ARN28" s="1266"/>
      <c r="ARO28" s="1266"/>
      <c r="ARP28" s="1266"/>
      <c r="ARQ28" s="1266"/>
      <c r="ARR28" s="1266"/>
      <c r="ARS28" s="1266"/>
      <c r="ART28" s="1266"/>
      <c r="ARU28" s="1266"/>
      <c r="ARV28" s="1266"/>
      <c r="ARW28" s="1266"/>
      <c r="ARX28" s="1266"/>
      <c r="ARY28" s="1266"/>
      <c r="ARZ28" s="1266"/>
      <c r="ASA28" s="1266"/>
      <c r="ASB28" s="1266"/>
      <c r="ASC28" s="1266"/>
      <c r="ASD28" s="1266"/>
      <c r="ASE28" s="1266"/>
      <c r="ASF28" s="1266"/>
      <c r="ASG28" s="1266"/>
      <c r="ASH28" s="1266"/>
      <c r="ASI28" s="1266"/>
      <c r="ASJ28" s="1266"/>
      <c r="ASK28" s="1266"/>
      <c r="ASL28" s="1266"/>
      <c r="ASM28" s="1266"/>
      <c r="ASN28" s="1266"/>
      <c r="ASO28" s="1266"/>
      <c r="ASP28" s="1266"/>
      <c r="ASQ28" s="1266"/>
      <c r="ASR28" s="1266"/>
      <c r="ASS28" s="1266"/>
      <c r="AST28" s="1266"/>
      <c r="ASU28" s="1266"/>
      <c r="ASV28" s="1266"/>
      <c r="ASW28" s="1266"/>
      <c r="ASX28" s="1266"/>
      <c r="ASY28" s="1266"/>
      <c r="ASZ28" s="1266"/>
      <c r="ATA28" s="1266"/>
      <c r="ATB28" s="1266"/>
      <c r="ATC28" s="1266"/>
      <c r="ATD28" s="1266"/>
      <c r="ATE28" s="1266"/>
      <c r="ATF28" s="1266"/>
      <c r="ATG28" s="1266"/>
      <c r="ATH28" s="1266"/>
      <c r="ATI28" s="1266"/>
      <c r="ATJ28" s="1266"/>
      <c r="ATK28" s="1266"/>
      <c r="ATL28" s="1266"/>
      <c r="ATM28" s="1266"/>
      <c r="ATN28" s="1266"/>
      <c r="ATO28" s="1266"/>
      <c r="ATP28" s="1266"/>
      <c r="ATQ28" s="1266"/>
      <c r="ATR28" s="1266"/>
      <c r="ATS28" s="1266"/>
      <c r="ATT28" s="1266"/>
      <c r="ATU28" s="1266"/>
      <c r="ATV28" s="1266"/>
      <c r="ATW28" s="1266"/>
      <c r="ATX28" s="1266"/>
      <c r="ATY28" s="1266"/>
      <c r="ATZ28" s="1266"/>
      <c r="AUA28" s="1266"/>
      <c r="AUB28" s="1266"/>
      <c r="AUC28" s="1266"/>
      <c r="AUD28" s="1266"/>
      <c r="AUE28" s="1266"/>
      <c r="AUF28" s="1266"/>
      <c r="AUG28" s="1266"/>
      <c r="AUH28" s="1266"/>
      <c r="AUI28" s="1266"/>
      <c r="AUJ28" s="1266"/>
      <c r="AUK28" s="1266"/>
      <c r="AUL28" s="1266"/>
      <c r="AUM28" s="1266"/>
      <c r="AUN28" s="1266"/>
      <c r="AUO28" s="1266"/>
      <c r="AUP28" s="1266"/>
      <c r="AUQ28" s="1266"/>
      <c r="AUR28" s="1266"/>
      <c r="AUS28" s="1266"/>
      <c r="AUT28" s="1266"/>
      <c r="AUU28" s="1266"/>
      <c r="AUV28" s="1266"/>
      <c r="AUW28" s="1266"/>
      <c r="AUX28" s="1266"/>
      <c r="AUY28" s="1266"/>
      <c r="AUZ28" s="1266"/>
      <c r="AVA28" s="1266"/>
      <c r="AVB28" s="1266"/>
      <c r="AVC28" s="1266"/>
      <c r="AVD28" s="1266"/>
      <c r="AVE28" s="1266"/>
      <c r="AVF28" s="1266"/>
      <c r="AVG28" s="1266"/>
      <c r="AVH28" s="1266"/>
      <c r="AVI28" s="1266"/>
      <c r="AVJ28" s="1266"/>
      <c r="AVK28" s="1266"/>
      <c r="AVL28" s="1266"/>
      <c r="AVM28" s="1266"/>
      <c r="AVN28" s="1266"/>
      <c r="AVO28" s="1266"/>
      <c r="AVP28" s="1266"/>
      <c r="AVQ28" s="1266"/>
      <c r="AVR28" s="1266"/>
      <c r="AVS28" s="1266"/>
      <c r="AVT28" s="1266"/>
      <c r="AVU28" s="1266"/>
      <c r="AVV28" s="1266"/>
      <c r="AVW28" s="1266"/>
      <c r="AVX28" s="1266"/>
      <c r="AVY28" s="1266"/>
      <c r="AVZ28" s="1266"/>
      <c r="AWA28" s="1266"/>
      <c r="AWB28" s="1266"/>
      <c r="AWC28" s="1266"/>
      <c r="AWD28" s="1266"/>
      <c r="AWE28" s="1266"/>
      <c r="AWF28" s="1266"/>
      <c r="AWG28" s="1266"/>
      <c r="AWH28" s="1266"/>
      <c r="AWI28" s="1266"/>
      <c r="AWJ28" s="1266"/>
      <c r="AWK28" s="1266"/>
      <c r="AWL28" s="1266"/>
      <c r="AWM28" s="1266"/>
      <c r="AWN28" s="1266"/>
      <c r="AWO28" s="1266"/>
      <c r="AWP28" s="1266"/>
      <c r="AWQ28" s="1266"/>
      <c r="AWR28" s="1266"/>
      <c r="AWS28" s="1266"/>
      <c r="AWT28" s="1266"/>
      <c r="AWU28" s="1266"/>
      <c r="AWV28" s="1266"/>
      <c r="AWW28" s="1266"/>
      <c r="AWX28" s="1266"/>
      <c r="AWY28" s="1266"/>
      <c r="AWZ28" s="1266"/>
      <c r="AXA28" s="1266"/>
      <c r="AXB28" s="1266"/>
      <c r="AXC28" s="1266"/>
      <c r="AXD28" s="1266"/>
      <c r="AXE28" s="1266"/>
      <c r="AXF28" s="1266"/>
      <c r="AXG28" s="1266"/>
      <c r="AXH28" s="1266"/>
      <c r="AXI28" s="1266"/>
      <c r="AXJ28" s="1266"/>
      <c r="AXK28" s="1266"/>
      <c r="AXL28" s="1266"/>
      <c r="AXM28" s="1266"/>
      <c r="AXN28" s="1266"/>
      <c r="AXO28" s="1266"/>
      <c r="AXP28" s="1266"/>
      <c r="AXQ28" s="1266"/>
      <c r="AXR28" s="1266"/>
      <c r="AXS28" s="1266"/>
      <c r="AXT28" s="1266"/>
      <c r="AXU28" s="1266"/>
      <c r="AXV28" s="1266"/>
      <c r="AXW28" s="1266"/>
      <c r="AXX28" s="1266"/>
      <c r="AXY28" s="1266"/>
      <c r="AXZ28" s="1266"/>
      <c r="AYA28" s="1266"/>
      <c r="AYB28" s="1266"/>
      <c r="AYC28" s="1266"/>
      <c r="AYD28" s="1266"/>
      <c r="AYE28" s="1266"/>
      <c r="AYF28" s="1266"/>
      <c r="AYG28" s="1266"/>
      <c r="AYH28" s="1266"/>
      <c r="AYI28" s="1266"/>
      <c r="AYJ28" s="1266"/>
      <c r="AYK28" s="1266"/>
      <c r="AYL28" s="1266"/>
      <c r="AYM28" s="1266"/>
      <c r="AYN28" s="1266"/>
      <c r="AYO28" s="1266"/>
      <c r="AYP28" s="1266"/>
      <c r="AYQ28" s="1266"/>
      <c r="AYR28" s="1266"/>
      <c r="AYS28" s="1266"/>
      <c r="AYT28" s="1266"/>
      <c r="AYU28" s="1266"/>
      <c r="AYV28" s="1266"/>
      <c r="AYW28" s="1266"/>
      <c r="AYX28" s="1266"/>
      <c r="AYY28" s="1266"/>
      <c r="AYZ28" s="1266"/>
      <c r="AZA28" s="1266"/>
      <c r="AZB28" s="1266"/>
      <c r="AZC28" s="1266"/>
      <c r="AZD28" s="1266"/>
      <c r="AZE28" s="1266"/>
      <c r="AZF28" s="1266"/>
      <c r="AZG28" s="1266"/>
      <c r="AZH28" s="1266"/>
      <c r="AZI28" s="1266"/>
      <c r="AZJ28" s="1266"/>
      <c r="AZK28" s="1266"/>
      <c r="AZL28" s="1266"/>
      <c r="AZM28" s="1266"/>
      <c r="AZN28" s="1266"/>
      <c r="AZO28" s="1266"/>
      <c r="AZP28" s="1266"/>
      <c r="AZQ28" s="1266"/>
      <c r="AZR28" s="1266"/>
      <c r="AZS28" s="1266"/>
      <c r="AZT28" s="1266"/>
      <c r="AZU28" s="1266"/>
      <c r="AZV28" s="1266"/>
      <c r="AZW28" s="1266"/>
      <c r="AZX28" s="1266"/>
      <c r="AZY28" s="1266"/>
      <c r="AZZ28" s="1266"/>
      <c r="BAA28" s="1266"/>
      <c r="BAB28" s="1266"/>
      <c r="BAC28" s="1266"/>
      <c r="BAD28" s="1266"/>
      <c r="BAE28" s="1266"/>
      <c r="BAF28" s="1266"/>
      <c r="BAG28" s="1266"/>
      <c r="BAH28" s="1266"/>
      <c r="BAI28" s="1266"/>
      <c r="BAJ28" s="1266"/>
      <c r="BAK28" s="1266"/>
      <c r="BAL28" s="1266"/>
      <c r="BAM28" s="1266"/>
      <c r="BAN28" s="1266"/>
      <c r="BAO28" s="1266"/>
      <c r="BAP28" s="1266"/>
      <c r="BAQ28" s="1266"/>
      <c r="BAR28" s="1266"/>
      <c r="BAS28" s="1266"/>
      <c r="BAT28" s="1266"/>
      <c r="BAU28" s="1266"/>
      <c r="BAV28" s="1266"/>
      <c r="BAW28" s="1266"/>
      <c r="BAX28" s="1266"/>
      <c r="BAY28" s="1266"/>
      <c r="BAZ28" s="1266"/>
      <c r="BBA28" s="1266"/>
      <c r="BBB28" s="1266"/>
      <c r="BBC28" s="1266"/>
      <c r="BBD28" s="1266"/>
      <c r="BBE28" s="1266"/>
      <c r="BBF28" s="1266"/>
      <c r="BBG28" s="1266"/>
      <c r="BBH28" s="1266"/>
      <c r="BBI28" s="1266"/>
      <c r="BBJ28" s="1266"/>
      <c r="BBK28" s="1266"/>
      <c r="BBL28" s="1266"/>
      <c r="BBM28" s="1266"/>
      <c r="BBN28" s="1266"/>
      <c r="BBO28" s="1266"/>
      <c r="BBP28" s="1266"/>
      <c r="BBQ28" s="1266"/>
      <c r="BBR28" s="1266"/>
      <c r="BBS28" s="1266"/>
      <c r="BBT28" s="1266"/>
      <c r="BBU28" s="1266"/>
      <c r="BBV28" s="1266"/>
      <c r="BBW28" s="1266"/>
      <c r="BBX28" s="1266"/>
      <c r="BBY28" s="1266"/>
      <c r="BBZ28" s="1266"/>
      <c r="BCA28" s="1266"/>
      <c r="BCB28" s="1266"/>
      <c r="BCC28" s="1266"/>
      <c r="BCD28" s="1266"/>
      <c r="BCE28" s="1266"/>
      <c r="BCF28" s="1266"/>
      <c r="BCG28" s="1266"/>
      <c r="BCH28" s="1266"/>
      <c r="BCI28" s="1266"/>
      <c r="BCJ28" s="1266"/>
      <c r="BCK28" s="1266"/>
      <c r="BCL28" s="1266"/>
      <c r="BCM28" s="1266"/>
      <c r="BCN28" s="1266"/>
      <c r="BCO28" s="1266"/>
      <c r="BCP28" s="1266"/>
      <c r="BCQ28" s="1266"/>
      <c r="BCR28" s="1266"/>
      <c r="BCS28" s="1266"/>
      <c r="BCT28" s="1266"/>
      <c r="BCU28" s="1266"/>
      <c r="BCV28" s="1266"/>
      <c r="BCW28" s="1266"/>
      <c r="BCX28" s="1266"/>
      <c r="BCY28" s="1266"/>
      <c r="BCZ28" s="1266"/>
      <c r="BDA28" s="1266"/>
      <c r="BDB28" s="1266"/>
      <c r="BDC28" s="1266"/>
      <c r="BDD28" s="1266"/>
      <c r="BDE28" s="1266"/>
      <c r="BDF28" s="1266"/>
      <c r="BDG28" s="1266"/>
      <c r="BDH28" s="1266"/>
      <c r="BDI28" s="1266"/>
      <c r="BDJ28" s="1266"/>
      <c r="BDK28" s="1266"/>
      <c r="BDL28" s="1266"/>
      <c r="BDM28" s="1266"/>
      <c r="BDN28" s="1266"/>
      <c r="BDO28" s="1266"/>
      <c r="BDP28" s="1266"/>
      <c r="BDQ28" s="1266"/>
      <c r="BDR28" s="1266"/>
      <c r="BDS28" s="1266"/>
      <c r="BDT28" s="1266"/>
      <c r="BDU28" s="1266"/>
      <c r="BDV28" s="1266"/>
      <c r="BDW28" s="1266"/>
      <c r="BDX28" s="1266"/>
      <c r="BDY28" s="1266"/>
      <c r="BDZ28" s="1266"/>
      <c r="BEA28" s="1266"/>
      <c r="BEB28" s="1266"/>
      <c r="BEC28" s="1266"/>
      <c r="BED28" s="1266"/>
      <c r="BEE28" s="1266"/>
      <c r="BEF28" s="1266"/>
      <c r="BEG28" s="1266"/>
      <c r="BEH28" s="1266"/>
      <c r="BEI28" s="1266"/>
      <c r="BEJ28" s="1266"/>
      <c r="BEK28" s="1266"/>
      <c r="BEL28" s="1266"/>
      <c r="BEM28" s="1266"/>
      <c r="BEN28" s="1266"/>
      <c r="BEO28" s="1266"/>
      <c r="BEP28" s="1266"/>
      <c r="BEQ28" s="1266"/>
      <c r="BER28" s="1266"/>
      <c r="BES28" s="1266"/>
      <c r="BET28" s="1266"/>
      <c r="BEU28" s="1266"/>
      <c r="BEV28" s="1266"/>
      <c r="BEW28" s="1266"/>
      <c r="BEX28" s="1266"/>
      <c r="BEY28" s="1266"/>
      <c r="BEZ28" s="1266"/>
      <c r="BFA28" s="1266"/>
      <c r="BFB28" s="1266"/>
      <c r="BFC28" s="1266"/>
      <c r="BFD28" s="1266"/>
      <c r="BFE28" s="1266"/>
      <c r="BFF28" s="1266"/>
      <c r="BFG28" s="1266"/>
      <c r="BFH28" s="1266"/>
      <c r="BFI28" s="1266"/>
      <c r="BFJ28" s="1266"/>
      <c r="BFK28" s="1266"/>
      <c r="BFL28" s="1266"/>
      <c r="BFM28" s="1266"/>
      <c r="BFN28" s="1266"/>
      <c r="BFO28" s="1266"/>
      <c r="BFP28" s="1266"/>
      <c r="BFQ28" s="1266"/>
      <c r="BFR28" s="1266"/>
      <c r="BFS28" s="1266"/>
      <c r="BFT28" s="1266"/>
      <c r="BFU28" s="1266"/>
      <c r="BFV28" s="1266"/>
      <c r="BFW28" s="1266"/>
      <c r="BFX28" s="1266"/>
      <c r="BFY28" s="1266"/>
      <c r="BFZ28" s="1266"/>
      <c r="BGA28" s="1266"/>
      <c r="BGB28" s="1266"/>
      <c r="BGC28" s="1266"/>
      <c r="BGD28" s="1266"/>
      <c r="BGE28" s="1266"/>
      <c r="BGF28" s="1266"/>
      <c r="BGG28" s="1266"/>
      <c r="BGH28" s="1266"/>
      <c r="BGI28" s="1266"/>
      <c r="BGJ28" s="1266"/>
      <c r="BGK28" s="1266"/>
      <c r="BGL28" s="1266"/>
      <c r="BGM28" s="1266"/>
      <c r="BGN28" s="1266"/>
      <c r="BGO28" s="1266"/>
      <c r="BGP28" s="1266"/>
      <c r="BGQ28" s="1266"/>
      <c r="BGR28" s="1266"/>
      <c r="BGS28" s="1266"/>
      <c r="BGT28" s="1266"/>
      <c r="BGU28" s="1266"/>
      <c r="BGV28" s="1266"/>
      <c r="BGW28" s="1266"/>
      <c r="BGX28" s="1266"/>
      <c r="BGY28" s="1266"/>
      <c r="BGZ28" s="1266"/>
      <c r="BHA28" s="1266"/>
      <c r="BHB28" s="1266"/>
      <c r="BHC28" s="1266"/>
      <c r="BHD28" s="1266"/>
      <c r="BHE28" s="1266"/>
      <c r="BHF28" s="1266"/>
      <c r="BHG28" s="1266"/>
      <c r="BHH28" s="1266"/>
      <c r="BHI28" s="1266"/>
      <c r="BHJ28" s="1266"/>
      <c r="BHK28" s="1266"/>
      <c r="BHL28" s="1266"/>
      <c r="BHM28" s="1266"/>
      <c r="BHN28" s="1266"/>
      <c r="BHO28" s="1266"/>
      <c r="BHP28" s="1266"/>
      <c r="BHQ28" s="1266"/>
      <c r="BHR28" s="1266"/>
      <c r="BHS28" s="1266"/>
      <c r="BHT28" s="1266"/>
      <c r="BHU28" s="1266"/>
      <c r="BHV28" s="1266"/>
      <c r="BHW28" s="1266"/>
      <c r="BHX28" s="1266"/>
      <c r="BHY28" s="1266"/>
      <c r="BHZ28" s="1266"/>
      <c r="BIA28" s="1266"/>
      <c r="BIB28" s="1266"/>
      <c r="BIC28" s="1266"/>
      <c r="BID28" s="1266"/>
      <c r="BIE28" s="1266"/>
      <c r="BIF28" s="1266"/>
      <c r="BIG28" s="1266"/>
      <c r="BIH28" s="1266"/>
      <c r="BII28" s="1266"/>
      <c r="BIJ28" s="1266"/>
      <c r="BIK28" s="1266"/>
      <c r="BIL28" s="1266"/>
      <c r="BIM28" s="1266"/>
      <c r="BIN28" s="1266"/>
      <c r="BIO28" s="1266"/>
      <c r="BIP28" s="1266"/>
      <c r="BIQ28" s="1266"/>
      <c r="BIR28" s="1266"/>
      <c r="BIS28" s="1266"/>
      <c r="BIT28" s="1266"/>
      <c r="BIU28" s="1266"/>
      <c r="BIV28" s="1266"/>
      <c r="BIW28" s="1266"/>
      <c r="BIX28" s="1266"/>
      <c r="BIY28" s="1266"/>
      <c r="BIZ28" s="1266"/>
      <c r="BJA28" s="1266"/>
      <c r="BJB28" s="1266"/>
      <c r="BJC28" s="1266"/>
      <c r="BJD28" s="1266"/>
      <c r="BJE28" s="1266"/>
      <c r="BJF28" s="1266"/>
      <c r="BJG28" s="1266"/>
      <c r="BJH28" s="1266"/>
      <c r="BJI28" s="1266"/>
      <c r="BJJ28" s="1266"/>
      <c r="BJK28" s="1266"/>
      <c r="BJL28" s="1266"/>
      <c r="BJM28" s="1266"/>
      <c r="BJN28" s="1266"/>
      <c r="BJO28" s="1266"/>
      <c r="BJP28" s="1266"/>
      <c r="BJQ28" s="1266"/>
      <c r="BJR28" s="1266"/>
      <c r="BJS28" s="1266"/>
      <c r="BJT28" s="1266"/>
      <c r="BJU28" s="1266"/>
      <c r="BJV28" s="1266"/>
      <c r="BJW28" s="1266"/>
      <c r="BJX28" s="1266"/>
      <c r="BJY28" s="1266"/>
      <c r="BJZ28" s="1266"/>
      <c r="BKA28" s="1266"/>
      <c r="BKB28" s="1266"/>
      <c r="BKC28" s="1266"/>
      <c r="BKD28" s="1266"/>
      <c r="BKE28" s="1266"/>
      <c r="BKF28" s="1266"/>
      <c r="BKG28" s="1266"/>
      <c r="BKH28" s="1266"/>
      <c r="BKI28" s="1266"/>
      <c r="BKJ28" s="1266"/>
      <c r="BKK28" s="1266"/>
      <c r="BKL28" s="1266"/>
      <c r="BKM28" s="1266"/>
      <c r="BKN28" s="1266"/>
      <c r="BKO28" s="1266"/>
      <c r="BKP28" s="1266"/>
      <c r="BKQ28" s="1266"/>
      <c r="BKR28" s="1266"/>
      <c r="BKS28" s="1266"/>
      <c r="BKT28" s="1266"/>
      <c r="BKU28" s="1266"/>
      <c r="BKV28" s="1266"/>
      <c r="BKW28" s="1266"/>
      <c r="BKX28" s="1266"/>
      <c r="BKY28" s="1266"/>
      <c r="BKZ28" s="1266"/>
      <c r="BLA28" s="1266"/>
      <c r="BLB28" s="1266"/>
      <c r="BLC28" s="1266"/>
      <c r="BLD28" s="1266"/>
      <c r="BLE28" s="1266"/>
      <c r="BLF28" s="1266"/>
      <c r="BLG28" s="1266"/>
      <c r="BLH28" s="1266"/>
      <c r="BLI28" s="1266"/>
      <c r="BLJ28" s="1266"/>
      <c r="BLK28" s="1266"/>
      <c r="BLL28" s="1266"/>
      <c r="BLM28" s="1266"/>
      <c r="BLN28" s="1266"/>
      <c r="BLO28" s="1266"/>
      <c r="BLP28" s="1266"/>
      <c r="BLQ28" s="1266"/>
      <c r="BLR28" s="1266"/>
      <c r="BLS28" s="1266"/>
      <c r="BLT28" s="1266"/>
      <c r="BLU28" s="1266"/>
      <c r="BLV28" s="1266"/>
      <c r="BLW28" s="1266"/>
      <c r="BLX28" s="1266"/>
      <c r="BLY28" s="1266"/>
      <c r="BLZ28" s="1266"/>
      <c r="BMA28" s="1266"/>
      <c r="BMB28" s="1266"/>
      <c r="BMC28" s="1266"/>
      <c r="BMD28" s="1266"/>
      <c r="BME28" s="1266"/>
      <c r="BMF28" s="1266"/>
      <c r="BMG28" s="1266"/>
      <c r="BMH28" s="1266"/>
      <c r="BMI28" s="1266"/>
      <c r="BMJ28" s="1266"/>
      <c r="BMK28" s="1266"/>
      <c r="BML28" s="1266"/>
      <c r="BMM28" s="1266"/>
      <c r="BMN28" s="1266"/>
      <c r="BMO28" s="1266"/>
      <c r="BMP28" s="1266"/>
      <c r="BMQ28" s="1266"/>
      <c r="BMR28" s="1266"/>
      <c r="BMS28" s="1266"/>
      <c r="BMT28" s="1266"/>
      <c r="BMU28" s="1266"/>
      <c r="BMV28" s="1266"/>
      <c r="BMW28" s="1266"/>
      <c r="BMX28" s="1266"/>
      <c r="BMY28" s="1266"/>
      <c r="BMZ28" s="1266"/>
      <c r="BNA28" s="1266"/>
      <c r="BNB28" s="1266"/>
      <c r="BNC28" s="1266"/>
      <c r="BND28" s="1266"/>
      <c r="BNE28" s="1266"/>
      <c r="BNF28" s="1266"/>
      <c r="BNG28" s="1266"/>
      <c r="BNH28" s="1266"/>
      <c r="BNI28" s="1266"/>
      <c r="BNJ28" s="1266"/>
      <c r="BNK28" s="1266"/>
      <c r="BNL28" s="1266"/>
      <c r="BNM28" s="1266"/>
      <c r="BNN28" s="1266"/>
      <c r="BNO28" s="1266"/>
      <c r="BNP28" s="1266"/>
      <c r="BNQ28" s="1266"/>
      <c r="BNR28" s="1266"/>
      <c r="BNS28" s="1266"/>
      <c r="BNT28" s="1266"/>
      <c r="BNU28" s="1266"/>
      <c r="BNV28" s="1266"/>
      <c r="BNW28" s="1266"/>
      <c r="BNX28" s="1266"/>
      <c r="BNY28" s="1266"/>
      <c r="BNZ28" s="1266"/>
      <c r="BOA28" s="1266"/>
      <c r="BOB28" s="1266"/>
      <c r="BOC28" s="1266"/>
      <c r="BOD28" s="1266"/>
      <c r="BOE28" s="1266"/>
      <c r="BOF28" s="1266"/>
      <c r="BOG28" s="1266"/>
      <c r="BOH28" s="1266"/>
      <c r="BOI28" s="1266"/>
      <c r="BOJ28" s="1266"/>
      <c r="BOK28" s="1266"/>
      <c r="BOL28" s="1266"/>
      <c r="BOM28" s="1266"/>
      <c r="BON28" s="1266"/>
      <c r="BOO28" s="1266"/>
      <c r="BOP28" s="1266"/>
      <c r="BOQ28" s="1266"/>
      <c r="BOR28" s="1266"/>
      <c r="BOS28" s="1266"/>
      <c r="BOT28" s="1266"/>
      <c r="BOU28" s="1266"/>
      <c r="BOV28" s="1266"/>
      <c r="BOW28" s="1266"/>
      <c r="BOX28" s="1266"/>
      <c r="BOY28" s="1266"/>
      <c r="BOZ28" s="1266"/>
      <c r="BPA28" s="1266"/>
      <c r="BPB28" s="1266"/>
      <c r="BPC28" s="1266"/>
      <c r="BPD28" s="1266"/>
      <c r="BPE28" s="1266"/>
      <c r="BPF28" s="1266"/>
      <c r="BPG28" s="1266"/>
      <c r="BPH28" s="1266"/>
      <c r="BPI28" s="1266"/>
      <c r="BPJ28" s="1266"/>
      <c r="BPK28" s="1266"/>
      <c r="BPL28" s="1266"/>
      <c r="BPM28" s="1266"/>
      <c r="BPN28" s="1266"/>
      <c r="BPO28" s="1266"/>
      <c r="BPP28" s="1266"/>
      <c r="BPQ28" s="1266"/>
      <c r="BPR28" s="1266"/>
      <c r="BPS28" s="1266"/>
      <c r="BPT28" s="1266"/>
      <c r="BPU28" s="1266"/>
      <c r="BPV28" s="1266"/>
      <c r="BPW28" s="1266"/>
      <c r="BPX28" s="1266"/>
      <c r="BPY28" s="1266"/>
      <c r="BPZ28" s="1266"/>
      <c r="BQA28" s="1266"/>
      <c r="BQB28" s="1266"/>
      <c r="BQC28" s="1266"/>
      <c r="BQD28" s="1266"/>
      <c r="BQE28" s="1266"/>
      <c r="BQF28" s="1266"/>
      <c r="BQG28" s="1266"/>
      <c r="BQH28" s="1266"/>
      <c r="BQI28" s="1266"/>
      <c r="BQJ28" s="1266"/>
      <c r="BQK28" s="1266"/>
      <c r="BQL28" s="1266"/>
      <c r="BQM28" s="1266"/>
      <c r="BQN28" s="1266"/>
      <c r="BQO28" s="1266"/>
      <c r="BQP28" s="1266"/>
      <c r="BQQ28" s="1266"/>
      <c r="BQR28" s="1266"/>
      <c r="BQS28" s="1266"/>
      <c r="BQT28" s="1266"/>
      <c r="BQU28" s="1266"/>
      <c r="BQV28" s="1266"/>
      <c r="BQW28" s="1266"/>
      <c r="BQX28" s="1266"/>
      <c r="BQY28" s="1266"/>
      <c r="BQZ28" s="1266"/>
      <c r="BRA28" s="1266"/>
      <c r="BRB28" s="1266"/>
      <c r="BRC28" s="1266"/>
      <c r="BRD28" s="1266"/>
      <c r="BRE28" s="1266"/>
      <c r="BRF28" s="1266"/>
      <c r="BRG28" s="1266"/>
      <c r="BRH28" s="1266"/>
      <c r="BRI28" s="1266"/>
      <c r="BRJ28" s="1266"/>
      <c r="BRK28" s="1266"/>
      <c r="BRL28" s="1266"/>
      <c r="BRM28" s="1266"/>
      <c r="BRN28" s="1266"/>
      <c r="BRO28" s="1266"/>
      <c r="BRP28" s="1266"/>
      <c r="BRQ28" s="1266"/>
      <c r="BRR28" s="1266"/>
      <c r="BRS28" s="1266"/>
      <c r="BRT28" s="1266"/>
      <c r="BRU28" s="1266"/>
      <c r="BRV28" s="1266"/>
      <c r="BRW28" s="1266"/>
      <c r="BRX28" s="1266"/>
      <c r="BRY28" s="1266"/>
      <c r="BRZ28" s="1266"/>
      <c r="BSA28" s="1266"/>
      <c r="BSB28" s="1266"/>
      <c r="BSC28" s="1266"/>
      <c r="BSD28" s="1266"/>
      <c r="BSE28" s="1266"/>
      <c r="BSF28" s="1266"/>
      <c r="BSG28" s="1266"/>
      <c r="BSH28" s="1266"/>
      <c r="BSI28" s="1266"/>
      <c r="BSJ28" s="1266"/>
      <c r="BSK28" s="1266"/>
      <c r="BSL28" s="1266"/>
      <c r="BSM28" s="1266"/>
      <c r="BSN28" s="1266"/>
      <c r="BSO28" s="1266"/>
      <c r="BSP28" s="1266"/>
      <c r="BSQ28" s="1266"/>
      <c r="BSR28" s="1266"/>
      <c r="BSS28" s="1266"/>
      <c r="BST28" s="1266"/>
      <c r="BSU28" s="1266"/>
      <c r="BSV28" s="1266"/>
      <c r="BSW28" s="1266"/>
      <c r="BSX28" s="1266"/>
      <c r="BSY28" s="1266"/>
      <c r="BSZ28" s="1266"/>
      <c r="BTA28" s="1266"/>
      <c r="BTB28" s="1266"/>
      <c r="BTC28" s="1266"/>
      <c r="BTD28" s="1266"/>
      <c r="BTE28" s="1266"/>
      <c r="BTF28" s="1266"/>
      <c r="BTG28" s="1266"/>
      <c r="BTH28" s="1266"/>
      <c r="BTI28" s="1266"/>
      <c r="BTJ28" s="1266"/>
      <c r="BTK28" s="1266"/>
      <c r="BTL28" s="1266"/>
      <c r="BTM28" s="1266"/>
      <c r="BTN28" s="1266"/>
      <c r="BTO28" s="1266"/>
      <c r="BTP28" s="1266"/>
      <c r="BTQ28" s="1266"/>
      <c r="BTR28" s="1266"/>
      <c r="BTS28" s="1266"/>
      <c r="BTT28" s="1266"/>
      <c r="BTU28" s="1266"/>
      <c r="BTV28" s="1266"/>
      <c r="BTW28" s="1266"/>
      <c r="BTX28" s="1266"/>
      <c r="BTY28" s="1266"/>
      <c r="BTZ28" s="1266"/>
      <c r="BUA28" s="1266"/>
      <c r="BUB28" s="1266"/>
      <c r="BUC28" s="1266"/>
      <c r="BUD28" s="1266"/>
      <c r="BUE28" s="1266"/>
      <c r="BUF28" s="1266"/>
      <c r="BUG28" s="1266"/>
      <c r="BUH28" s="1266"/>
      <c r="BUI28" s="1266"/>
      <c r="BUJ28" s="1266"/>
      <c r="BUK28" s="1266"/>
      <c r="BUL28" s="1266"/>
      <c r="BUM28" s="1266"/>
      <c r="BUN28" s="1266"/>
      <c r="BUO28" s="1266"/>
      <c r="BUP28" s="1266"/>
      <c r="BUQ28" s="1266"/>
      <c r="BUR28" s="1266"/>
      <c r="BUS28" s="1266"/>
      <c r="BUT28" s="1266"/>
      <c r="BUU28" s="1266"/>
      <c r="BUV28" s="1266"/>
      <c r="BUW28" s="1266"/>
      <c r="BUX28" s="1266"/>
      <c r="BUY28" s="1266"/>
      <c r="BUZ28" s="1266"/>
      <c r="BVA28" s="1266"/>
      <c r="BVB28" s="1266"/>
      <c r="BVC28" s="1266"/>
      <c r="BVD28" s="1266"/>
      <c r="BVE28" s="1266"/>
      <c r="BVF28" s="1266"/>
      <c r="BVG28" s="1266"/>
      <c r="BVH28" s="1266"/>
      <c r="BVI28" s="1266"/>
      <c r="BVJ28" s="1266"/>
      <c r="BVK28" s="1266"/>
      <c r="BVL28" s="1266"/>
      <c r="BVM28" s="1266"/>
      <c r="BVN28" s="1266"/>
      <c r="BVO28" s="1266"/>
      <c r="BVP28" s="1266"/>
      <c r="BVQ28" s="1266"/>
      <c r="BVR28" s="1266"/>
      <c r="BVS28" s="1266"/>
      <c r="BVT28" s="1266"/>
      <c r="BVU28" s="1266"/>
      <c r="BVV28" s="1266"/>
      <c r="BVW28" s="1266"/>
      <c r="BVX28" s="1266"/>
      <c r="BVY28" s="1266"/>
      <c r="BVZ28" s="1266"/>
      <c r="BWA28" s="1266"/>
      <c r="BWB28" s="1266"/>
      <c r="BWC28" s="1266"/>
      <c r="BWD28" s="1266"/>
      <c r="BWE28" s="1266"/>
      <c r="BWF28" s="1266"/>
      <c r="BWG28" s="1266"/>
      <c r="BWH28" s="1266"/>
      <c r="BWI28" s="1266"/>
      <c r="BWJ28" s="1266"/>
      <c r="BWK28" s="1266"/>
      <c r="BWL28" s="1266"/>
      <c r="BWM28" s="1266"/>
      <c r="BWN28" s="1266"/>
      <c r="BWO28" s="1266"/>
      <c r="BWP28" s="1266"/>
      <c r="BWQ28" s="1266"/>
      <c r="BWR28" s="1266"/>
      <c r="BWS28" s="1266"/>
      <c r="BWT28" s="1266"/>
      <c r="BWU28" s="1266"/>
      <c r="BWV28" s="1266"/>
      <c r="BWW28" s="1266"/>
      <c r="BWX28" s="1266"/>
      <c r="BWY28" s="1266"/>
      <c r="BWZ28" s="1266"/>
      <c r="BXA28" s="1266"/>
      <c r="BXB28" s="1266"/>
      <c r="BXC28" s="1266"/>
      <c r="BXD28" s="1266"/>
      <c r="BXE28" s="1266"/>
      <c r="BXF28" s="1266"/>
      <c r="BXG28" s="1266"/>
      <c r="BXH28" s="1266"/>
      <c r="BXI28" s="1266"/>
      <c r="BXJ28" s="1266"/>
      <c r="BXK28" s="1266"/>
      <c r="BXL28" s="1266"/>
      <c r="BXM28" s="1266"/>
      <c r="BXN28" s="1266"/>
      <c r="BXO28" s="1266"/>
      <c r="BXP28" s="1266"/>
      <c r="BXQ28" s="1266"/>
      <c r="BXR28" s="1266"/>
      <c r="BXS28" s="1266"/>
      <c r="BXT28" s="1266"/>
      <c r="BXU28" s="1266"/>
      <c r="BXV28" s="1266"/>
      <c r="BXW28" s="1266"/>
      <c r="BXX28" s="1266"/>
      <c r="BXY28" s="1266"/>
      <c r="BXZ28" s="1266"/>
      <c r="BYA28" s="1266"/>
      <c r="BYB28" s="1266"/>
      <c r="BYC28" s="1266"/>
      <c r="BYD28" s="1266"/>
      <c r="BYE28" s="1266"/>
      <c r="BYF28" s="1266"/>
      <c r="BYG28" s="1266"/>
      <c r="BYH28" s="1266"/>
      <c r="BYI28" s="1266"/>
      <c r="BYJ28" s="1266"/>
      <c r="BYK28" s="1266"/>
      <c r="BYL28" s="1266"/>
      <c r="BYM28" s="1266"/>
      <c r="BYN28" s="1266"/>
      <c r="BYO28" s="1266"/>
      <c r="BYP28" s="1266"/>
      <c r="BYQ28" s="1266"/>
      <c r="BYR28" s="1266"/>
      <c r="BYS28" s="1266"/>
      <c r="BYT28" s="1266"/>
      <c r="BYU28" s="1266"/>
      <c r="BYV28" s="1266"/>
      <c r="BYW28" s="1266"/>
      <c r="BYX28" s="1266"/>
      <c r="BYY28" s="1266"/>
      <c r="BYZ28" s="1266"/>
      <c r="BZA28" s="1266"/>
      <c r="BZB28" s="1266"/>
      <c r="BZC28" s="1266"/>
      <c r="BZD28" s="1266"/>
      <c r="BZE28" s="1266"/>
      <c r="BZF28" s="1266"/>
      <c r="BZG28" s="1266"/>
      <c r="BZH28" s="1266"/>
      <c r="BZI28" s="1266"/>
      <c r="BZJ28" s="1266"/>
      <c r="BZK28" s="1266"/>
      <c r="BZL28" s="1266"/>
      <c r="BZM28" s="1266"/>
      <c r="BZN28" s="1266"/>
      <c r="BZO28" s="1266"/>
      <c r="BZP28" s="1266"/>
      <c r="BZQ28" s="1266"/>
      <c r="BZR28" s="1266"/>
      <c r="BZS28" s="1266"/>
      <c r="BZT28" s="1266"/>
      <c r="BZU28" s="1266"/>
      <c r="BZV28" s="1266"/>
      <c r="BZW28" s="1266"/>
      <c r="BZX28" s="1266"/>
      <c r="BZY28" s="1266"/>
      <c r="BZZ28" s="1266"/>
      <c r="CAA28" s="1266"/>
      <c r="CAB28" s="1266"/>
      <c r="CAC28" s="1266"/>
      <c r="CAD28" s="1266"/>
      <c r="CAE28" s="1266"/>
      <c r="CAF28" s="1266"/>
      <c r="CAG28" s="1266"/>
      <c r="CAH28" s="1266"/>
      <c r="CAI28" s="1266"/>
      <c r="CAJ28" s="1266"/>
      <c r="CAK28" s="1266"/>
      <c r="CAL28" s="1266"/>
      <c r="CAM28" s="1266"/>
      <c r="CAN28" s="1266"/>
      <c r="CAO28" s="1266"/>
      <c r="CAP28" s="1266"/>
      <c r="CAQ28" s="1266"/>
      <c r="CAR28" s="1266"/>
      <c r="CAS28" s="1266"/>
      <c r="CAT28" s="1266"/>
      <c r="CAU28" s="1266"/>
      <c r="CAV28" s="1266"/>
      <c r="CAW28" s="1266"/>
      <c r="CAX28" s="1266"/>
      <c r="CAY28" s="1266"/>
      <c r="CAZ28" s="1266"/>
      <c r="CBA28" s="1266"/>
      <c r="CBB28" s="1266"/>
      <c r="CBC28" s="1266"/>
      <c r="CBD28" s="1266"/>
      <c r="CBE28" s="1266"/>
      <c r="CBF28" s="1266"/>
      <c r="CBG28" s="1266"/>
      <c r="CBH28" s="1266"/>
      <c r="CBI28" s="1266"/>
      <c r="CBJ28" s="1266"/>
      <c r="CBK28" s="1266"/>
      <c r="CBL28" s="1266"/>
      <c r="CBM28" s="1266"/>
      <c r="CBN28" s="1266"/>
      <c r="CBO28" s="1266"/>
      <c r="CBP28" s="1266"/>
      <c r="CBQ28" s="1266"/>
      <c r="CBR28" s="1266"/>
      <c r="CBS28" s="1266"/>
      <c r="CBT28" s="1266"/>
      <c r="CBU28" s="1266"/>
      <c r="CBV28" s="1266"/>
      <c r="CBW28" s="1266"/>
      <c r="CBX28" s="1266"/>
      <c r="CBY28" s="1266"/>
      <c r="CBZ28" s="1266"/>
      <c r="CCA28" s="1266"/>
      <c r="CCB28" s="1266"/>
      <c r="CCC28" s="1266"/>
      <c r="CCD28" s="1266"/>
      <c r="CCE28" s="1266"/>
      <c r="CCF28" s="1266"/>
      <c r="CCG28" s="1266"/>
      <c r="CCH28" s="1266"/>
      <c r="CCI28" s="1266"/>
      <c r="CCJ28" s="1266"/>
      <c r="CCK28" s="1266"/>
      <c r="CCL28" s="1266"/>
      <c r="CCM28" s="1266"/>
      <c r="CCN28" s="1266"/>
      <c r="CCO28" s="1266"/>
      <c r="CCP28" s="1266"/>
      <c r="CCQ28" s="1266"/>
      <c r="CCR28" s="1266"/>
      <c r="CCS28" s="1266"/>
      <c r="CCT28" s="1266"/>
      <c r="CCU28" s="1266"/>
      <c r="CCV28" s="1266"/>
      <c r="CCW28" s="1266"/>
      <c r="CCX28" s="1266"/>
      <c r="CCY28" s="1266"/>
      <c r="CCZ28" s="1266"/>
      <c r="CDA28" s="1266"/>
      <c r="CDB28" s="1266"/>
      <c r="CDC28" s="1266"/>
      <c r="CDD28" s="1266"/>
      <c r="CDE28" s="1266"/>
      <c r="CDF28" s="1266"/>
      <c r="CDG28" s="1266"/>
      <c r="CDH28" s="1266"/>
      <c r="CDI28" s="1266"/>
      <c r="CDJ28" s="1266"/>
      <c r="CDK28" s="1266"/>
      <c r="CDL28" s="1266"/>
      <c r="CDM28" s="1266"/>
      <c r="CDN28" s="1266"/>
      <c r="CDO28" s="1266"/>
      <c r="CDP28" s="1266"/>
      <c r="CDQ28" s="1266"/>
      <c r="CDR28" s="1266"/>
      <c r="CDS28" s="1266"/>
      <c r="CDT28" s="1266"/>
      <c r="CDU28" s="1266"/>
      <c r="CDV28" s="1266"/>
      <c r="CDW28" s="1266"/>
      <c r="CDX28" s="1266"/>
      <c r="CDY28" s="1266"/>
      <c r="CDZ28" s="1266"/>
      <c r="CEA28" s="1266"/>
      <c r="CEB28" s="1266"/>
      <c r="CEC28" s="1266"/>
      <c r="CED28" s="1266"/>
      <c r="CEE28" s="1266"/>
      <c r="CEF28" s="1266"/>
      <c r="CEG28" s="1266"/>
      <c r="CEH28" s="1266"/>
      <c r="CEI28" s="1266"/>
      <c r="CEJ28" s="1266"/>
      <c r="CEK28" s="1266"/>
      <c r="CEL28" s="1266"/>
      <c r="CEM28" s="1266"/>
      <c r="CEN28" s="1266"/>
      <c r="CEO28" s="1266"/>
      <c r="CEP28" s="1266"/>
      <c r="CEQ28" s="1266"/>
      <c r="CER28" s="1266"/>
      <c r="CES28" s="1266"/>
      <c r="CET28" s="1266"/>
      <c r="CEU28" s="1266"/>
      <c r="CEV28" s="1266"/>
      <c r="CEW28" s="1266"/>
      <c r="CEX28" s="1266"/>
      <c r="CEY28" s="1266"/>
      <c r="CEZ28" s="1266"/>
      <c r="CFA28" s="1266"/>
      <c r="CFB28" s="1266"/>
      <c r="CFC28" s="1266"/>
      <c r="CFD28" s="1266"/>
      <c r="CFE28" s="1266"/>
      <c r="CFF28" s="1266"/>
      <c r="CFG28" s="1266"/>
      <c r="CFH28" s="1266"/>
      <c r="CFI28" s="1266"/>
      <c r="CFJ28" s="1266"/>
      <c r="CFK28" s="1266"/>
      <c r="CFL28" s="1266"/>
      <c r="CFM28" s="1266"/>
      <c r="CFN28" s="1266"/>
      <c r="CFO28" s="1266"/>
      <c r="CFP28" s="1266"/>
      <c r="CFQ28" s="1266"/>
      <c r="CFR28" s="1266"/>
      <c r="CFS28" s="1266"/>
      <c r="CFT28" s="1266"/>
      <c r="CFU28" s="1266"/>
      <c r="CFV28" s="1266"/>
      <c r="CFW28" s="1266"/>
      <c r="CFX28" s="1266"/>
      <c r="CFY28" s="1266"/>
      <c r="CFZ28" s="1266"/>
      <c r="CGA28" s="1266"/>
      <c r="CGB28" s="1266"/>
      <c r="CGC28" s="1266"/>
      <c r="CGD28" s="1266"/>
      <c r="CGE28" s="1266"/>
      <c r="CGF28" s="1266"/>
      <c r="CGG28" s="1266"/>
      <c r="CGH28" s="1266"/>
      <c r="CGI28" s="1266"/>
      <c r="CGJ28" s="1266"/>
      <c r="CGK28" s="1266"/>
      <c r="CGL28" s="1266"/>
      <c r="CGM28" s="1266"/>
      <c r="CGN28" s="1266"/>
      <c r="CGO28" s="1266"/>
      <c r="CGP28" s="1266"/>
      <c r="CGQ28" s="1266"/>
      <c r="CGR28" s="1266"/>
      <c r="CGS28" s="1266"/>
      <c r="CGT28" s="1266"/>
      <c r="CGU28" s="1266"/>
      <c r="CGV28" s="1266"/>
      <c r="CGW28" s="1266"/>
      <c r="CGX28" s="1266"/>
      <c r="CGY28" s="1266"/>
      <c r="CGZ28" s="1266"/>
      <c r="CHA28" s="1266"/>
      <c r="CHB28" s="1266"/>
      <c r="CHC28" s="1266"/>
      <c r="CHD28" s="1266"/>
      <c r="CHE28" s="1266"/>
      <c r="CHF28" s="1266"/>
      <c r="CHG28" s="1266"/>
      <c r="CHH28" s="1266"/>
      <c r="CHI28" s="1266"/>
      <c r="CHJ28" s="1266"/>
      <c r="CHK28" s="1266"/>
      <c r="CHL28" s="1266"/>
      <c r="CHM28" s="1266"/>
      <c r="CHN28" s="1266"/>
      <c r="CHO28" s="1266"/>
      <c r="CHP28" s="1266"/>
      <c r="CHQ28" s="1266"/>
      <c r="CHR28" s="1266"/>
      <c r="CHS28" s="1266"/>
      <c r="CHT28" s="1266"/>
      <c r="CHU28" s="1266"/>
      <c r="CHV28" s="1266"/>
      <c r="CHW28" s="1266"/>
      <c r="CHX28" s="1266"/>
      <c r="CHY28" s="1266"/>
      <c r="CHZ28" s="1266"/>
      <c r="CIA28" s="1266"/>
      <c r="CIB28" s="1266"/>
      <c r="CIC28" s="1266"/>
      <c r="CID28" s="1266"/>
      <c r="CIE28" s="1266"/>
      <c r="CIF28" s="1266"/>
      <c r="CIG28" s="1266"/>
      <c r="CIH28" s="1266"/>
      <c r="CII28" s="1266"/>
      <c r="CIJ28" s="1266"/>
      <c r="CIK28" s="1266"/>
      <c r="CIL28" s="1266"/>
      <c r="CIM28" s="1266"/>
      <c r="CIN28" s="1266"/>
      <c r="CIO28" s="1266"/>
      <c r="CIP28" s="1266"/>
      <c r="CIQ28" s="1266"/>
      <c r="CIR28" s="1266"/>
      <c r="CIS28" s="1266"/>
      <c r="CIT28" s="1266"/>
      <c r="CIU28" s="1266"/>
      <c r="CIV28" s="1266"/>
      <c r="CIW28" s="1266"/>
      <c r="CIX28" s="1266"/>
      <c r="CIY28" s="1266"/>
      <c r="CIZ28" s="1266"/>
      <c r="CJA28" s="1266"/>
      <c r="CJB28" s="1266"/>
      <c r="CJC28" s="1266"/>
      <c r="CJD28" s="1266"/>
      <c r="CJE28" s="1266"/>
      <c r="CJF28" s="1266"/>
      <c r="CJG28" s="1266"/>
      <c r="CJH28" s="1266"/>
      <c r="CJI28" s="1266"/>
      <c r="CJJ28" s="1266"/>
      <c r="CJK28" s="1266"/>
      <c r="CJL28" s="1266"/>
      <c r="CJM28" s="1266"/>
      <c r="CJN28" s="1266"/>
      <c r="CJO28" s="1266"/>
      <c r="CJP28" s="1266"/>
      <c r="CJQ28" s="1266"/>
      <c r="CJR28" s="1266"/>
      <c r="CJS28" s="1266"/>
      <c r="CJT28" s="1266"/>
      <c r="CJU28" s="1266"/>
      <c r="CJV28" s="1266"/>
      <c r="CJW28" s="1266"/>
      <c r="CJX28" s="1266"/>
      <c r="CJY28" s="1266"/>
      <c r="CJZ28" s="1266"/>
      <c r="CKA28" s="1266"/>
      <c r="CKB28" s="1266"/>
      <c r="CKC28" s="1266"/>
      <c r="CKD28" s="1266"/>
      <c r="CKE28" s="1266"/>
      <c r="CKF28" s="1266"/>
      <c r="CKG28" s="1266"/>
      <c r="CKH28" s="1266"/>
      <c r="CKI28" s="1266"/>
      <c r="CKJ28" s="1266"/>
      <c r="CKK28" s="1266"/>
      <c r="CKL28" s="1266"/>
      <c r="CKM28" s="1266"/>
      <c r="CKN28" s="1266"/>
      <c r="CKO28" s="1266"/>
      <c r="CKP28" s="1266"/>
      <c r="CKQ28" s="1266"/>
      <c r="CKR28" s="1266"/>
      <c r="CKS28" s="1266"/>
      <c r="CKT28" s="1266"/>
      <c r="CKU28" s="1266"/>
      <c r="CKV28" s="1266"/>
      <c r="CKW28" s="1266"/>
      <c r="CKX28" s="1266"/>
      <c r="CKY28" s="1266"/>
      <c r="CKZ28" s="1266"/>
      <c r="CLA28" s="1266"/>
      <c r="CLB28" s="1266"/>
      <c r="CLC28" s="1266"/>
      <c r="CLD28" s="1266"/>
      <c r="CLE28" s="1266"/>
      <c r="CLF28" s="1266"/>
      <c r="CLG28" s="1266"/>
      <c r="CLH28" s="1266"/>
      <c r="CLI28" s="1266"/>
      <c r="CLJ28" s="1266"/>
      <c r="CLK28" s="1266"/>
      <c r="CLL28" s="1266"/>
      <c r="CLM28" s="1266"/>
      <c r="CLN28" s="1266"/>
      <c r="CLO28" s="1266"/>
      <c r="CLP28" s="1266"/>
      <c r="CLQ28" s="1266"/>
      <c r="CLR28" s="1266"/>
      <c r="CLS28" s="1266"/>
      <c r="CLT28" s="1266"/>
      <c r="CLU28" s="1266"/>
      <c r="CLV28" s="1266"/>
      <c r="CLW28" s="1266"/>
      <c r="CLX28" s="1266"/>
      <c r="CLY28" s="1266"/>
      <c r="CLZ28" s="1266"/>
      <c r="CMA28" s="1266"/>
      <c r="CMB28" s="1266"/>
      <c r="CMC28" s="1266"/>
      <c r="CMD28" s="1266"/>
      <c r="CME28" s="1266"/>
      <c r="CMF28" s="1266"/>
      <c r="CMG28" s="1266"/>
      <c r="CMH28" s="1266"/>
      <c r="CMI28" s="1266"/>
      <c r="CMJ28" s="1266"/>
      <c r="CMK28" s="1266"/>
      <c r="CML28" s="1266"/>
      <c r="CMM28" s="1266"/>
      <c r="CMN28" s="1266"/>
      <c r="CMO28" s="1266"/>
      <c r="CMP28" s="1266"/>
      <c r="CMQ28" s="1266"/>
      <c r="CMR28" s="1266"/>
      <c r="CMS28" s="1266"/>
      <c r="CMT28" s="1266"/>
      <c r="CMU28" s="1266"/>
      <c r="CMV28" s="1266"/>
      <c r="CMW28" s="1266"/>
      <c r="CMX28" s="1266"/>
      <c r="CMY28" s="1266"/>
      <c r="CMZ28" s="1266"/>
      <c r="CNA28" s="1266"/>
      <c r="CNB28" s="1266"/>
      <c r="CNC28" s="1266"/>
      <c r="CND28" s="1266"/>
      <c r="CNE28" s="1266"/>
      <c r="CNF28" s="1266"/>
      <c r="CNG28" s="1266"/>
      <c r="CNH28" s="1266"/>
      <c r="CNI28" s="1266"/>
      <c r="CNJ28" s="1266"/>
      <c r="CNK28" s="1266"/>
      <c r="CNL28" s="1266"/>
      <c r="CNM28" s="1266"/>
      <c r="CNN28" s="1266"/>
      <c r="CNO28" s="1266"/>
      <c r="CNP28" s="1266"/>
      <c r="CNQ28" s="1266"/>
      <c r="CNR28" s="1266"/>
      <c r="CNS28" s="1266"/>
      <c r="CNT28" s="1266"/>
      <c r="CNU28" s="1266"/>
      <c r="CNV28" s="1266"/>
      <c r="CNW28" s="1266"/>
      <c r="CNX28" s="1266"/>
      <c r="CNY28" s="1266"/>
      <c r="CNZ28" s="1266"/>
      <c r="COA28" s="1266"/>
      <c r="COB28" s="1266"/>
      <c r="COC28" s="1266"/>
      <c r="COD28" s="1266"/>
      <c r="COE28" s="1266"/>
      <c r="COF28" s="1266"/>
      <c r="COG28" s="1266"/>
      <c r="COH28" s="1266"/>
      <c r="COI28" s="1266"/>
      <c r="COJ28" s="1266"/>
      <c r="COK28" s="1266"/>
      <c r="COL28" s="1266"/>
      <c r="COM28" s="1266"/>
      <c r="CON28" s="1266"/>
      <c r="COO28" s="1266"/>
      <c r="COP28" s="1266"/>
      <c r="COQ28" s="1266"/>
      <c r="COR28" s="1266"/>
      <c r="COS28" s="1266"/>
      <c r="COT28" s="1266"/>
      <c r="COU28" s="1266"/>
      <c r="COV28" s="1266"/>
      <c r="COW28" s="1266"/>
      <c r="COX28" s="1266"/>
      <c r="COY28" s="1266"/>
      <c r="COZ28" s="1266"/>
      <c r="CPA28" s="1266"/>
      <c r="CPB28" s="1266"/>
      <c r="CPC28" s="1266"/>
      <c r="CPD28" s="1266"/>
      <c r="CPE28" s="1266"/>
      <c r="CPF28" s="1266"/>
      <c r="CPG28" s="1266"/>
      <c r="CPH28" s="1266"/>
      <c r="CPI28" s="1266"/>
      <c r="CPJ28" s="1266"/>
      <c r="CPK28" s="1266"/>
      <c r="CPL28" s="1266"/>
      <c r="CPM28" s="1266"/>
      <c r="CPN28" s="1266"/>
      <c r="CPO28" s="1266"/>
      <c r="CPP28" s="1266"/>
      <c r="CPQ28" s="1266"/>
      <c r="CPR28" s="1266"/>
      <c r="CPS28" s="1266"/>
      <c r="CPT28" s="1266"/>
      <c r="CPU28" s="1266"/>
      <c r="CPV28" s="1266"/>
      <c r="CPW28" s="1266"/>
      <c r="CPX28" s="1266"/>
      <c r="CPY28" s="1266"/>
      <c r="CPZ28" s="1266"/>
      <c r="CQA28" s="1266"/>
      <c r="CQB28" s="1266"/>
      <c r="CQC28" s="1266"/>
      <c r="CQD28" s="1266"/>
      <c r="CQE28" s="1266"/>
      <c r="CQF28" s="1266"/>
      <c r="CQG28" s="1266"/>
      <c r="CQH28" s="1266"/>
      <c r="CQI28" s="1266"/>
      <c r="CQJ28" s="1266"/>
      <c r="CQK28" s="1266"/>
      <c r="CQL28" s="1266"/>
      <c r="CQM28" s="1266"/>
      <c r="CQN28" s="1266"/>
      <c r="CQO28" s="1266"/>
      <c r="CQP28" s="1266"/>
      <c r="CQQ28" s="1266"/>
      <c r="CQR28" s="1266"/>
      <c r="CQS28" s="1266"/>
      <c r="CQT28" s="1266"/>
      <c r="CQU28" s="1266"/>
      <c r="CQV28" s="1266"/>
      <c r="CQW28" s="1266"/>
      <c r="CQX28" s="1266"/>
      <c r="CQY28" s="1266"/>
      <c r="CQZ28" s="1266"/>
      <c r="CRA28" s="1266"/>
      <c r="CRB28" s="1266"/>
      <c r="CRC28" s="1266"/>
      <c r="CRD28" s="1266"/>
      <c r="CRE28" s="1266"/>
      <c r="CRF28" s="1266"/>
      <c r="CRG28" s="1266"/>
      <c r="CRH28" s="1266"/>
      <c r="CRI28" s="1266"/>
      <c r="CRJ28" s="1266"/>
      <c r="CRK28" s="1266"/>
      <c r="CRL28" s="1266"/>
      <c r="CRM28" s="1266"/>
      <c r="CRN28" s="1266"/>
      <c r="CRO28" s="1266"/>
      <c r="CRP28" s="1266"/>
      <c r="CRQ28" s="1266"/>
      <c r="CRR28" s="1266"/>
      <c r="CRS28" s="1266"/>
      <c r="CRT28" s="1266"/>
      <c r="CRU28" s="1266"/>
      <c r="CRV28" s="1266"/>
      <c r="CRW28" s="1266"/>
      <c r="CRX28" s="1266"/>
      <c r="CRY28" s="1266"/>
      <c r="CRZ28" s="1266"/>
      <c r="CSA28" s="1266"/>
      <c r="CSB28" s="1266"/>
      <c r="CSC28" s="1266"/>
      <c r="CSD28" s="1266"/>
      <c r="CSE28" s="1266"/>
      <c r="CSF28" s="1266"/>
      <c r="CSG28" s="1266"/>
      <c r="CSH28" s="1266"/>
      <c r="CSI28" s="1266"/>
      <c r="CSJ28" s="1266"/>
      <c r="CSK28" s="1266"/>
      <c r="CSL28" s="1266"/>
      <c r="CSM28" s="1266"/>
      <c r="CSN28" s="1266"/>
      <c r="CSO28" s="1266"/>
      <c r="CSP28" s="1266"/>
      <c r="CSQ28" s="1266"/>
      <c r="CSR28" s="1266"/>
      <c r="CSS28" s="1266"/>
      <c r="CST28" s="1266"/>
      <c r="CSU28" s="1266"/>
      <c r="CSV28" s="1266"/>
      <c r="CSW28" s="1266"/>
      <c r="CSX28" s="1266"/>
      <c r="CSY28" s="1266"/>
      <c r="CSZ28" s="1266"/>
      <c r="CTA28" s="1266"/>
      <c r="CTB28" s="1266"/>
      <c r="CTC28" s="1266"/>
      <c r="CTD28" s="1266"/>
      <c r="CTE28" s="1266"/>
      <c r="CTF28" s="1266"/>
      <c r="CTG28" s="1266"/>
      <c r="CTH28" s="1266"/>
      <c r="CTI28" s="1266"/>
      <c r="CTJ28" s="1266"/>
      <c r="CTK28" s="1266"/>
      <c r="CTL28" s="1266"/>
      <c r="CTM28" s="1266"/>
      <c r="CTN28" s="1266"/>
      <c r="CTO28" s="1266"/>
      <c r="CTP28" s="1266"/>
      <c r="CTQ28" s="1266"/>
      <c r="CTR28" s="1266"/>
      <c r="CTS28" s="1266"/>
      <c r="CTT28" s="1266"/>
      <c r="CTU28" s="1266"/>
      <c r="CTV28" s="1266"/>
      <c r="CTW28" s="1266"/>
      <c r="CTX28" s="1266"/>
      <c r="CTY28" s="1266"/>
      <c r="CTZ28" s="1266"/>
      <c r="CUA28" s="1266"/>
      <c r="CUB28" s="1266"/>
      <c r="CUC28" s="1266"/>
      <c r="CUD28" s="1266"/>
      <c r="CUE28" s="1266"/>
      <c r="CUF28" s="1266"/>
      <c r="CUG28" s="1266"/>
      <c r="CUH28" s="1266"/>
      <c r="CUI28" s="1266"/>
      <c r="CUJ28" s="1266"/>
      <c r="CUK28" s="1266"/>
      <c r="CUL28" s="1266"/>
      <c r="CUM28" s="1266"/>
      <c r="CUN28" s="1266"/>
      <c r="CUO28" s="1266"/>
      <c r="CUP28" s="1266"/>
      <c r="CUQ28" s="1266"/>
      <c r="CUR28" s="1266"/>
      <c r="CUS28" s="1266"/>
      <c r="CUT28" s="1266"/>
      <c r="CUU28" s="1266"/>
      <c r="CUV28" s="1266"/>
      <c r="CUW28" s="1266"/>
      <c r="CUX28" s="1266"/>
      <c r="CUY28" s="1266"/>
      <c r="CUZ28" s="1266"/>
      <c r="CVA28" s="1266"/>
      <c r="CVB28" s="1266"/>
      <c r="CVC28" s="1266"/>
      <c r="CVD28" s="1266"/>
      <c r="CVE28" s="1266"/>
      <c r="CVF28" s="1266"/>
      <c r="CVG28" s="1266"/>
      <c r="CVH28" s="1266"/>
      <c r="CVI28" s="1266"/>
      <c r="CVJ28" s="1266"/>
      <c r="CVK28" s="1266"/>
      <c r="CVL28" s="1266"/>
      <c r="CVM28" s="1266"/>
      <c r="CVN28" s="1266"/>
      <c r="CVO28" s="1266"/>
      <c r="CVP28" s="1266"/>
      <c r="CVQ28" s="1266"/>
      <c r="CVR28" s="1266"/>
      <c r="CVS28" s="1266"/>
      <c r="CVT28" s="1266"/>
      <c r="CVU28" s="1266"/>
      <c r="CVV28" s="1266"/>
      <c r="CVW28" s="1266"/>
      <c r="CVX28" s="1266"/>
      <c r="CVY28" s="1266"/>
      <c r="CVZ28" s="1266"/>
      <c r="CWA28" s="1266"/>
      <c r="CWB28" s="1266"/>
      <c r="CWC28" s="1266"/>
      <c r="CWD28" s="1266"/>
      <c r="CWE28" s="1266"/>
      <c r="CWF28" s="1266"/>
      <c r="CWG28" s="1266"/>
      <c r="CWH28" s="1266"/>
      <c r="CWI28" s="1266"/>
      <c r="CWJ28" s="1266"/>
      <c r="CWK28" s="1266"/>
      <c r="CWL28" s="1266"/>
      <c r="CWM28" s="1266"/>
      <c r="CWN28" s="1266"/>
      <c r="CWO28" s="1266"/>
      <c r="CWP28" s="1266"/>
      <c r="CWQ28" s="1266"/>
      <c r="CWR28" s="1266"/>
      <c r="CWS28" s="1266"/>
      <c r="CWT28" s="1266"/>
      <c r="CWU28" s="1266"/>
      <c r="CWV28" s="1266"/>
      <c r="CWW28" s="1266"/>
      <c r="CWX28" s="1266"/>
      <c r="CWY28" s="1266"/>
      <c r="CWZ28" s="1266"/>
      <c r="CXA28" s="1266"/>
      <c r="CXB28" s="1266"/>
      <c r="CXC28" s="1266"/>
      <c r="CXD28" s="1266"/>
      <c r="CXE28" s="1266"/>
      <c r="CXF28" s="1266"/>
      <c r="CXG28" s="1266"/>
      <c r="CXH28" s="1266"/>
      <c r="CXI28" s="1266"/>
      <c r="CXJ28" s="1266"/>
      <c r="CXK28" s="1266"/>
      <c r="CXL28" s="1266"/>
      <c r="CXM28" s="1266"/>
      <c r="CXN28" s="1266"/>
      <c r="CXO28" s="1266"/>
      <c r="CXP28" s="1266"/>
      <c r="CXQ28" s="1266"/>
      <c r="CXR28" s="1266"/>
      <c r="CXS28" s="1266"/>
      <c r="CXT28" s="1266"/>
      <c r="CXU28" s="1266"/>
      <c r="CXV28" s="1266"/>
      <c r="CXW28" s="1266"/>
      <c r="CXX28" s="1266"/>
      <c r="CXY28" s="1266"/>
      <c r="CXZ28" s="1266"/>
      <c r="CYA28" s="1266"/>
      <c r="CYB28" s="1266"/>
      <c r="CYC28" s="1266"/>
      <c r="CYD28" s="1266"/>
      <c r="CYE28" s="1266"/>
      <c r="CYF28" s="1266"/>
      <c r="CYG28" s="1266"/>
      <c r="CYH28" s="1266"/>
      <c r="CYI28" s="1266"/>
      <c r="CYJ28" s="1266"/>
      <c r="CYK28" s="1266"/>
      <c r="CYL28" s="1266"/>
      <c r="CYM28" s="1266"/>
      <c r="CYN28" s="1266"/>
      <c r="CYO28" s="1266"/>
      <c r="CYP28" s="1266"/>
      <c r="CYQ28" s="1266"/>
      <c r="CYR28" s="1266"/>
      <c r="CYS28" s="1266"/>
      <c r="CYT28" s="1266"/>
      <c r="CYU28" s="1266"/>
      <c r="CYV28" s="1266"/>
      <c r="CYW28" s="1266"/>
      <c r="CYX28" s="1266"/>
      <c r="CYY28" s="1266"/>
      <c r="CYZ28" s="1266"/>
      <c r="CZA28" s="1266"/>
      <c r="CZB28" s="1266"/>
      <c r="CZC28" s="1266"/>
      <c r="CZD28" s="1266"/>
      <c r="CZE28" s="1266"/>
      <c r="CZF28" s="1266"/>
      <c r="CZG28" s="1266"/>
      <c r="CZH28" s="1266"/>
      <c r="CZI28" s="1266"/>
      <c r="CZJ28" s="1266"/>
      <c r="CZK28" s="1266"/>
      <c r="CZL28" s="1266"/>
      <c r="CZM28" s="1266"/>
      <c r="CZN28" s="1266"/>
      <c r="CZO28" s="1266"/>
      <c r="CZP28" s="1266"/>
      <c r="CZQ28" s="1266"/>
      <c r="CZR28" s="1266"/>
      <c r="CZS28" s="1266"/>
      <c r="CZT28" s="1266"/>
      <c r="CZU28" s="1266"/>
      <c r="CZV28" s="1266"/>
      <c r="CZW28" s="1266"/>
      <c r="CZX28" s="1266"/>
      <c r="CZY28" s="1266"/>
      <c r="CZZ28" s="1266"/>
      <c r="DAA28" s="1266"/>
      <c r="DAB28" s="1266"/>
      <c r="DAC28" s="1266"/>
      <c r="DAD28" s="1266"/>
      <c r="DAE28" s="1266"/>
      <c r="DAF28" s="1266"/>
      <c r="DAG28" s="1266"/>
      <c r="DAH28" s="1266"/>
      <c r="DAI28" s="1266"/>
      <c r="DAJ28" s="1266"/>
      <c r="DAK28" s="1266"/>
      <c r="DAL28" s="1266"/>
      <c r="DAM28" s="1266"/>
      <c r="DAN28" s="1266"/>
      <c r="DAO28" s="1266"/>
      <c r="DAP28" s="1266"/>
      <c r="DAQ28" s="1266"/>
      <c r="DAR28" s="1266"/>
      <c r="DAS28" s="1266"/>
      <c r="DAT28" s="1266"/>
      <c r="DAU28" s="1266"/>
      <c r="DAV28" s="1266"/>
      <c r="DAW28" s="1266"/>
      <c r="DAX28" s="1266"/>
      <c r="DAY28" s="1266"/>
      <c r="DAZ28" s="1266"/>
      <c r="DBA28" s="1266"/>
      <c r="DBB28" s="1266"/>
      <c r="DBC28" s="1266"/>
      <c r="DBD28" s="1266"/>
      <c r="DBE28" s="1266"/>
      <c r="DBF28" s="1266"/>
      <c r="DBG28" s="1266"/>
      <c r="DBH28" s="1266"/>
      <c r="DBI28" s="1266"/>
      <c r="DBJ28" s="1266"/>
      <c r="DBK28" s="1266"/>
      <c r="DBL28" s="1266"/>
      <c r="DBM28" s="1266"/>
      <c r="DBN28" s="1266"/>
      <c r="DBO28" s="1266"/>
      <c r="DBP28" s="1266"/>
      <c r="DBQ28" s="1266"/>
      <c r="DBR28" s="1266"/>
      <c r="DBS28" s="1266"/>
      <c r="DBT28" s="1266"/>
      <c r="DBU28" s="1266"/>
      <c r="DBV28" s="1266"/>
      <c r="DBW28" s="1266"/>
      <c r="DBX28" s="1266"/>
      <c r="DBY28" s="1266"/>
      <c r="DBZ28" s="1266"/>
      <c r="DCA28" s="1266"/>
      <c r="DCB28" s="1266"/>
      <c r="DCC28" s="1266"/>
      <c r="DCD28" s="1266"/>
      <c r="DCE28" s="1266"/>
      <c r="DCF28" s="1266"/>
      <c r="DCG28" s="1266"/>
      <c r="DCH28" s="1266"/>
      <c r="DCI28" s="1266"/>
      <c r="DCJ28" s="1266"/>
      <c r="DCK28" s="1266"/>
      <c r="DCL28" s="1266"/>
      <c r="DCM28" s="1266"/>
      <c r="DCN28" s="1266"/>
      <c r="DCO28" s="1266"/>
      <c r="DCP28" s="1266"/>
      <c r="DCQ28" s="1266"/>
      <c r="DCR28" s="1266"/>
      <c r="DCS28" s="1266"/>
      <c r="DCT28" s="1266"/>
      <c r="DCU28" s="1266"/>
      <c r="DCV28" s="1266"/>
      <c r="DCW28" s="1266"/>
      <c r="DCX28" s="1266"/>
      <c r="DCY28" s="1266"/>
      <c r="DCZ28" s="1266"/>
      <c r="DDA28" s="1266"/>
      <c r="DDB28" s="1266"/>
      <c r="DDC28" s="1266"/>
      <c r="DDD28" s="1266"/>
      <c r="DDE28" s="1266"/>
      <c r="DDF28" s="1266"/>
      <c r="DDG28" s="1266"/>
      <c r="DDH28" s="1266"/>
      <c r="DDI28" s="1266"/>
      <c r="DDJ28" s="1266"/>
      <c r="DDK28" s="1266"/>
      <c r="DDL28" s="1266"/>
      <c r="DDM28" s="1266"/>
      <c r="DDN28" s="1266"/>
      <c r="DDO28" s="1266"/>
      <c r="DDP28" s="1266"/>
      <c r="DDQ28" s="1266"/>
      <c r="DDR28" s="1266"/>
      <c r="DDS28" s="1266"/>
      <c r="DDT28" s="1266"/>
      <c r="DDU28" s="1266"/>
      <c r="DDV28" s="1266"/>
      <c r="DDW28" s="1266"/>
      <c r="DDX28" s="1266"/>
      <c r="DDY28" s="1266"/>
      <c r="DDZ28" s="1266"/>
      <c r="DEA28" s="1266"/>
      <c r="DEB28" s="1266"/>
      <c r="DEC28" s="1266"/>
      <c r="DED28" s="1266"/>
      <c r="DEE28" s="1266"/>
      <c r="DEF28" s="1266"/>
      <c r="DEG28" s="1266"/>
      <c r="DEH28" s="1266"/>
      <c r="DEI28" s="1266"/>
      <c r="DEJ28" s="1266"/>
      <c r="DEK28" s="1266"/>
      <c r="DEL28" s="1266"/>
      <c r="DEM28" s="1266"/>
      <c r="DEN28" s="1266"/>
      <c r="DEO28" s="1266"/>
      <c r="DEP28" s="1266"/>
      <c r="DEQ28" s="1266"/>
      <c r="DER28" s="1266"/>
      <c r="DES28" s="1266"/>
      <c r="DET28" s="1266"/>
      <c r="DEU28" s="1266"/>
      <c r="DEV28" s="1266"/>
      <c r="DEW28" s="1266"/>
      <c r="DEX28" s="1266"/>
      <c r="DEY28" s="1266"/>
      <c r="DEZ28" s="1266"/>
      <c r="DFA28" s="1266"/>
      <c r="DFB28" s="1266"/>
      <c r="DFC28" s="1266"/>
      <c r="DFD28" s="1266"/>
      <c r="DFE28" s="1266"/>
      <c r="DFF28" s="1266"/>
      <c r="DFG28" s="1266"/>
      <c r="DFH28" s="1266"/>
      <c r="DFI28" s="1266"/>
      <c r="DFJ28" s="1266"/>
      <c r="DFK28" s="1266"/>
      <c r="DFL28" s="1266"/>
      <c r="DFM28" s="1266"/>
      <c r="DFN28" s="1266"/>
      <c r="DFO28" s="1266"/>
      <c r="DFP28" s="1266"/>
      <c r="DFQ28" s="1266"/>
      <c r="DFR28" s="1266"/>
      <c r="DFS28" s="1266"/>
      <c r="DFT28" s="1266"/>
      <c r="DFU28" s="1266"/>
      <c r="DFV28" s="1266"/>
      <c r="DFW28" s="1266"/>
      <c r="DFX28" s="1266"/>
      <c r="DFY28" s="1266"/>
      <c r="DFZ28" s="1266"/>
      <c r="DGA28" s="1266"/>
      <c r="DGB28" s="1266"/>
      <c r="DGC28" s="1266"/>
      <c r="DGD28" s="1266"/>
      <c r="DGE28" s="1266"/>
      <c r="DGF28" s="1266"/>
      <c r="DGG28" s="1266"/>
      <c r="DGH28" s="1266"/>
      <c r="DGI28" s="1266"/>
      <c r="DGJ28" s="1266"/>
      <c r="DGK28" s="1266"/>
      <c r="DGL28" s="1266"/>
      <c r="DGM28" s="1266"/>
      <c r="DGN28" s="1266"/>
      <c r="DGO28" s="1266"/>
      <c r="DGP28" s="1266"/>
      <c r="DGQ28" s="1266"/>
      <c r="DGR28" s="1266"/>
      <c r="DGS28" s="1266"/>
      <c r="DGT28" s="1266"/>
      <c r="DGU28" s="1266"/>
      <c r="DGV28" s="1266"/>
      <c r="DGW28" s="1266"/>
      <c r="DGX28" s="1266"/>
      <c r="DGY28" s="1266"/>
      <c r="DGZ28" s="1266"/>
      <c r="DHA28" s="1266"/>
      <c r="DHB28" s="1266"/>
      <c r="DHC28" s="1266"/>
      <c r="DHD28" s="1266"/>
      <c r="DHE28" s="1266"/>
      <c r="DHF28" s="1266"/>
      <c r="DHG28" s="1266"/>
      <c r="DHH28" s="1266"/>
      <c r="DHI28" s="1266"/>
      <c r="DHJ28" s="1266"/>
      <c r="DHK28" s="1266"/>
      <c r="DHL28" s="1266"/>
      <c r="DHM28" s="1266"/>
      <c r="DHN28" s="1266"/>
      <c r="DHO28" s="1266"/>
      <c r="DHP28" s="1266"/>
      <c r="DHQ28" s="1266"/>
      <c r="DHR28" s="1266"/>
      <c r="DHS28" s="1266"/>
      <c r="DHT28" s="1266"/>
      <c r="DHU28" s="1266"/>
      <c r="DHV28" s="1266"/>
      <c r="DHW28" s="1266"/>
      <c r="DHX28" s="1266"/>
      <c r="DHY28" s="1266"/>
      <c r="DHZ28" s="1266"/>
      <c r="DIA28" s="1266"/>
      <c r="DIB28" s="1266"/>
      <c r="DIC28" s="1266"/>
      <c r="DID28" s="1266"/>
      <c r="DIE28" s="1266"/>
      <c r="DIF28" s="1266"/>
      <c r="DIG28" s="1266"/>
      <c r="DIH28" s="1266"/>
      <c r="DII28" s="1266"/>
      <c r="DIJ28" s="1266"/>
      <c r="DIK28" s="1266"/>
      <c r="DIL28" s="1266"/>
      <c r="DIM28" s="1266"/>
      <c r="DIN28" s="1266"/>
      <c r="DIO28" s="1266"/>
      <c r="DIP28" s="1266"/>
      <c r="DIQ28" s="1266"/>
      <c r="DIR28" s="1266"/>
      <c r="DIS28" s="1266"/>
      <c r="DIT28" s="1266"/>
      <c r="DIU28" s="1266"/>
      <c r="DIV28" s="1266"/>
      <c r="DIW28" s="1266"/>
      <c r="DIX28" s="1266"/>
      <c r="DIY28" s="1266"/>
      <c r="DIZ28" s="1266"/>
      <c r="DJA28" s="1266"/>
      <c r="DJB28" s="1266"/>
      <c r="DJC28" s="1266"/>
      <c r="DJD28" s="1266"/>
      <c r="DJE28" s="1266"/>
      <c r="DJF28" s="1266"/>
      <c r="DJG28" s="1266"/>
      <c r="DJH28" s="1266"/>
      <c r="DJI28" s="1266"/>
      <c r="DJJ28" s="1266"/>
      <c r="DJK28" s="1266"/>
      <c r="DJL28" s="1266"/>
      <c r="DJM28" s="1266"/>
      <c r="DJN28" s="1266"/>
      <c r="DJO28" s="1266"/>
      <c r="DJP28" s="1266"/>
      <c r="DJQ28" s="1266"/>
      <c r="DJR28" s="1266"/>
      <c r="DJS28" s="1266"/>
      <c r="DJT28" s="1266"/>
      <c r="DJU28" s="1266"/>
      <c r="DJV28" s="1266"/>
      <c r="DJW28" s="1266"/>
      <c r="DJX28" s="1266"/>
      <c r="DJY28" s="1266"/>
      <c r="DJZ28" s="1266"/>
      <c r="DKA28" s="1266"/>
      <c r="DKB28" s="1266"/>
      <c r="DKC28" s="1266"/>
      <c r="DKD28" s="1266"/>
      <c r="DKE28" s="1266"/>
      <c r="DKF28" s="1266"/>
      <c r="DKG28" s="1266"/>
      <c r="DKH28" s="1266"/>
      <c r="DKI28" s="1266"/>
      <c r="DKJ28" s="1266"/>
      <c r="DKK28" s="1266"/>
      <c r="DKL28" s="1266"/>
      <c r="DKM28" s="1266"/>
      <c r="DKN28" s="1266"/>
      <c r="DKO28" s="1266"/>
      <c r="DKP28" s="1266"/>
      <c r="DKQ28" s="1266"/>
      <c r="DKR28" s="1266"/>
      <c r="DKS28" s="1266"/>
      <c r="DKT28" s="1266"/>
      <c r="DKU28" s="1266"/>
      <c r="DKV28" s="1266"/>
      <c r="DKW28" s="1266"/>
      <c r="DKX28" s="1266"/>
      <c r="DKY28" s="1266"/>
      <c r="DKZ28" s="1266"/>
      <c r="DLA28" s="1266"/>
      <c r="DLB28" s="1266"/>
      <c r="DLC28" s="1266"/>
      <c r="DLD28" s="1266"/>
      <c r="DLE28" s="1266"/>
      <c r="DLF28" s="1266"/>
      <c r="DLG28" s="1266"/>
      <c r="DLH28" s="1266"/>
      <c r="DLI28" s="1266"/>
      <c r="DLJ28" s="1266"/>
      <c r="DLK28" s="1266"/>
      <c r="DLL28" s="1266"/>
      <c r="DLM28" s="1266"/>
      <c r="DLN28" s="1266"/>
      <c r="DLO28" s="1266"/>
      <c r="DLP28" s="1266"/>
      <c r="DLQ28" s="1266"/>
      <c r="DLR28" s="1266"/>
      <c r="DLS28" s="1266"/>
      <c r="DLT28" s="1266"/>
      <c r="DLU28" s="1266"/>
      <c r="DLV28" s="1266"/>
      <c r="DLW28" s="1266"/>
      <c r="DLX28" s="1266"/>
      <c r="DLY28" s="1266"/>
      <c r="DLZ28" s="1266"/>
      <c r="DMA28" s="1266"/>
      <c r="DMB28" s="1266"/>
      <c r="DMC28" s="1266"/>
      <c r="DMD28" s="1266"/>
      <c r="DME28" s="1266"/>
      <c r="DMF28" s="1266"/>
      <c r="DMG28" s="1266"/>
      <c r="DMH28" s="1266"/>
      <c r="DMI28" s="1266"/>
      <c r="DMJ28" s="1266"/>
      <c r="DMK28" s="1266"/>
      <c r="DML28" s="1266"/>
      <c r="DMM28" s="1266"/>
      <c r="DMN28" s="1266"/>
      <c r="DMO28" s="1266"/>
      <c r="DMP28" s="1266"/>
      <c r="DMQ28" s="1266"/>
      <c r="DMR28" s="1266"/>
      <c r="DMS28" s="1266"/>
      <c r="DMT28" s="1266"/>
      <c r="DMU28" s="1266"/>
      <c r="DMV28" s="1266"/>
      <c r="DMW28" s="1266"/>
      <c r="DMX28" s="1266"/>
      <c r="DMY28" s="1266"/>
      <c r="DMZ28" s="1266"/>
      <c r="DNA28" s="1266"/>
      <c r="DNB28" s="1266"/>
      <c r="DNC28" s="1266"/>
      <c r="DND28" s="1266"/>
      <c r="DNE28" s="1266"/>
      <c r="DNF28" s="1266"/>
      <c r="DNG28" s="1266"/>
      <c r="DNH28" s="1266"/>
      <c r="DNI28" s="1266"/>
      <c r="DNJ28" s="1266"/>
      <c r="DNK28" s="1266"/>
      <c r="DNL28" s="1266"/>
      <c r="DNM28" s="1266"/>
      <c r="DNN28" s="1266"/>
      <c r="DNO28" s="1266"/>
      <c r="DNP28" s="1266"/>
      <c r="DNQ28" s="1266"/>
      <c r="DNR28" s="1266"/>
      <c r="DNS28" s="1266"/>
      <c r="DNT28" s="1266"/>
      <c r="DNU28" s="1266"/>
      <c r="DNV28" s="1266"/>
      <c r="DNW28" s="1266"/>
      <c r="DNX28" s="1266"/>
      <c r="DNY28" s="1266"/>
      <c r="DNZ28" s="1266"/>
      <c r="DOA28" s="1266"/>
      <c r="DOB28" s="1266"/>
      <c r="DOC28" s="1266"/>
      <c r="DOD28" s="1266"/>
      <c r="DOE28" s="1266"/>
      <c r="DOF28" s="1266"/>
      <c r="DOG28" s="1266"/>
      <c r="DOH28" s="1266"/>
      <c r="DOI28" s="1266"/>
      <c r="DOJ28" s="1266"/>
      <c r="DOK28" s="1266"/>
      <c r="DOL28" s="1266"/>
      <c r="DOM28" s="1266"/>
      <c r="DON28" s="1266"/>
      <c r="DOO28" s="1266"/>
      <c r="DOP28" s="1266"/>
      <c r="DOQ28" s="1266"/>
      <c r="DOR28" s="1266"/>
      <c r="DOS28" s="1266"/>
      <c r="DOT28" s="1266"/>
      <c r="DOU28" s="1266"/>
      <c r="DOV28" s="1266"/>
      <c r="DOW28" s="1266"/>
      <c r="DOX28" s="1266"/>
      <c r="DOY28" s="1266"/>
      <c r="DOZ28" s="1266"/>
      <c r="DPA28" s="1266"/>
      <c r="DPB28" s="1266"/>
      <c r="DPC28" s="1266"/>
      <c r="DPD28" s="1266"/>
      <c r="DPE28" s="1266"/>
      <c r="DPF28" s="1266"/>
      <c r="DPG28" s="1266"/>
      <c r="DPH28" s="1266"/>
      <c r="DPI28" s="1266"/>
      <c r="DPJ28" s="1266"/>
      <c r="DPK28" s="1266"/>
      <c r="DPL28" s="1266"/>
      <c r="DPM28" s="1266"/>
      <c r="DPN28" s="1266"/>
      <c r="DPO28" s="1266"/>
      <c r="DPP28" s="1266"/>
      <c r="DPQ28" s="1266"/>
      <c r="DPR28" s="1266"/>
      <c r="DPS28" s="1266"/>
      <c r="DPT28" s="1266"/>
      <c r="DPU28" s="1266"/>
      <c r="DPV28" s="1266"/>
      <c r="DPW28" s="1266"/>
      <c r="DPX28" s="1266"/>
      <c r="DPY28" s="1266"/>
      <c r="DPZ28" s="1266"/>
      <c r="DQA28" s="1266"/>
      <c r="DQB28" s="1266"/>
      <c r="DQC28" s="1266"/>
      <c r="DQD28" s="1266"/>
      <c r="DQE28" s="1266"/>
      <c r="DQF28" s="1266"/>
      <c r="DQG28" s="1266"/>
      <c r="DQH28" s="1266"/>
      <c r="DQI28" s="1266"/>
      <c r="DQJ28" s="1266"/>
      <c r="DQK28" s="1266"/>
      <c r="DQL28" s="1266"/>
      <c r="DQM28" s="1266"/>
      <c r="DQN28" s="1266"/>
      <c r="DQO28" s="1266"/>
      <c r="DQP28" s="1266"/>
      <c r="DQQ28" s="1266"/>
      <c r="DQR28" s="1266"/>
      <c r="DQS28" s="1266"/>
      <c r="DQT28" s="1266"/>
      <c r="DQU28" s="1266"/>
      <c r="DQV28" s="1266"/>
      <c r="DQW28" s="1266"/>
      <c r="DQX28" s="1266"/>
      <c r="DQY28" s="1266"/>
      <c r="DQZ28" s="1266"/>
      <c r="DRA28" s="1266"/>
      <c r="DRB28" s="1266"/>
      <c r="DRC28" s="1266"/>
      <c r="DRD28" s="1266"/>
      <c r="DRE28" s="1266"/>
      <c r="DRF28" s="1266"/>
      <c r="DRG28" s="1266"/>
      <c r="DRH28" s="1266"/>
      <c r="DRI28" s="1266"/>
      <c r="DRJ28" s="1266"/>
      <c r="DRK28" s="1266"/>
      <c r="DRL28" s="1266"/>
      <c r="DRM28" s="1266"/>
      <c r="DRN28" s="1266"/>
      <c r="DRO28" s="1266"/>
      <c r="DRP28" s="1266"/>
      <c r="DRQ28" s="1266"/>
      <c r="DRR28" s="1266"/>
      <c r="DRS28" s="1266"/>
      <c r="DRT28" s="1266"/>
      <c r="DRU28" s="1266"/>
      <c r="DRV28" s="1266"/>
      <c r="DRW28" s="1266"/>
      <c r="DRX28" s="1266"/>
      <c r="DRY28" s="1266"/>
      <c r="DRZ28" s="1266"/>
      <c r="DSA28" s="1266"/>
      <c r="DSB28" s="1266"/>
      <c r="DSC28" s="1266"/>
      <c r="DSD28" s="1266"/>
      <c r="DSE28" s="1266"/>
      <c r="DSF28" s="1266"/>
      <c r="DSG28" s="1266"/>
      <c r="DSH28" s="1266"/>
      <c r="DSI28" s="1266"/>
      <c r="DSJ28" s="1266"/>
      <c r="DSK28" s="1266"/>
      <c r="DSL28" s="1266"/>
      <c r="DSM28" s="1266"/>
      <c r="DSN28" s="1266"/>
      <c r="DSO28" s="1266"/>
      <c r="DSP28" s="1266"/>
      <c r="DSQ28" s="1266"/>
      <c r="DSR28" s="1266"/>
      <c r="DSS28" s="1266"/>
      <c r="DST28" s="1266"/>
      <c r="DSU28" s="1266"/>
      <c r="DSV28" s="1266"/>
      <c r="DSW28" s="1266"/>
      <c r="DSX28" s="1266"/>
      <c r="DSY28" s="1266"/>
      <c r="DSZ28" s="1266"/>
      <c r="DTA28" s="1266"/>
      <c r="DTB28" s="1266"/>
      <c r="DTC28" s="1266"/>
      <c r="DTD28" s="1266"/>
      <c r="DTE28" s="1266"/>
      <c r="DTF28" s="1266"/>
      <c r="DTG28" s="1266"/>
      <c r="DTH28" s="1266"/>
      <c r="DTI28" s="1266"/>
      <c r="DTJ28" s="1266"/>
      <c r="DTK28" s="1266"/>
      <c r="DTL28" s="1266"/>
      <c r="DTM28" s="1266"/>
      <c r="DTN28" s="1266"/>
      <c r="DTO28" s="1266"/>
      <c r="DTP28" s="1266"/>
      <c r="DTQ28" s="1266"/>
      <c r="DTR28" s="1266"/>
      <c r="DTS28" s="1266"/>
      <c r="DTT28" s="1266"/>
      <c r="DTU28" s="1266"/>
      <c r="DTV28" s="1266"/>
      <c r="DTW28" s="1266"/>
      <c r="DTX28" s="1266"/>
      <c r="DTY28" s="1266"/>
      <c r="DTZ28" s="1266"/>
      <c r="DUA28" s="1266"/>
      <c r="DUB28" s="1266"/>
      <c r="DUC28" s="1266"/>
      <c r="DUD28" s="1266"/>
      <c r="DUE28" s="1266"/>
      <c r="DUF28" s="1266"/>
      <c r="DUG28" s="1266"/>
      <c r="DUH28" s="1266"/>
      <c r="DUI28" s="1266"/>
      <c r="DUJ28" s="1266"/>
      <c r="DUK28" s="1266"/>
      <c r="DUL28" s="1266"/>
      <c r="DUM28" s="1266"/>
      <c r="DUN28" s="1266"/>
      <c r="DUO28" s="1266"/>
      <c r="DUP28" s="1266"/>
      <c r="DUQ28" s="1266"/>
      <c r="DUR28" s="1266"/>
      <c r="DUS28" s="1266"/>
      <c r="DUT28" s="1266"/>
      <c r="DUU28" s="1266"/>
      <c r="DUV28" s="1266"/>
      <c r="DUW28" s="1266"/>
      <c r="DUX28" s="1266"/>
      <c r="DUY28" s="1266"/>
      <c r="DUZ28" s="1266"/>
      <c r="DVA28" s="1266"/>
      <c r="DVB28" s="1266"/>
      <c r="DVC28" s="1266"/>
      <c r="DVD28" s="1266"/>
      <c r="DVE28" s="1266"/>
      <c r="DVF28" s="1266"/>
      <c r="DVG28" s="1266"/>
      <c r="DVH28" s="1266"/>
      <c r="DVI28" s="1266"/>
      <c r="DVJ28" s="1266"/>
      <c r="DVK28" s="1266"/>
      <c r="DVL28" s="1266"/>
      <c r="DVM28" s="1266"/>
      <c r="DVN28" s="1266"/>
      <c r="DVO28" s="1266"/>
      <c r="DVP28" s="1266"/>
      <c r="DVQ28" s="1266"/>
      <c r="DVR28" s="1266"/>
      <c r="DVS28" s="1266"/>
      <c r="DVT28" s="1266"/>
      <c r="DVU28" s="1266"/>
      <c r="DVV28" s="1266"/>
      <c r="DVW28" s="1266"/>
      <c r="DVX28" s="1266"/>
      <c r="DVY28" s="1266"/>
      <c r="DVZ28" s="1266"/>
      <c r="DWA28" s="1266"/>
      <c r="DWB28" s="1266"/>
      <c r="DWC28" s="1266"/>
      <c r="DWD28" s="1266"/>
      <c r="DWE28" s="1266"/>
      <c r="DWF28" s="1266"/>
      <c r="DWG28" s="1266"/>
      <c r="DWH28" s="1266"/>
      <c r="DWI28" s="1266"/>
      <c r="DWJ28" s="1266"/>
      <c r="DWK28" s="1266"/>
      <c r="DWL28" s="1266"/>
      <c r="DWM28" s="1266"/>
      <c r="DWN28" s="1266"/>
      <c r="DWO28" s="1266"/>
      <c r="DWP28" s="1266"/>
      <c r="DWQ28" s="1266"/>
      <c r="DWR28" s="1266"/>
      <c r="DWS28" s="1266"/>
      <c r="DWT28" s="1266"/>
      <c r="DWU28" s="1266"/>
      <c r="DWV28" s="1266"/>
      <c r="DWW28" s="1266"/>
      <c r="DWX28" s="1266"/>
      <c r="DWY28" s="1266"/>
      <c r="DWZ28" s="1266"/>
      <c r="DXA28" s="1266"/>
      <c r="DXB28" s="1266"/>
      <c r="DXC28" s="1266"/>
      <c r="DXD28" s="1266"/>
      <c r="DXE28" s="1266"/>
      <c r="DXF28" s="1266"/>
      <c r="DXG28" s="1266"/>
      <c r="DXH28" s="1266"/>
      <c r="DXI28" s="1266"/>
      <c r="DXJ28" s="1266"/>
      <c r="DXK28" s="1266"/>
      <c r="DXL28" s="1266"/>
      <c r="DXM28" s="1266"/>
      <c r="DXN28" s="1266"/>
      <c r="DXO28" s="1266"/>
      <c r="DXP28" s="1266"/>
      <c r="DXQ28" s="1266"/>
      <c r="DXR28" s="1266"/>
      <c r="DXS28" s="1266"/>
      <c r="DXT28" s="1266"/>
      <c r="DXU28" s="1266"/>
      <c r="DXV28" s="1266"/>
      <c r="DXW28" s="1266"/>
      <c r="DXX28" s="1266"/>
      <c r="DXY28" s="1266"/>
      <c r="DXZ28" s="1266"/>
      <c r="DYA28" s="1266"/>
      <c r="DYB28" s="1266"/>
      <c r="DYC28" s="1266"/>
      <c r="DYD28" s="1266"/>
      <c r="DYE28" s="1266"/>
      <c r="DYF28" s="1266"/>
      <c r="DYG28" s="1266"/>
      <c r="DYH28" s="1266"/>
      <c r="DYI28" s="1266"/>
      <c r="DYJ28" s="1266"/>
      <c r="DYK28" s="1266"/>
      <c r="DYL28" s="1266"/>
      <c r="DYM28" s="1266"/>
      <c r="DYN28" s="1266"/>
      <c r="DYO28" s="1266"/>
      <c r="DYP28" s="1266"/>
      <c r="DYQ28" s="1266"/>
      <c r="DYR28" s="1266"/>
      <c r="DYS28" s="1266"/>
      <c r="DYT28" s="1266"/>
      <c r="DYU28" s="1266"/>
      <c r="DYV28" s="1266"/>
      <c r="DYW28" s="1266"/>
      <c r="DYX28" s="1266"/>
      <c r="DYY28" s="1266"/>
      <c r="DYZ28" s="1266"/>
      <c r="DZA28" s="1266"/>
      <c r="DZB28" s="1266"/>
      <c r="DZC28" s="1266"/>
      <c r="DZD28" s="1266"/>
      <c r="DZE28" s="1266"/>
      <c r="DZF28" s="1266"/>
      <c r="DZG28" s="1266"/>
      <c r="DZH28" s="1266"/>
      <c r="DZI28" s="1266"/>
      <c r="DZJ28" s="1266"/>
      <c r="DZK28" s="1266"/>
      <c r="DZL28" s="1266"/>
      <c r="DZM28" s="1266"/>
      <c r="DZN28" s="1266"/>
      <c r="DZO28" s="1266"/>
      <c r="DZP28" s="1266"/>
      <c r="DZQ28" s="1266"/>
      <c r="DZR28" s="1266"/>
      <c r="DZS28" s="1266"/>
      <c r="DZT28" s="1266"/>
      <c r="DZU28" s="1266"/>
      <c r="DZV28" s="1266"/>
      <c r="DZW28" s="1266"/>
      <c r="DZX28" s="1266"/>
      <c r="DZY28" s="1266"/>
      <c r="DZZ28" s="1266"/>
      <c r="EAA28" s="1266"/>
      <c r="EAB28" s="1266"/>
      <c r="EAC28" s="1266"/>
      <c r="EAD28" s="1266"/>
      <c r="EAE28" s="1266"/>
      <c r="EAF28" s="1266"/>
      <c r="EAG28" s="1266"/>
      <c r="EAH28" s="1266"/>
      <c r="EAI28" s="1266"/>
      <c r="EAJ28" s="1266"/>
      <c r="EAK28" s="1266"/>
      <c r="EAL28" s="1266"/>
      <c r="EAM28" s="1266"/>
      <c r="EAN28" s="1266"/>
      <c r="EAO28" s="1266"/>
      <c r="EAP28" s="1266"/>
      <c r="EAQ28" s="1266"/>
      <c r="EAR28" s="1266"/>
      <c r="EAS28" s="1266"/>
      <c r="EAT28" s="1266"/>
      <c r="EAU28" s="1266"/>
      <c r="EAV28" s="1266"/>
      <c r="EAW28" s="1266"/>
      <c r="EAX28" s="1266"/>
      <c r="EAY28" s="1266"/>
      <c r="EAZ28" s="1266"/>
      <c r="EBA28" s="1266"/>
      <c r="EBB28" s="1266"/>
      <c r="EBC28" s="1266"/>
      <c r="EBD28" s="1266"/>
      <c r="EBE28" s="1266"/>
      <c r="EBF28" s="1266"/>
      <c r="EBG28" s="1266"/>
      <c r="EBH28" s="1266"/>
      <c r="EBI28" s="1266"/>
      <c r="EBJ28" s="1266"/>
      <c r="EBK28" s="1266"/>
      <c r="EBL28" s="1266"/>
      <c r="EBM28" s="1266"/>
      <c r="EBN28" s="1266"/>
      <c r="EBO28" s="1266"/>
      <c r="EBP28" s="1266"/>
      <c r="EBQ28" s="1266"/>
      <c r="EBR28" s="1266"/>
      <c r="EBS28" s="1266"/>
      <c r="EBT28" s="1266"/>
      <c r="EBU28" s="1266"/>
      <c r="EBV28" s="1266"/>
      <c r="EBW28" s="1266"/>
      <c r="EBX28" s="1266"/>
      <c r="EBY28" s="1266"/>
      <c r="EBZ28" s="1266"/>
      <c r="ECA28" s="1266"/>
      <c r="ECB28" s="1266"/>
      <c r="ECC28" s="1266"/>
      <c r="ECD28" s="1266"/>
      <c r="ECE28" s="1266"/>
      <c r="ECF28" s="1266"/>
      <c r="ECG28" s="1266"/>
      <c r="ECH28" s="1266"/>
      <c r="ECI28" s="1266"/>
      <c r="ECJ28" s="1266"/>
      <c r="ECK28" s="1266"/>
      <c r="ECL28" s="1266"/>
      <c r="ECM28" s="1266"/>
      <c r="ECN28" s="1266"/>
      <c r="ECO28" s="1266"/>
      <c r="ECP28" s="1266"/>
      <c r="ECQ28" s="1266"/>
      <c r="ECR28" s="1266"/>
      <c r="ECS28" s="1266"/>
      <c r="ECT28" s="1266"/>
      <c r="ECU28" s="1266"/>
      <c r="ECV28" s="1266"/>
      <c r="ECW28" s="1266"/>
      <c r="ECX28" s="1266"/>
      <c r="ECY28" s="1266"/>
      <c r="ECZ28" s="1266"/>
      <c r="EDA28" s="1266"/>
      <c r="EDB28" s="1266"/>
      <c r="EDC28" s="1266"/>
      <c r="EDD28" s="1266"/>
      <c r="EDE28" s="1266"/>
      <c r="EDF28" s="1266"/>
      <c r="EDG28" s="1266"/>
      <c r="EDH28" s="1266"/>
      <c r="EDI28" s="1266"/>
      <c r="EDJ28" s="1266"/>
      <c r="EDK28" s="1266"/>
      <c r="EDL28" s="1266"/>
      <c r="EDM28" s="1266"/>
      <c r="EDN28" s="1266"/>
      <c r="EDO28" s="1266"/>
      <c r="EDP28" s="1266"/>
      <c r="EDQ28" s="1266"/>
      <c r="EDR28" s="1266"/>
      <c r="EDS28" s="1266"/>
      <c r="EDT28" s="1266"/>
      <c r="EDU28" s="1266"/>
      <c r="EDV28" s="1266"/>
      <c r="EDW28" s="1266"/>
      <c r="EDX28" s="1266"/>
      <c r="EDY28" s="1266"/>
      <c r="EDZ28" s="1266"/>
      <c r="EEA28" s="1266"/>
      <c r="EEB28" s="1266"/>
      <c r="EEC28" s="1266"/>
      <c r="EED28" s="1266"/>
      <c r="EEE28" s="1266"/>
      <c r="EEF28" s="1266"/>
      <c r="EEG28" s="1266"/>
      <c r="EEH28" s="1266"/>
      <c r="EEI28" s="1266"/>
      <c r="EEJ28" s="1266"/>
      <c r="EEK28" s="1266"/>
      <c r="EEL28" s="1266"/>
      <c r="EEM28" s="1266"/>
      <c r="EEN28" s="1266"/>
      <c r="EEO28" s="1266"/>
      <c r="EEP28" s="1266"/>
      <c r="EEQ28" s="1266"/>
      <c r="EER28" s="1266"/>
      <c r="EES28" s="1266"/>
      <c r="EET28" s="1266"/>
      <c r="EEU28" s="1266"/>
      <c r="EEV28" s="1266"/>
      <c r="EEW28" s="1266"/>
      <c r="EEX28" s="1266"/>
      <c r="EEY28" s="1266"/>
      <c r="EEZ28" s="1266"/>
      <c r="EFA28" s="1266"/>
      <c r="EFB28" s="1266"/>
      <c r="EFC28" s="1266"/>
      <c r="EFD28" s="1266"/>
      <c r="EFE28" s="1266"/>
      <c r="EFF28" s="1266"/>
      <c r="EFG28" s="1266"/>
      <c r="EFH28" s="1266"/>
      <c r="EFI28" s="1266"/>
      <c r="EFJ28" s="1266"/>
      <c r="EFK28" s="1266"/>
      <c r="EFL28" s="1266"/>
      <c r="EFM28" s="1266"/>
      <c r="EFN28" s="1266"/>
      <c r="EFO28" s="1266"/>
      <c r="EFP28" s="1266"/>
      <c r="EFQ28" s="1266"/>
      <c r="EFR28" s="1266"/>
      <c r="EFS28" s="1266"/>
      <c r="EFT28" s="1266"/>
      <c r="EFU28" s="1266"/>
      <c r="EFV28" s="1266"/>
      <c r="EFW28" s="1266"/>
      <c r="EFX28" s="1266"/>
      <c r="EFY28" s="1266"/>
      <c r="EFZ28" s="1266"/>
      <c r="EGA28" s="1266"/>
      <c r="EGB28" s="1266"/>
      <c r="EGC28" s="1266"/>
      <c r="EGD28" s="1266"/>
      <c r="EGE28" s="1266"/>
      <c r="EGF28" s="1266"/>
      <c r="EGG28" s="1266"/>
      <c r="EGH28" s="1266"/>
      <c r="EGI28" s="1266"/>
      <c r="EGJ28" s="1266"/>
      <c r="EGK28" s="1266"/>
      <c r="EGL28" s="1266"/>
      <c r="EGM28" s="1266"/>
      <c r="EGN28" s="1266"/>
      <c r="EGO28" s="1266"/>
      <c r="EGP28" s="1266"/>
      <c r="EGQ28" s="1266"/>
      <c r="EGR28" s="1266"/>
      <c r="EGS28" s="1266"/>
      <c r="EGT28" s="1266"/>
      <c r="EGU28" s="1266"/>
      <c r="EGV28" s="1266"/>
      <c r="EGW28" s="1266"/>
      <c r="EGX28" s="1266"/>
      <c r="EGY28" s="1266"/>
      <c r="EGZ28" s="1266"/>
      <c r="EHA28" s="1266"/>
      <c r="EHB28" s="1266"/>
      <c r="EHC28" s="1266"/>
      <c r="EHD28" s="1266"/>
      <c r="EHE28" s="1266"/>
      <c r="EHF28" s="1266"/>
      <c r="EHG28" s="1266"/>
      <c r="EHH28" s="1266"/>
      <c r="EHI28" s="1266"/>
      <c r="EHJ28" s="1266"/>
      <c r="EHK28" s="1266"/>
      <c r="EHL28" s="1266"/>
      <c r="EHM28" s="1266"/>
      <c r="EHN28" s="1266"/>
      <c r="EHO28" s="1266"/>
      <c r="EHP28" s="1266"/>
      <c r="EHQ28" s="1266"/>
      <c r="EHR28" s="1266"/>
      <c r="EHS28" s="1266"/>
      <c r="EHT28" s="1266"/>
      <c r="EHU28" s="1266"/>
      <c r="EHV28" s="1266"/>
      <c r="EHW28" s="1266"/>
      <c r="EHX28" s="1266"/>
      <c r="EHY28" s="1266"/>
      <c r="EHZ28" s="1266"/>
      <c r="EIA28" s="1266"/>
      <c r="EIB28" s="1266"/>
      <c r="EIC28" s="1266"/>
      <c r="EID28" s="1266"/>
      <c r="EIE28" s="1266"/>
      <c r="EIF28" s="1266"/>
      <c r="EIG28" s="1266"/>
      <c r="EIH28" s="1266"/>
      <c r="EII28" s="1266"/>
      <c r="EIJ28" s="1266"/>
      <c r="EIK28" s="1266"/>
      <c r="EIL28" s="1266"/>
      <c r="EIM28" s="1266"/>
      <c r="EIN28" s="1266"/>
      <c r="EIO28" s="1266"/>
      <c r="EIP28" s="1266"/>
      <c r="EIQ28" s="1266"/>
      <c r="EIR28" s="1266"/>
      <c r="EIS28" s="1266"/>
      <c r="EIT28" s="1266"/>
      <c r="EIU28" s="1266"/>
      <c r="EIV28" s="1266"/>
      <c r="EIW28" s="1266"/>
      <c r="EIX28" s="1266"/>
      <c r="EIY28" s="1266"/>
      <c r="EIZ28" s="1266"/>
      <c r="EJA28" s="1266"/>
      <c r="EJB28" s="1266"/>
      <c r="EJC28" s="1266"/>
      <c r="EJD28" s="1266"/>
      <c r="EJE28" s="1266"/>
      <c r="EJF28" s="1266"/>
      <c r="EJG28" s="1266"/>
      <c r="EJH28" s="1266"/>
      <c r="EJI28" s="1266"/>
      <c r="EJJ28" s="1266"/>
      <c r="EJK28" s="1266"/>
      <c r="EJL28" s="1266"/>
      <c r="EJM28" s="1266"/>
      <c r="EJN28" s="1266"/>
      <c r="EJO28" s="1266"/>
      <c r="EJP28" s="1266"/>
      <c r="EJQ28" s="1266"/>
      <c r="EJR28" s="1266"/>
      <c r="EJS28" s="1266"/>
      <c r="EJT28" s="1266"/>
      <c r="EJU28" s="1266"/>
      <c r="EJV28" s="1266"/>
      <c r="EJW28" s="1266"/>
      <c r="EJX28" s="1266"/>
      <c r="EJY28" s="1266"/>
      <c r="EJZ28" s="1266"/>
      <c r="EKA28" s="1266"/>
      <c r="EKB28" s="1266"/>
      <c r="EKC28" s="1266"/>
      <c r="EKD28" s="1266"/>
      <c r="EKE28" s="1266"/>
      <c r="EKF28" s="1266"/>
      <c r="EKG28" s="1266"/>
      <c r="EKH28" s="1266"/>
      <c r="EKI28" s="1266"/>
      <c r="EKJ28" s="1266"/>
      <c r="EKK28" s="1266"/>
      <c r="EKL28" s="1266"/>
      <c r="EKM28" s="1266"/>
      <c r="EKN28" s="1266"/>
      <c r="EKO28" s="1266"/>
      <c r="EKP28" s="1266"/>
      <c r="EKQ28" s="1266"/>
      <c r="EKR28" s="1266"/>
      <c r="EKS28" s="1266"/>
      <c r="EKT28" s="1266"/>
      <c r="EKU28" s="1266"/>
      <c r="EKV28" s="1266"/>
      <c r="EKW28" s="1266"/>
      <c r="EKX28" s="1266"/>
      <c r="EKY28" s="1266"/>
      <c r="EKZ28" s="1266"/>
      <c r="ELA28" s="1266"/>
      <c r="ELB28" s="1266"/>
      <c r="ELC28" s="1266"/>
      <c r="ELD28" s="1266"/>
      <c r="ELE28" s="1266"/>
      <c r="ELF28" s="1266"/>
      <c r="ELG28" s="1266"/>
      <c r="ELH28" s="1266"/>
      <c r="ELI28" s="1266"/>
      <c r="ELJ28" s="1266"/>
      <c r="ELK28" s="1266"/>
      <c r="ELL28" s="1266"/>
      <c r="ELM28" s="1266"/>
      <c r="ELN28" s="1266"/>
      <c r="ELO28" s="1266"/>
      <c r="ELP28" s="1266"/>
      <c r="ELQ28" s="1266"/>
      <c r="ELR28" s="1266"/>
      <c r="ELS28" s="1266"/>
      <c r="ELT28" s="1266"/>
      <c r="ELU28" s="1266"/>
      <c r="ELV28" s="1266"/>
      <c r="ELW28" s="1266"/>
      <c r="ELX28" s="1266"/>
      <c r="ELY28" s="1266"/>
      <c r="ELZ28" s="1266"/>
      <c r="EMA28" s="1266"/>
      <c r="EMB28" s="1266"/>
      <c r="EMC28" s="1266"/>
      <c r="EMD28" s="1266"/>
      <c r="EME28" s="1266"/>
      <c r="EMF28" s="1266"/>
      <c r="EMG28" s="1266"/>
      <c r="EMH28" s="1266"/>
      <c r="EMI28" s="1266"/>
      <c r="EMJ28" s="1266"/>
      <c r="EMK28" s="1266"/>
      <c r="EML28" s="1266"/>
      <c r="EMM28" s="1266"/>
      <c r="EMN28" s="1266"/>
      <c r="EMO28" s="1266"/>
      <c r="EMP28" s="1266"/>
      <c r="EMQ28" s="1266"/>
      <c r="EMR28" s="1266"/>
      <c r="EMS28" s="1266"/>
      <c r="EMT28" s="1266"/>
      <c r="EMU28" s="1266"/>
      <c r="EMV28" s="1266"/>
      <c r="EMW28" s="1266"/>
      <c r="EMX28" s="1266"/>
      <c r="EMY28" s="1266"/>
      <c r="EMZ28" s="1266"/>
      <c r="ENA28" s="1266"/>
      <c r="ENB28" s="1266"/>
      <c r="ENC28" s="1266"/>
      <c r="END28" s="1266"/>
      <c r="ENE28" s="1266"/>
      <c r="ENF28" s="1266"/>
      <c r="ENG28" s="1266"/>
      <c r="ENH28" s="1266"/>
      <c r="ENI28" s="1266"/>
      <c r="ENJ28" s="1266"/>
      <c r="ENK28" s="1266"/>
      <c r="ENL28" s="1266"/>
      <c r="ENM28" s="1266"/>
      <c r="ENN28" s="1266"/>
      <c r="ENO28" s="1266"/>
      <c r="ENP28" s="1266"/>
      <c r="ENQ28" s="1266"/>
      <c r="ENR28" s="1266"/>
      <c r="ENS28" s="1266"/>
      <c r="ENT28" s="1266"/>
      <c r="ENU28" s="1266"/>
      <c r="ENV28" s="1266"/>
      <c r="ENW28" s="1266"/>
      <c r="ENX28" s="1266"/>
      <c r="ENY28" s="1266"/>
      <c r="ENZ28" s="1266"/>
      <c r="EOA28" s="1266"/>
      <c r="EOB28" s="1266"/>
      <c r="EOC28" s="1266"/>
      <c r="EOD28" s="1266"/>
      <c r="EOE28" s="1266"/>
      <c r="EOF28" s="1266"/>
      <c r="EOG28" s="1266"/>
      <c r="EOH28" s="1266"/>
      <c r="EOI28" s="1266"/>
      <c r="EOJ28" s="1266"/>
      <c r="EOK28" s="1266"/>
      <c r="EOL28" s="1266"/>
      <c r="EOM28" s="1266"/>
      <c r="EON28" s="1266"/>
      <c r="EOO28" s="1266"/>
      <c r="EOP28" s="1266"/>
      <c r="EOQ28" s="1266"/>
      <c r="EOR28" s="1266"/>
      <c r="EOS28" s="1266"/>
      <c r="EOT28" s="1266"/>
      <c r="EOU28" s="1266"/>
      <c r="EOV28" s="1266"/>
      <c r="EOW28" s="1266"/>
      <c r="EOX28" s="1266"/>
      <c r="EOY28" s="1266"/>
      <c r="EOZ28" s="1266"/>
      <c r="EPA28" s="1266"/>
      <c r="EPB28" s="1266"/>
      <c r="EPC28" s="1266"/>
      <c r="EPD28" s="1266"/>
      <c r="EPE28" s="1266"/>
      <c r="EPF28" s="1266"/>
      <c r="EPG28" s="1266"/>
      <c r="EPH28" s="1266"/>
      <c r="EPI28" s="1266"/>
      <c r="EPJ28" s="1266"/>
      <c r="EPK28" s="1266"/>
      <c r="EPL28" s="1266"/>
      <c r="EPM28" s="1266"/>
      <c r="EPN28" s="1266"/>
      <c r="EPO28" s="1266"/>
      <c r="EPP28" s="1266"/>
      <c r="EPQ28" s="1266"/>
      <c r="EPR28" s="1266"/>
      <c r="EPS28" s="1266"/>
      <c r="EPT28" s="1266"/>
      <c r="EPU28" s="1266"/>
      <c r="EPV28" s="1266"/>
      <c r="EPW28" s="1266"/>
      <c r="EPX28" s="1266"/>
      <c r="EPY28" s="1266"/>
      <c r="EPZ28" s="1266"/>
      <c r="EQA28" s="1266"/>
      <c r="EQB28" s="1266"/>
      <c r="EQC28" s="1266"/>
      <c r="EQD28" s="1266"/>
      <c r="EQE28" s="1266"/>
      <c r="EQF28" s="1266"/>
      <c r="EQG28" s="1266"/>
      <c r="EQH28" s="1266"/>
      <c r="EQI28" s="1266"/>
      <c r="EQJ28" s="1266"/>
      <c r="EQK28" s="1266"/>
      <c r="EQL28" s="1266"/>
      <c r="EQM28" s="1266"/>
      <c r="EQN28" s="1266"/>
      <c r="EQO28" s="1266"/>
      <c r="EQP28" s="1266"/>
      <c r="EQQ28" s="1266"/>
      <c r="EQR28" s="1266"/>
      <c r="EQS28" s="1266"/>
      <c r="EQT28" s="1266"/>
      <c r="EQU28" s="1266"/>
      <c r="EQV28" s="1266"/>
      <c r="EQW28" s="1266"/>
      <c r="EQX28" s="1266"/>
      <c r="EQY28" s="1266"/>
      <c r="EQZ28" s="1266"/>
      <c r="ERA28" s="1266"/>
      <c r="ERB28" s="1266"/>
      <c r="ERC28" s="1266"/>
      <c r="ERD28" s="1266"/>
      <c r="ERE28" s="1266"/>
      <c r="ERF28" s="1266"/>
      <c r="ERG28" s="1266"/>
      <c r="ERH28" s="1266"/>
      <c r="ERI28" s="1266"/>
      <c r="ERJ28" s="1266"/>
      <c r="ERK28" s="1266"/>
      <c r="ERL28" s="1266"/>
      <c r="ERM28" s="1266"/>
      <c r="ERN28" s="1266"/>
      <c r="ERO28" s="1266"/>
      <c r="ERP28" s="1266"/>
      <c r="ERQ28" s="1266"/>
      <c r="ERR28" s="1266"/>
      <c r="ERS28" s="1266"/>
      <c r="ERT28" s="1266"/>
      <c r="ERU28" s="1266"/>
      <c r="ERV28" s="1266"/>
      <c r="ERW28" s="1266"/>
      <c r="ERX28" s="1266"/>
      <c r="ERY28" s="1266"/>
      <c r="ERZ28" s="1266"/>
      <c r="ESA28" s="1266"/>
      <c r="ESB28" s="1266"/>
      <c r="ESC28" s="1266"/>
      <c r="ESD28" s="1266"/>
      <c r="ESE28" s="1266"/>
      <c r="ESF28" s="1266"/>
      <c r="ESG28" s="1266"/>
      <c r="ESH28" s="1266"/>
      <c r="ESI28" s="1266"/>
      <c r="ESJ28" s="1266"/>
      <c r="ESK28" s="1266"/>
      <c r="ESL28" s="1266"/>
      <c r="ESM28" s="1266"/>
      <c r="ESN28" s="1266"/>
      <c r="ESO28" s="1266"/>
      <c r="ESP28" s="1266"/>
      <c r="ESQ28" s="1266"/>
      <c r="ESR28" s="1266"/>
      <c r="ESS28" s="1266"/>
      <c r="EST28" s="1266"/>
      <c r="ESU28" s="1266"/>
      <c r="ESV28" s="1266"/>
      <c r="ESW28" s="1266"/>
      <c r="ESX28" s="1266"/>
      <c r="ESY28" s="1266"/>
      <c r="ESZ28" s="1266"/>
      <c r="ETA28" s="1266"/>
      <c r="ETB28" s="1266"/>
      <c r="ETC28" s="1266"/>
      <c r="ETD28" s="1266"/>
      <c r="ETE28" s="1266"/>
      <c r="ETF28" s="1266"/>
      <c r="ETG28" s="1266"/>
      <c r="ETH28" s="1266"/>
      <c r="ETI28" s="1266"/>
      <c r="ETJ28" s="1266"/>
      <c r="ETK28" s="1266"/>
      <c r="ETL28" s="1266"/>
      <c r="ETM28" s="1266"/>
      <c r="ETN28" s="1266"/>
      <c r="ETO28" s="1266"/>
      <c r="ETP28" s="1266"/>
      <c r="ETQ28" s="1266"/>
      <c r="ETR28" s="1266"/>
      <c r="ETS28" s="1266"/>
      <c r="ETT28" s="1266"/>
      <c r="ETU28" s="1266"/>
      <c r="ETV28" s="1266"/>
      <c r="ETW28" s="1266"/>
      <c r="ETX28" s="1266"/>
      <c r="ETY28" s="1266"/>
      <c r="ETZ28" s="1266"/>
      <c r="EUA28" s="1266"/>
      <c r="EUB28" s="1266"/>
      <c r="EUC28" s="1266"/>
      <c r="EUD28" s="1266"/>
      <c r="EUE28" s="1266"/>
      <c r="EUF28" s="1266"/>
      <c r="EUG28" s="1266"/>
      <c r="EUH28" s="1266"/>
      <c r="EUI28" s="1266"/>
      <c r="EUJ28" s="1266"/>
      <c r="EUK28" s="1266"/>
      <c r="EUL28" s="1266"/>
      <c r="EUM28" s="1266"/>
      <c r="EUN28" s="1266"/>
      <c r="EUO28" s="1266"/>
      <c r="EUP28" s="1266"/>
      <c r="EUQ28" s="1266"/>
      <c r="EUR28" s="1266"/>
      <c r="EUS28" s="1266"/>
      <c r="EUT28" s="1266"/>
      <c r="EUU28" s="1266"/>
      <c r="EUV28" s="1266"/>
      <c r="EUW28" s="1266"/>
      <c r="EUX28" s="1266"/>
      <c r="EUY28" s="1266"/>
      <c r="EUZ28" s="1266"/>
      <c r="EVA28" s="1266"/>
      <c r="EVB28" s="1266"/>
      <c r="EVC28" s="1266"/>
      <c r="EVD28" s="1266"/>
      <c r="EVE28" s="1266"/>
      <c r="EVF28" s="1266"/>
      <c r="EVG28" s="1266"/>
      <c r="EVH28" s="1266"/>
      <c r="EVI28" s="1266"/>
      <c r="EVJ28" s="1266"/>
      <c r="EVK28" s="1266"/>
      <c r="EVL28" s="1266"/>
      <c r="EVM28" s="1266"/>
      <c r="EVN28" s="1266"/>
      <c r="EVO28" s="1266"/>
      <c r="EVP28" s="1266"/>
      <c r="EVQ28" s="1266"/>
      <c r="EVR28" s="1266"/>
      <c r="EVS28" s="1266"/>
      <c r="EVT28" s="1266"/>
      <c r="EVU28" s="1266"/>
      <c r="EVV28" s="1266"/>
      <c r="EVW28" s="1266"/>
      <c r="EVX28" s="1266"/>
      <c r="EVY28" s="1266"/>
      <c r="EVZ28" s="1266"/>
      <c r="EWA28" s="1266"/>
      <c r="EWB28" s="1266"/>
      <c r="EWC28" s="1266"/>
      <c r="EWD28" s="1266"/>
      <c r="EWE28" s="1266"/>
      <c r="EWF28" s="1266"/>
      <c r="EWG28" s="1266"/>
      <c r="EWH28" s="1266"/>
      <c r="EWI28" s="1266"/>
      <c r="EWJ28" s="1266"/>
      <c r="EWK28" s="1266"/>
      <c r="EWL28" s="1266"/>
      <c r="EWM28" s="1266"/>
      <c r="EWN28" s="1266"/>
      <c r="EWO28" s="1266"/>
      <c r="EWP28" s="1266"/>
      <c r="EWQ28" s="1266"/>
      <c r="EWR28" s="1266"/>
      <c r="EWS28" s="1266"/>
      <c r="EWT28" s="1266"/>
      <c r="EWU28" s="1266"/>
      <c r="EWV28" s="1266"/>
      <c r="EWW28" s="1266"/>
      <c r="EWX28" s="1266"/>
      <c r="EWY28" s="1266"/>
      <c r="EWZ28" s="1266"/>
      <c r="EXA28" s="1266"/>
      <c r="EXB28" s="1266"/>
      <c r="EXC28" s="1266"/>
      <c r="EXD28" s="1266"/>
      <c r="EXE28" s="1266"/>
      <c r="EXF28" s="1266"/>
      <c r="EXG28" s="1266"/>
      <c r="EXH28" s="1266"/>
      <c r="EXI28" s="1266"/>
      <c r="EXJ28" s="1266"/>
      <c r="EXK28" s="1266"/>
      <c r="EXL28" s="1266"/>
      <c r="EXM28" s="1266"/>
      <c r="EXN28" s="1266"/>
      <c r="EXO28" s="1266"/>
      <c r="EXP28" s="1266"/>
      <c r="EXQ28" s="1266"/>
      <c r="EXR28" s="1266"/>
      <c r="EXS28" s="1266"/>
      <c r="EXT28" s="1266"/>
      <c r="EXU28" s="1266"/>
      <c r="EXV28" s="1266"/>
      <c r="EXW28" s="1266"/>
      <c r="EXX28" s="1266"/>
      <c r="EXY28" s="1266"/>
      <c r="EXZ28" s="1266"/>
      <c r="EYA28" s="1266"/>
      <c r="EYB28" s="1266"/>
      <c r="EYC28" s="1266"/>
      <c r="EYD28" s="1266"/>
      <c r="EYE28" s="1266"/>
      <c r="EYF28" s="1266"/>
      <c r="EYG28" s="1266"/>
      <c r="EYH28" s="1266"/>
      <c r="EYI28" s="1266"/>
      <c r="EYJ28" s="1266"/>
      <c r="EYK28" s="1266"/>
      <c r="EYL28" s="1266"/>
      <c r="EYM28" s="1266"/>
      <c r="EYN28" s="1266"/>
      <c r="EYO28" s="1266"/>
      <c r="EYP28" s="1266"/>
      <c r="EYQ28" s="1266"/>
      <c r="EYR28" s="1266"/>
      <c r="EYS28" s="1266"/>
      <c r="EYT28" s="1266"/>
      <c r="EYU28" s="1266"/>
      <c r="EYV28" s="1266"/>
      <c r="EYW28" s="1266"/>
      <c r="EYX28" s="1266"/>
      <c r="EYY28" s="1266"/>
      <c r="EYZ28" s="1266"/>
      <c r="EZA28" s="1266"/>
      <c r="EZB28" s="1266"/>
      <c r="EZC28" s="1266"/>
      <c r="EZD28" s="1266"/>
      <c r="EZE28" s="1266"/>
      <c r="EZF28" s="1266"/>
      <c r="EZG28" s="1266"/>
      <c r="EZH28" s="1266"/>
      <c r="EZI28" s="1266"/>
      <c r="EZJ28" s="1266"/>
      <c r="EZK28" s="1266"/>
      <c r="EZL28" s="1266"/>
      <c r="EZM28" s="1266"/>
      <c r="EZN28" s="1266"/>
      <c r="EZO28" s="1266"/>
      <c r="EZP28" s="1266"/>
      <c r="EZQ28" s="1266"/>
      <c r="EZR28" s="1266"/>
      <c r="EZS28" s="1266"/>
      <c r="EZT28" s="1266"/>
      <c r="EZU28" s="1266"/>
      <c r="EZV28" s="1266"/>
      <c r="EZW28" s="1266"/>
      <c r="EZX28" s="1266"/>
      <c r="EZY28" s="1266"/>
      <c r="EZZ28" s="1266"/>
      <c r="FAA28" s="1266"/>
      <c r="FAB28" s="1266"/>
      <c r="FAC28" s="1266"/>
      <c r="FAD28" s="1266"/>
      <c r="FAE28" s="1266"/>
      <c r="FAF28" s="1266"/>
      <c r="FAG28" s="1266"/>
      <c r="FAH28" s="1266"/>
      <c r="FAI28" s="1266"/>
      <c r="FAJ28" s="1266"/>
      <c r="FAK28" s="1266"/>
      <c r="FAL28" s="1266"/>
      <c r="FAM28" s="1266"/>
      <c r="FAN28" s="1266"/>
      <c r="FAO28" s="1266"/>
      <c r="FAP28" s="1266"/>
      <c r="FAQ28" s="1266"/>
      <c r="FAR28" s="1266"/>
      <c r="FAS28" s="1266"/>
      <c r="FAT28" s="1266"/>
      <c r="FAU28" s="1266"/>
      <c r="FAV28" s="1266"/>
      <c r="FAW28" s="1266"/>
      <c r="FAX28" s="1266"/>
      <c r="FAY28" s="1266"/>
      <c r="FAZ28" s="1266"/>
      <c r="FBA28" s="1266"/>
      <c r="FBB28" s="1266"/>
      <c r="FBC28" s="1266"/>
      <c r="FBD28" s="1266"/>
      <c r="FBE28" s="1266"/>
      <c r="FBF28" s="1266"/>
      <c r="FBG28" s="1266"/>
      <c r="FBH28" s="1266"/>
      <c r="FBI28" s="1266"/>
      <c r="FBJ28" s="1266"/>
      <c r="FBK28" s="1266"/>
      <c r="FBL28" s="1266"/>
      <c r="FBM28" s="1266"/>
      <c r="FBN28" s="1266"/>
      <c r="FBO28" s="1266"/>
      <c r="FBP28" s="1266"/>
      <c r="FBQ28" s="1266"/>
      <c r="FBR28" s="1266"/>
      <c r="FBS28" s="1266"/>
      <c r="FBT28" s="1266"/>
      <c r="FBU28" s="1266"/>
      <c r="FBV28" s="1266"/>
      <c r="FBW28" s="1266"/>
      <c r="FBX28" s="1266"/>
      <c r="FBY28" s="1266"/>
      <c r="FBZ28" s="1266"/>
      <c r="FCA28" s="1266"/>
      <c r="FCB28" s="1266"/>
      <c r="FCC28" s="1266"/>
      <c r="FCD28" s="1266"/>
      <c r="FCE28" s="1266"/>
      <c r="FCF28" s="1266"/>
      <c r="FCG28" s="1266"/>
      <c r="FCH28" s="1266"/>
      <c r="FCI28" s="1266"/>
      <c r="FCJ28" s="1266"/>
      <c r="FCK28" s="1266"/>
      <c r="FCL28" s="1266"/>
      <c r="FCM28" s="1266"/>
      <c r="FCN28" s="1266"/>
      <c r="FCO28" s="1266"/>
      <c r="FCP28" s="1266"/>
      <c r="FCQ28" s="1266"/>
      <c r="FCR28" s="1266"/>
      <c r="FCS28" s="1266"/>
      <c r="FCT28" s="1266"/>
      <c r="FCU28" s="1266"/>
      <c r="FCV28" s="1266"/>
      <c r="FCW28" s="1266"/>
      <c r="FCX28" s="1266"/>
      <c r="FCY28" s="1266"/>
      <c r="FCZ28" s="1266"/>
      <c r="FDA28" s="1266"/>
      <c r="FDB28" s="1266"/>
      <c r="FDC28" s="1266"/>
      <c r="FDD28" s="1266"/>
      <c r="FDE28" s="1266"/>
      <c r="FDF28" s="1266"/>
      <c r="FDG28" s="1266"/>
      <c r="FDH28" s="1266"/>
      <c r="FDI28" s="1266"/>
      <c r="FDJ28" s="1266"/>
      <c r="FDK28" s="1266"/>
      <c r="FDL28" s="1266"/>
      <c r="FDM28" s="1266"/>
      <c r="FDN28" s="1266"/>
      <c r="FDO28" s="1266"/>
      <c r="FDP28" s="1266"/>
      <c r="FDQ28" s="1266"/>
      <c r="FDR28" s="1266"/>
      <c r="FDS28" s="1266"/>
      <c r="FDT28" s="1266"/>
      <c r="FDU28" s="1266"/>
      <c r="FDV28" s="1266"/>
      <c r="FDW28" s="1266"/>
      <c r="FDX28" s="1266"/>
      <c r="FDY28" s="1266"/>
      <c r="FDZ28" s="1266"/>
      <c r="FEA28" s="1266"/>
      <c r="FEB28" s="1266"/>
      <c r="FEC28" s="1266"/>
      <c r="FED28" s="1266"/>
      <c r="FEE28" s="1266"/>
      <c r="FEF28" s="1266"/>
      <c r="FEG28" s="1266"/>
      <c r="FEH28" s="1266"/>
      <c r="FEI28" s="1266"/>
      <c r="FEJ28" s="1266"/>
      <c r="FEK28" s="1266"/>
      <c r="FEL28" s="1266"/>
      <c r="FEM28" s="1266"/>
      <c r="FEN28" s="1266"/>
      <c r="FEO28" s="1266"/>
      <c r="FEP28" s="1266"/>
      <c r="FEQ28" s="1266"/>
      <c r="FER28" s="1266"/>
      <c r="FES28" s="1266"/>
      <c r="FET28" s="1266"/>
      <c r="FEU28" s="1266"/>
      <c r="FEV28" s="1266"/>
      <c r="FEW28" s="1266"/>
      <c r="FEX28" s="1266"/>
      <c r="FEY28" s="1266"/>
      <c r="FEZ28" s="1266"/>
      <c r="FFA28" s="1266"/>
      <c r="FFB28" s="1266"/>
      <c r="FFC28" s="1266"/>
      <c r="FFD28" s="1266"/>
      <c r="FFE28" s="1266"/>
      <c r="FFF28" s="1266"/>
      <c r="FFG28" s="1266"/>
      <c r="FFH28" s="1266"/>
      <c r="FFI28" s="1266"/>
      <c r="FFJ28" s="1266"/>
      <c r="FFK28" s="1266"/>
      <c r="FFL28" s="1266"/>
      <c r="FFM28" s="1266"/>
      <c r="FFN28" s="1266"/>
      <c r="FFO28" s="1266"/>
      <c r="FFP28" s="1266"/>
      <c r="FFQ28" s="1266"/>
      <c r="FFR28" s="1266"/>
      <c r="FFS28" s="1266"/>
      <c r="FFT28" s="1266"/>
      <c r="FFU28" s="1266"/>
      <c r="FFV28" s="1266"/>
      <c r="FFW28" s="1266"/>
      <c r="FFX28" s="1266"/>
      <c r="FFY28" s="1266"/>
      <c r="FFZ28" s="1266"/>
      <c r="FGA28" s="1266"/>
      <c r="FGB28" s="1266"/>
      <c r="FGC28" s="1266"/>
      <c r="FGD28" s="1266"/>
      <c r="FGE28" s="1266"/>
      <c r="FGF28" s="1266"/>
      <c r="FGG28" s="1266"/>
      <c r="FGH28" s="1266"/>
      <c r="FGI28" s="1266"/>
      <c r="FGJ28" s="1266"/>
      <c r="FGK28" s="1266"/>
      <c r="FGL28" s="1266"/>
      <c r="FGM28" s="1266"/>
      <c r="FGN28" s="1266"/>
      <c r="FGO28" s="1266"/>
      <c r="FGP28" s="1266"/>
      <c r="FGQ28" s="1266"/>
      <c r="FGR28" s="1266"/>
      <c r="FGS28" s="1266"/>
      <c r="FGT28" s="1266"/>
      <c r="FGU28" s="1266"/>
      <c r="FGV28" s="1266"/>
      <c r="FGW28" s="1266"/>
      <c r="FGX28" s="1266"/>
      <c r="FGY28" s="1266"/>
      <c r="FGZ28" s="1266"/>
      <c r="FHA28" s="1266"/>
      <c r="FHB28" s="1266"/>
      <c r="FHC28" s="1266"/>
      <c r="FHD28" s="1266"/>
      <c r="FHE28" s="1266"/>
      <c r="FHF28" s="1266"/>
      <c r="FHG28" s="1266"/>
      <c r="FHH28" s="1266"/>
      <c r="FHI28" s="1266"/>
      <c r="FHJ28" s="1266"/>
      <c r="FHK28" s="1266"/>
      <c r="FHL28" s="1266"/>
      <c r="FHM28" s="1266"/>
      <c r="FHN28" s="1266"/>
      <c r="FHO28" s="1266"/>
      <c r="FHP28" s="1266"/>
      <c r="FHQ28" s="1266"/>
      <c r="FHR28" s="1266"/>
      <c r="FHS28" s="1266"/>
      <c r="FHT28" s="1266"/>
      <c r="FHU28" s="1266"/>
      <c r="FHV28" s="1266"/>
      <c r="FHW28" s="1266"/>
      <c r="FHX28" s="1266"/>
      <c r="FHY28" s="1266"/>
      <c r="FHZ28" s="1266"/>
      <c r="FIA28" s="1266"/>
      <c r="FIB28" s="1266"/>
      <c r="FIC28" s="1266"/>
      <c r="FID28" s="1266"/>
      <c r="FIE28" s="1266"/>
      <c r="FIF28" s="1266"/>
      <c r="FIG28" s="1266"/>
      <c r="FIH28" s="1266"/>
      <c r="FII28" s="1266"/>
      <c r="FIJ28" s="1266"/>
      <c r="FIK28" s="1266"/>
      <c r="FIL28" s="1266"/>
      <c r="FIM28" s="1266"/>
      <c r="FIN28" s="1266"/>
      <c r="FIO28" s="1266"/>
      <c r="FIP28" s="1266"/>
      <c r="FIQ28" s="1266"/>
      <c r="FIR28" s="1266"/>
      <c r="FIS28" s="1266"/>
      <c r="FIT28" s="1266"/>
      <c r="FIU28" s="1266"/>
      <c r="FIV28" s="1266"/>
      <c r="FIW28" s="1266"/>
      <c r="FIX28" s="1266"/>
      <c r="FIY28" s="1266"/>
      <c r="FIZ28" s="1266"/>
      <c r="FJA28" s="1266"/>
      <c r="FJB28" s="1266"/>
      <c r="FJC28" s="1266"/>
      <c r="FJD28" s="1266"/>
      <c r="FJE28" s="1266"/>
      <c r="FJF28" s="1266"/>
      <c r="FJG28" s="1266"/>
      <c r="FJH28" s="1266"/>
      <c r="FJI28" s="1266"/>
      <c r="FJJ28" s="1266"/>
      <c r="FJK28" s="1266"/>
      <c r="FJL28" s="1266"/>
      <c r="FJM28" s="1266"/>
      <c r="FJN28" s="1266"/>
      <c r="FJO28" s="1266"/>
      <c r="FJP28" s="1266"/>
      <c r="FJQ28" s="1266"/>
      <c r="FJR28" s="1266"/>
      <c r="FJS28" s="1266"/>
      <c r="FJT28" s="1266"/>
      <c r="FJU28" s="1266"/>
      <c r="FJV28" s="1266"/>
      <c r="FJW28" s="1266"/>
      <c r="FJX28" s="1266"/>
      <c r="FJY28" s="1266"/>
      <c r="FJZ28" s="1266"/>
      <c r="FKA28" s="1266"/>
      <c r="FKB28" s="1266"/>
      <c r="FKC28" s="1266"/>
      <c r="FKD28" s="1266"/>
      <c r="FKE28" s="1266"/>
      <c r="FKF28" s="1266"/>
      <c r="FKG28" s="1266"/>
      <c r="FKH28" s="1266"/>
      <c r="FKI28" s="1266"/>
      <c r="FKJ28" s="1266"/>
      <c r="FKK28" s="1266"/>
      <c r="FKL28" s="1266"/>
      <c r="FKM28" s="1266"/>
      <c r="FKN28" s="1266"/>
      <c r="FKO28" s="1266"/>
      <c r="FKP28" s="1266"/>
      <c r="FKQ28" s="1266"/>
      <c r="FKR28" s="1266"/>
      <c r="FKS28" s="1266"/>
      <c r="FKT28" s="1266"/>
      <c r="FKU28" s="1266"/>
      <c r="FKV28" s="1266"/>
      <c r="FKW28" s="1266"/>
      <c r="FKX28" s="1266"/>
      <c r="FKY28" s="1266"/>
      <c r="FKZ28" s="1266"/>
      <c r="FLA28" s="1266"/>
      <c r="FLB28" s="1266"/>
      <c r="FLC28" s="1266"/>
      <c r="FLD28" s="1266"/>
      <c r="FLE28" s="1266"/>
      <c r="FLF28" s="1266"/>
      <c r="FLG28" s="1266"/>
      <c r="FLH28" s="1266"/>
      <c r="FLI28" s="1266"/>
      <c r="FLJ28" s="1266"/>
      <c r="FLK28" s="1266"/>
      <c r="FLL28" s="1266"/>
      <c r="FLM28" s="1266"/>
      <c r="FLN28" s="1266"/>
      <c r="FLO28" s="1266"/>
      <c r="FLP28" s="1266"/>
      <c r="FLQ28" s="1266"/>
      <c r="FLR28" s="1266"/>
      <c r="FLS28" s="1266"/>
      <c r="FLT28" s="1266"/>
      <c r="FLU28" s="1266"/>
      <c r="FLV28" s="1266"/>
      <c r="FLW28" s="1266"/>
      <c r="FLX28" s="1266"/>
      <c r="FLY28" s="1266"/>
      <c r="FLZ28" s="1266"/>
      <c r="FMA28" s="1266"/>
      <c r="FMB28" s="1266"/>
      <c r="FMC28" s="1266"/>
      <c r="FMD28" s="1266"/>
      <c r="FME28" s="1266"/>
      <c r="FMF28" s="1266"/>
      <c r="FMG28" s="1266"/>
      <c r="FMH28" s="1266"/>
      <c r="FMI28" s="1266"/>
      <c r="FMJ28" s="1266"/>
      <c r="FMK28" s="1266"/>
      <c r="FML28" s="1266"/>
      <c r="FMM28" s="1266"/>
      <c r="FMN28" s="1266"/>
      <c r="FMO28" s="1266"/>
      <c r="FMP28" s="1266"/>
      <c r="FMQ28" s="1266"/>
      <c r="FMR28" s="1266"/>
      <c r="FMS28" s="1266"/>
      <c r="FMT28" s="1266"/>
      <c r="FMU28" s="1266"/>
      <c r="FMV28" s="1266"/>
      <c r="FMW28" s="1266"/>
      <c r="FMX28" s="1266"/>
      <c r="FMY28" s="1266"/>
      <c r="FMZ28" s="1266"/>
      <c r="FNA28" s="1266"/>
      <c r="FNB28" s="1266"/>
      <c r="FNC28" s="1266"/>
      <c r="FND28" s="1266"/>
      <c r="FNE28" s="1266"/>
      <c r="FNF28" s="1266"/>
      <c r="FNG28" s="1266"/>
      <c r="FNH28" s="1266"/>
      <c r="FNI28" s="1266"/>
      <c r="FNJ28" s="1266"/>
      <c r="FNK28" s="1266"/>
      <c r="FNL28" s="1266"/>
      <c r="FNM28" s="1266"/>
      <c r="FNN28" s="1266"/>
      <c r="FNO28" s="1266"/>
      <c r="FNP28" s="1266"/>
      <c r="FNQ28" s="1266"/>
      <c r="FNR28" s="1266"/>
      <c r="FNS28" s="1266"/>
      <c r="FNT28" s="1266"/>
      <c r="FNU28" s="1266"/>
      <c r="FNV28" s="1266"/>
      <c r="FNW28" s="1266"/>
      <c r="FNX28" s="1266"/>
      <c r="FNY28" s="1266"/>
      <c r="FNZ28" s="1266"/>
      <c r="FOA28" s="1266"/>
      <c r="FOB28" s="1266"/>
      <c r="FOC28" s="1266"/>
      <c r="FOD28" s="1266"/>
      <c r="FOE28" s="1266"/>
      <c r="FOF28" s="1266"/>
      <c r="FOG28" s="1266"/>
      <c r="FOH28" s="1266"/>
      <c r="FOI28" s="1266"/>
      <c r="FOJ28" s="1266"/>
      <c r="FOK28" s="1266"/>
      <c r="FOL28" s="1266"/>
      <c r="FOM28" s="1266"/>
      <c r="FON28" s="1266"/>
      <c r="FOO28" s="1266"/>
      <c r="FOP28" s="1266"/>
      <c r="FOQ28" s="1266"/>
      <c r="FOR28" s="1266"/>
      <c r="FOS28" s="1266"/>
      <c r="FOT28" s="1266"/>
      <c r="FOU28" s="1266"/>
      <c r="FOV28" s="1266"/>
      <c r="FOW28" s="1266"/>
      <c r="FOX28" s="1266"/>
      <c r="FOY28" s="1266"/>
      <c r="FOZ28" s="1266"/>
      <c r="FPA28" s="1266"/>
      <c r="FPB28" s="1266"/>
      <c r="FPC28" s="1266"/>
      <c r="FPD28" s="1266"/>
      <c r="FPE28" s="1266"/>
      <c r="FPF28" s="1266"/>
      <c r="FPG28" s="1266"/>
      <c r="FPH28" s="1266"/>
      <c r="FPI28" s="1266"/>
      <c r="FPJ28" s="1266"/>
      <c r="FPK28" s="1266"/>
      <c r="FPL28" s="1266"/>
      <c r="FPM28" s="1266"/>
      <c r="FPN28" s="1266"/>
      <c r="FPO28" s="1266"/>
      <c r="FPP28" s="1266"/>
      <c r="FPQ28" s="1266"/>
      <c r="FPR28" s="1266"/>
      <c r="FPS28" s="1266"/>
      <c r="FPT28" s="1266"/>
      <c r="FPU28" s="1266"/>
      <c r="FPV28" s="1266"/>
      <c r="FPW28" s="1266"/>
      <c r="FPX28" s="1266"/>
      <c r="FPY28" s="1266"/>
      <c r="FPZ28" s="1266"/>
      <c r="FQA28" s="1266"/>
      <c r="FQB28" s="1266"/>
      <c r="FQC28" s="1266"/>
      <c r="FQD28" s="1266"/>
      <c r="FQE28" s="1266"/>
      <c r="FQF28" s="1266"/>
      <c r="FQG28" s="1266"/>
      <c r="FQH28" s="1266"/>
      <c r="FQI28" s="1266"/>
      <c r="FQJ28" s="1266"/>
      <c r="FQK28" s="1266"/>
      <c r="FQL28" s="1266"/>
      <c r="FQM28" s="1266"/>
      <c r="FQN28" s="1266"/>
      <c r="FQO28" s="1266"/>
      <c r="FQP28" s="1266"/>
      <c r="FQQ28" s="1266"/>
      <c r="FQR28" s="1266"/>
      <c r="FQS28" s="1266"/>
      <c r="FQT28" s="1266"/>
      <c r="FQU28" s="1266"/>
      <c r="FQV28" s="1266"/>
      <c r="FQW28" s="1266"/>
      <c r="FQX28" s="1266"/>
      <c r="FQY28" s="1266"/>
      <c r="FQZ28" s="1266"/>
      <c r="FRA28" s="1266"/>
      <c r="FRB28" s="1266"/>
      <c r="FRC28" s="1266"/>
      <c r="FRD28" s="1266"/>
      <c r="FRE28" s="1266"/>
      <c r="FRF28" s="1266"/>
      <c r="FRG28" s="1266"/>
      <c r="FRH28" s="1266"/>
      <c r="FRI28" s="1266"/>
      <c r="FRJ28" s="1266"/>
      <c r="FRK28" s="1266"/>
      <c r="FRL28" s="1266"/>
      <c r="FRM28" s="1266"/>
      <c r="FRN28" s="1266"/>
      <c r="FRO28" s="1266"/>
      <c r="FRP28" s="1266"/>
      <c r="FRQ28" s="1266"/>
      <c r="FRR28" s="1266"/>
      <c r="FRS28" s="1266"/>
      <c r="FRT28" s="1266"/>
      <c r="FRU28" s="1266"/>
      <c r="FRV28" s="1266"/>
      <c r="FRW28" s="1266"/>
      <c r="FRX28" s="1266"/>
      <c r="FRY28" s="1266"/>
      <c r="FRZ28" s="1266"/>
      <c r="FSA28" s="1266"/>
      <c r="FSB28" s="1266"/>
      <c r="FSC28" s="1266"/>
      <c r="FSD28" s="1266"/>
      <c r="FSE28" s="1266"/>
      <c r="FSF28" s="1266"/>
      <c r="FSG28" s="1266"/>
      <c r="FSH28" s="1266"/>
      <c r="FSI28" s="1266"/>
      <c r="FSJ28" s="1266"/>
      <c r="FSK28" s="1266"/>
      <c r="FSL28" s="1266"/>
      <c r="FSM28" s="1266"/>
      <c r="FSN28" s="1266"/>
      <c r="FSO28" s="1266"/>
      <c r="FSP28" s="1266"/>
      <c r="FSQ28" s="1266"/>
      <c r="FSR28" s="1266"/>
      <c r="FSS28" s="1266"/>
      <c r="FST28" s="1266"/>
      <c r="FSU28" s="1266"/>
      <c r="FSV28" s="1266"/>
      <c r="FSW28" s="1266"/>
      <c r="FSX28" s="1266"/>
      <c r="FSY28" s="1266"/>
      <c r="FSZ28" s="1266"/>
      <c r="FTA28" s="1266"/>
      <c r="FTB28" s="1266"/>
      <c r="FTC28" s="1266"/>
      <c r="FTD28" s="1266"/>
      <c r="FTE28" s="1266"/>
      <c r="FTF28" s="1266"/>
      <c r="FTG28" s="1266"/>
      <c r="FTH28" s="1266"/>
      <c r="FTI28" s="1266"/>
      <c r="FTJ28" s="1266"/>
      <c r="FTK28" s="1266"/>
      <c r="FTL28" s="1266"/>
      <c r="FTM28" s="1266"/>
      <c r="FTN28" s="1266"/>
      <c r="FTO28" s="1266"/>
      <c r="FTP28" s="1266"/>
      <c r="FTQ28" s="1266"/>
      <c r="FTR28" s="1266"/>
      <c r="FTS28" s="1266"/>
      <c r="FTT28" s="1266"/>
      <c r="FTU28" s="1266"/>
      <c r="FTV28" s="1266"/>
      <c r="FTW28" s="1266"/>
      <c r="FTX28" s="1266"/>
      <c r="FTY28" s="1266"/>
      <c r="FTZ28" s="1266"/>
      <c r="FUA28" s="1266"/>
      <c r="FUB28" s="1266"/>
      <c r="FUC28" s="1266"/>
      <c r="FUD28" s="1266"/>
      <c r="FUE28" s="1266"/>
      <c r="FUF28" s="1266"/>
      <c r="FUG28" s="1266"/>
      <c r="FUH28" s="1266"/>
      <c r="FUI28" s="1266"/>
      <c r="FUJ28" s="1266"/>
      <c r="FUK28" s="1266"/>
      <c r="FUL28" s="1266"/>
      <c r="FUM28" s="1266"/>
      <c r="FUN28" s="1266"/>
      <c r="FUO28" s="1266"/>
      <c r="FUP28" s="1266"/>
      <c r="FUQ28" s="1266"/>
      <c r="FUR28" s="1266"/>
      <c r="FUS28" s="1266"/>
      <c r="FUT28" s="1266"/>
      <c r="FUU28" s="1266"/>
      <c r="FUV28" s="1266"/>
      <c r="FUW28" s="1266"/>
      <c r="FUX28" s="1266"/>
      <c r="FUY28" s="1266"/>
      <c r="FUZ28" s="1266"/>
      <c r="FVA28" s="1266"/>
      <c r="FVB28" s="1266"/>
      <c r="FVC28" s="1266"/>
      <c r="FVD28" s="1266"/>
      <c r="FVE28" s="1266"/>
      <c r="FVF28" s="1266"/>
      <c r="FVG28" s="1266"/>
      <c r="FVH28" s="1266"/>
      <c r="FVI28" s="1266"/>
      <c r="FVJ28" s="1266"/>
      <c r="FVK28" s="1266"/>
      <c r="FVL28" s="1266"/>
      <c r="FVM28" s="1266"/>
      <c r="FVN28" s="1266"/>
      <c r="FVO28" s="1266"/>
      <c r="FVP28" s="1266"/>
      <c r="FVQ28" s="1266"/>
      <c r="FVR28" s="1266"/>
      <c r="FVS28" s="1266"/>
      <c r="FVT28" s="1266"/>
      <c r="FVU28" s="1266"/>
      <c r="FVV28" s="1266"/>
      <c r="FVW28" s="1266"/>
      <c r="FVX28" s="1266"/>
      <c r="FVY28" s="1266"/>
      <c r="FVZ28" s="1266"/>
      <c r="FWA28" s="1266"/>
      <c r="FWB28" s="1266"/>
      <c r="FWC28" s="1266"/>
      <c r="FWD28" s="1266"/>
      <c r="FWE28" s="1266"/>
      <c r="FWF28" s="1266"/>
      <c r="FWG28" s="1266"/>
      <c r="FWH28" s="1266"/>
      <c r="FWI28" s="1266"/>
      <c r="FWJ28" s="1266"/>
      <c r="FWK28" s="1266"/>
      <c r="FWL28" s="1266"/>
      <c r="FWM28" s="1266"/>
      <c r="FWN28" s="1266"/>
      <c r="FWO28" s="1266"/>
      <c r="FWP28" s="1266"/>
      <c r="FWQ28" s="1266"/>
      <c r="FWR28" s="1266"/>
      <c r="FWS28" s="1266"/>
      <c r="FWT28" s="1266"/>
      <c r="FWU28" s="1266"/>
      <c r="FWV28" s="1266"/>
      <c r="FWW28" s="1266"/>
      <c r="FWX28" s="1266"/>
      <c r="FWY28" s="1266"/>
      <c r="FWZ28" s="1266"/>
      <c r="FXA28" s="1266"/>
      <c r="FXB28" s="1266"/>
      <c r="FXC28" s="1266"/>
      <c r="FXD28" s="1266"/>
      <c r="FXE28" s="1266"/>
      <c r="FXF28" s="1266"/>
      <c r="FXG28" s="1266"/>
      <c r="FXH28" s="1266"/>
      <c r="FXI28" s="1266"/>
      <c r="FXJ28" s="1266"/>
      <c r="FXK28" s="1266"/>
      <c r="FXL28" s="1266"/>
      <c r="FXM28" s="1266"/>
      <c r="FXN28" s="1266"/>
      <c r="FXO28" s="1266"/>
      <c r="FXP28" s="1266"/>
      <c r="FXQ28" s="1266"/>
      <c r="FXR28" s="1266"/>
      <c r="FXS28" s="1266"/>
      <c r="FXT28" s="1266"/>
      <c r="FXU28" s="1266"/>
      <c r="FXV28" s="1266"/>
      <c r="FXW28" s="1266"/>
      <c r="FXX28" s="1266"/>
      <c r="FXY28" s="1266"/>
      <c r="FXZ28" s="1266"/>
      <c r="FYA28" s="1266"/>
      <c r="FYB28" s="1266"/>
      <c r="FYC28" s="1266"/>
      <c r="FYD28" s="1266"/>
      <c r="FYE28" s="1266"/>
      <c r="FYF28" s="1266"/>
      <c r="FYG28" s="1266"/>
      <c r="FYH28" s="1266"/>
      <c r="FYI28" s="1266"/>
      <c r="FYJ28" s="1266"/>
      <c r="FYK28" s="1266"/>
      <c r="FYL28" s="1266"/>
      <c r="FYM28" s="1266"/>
      <c r="FYN28" s="1266"/>
      <c r="FYO28" s="1266"/>
      <c r="FYP28" s="1266"/>
      <c r="FYQ28" s="1266"/>
      <c r="FYR28" s="1266"/>
      <c r="FYS28" s="1266"/>
      <c r="FYT28" s="1266"/>
      <c r="FYU28" s="1266"/>
      <c r="FYV28" s="1266"/>
      <c r="FYW28" s="1266"/>
      <c r="FYX28" s="1266"/>
      <c r="FYY28" s="1266"/>
      <c r="FYZ28" s="1266"/>
      <c r="FZA28" s="1266"/>
      <c r="FZB28" s="1266"/>
      <c r="FZC28" s="1266"/>
      <c r="FZD28" s="1266"/>
      <c r="FZE28" s="1266"/>
      <c r="FZF28" s="1266"/>
      <c r="FZG28" s="1266"/>
      <c r="FZH28" s="1266"/>
      <c r="FZI28" s="1266"/>
      <c r="FZJ28" s="1266"/>
      <c r="FZK28" s="1266"/>
      <c r="FZL28" s="1266"/>
      <c r="FZM28" s="1266"/>
      <c r="FZN28" s="1266"/>
      <c r="FZO28" s="1266"/>
      <c r="FZP28" s="1266"/>
      <c r="FZQ28" s="1266"/>
      <c r="FZR28" s="1266"/>
      <c r="FZS28" s="1266"/>
      <c r="FZT28" s="1266"/>
      <c r="FZU28" s="1266"/>
      <c r="FZV28" s="1266"/>
      <c r="FZW28" s="1266"/>
      <c r="FZX28" s="1266"/>
      <c r="FZY28" s="1266"/>
      <c r="FZZ28" s="1266"/>
      <c r="GAA28" s="1266"/>
      <c r="GAB28" s="1266"/>
      <c r="GAC28" s="1266"/>
      <c r="GAD28" s="1266"/>
      <c r="GAE28" s="1266"/>
      <c r="GAF28" s="1266"/>
      <c r="GAG28" s="1266"/>
      <c r="GAH28" s="1266"/>
      <c r="GAI28" s="1266"/>
      <c r="GAJ28" s="1266"/>
      <c r="GAK28" s="1266"/>
      <c r="GAL28" s="1266"/>
      <c r="GAM28" s="1266"/>
      <c r="GAN28" s="1266"/>
      <c r="GAO28" s="1266"/>
      <c r="GAP28" s="1266"/>
      <c r="GAQ28" s="1266"/>
      <c r="GAR28" s="1266"/>
      <c r="GAS28" s="1266"/>
      <c r="GAT28" s="1266"/>
      <c r="GAU28" s="1266"/>
      <c r="GAV28" s="1266"/>
      <c r="GAW28" s="1266"/>
      <c r="GAX28" s="1266"/>
      <c r="GAY28" s="1266"/>
      <c r="GAZ28" s="1266"/>
      <c r="GBA28" s="1266"/>
      <c r="GBB28" s="1266"/>
      <c r="GBC28" s="1266"/>
      <c r="GBD28" s="1266"/>
      <c r="GBE28" s="1266"/>
      <c r="GBF28" s="1266"/>
      <c r="GBG28" s="1266"/>
      <c r="GBH28" s="1266"/>
      <c r="GBI28" s="1266"/>
      <c r="GBJ28" s="1266"/>
      <c r="GBK28" s="1266"/>
      <c r="GBL28" s="1266"/>
      <c r="GBM28" s="1266"/>
      <c r="GBN28" s="1266"/>
      <c r="GBO28" s="1266"/>
      <c r="GBP28" s="1266"/>
      <c r="GBQ28" s="1266"/>
      <c r="GBR28" s="1266"/>
      <c r="GBS28" s="1266"/>
      <c r="GBT28" s="1266"/>
      <c r="GBU28" s="1266"/>
      <c r="GBV28" s="1266"/>
      <c r="GBW28" s="1266"/>
      <c r="GBX28" s="1266"/>
      <c r="GBY28" s="1266"/>
      <c r="GBZ28" s="1266"/>
      <c r="GCA28" s="1266"/>
      <c r="GCB28" s="1266"/>
      <c r="GCC28" s="1266"/>
      <c r="GCD28" s="1266"/>
      <c r="GCE28" s="1266"/>
      <c r="GCF28" s="1266"/>
      <c r="GCG28" s="1266"/>
      <c r="GCH28" s="1266"/>
      <c r="GCI28" s="1266"/>
      <c r="GCJ28" s="1266"/>
      <c r="GCK28" s="1266"/>
      <c r="GCL28" s="1266"/>
      <c r="GCM28" s="1266"/>
      <c r="GCN28" s="1266"/>
      <c r="GCO28" s="1266"/>
      <c r="GCP28" s="1266"/>
      <c r="GCQ28" s="1266"/>
      <c r="GCR28" s="1266"/>
      <c r="GCS28" s="1266"/>
      <c r="GCT28" s="1266"/>
      <c r="GCU28" s="1266"/>
      <c r="GCV28" s="1266"/>
      <c r="GCW28" s="1266"/>
      <c r="GCX28" s="1266"/>
      <c r="GCY28" s="1266"/>
      <c r="GCZ28" s="1266"/>
      <c r="GDA28" s="1266"/>
      <c r="GDB28" s="1266"/>
      <c r="GDC28" s="1266"/>
      <c r="GDD28" s="1266"/>
      <c r="GDE28" s="1266"/>
      <c r="GDF28" s="1266"/>
      <c r="GDG28" s="1266"/>
      <c r="GDH28" s="1266"/>
      <c r="GDI28" s="1266"/>
      <c r="GDJ28" s="1266"/>
      <c r="GDK28" s="1266"/>
      <c r="GDL28" s="1266"/>
      <c r="GDM28" s="1266"/>
      <c r="GDN28" s="1266"/>
      <c r="GDO28" s="1266"/>
      <c r="GDP28" s="1266"/>
      <c r="GDQ28" s="1266"/>
      <c r="GDR28" s="1266"/>
      <c r="GDS28" s="1266"/>
      <c r="GDT28" s="1266"/>
      <c r="GDU28" s="1266"/>
      <c r="GDV28" s="1266"/>
      <c r="GDW28" s="1266"/>
      <c r="GDX28" s="1266"/>
      <c r="GDY28" s="1266"/>
      <c r="GDZ28" s="1266"/>
      <c r="GEA28" s="1266"/>
      <c r="GEB28" s="1266"/>
      <c r="GEC28" s="1266"/>
      <c r="GED28" s="1266"/>
      <c r="GEE28" s="1266"/>
      <c r="GEF28" s="1266"/>
      <c r="GEG28" s="1266"/>
      <c r="GEH28" s="1266"/>
      <c r="GEI28" s="1266"/>
      <c r="GEJ28" s="1266"/>
      <c r="GEK28" s="1266"/>
      <c r="GEL28" s="1266"/>
      <c r="GEM28" s="1266"/>
      <c r="GEN28" s="1266"/>
      <c r="GEO28" s="1266"/>
      <c r="GEP28" s="1266"/>
      <c r="GEQ28" s="1266"/>
      <c r="GER28" s="1266"/>
      <c r="GES28" s="1266"/>
      <c r="GET28" s="1266"/>
      <c r="GEU28" s="1266"/>
      <c r="GEV28" s="1266"/>
      <c r="GEW28" s="1266"/>
      <c r="GEX28" s="1266"/>
      <c r="GEY28" s="1266"/>
      <c r="GEZ28" s="1266"/>
      <c r="GFA28" s="1266"/>
      <c r="GFB28" s="1266"/>
      <c r="GFC28" s="1266"/>
      <c r="GFD28" s="1266"/>
      <c r="GFE28" s="1266"/>
      <c r="GFF28" s="1266"/>
      <c r="GFG28" s="1266"/>
      <c r="GFH28" s="1266"/>
      <c r="GFI28" s="1266"/>
      <c r="GFJ28" s="1266"/>
      <c r="GFK28" s="1266"/>
      <c r="GFL28" s="1266"/>
      <c r="GFM28" s="1266"/>
      <c r="GFN28" s="1266"/>
      <c r="GFO28" s="1266"/>
      <c r="GFP28" s="1266"/>
      <c r="GFQ28" s="1266"/>
      <c r="GFR28" s="1266"/>
      <c r="GFS28" s="1266"/>
      <c r="GFT28" s="1266"/>
      <c r="GFU28" s="1266"/>
      <c r="GFV28" s="1266"/>
      <c r="GFW28" s="1266"/>
      <c r="GFX28" s="1266"/>
      <c r="GFY28" s="1266"/>
      <c r="GFZ28" s="1266"/>
      <c r="GGA28" s="1266"/>
      <c r="GGB28" s="1266"/>
      <c r="GGC28" s="1266"/>
      <c r="GGD28" s="1266"/>
      <c r="GGE28" s="1266"/>
      <c r="GGF28" s="1266"/>
      <c r="GGG28" s="1266"/>
      <c r="GGH28" s="1266"/>
      <c r="GGI28" s="1266"/>
      <c r="GGJ28" s="1266"/>
      <c r="GGK28" s="1266"/>
      <c r="GGL28" s="1266"/>
      <c r="GGM28" s="1266"/>
      <c r="GGN28" s="1266"/>
      <c r="GGO28" s="1266"/>
      <c r="GGP28" s="1266"/>
      <c r="GGQ28" s="1266"/>
      <c r="GGR28" s="1266"/>
      <c r="GGS28" s="1266"/>
      <c r="GGT28" s="1266"/>
      <c r="GGU28" s="1266"/>
      <c r="GGV28" s="1266"/>
      <c r="GGW28" s="1266"/>
      <c r="GGX28" s="1266"/>
      <c r="GGY28" s="1266"/>
      <c r="GGZ28" s="1266"/>
      <c r="GHA28" s="1266"/>
      <c r="GHB28" s="1266"/>
      <c r="GHC28" s="1266"/>
      <c r="GHD28" s="1266"/>
      <c r="GHE28" s="1266"/>
      <c r="GHF28" s="1266"/>
      <c r="GHG28" s="1266"/>
      <c r="GHH28" s="1266"/>
      <c r="GHI28" s="1266"/>
      <c r="GHJ28" s="1266"/>
      <c r="GHK28" s="1266"/>
      <c r="GHL28" s="1266"/>
      <c r="GHM28" s="1266"/>
      <c r="GHN28" s="1266"/>
      <c r="GHO28" s="1266"/>
      <c r="GHP28" s="1266"/>
      <c r="GHQ28" s="1266"/>
      <c r="GHR28" s="1266"/>
      <c r="GHS28" s="1266"/>
      <c r="GHT28" s="1266"/>
      <c r="GHU28" s="1266"/>
      <c r="GHV28" s="1266"/>
      <c r="GHW28" s="1266"/>
      <c r="GHX28" s="1266"/>
      <c r="GHY28" s="1266"/>
      <c r="GHZ28" s="1266"/>
      <c r="GIA28" s="1266"/>
      <c r="GIB28" s="1266"/>
      <c r="GIC28" s="1266"/>
      <c r="GID28" s="1266"/>
      <c r="GIE28" s="1266"/>
      <c r="GIF28" s="1266"/>
      <c r="GIG28" s="1266"/>
      <c r="GIH28" s="1266"/>
      <c r="GII28" s="1266"/>
      <c r="GIJ28" s="1266"/>
      <c r="GIK28" s="1266"/>
      <c r="GIL28" s="1266"/>
      <c r="GIM28" s="1266"/>
      <c r="GIN28" s="1266"/>
      <c r="GIO28" s="1266"/>
      <c r="GIP28" s="1266"/>
      <c r="GIQ28" s="1266"/>
      <c r="GIR28" s="1266"/>
      <c r="GIS28" s="1266"/>
      <c r="GIT28" s="1266"/>
      <c r="GIU28" s="1266"/>
      <c r="GIV28" s="1266"/>
      <c r="GIW28" s="1266"/>
      <c r="GIX28" s="1266"/>
      <c r="GIY28" s="1266"/>
      <c r="GIZ28" s="1266"/>
      <c r="GJA28" s="1266"/>
      <c r="GJB28" s="1266"/>
      <c r="GJC28" s="1266"/>
      <c r="GJD28" s="1266"/>
      <c r="GJE28" s="1266"/>
      <c r="GJF28" s="1266"/>
      <c r="GJG28" s="1266"/>
      <c r="GJH28" s="1266"/>
      <c r="GJI28" s="1266"/>
      <c r="GJJ28" s="1266"/>
      <c r="GJK28" s="1266"/>
      <c r="GJL28" s="1266"/>
      <c r="GJM28" s="1266"/>
      <c r="GJN28" s="1266"/>
      <c r="GJO28" s="1266"/>
      <c r="GJP28" s="1266"/>
      <c r="GJQ28" s="1266"/>
      <c r="GJR28" s="1266"/>
      <c r="GJS28" s="1266"/>
      <c r="GJT28" s="1266"/>
      <c r="GJU28" s="1266"/>
      <c r="GJV28" s="1266"/>
      <c r="GJW28" s="1266"/>
      <c r="GJX28" s="1266"/>
      <c r="GJY28" s="1266"/>
      <c r="GJZ28" s="1266"/>
      <c r="GKA28" s="1266"/>
      <c r="GKB28" s="1266"/>
      <c r="GKC28" s="1266"/>
      <c r="GKD28" s="1266"/>
      <c r="GKE28" s="1266"/>
      <c r="GKF28" s="1266"/>
      <c r="GKG28" s="1266"/>
      <c r="GKH28" s="1266"/>
      <c r="GKI28" s="1266"/>
      <c r="GKJ28" s="1266"/>
      <c r="GKK28" s="1266"/>
      <c r="GKL28" s="1266"/>
      <c r="GKM28" s="1266"/>
      <c r="GKN28" s="1266"/>
      <c r="GKO28" s="1266"/>
      <c r="GKP28" s="1266"/>
      <c r="GKQ28" s="1266"/>
      <c r="GKR28" s="1266"/>
      <c r="GKS28" s="1266"/>
      <c r="GKT28" s="1266"/>
      <c r="GKU28" s="1266"/>
      <c r="GKV28" s="1266"/>
      <c r="GKW28" s="1266"/>
      <c r="GKX28" s="1266"/>
      <c r="GKY28" s="1266"/>
      <c r="GKZ28" s="1266"/>
      <c r="GLA28" s="1266"/>
      <c r="GLB28" s="1266"/>
      <c r="GLC28" s="1266"/>
      <c r="GLD28" s="1266"/>
      <c r="GLE28" s="1266"/>
      <c r="GLF28" s="1266"/>
      <c r="GLG28" s="1266"/>
      <c r="GLH28" s="1266"/>
      <c r="GLI28" s="1266"/>
      <c r="GLJ28" s="1266"/>
      <c r="GLK28" s="1266"/>
      <c r="GLL28" s="1266"/>
      <c r="GLM28" s="1266"/>
      <c r="GLN28" s="1266"/>
      <c r="GLO28" s="1266"/>
      <c r="GLP28" s="1266"/>
      <c r="GLQ28" s="1266"/>
      <c r="GLR28" s="1266"/>
      <c r="GLS28" s="1266"/>
      <c r="GLT28" s="1266"/>
      <c r="GLU28" s="1266"/>
      <c r="GLV28" s="1266"/>
      <c r="GLW28" s="1266"/>
      <c r="GLX28" s="1266"/>
      <c r="GLY28" s="1266"/>
      <c r="GLZ28" s="1266"/>
      <c r="GMA28" s="1266"/>
      <c r="GMB28" s="1266"/>
      <c r="GMC28" s="1266"/>
      <c r="GMD28" s="1266"/>
      <c r="GME28" s="1266"/>
      <c r="GMF28" s="1266"/>
      <c r="GMG28" s="1266"/>
      <c r="GMH28" s="1266"/>
      <c r="GMI28" s="1266"/>
      <c r="GMJ28" s="1266"/>
      <c r="GMK28" s="1266"/>
      <c r="GML28" s="1266"/>
      <c r="GMM28" s="1266"/>
      <c r="GMN28" s="1266"/>
      <c r="GMO28" s="1266"/>
      <c r="GMP28" s="1266"/>
      <c r="GMQ28" s="1266"/>
      <c r="GMR28" s="1266"/>
      <c r="GMS28" s="1266"/>
      <c r="GMT28" s="1266"/>
      <c r="GMU28" s="1266"/>
      <c r="GMV28" s="1266"/>
      <c r="GMW28" s="1266"/>
      <c r="GMX28" s="1266"/>
      <c r="GMY28" s="1266"/>
      <c r="GMZ28" s="1266"/>
      <c r="GNA28" s="1266"/>
      <c r="GNB28" s="1266"/>
      <c r="GNC28" s="1266"/>
      <c r="GND28" s="1266"/>
      <c r="GNE28" s="1266"/>
      <c r="GNF28" s="1266"/>
      <c r="GNG28" s="1266"/>
      <c r="GNH28" s="1266"/>
      <c r="GNI28" s="1266"/>
      <c r="GNJ28" s="1266"/>
      <c r="GNK28" s="1266"/>
      <c r="GNL28" s="1266"/>
      <c r="GNM28" s="1266"/>
      <c r="GNN28" s="1266"/>
      <c r="GNO28" s="1266"/>
      <c r="GNP28" s="1266"/>
      <c r="GNQ28" s="1266"/>
      <c r="GNR28" s="1266"/>
      <c r="GNS28" s="1266"/>
      <c r="GNT28" s="1266"/>
      <c r="GNU28" s="1266"/>
      <c r="GNV28" s="1266"/>
      <c r="GNW28" s="1266"/>
      <c r="GNX28" s="1266"/>
      <c r="GNY28" s="1266"/>
      <c r="GNZ28" s="1266"/>
      <c r="GOA28" s="1266"/>
      <c r="GOB28" s="1266"/>
      <c r="GOC28" s="1266"/>
      <c r="GOD28" s="1266"/>
      <c r="GOE28" s="1266"/>
      <c r="GOF28" s="1266"/>
      <c r="GOG28" s="1266"/>
      <c r="GOH28" s="1266"/>
      <c r="GOI28" s="1266"/>
      <c r="GOJ28" s="1266"/>
      <c r="GOK28" s="1266"/>
      <c r="GOL28" s="1266"/>
      <c r="GOM28" s="1266"/>
      <c r="GON28" s="1266"/>
      <c r="GOO28" s="1266"/>
      <c r="GOP28" s="1266"/>
      <c r="GOQ28" s="1266"/>
      <c r="GOR28" s="1266"/>
      <c r="GOS28" s="1266"/>
      <c r="GOT28" s="1266"/>
      <c r="GOU28" s="1266"/>
      <c r="GOV28" s="1266"/>
      <c r="GOW28" s="1266"/>
      <c r="GOX28" s="1266"/>
      <c r="GOY28" s="1266"/>
      <c r="GOZ28" s="1266"/>
      <c r="GPA28" s="1266"/>
      <c r="GPB28" s="1266"/>
      <c r="GPC28" s="1266"/>
      <c r="GPD28" s="1266"/>
      <c r="GPE28" s="1266"/>
      <c r="GPF28" s="1266"/>
      <c r="GPG28" s="1266"/>
      <c r="GPH28" s="1266"/>
      <c r="GPI28" s="1266"/>
      <c r="GPJ28" s="1266"/>
      <c r="GPK28" s="1266"/>
      <c r="GPL28" s="1266"/>
      <c r="GPM28" s="1266"/>
      <c r="GPN28" s="1266"/>
      <c r="GPO28" s="1266"/>
      <c r="GPP28" s="1266"/>
      <c r="GPQ28" s="1266"/>
      <c r="GPR28" s="1266"/>
      <c r="GPS28" s="1266"/>
      <c r="GPT28" s="1266"/>
      <c r="GPU28" s="1266"/>
      <c r="GPV28" s="1266"/>
      <c r="GPW28" s="1266"/>
      <c r="GPX28" s="1266"/>
      <c r="GPY28" s="1266"/>
      <c r="GPZ28" s="1266"/>
      <c r="GQA28" s="1266"/>
      <c r="GQB28" s="1266"/>
      <c r="GQC28" s="1266"/>
      <c r="GQD28" s="1266"/>
      <c r="GQE28" s="1266"/>
      <c r="GQF28" s="1266"/>
      <c r="GQG28" s="1266"/>
      <c r="GQH28" s="1266"/>
      <c r="GQI28" s="1266"/>
      <c r="GQJ28" s="1266"/>
      <c r="GQK28" s="1266"/>
      <c r="GQL28" s="1266"/>
      <c r="GQM28" s="1266"/>
      <c r="GQN28" s="1266"/>
      <c r="GQO28" s="1266"/>
      <c r="GQP28" s="1266"/>
      <c r="GQQ28" s="1266"/>
      <c r="GQR28" s="1266"/>
      <c r="GQS28" s="1266"/>
      <c r="GQT28" s="1266"/>
      <c r="GQU28" s="1266"/>
      <c r="GQV28" s="1266"/>
      <c r="GQW28" s="1266"/>
      <c r="GQX28" s="1266"/>
      <c r="GQY28" s="1266"/>
      <c r="GQZ28" s="1266"/>
      <c r="GRA28" s="1266"/>
      <c r="GRB28" s="1266"/>
      <c r="GRC28" s="1266"/>
      <c r="GRD28" s="1266"/>
      <c r="GRE28" s="1266"/>
      <c r="GRF28" s="1266"/>
      <c r="GRG28" s="1266"/>
      <c r="GRH28" s="1266"/>
      <c r="GRI28" s="1266"/>
      <c r="GRJ28" s="1266"/>
      <c r="GRK28" s="1266"/>
      <c r="GRL28" s="1266"/>
      <c r="GRM28" s="1266"/>
      <c r="GRN28" s="1266"/>
      <c r="GRO28" s="1266"/>
      <c r="GRP28" s="1266"/>
      <c r="GRQ28" s="1266"/>
      <c r="GRR28" s="1266"/>
      <c r="GRS28" s="1266"/>
      <c r="GRT28" s="1266"/>
      <c r="GRU28" s="1266"/>
      <c r="GRV28" s="1266"/>
      <c r="GRW28" s="1266"/>
      <c r="GRX28" s="1266"/>
      <c r="GRY28" s="1266"/>
      <c r="GRZ28" s="1266"/>
      <c r="GSA28" s="1266"/>
      <c r="GSB28" s="1266"/>
      <c r="GSC28" s="1266"/>
      <c r="GSD28" s="1266"/>
      <c r="GSE28" s="1266"/>
      <c r="GSF28" s="1266"/>
      <c r="GSG28" s="1266"/>
      <c r="GSH28" s="1266"/>
      <c r="GSI28" s="1266"/>
      <c r="GSJ28" s="1266"/>
      <c r="GSK28" s="1266"/>
      <c r="GSL28" s="1266"/>
      <c r="GSM28" s="1266"/>
      <c r="GSN28" s="1266"/>
      <c r="GSO28" s="1266"/>
      <c r="GSP28" s="1266"/>
      <c r="GSQ28" s="1266"/>
      <c r="GSR28" s="1266"/>
      <c r="GSS28" s="1266"/>
      <c r="GST28" s="1266"/>
      <c r="GSU28" s="1266"/>
      <c r="GSV28" s="1266"/>
      <c r="GSW28" s="1266"/>
      <c r="GSX28" s="1266"/>
      <c r="GSY28" s="1266"/>
      <c r="GSZ28" s="1266"/>
      <c r="GTA28" s="1266"/>
      <c r="GTB28" s="1266"/>
      <c r="GTC28" s="1266"/>
      <c r="GTD28" s="1266"/>
      <c r="GTE28" s="1266"/>
      <c r="GTF28" s="1266"/>
      <c r="GTG28" s="1266"/>
      <c r="GTH28" s="1266"/>
      <c r="GTI28" s="1266"/>
      <c r="GTJ28" s="1266"/>
      <c r="GTK28" s="1266"/>
      <c r="GTL28" s="1266"/>
      <c r="GTM28" s="1266"/>
      <c r="GTN28" s="1266"/>
      <c r="GTO28" s="1266"/>
      <c r="GTP28" s="1266"/>
      <c r="GTQ28" s="1266"/>
      <c r="GTR28" s="1266"/>
      <c r="GTS28" s="1266"/>
      <c r="GTT28" s="1266"/>
      <c r="GTU28" s="1266"/>
      <c r="GTV28" s="1266"/>
      <c r="GTW28" s="1266"/>
      <c r="GTX28" s="1266"/>
      <c r="GTY28" s="1266"/>
      <c r="GTZ28" s="1266"/>
      <c r="GUA28" s="1266"/>
      <c r="GUB28" s="1266"/>
      <c r="GUC28" s="1266"/>
      <c r="GUD28" s="1266"/>
      <c r="GUE28" s="1266"/>
      <c r="GUF28" s="1266"/>
      <c r="GUG28" s="1266"/>
      <c r="GUH28" s="1266"/>
      <c r="GUI28" s="1266"/>
      <c r="GUJ28" s="1266"/>
      <c r="GUK28" s="1266"/>
      <c r="GUL28" s="1266"/>
      <c r="GUM28" s="1266"/>
      <c r="GUN28" s="1266"/>
      <c r="GUO28" s="1266"/>
      <c r="GUP28" s="1266"/>
      <c r="GUQ28" s="1266"/>
      <c r="GUR28" s="1266"/>
      <c r="GUS28" s="1266"/>
      <c r="GUT28" s="1266"/>
      <c r="GUU28" s="1266"/>
      <c r="GUV28" s="1266"/>
      <c r="GUW28" s="1266"/>
      <c r="GUX28" s="1266"/>
      <c r="GUY28" s="1266"/>
      <c r="GUZ28" s="1266"/>
      <c r="GVA28" s="1266"/>
      <c r="GVB28" s="1266"/>
      <c r="GVC28" s="1266"/>
      <c r="GVD28" s="1266"/>
      <c r="GVE28" s="1266"/>
      <c r="GVF28" s="1266"/>
      <c r="GVG28" s="1266"/>
      <c r="GVH28" s="1266"/>
      <c r="GVI28" s="1266"/>
      <c r="GVJ28" s="1266"/>
      <c r="GVK28" s="1266"/>
      <c r="GVL28" s="1266"/>
      <c r="GVM28" s="1266"/>
      <c r="GVN28" s="1266"/>
      <c r="GVO28" s="1266"/>
      <c r="GVP28" s="1266"/>
      <c r="GVQ28" s="1266"/>
      <c r="GVR28" s="1266"/>
      <c r="GVS28" s="1266"/>
      <c r="GVT28" s="1266"/>
      <c r="GVU28" s="1266"/>
      <c r="GVV28" s="1266"/>
      <c r="GVW28" s="1266"/>
      <c r="GVX28" s="1266"/>
      <c r="GVY28" s="1266"/>
      <c r="GVZ28" s="1266"/>
      <c r="GWA28" s="1266"/>
      <c r="GWB28" s="1266"/>
      <c r="GWC28" s="1266"/>
      <c r="GWD28" s="1266"/>
      <c r="GWE28" s="1266"/>
      <c r="GWF28" s="1266"/>
      <c r="GWG28" s="1266"/>
      <c r="GWH28" s="1266"/>
      <c r="GWI28" s="1266"/>
      <c r="GWJ28" s="1266"/>
      <c r="GWK28" s="1266"/>
      <c r="GWL28" s="1266"/>
      <c r="GWM28" s="1266"/>
      <c r="GWN28" s="1266"/>
      <c r="GWO28" s="1266"/>
      <c r="GWP28" s="1266"/>
      <c r="GWQ28" s="1266"/>
      <c r="GWR28" s="1266"/>
      <c r="GWS28" s="1266"/>
      <c r="GWT28" s="1266"/>
      <c r="GWU28" s="1266"/>
      <c r="GWV28" s="1266"/>
      <c r="GWW28" s="1266"/>
      <c r="GWX28" s="1266"/>
      <c r="GWY28" s="1266"/>
      <c r="GWZ28" s="1266"/>
      <c r="GXA28" s="1266"/>
      <c r="GXB28" s="1266"/>
      <c r="GXC28" s="1266"/>
      <c r="GXD28" s="1266"/>
      <c r="GXE28" s="1266"/>
      <c r="GXF28" s="1266"/>
      <c r="GXG28" s="1266"/>
      <c r="GXH28" s="1266"/>
      <c r="GXI28" s="1266"/>
      <c r="GXJ28" s="1266"/>
      <c r="GXK28" s="1266"/>
      <c r="GXL28" s="1266"/>
      <c r="GXM28" s="1266"/>
      <c r="GXN28" s="1266"/>
      <c r="GXO28" s="1266"/>
      <c r="GXP28" s="1266"/>
      <c r="GXQ28" s="1266"/>
      <c r="GXR28" s="1266"/>
      <c r="GXS28" s="1266"/>
      <c r="GXT28" s="1266"/>
      <c r="GXU28" s="1266"/>
      <c r="GXV28" s="1266"/>
      <c r="GXW28" s="1266"/>
      <c r="GXX28" s="1266"/>
      <c r="GXY28" s="1266"/>
      <c r="GXZ28" s="1266"/>
      <c r="GYA28" s="1266"/>
      <c r="GYB28" s="1266"/>
      <c r="GYC28" s="1266"/>
      <c r="GYD28" s="1266"/>
      <c r="GYE28" s="1266"/>
      <c r="GYF28" s="1266"/>
      <c r="GYG28" s="1266"/>
      <c r="GYH28" s="1266"/>
      <c r="GYI28" s="1266"/>
      <c r="GYJ28" s="1266"/>
      <c r="GYK28" s="1266"/>
      <c r="GYL28" s="1266"/>
      <c r="GYM28" s="1266"/>
      <c r="GYN28" s="1266"/>
      <c r="GYO28" s="1266"/>
      <c r="GYP28" s="1266"/>
      <c r="GYQ28" s="1266"/>
      <c r="GYR28" s="1266"/>
      <c r="GYS28" s="1266"/>
      <c r="GYT28" s="1266"/>
      <c r="GYU28" s="1266"/>
      <c r="GYV28" s="1266"/>
      <c r="GYW28" s="1266"/>
      <c r="GYX28" s="1266"/>
      <c r="GYY28" s="1266"/>
      <c r="GYZ28" s="1266"/>
      <c r="GZA28" s="1266"/>
      <c r="GZB28" s="1266"/>
      <c r="GZC28" s="1266"/>
      <c r="GZD28" s="1266"/>
      <c r="GZE28" s="1266"/>
      <c r="GZF28" s="1266"/>
      <c r="GZG28" s="1266"/>
      <c r="GZH28" s="1266"/>
      <c r="GZI28" s="1266"/>
      <c r="GZJ28" s="1266"/>
      <c r="GZK28" s="1266"/>
      <c r="GZL28" s="1266"/>
      <c r="GZM28" s="1266"/>
      <c r="GZN28" s="1266"/>
      <c r="GZO28" s="1266"/>
      <c r="GZP28" s="1266"/>
      <c r="GZQ28" s="1266"/>
      <c r="GZR28" s="1266"/>
      <c r="GZS28" s="1266"/>
      <c r="GZT28" s="1266"/>
      <c r="GZU28" s="1266"/>
      <c r="GZV28" s="1266"/>
      <c r="GZW28" s="1266"/>
      <c r="GZX28" s="1266"/>
      <c r="GZY28" s="1266"/>
      <c r="GZZ28" s="1266"/>
      <c r="HAA28" s="1266"/>
      <c r="HAB28" s="1266"/>
      <c r="HAC28" s="1266"/>
      <c r="HAD28" s="1266"/>
      <c r="HAE28" s="1266"/>
      <c r="HAF28" s="1266"/>
      <c r="HAG28" s="1266"/>
      <c r="HAH28" s="1266"/>
      <c r="HAI28" s="1266"/>
      <c r="HAJ28" s="1266"/>
      <c r="HAK28" s="1266"/>
      <c r="HAL28" s="1266"/>
      <c r="HAM28" s="1266"/>
      <c r="HAN28" s="1266"/>
      <c r="HAO28" s="1266"/>
      <c r="HAP28" s="1266"/>
      <c r="HAQ28" s="1266"/>
      <c r="HAR28" s="1266"/>
      <c r="HAS28" s="1266"/>
      <c r="HAT28" s="1266"/>
      <c r="HAU28" s="1266"/>
      <c r="HAV28" s="1266"/>
      <c r="HAW28" s="1266"/>
      <c r="HAX28" s="1266"/>
      <c r="HAY28" s="1266"/>
      <c r="HAZ28" s="1266"/>
      <c r="HBA28" s="1266"/>
      <c r="HBB28" s="1266"/>
      <c r="HBC28" s="1266"/>
      <c r="HBD28" s="1266"/>
      <c r="HBE28" s="1266"/>
      <c r="HBF28" s="1266"/>
      <c r="HBG28" s="1266"/>
      <c r="HBH28" s="1266"/>
      <c r="HBI28" s="1266"/>
      <c r="HBJ28" s="1266"/>
      <c r="HBK28" s="1266"/>
      <c r="HBL28" s="1266"/>
      <c r="HBM28" s="1266"/>
      <c r="HBN28" s="1266"/>
      <c r="HBO28" s="1266"/>
      <c r="HBP28" s="1266"/>
      <c r="HBQ28" s="1266"/>
      <c r="HBR28" s="1266"/>
      <c r="HBS28" s="1266"/>
      <c r="HBT28" s="1266"/>
      <c r="HBU28" s="1266"/>
      <c r="HBV28" s="1266"/>
      <c r="HBW28" s="1266"/>
      <c r="HBX28" s="1266"/>
      <c r="HBY28" s="1266"/>
      <c r="HBZ28" s="1266"/>
      <c r="HCA28" s="1266"/>
      <c r="HCB28" s="1266"/>
      <c r="HCC28" s="1266"/>
      <c r="HCD28" s="1266"/>
      <c r="HCE28" s="1266"/>
      <c r="HCF28" s="1266"/>
      <c r="HCG28" s="1266"/>
      <c r="HCH28" s="1266"/>
      <c r="HCI28" s="1266"/>
      <c r="HCJ28" s="1266"/>
      <c r="HCK28" s="1266"/>
      <c r="HCL28" s="1266"/>
      <c r="HCM28" s="1266"/>
      <c r="HCN28" s="1266"/>
      <c r="HCO28" s="1266"/>
      <c r="HCP28" s="1266"/>
      <c r="HCQ28" s="1266"/>
      <c r="HCR28" s="1266"/>
      <c r="HCS28" s="1266"/>
      <c r="HCT28" s="1266"/>
      <c r="HCU28" s="1266"/>
      <c r="HCV28" s="1266"/>
      <c r="HCW28" s="1266"/>
      <c r="HCX28" s="1266"/>
      <c r="HCY28" s="1266"/>
      <c r="HCZ28" s="1266"/>
      <c r="HDA28" s="1266"/>
      <c r="HDB28" s="1266"/>
      <c r="HDC28" s="1266"/>
      <c r="HDD28" s="1266"/>
      <c r="HDE28" s="1266"/>
      <c r="HDF28" s="1266"/>
      <c r="HDG28" s="1266"/>
      <c r="HDH28" s="1266"/>
      <c r="HDI28" s="1266"/>
      <c r="HDJ28" s="1266"/>
      <c r="HDK28" s="1266"/>
      <c r="HDL28" s="1266"/>
      <c r="HDM28" s="1266"/>
      <c r="HDN28" s="1266"/>
      <c r="HDO28" s="1266"/>
      <c r="HDP28" s="1266"/>
      <c r="HDQ28" s="1266"/>
      <c r="HDR28" s="1266"/>
      <c r="HDS28" s="1266"/>
      <c r="HDT28" s="1266"/>
      <c r="HDU28" s="1266"/>
      <c r="HDV28" s="1266"/>
      <c r="HDW28" s="1266"/>
      <c r="HDX28" s="1266"/>
      <c r="HDY28" s="1266"/>
      <c r="HDZ28" s="1266"/>
      <c r="HEA28" s="1266"/>
      <c r="HEB28" s="1266"/>
      <c r="HEC28" s="1266"/>
      <c r="HED28" s="1266"/>
      <c r="HEE28" s="1266"/>
      <c r="HEF28" s="1266"/>
      <c r="HEG28" s="1266"/>
      <c r="HEH28" s="1266"/>
      <c r="HEI28" s="1266"/>
      <c r="HEJ28" s="1266"/>
      <c r="HEK28" s="1266"/>
      <c r="HEL28" s="1266"/>
      <c r="HEM28" s="1266"/>
      <c r="HEN28" s="1266"/>
      <c r="HEO28" s="1266"/>
      <c r="HEP28" s="1266"/>
      <c r="HEQ28" s="1266"/>
      <c r="HER28" s="1266"/>
      <c r="HES28" s="1266"/>
      <c r="HET28" s="1266"/>
      <c r="HEU28" s="1266"/>
      <c r="HEV28" s="1266"/>
      <c r="HEW28" s="1266"/>
      <c r="HEX28" s="1266"/>
      <c r="HEY28" s="1266"/>
      <c r="HEZ28" s="1266"/>
      <c r="HFA28" s="1266"/>
      <c r="HFB28" s="1266"/>
      <c r="HFC28" s="1266"/>
      <c r="HFD28" s="1266"/>
      <c r="HFE28" s="1266"/>
      <c r="HFF28" s="1266"/>
      <c r="HFG28" s="1266"/>
      <c r="HFH28" s="1266"/>
      <c r="HFI28" s="1266"/>
      <c r="HFJ28" s="1266"/>
      <c r="HFK28" s="1266"/>
      <c r="HFL28" s="1266"/>
      <c r="HFM28" s="1266"/>
      <c r="HFN28" s="1266"/>
      <c r="HFO28" s="1266"/>
      <c r="HFP28" s="1266"/>
      <c r="HFQ28" s="1266"/>
      <c r="HFR28" s="1266"/>
      <c r="HFS28" s="1266"/>
      <c r="HFT28" s="1266"/>
      <c r="HFU28" s="1266"/>
      <c r="HFV28" s="1266"/>
      <c r="HFW28" s="1266"/>
      <c r="HFX28" s="1266"/>
      <c r="HFY28" s="1266"/>
      <c r="HFZ28" s="1266"/>
      <c r="HGA28" s="1266"/>
      <c r="HGB28" s="1266"/>
      <c r="HGC28" s="1266"/>
      <c r="HGD28" s="1266"/>
      <c r="HGE28" s="1266"/>
      <c r="HGF28" s="1266"/>
      <c r="HGG28" s="1266"/>
      <c r="HGH28" s="1266"/>
      <c r="HGI28" s="1266"/>
      <c r="HGJ28" s="1266"/>
      <c r="HGK28" s="1266"/>
      <c r="HGL28" s="1266"/>
      <c r="HGM28" s="1266"/>
      <c r="HGN28" s="1266"/>
      <c r="HGO28" s="1266"/>
      <c r="HGP28" s="1266"/>
      <c r="HGQ28" s="1266"/>
      <c r="HGR28" s="1266"/>
      <c r="HGS28" s="1266"/>
      <c r="HGT28" s="1266"/>
      <c r="HGU28" s="1266"/>
      <c r="HGV28" s="1266"/>
      <c r="HGW28" s="1266"/>
      <c r="HGX28" s="1266"/>
      <c r="HGY28" s="1266"/>
      <c r="HGZ28" s="1266"/>
      <c r="HHA28" s="1266"/>
      <c r="HHB28" s="1266"/>
      <c r="HHC28" s="1266"/>
      <c r="HHD28" s="1266"/>
      <c r="HHE28" s="1266"/>
      <c r="HHF28" s="1266"/>
      <c r="HHG28" s="1266"/>
      <c r="HHH28" s="1266"/>
      <c r="HHI28" s="1266"/>
      <c r="HHJ28" s="1266"/>
      <c r="HHK28" s="1266"/>
      <c r="HHL28" s="1266"/>
      <c r="HHM28" s="1266"/>
      <c r="HHN28" s="1266"/>
      <c r="HHO28" s="1266"/>
      <c r="HHP28" s="1266"/>
      <c r="HHQ28" s="1266"/>
      <c r="HHR28" s="1266"/>
      <c r="HHS28" s="1266"/>
      <c r="HHT28" s="1266"/>
      <c r="HHU28" s="1266"/>
      <c r="HHV28" s="1266"/>
      <c r="HHW28" s="1266"/>
      <c r="HHX28" s="1266"/>
      <c r="HHY28" s="1266"/>
      <c r="HHZ28" s="1266"/>
      <c r="HIA28" s="1266"/>
      <c r="HIB28" s="1266"/>
      <c r="HIC28" s="1266"/>
      <c r="HID28" s="1266"/>
      <c r="HIE28" s="1266"/>
      <c r="HIF28" s="1266"/>
      <c r="HIG28" s="1266"/>
      <c r="HIH28" s="1266"/>
      <c r="HII28" s="1266"/>
      <c r="HIJ28" s="1266"/>
      <c r="HIK28" s="1266"/>
      <c r="HIL28" s="1266"/>
      <c r="HIM28" s="1266"/>
      <c r="HIN28" s="1266"/>
      <c r="HIO28" s="1266"/>
      <c r="HIP28" s="1266"/>
      <c r="HIQ28" s="1266"/>
      <c r="HIR28" s="1266"/>
      <c r="HIS28" s="1266"/>
      <c r="HIT28" s="1266"/>
      <c r="HIU28" s="1266"/>
      <c r="HIV28" s="1266"/>
      <c r="HIW28" s="1266"/>
      <c r="HIX28" s="1266"/>
      <c r="HIY28" s="1266"/>
      <c r="HIZ28" s="1266"/>
      <c r="HJA28" s="1266"/>
      <c r="HJB28" s="1266"/>
      <c r="HJC28" s="1266"/>
      <c r="HJD28" s="1266"/>
      <c r="HJE28" s="1266"/>
      <c r="HJF28" s="1266"/>
      <c r="HJG28" s="1266"/>
      <c r="HJH28" s="1266"/>
      <c r="HJI28" s="1266"/>
      <c r="HJJ28" s="1266"/>
      <c r="HJK28" s="1266"/>
      <c r="HJL28" s="1266"/>
      <c r="HJM28" s="1266"/>
      <c r="HJN28" s="1266"/>
      <c r="HJO28" s="1266"/>
      <c r="HJP28" s="1266"/>
      <c r="HJQ28" s="1266"/>
      <c r="HJR28" s="1266"/>
      <c r="HJS28" s="1266"/>
      <c r="HJT28" s="1266"/>
      <c r="HJU28" s="1266"/>
      <c r="HJV28" s="1266"/>
      <c r="HJW28" s="1266"/>
      <c r="HJX28" s="1266"/>
      <c r="HJY28" s="1266"/>
      <c r="HJZ28" s="1266"/>
      <c r="HKA28" s="1266"/>
      <c r="HKB28" s="1266"/>
      <c r="HKC28" s="1266"/>
      <c r="HKD28" s="1266"/>
      <c r="HKE28" s="1266"/>
      <c r="HKF28" s="1266"/>
      <c r="HKG28" s="1266"/>
      <c r="HKH28" s="1266"/>
      <c r="HKI28" s="1266"/>
      <c r="HKJ28" s="1266"/>
      <c r="HKK28" s="1266"/>
      <c r="HKL28" s="1266"/>
      <c r="HKM28" s="1266"/>
      <c r="HKN28" s="1266"/>
      <c r="HKO28" s="1266"/>
      <c r="HKP28" s="1266"/>
      <c r="HKQ28" s="1266"/>
      <c r="HKR28" s="1266"/>
      <c r="HKS28" s="1266"/>
      <c r="HKT28" s="1266"/>
      <c r="HKU28" s="1266"/>
      <c r="HKV28" s="1266"/>
      <c r="HKW28" s="1266"/>
      <c r="HKX28" s="1266"/>
      <c r="HKY28" s="1266"/>
      <c r="HKZ28" s="1266"/>
      <c r="HLA28" s="1266"/>
      <c r="HLB28" s="1266"/>
      <c r="HLC28" s="1266"/>
      <c r="HLD28" s="1266"/>
      <c r="HLE28" s="1266"/>
      <c r="HLF28" s="1266"/>
      <c r="HLG28" s="1266"/>
      <c r="HLH28" s="1266"/>
      <c r="HLI28" s="1266"/>
      <c r="HLJ28" s="1266"/>
      <c r="HLK28" s="1266"/>
      <c r="HLL28" s="1266"/>
      <c r="HLM28" s="1266"/>
      <c r="HLN28" s="1266"/>
      <c r="HLO28" s="1266"/>
      <c r="HLP28" s="1266"/>
      <c r="HLQ28" s="1266"/>
      <c r="HLR28" s="1266"/>
      <c r="HLS28" s="1266"/>
      <c r="HLT28" s="1266"/>
      <c r="HLU28" s="1266"/>
      <c r="HLV28" s="1266"/>
      <c r="HLW28" s="1266"/>
      <c r="HLX28" s="1266"/>
      <c r="HLY28" s="1266"/>
      <c r="HLZ28" s="1266"/>
      <c r="HMA28" s="1266"/>
      <c r="HMB28" s="1266"/>
      <c r="HMC28" s="1266"/>
      <c r="HMD28" s="1266"/>
      <c r="HME28" s="1266"/>
      <c r="HMF28" s="1266"/>
      <c r="HMG28" s="1266"/>
      <c r="HMH28" s="1266"/>
      <c r="HMI28" s="1266"/>
      <c r="HMJ28" s="1266"/>
      <c r="HMK28" s="1266"/>
      <c r="HML28" s="1266"/>
      <c r="HMM28" s="1266"/>
      <c r="HMN28" s="1266"/>
      <c r="HMO28" s="1266"/>
      <c r="HMP28" s="1266"/>
      <c r="HMQ28" s="1266"/>
      <c r="HMR28" s="1266"/>
      <c r="HMS28" s="1266"/>
      <c r="HMT28" s="1266"/>
      <c r="HMU28" s="1266"/>
      <c r="HMV28" s="1266"/>
      <c r="HMW28" s="1266"/>
      <c r="HMX28" s="1266"/>
      <c r="HMY28" s="1266"/>
      <c r="HMZ28" s="1266"/>
      <c r="HNA28" s="1266"/>
      <c r="HNB28" s="1266"/>
      <c r="HNC28" s="1266"/>
      <c r="HND28" s="1266"/>
      <c r="HNE28" s="1266"/>
      <c r="HNF28" s="1266"/>
      <c r="HNG28" s="1266"/>
      <c r="HNH28" s="1266"/>
      <c r="HNI28" s="1266"/>
      <c r="HNJ28" s="1266"/>
      <c r="HNK28" s="1266"/>
      <c r="HNL28" s="1266"/>
      <c r="HNM28" s="1266"/>
      <c r="HNN28" s="1266"/>
      <c r="HNO28" s="1266"/>
      <c r="HNP28" s="1266"/>
      <c r="HNQ28" s="1266"/>
      <c r="HNR28" s="1266"/>
      <c r="HNS28" s="1266"/>
      <c r="HNT28" s="1266"/>
      <c r="HNU28" s="1266"/>
      <c r="HNV28" s="1266"/>
      <c r="HNW28" s="1266"/>
      <c r="HNX28" s="1266"/>
      <c r="HNY28" s="1266"/>
      <c r="HNZ28" s="1266"/>
      <c r="HOA28" s="1266"/>
      <c r="HOB28" s="1266"/>
      <c r="HOC28" s="1266"/>
      <c r="HOD28" s="1266"/>
      <c r="HOE28" s="1266"/>
      <c r="HOF28" s="1266"/>
      <c r="HOG28" s="1266"/>
      <c r="HOH28" s="1266"/>
      <c r="HOI28" s="1266"/>
      <c r="HOJ28" s="1266"/>
      <c r="HOK28" s="1266"/>
      <c r="HOL28" s="1266"/>
      <c r="HOM28" s="1266"/>
      <c r="HON28" s="1266"/>
      <c r="HOO28" s="1266"/>
      <c r="HOP28" s="1266"/>
      <c r="HOQ28" s="1266"/>
      <c r="HOR28" s="1266"/>
      <c r="HOS28" s="1266"/>
      <c r="HOT28" s="1266"/>
      <c r="HOU28" s="1266"/>
      <c r="HOV28" s="1266"/>
      <c r="HOW28" s="1266"/>
      <c r="HOX28" s="1266"/>
      <c r="HOY28" s="1266"/>
      <c r="HOZ28" s="1266"/>
      <c r="HPA28" s="1266"/>
      <c r="HPB28" s="1266"/>
      <c r="HPC28" s="1266"/>
      <c r="HPD28" s="1266"/>
      <c r="HPE28" s="1266"/>
      <c r="HPF28" s="1266"/>
      <c r="HPG28" s="1266"/>
      <c r="HPH28" s="1266"/>
      <c r="HPI28" s="1266"/>
      <c r="HPJ28" s="1266"/>
      <c r="HPK28" s="1266"/>
      <c r="HPL28" s="1266"/>
      <c r="HPM28" s="1266"/>
      <c r="HPN28" s="1266"/>
      <c r="HPO28" s="1266"/>
      <c r="HPP28" s="1266"/>
      <c r="HPQ28" s="1266"/>
      <c r="HPR28" s="1266"/>
      <c r="HPS28" s="1266"/>
      <c r="HPT28" s="1266"/>
      <c r="HPU28" s="1266"/>
      <c r="HPV28" s="1266"/>
      <c r="HPW28" s="1266"/>
      <c r="HPX28" s="1266"/>
      <c r="HPY28" s="1266"/>
      <c r="HPZ28" s="1266"/>
      <c r="HQA28" s="1266"/>
      <c r="HQB28" s="1266"/>
      <c r="HQC28" s="1266"/>
      <c r="HQD28" s="1266"/>
      <c r="HQE28" s="1266"/>
      <c r="HQF28" s="1266"/>
      <c r="HQG28" s="1266"/>
      <c r="HQH28" s="1266"/>
      <c r="HQI28" s="1266"/>
      <c r="HQJ28" s="1266"/>
      <c r="HQK28" s="1266"/>
      <c r="HQL28" s="1266"/>
      <c r="HQM28" s="1266"/>
      <c r="HQN28" s="1266"/>
      <c r="HQO28" s="1266"/>
      <c r="HQP28" s="1266"/>
      <c r="HQQ28" s="1266"/>
      <c r="HQR28" s="1266"/>
      <c r="HQS28" s="1266"/>
      <c r="HQT28" s="1266"/>
      <c r="HQU28" s="1266"/>
      <c r="HQV28" s="1266"/>
      <c r="HQW28" s="1266"/>
      <c r="HQX28" s="1266"/>
      <c r="HQY28" s="1266"/>
      <c r="HQZ28" s="1266"/>
      <c r="HRA28" s="1266"/>
      <c r="HRB28" s="1266"/>
      <c r="HRC28" s="1266"/>
      <c r="HRD28" s="1266"/>
      <c r="HRE28" s="1266"/>
      <c r="HRF28" s="1266"/>
      <c r="HRG28" s="1266"/>
      <c r="HRH28" s="1266"/>
      <c r="HRI28" s="1266"/>
      <c r="HRJ28" s="1266"/>
      <c r="HRK28" s="1266"/>
      <c r="HRL28" s="1266"/>
      <c r="HRM28" s="1266"/>
      <c r="HRN28" s="1266"/>
      <c r="HRO28" s="1266"/>
      <c r="HRP28" s="1266"/>
      <c r="HRQ28" s="1266"/>
      <c r="HRR28" s="1266"/>
      <c r="HRS28" s="1266"/>
      <c r="HRT28" s="1266"/>
      <c r="HRU28" s="1266"/>
      <c r="HRV28" s="1266"/>
      <c r="HRW28" s="1266"/>
      <c r="HRX28" s="1266"/>
      <c r="HRY28" s="1266"/>
      <c r="HRZ28" s="1266"/>
      <c r="HSA28" s="1266"/>
      <c r="HSB28" s="1266"/>
      <c r="HSC28" s="1266"/>
      <c r="HSD28" s="1266"/>
      <c r="HSE28" s="1266"/>
      <c r="HSF28" s="1266"/>
      <c r="HSG28" s="1266"/>
      <c r="HSH28" s="1266"/>
      <c r="HSI28" s="1266"/>
      <c r="HSJ28" s="1266"/>
      <c r="HSK28" s="1266"/>
      <c r="HSL28" s="1266"/>
      <c r="HSM28" s="1266"/>
      <c r="HSN28" s="1266"/>
      <c r="HSO28" s="1266"/>
      <c r="HSP28" s="1266"/>
      <c r="HSQ28" s="1266"/>
      <c r="HSR28" s="1266"/>
      <c r="HSS28" s="1266"/>
      <c r="HST28" s="1266"/>
      <c r="HSU28" s="1266"/>
      <c r="HSV28" s="1266"/>
      <c r="HSW28" s="1266"/>
      <c r="HSX28" s="1266"/>
      <c r="HSY28" s="1266"/>
      <c r="HSZ28" s="1266"/>
      <c r="HTA28" s="1266"/>
      <c r="HTB28" s="1266"/>
      <c r="HTC28" s="1266"/>
      <c r="HTD28" s="1266"/>
      <c r="HTE28" s="1266"/>
      <c r="HTF28" s="1266"/>
      <c r="HTG28" s="1266"/>
      <c r="HTH28" s="1266"/>
      <c r="HTI28" s="1266"/>
      <c r="HTJ28" s="1266"/>
      <c r="HTK28" s="1266"/>
      <c r="HTL28" s="1266"/>
      <c r="HTM28" s="1266"/>
      <c r="HTN28" s="1266"/>
      <c r="HTO28" s="1266"/>
      <c r="HTP28" s="1266"/>
      <c r="HTQ28" s="1266"/>
      <c r="HTR28" s="1266"/>
      <c r="HTS28" s="1266"/>
      <c r="HTT28" s="1266"/>
      <c r="HTU28" s="1266"/>
      <c r="HTV28" s="1266"/>
      <c r="HTW28" s="1266"/>
      <c r="HTX28" s="1266"/>
      <c r="HTY28" s="1266"/>
      <c r="HTZ28" s="1266"/>
      <c r="HUA28" s="1266"/>
      <c r="HUB28" s="1266"/>
      <c r="HUC28" s="1266"/>
      <c r="HUD28" s="1266"/>
      <c r="HUE28" s="1266"/>
      <c r="HUF28" s="1266"/>
      <c r="HUG28" s="1266"/>
      <c r="HUH28" s="1266"/>
      <c r="HUI28" s="1266"/>
      <c r="HUJ28" s="1266"/>
      <c r="HUK28" s="1266"/>
      <c r="HUL28" s="1266"/>
      <c r="HUM28" s="1266"/>
      <c r="HUN28" s="1266"/>
      <c r="HUO28" s="1266"/>
      <c r="HUP28" s="1266"/>
      <c r="HUQ28" s="1266"/>
      <c r="HUR28" s="1266"/>
      <c r="HUS28" s="1266"/>
      <c r="HUT28" s="1266"/>
      <c r="HUU28" s="1266"/>
      <c r="HUV28" s="1266"/>
      <c r="HUW28" s="1266"/>
      <c r="HUX28" s="1266"/>
      <c r="HUY28" s="1266"/>
      <c r="HUZ28" s="1266"/>
      <c r="HVA28" s="1266"/>
      <c r="HVB28" s="1266"/>
      <c r="HVC28" s="1266"/>
      <c r="HVD28" s="1266"/>
      <c r="HVE28" s="1266"/>
      <c r="HVF28" s="1266"/>
      <c r="HVG28" s="1266"/>
      <c r="HVH28" s="1266"/>
      <c r="HVI28" s="1266"/>
      <c r="HVJ28" s="1266"/>
      <c r="HVK28" s="1266"/>
      <c r="HVL28" s="1266"/>
      <c r="HVM28" s="1266"/>
      <c r="HVN28" s="1266"/>
      <c r="HVO28" s="1266"/>
      <c r="HVP28" s="1266"/>
      <c r="HVQ28" s="1266"/>
      <c r="HVR28" s="1266"/>
      <c r="HVS28" s="1266"/>
      <c r="HVT28" s="1266"/>
      <c r="HVU28" s="1266"/>
      <c r="HVV28" s="1266"/>
      <c r="HVW28" s="1266"/>
      <c r="HVX28" s="1266"/>
      <c r="HVY28" s="1266"/>
      <c r="HVZ28" s="1266"/>
      <c r="HWA28" s="1266"/>
      <c r="HWB28" s="1266"/>
      <c r="HWC28" s="1266"/>
      <c r="HWD28" s="1266"/>
      <c r="HWE28" s="1266"/>
      <c r="HWF28" s="1266"/>
      <c r="HWG28" s="1266"/>
      <c r="HWH28" s="1266"/>
      <c r="HWI28" s="1266"/>
      <c r="HWJ28" s="1266"/>
      <c r="HWK28" s="1266"/>
      <c r="HWL28" s="1266"/>
      <c r="HWM28" s="1266"/>
      <c r="HWN28" s="1266"/>
      <c r="HWO28" s="1266"/>
      <c r="HWP28" s="1266"/>
      <c r="HWQ28" s="1266"/>
      <c r="HWR28" s="1266"/>
      <c r="HWS28" s="1266"/>
      <c r="HWT28" s="1266"/>
      <c r="HWU28" s="1266"/>
      <c r="HWV28" s="1266"/>
      <c r="HWW28" s="1266"/>
      <c r="HWX28" s="1266"/>
      <c r="HWY28" s="1266"/>
      <c r="HWZ28" s="1266"/>
      <c r="HXA28" s="1266"/>
      <c r="HXB28" s="1266"/>
      <c r="HXC28" s="1266"/>
      <c r="HXD28" s="1266"/>
      <c r="HXE28" s="1266"/>
      <c r="HXF28" s="1266"/>
      <c r="HXG28" s="1266"/>
      <c r="HXH28" s="1266"/>
      <c r="HXI28" s="1266"/>
      <c r="HXJ28" s="1266"/>
      <c r="HXK28" s="1266"/>
      <c r="HXL28" s="1266"/>
      <c r="HXM28" s="1266"/>
      <c r="HXN28" s="1266"/>
      <c r="HXO28" s="1266"/>
      <c r="HXP28" s="1266"/>
      <c r="HXQ28" s="1266"/>
      <c r="HXR28" s="1266"/>
      <c r="HXS28" s="1266"/>
      <c r="HXT28" s="1266"/>
      <c r="HXU28" s="1266"/>
      <c r="HXV28" s="1266"/>
      <c r="HXW28" s="1266"/>
      <c r="HXX28" s="1266"/>
      <c r="HXY28" s="1266"/>
      <c r="HXZ28" s="1266"/>
      <c r="HYA28" s="1266"/>
      <c r="HYB28" s="1266"/>
      <c r="HYC28" s="1266"/>
      <c r="HYD28" s="1266"/>
      <c r="HYE28" s="1266"/>
      <c r="HYF28" s="1266"/>
      <c r="HYG28" s="1266"/>
      <c r="HYH28" s="1266"/>
      <c r="HYI28" s="1266"/>
      <c r="HYJ28" s="1266"/>
      <c r="HYK28" s="1266"/>
      <c r="HYL28" s="1266"/>
      <c r="HYM28" s="1266"/>
      <c r="HYN28" s="1266"/>
      <c r="HYO28" s="1266"/>
      <c r="HYP28" s="1266"/>
      <c r="HYQ28" s="1266"/>
      <c r="HYR28" s="1266"/>
      <c r="HYS28" s="1266"/>
      <c r="HYT28" s="1266"/>
      <c r="HYU28" s="1266"/>
      <c r="HYV28" s="1266"/>
      <c r="HYW28" s="1266"/>
      <c r="HYX28" s="1266"/>
      <c r="HYY28" s="1266"/>
      <c r="HYZ28" s="1266"/>
      <c r="HZA28" s="1266"/>
      <c r="HZB28" s="1266"/>
      <c r="HZC28" s="1266"/>
      <c r="HZD28" s="1266"/>
      <c r="HZE28" s="1266"/>
      <c r="HZF28" s="1266"/>
      <c r="HZG28" s="1266"/>
      <c r="HZH28" s="1266"/>
      <c r="HZI28" s="1266"/>
      <c r="HZJ28" s="1266"/>
      <c r="HZK28" s="1266"/>
      <c r="HZL28" s="1266"/>
      <c r="HZM28" s="1266"/>
      <c r="HZN28" s="1266"/>
      <c r="HZO28" s="1266"/>
      <c r="HZP28" s="1266"/>
      <c r="HZQ28" s="1266"/>
      <c r="HZR28" s="1266"/>
      <c r="HZS28" s="1266"/>
      <c r="HZT28" s="1266"/>
      <c r="HZU28" s="1266"/>
      <c r="HZV28" s="1266"/>
      <c r="HZW28" s="1266"/>
      <c r="HZX28" s="1266"/>
      <c r="HZY28" s="1266"/>
      <c r="HZZ28" s="1266"/>
      <c r="IAA28" s="1266"/>
      <c r="IAB28" s="1266"/>
      <c r="IAC28" s="1266"/>
      <c r="IAD28" s="1266"/>
      <c r="IAE28" s="1266"/>
      <c r="IAF28" s="1266"/>
      <c r="IAG28" s="1266"/>
      <c r="IAH28" s="1266"/>
      <c r="IAI28" s="1266"/>
      <c r="IAJ28" s="1266"/>
      <c r="IAK28" s="1266"/>
      <c r="IAL28" s="1266"/>
      <c r="IAM28" s="1266"/>
      <c r="IAN28" s="1266"/>
      <c r="IAO28" s="1266"/>
      <c r="IAP28" s="1266"/>
      <c r="IAQ28" s="1266"/>
      <c r="IAR28" s="1266"/>
      <c r="IAS28" s="1266"/>
      <c r="IAT28" s="1266"/>
      <c r="IAU28" s="1266"/>
      <c r="IAV28" s="1266"/>
      <c r="IAW28" s="1266"/>
      <c r="IAX28" s="1266"/>
      <c r="IAY28" s="1266"/>
      <c r="IAZ28" s="1266"/>
      <c r="IBA28" s="1266"/>
      <c r="IBB28" s="1266"/>
      <c r="IBC28" s="1266"/>
      <c r="IBD28" s="1266"/>
      <c r="IBE28" s="1266"/>
      <c r="IBF28" s="1266"/>
      <c r="IBG28" s="1266"/>
      <c r="IBH28" s="1266"/>
      <c r="IBI28" s="1266"/>
      <c r="IBJ28" s="1266"/>
      <c r="IBK28" s="1266"/>
      <c r="IBL28" s="1266"/>
      <c r="IBM28" s="1266"/>
      <c r="IBN28" s="1266"/>
      <c r="IBO28" s="1266"/>
      <c r="IBP28" s="1266"/>
      <c r="IBQ28" s="1266"/>
      <c r="IBR28" s="1266"/>
      <c r="IBS28" s="1266"/>
      <c r="IBT28" s="1266"/>
      <c r="IBU28" s="1266"/>
      <c r="IBV28" s="1266"/>
      <c r="IBW28" s="1266"/>
      <c r="IBX28" s="1266"/>
      <c r="IBY28" s="1266"/>
      <c r="IBZ28" s="1266"/>
      <c r="ICA28" s="1266"/>
      <c r="ICB28" s="1266"/>
      <c r="ICC28" s="1266"/>
      <c r="ICD28" s="1266"/>
      <c r="ICE28" s="1266"/>
      <c r="ICF28" s="1266"/>
      <c r="ICG28" s="1266"/>
      <c r="ICH28" s="1266"/>
      <c r="ICI28" s="1266"/>
      <c r="ICJ28" s="1266"/>
      <c r="ICK28" s="1266"/>
      <c r="ICL28" s="1266"/>
      <c r="ICM28" s="1266"/>
      <c r="ICN28" s="1266"/>
      <c r="ICO28" s="1266"/>
      <c r="ICP28" s="1266"/>
      <c r="ICQ28" s="1266"/>
      <c r="ICR28" s="1266"/>
      <c r="ICS28" s="1266"/>
      <c r="ICT28" s="1266"/>
      <c r="ICU28" s="1266"/>
      <c r="ICV28" s="1266"/>
      <c r="ICW28" s="1266"/>
      <c r="ICX28" s="1266"/>
      <c r="ICY28" s="1266"/>
      <c r="ICZ28" s="1266"/>
      <c r="IDA28" s="1266"/>
      <c r="IDB28" s="1266"/>
      <c r="IDC28" s="1266"/>
      <c r="IDD28" s="1266"/>
      <c r="IDE28" s="1266"/>
      <c r="IDF28" s="1266"/>
      <c r="IDG28" s="1266"/>
      <c r="IDH28" s="1266"/>
      <c r="IDI28" s="1266"/>
      <c r="IDJ28" s="1266"/>
      <c r="IDK28" s="1266"/>
      <c r="IDL28" s="1266"/>
      <c r="IDM28" s="1266"/>
      <c r="IDN28" s="1266"/>
      <c r="IDO28" s="1266"/>
      <c r="IDP28" s="1266"/>
      <c r="IDQ28" s="1266"/>
      <c r="IDR28" s="1266"/>
      <c r="IDS28" s="1266"/>
      <c r="IDT28" s="1266"/>
      <c r="IDU28" s="1266"/>
      <c r="IDV28" s="1266"/>
      <c r="IDW28" s="1266"/>
      <c r="IDX28" s="1266"/>
      <c r="IDY28" s="1266"/>
      <c r="IDZ28" s="1266"/>
      <c r="IEA28" s="1266"/>
      <c r="IEB28" s="1266"/>
      <c r="IEC28" s="1266"/>
      <c r="IED28" s="1266"/>
      <c r="IEE28" s="1266"/>
      <c r="IEF28" s="1266"/>
      <c r="IEG28" s="1266"/>
      <c r="IEH28" s="1266"/>
      <c r="IEI28" s="1266"/>
      <c r="IEJ28" s="1266"/>
      <c r="IEK28" s="1266"/>
      <c r="IEL28" s="1266"/>
      <c r="IEM28" s="1266"/>
      <c r="IEN28" s="1266"/>
      <c r="IEO28" s="1266"/>
      <c r="IEP28" s="1266"/>
      <c r="IEQ28" s="1266"/>
      <c r="IER28" s="1266"/>
      <c r="IES28" s="1266"/>
      <c r="IET28" s="1266"/>
      <c r="IEU28" s="1266"/>
      <c r="IEV28" s="1266"/>
      <c r="IEW28" s="1266"/>
      <c r="IEX28" s="1266"/>
      <c r="IEY28" s="1266"/>
      <c r="IEZ28" s="1266"/>
      <c r="IFA28" s="1266"/>
      <c r="IFB28" s="1266"/>
      <c r="IFC28" s="1266"/>
      <c r="IFD28" s="1266"/>
      <c r="IFE28" s="1266"/>
      <c r="IFF28" s="1266"/>
      <c r="IFG28" s="1266"/>
      <c r="IFH28" s="1266"/>
      <c r="IFI28" s="1266"/>
      <c r="IFJ28" s="1266"/>
      <c r="IFK28" s="1266"/>
      <c r="IFL28" s="1266"/>
      <c r="IFM28" s="1266"/>
      <c r="IFN28" s="1266"/>
      <c r="IFO28" s="1266"/>
      <c r="IFP28" s="1266"/>
      <c r="IFQ28" s="1266"/>
      <c r="IFR28" s="1266"/>
      <c r="IFS28" s="1266"/>
      <c r="IFT28" s="1266"/>
      <c r="IFU28" s="1266"/>
      <c r="IFV28" s="1266"/>
      <c r="IFW28" s="1266"/>
      <c r="IFX28" s="1266"/>
      <c r="IFY28" s="1266"/>
      <c r="IFZ28" s="1266"/>
      <c r="IGA28" s="1266"/>
      <c r="IGB28" s="1266"/>
      <c r="IGC28" s="1266"/>
      <c r="IGD28" s="1266"/>
      <c r="IGE28" s="1266"/>
      <c r="IGF28" s="1266"/>
      <c r="IGG28" s="1266"/>
      <c r="IGH28" s="1266"/>
      <c r="IGI28" s="1266"/>
      <c r="IGJ28" s="1266"/>
      <c r="IGK28" s="1266"/>
      <c r="IGL28" s="1266"/>
      <c r="IGM28" s="1266"/>
      <c r="IGN28" s="1266"/>
      <c r="IGO28" s="1266"/>
      <c r="IGP28" s="1266"/>
      <c r="IGQ28" s="1266"/>
      <c r="IGR28" s="1266"/>
      <c r="IGS28" s="1266"/>
      <c r="IGT28" s="1266"/>
      <c r="IGU28" s="1266"/>
      <c r="IGV28" s="1266"/>
      <c r="IGW28" s="1266"/>
      <c r="IGX28" s="1266"/>
      <c r="IGY28" s="1266"/>
      <c r="IGZ28" s="1266"/>
      <c r="IHA28" s="1266"/>
      <c r="IHB28" s="1266"/>
      <c r="IHC28" s="1266"/>
      <c r="IHD28" s="1266"/>
      <c r="IHE28" s="1266"/>
      <c r="IHF28" s="1266"/>
      <c r="IHG28" s="1266"/>
      <c r="IHH28" s="1266"/>
      <c r="IHI28" s="1266"/>
      <c r="IHJ28" s="1266"/>
      <c r="IHK28" s="1266"/>
      <c r="IHL28" s="1266"/>
      <c r="IHM28" s="1266"/>
      <c r="IHN28" s="1266"/>
      <c r="IHO28" s="1266"/>
      <c r="IHP28" s="1266"/>
      <c r="IHQ28" s="1266"/>
      <c r="IHR28" s="1266"/>
      <c r="IHS28" s="1266"/>
      <c r="IHT28" s="1266"/>
      <c r="IHU28" s="1266"/>
      <c r="IHV28" s="1266"/>
      <c r="IHW28" s="1266"/>
      <c r="IHX28" s="1266"/>
      <c r="IHY28" s="1266"/>
      <c r="IHZ28" s="1266"/>
      <c r="IIA28" s="1266"/>
      <c r="IIB28" s="1266"/>
      <c r="IIC28" s="1266"/>
      <c r="IID28" s="1266"/>
      <c r="IIE28" s="1266"/>
      <c r="IIF28" s="1266"/>
      <c r="IIG28" s="1266"/>
      <c r="IIH28" s="1266"/>
      <c r="III28" s="1266"/>
      <c r="IIJ28" s="1266"/>
      <c r="IIK28" s="1266"/>
      <c r="IIL28" s="1266"/>
      <c r="IIM28" s="1266"/>
      <c r="IIN28" s="1266"/>
      <c r="IIO28" s="1266"/>
      <c r="IIP28" s="1266"/>
      <c r="IIQ28" s="1266"/>
      <c r="IIR28" s="1266"/>
      <c r="IIS28" s="1266"/>
      <c r="IIT28" s="1266"/>
      <c r="IIU28" s="1266"/>
      <c r="IIV28" s="1266"/>
      <c r="IIW28" s="1266"/>
      <c r="IIX28" s="1266"/>
      <c r="IIY28" s="1266"/>
      <c r="IIZ28" s="1266"/>
      <c r="IJA28" s="1266"/>
      <c r="IJB28" s="1266"/>
      <c r="IJC28" s="1266"/>
      <c r="IJD28" s="1266"/>
      <c r="IJE28" s="1266"/>
      <c r="IJF28" s="1266"/>
      <c r="IJG28" s="1266"/>
      <c r="IJH28" s="1266"/>
      <c r="IJI28" s="1266"/>
      <c r="IJJ28" s="1266"/>
      <c r="IJK28" s="1266"/>
      <c r="IJL28" s="1266"/>
      <c r="IJM28" s="1266"/>
      <c r="IJN28" s="1266"/>
      <c r="IJO28" s="1266"/>
      <c r="IJP28" s="1266"/>
      <c r="IJQ28" s="1266"/>
      <c r="IJR28" s="1266"/>
      <c r="IJS28" s="1266"/>
      <c r="IJT28" s="1266"/>
      <c r="IJU28" s="1266"/>
      <c r="IJV28" s="1266"/>
      <c r="IJW28" s="1266"/>
      <c r="IJX28" s="1266"/>
      <c r="IJY28" s="1266"/>
      <c r="IJZ28" s="1266"/>
      <c r="IKA28" s="1266"/>
      <c r="IKB28" s="1266"/>
      <c r="IKC28" s="1266"/>
      <c r="IKD28" s="1266"/>
      <c r="IKE28" s="1266"/>
      <c r="IKF28" s="1266"/>
      <c r="IKG28" s="1266"/>
      <c r="IKH28" s="1266"/>
      <c r="IKI28" s="1266"/>
      <c r="IKJ28" s="1266"/>
      <c r="IKK28" s="1266"/>
      <c r="IKL28" s="1266"/>
      <c r="IKM28" s="1266"/>
      <c r="IKN28" s="1266"/>
      <c r="IKO28" s="1266"/>
      <c r="IKP28" s="1266"/>
      <c r="IKQ28" s="1266"/>
      <c r="IKR28" s="1266"/>
      <c r="IKS28" s="1266"/>
      <c r="IKT28" s="1266"/>
      <c r="IKU28" s="1266"/>
      <c r="IKV28" s="1266"/>
      <c r="IKW28" s="1266"/>
      <c r="IKX28" s="1266"/>
      <c r="IKY28" s="1266"/>
      <c r="IKZ28" s="1266"/>
      <c r="ILA28" s="1266"/>
      <c r="ILB28" s="1266"/>
      <c r="ILC28" s="1266"/>
      <c r="ILD28" s="1266"/>
      <c r="ILE28" s="1266"/>
      <c r="ILF28" s="1266"/>
      <c r="ILG28" s="1266"/>
      <c r="ILH28" s="1266"/>
      <c r="ILI28" s="1266"/>
      <c r="ILJ28" s="1266"/>
      <c r="ILK28" s="1266"/>
      <c r="ILL28" s="1266"/>
      <c r="ILM28" s="1266"/>
      <c r="ILN28" s="1266"/>
      <c r="ILO28" s="1266"/>
      <c r="ILP28" s="1266"/>
      <c r="ILQ28" s="1266"/>
      <c r="ILR28" s="1266"/>
      <c r="ILS28" s="1266"/>
      <c r="ILT28" s="1266"/>
      <c r="ILU28" s="1266"/>
      <c r="ILV28" s="1266"/>
      <c r="ILW28" s="1266"/>
      <c r="ILX28" s="1266"/>
      <c r="ILY28" s="1266"/>
      <c r="ILZ28" s="1266"/>
      <c r="IMA28" s="1266"/>
      <c r="IMB28" s="1266"/>
      <c r="IMC28" s="1266"/>
      <c r="IMD28" s="1266"/>
      <c r="IME28" s="1266"/>
      <c r="IMF28" s="1266"/>
      <c r="IMG28" s="1266"/>
      <c r="IMH28" s="1266"/>
      <c r="IMI28" s="1266"/>
      <c r="IMJ28" s="1266"/>
      <c r="IMK28" s="1266"/>
      <c r="IML28" s="1266"/>
      <c r="IMM28" s="1266"/>
      <c r="IMN28" s="1266"/>
      <c r="IMO28" s="1266"/>
      <c r="IMP28" s="1266"/>
      <c r="IMQ28" s="1266"/>
      <c r="IMR28" s="1266"/>
      <c r="IMS28" s="1266"/>
      <c r="IMT28" s="1266"/>
      <c r="IMU28" s="1266"/>
      <c r="IMV28" s="1266"/>
      <c r="IMW28" s="1266"/>
      <c r="IMX28" s="1266"/>
      <c r="IMY28" s="1266"/>
      <c r="IMZ28" s="1266"/>
      <c r="INA28" s="1266"/>
      <c r="INB28" s="1266"/>
      <c r="INC28" s="1266"/>
      <c r="IND28" s="1266"/>
      <c r="INE28" s="1266"/>
      <c r="INF28" s="1266"/>
      <c r="ING28" s="1266"/>
      <c r="INH28" s="1266"/>
      <c r="INI28" s="1266"/>
      <c r="INJ28" s="1266"/>
      <c r="INK28" s="1266"/>
      <c r="INL28" s="1266"/>
      <c r="INM28" s="1266"/>
      <c r="INN28" s="1266"/>
      <c r="INO28" s="1266"/>
      <c r="INP28" s="1266"/>
      <c r="INQ28" s="1266"/>
      <c r="INR28" s="1266"/>
      <c r="INS28" s="1266"/>
      <c r="INT28" s="1266"/>
      <c r="INU28" s="1266"/>
      <c r="INV28" s="1266"/>
      <c r="INW28" s="1266"/>
      <c r="INX28" s="1266"/>
      <c r="INY28" s="1266"/>
      <c r="INZ28" s="1266"/>
      <c r="IOA28" s="1266"/>
      <c r="IOB28" s="1266"/>
      <c r="IOC28" s="1266"/>
      <c r="IOD28" s="1266"/>
      <c r="IOE28" s="1266"/>
      <c r="IOF28" s="1266"/>
      <c r="IOG28" s="1266"/>
      <c r="IOH28" s="1266"/>
      <c r="IOI28" s="1266"/>
      <c r="IOJ28" s="1266"/>
      <c r="IOK28" s="1266"/>
      <c r="IOL28" s="1266"/>
      <c r="IOM28" s="1266"/>
      <c r="ION28" s="1266"/>
      <c r="IOO28" s="1266"/>
      <c r="IOP28" s="1266"/>
      <c r="IOQ28" s="1266"/>
      <c r="IOR28" s="1266"/>
      <c r="IOS28" s="1266"/>
      <c r="IOT28" s="1266"/>
      <c r="IOU28" s="1266"/>
      <c r="IOV28" s="1266"/>
      <c r="IOW28" s="1266"/>
      <c r="IOX28" s="1266"/>
      <c r="IOY28" s="1266"/>
      <c r="IOZ28" s="1266"/>
      <c r="IPA28" s="1266"/>
      <c r="IPB28" s="1266"/>
      <c r="IPC28" s="1266"/>
      <c r="IPD28" s="1266"/>
      <c r="IPE28" s="1266"/>
      <c r="IPF28" s="1266"/>
      <c r="IPG28" s="1266"/>
      <c r="IPH28" s="1266"/>
      <c r="IPI28" s="1266"/>
      <c r="IPJ28" s="1266"/>
      <c r="IPK28" s="1266"/>
      <c r="IPL28" s="1266"/>
      <c r="IPM28" s="1266"/>
      <c r="IPN28" s="1266"/>
      <c r="IPO28" s="1266"/>
      <c r="IPP28" s="1266"/>
      <c r="IPQ28" s="1266"/>
      <c r="IPR28" s="1266"/>
      <c r="IPS28" s="1266"/>
      <c r="IPT28" s="1266"/>
      <c r="IPU28" s="1266"/>
      <c r="IPV28" s="1266"/>
      <c r="IPW28" s="1266"/>
      <c r="IPX28" s="1266"/>
      <c r="IPY28" s="1266"/>
      <c r="IPZ28" s="1266"/>
      <c r="IQA28" s="1266"/>
      <c r="IQB28" s="1266"/>
      <c r="IQC28" s="1266"/>
      <c r="IQD28" s="1266"/>
      <c r="IQE28" s="1266"/>
      <c r="IQF28" s="1266"/>
      <c r="IQG28" s="1266"/>
      <c r="IQH28" s="1266"/>
      <c r="IQI28" s="1266"/>
      <c r="IQJ28" s="1266"/>
      <c r="IQK28" s="1266"/>
      <c r="IQL28" s="1266"/>
      <c r="IQM28" s="1266"/>
      <c r="IQN28" s="1266"/>
      <c r="IQO28" s="1266"/>
      <c r="IQP28" s="1266"/>
      <c r="IQQ28" s="1266"/>
      <c r="IQR28" s="1266"/>
      <c r="IQS28" s="1266"/>
      <c r="IQT28" s="1266"/>
      <c r="IQU28" s="1266"/>
      <c r="IQV28" s="1266"/>
      <c r="IQW28" s="1266"/>
      <c r="IQX28" s="1266"/>
      <c r="IQY28" s="1266"/>
      <c r="IQZ28" s="1266"/>
      <c r="IRA28" s="1266"/>
      <c r="IRB28" s="1266"/>
      <c r="IRC28" s="1266"/>
      <c r="IRD28" s="1266"/>
      <c r="IRE28" s="1266"/>
      <c r="IRF28" s="1266"/>
      <c r="IRG28" s="1266"/>
      <c r="IRH28" s="1266"/>
      <c r="IRI28" s="1266"/>
      <c r="IRJ28" s="1266"/>
      <c r="IRK28" s="1266"/>
      <c r="IRL28" s="1266"/>
      <c r="IRM28" s="1266"/>
      <c r="IRN28" s="1266"/>
      <c r="IRO28" s="1266"/>
      <c r="IRP28" s="1266"/>
      <c r="IRQ28" s="1266"/>
      <c r="IRR28" s="1266"/>
      <c r="IRS28" s="1266"/>
      <c r="IRT28" s="1266"/>
      <c r="IRU28" s="1266"/>
      <c r="IRV28" s="1266"/>
      <c r="IRW28" s="1266"/>
      <c r="IRX28" s="1266"/>
      <c r="IRY28" s="1266"/>
      <c r="IRZ28" s="1266"/>
      <c r="ISA28" s="1266"/>
      <c r="ISB28" s="1266"/>
      <c r="ISC28" s="1266"/>
      <c r="ISD28" s="1266"/>
      <c r="ISE28" s="1266"/>
      <c r="ISF28" s="1266"/>
      <c r="ISG28" s="1266"/>
      <c r="ISH28" s="1266"/>
      <c r="ISI28" s="1266"/>
      <c r="ISJ28" s="1266"/>
      <c r="ISK28" s="1266"/>
      <c r="ISL28" s="1266"/>
      <c r="ISM28" s="1266"/>
      <c r="ISN28" s="1266"/>
      <c r="ISO28" s="1266"/>
      <c r="ISP28" s="1266"/>
      <c r="ISQ28" s="1266"/>
      <c r="ISR28" s="1266"/>
      <c r="ISS28" s="1266"/>
      <c r="IST28" s="1266"/>
      <c r="ISU28" s="1266"/>
      <c r="ISV28" s="1266"/>
      <c r="ISW28" s="1266"/>
      <c r="ISX28" s="1266"/>
      <c r="ISY28" s="1266"/>
      <c r="ISZ28" s="1266"/>
      <c r="ITA28" s="1266"/>
      <c r="ITB28" s="1266"/>
      <c r="ITC28" s="1266"/>
      <c r="ITD28" s="1266"/>
      <c r="ITE28" s="1266"/>
      <c r="ITF28" s="1266"/>
      <c r="ITG28" s="1266"/>
      <c r="ITH28" s="1266"/>
      <c r="ITI28" s="1266"/>
      <c r="ITJ28" s="1266"/>
      <c r="ITK28" s="1266"/>
      <c r="ITL28" s="1266"/>
      <c r="ITM28" s="1266"/>
      <c r="ITN28" s="1266"/>
      <c r="ITO28" s="1266"/>
      <c r="ITP28" s="1266"/>
      <c r="ITQ28" s="1266"/>
      <c r="ITR28" s="1266"/>
      <c r="ITS28" s="1266"/>
      <c r="ITT28" s="1266"/>
      <c r="ITU28" s="1266"/>
      <c r="ITV28" s="1266"/>
      <c r="ITW28" s="1266"/>
      <c r="ITX28" s="1266"/>
      <c r="ITY28" s="1266"/>
      <c r="ITZ28" s="1266"/>
      <c r="IUA28" s="1266"/>
      <c r="IUB28" s="1266"/>
      <c r="IUC28" s="1266"/>
      <c r="IUD28" s="1266"/>
      <c r="IUE28" s="1266"/>
      <c r="IUF28" s="1266"/>
      <c r="IUG28" s="1266"/>
      <c r="IUH28" s="1266"/>
      <c r="IUI28" s="1266"/>
      <c r="IUJ28" s="1266"/>
      <c r="IUK28" s="1266"/>
      <c r="IUL28" s="1266"/>
      <c r="IUM28" s="1266"/>
      <c r="IUN28" s="1266"/>
      <c r="IUO28" s="1266"/>
      <c r="IUP28" s="1266"/>
      <c r="IUQ28" s="1266"/>
      <c r="IUR28" s="1266"/>
      <c r="IUS28" s="1266"/>
      <c r="IUT28" s="1266"/>
      <c r="IUU28" s="1266"/>
      <c r="IUV28" s="1266"/>
      <c r="IUW28" s="1266"/>
      <c r="IUX28" s="1266"/>
      <c r="IUY28" s="1266"/>
      <c r="IUZ28" s="1266"/>
      <c r="IVA28" s="1266"/>
      <c r="IVB28" s="1266"/>
      <c r="IVC28" s="1266"/>
      <c r="IVD28" s="1266"/>
      <c r="IVE28" s="1266"/>
      <c r="IVF28" s="1266"/>
      <c r="IVG28" s="1266"/>
      <c r="IVH28" s="1266"/>
      <c r="IVI28" s="1266"/>
      <c r="IVJ28" s="1266"/>
      <c r="IVK28" s="1266"/>
      <c r="IVL28" s="1266"/>
      <c r="IVM28" s="1266"/>
      <c r="IVN28" s="1266"/>
      <c r="IVO28" s="1266"/>
      <c r="IVP28" s="1266"/>
      <c r="IVQ28" s="1266"/>
      <c r="IVR28" s="1266"/>
      <c r="IVS28" s="1266"/>
      <c r="IVT28" s="1266"/>
      <c r="IVU28" s="1266"/>
      <c r="IVV28" s="1266"/>
      <c r="IVW28" s="1266"/>
      <c r="IVX28" s="1266"/>
      <c r="IVY28" s="1266"/>
      <c r="IVZ28" s="1266"/>
      <c r="IWA28" s="1266"/>
      <c r="IWB28" s="1266"/>
      <c r="IWC28" s="1266"/>
      <c r="IWD28" s="1266"/>
      <c r="IWE28" s="1266"/>
      <c r="IWF28" s="1266"/>
      <c r="IWG28" s="1266"/>
      <c r="IWH28" s="1266"/>
      <c r="IWI28" s="1266"/>
      <c r="IWJ28" s="1266"/>
      <c r="IWK28" s="1266"/>
      <c r="IWL28" s="1266"/>
      <c r="IWM28" s="1266"/>
      <c r="IWN28" s="1266"/>
      <c r="IWO28" s="1266"/>
      <c r="IWP28" s="1266"/>
      <c r="IWQ28" s="1266"/>
      <c r="IWR28" s="1266"/>
      <c r="IWS28" s="1266"/>
      <c r="IWT28" s="1266"/>
      <c r="IWU28" s="1266"/>
      <c r="IWV28" s="1266"/>
      <c r="IWW28" s="1266"/>
      <c r="IWX28" s="1266"/>
      <c r="IWY28" s="1266"/>
      <c r="IWZ28" s="1266"/>
      <c r="IXA28" s="1266"/>
      <c r="IXB28" s="1266"/>
      <c r="IXC28" s="1266"/>
      <c r="IXD28" s="1266"/>
      <c r="IXE28" s="1266"/>
      <c r="IXF28" s="1266"/>
      <c r="IXG28" s="1266"/>
      <c r="IXH28" s="1266"/>
      <c r="IXI28" s="1266"/>
      <c r="IXJ28" s="1266"/>
      <c r="IXK28" s="1266"/>
      <c r="IXL28" s="1266"/>
      <c r="IXM28" s="1266"/>
      <c r="IXN28" s="1266"/>
      <c r="IXO28" s="1266"/>
      <c r="IXP28" s="1266"/>
      <c r="IXQ28" s="1266"/>
      <c r="IXR28" s="1266"/>
      <c r="IXS28" s="1266"/>
      <c r="IXT28" s="1266"/>
      <c r="IXU28" s="1266"/>
      <c r="IXV28" s="1266"/>
      <c r="IXW28" s="1266"/>
      <c r="IXX28" s="1266"/>
      <c r="IXY28" s="1266"/>
      <c r="IXZ28" s="1266"/>
      <c r="IYA28" s="1266"/>
      <c r="IYB28" s="1266"/>
      <c r="IYC28" s="1266"/>
      <c r="IYD28" s="1266"/>
      <c r="IYE28" s="1266"/>
      <c r="IYF28" s="1266"/>
      <c r="IYG28" s="1266"/>
      <c r="IYH28" s="1266"/>
      <c r="IYI28" s="1266"/>
      <c r="IYJ28" s="1266"/>
      <c r="IYK28" s="1266"/>
      <c r="IYL28" s="1266"/>
      <c r="IYM28" s="1266"/>
      <c r="IYN28" s="1266"/>
      <c r="IYO28" s="1266"/>
      <c r="IYP28" s="1266"/>
      <c r="IYQ28" s="1266"/>
      <c r="IYR28" s="1266"/>
      <c r="IYS28" s="1266"/>
      <c r="IYT28" s="1266"/>
      <c r="IYU28" s="1266"/>
      <c r="IYV28" s="1266"/>
      <c r="IYW28" s="1266"/>
      <c r="IYX28" s="1266"/>
      <c r="IYY28" s="1266"/>
      <c r="IYZ28" s="1266"/>
      <c r="IZA28" s="1266"/>
      <c r="IZB28" s="1266"/>
      <c r="IZC28" s="1266"/>
      <c r="IZD28" s="1266"/>
      <c r="IZE28" s="1266"/>
      <c r="IZF28" s="1266"/>
      <c r="IZG28" s="1266"/>
      <c r="IZH28" s="1266"/>
      <c r="IZI28" s="1266"/>
      <c r="IZJ28" s="1266"/>
      <c r="IZK28" s="1266"/>
      <c r="IZL28" s="1266"/>
      <c r="IZM28" s="1266"/>
      <c r="IZN28" s="1266"/>
      <c r="IZO28" s="1266"/>
      <c r="IZP28" s="1266"/>
      <c r="IZQ28" s="1266"/>
      <c r="IZR28" s="1266"/>
      <c r="IZS28" s="1266"/>
      <c r="IZT28" s="1266"/>
      <c r="IZU28" s="1266"/>
      <c r="IZV28" s="1266"/>
      <c r="IZW28" s="1266"/>
      <c r="IZX28" s="1266"/>
      <c r="IZY28" s="1266"/>
      <c r="IZZ28" s="1266"/>
      <c r="JAA28" s="1266"/>
      <c r="JAB28" s="1266"/>
      <c r="JAC28" s="1266"/>
      <c r="JAD28" s="1266"/>
      <c r="JAE28" s="1266"/>
      <c r="JAF28" s="1266"/>
      <c r="JAG28" s="1266"/>
      <c r="JAH28" s="1266"/>
      <c r="JAI28" s="1266"/>
      <c r="JAJ28" s="1266"/>
      <c r="JAK28" s="1266"/>
      <c r="JAL28" s="1266"/>
      <c r="JAM28" s="1266"/>
      <c r="JAN28" s="1266"/>
      <c r="JAO28" s="1266"/>
      <c r="JAP28" s="1266"/>
      <c r="JAQ28" s="1266"/>
      <c r="JAR28" s="1266"/>
      <c r="JAS28" s="1266"/>
      <c r="JAT28" s="1266"/>
      <c r="JAU28" s="1266"/>
      <c r="JAV28" s="1266"/>
      <c r="JAW28" s="1266"/>
      <c r="JAX28" s="1266"/>
      <c r="JAY28" s="1266"/>
      <c r="JAZ28" s="1266"/>
      <c r="JBA28" s="1266"/>
      <c r="JBB28" s="1266"/>
      <c r="JBC28" s="1266"/>
      <c r="JBD28" s="1266"/>
      <c r="JBE28" s="1266"/>
      <c r="JBF28" s="1266"/>
      <c r="JBG28" s="1266"/>
      <c r="JBH28" s="1266"/>
      <c r="JBI28" s="1266"/>
      <c r="JBJ28" s="1266"/>
      <c r="JBK28" s="1266"/>
      <c r="JBL28" s="1266"/>
      <c r="JBM28" s="1266"/>
      <c r="JBN28" s="1266"/>
      <c r="JBO28" s="1266"/>
      <c r="JBP28" s="1266"/>
      <c r="JBQ28" s="1266"/>
      <c r="JBR28" s="1266"/>
      <c r="JBS28" s="1266"/>
      <c r="JBT28" s="1266"/>
      <c r="JBU28" s="1266"/>
      <c r="JBV28" s="1266"/>
      <c r="JBW28" s="1266"/>
      <c r="JBX28" s="1266"/>
      <c r="JBY28" s="1266"/>
      <c r="JBZ28" s="1266"/>
      <c r="JCA28" s="1266"/>
      <c r="JCB28" s="1266"/>
      <c r="JCC28" s="1266"/>
      <c r="JCD28" s="1266"/>
      <c r="JCE28" s="1266"/>
      <c r="JCF28" s="1266"/>
      <c r="JCG28" s="1266"/>
      <c r="JCH28" s="1266"/>
      <c r="JCI28" s="1266"/>
      <c r="JCJ28" s="1266"/>
      <c r="JCK28" s="1266"/>
      <c r="JCL28" s="1266"/>
      <c r="JCM28" s="1266"/>
      <c r="JCN28" s="1266"/>
      <c r="JCO28" s="1266"/>
      <c r="JCP28" s="1266"/>
      <c r="JCQ28" s="1266"/>
      <c r="JCR28" s="1266"/>
      <c r="JCS28" s="1266"/>
      <c r="JCT28" s="1266"/>
      <c r="JCU28" s="1266"/>
      <c r="JCV28" s="1266"/>
      <c r="JCW28" s="1266"/>
      <c r="JCX28" s="1266"/>
      <c r="JCY28" s="1266"/>
      <c r="JCZ28" s="1266"/>
      <c r="JDA28" s="1266"/>
      <c r="JDB28" s="1266"/>
      <c r="JDC28" s="1266"/>
      <c r="JDD28" s="1266"/>
      <c r="JDE28" s="1266"/>
      <c r="JDF28" s="1266"/>
      <c r="JDG28" s="1266"/>
      <c r="JDH28" s="1266"/>
      <c r="JDI28" s="1266"/>
      <c r="JDJ28" s="1266"/>
      <c r="JDK28" s="1266"/>
      <c r="JDL28" s="1266"/>
      <c r="JDM28" s="1266"/>
      <c r="JDN28" s="1266"/>
      <c r="JDO28" s="1266"/>
      <c r="JDP28" s="1266"/>
      <c r="JDQ28" s="1266"/>
      <c r="JDR28" s="1266"/>
      <c r="JDS28" s="1266"/>
      <c r="JDT28" s="1266"/>
      <c r="JDU28" s="1266"/>
      <c r="JDV28" s="1266"/>
      <c r="JDW28" s="1266"/>
      <c r="JDX28" s="1266"/>
      <c r="JDY28" s="1266"/>
      <c r="JDZ28" s="1266"/>
      <c r="JEA28" s="1266"/>
      <c r="JEB28" s="1266"/>
      <c r="JEC28" s="1266"/>
      <c r="JED28" s="1266"/>
      <c r="JEE28" s="1266"/>
      <c r="JEF28" s="1266"/>
      <c r="JEG28" s="1266"/>
      <c r="JEH28" s="1266"/>
      <c r="JEI28" s="1266"/>
      <c r="JEJ28" s="1266"/>
      <c r="JEK28" s="1266"/>
      <c r="JEL28" s="1266"/>
      <c r="JEM28" s="1266"/>
      <c r="JEN28" s="1266"/>
      <c r="JEO28" s="1266"/>
      <c r="JEP28" s="1266"/>
      <c r="JEQ28" s="1266"/>
      <c r="JER28" s="1266"/>
      <c r="JES28" s="1266"/>
      <c r="JET28" s="1266"/>
      <c r="JEU28" s="1266"/>
      <c r="JEV28" s="1266"/>
      <c r="JEW28" s="1266"/>
      <c r="JEX28" s="1266"/>
      <c r="JEY28" s="1266"/>
      <c r="JEZ28" s="1266"/>
      <c r="JFA28" s="1266"/>
      <c r="JFB28" s="1266"/>
      <c r="JFC28" s="1266"/>
      <c r="JFD28" s="1266"/>
      <c r="JFE28" s="1266"/>
      <c r="JFF28" s="1266"/>
      <c r="JFG28" s="1266"/>
      <c r="JFH28" s="1266"/>
      <c r="JFI28" s="1266"/>
      <c r="JFJ28" s="1266"/>
      <c r="JFK28" s="1266"/>
      <c r="JFL28" s="1266"/>
      <c r="JFM28" s="1266"/>
      <c r="JFN28" s="1266"/>
      <c r="JFO28" s="1266"/>
      <c r="JFP28" s="1266"/>
      <c r="JFQ28" s="1266"/>
      <c r="JFR28" s="1266"/>
      <c r="JFS28" s="1266"/>
      <c r="JFT28" s="1266"/>
      <c r="JFU28" s="1266"/>
      <c r="JFV28" s="1266"/>
      <c r="JFW28" s="1266"/>
      <c r="JFX28" s="1266"/>
      <c r="JFY28" s="1266"/>
      <c r="JFZ28" s="1266"/>
      <c r="JGA28" s="1266"/>
      <c r="JGB28" s="1266"/>
      <c r="JGC28" s="1266"/>
      <c r="JGD28" s="1266"/>
      <c r="JGE28" s="1266"/>
      <c r="JGF28" s="1266"/>
      <c r="JGG28" s="1266"/>
      <c r="JGH28" s="1266"/>
      <c r="JGI28" s="1266"/>
      <c r="JGJ28" s="1266"/>
      <c r="JGK28" s="1266"/>
      <c r="JGL28" s="1266"/>
      <c r="JGM28" s="1266"/>
      <c r="JGN28" s="1266"/>
      <c r="JGO28" s="1266"/>
      <c r="JGP28" s="1266"/>
      <c r="JGQ28" s="1266"/>
      <c r="JGR28" s="1266"/>
      <c r="JGS28" s="1266"/>
      <c r="JGT28" s="1266"/>
      <c r="JGU28" s="1266"/>
      <c r="JGV28" s="1266"/>
      <c r="JGW28" s="1266"/>
      <c r="JGX28" s="1266"/>
      <c r="JGY28" s="1266"/>
      <c r="JGZ28" s="1266"/>
      <c r="JHA28" s="1266"/>
      <c r="JHB28" s="1266"/>
      <c r="JHC28" s="1266"/>
      <c r="JHD28" s="1266"/>
      <c r="JHE28" s="1266"/>
      <c r="JHF28" s="1266"/>
      <c r="JHG28" s="1266"/>
      <c r="JHH28" s="1266"/>
      <c r="JHI28" s="1266"/>
      <c r="JHJ28" s="1266"/>
      <c r="JHK28" s="1266"/>
      <c r="JHL28" s="1266"/>
      <c r="JHM28" s="1266"/>
      <c r="JHN28" s="1266"/>
      <c r="JHO28" s="1266"/>
      <c r="JHP28" s="1266"/>
      <c r="JHQ28" s="1266"/>
      <c r="JHR28" s="1266"/>
      <c r="JHS28" s="1266"/>
      <c r="JHT28" s="1266"/>
      <c r="JHU28" s="1266"/>
      <c r="JHV28" s="1266"/>
      <c r="JHW28" s="1266"/>
      <c r="JHX28" s="1266"/>
      <c r="JHY28" s="1266"/>
      <c r="JHZ28" s="1266"/>
      <c r="JIA28" s="1266"/>
      <c r="JIB28" s="1266"/>
      <c r="JIC28" s="1266"/>
      <c r="JID28" s="1266"/>
      <c r="JIE28" s="1266"/>
      <c r="JIF28" s="1266"/>
      <c r="JIG28" s="1266"/>
      <c r="JIH28" s="1266"/>
      <c r="JII28" s="1266"/>
      <c r="JIJ28" s="1266"/>
      <c r="JIK28" s="1266"/>
      <c r="JIL28" s="1266"/>
      <c r="JIM28" s="1266"/>
      <c r="JIN28" s="1266"/>
      <c r="JIO28" s="1266"/>
      <c r="JIP28" s="1266"/>
      <c r="JIQ28" s="1266"/>
      <c r="JIR28" s="1266"/>
      <c r="JIS28" s="1266"/>
      <c r="JIT28" s="1266"/>
      <c r="JIU28" s="1266"/>
      <c r="JIV28" s="1266"/>
      <c r="JIW28" s="1266"/>
      <c r="JIX28" s="1266"/>
      <c r="JIY28" s="1266"/>
      <c r="JIZ28" s="1266"/>
      <c r="JJA28" s="1266"/>
      <c r="JJB28" s="1266"/>
      <c r="JJC28" s="1266"/>
      <c r="JJD28" s="1266"/>
      <c r="JJE28" s="1266"/>
      <c r="JJF28" s="1266"/>
      <c r="JJG28" s="1266"/>
      <c r="JJH28" s="1266"/>
      <c r="JJI28" s="1266"/>
      <c r="JJJ28" s="1266"/>
      <c r="JJK28" s="1266"/>
      <c r="JJL28" s="1266"/>
      <c r="JJM28" s="1266"/>
      <c r="JJN28" s="1266"/>
      <c r="JJO28" s="1266"/>
      <c r="JJP28" s="1266"/>
      <c r="JJQ28" s="1266"/>
      <c r="JJR28" s="1266"/>
      <c r="JJS28" s="1266"/>
      <c r="JJT28" s="1266"/>
      <c r="JJU28" s="1266"/>
      <c r="JJV28" s="1266"/>
      <c r="JJW28" s="1266"/>
      <c r="JJX28" s="1266"/>
      <c r="JJY28" s="1266"/>
      <c r="JJZ28" s="1266"/>
      <c r="JKA28" s="1266"/>
      <c r="JKB28" s="1266"/>
      <c r="JKC28" s="1266"/>
      <c r="JKD28" s="1266"/>
      <c r="JKE28" s="1266"/>
      <c r="JKF28" s="1266"/>
      <c r="JKG28" s="1266"/>
      <c r="JKH28" s="1266"/>
      <c r="JKI28" s="1266"/>
      <c r="JKJ28" s="1266"/>
      <c r="JKK28" s="1266"/>
      <c r="JKL28" s="1266"/>
      <c r="JKM28" s="1266"/>
      <c r="JKN28" s="1266"/>
      <c r="JKO28" s="1266"/>
      <c r="JKP28" s="1266"/>
      <c r="JKQ28" s="1266"/>
      <c r="JKR28" s="1266"/>
      <c r="JKS28" s="1266"/>
      <c r="JKT28" s="1266"/>
      <c r="JKU28" s="1266"/>
      <c r="JKV28" s="1266"/>
      <c r="JKW28" s="1266"/>
      <c r="JKX28" s="1266"/>
      <c r="JKY28" s="1266"/>
      <c r="JKZ28" s="1266"/>
      <c r="JLA28" s="1266"/>
      <c r="JLB28" s="1266"/>
      <c r="JLC28" s="1266"/>
      <c r="JLD28" s="1266"/>
      <c r="JLE28" s="1266"/>
      <c r="JLF28" s="1266"/>
      <c r="JLG28" s="1266"/>
      <c r="JLH28" s="1266"/>
      <c r="JLI28" s="1266"/>
      <c r="JLJ28" s="1266"/>
      <c r="JLK28" s="1266"/>
      <c r="JLL28" s="1266"/>
      <c r="JLM28" s="1266"/>
      <c r="JLN28" s="1266"/>
      <c r="JLO28" s="1266"/>
      <c r="JLP28" s="1266"/>
      <c r="JLQ28" s="1266"/>
      <c r="JLR28" s="1266"/>
      <c r="JLS28" s="1266"/>
      <c r="JLT28" s="1266"/>
      <c r="JLU28" s="1266"/>
      <c r="JLV28" s="1266"/>
      <c r="JLW28" s="1266"/>
      <c r="JLX28" s="1266"/>
      <c r="JLY28" s="1266"/>
      <c r="JLZ28" s="1266"/>
      <c r="JMA28" s="1266"/>
      <c r="JMB28" s="1266"/>
      <c r="JMC28" s="1266"/>
      <c r="JMD28" s="1266"/>
      <c r="JME28" s="1266"/>
      <c r="JMF28" s="1266"/>
      <c r="JMG28" s="1266"/>
      <c r="JMH28" s="1266"/>
      <c r="JMI28" s="1266"/>
      <c r="JMJ28" s="1266"/>
      <c r="JMK28" s="1266"/>
      <c r="JML28" s="1266"/>
      <c r="JMM28" s="1266"/>
      <c r="JMN28" s="1266"/>
      <c r="JMO28" s="1266"/>
      <c r="JMP28" s="1266"/>
      <c r="JMQ28" s="1266"/>
      <c r="JMR28" s="1266"/>
      <c r="JMS28" s="1266"/>
      <c r="JMT28" s="1266"/>
      <c r="JMU28" s="1266"/>
      <c r="JMV28" s="1266"/>
      <c r="JMW28" s="1266"/>
      <c r="JMX28" s="1266"/>
      <c r="JMY28" s="1266"/>
      <c r="JMZ28" s="1266"/>
      <c r="JNA28" s="1266"/>
      <c r="JNB28" s="1266"/>
      <c r="JNC28" s="1266"/>
      <c r="JND28" s="1266"/>
      <c r="JNE28" s="1266"/>
      <c r="JNF28" s="1266"/>
      <c r="JNG28" s="1266"/>
      <c r="JNH28" s="1266"/>
      <c r="JNI28" s="1266"/>
      <c r="JNJ28" s="1266"/>
      <c r="JNK28" s="1266"/>
      <c r="JNL28" s="1266"/>
      <c r="JNM28" s="1266"/>
      <c r="JNN28" s="1266"/>
      <c r="JNO28" s="1266"/>
      <c r="JNP28" s="1266"/>
      <c r="JNQ28" s="1266"/>
      <c r="JNR28" s="1266"/>
      <c r="JNS28" s="1266"/>
      <c r="JNT28" s="1266"/>
      <c r="JNU28" s="1266"/>
      <c r="JNV28" s="1266"/>
      <c r="JNW28" s="1266"/>
      <c r="JNX28" s="1266"/>
      <c r="JNY28" s="1266"/>
      <c r="JNZ28" s="1266"/>
      <c r="JOA28" s="1266"/>
      <c r="JOB28" s="1266"/>
      <c r="JOC28" s="1266"/>
      <c r="JOD28" s="1266"/>
      <c r="JOE28" s="1266"/>
      <c r="JOF28" s="1266"/>
      <c r="JOG28" s="1266"/>
      <c r="JOH28" s="1266"/>
      <c r="JOI28" s="1266"/>
      <c r="JOJ28" s="1266"/>
      <c r="JOK28" s="1266"/>
      <c r="JOL28" s="1266"/>
      <c r="JOM28" s="1266"/>
      <c r="JON28" s="1266"/>
      <c r="JOO28" s="1266"/>
      <c r="JOP28" s="1266"/>
      <c r="JOQ28" s="1266"/>
      <c r="JOR28" s="1266"/>
      <c r="JOS28" s="1266"/>
      <c r="JOT28" s="1266"/>
      <c r="JOU28" s="1266"/>
      <c r="JOV28" s="1266"/>
      <c r="JOW28" s="1266"/>
      <c r="JOX28" s="1266"/>
      <c r="JOY28" s="1266"/>
      <c r="JOZ28" s="1266"/>
      <c r="JPA28" s="1266"/>
      <c r="JPB28" s="1266"/>
      <c r="JPC28" s="1266"/>
      <c r="JPD28" s="1266"/>
      <c r="JPE28" s="1266"/>
      <c r="JPF28" s="1266"/>
      <c r="JPG28" s="1266"/>
      <c r="JPH28" s="1266"/>
      <c r="JPI28" s="1266"/>
      <c r="JPJ28" s="1266"/>
      <c r="JPK28" s="1266"/>
      <c r="JPL28" s="1266"/>
      <c r="JPM28" s="1266"/>
      <c r="JPN28" s="1266"/>
      <c r="JPO28" s="1266"/>
      <c r="JPP28" s="1266"/>
      <c r="JPQ28" s="1266"/>
      <c r="JPR28" s="1266"/>
      <c r="JPS28" s="1266"/>
      <c r="JPT28" s="1266"/>
      <c r="JPU28" s="1266"/>
      <c r="JPV28" s="1266"/>
      <c r="JPW28" s="1266"/>
      <c r="JPX28" s="1266"/>
      <c r="JPY28" s="1266"/>
      <c r="JPZ28" s="1266"/>
      <c r="JQA28" s="1266"/>
      <c r="JQB28" s="1266"/>
      <c r="JQC28" s="1266"/>
      <c r="JQD28" s="1266"/>
      <c r="JQE28" s="1266"/>
      <c r="JQF28" s="1266"/>
      <c r="JQG28" s="1266"/>
      <c r="JQH28" s="1266"/>
      <c r="JQI28" s="1266"/>
      <c r="JQJ28" s="1266"/>
      <c r="JQK28" s="1266"/>
      <c r="JQL28" s="1266"/>
      <c r="JQM28" s="1266"/>
      <c r="JQN28" s="1266"/>
      <c r="JQO28" s="1266"/>
      <c r="JQP28" s="1266"/>
      <c r="JQQ28" s="1266"/>
      <c r="JQR28" s="1266"/>
      <c r="JQS28" s="1266"/>
      <c r="JQT28" s="1266"/>
      <c r="JQU28" s="1266"/>
      <c r="JQV28" s="1266"/>
      <c r="JQW28" s="1266"/>
      <c r="JQX28" s="1266"/>
      <c r="JQY28" s="1266"/>
      <c r="JQZ28" s="1266"/>
      <c r="JRA28" s="1266"/>
      <c r="JRB28" s="1266"/>
      <c r="JRC28" s="1266"/>
      <c r="JRD28" s="1266"/>
      <c r="JRE28" s="1266"/>
      <c r="JRF28" s="1266"/>
      <c r="JRG28" s="1266"/>
      <c r="JRH28" s="1266"/>
      <c r="JRI28" s="1266"/>
      <c r="JRJ28" s="1266"/>
      <c r="JRK28" s="1266"/>
      <c r="JRL28" s="1266"/>
      <c r="JRM28" s="1266"/>
      <c r="JRN28" s="1266"/>
      <c r="JRO28" s="1266"/>
      <c r="JRP28" s="1266"/>
      <c r="JRQ28" s="1266"/>
      <c r="JRR28" s="1266"/>
      <c r="JRS28" s="1266"/>
      <c r="JRT28" s="1266"/>
      <c r="JRU28" s="1266"/>
      <c r="JRV28" s="1266"/>
      <c r="JRW28" s="1266"/>
      <c r="JRX28" s="1266"/>
      <c r="JRY28" s="1266"/>
      <c r="JRZ28" s="1266"/>
      <c r="JSA28" s="1266"/>
      <c r="JSB28" s="1266"/>
      <c r="JSC28" s="1266"/>
      <c r="JSD28" s="1266"/>
      <c r="JSE28" s="1266"/>
      <c r="JSF28" s="1266"/>
      <c r="JSG28" s="1266"/>
      <c r="JSH28" s="1266"/>
      <c r="JSI28" s="1266"/>
      <c r="JSJ28" s="1266"/>
      <c r="JSK28" s="1266"/>
      <c r="JSL28" s="1266"/>
      <c r="JSM28" s="1266"/>
      <c r="JSN28" s="1266"/>
      <c r="JSO28" s="1266"/>
      <c r="JSP28" s="1266"/>
      <c r="JSQ28" s="1266"/>
      <c r="JSR28" s="1266"/>
      <c r="JSS28" s="1266"/>
      <c r="JST28" s="1266"/>
      <c r="JSU28" s="1266"/>
      <c r="JSV28" s="1266"/>
      <c r="JSW28" s="1266"/>
      <c r="JSX28" s="1266"/>
      <c r="JSY28" s="1266"/>
      <c r="JSZ28" s="1266"/>
      <c r="JTA28" s="1266"/>
      <c r="JTB28" s="1266"/>
      <c r="JTC28" s="1266"/>
      <c r="JTD28" s="1266"/>
      <c r="JTE28" s="1266"/>
      <c r="JTF28" s="1266"/>
      <c r="JTG28" s="1266"/>
      <c r="JTH28" s="1266"/>
      <c r="JTI28" s="1266"/>
      <c r="JTJ28" s="1266"/>
      <c r="JTK28" s="1266"/>
      <c r="JTL28" s="1266"/>
      <c r="JTM28" s="1266"/>
      <c r="JTN28" s="1266"/>
      <c r="JTO28" s="1266"/>
      <c r="JTP28" s="1266"/>
      <c r="JTQ28" s="1266"/>
      <c r="JTR28" s="1266"/>
      <c r="JTS28" s="1266"/>
      <c r="JTT28" s="1266"/>
      <c r="JTU28" s="1266"/>
      <c r="JTV28" s="1266"/>
      <c r="JTW28" s="1266"/>
      <c r="JTX28" s="1266"/>
      <c r="JTY28" s="1266"/>
      <c r="JTZ28" s="1266"/>
      <c r="JUA28" s="1266"/>
      <c r="JUB28" s="1266"/>
      <c r="JUC28" s="1266"/>
      <c r="JUD28" s="1266"/>
      <c r="JUE28" s="1266"/>
      <c r="JUF28" s="1266"/>
      <c r="JUG28" s="1266"/>
      <c r="JUH28" s="1266"/>
      <c r="JUI28" s="1266"/>
      <c r="JUJ28" s="1266"/>
      <c r="JUK28" s="1266"/>
      <c r="JUL28" s="1266"/>
      <c r="JUM28" s="1266"/>
      <c r="JUN28" s="1266"/>
      <c r="JUO28" s="1266"/>
      <c r="JUP28" s="1266"/>
      <c r="JUQ28" s="1266"/>
      <c r="JUR28" s="1266"/>
      <c r="JUS28" s="1266"/>
      <c r="JUT28" s="1266"/>
      <c r="JUU28" s="1266"/>
      <c r="JUV28" s="1266"/>
      <c r="JUW28" s="1266"/>
      <c r="JUX28" s="1266"/>
      <c r="JUY28" s="1266"/>
      <c r="JUZ28" s="1266"/>
      <c r="JVA28" s="1266"/>
      <c r="JVB28" s="1266"/>
      <c r="JVC28" s="1266"/>
      <c r="JVD28" s="1266"/>
      <c r="JVE28" s="1266"/>
      <c r="JVF28" s="1266"/>
      <c r="JVG28" s="1266"/>
      <c r="JVH28" s="1266"/>
      <c r="JVI28" s="1266"/>
      <c r="JVJ28" s="1266"/>
      <c r="JVK28" s="1266"/>
      <c r="JVL28" s="1266"/>
      <c r="JVM28" s="1266"/>
      <c r="JVN28" s="1266"/>
      <c r="JVO28" s="1266"/>
      <c r="JVP28" s="1266"/>
      <c r="JVQ28" s="1266"/>
      <c r="JVR28" s="1266"/>
      <c r="JVS28" s="1266"/>
      <c r="JVT28" s="1266"/>
      <c r="JVU28" s="1266"/>
      <c r="JVV28" s="1266"/>
      <c r="JVW28" s="1266"/>
      <c r="JVX28" s="1266"/>
      <c r="JVY28" s="1266"/>
      <c r="JVZ28" s="1266"/>
      <c r="JWA28" s="1266"/>
      <c r="JWB28" s="1266"/>
      <c r="JWC28" s="1266"/>
      <c r="JWD28" s="1266"/>
      <c r="JWE28" s="1266"/>
      <c r="JWF28" s="1266"/>
      <c r="JWG28" s="1266"/>
      <c r="JWH28" s="1266"/>
      <c r="JWI28" s="1266"/>
      <c r="JWJ28" s="1266"/>
      <c r="JWK28" s="1266"/>
      <c r="JWL28" s="1266"/>
      <c r="JWM28" s="1266"/>
      <c r="JWN28" s="1266"/>
      <c r="JWO28" s="1266"/>
      <c r="JWP28" s="1266"/>
      <c r="JWQ28" s="1266"/>
      <c r="JWR28" s="1266"/>
      <c r="JWS28" s="1266"/>
      <c r="JWT28" s="1266"/>
      <c r="JWU28" s="1266"/>
      <c r="JWV28" s="1266"/>
      <c r="JWW28" s="1266"/>
      <c r="JWX28" s="1266"/>
      <c r="JWY28" s="1266"/>
      <c r="JWZ28" s="1266"/>
      <c r="JXA28" s="1266"/>
      <c r="JXB28" s="1266"/>
      <c r="JXC28" s="1266"/>
      <c r="JXD28" s="1266"/>
      <c r="JXE28" s="1266"/>
      <c r="JXF28" s="1266"/>
      <c r="JXG28" s="1266"/>
      <c r="JXH28" s="1266"/>
      <c r="JXI28" s="1266"/>
      <c r="JXJ28" s="1266"/>
      <c r="JXK28" s="1266"/>
      <c r="JXL28" s="1266"/>
      <c r="JXM28" s="1266"/>
      <c r="JXN28" s="1266"/>
      <c r="JXO28" s="1266"/>
      <c r="JXP28" s="1266"/>
      <c r="JXQ28" s="1266"/>
      <c r="JXR28" s="1266"/>
      <c r="JXS28" s="1266"/>
      <c r="JXT28" s="1266"/>
      <c r="JXU28" s="1266"/>
      <c r="JXV28" s="1266"/>
      <c r="JXW28" s="1266"/>
      <c r="JXX28" s="1266"/>
      <c r="JXY28" s="1266"/>
      <c r="JXZ28" s="1266"/>
      <c r="JYA28" s="1266"/>
      <c r="JYB28" s="1266"/>
      <c r="JYC28" s="1266"/>
      <c r="JYD28" s="1266"/>
      <c r="JYE28" s="1266"/>
      <c r="JYF28" s="1266"/>
      <c r="JYG28" s="1266"/>
      <c r="JYH28" s="1266"/>
      <c r="JYI28" s="1266"/>
      <c r="JYJ28" s="1266"/>
      <c r="JYK28" s="1266"/>
      <c r="JYL28" s="1266"/>
      <c r="JYM28" s="1266"/>
      <c r="JYN28" s="1266"/>
      <c r="JYO28" s="1266"/>
      <c r="JYP28" s="1266"/>
      <c r="JYQ28" s="1266"/>
      <c r="JYR28" s="1266"/>
      <c r="JYS28" s="1266"/>
      <c r="JYT28" s="1266"/>
      <c r="JYU28" s="1266"/>
      <c r="JYV28" s="1266"/>
      <c r="JYW28" s="1266"/>
      <c r="JYX28" s="1266"/>
      <c r="JYY28" s="1266"/>
      <c r="JYZ28" s="1266"/>
      <c r="JZA28" s="1266"/>
      <c r="JZB28" s="1266"/>
      <c r="JZC28" s="1266"/>
      <c r="JZD28" s="1266"/>
      <c r="JZE28" s="1266"/>
      <c r="JZF28" s="1266"/>
      <c r="JZG28" s="1266"/>
      <c r="JZH28" s="1266"/>
      <c r="JZI28" s="1266"/>
      <c r="JZJ28" s="1266"/>
      <c r="JZK28" s="1266"/>
      <c r="JZL28" s="1266"/>
      <c r="JZM28" s="1266"/>
      <c r="JZN28" s="1266"/>
      <c r="JZO28" s="1266"/>
      <c r="JZP28" s="1266"/>
      <c r="JZQ28" s="1266"/>
      <c r="JZR28" s="1266"/>
      <c r="JZS28" s="1266"/>
      <c r="JZT28" s="1266"/>
      <c r="JZU28" s="1266"/>
      <c r="JZV28" s="1266"/>
      <c r="JZW28" s="1266"/>
      <c r="JZX28" s="1266"/>
      <c r="JZY28" s="1266"/>
      <c r="JZZ28" s="1266"/>
      <c r="KAA28" s="1266"/>
      <c r="KAB28" s="1266"/>
      <c r="KAC28" s="1266"/>
      <c r="KAD28" s="1266"/>
      <c r="KAE28" s="1266"/>
      <c r="KAF28" s="1266"/>
      <c r="KAG28" s="1266"/>
      <c r="KAH28" s="1266"/>
      <c r="KAI28" s="1266"/>
      <c r="KAJ28" s="1266"/>
      <c r="KAK28" s="1266"/>
      <c r="KAL28" s="1266"/>
      <c r="KAM28" s="1266"/>
      <c r="KAN28" s="1266"/>
      <c r="KAO28" s="1266"/>
      <c r="KAP28" s="1266"/>
      <c r="KAQ28" s="1266"/>
      <c r="KAR28" s="1266"/>
      <c r="KAS28" s="1266"/>
      <c r="KAT28" s="1266"/>
      <c r="KAU28" s="1266"/>
      <c r="KAV28" s="1266"/>
      <c r="KAW28" s="1266"/>
      <c r="KAX28" s="1266"/>
      <c r="KAY28" s="1266"/>
      <c r="KAZ28" s="1266"/>
      <c r="KBA28" s="1266"/>
      <c r="KBB28" s="1266"/>
      <c r="KBC28" s="1266"/>
      <c r="KBD28" s="1266"/>
      <c r="KBE28" s="1266"/>
      <c r="KBF28" s="1266"/>
      <c r="KBG28" s="1266"/>
      <c r="KBH28" s="1266"/>
      <c r="KBI28" s="1266"/>
      <c r="KBJ28" s="1266"/>
      <c r="KBK28" s="1266"/>
      <c r="KBL28" s="1266"/>
      <c r="KBM28" s="1266"/>
      <c r="KBN28" s="1266"/>
      <c r="KBO28" s="1266"/>
      <c r="KBP28" s="1266"/>
      <c r="KBQ28" s="1266"/>
      <c r="KBR28" s="1266"/>
      <c r="KBS28" s="1266"/>
      <c r="KBT28" s="1266"/>
      <c r="KBU28" s="1266"/>
      <c r="KBV28" s="1266"/>
      <c r="KBW28" s="1266"/>
      <c r="KBX28" s="1266"/>
      <c r="KBY28" s="1266"/>
      <c r="KBZ28" s="1266"/>
      <c r="KCA28" s="1266"/>
      <c r="KCB28" s="1266"/>
      <c r="KCC28" s="1266"/>
      <c r="KCD28" s="1266"/>
      <c r="KCE28" s="1266"/>
      <c r="KCF28" s="1266"/>
      <c r="KCG28" s="1266"/>
      <c r="KCH28" s="1266"/>
      <c r="KCI28" s="1266"/>
      <c r="KCJ28" s="1266"/>
      <c r="KCK28" s="1266"/>
      <c r="KCL28" s="1266"/>
      <c r="KCM28" s="1266"/>
      <c r="KCN28" s="1266"/>
      <c r="KCO28" s="1266"/>
      <c r="KCP28" s="1266"/>
      <c r="KCQ28" s="1266"/>
      <c r="KCR28" s="1266"/>
      <c r="KCS28" s="1266"/>
      <c r="KCT28" s="1266"/>
      <c r="KCU28" s="1266"/>
      <c r="KCV28" s="1266"/>
      <c r="KCW28" s="1266"/>
      <c r="KCX28" s="1266"/>
      <c r="KCY28" s="1266"/>
      <c r="KCZ28" s="1266"/>
      <c r="KDA28" s="1266"/>
      <c r="KDB28" s="1266"/>
      <c r="KDC28" s="1266"/>
      <c r="KDD28" s="1266"/>
      <c r="KDE28" s="1266"/>
      <c r="KDF28" s="1266"/>
      <c r="KDG28" s="1266"/>
      <c r="KDH28" s="1266"/>
      <c r="KDI28" s="1266"/>
      <c r="KDJ28" s="1266"/>
      <c r="KDK28" s="1266"/>
      <c r="KDL28" s="1266"/>
      <c r="KDM28" s="1266"/>
      <c r="KDN28" s="1266"/>
      <c r="KDO28" s="1266"/>
      <c r="KDP28" s="1266"/>
      <c r="KDQ28" s="1266"/>
      <c r="KDR28" s="1266"/>
      <c r="KDS28" s="1266"/>
      <c r="KDT28" s="1266"/>
      <c r="KDU28" s="1266"/>
      <c r="KDV28" s="1266"/>
      <c r="KDW28" s="1266"/>
      <c r="KDX28" s="1266"/>
      <c r="KDY28" s="1266"/>
      <c r="KDZ28" s="1266"/>
      <c r="KEA28" s="1266"/>
      <c r="KEB28" s="1266"/>
      <c r="KEC28" s="1266"/>
      <c r="KED28" s="1266"/>
      <c r="KEE28" s="1266"/>
      <c r="KEF28" s="1266"/>
      <c r="KEG28" s="1266"/>
      <c r="KEH28" s="1266"/>
      <c r="KEI28" s="1266"/>
      <c r="KEJ28" s="1266"/>
      <c r="KEK28" s="1266"/>
      <c r="KEL28" s="1266"/>
      <c r="KEM28" s="1266"/>
      <c r="KEN28" s="1266"/>
      <c r="KEO28" s="1266"/>
      <c r="KEP28" s="1266"/>
      <c r="KEQ28" s="1266"/>
      <c r="KER28" s="1266"/>
      <c r="KES28" s="1266"/>
      <c r="KET28" s="1266"/>
      <c r="KEU28" s="1266"/>
      <c r="KEV28" s="1266"/>
      <c r="KEW28" s="1266"/>
      <c r="KEX28" s="1266"/>
      <c r="KEY28" s="1266"/>
      <c r="KEZ28" s="1266"/>
      <c r="KFA28" s="1266"/>
      <c r="KFB28" s="1266"/>
      <c r="KFC28" s="1266"/>
      <c r="KFD28" s="1266"/>
      <c r="KFE28" s="1266"/>
      <c r="KFF28" s="1266"/>
      <c r="KFG28" s="1266"/>
      <c r="KFH28" s="1266"/>
      <c r="KFI28" s="1266"/>
      <c r="KFJ28" s="1266"/>
      <c r="KFK28" s="1266"/>
      <c r="KFL28" s="1266"/>
      <c r="KFM28" s="1266"/>
      <c r="KFN28" s="1266"/>
      <c r="KFO28" s="1266"/>
      <c r="KFP28" s="1266"/>
      <c r="KFQ28" s="1266"/>
      <c r="KFR28" s="1266"/>
      <c r="KFS28" s="1266"/>
      <c r="KFT28" s="1266"/>
      <c r="KFU28" s="1266"/>
      <c r="KFV28" s="1266"/>
      <c r="KFW28" s="1266"/>
      <c r="KFX28" s="1266"/>
      <c r="KFY28" s="1266"/>
      <c r="KFZ28" s="1266"/>
      <c r="KGA28" s="1266"/>
      <c r="KGB28" s="1266"/>
      <c r="KGC28" s="1266"/>
      <c r="KGD28" s="1266"/>
      <c r="KGE28" s="1266"/>
      <c r="KGF28" s="1266"/>
      <c r="KGG28" s="1266"/>
      <c r="KGH28" s="1266"/>
      <c r="KGI28" s="1266"/>
      <c r="KGJ28" s="1266"/>
      <c r="KGK28" s="1266"/>
      <c r="KGL28" s="1266"/>
      <c r="KGM28" s="1266"/>
      <c r="KGN28" s="1266"/>
      <c r="KGO28" s="1266"/>
      <c r="KGP28" s="1266"/>
      <c r="KGQ28" s="1266"/>
      <c r="KGR28" s="1266"/>
      <c r="KGS28" s="1266"/>
      <c r="KGT28" s="1266"/>
      <c r="KGU28" s="1266"/>
      <c r="KGV28" s="1266"/>
      <c r="KGW28" s="1266"/>
      <c r="KGX28" s="1266"/>
      <c r="KGY28" s="1266"/>
      <c r="KGZ28" s="1266"/>
      <c r="KHA28" s="1266"/>
      <c r="KHB28" s="1266"/>
      <c r="KHC28" s="1266"/>
      <c r="KHD28" s="1266"/>
      <c r="KHE28" s="1266"/>
      <c r="KHF28" s="1266"/>
      <c r="KHG28" s="1266"/>
      <c r="KHH28" s="1266"/>
      <c r="KHI28" s="1266"/>
      <c r="KHJ28" s="1266"/>
      <c r="KHK28" s="1266"/>
      <c r="KHL28" s="1266"/>
      <c r="KHM28" s="1266"/>
      <c r="KHN28" s="1266"/>
      <c r="KHO28" s="1266"/>
      <c r="KHP28" s="1266"/>
      <c r="KHQ28" s="1266"/>
      <c r="KHR28" s="1266"/>
      <c r="KHS28" s="1266"/>
      <c r="KHT28" s="1266"/>
      <c r="KHU28" s="1266"/>
      <c r="KHV28" s="1266"/>
      <c r="KHW28" s="1266"/>
      <c r="KHX28" s="1266"/>
      <c r="KHY28" s="1266"/>
      <c r="KHZ28" s="1266"/>
      <c r="KIA28" s="1266"/>
      <c r="KIB28" s="1266"/>
      <c r="KIC28" s="1266"/>
      <c r="KID28" s="1266"/>
      <c r="KIE28" s="1266"/>
      <c r="KIF28" s="1266"/>
      <c r="KIG28" s="1266"/>
      <c r="KIH28" s="1266"/>
      <c r="KII28" s="1266"/>
      <c r="KIJ28" s="1266"/>
      <c r="KIK28" s="1266"/>
      <c r="KIL28" s="1266"/>
      <c r="KIM28" s="1266"/>
      <c r="KIN28" s="1266"/>
      <c r="KIO28" s="1266"/>
      <c r="KIP28" s="1266"/>
      <c r="KIQ28" s="1266"/>
      <c r="KIR28" s="1266"/>
      <c r="KIS28" s="1266"/>
      <c r="KIT28" s="1266"/>
      <c r="KIU28" s="1266"/>
      <c r="KIV28" s="1266"/>
      <c r="KIW28" s="1266"/>
      <c r="KIX28" s="1266"/>
      <c r="KIY28" s="1266"/>
      <c r="KIZ28" s="1266"/>
      <c r="KJA28" s="1266"/>
      <c r="KJB28" s="1266"/>
      <c r="KJC28" s="1266"/>
      <c r="KJD28" s="1266"/>
      <c r="KJE28" s="1266"/>
      <c r="KJF28" s="1266"/>
      <c r="KJG28" s="1266"/>
      <c r="KJH28" s="1266"/>
      <c r="KJI28" s="1266"/>
      <c r="KJJ28" s="1266"/>
      <c r="KJK28" s="1266"/>
      <c r="KJL28" s="1266"/>
      <c r="KJM28" s="1266"/>
      <c r="KJN28" s="1266"/>
      <c r="KJO28" s="1266"/>
      <c r="KJP28" s="1266"/>
      <c r="KJQ28" s="1266"/>
      <c r="KJR28" s="1266"/>
      <c r="KJS28" s="1266"/>
      <c r="KJT28" s="1266"/>
      <c r="KJU28" s="1266"/>
      <c r="KJV28" s="1266"/>
      <c r="KJW28" s="1266"/>
      <c r="KJX28" s="1266"/>
      <c r="KJY28" s="1266"/>
      <c r="KJZ28" s="1266"/>
      <c r="KKA28" s="1266"/>
      <c r="KKB28" s="1266"/>
      <c r="KKC28" s="1266"/>
      <c r="KKD28" s="1266"/>
      <c r="KKE28" s="1266"/>
      <c r="KKF28" s="1266"/>
      <c r="KKG28" s="1266"/>
      <c r="KKH28" s="1266"/>
      <c r="KKI28" s="1266"/>
      <c r="KKJ28" s="1266"/>
      <c r="KKK28" s="1266"/>
      <c r="KKL28" s="1266"/>
      <c r="KKM28" s="1266"/>
      <c r="KKN28" s="1266"/>
      <c r="KKO28" s="1266"/>
      <c r="KKP28" s="1266"/>
      <c r="KKQ28" s="1266"/>
      <c r="KKR28" s="1266"/>
      <c r="KKS28" s="1266"/>
      <c r="KKT28" s="1266"/>
      <c r="KKU28" s="1266"/>
      <c r="KKV28" s="1266"/>
      <c r="KKW28" s="1266"/>
      <c r="KKX28" s="1266"/>
      <c r="KKY28" s="1266"/>
      <c r="KKZ28" s="1266"/>
      <c r="KLA28" s="1266"/>
      <c r="KLB28" s="1266"/>
      <c r="KLC28" s="1266"/>
      <c r="KLD28" s="1266"/>
      <c r="KLE28" s="1266"/>
      <c r="KLF28" s="1266"/>
      <c r="KLG28" s="1266"/>
      <c r="KLH28" s="1266"/>
      <c r="KLI28" s="1266"/>
      <c r="KLJ28" s="1266"/>
      <c r="KLK28" s="1266"/>
      <c r="KLL28" s="1266"/>
      <c r="KLM28" s="1266"/>
      <c r="KLN28" s="1266"/>
      <c r="KLO28" s="1266"/>
      <c r="KLP28" s="1266"/>
      <c r="KLQ28" s="1266"/>
      <c r="KLR28" s="1266"/>
      <c r="KLS28" s="1266"/>
      <c r="KLT28" s="1266"/>
      <c r="KLU28" s="1266"/>
      <c r="KLV28" s="1266"/>
      <c r="KLW28" s="1266"/>
      <c r="KLX28" s="1266"/>
      <c r="KLY28" s="1266"/>
      <c r="KLZ28" s="1266"/>
      <c r="KMA28" s="1266"/>
      <c r="KMB28" s="1266"/>
      <c r="KMC28" s="1266"/>
      <c r="KMD28" s="1266"/>
      <c r="KME28" s="1266"/>
      <c r="KMF28" s="1266"/>
      <c r="KMG28" s="1266"/>
      <c r="KMH28" s="1266"/>
      <c r="KMI28" s="1266"/>
      <c r="KMJ28" s="1266"/>
      <c r="KMK28" s="1266"/>
      <c r="KML28" s="1266"/>
      <c r="KMM28" s="1266"/>
      <c r="KMN28" s="1266"/>
      <c r="KMO28" s="1266"/>
      <c r="KMP28" s="1266"/>
      <c r="KMQ28" s="1266"/>
      <c r="KMR28" s="1266"/>
      <c r="KMS28" s="1266"/>
      <c r="KMT28" s="1266"/>
      <c r="KMU28" s="1266"/>
      <c r="KMV28" s="1266"/>
      <c r="KMW28" s="1266"/>
      <c r="KMX28" s="1266"/>
      <c r="KMY28" s="1266"/>
      <c r="KMZ28" s="1266"/>
      <c r="KNA28" s="1266"/>
      <c r="KNB28" s="1266"/>
      <c r="KNC28" s="1266"/>
      <c r="KND28" s="1266"/>
      <c r="KNE28" s="1266"/>
      <c r="KNF28" s="1266"/>
      <c r="KNG28" s="1266"/>
      <c r="KNH28" s="1266"/>
      <c r="KNI28" s="1266"/>
      <c r="KNJ28" s="1266"/>
      <c r="KNK28" s="1266"/>
      <c r="KNL28" s="1266"/>
      <c r="KNM28" s="1266"/>
      <c r="KNN28" s="1266"/>
      <c r="KNO28" s="1266"/>
      <c r="KNP28" s="1266"/>
      <c r="KNQ28" s="1266"/>
      <c r="KNR28" s="1266"/>
      <c r="KNS28" s="1266"/>
      <c r="KNT28" s="1266"/>
      <c r="KNU28" s="1266"/>
      <c r="KNV28" s="1266"/>
      <c r="KNW28" s="1266"/>
      <c r="KNX28" s="1266"/>
      <c r="KNY28" s="1266"/>
      <c r="KNZ28" s="1266"/>
      <c r="KOA28" s="1266"/>
      <c r="KOB28" s="1266"/>
      <c r="KOC28" s="1266"/>
      <c r="KOD28" s="1266"/>
      <c r="KOE28" s="1266"/>
      <c r="KOF28" s="1266"/>
      <c r="KOG28" s="1266"/>
      <c r="KOH28" s="1266"/>
      <c r="KOI28" s="1266"/>
      <c r="KOJ28" s="1266"/>
      <c r="KOK28" s="1266"/>
      <c r="KOL28" s="1266"/>
      <c r="KOM28" s="1266"/>
      <c r="KON28" s="1266"/>
      <c r="KOO28" s="1266"/>
      <c r="KOP28" s="1266"/>
      <c r="KOQ28" s="1266"/>
      <c r="KOR28" s="1266"/>
      <c r="KOS28" s="1266"/>
      <c r="KOT28" s="1266"/>
      <c r="KOU28" s="1266"/>
      <c r="KOV28" s="1266"/>
      <c r="KOW28" s="1266"/>
      <c r="KOX28" s="1266"/>
      <c r="KOY28" s="1266"/>
      <c r="KOZ28" s="1266"/>
      <c r="KPA28" s="1266"/>
      <c r="KPB28" s="1266"/>
      <c r="KPC28" s="1266"/>
      <c r="KPD28" s="1266"/>
      <c r="KPE28" s="1266"/>
      <c r="KPF28" s="1266"/>
      <c r="KPG28" s="1266"/>
      <c r="KPH28" s="1266"/>
      <c r="KPI28" s="1266"/>
      <c r="KPJ28" s="1266"/>
      <c r="KPK28" s="1266"/>
      <c r="KPL28" s="1266"/>
      <c r="KPM28" s="1266"/>
      <c r="KPN28" s="1266"/>
      <c r="KPO28" s="1266"/>
      <c r="KPP28" s="1266"/>
      <c r="KPQ28" s="1266"/>
      <c r="KPR28" s="1266"/>
      <c r="KPS28" s="1266"/>
      <c r="KPT28" s="1266"/>
      <c r="KPU28" s="1266"/>
      <c r="KPV28" s="1266"/>
      <c r="KPW28" s="1266"/>
      <c r="KPX28" s="1266"/>
      <c r="KPY28" s="1266"/>
      <c r="KPZ28" s="1266"/>
      <c r="KQA28" s="1266"/>
      <c r="KQB28" s="1266"/>
      <c r="KQC28" s="1266"/>
      <c r="KQD28" s="1266"/>
      <c r="KQE28" s="1266"/>
      <c r="KQF28" s="1266"/>
      <c r="KQG28" s="1266"/>
      <c r="KQH28" s="1266"/>
      <c r="KQI28" s="1266"/>
      <c r="KQJ28" s="1266"/>
      <c r="KQK28" s="1266"/>
      <c r="KQL28" s="1266"/>
      <c r="KQM28" s="1266"/>
      <c r="KQN28" s="1266"/>
      <c r="KQO28" s="1266"/>
      <c r="KQP28" s="1266"/>
      <c r="KQQ28" s="1266"/>
      <c r="KQR28" s="1266"/>
      <c r="KQS28" s="1266"/>
      <c r="KQT28" s="1266"/>
      <c r="KQU28" s="1266"/>
      <c r="KQV28" s="1266"/>
      <c r="KQW28" s="1266"/>
      <c r="KQX28" s="1266"/>
      <c r="KQY28" s="1266"/>
      <c r="KQZ28" s="1266"/>
      <c r="KRA28" s="1266"/>
      <c r="KRB28" s="1266"/>
      <c r="KRC28" s="1266"/>
      <c r="KRD28" s="1266"/>
      <c r="KRE28" s="1266"/>
      <c r="KRF28" s="1266"/>
      <c r="KRG28" s="1266"/>
      <c r="KRH28" s="1266"/>
      <c r="KRI28" s="1266"/>
      <c r="KRJ28" s="1266"/>
      <c r="KRK28" s="1266"/>
      <c r="KRL28" s="1266"/>
      <c r="KRM28" s="1266"/>
      <c r="KRN28" s="1266"/>
      <c r="KRO28" s="1266"/>
      <c r="KRP28" s="1266"/>
      <c r="KRQ28" s="1266"/>
      <c r="KRR28" s="1266"/>
      <c r="KRS28" s="1266"/>
      <c r="KRT28" s="1266"/>
      <c r="KRU28" s="1266"/>
      <c r="KRV28" s="1266"/>
      <c r="KRW28" s="1266"/>
      <c r="KRX28" s="1266"/>
      <c r="KRY28" s="1266"/>
      <c r="KRZ28" s="1266"/>
      <c r="KSA28" s="1266"/>
      <c r="KSB28" s="1266"/>
      <c r="KSC28" s="1266"/>
      <c r="KSD28" s="1266"/>
      <c r="KSE28" s="1266"/>
      <c r="KSF28" s="1266"/>
      <c r="KSG28" s="1266"/>
      <c r="KSH28" s="1266"/>
      <c r="KSI28" s="1266"/>
      <c r="KSJ28" s="1266"/>
      <c r="KSK28" s="1266"/>
      <c r="KSL28" s="1266"/>
      <c r="KSM28" s="1266"/>
      <c r="KSN28" s="1266"/>
      <c r="KSO28" s="1266"/>
      <c r="KSP28" s="1266"/>
      <c r="KSQ28" s="1266"/>
      <c r="KSR28" s="1266"/>
      <c r="KSS28" s="1266"/>
      <c r="KST28" s="1266"/>
      <c r="KSU28" s="1266"/>
      <c r="KSV28" s="1266"/>
      <c r="KSW28" s="1266"/>
      <c r="KSX28" s="1266"/>
      <c r="KSY28" s="1266"/>
      <c r="KSZ28" s="1266"/>
      <c r="KTA28" s="1266"/>
      <c r="KTB28" s="1266"/>
      <c r="KTC28" s="1266"/>
      <c r="KTD28" s="1266"/>
      <c r="KTE28" s="1266"/>
      <c r="KTF28" s="1266"/>
      <c r="KTG28" s="1266"/>
      <c r="KTH28" s="1266"/>
      <c r="KTI28" s="1266"/>
      <c r="KTJ28" s="1266"/>
      <c r="KTK28" s="1266"/>
      <c r="KTL28" s="1266"/>
      <c r="KTM28" s="1266"/>
      <c r="KTN28" s="1266"/>
      <c r="KTO28" s="1266"/>
      <c r="KTP28" s="1266"/>
      <c r="KTQ28" s="1266"/>
      <c r="KTR28" s="1266"/>
      <c r="KTS28" s="1266"/>
      <c r="KTT28" s="1266"/>
      <c r="KTU28" s="1266"/>
      <c r="KTV28" s="1266"/>
      <c r="KTW28" s="1266"/>
      <c r="KTX28" s="1266"/>
      <c r="KTY28" s="1266"/>
      <c r="KTZ28" s="1266"/>
      <c r="KUA28" s="1266"/>
      <c r="KUB28" s="1266"/>
      <c r="KUC28" s="1266"/>
      <c r="KUD28" s="1266"/>
      <c r="KUE28" s="1266"/>
      <c r="KUF28" s="1266"/>
      <c r="KUG28" s="1266"/>
      <c r="KUH28" s="1266"/>
      <c r="KUI28" s="1266"/>
      <c r="KUJ28" s="1266"/>
      <c r="KUK28" s="1266"/>
      <c r="KUL28" s="1266"/>
      <c r="KUM28" s="1266"/>
      <c r="KUN28" s="1266"/>
      <c r="KUO28" s="1266"/>
      <c r="KUP28" s="1266"/>
      <c r="KUQ28" s="1266"/>
      <c r="KUR28" s="1266"/>
      <c r="KUS28" s="1266"/>
      <c r="KUT28" s="1266"/>
      <c r="KUU28" s="1266"/>
      <c r="KUV28" s="1266"/>
      <c r="KUW28" s="1266"/>
      <c r="KUX28" s="1266"/>
      <c r="KUY28" s="1266"/>
      <c r="KUZ28" s="1266"/>
      <c r="KVA28" s="1266"/>
      <c r="KVB28" s="1266"/>
      <c r="KVC28" s="1266"/>
      <c r="KVD28" s="1266"/>
      <c r="KVE28" s="1266"/>
      <c r="KVF28" s="1266"/>
      <c r="KVG28" s="1266"/>
      <c r="KVH28" s="1266"/>
      <c r="KVI28" s="1266"/>
      <c r="KVJ28" s="1266"/>
      <c r="KVK28" s="1266"/>
      <c r="KVL28" s="1266"/>
      <c r="KVM28" s="1266"/>
      <c r="KVN28" s="1266"/>
      <c r="KVO28" s="1266"/>
      <c r="KVP28" s="1266"/>
      <c r="KVQ28" s="1266"/>
      <c r="KVR28" s="1266"/>
      <c r="KVS28" s="1266"/>
      <c r="KVT28" s="1266"/>
      <c r="KVU28" s="1266"/>
      <c r="KVV28" s="1266"/>
      <c r="KVW28" s="1266"/>
      <c r="KVX28" s="1266"/>
      <c r="KVY28" s="1266"/>
      <c r="KVZ28" s="1266"/>
      <c r="KWA28" s="1266"/>
      <c r="KWB28" s="1266"/>
      <c r="KWC28" s="1266"/>
      <c r="KWD28" s="1266"/>
      <c r="KWE28" s="1266"/>
      <c r="KWF28" s="1266"/>
      <c r="KWG28" s="1266"/>
      <c r="KWH28" s="1266"/>
      <c r="KWI28" s="1266"/>
      <c r="KWJ28" s="1266"/>
      <c r="KWK28" s="1266"/>
      <c r="KWL28" s="1266"/>
      <c r="KWM28" s="1266"/>
      <c r="KWN28" s="1266"/>
      <c r="KWO28" s="1266"/>
      <c r="KWP28" s="1266"/>
      <c r="KWQ28" s="1266"/>
      <c r="KWR28" s="1266"/>
      <c r="KWS28" s="1266"/>
      <c r="KWT28" s="1266"/>
      <c r="KWU28" s="1266"/>
      <c r="KWV28" s="1266"/>
      <c r="KWW28" s="1266"/>
      <c r="KWX28" s="1266"/>
      <c r="KWY28" s="1266"/>
      <c r="KWZ28" s="1266"/>
      <c r="KXA28" s="1266"/>
      <c r="KXB28" s="1266"/>
      <c r="KXC28" s="1266"/>
      <c r="KXD28" s="1266"/>
      <c r="KXE28" s="1266"/>
      <c r="KXF28" s="1266"/>
      <c r="KXG28" s="1266"/>
      <c r="KXH28" s="1266"/>
      <c r="KXI28" s="1266"/>
      <c r="KXJ28" s="1266"/>
      <c r="KXK28" s="1266"/>
      <c r="KXL28" s="1266"/>
      <c r="KXM28" s="1266"/>
      <c r="KXN28" s="1266"/>
      <c r="KXO28" s="1266"/>
      <c r="KXP28" s="1266"/>
      <c r="KXQ28" s="1266"/>
      <c r="KXR28" s="1266"/>
      <c r="KXS28" s="1266"/>
      <c r="KXT28" s="1266"/>
      <c r="KXU28" s="1266"/>
      <c r="KXV28" s="1266"/>
      <c r="KXW28" s="1266"/>
      <c r="KXX28" s="1266"/>
      <c r="KXY28" s="1266"/>
      <c r="KXZ28" s="1266"/>
      <c r="KYA28" s="1266"/>
      <c r="KYB28" s="1266"/>
      <c r="KYC28" s="1266"/>
      <c r="KYD28" s="1266"/>
      <c r="KYE28" s="1266"/>
      <c r="KYF28" s="1266"/>
      <c r="KYG28" s="1266"/>
      <c r="KYH28" s="1266"/>
      <c r="KYI28" s="1266"/>
      <c r="KYJ28" s="1266"/>
      <c r="KYK28" s="1266"/>
      <c r="KYL28" s="1266"/>
      <c r="KYM28" s="1266"/>
      <c r="KYN28" s="1266"/>
      <c r="KYO28" s="1266"/>
      <c r="KYP28" s="1266"/>
      <c r="KYQ28" s="1266"/>
      <c r="KYR28" s="1266"/>
      <c r="KYS28" s="1266"/>
      <c r="KYT28" s="1266"/>
      <c r="KYU28" s="1266"/>
      <c r="KYV28" s="1266"/>
      <c r="KYW28" s="1266"/>
      <c r="KYX28" s="1266"/>
      <c r="KYY28" s="1266"/>
      <c r="KYZ28" s="1266"/>
      <c r="KZA28" s="1266"/>
      <c r="KZB28" s="1266"/>
      <c r="KZC28" s="1266"/>
      <c r="KZD28" s="1266"/>
      <c r="KZE28" s="1266"/>
      <c r="KZF28" s="1266"/>
      <c r="KZG28" s="1266"/>
      <c r="KZH28" s="1266"/>
      <c r="KZI28" s="1266"/>
      <c r="KZJ28" s="1266"/>
      <c r="KZK28" s="1266"/>
      <c r="KZL28" s="1266"/>
      <c r="KZM28" s="1266"/>
      <c r="KZN28" s="1266"/>
      <c r="KZO28" s="1266"/>
      <c r="KZP28" s="1266"/>
      <c r="KZQ28" s="1266"/>
      <c r="KZR28" s="1266"/>
      <c r="KZS28" s="1266"/>
      <c r="KZT28" s="1266"/>
      <c r="KZU28" s="1266"/>
      <c r="KZV28" s="1266"/>
      <c r="KZW28" s="1266"/>
      <c r="KZX28" s="1266"/>
      <c r="KZY28" s="1266"/>
      <c r="KZZ28" s="1266"/>
      <c r="LAA28" s="1266"/>
      <c r="LAB28" s="1266"/>
      <c r="LAC28" s="1266"/>
      <c r="LAD28" s="1266"/>
      <c r="LAE28" s="1266"/>
      <c r="LAF28" s="1266"/>
      <c r="LAG28" s="1266"/>
      <c r="LAH28" s="1266"/>
      <c r="LAI28" s="1266"/>
      <c r="LAJ28" s="1266"/>
      <c r="LAK28" s="1266"/>
      <c r="LAL28" s="1266"/>
      <c r="LAM28" s="1266"/>
      <c r="LAN28" s="1266"/>
      <c r="LAO28" s="1266"/>
      <c r="LAP28" s="1266"/>
      <c r="LAQ28" s="1266"/>
      <c r="LAR28" s="1266"/>
      <c r="LAS28" s="1266"/>
      <c r="LAT28" s="1266"/>
      <c r="LAU28" s="1266"/>
      <c r="LAV28" s="1266"/>
      <c r="LAW28" s="1266"/>
      <c r="LAX28" s="1266"/>
      <c r="LAY28" s="1266"/>
      <c r="LAZ28" s="1266"/>
      <c r="LBA28" s="1266"/>
      <c r="LBB28" s="1266"/>
      <c r="LBC28" s="1266"/>
      <c r="LBD28" s="1266"/>
      <c r="LBE28" s="1266"/>
      <c r="LBF28" s="1266"/>
      <c r="LBG28" s="1266"/>
      <c r="LBH28" s="1266"/>
      <c r="LBI28" s="1266"/>
      <c r="LBJ28" s="1266"/>
      <c r="LBK28" s="1266"/>
      <c r="LBL28" s="1266"/>
      <c r="LBM28" s="1266"/>
      <c r="LBN28" s="1266"/>
      <c r="LBO28" s="1266"/>
      <c r="LBP28" s="1266"/>
      <c r="LBQ28" s="1266"/>
      <c r="LBR28" s="1266"/>
      <c r="LBS28" s="1266"/>
      <c r="LBT28" s="1266"/>
      <c r="LBU28" s="1266"/>
      <c r="LBV28" s="1266"/>
      <c r="LBW28" s="1266"/>
      <c r="LBX28" s="1266"/>
      <c r="LBY28" s="1266"/>
      <c r="LBZ28" s="1266"/>
      <c r="LCA28" s="1266"/>
      <c r="LCB28" s="1266"/>
      <c r="LCC28" s="1266"/>
      <c r="LCD28" s="1266"/>
      <c r="LCE28" s="1266"/>
      <c r="LCF28" s="1266"/>
      <c r="LCG28" s="1266"/>
      <c r="LCH28" s="1266"/>
      <c r="LCI28" s="1266"/>
      <c r="LCJ28" s="1266"/>
      <c r="LCK28" s="1266"/>
      <c r="LCL28" s="1266"/>
      <c r="LCM28" s="1266"/>
      <c r="LCN28" s="1266"/>
      <c r="LCO28" s="1266"/>
      <c r="LCP28" s="1266"/>
      <c r="LCQ28" s="1266"/>
      <c r="LCR28" s="1266"/>
      <c r="LCS28" s="1266"/>
      <c r="LCT28" s="1266"/>
      <c r="LCU28" s="1266"/>
      <c r="LCV28" s="1266"/>
      <c r="LCW28" s="1266"/>
      <c r="LCX28" s="1266"/>
      <c r="LCY28" s="1266"/>
      <c r="LCZ28" s="1266"/>
      <c r="LDA28" s="1266"/>
      <c r="LDB28" s="1266"/>
      <c r="LDC28" s="1266"/>
      <c r="LDD28" s="1266"/>
      <c r="LDE28" s="1266"/>
      <c r="LDF28" s="1266"/>
      <c r="LDG28" s="1266"/>
      <c r="LDH28" s="1266"/>
      <c r="LDI28" s="1266"/>
      <c r="LDJ28" s="1266"/>
      <c r="LDK28" s="1266"/>
      <c r="LDL28" s="1266"/>
      <c r="LDM28" s="1266"/>
      <c r="LDN28" s="1266"/>
      <c r="LDO28" s="1266"/>
      <c r="LDP28" s="1266"/>
      <c r="LDQ28" s="1266"/>
      <c r="LDR28" s="1266"/>
      <c r="LDS28" s="1266"/>
      <c r="LDT28" s="1266"/>
      <c r="LDU28" s="1266"/>
      <c r="LDV28" s="1266"/>
      <c r="LDW28" s="1266"/>
      <c r="LDX28" s="1266"/>
      <c r="LDY28" s="1266"/>
      <c r="LDZ28" s="1266"/>
      <c r="LEA28" s="1266"/>
      <c r="LEB28" s="1266"/>
      <c r="LEC28" s="1266"/>
      <c r="LED28" s="1266"/>
      <c r="LEE28" s="1266"/>
      <c r="LEF28" s="1266"/>
      <c r="LEG28" s="1266"/>
      <c r="LEH28" s="1266"/>
      <c r="LEI28" s="1266"/>
      <c r="LEJ28" s="1266"/>
      <c r="LEK28" s="1266"/>
      <c r="LEL28" s="1266"/>
      <c r="LEM28" s="1266"/>
      <c r="LEN28" s="1266"/>
      <c r="LEO28" s="1266"/>
      <c r="LEP28" s="1266"/>
      <c r="LEQ28" s="1266"/>
      <c r="LER28" s="1266"/>
      <c r="LES28" s="1266"/>
      <c r="LET28" s="1266"/>
      <c r="LEU28" s="1266"/>
      <c r="LEV28" s="1266"/>
      <c r="LEW28" s="1266"/>
      <c r="LEX28" s="1266"/>
      <c r="LEY28" s="1266"/>
      <c r="LEZ28" s="1266"/>
      <c r="LFA28" s="1266"/>
      <c r="LFB28" s="1266"/>
      <c r="LFC28" s="1266"/>
      <c r="LFD28" s="1266"/>
      <c r="LFE28" s="1266"/>
      <c r="LFF28" s="1266"/>
      <c r="LFG28" s="1266"/>
      <c r="LFH28" s="1266"/>
      <c r="LFI28" s="1266"/>
      <c r="LFJ28" s="1266"/>
      <c r="LFK28" s="1266"/>
      <c r="LFL28" s="1266"/>
      <c r="LFM28" s="1266"/>
      <c r="LFN28" s="1266"/>
      <c r="LFO28" s="1266"/>
      <c r="LFP28" s="1266"/>
      <c r="LFQ28" s="1266"/>
      <c r="LFR28" s="1266"/>
      <c r="LFS28" s="1266"/>
      <c r="LFT28" s="1266"/>
      <c r="LFU28" s="1266"/>
      <c r="LFV28" s="1266"/>
      <c r="LFW28" s="1266"/>
      <c r="LFX28" s="1266"/>
      <c r="LFY28" s="1266"/>
      <c r="LFZ28" s="1266"/>
      <c r="LGA28" s="1266"/>
      <c r="LGB28" s="1266"/>
      <c r="LGC28" s="1266"/>
      <c r="LGD28" s="1266"/>
      <c r="LGE28" s="1266"/>
      <c r="LGF28" s="1266"/>
      <c r="LGG28" s="1266"/>
      <c r="LGH28" s="1266"/>
      <c r="LGI28" s="1266"/>
      <c r="LGJ28" s="1266"/>
      <c r="LGK28" s="1266"/>
      <c r="LGL28" s="1266"/>
      <c r="LGM28" s="1266"/>
      <c r="LGN28" s="1266"/>
      <c r="LGO28" s="1266"/>
      <c r="LGP28" s="1266"/>
      <c r="LGQ28" s="1266"/>
      <c r="LGR28" s="1266"/>
      <c r="LGS28" s="1266"/>
      <c r="LGT28" s="1266"/>
      <c r="LGU28" s="1266"/>
      <c r="LGV28" s="1266"/>
      <c r="LGW28" s="1266"/>
      <c r="LGX28" s="1266"/>
      <c r="LGY28" s="1266"/>
      <c r="LGZ28" s="1266"/>
      <c r="LHA28" s="1266"/>
      <c r="LHB28" s="1266"/>
      <c r="LHC28" s="1266"/>
      <c r="LHD28" s="1266"/>
      <c r="LHE28" s="1266"/>
      <c r="LHF28" s="1266"/>
      <c r="LHG28" s="1266"/>
      <c r="LHH28" s="1266"/>
      <c r="LHI28" s="1266"/>
      <c r="LHJ28" s="1266"/>
      <c r="LHK28" s="1266"/>
      <c r="LHL28" s="1266"/>
      <c r="LHM28" s="1266"/>
      <c r="LHN28" s="1266"/>
      <c r="LHO28" s="1266"/>
      <c r="LHP28" s="1266"/>
      <c r="LHQ28" s="1266"/>
      <c r="LHR28" s="1266"/>
      <c r="LHS28" s="1266"/>
      <c r="LHT28" s="1266"/>
      <c r="LHU28" s="1266"/>
      <c r="LHV28" s="1266"/>
      <c r="LHW28" s="1266"/>
      <c r="LHX28" s="1266"/>
      <c r="LHY28" s="1266"/>
      <c r="LHZ28" s="1266"/>
      <c r="LIA28" s="1266"/>
      <c r="LIB28" s="1266"/>
      <c r="LIC28" s="1266"/>
      <c r="LID28" s="1266"/>
      <c r="LIE28" s="1266"/>
      <c r="LIF28" s="1266"/>
      <c r="LIG28" s="1266"/>
      <c r="LIH28" s="1266"/>
      <c r="LII28" s="1266"/>
      <c r="LIJ28" s="1266"/>
      <c r="LIK28" s="1266"/>
      <c r="LIL28" s="1266"/>
      <c r="LIM28" s="1266"/>
      <c r="LIN28" s="1266"/>
      <c r="LIO28" s="1266"/>
      <c r="LIP28" s="1266"/>
      <c r="LIQ28" s="1266"/>
      <c r="LIR28" s="1266"/>
      <c r="LIS28" s="1266"/>
      <c r="LIT28" s="1266"/>
      <c r="LIU28" s="1266"/>
      <c r="LIV28" s="1266"/>
      <c r="LIW28" s="1266"/>
      <c r="LIX28" s="1266"/>
      <c r="LIY28" s="1266"/>
      <c r="LIZ28" s="1266"/>
      <c r="LJA28" s="1266"/>
      <c r="LJB28" s="1266"/>
      <c r="LJC28" s="1266"/>
      <c r="LJD28" s="1266"/>
      <c r="LJE28" s="1266"/>
      <c r="LJF28" s="1266"/>
      <c r="LJG28" s="1266"/>
      <c r="LJH28" s="1266"/>
      <c r="LJI28" s="1266"/>
      <c r="LJJ28" s="1266"/>
      <c r="LJK28" s="1266"/>
      <c r="LJL28" s="1266"/>
      <c r="LJM28" s="1266"/>
      <c r="LJN28" s="1266"/>
      <c r="LJO28" s="1266"/>
      <c r="LJP28" s="1266"/>
      <c r="LJQ28" s="1266"/>
      <c r="LJR28" s="1266"/>
      <c r="LJS28" s="1266"/>
      <c r="LJT28" s="1266"/>
      <c r="LJU28" s="1266"/>
      <c r="LJV28" s="1266"/>
      <c r="LJW28" s="1266"/>
      <c r="LJX28" s="1266"/>
      <c r="LJY28" s="1266"/>
      <c r="LJZ28" s="1266"/>
      <c r="LKA28" s="1266"/>
      <c r="LKB28" s="1266"/>
      <c r="LKC28" s="1266"/>
      <c r="LKD28" s="1266"/>
      <c r="LKE28" s="1266"/>
      <c r="LKF28" s="1266"/>
      <c r="LKG28" s="1266"/>
      <c r="LKH28" s="1266"/>
      <c r="LKI28" s="1266"/>
      <c r="LKJ28" s="1266"/>
      <c r="LKK28" s="1266"/>
      <c r="LKL28" s="1266"/>
      <c r="LKM28" s="1266"/>
      <c r="LKN28" s="1266"/>
      <c r="LKO28" s="1266"/>
      <c r="LKP28" s="1266"/>
      <c r="LKQ28" s="1266"/>
      <c r="LKR28" s="1266"/>
      <c r="LKS28" s="1266"/>
      <c r="LKT28" s="1266"/>
      <c r="LKU28" s="1266"/>
      <c r="LKV28" s="1266"/>
      <c r="LKW28" s="1266"/>
      <c r="LKX28" s="1266"/>
      <c r="LKY28" s="1266"/>
      <c r="LKZ28" s="1266"/>
      <c r="LLA28" s="1266"/>
      <c r="LLB28" s="1266"/>
      <c r="LLC28" s="1266"/>
      <c r="LLD28" s="1266"/>
      <c r="LLE28" s="1266"/>
      <c r="LLF28" s="1266"/>
      <c r="LLG28" s="1266"/>
      <c r="LLH28" s="1266"/>
      <c r="LLI28" s="1266"/>
      <c r="LLJ28" s="1266"/>
      <c r="LLK28" s="1266"/>
      <c r="LLL28" s="1266"/>
      <c r="LLM28" s="1266"/>
      <c r="LLN28" s="1266"/>
      <c r="LLO28" s="1266"/>
      <c r="LLP28" s="1266"/>
      <c r="LLQ28" s="1266"/>
      <c r="LLR28" s="1266"/>
      <c r="LLS28" s="1266"/>
      <c r="LLT28" s="1266"/>
      <c r="LLU28" s="1266"/>
      <c r="LLV28" s="1266"/>
      <c r="LLW28" s="1266"/>
      <c r="LLX28" s="1266"/>
      <c r="LLY28" s="1266"/>
      <c r="LLZ28" s="1266"/>
      <c r="LMA28" s="1266"/>
      <c r="LMB28" s="1266"/>
      <c r="LMC28" s="1266"/>
      <c r="LMD28" s="1266"/>
      <c r="LME28" s="1266"/>
      <c r="LMF28" s="1266"/>
      <c r="LMG28" s="1266"/>
      <c r="LMH28" s="1266"/>
      <c r="LMI28" s="1266"/>
      <c r="LMJ28" s="1266"/>
      <c r="LMK28" s="1266"/>
      <c r="LML28" s="1266"/>
      <c r="LMM28" s="1266"/>
      <c r="LMN28" s="1266"/>
      <c r="LMO28" s="1266"/>
      <c r="LMP28" s="1266"/>
      <c r="LMQ28" s="1266"/>
      <c r="LMR28" s="1266"/>
      <c r="LMS28" s="1266"/>
      <c r="LMT28" s="1266"/>
      <c r="LMU28" s="1266"/>
      <c r="LMV28" s="1266"/>
      <c r="LMW28" s="1266"/>
      <c r="LMX28" s="1266"/>
      <c r="LMY28" s="1266"/>
      <c r="LMZ28" s="1266"/>
      <c r="LNA28" s="1266"/>
      <c r="LNB28" s="1266"/>
      <c r="LNC28" s="1266"/>
      <c r="LND28" s="1266"/>
      <c r="LNE28" s="1266"/>
      <c r="LNF28" s="1266"/>
      <c r="LNG28" s="1266"/>
      <c r="LNH28" s="1266"/>
      <c r="LNI28" s="1266"/>
      <c r="LNJ28" s="1266"/>
      <c r="LNK28" s="1266"/>
      <c r="LNL28" s="1266"/>
      <c r="LNM28" s="1266"/>
      <c r="LNN28" s="1266"/>
      <c r="LNO28" s="1266"/>
      <c r="LNP28" s="1266"/>
      <c r="LNQ28" s="1266"/>
      <c r="LNR28" s="1266"/>
      <c r="LNS28" s="1266"/>
      <c r="LNT28" s="1266"/>
      <c r="LNU28" s="1266"/>
      <c r="LNV28" s="1266"/>
      <c r="LNW28" s="1266"/>
      <c r="LNX28" s="1266"/>
      <c r="LNY28" s="1266"/>
      <c r="LNZ28" s="1266"/>
      <c r="LOA28" s="1266"/>
      <c r="LOB28" s="1266"/>
      <c r="LOC28" s="1266"/>
      <c r="LOD28" s="1266"/>
      <c r="LOE28" s="1266"/>
      <c r="LOF28" s="1266"/>
      <c r="LOG28" s="1266"/>
      <c r="LOH28" s="1266"/>
      <c r="LOI28" s="1266"/>
      <c r="LOJ28" s="1266"/>
      <c r="LOK28" s="1266"/>
      <c r="LOL28" s="1266"/>
      <c r="LOM28" s="1266"/>
      <c r="LON28" s="1266"/>
      <c r="LOO28" s="1266"/>
      <c r="LOP28" s="1266"/>
      <c r="LOQ28" s="1266"/>
      <c r="LOR28" s="1266"/>
      <c r="LOS28" s="1266"/>
      <c r="LOT28" s="1266"/>
      <c r="LOU28" s="1266"/>
      <c r="LOV28" s="1266"/>
      <c r="LOW28" s="1266"/>
      <c r="LOX28" s="1266"/>
      <c r="LOY28" s="1266"/>
      <c r="LOZ28" s="1266"/>
      <c r="LPA28" s="1266"/>
      <c r="LPB28" s="1266"/>
      <c r="LPC28" s="1266"/>
      <c r="LPD28" s="1266"/>
      <c r="LPE28" s="1266"/>
      <c r="LPF28" s="1266"/>
      <c r="LPG28" s="1266"/>
      <c r="LPH28" s="1266"/>
      <c r="LPI28" s="1266"/>
      <c r="LPJ28" s="1266"/>
      <c r="LPK28" s="1266"/>
      <c r="LPL28" s="1266"/>
      <c r="LPM28" s="1266"/>
      <c r="LPN28" s="1266"/>
      <c r="LPO28" s="1266"/>
      <c r="LPP28" s="1266"/>
      <c r="LPQ28" s="1266"/>
      <c r="LPR28" s="1266"/>
      <c r="LPS28" s="1266"/>
      <c r="LPT28" s="1266"/>
      <c r="LPU28" s="1266"/>
      <c r="LPV28" s="1266"/>
      <c r="LPW28" s="1266"/>
      <c r="LPX28" s="1266"/>
      <c r="LPY28" s="1266"/>
      <c r="LPZ28" s="1266"/>
      <c r="LQA28" s="1266"/>
      <c r="LQB28" s="1266"/>
      <c r="LQC28" s="1266"/>
      <c r="LQD28" s="1266"/>
      <c r="LQE28" s="1266"/>
      <c r="LQF28" s="1266"/>
      <c r="LQG28" s="1266"/>
      <c r="LQH28" s="1266"/>
      <c r="LQI28" s="1266"/>
      <c r="LQJ28" s="1266"/>
      <c r="LQK28" s="1266"/>
      <c r="LQL28" s="1266"/>
      <c r="LQM28" s="1266"/>
      <c r="LQN28" s="1266"/>
      <c r="LQO28" s="1266"/>
      <c r="LQP28" s="1266"/>
      <c r="LQQ28" s="1266"/>
      <c r="LQR28" s="1266"/>
      <c r="LQS28" s="1266"/>
      <c r="LQT28" s="1266"/>
      <c r="LQU28" s="1266"/>
      <c r="LQV28" s="1266"/>
      <c r="LQW28" s="1266"/>
      <c r="LQX28" s="1266"/>
      <c r="LQY28" s="1266"/>
      <c r="LQZ28" s="1266"/>
      <c r="LRA28" s="1266"/>
      <c r="LRB28" s="1266"/>
      <c r="LRC28" s="1266"/>
      <c r="LRD28" s="1266"/>
      <c r="LRE28" s="1266"/>
      <c r="LRF28" s="1266"/>
      <c r="LRG28" s="1266"/>
      <c r="LRH28" s="1266"/>
      <c r="LRI28" s="1266"/>
      <c r="LRJ28" s="1266"/>
      <c r="LRK28" s="1266"/>
      <c r="LRL28" s="1266"/>
      <c r="LRM28" s="1266"/>
      <c r="LRN28" s="1266"/>
      <c r="LRO28" s="1266"/>
      <c r="LRP28" s="1266"/>
      <c r="LRQ28" s="1266"/>
      <c r="LRR28" s="1266"/>
      <c r="LRS28" s="1266"/>
      <c r="LRT28" s="1266"/>
      <c r="LRU28" s="1266"/>
      <c r="LRV28" s="1266"/>
      <c r="LRW28" s="1266"/>
      <c r="LRX28" s="1266"/>
      <c r="LRY28" s="1266"/>
      <c r="LRZ28" s="1266"/>
      <c r="LSA28" s="1266"/>
      <c r="LSB28" s="1266"/>
      <c r="LSC28" s="1266"/>
      <c r="LSD28" s="1266"/>
      <c r="LSE28" s="1266"/>
      <c r="LSF28" s="1266"/>
      <c r="LSG28" s="1266"/>
      <c r="LSH28" s="1266"/>
      <c r="LSI28" s="1266"/>
      <c r="LSJ28" s="1266"/>
      <c r="LSK28" s="1266"/>
      <c r="LSL28" s="1266"/>
      <c r="LSM28" s="1266"/>
      <c r="LSN28" s="1266"/>
      <c r="LSO28" s="1266"/>
      <c r="LSP28" s="1266"/>
      <c r="LSQ28" s="1266"/>
      <c r="LSR28" s="1266"/>
      <c r="LSS28" s="1266"/>
      <c r="LST28" s="1266"/>
      <c r="LSU28" s="1266"/>
      <c r="LSV28" s="1266"/>
      <c r="LSW28" s="1266"/>
      <c r="LSX28" s="1266"/>
      <c r="LSY28" s="1266"/>
      <c r="LSZ28" s="1266"/>
      <c r="LTA28" s="1266"/>
      <c r="LTB28" s="1266"/>
      <c r="LTC28" s="1266"/>
      <c r="LTD28" s="1266"/>
      <c r="LTE28" s="1266"/>
      <c r="LTF28" s="1266"/>
      <c r="LTG28" s="1266"/>
      <c r="LTH28" s="1266"/>
      <c r="LTI28" s="1266"/>
      <c r="LTJ28" s="1266"/>
      <c r="LTK28" s="1266"/>
      <c r="LTL28" s="1266"/>
      <c r="LTM28" s="1266"/>
      <c r="LTN28" s="1266"/>
      <c r="LTO28" s="1266"/>
      <c r="LTP28" s="1266"/>
      <c r="LTQ28" s="1266"/>
      <c r="LTR28" s="1266"/>
      <c r="LTS28" s="1266"/>
      <c r="LTT28" s="1266"/>
      <c r="LTU28" s="1266"/>
      <c r="LTV28" s="1266"/>
      <c r="LTW28" s="1266"/>
      <c r="LTX28" s="1266"/>
      <c r="LTY28" s="1266"/>
      <c r="LTZ28" s="1266"/>
      <c r="LUA28" s="1266"/>
      <c r="LUB28" s="1266"/>
      <c r="LUC28" s="1266"/>
      <c r="LUD28" s="1266"/>
      <c r="LUE28" s="1266"/>
      <c r="LUF28" s="1266"/>
      <c r="LUG28" s="1266"/>
      <c r="LUH28" s="1266"/>
      <c r="LUI28" s="1266"/>
      <c r="LUJ28" s="1266"/>
      <c r="LUK28" s="1266"/>
      <c r="LUL28" s="1266"/>
      <c r="LUM28" s="1266"/>
      <c r="LUN28" s="1266"/>
      <c r="LUO28" s="1266"/>
      <c r="LUP28" s="1266"/>
      <c r="LUQ28" s="1266"/>
      <c r="LUR28" s="1266"/>
      <c r="LUS28" s="1266"/>
      <c r="LUT28" s="1266"/>
      <c r="LUU28" s="1266"/>
      <c r="LUV28" s="1266"/>
      <c r="LUW28" s="1266"/>
      <c r="LUX28" s="1266"/>
      <c r="LUY28" s="1266"/>
      <c r="LUZ28" s="1266"/>
      <c r="LVA28" s="1266"/>
      <c r="LVB28" s="1266"/>
      <c r="LVC28" s="1266"/>
      <c r="LVD28" s="1266"/>
      <c r="LVE28" s="1266"/>
      <c r="LVF28" s="1266"/>
      <c r="LVG28" s="1266"/>
      <c r="LVH28" s="1266"/>
      <c r="LVI28" s="1266"/>
      <c r="LVJ28" s="1266"/>
      <c r="LVK28" s="1266"/>
      <c r="LVL28" s="1266"/>
      <c r="LVM28" s="1266"/>
      <c r="LVN28" s="1266"/>
      <c r="LVO28" s="1266"/>
      <c r="LVP28" s="1266"/>
      <c r="LVQ28" s="1266"/>
      <c r="LVR28" s="1266"/>
      <c r="LVS28" s="1266"/>
      <c r="LVT28" s="1266"/>
      <c r="LVU28" s="1266"/>
      <c r="LVV28" s="1266"/>
      <c r="LVW28" s="1266"/>
      <c r="LVX28" s="1266"/>
      <c r="LVY28" s="1266"/>
      <c r="LVZ28" s="1266"/>
      <c r="LWA28" s="1266"/>
      <c r="LWB28" s="1266"/>
      <c r="LWC28" s="1266"/>
      <c r="LWD28" s="1266"/>
      <c r="LWE28" s="1266"/>
      <c r="LWF28" s="1266"/>
      <c r="LWG28" s="1266"/>
      <c r="LWH28" s="1266"/>
      <c r="LWI28" s="1266"/>
      <c r="LWJ28" s="1266"/>
      <c r="LWK28" s="1266"/>
      <c r="LWL28" s="1266"/>
      <c r="LWM28" s="1266"/>
      <c r="LWN28" s="1266"/>
      <c r="LWO28" s="1266"/>
      <c r="LWP28" s="1266"/>
      <c r="LWQ28" s="1266"/>
      <c r="LWR28" s="1266"/>
      <c r="LWS28" s="1266"/>
      <c r="LWT28" s="1266"/>
      <c r="LWU28" s="1266"/>
      <c r="LWV28" s="1266"/>
      <c r="LWW28" s="1266"/>
      <c r="LWX28" s="1266"/>
      <c r="LWY28" s="1266"/>
      <c r="LWZ28" s="1266"/>
      <c r="LXA28" s="1266"/>
      <c r="LXB28" s="1266"/>
      <c r="LXC28" s="1266"/>
      <c r="LXD28" s="1266"/>
      <c r="LXE28" s="1266"/>
      <c r="LXF28" s="1266"/>
      <c r="LXG28" s="1266"/>
      <c r="LXH28" s="1266"/>
      <c r="LXI28" s="1266"/>
      <c r="LXJ28" s="1266"/>
      <c r="LXK28" s="1266"/>
      <c r="LXL28" s="1266"/>
      <c r="LXM28" s="1266"/>
      <c r="LXN28" s="1266"/>
      <c r="LXO28" s="1266"/>
      <c r="LXP28" s="1266"/>
      <c r="LXQ28" s="1266"/>
      <c r="LXR28" s="1266"/>
      <c r="LXS28" s="1266"/>
      <c r="LXT28" s="1266"/>
      <c r="LXU28" s="1266"/>
      <c r="LXV28" s="1266"/>
      <c r="LXW28" s="1266"/>
      <c r="LXX28" s="1266"/>
      <c r="LXY28" s="1266"/>
      <c r="LXZ28" s="1266"/>
      <c r="LYA28" s="1266"/>
      <c r="LYB28" s="1266"/>
      <c r="LYC28" s="1266"/>
      <c r="LYD28" s="1266"/>
      <c r="LYE28" s="1266"/>
      <c r="LYF28" s="1266"/>
      <c r="LYG28" s="1266"/>
      <c r="LYH28" s="1266"/>
      <c r="LYI28" s="1266"/>
      <c r="LYJ28" s="1266"/>
      <c r="LYK28" s="1266"/>
      <c r="LYL28" s="1266"/>
      <c r="LYM28" s="1266"/>
      <c r="LYN28" s="1266"/>
      <c r="LYO28" s="1266"/>
      <c r="LYP28" s="1266"/>
      <c r="LYQ28" s="1266"/>
      <c r="LYR28" s="1266"/>
      <c r="LYS28" s="1266"/>
      <c r="LYT28" s="1266"/>
      <c r="LYU28" s="1266"/>
      <c r="LYV28" s="1266"/>
      <c r="LYW28" s="1266"/>
      <c r="LYX28" s="1266"/>
      <c r="LYY28" s="1266"/>
      <c r="LYZ28" s="1266"/>
      <c r="LZA28" s="1266"/>
      <c r="LZB28" s="1266"/>
      <c r="LZC28" s="1266"/>
      <c r="LZD28" s="1266"/>
      <c r="LZE28" s="1266"/>
      <c r="LZF28" s="1266"/>
      <c r="LZG28" s="1266"/>
      <c r="LZH28" s="1266"/>
      <c r="LZI28" s="1266"/>
      <c r="LZJ28" s="1266"/>
      <c r="LZK28" s="1266"/>
      <c r="LZL28" s="1266"/>
      <c r="LZM28" s="1266"/>
      <c r="LZN28" s="1266"/>
      <c r="LZO28" s="1266"/>
      <c r="LZP28" s="1266"/>
      <c r="LZQ28" s="1266"/>
      <c r="LZR28" s="1266"/>
      <c r="LZS28" s="1266"/>
      <c r="LZT28" s="1266"/>
      <c r="LZU28" s="1266"/>
      <c r="LZV28" s="1266"/>
      <c r="LZW28" s="1266"/>
      <c r="LZX28" s="1266"/>
      <c r="LZY28" s="1266"/>
      <c r="LZZ28" s="1266"/>
      <c r="MAA28" s="1266"/>
      <c r="MAB28" s="1266"/>
      <c r="MAC28" s="1266"/>
      <c r="MAD28" s="1266"/>
      <c r="MAE28" s="1266"/>
      <c r="MAF28" s="1266"/>
      <c r="MAG28" s="1266"/>
      <c r="MAH28" s="1266"/>
      <c r="MAI28" s="1266"/>
      <c r="MAJ28" s="1266"/>
      <c r="MAK28" s="1266"/>
      <c r="MAL28" s="1266"/>
      <c r="MAM28" s="1266"/>
      <c r="MAN28" s="1266"/>
      <c r="MAO28" s="1266"/>
      <c r="MAP28" s="1266"/>
      <c r="MAQ28" s="1266"/>
      <c r="MAR28" s="1266"/>
      <c r="MAS28" s="1266"/>
      <c r="MAT28" s="1266"/>
      <c r="MAU28" s="1266"/>
      <c r="MAV28" s="1266"/>
      <c r="MAW28" s="1266"/>
      <c r="MAX28" s="1266"/>
      <c r="MAY28" s="1266"/>
      <c r="MAZ28" s="1266"/>
      <c r="MBA28" s="1266"/>
      <c r="MBB28" s="1266"/>
      <c r="MBC28" s="1266"/>
      <c r="MBD28" s="1266"/>
      <c r="MBE28" s="1266"/>
      <c r="MBF28" s="1266"/>
      <c r="MBG28" s="1266"/>
      <c r="MBH28" s="1266"/>
      <c r="MBI28" s="1266"/>
      <c r="MBJ28" s="1266"/>
      <c r="MBK28" s="1266"/>
      <c r="MBL28" s="1266"/>
      <c r="MBM28" s="1266"/>
      <c r="MBN28" s="1266"/>
      <c r="MBO28" s="1266"/>
      <c r="MBP28" s="1266"/>
      <c r="MBQ28" s="1266"/>
      <c r="MBR28" s="1266"/>
      <c r="MBS28" s="1266"/>
      <c r="MBT28" s="1266"/>
      <c r="MBU28" s="1266"/>
      <c r="MBV28" s="1266"/>
      <c r="MBW28" s="1266"/>
      <c r="MBX28" s="1266"/>
      <c r="MBY28" s="1266"/>
      <c r="MBZ28" s="1266"/>
      <c r="MCA28" s="1266"/>
      <c r="MCB28" s="1266"/>
      <c r="MCC28" s="1266"/>
      <c r="MCD28" s="1266"/>
      <c r="MCE28" s="1266"/>
      <c r="MCF28" s="1266"/>
      <c r="MCG28" s="1266"/>
      <c r="MCH28" s="1266"/>
      <c r="MCI28" s="1266"/>
      <c r="MCJ28" s="1266"/>
      <c r="MCK28" s="1266"/>
      <c r="MCL28" s="1266"/>
      <c r="MCM28" s="1266"/>
      <c r="MCN28" s="1266"/>
      <c r="MCO28" s="1266"/>
      <c r="MCP28" s="1266"/>
      <c r="MCQ28" s="1266"/>
      <c r="MCR28" s="1266"/>
      <c r="MCS28" s="1266"/>
      <c r="MCT28" s="1266"/>
      <c r="MCU28" s="1266"/>
      <c r="MCV28" s="1266"/>
      <c r="MCW28" s="1266"/>
      <c r="MCX28" s="1266"/>
      <c r="MCY28" s="1266"/>
      <c r="MCZ28" s="1266"/>
      <c r="MDA28" s="1266"/>
      <c r="MDB28" s="1266"/>
      <c r="MDC28" s="1266"/>
      <c r="MDD28" s="1266"/>
      <c r="MDE28" s="1266"/>
      <c r="MDF28" s="1266"/>
      <c r="MDG28" s="1266"/>
      <c r="MDH28" s="1266"/>
      <c r="MDI28" s="1266"/>
      <c r="MDJ28" s="1266"/>
      <c r="MDK28" s="1266"/>
      <c r="MDL28" s="1266"/>
      <c r="MDM28" s="1266"/>
      <c r="MDN28" s="1266"/>
      <c r="MDO28" s="1266"/>
      <c r="MDP28" s="1266"/>
      <c r="MDQ28" s="1266"/>
      <c r="MDR28" s="1266"/>
      <c r="MDS28" s="1266"/>
      <c r="MDT28" s="1266"/>
      <c r="MDU28" s="1266"/>
      <c r="MDV28" s="1266"/>
      <c r="MDW28" s="1266"/>
      <c r="MDX28" s="1266"/>
      <c r="MDY28" s="1266"/>
      <c r="MDZ28" s="1266"/>
      <c r="MEA28" s="1266"/>
      <c r="MEB28" s="1266"/>
      <c r="MEC28" s="1266"/>
      <c r="MED28" s="1266"/>
      <c r="MEE28" s="1266"/>
      <c r="MEF28" s="1266"/>
      <c r="MEG28" s="1266"/>
      <c r="MEH28" s="1266"/>
      <c r="MEI28" s="1266"/>
      <c r="MEJ28" s="1266"/>
      <c r="MEK28" s="1266"/>
      <c r="MEL28" s="1266"/>
      <c r="MEM28" s="1266"/>
      <c r="MEN28" s="1266"/>
      <c r="MEO28" s="1266"/>
      <c r="MEP28" s="1266"/>
      <c r="MEQ28" s="1266"/>
      <c r="MER28" s="1266"/>
      <c r="MES28" s="1266"/>
      <c r="MET28" s="1266"/>
      <c r="MEU28" s="1266"/>
      <c r="MEV28" s="1266"/>
      <c r="MEW28" s="1266"/>
      <c r="MEX28" s="1266"/>
      <c r="MEY28" s="1266"/>
      <c r="MEZ28" s="1266"/>
      <c r="MFA28" s="1266"/>
      <c r="MFB28" s="1266"/>
      <c r="MFC28" s="1266"/>
      <c r="MFD28" s="1266"/>
      <c r="MFE28" s="1266"/>
      <c r="MFF28" s="1266"/>
      <c r="MFG28" s="1266"/>
      <c r="MFH28" s="1266"/>
      <c r="MFI28" s="1266"/>
      <c r="MFJ28" s="1266"/>
      <c r="MFK28" s="1266"/>
      <c r="MFL28" s="1266"/>
      <c r="MFM28" s="1266"/>
      <c r="MFN28" s="1266"/>
      <c r="MFO28" s="1266"/>
      <c r="MFP28" s="1266"/>
      <c r="MFQ28" s="1266"/>
      <c r="MFR28" s="1266"/>
      <c r="MFS28" s="1266"/>
      <c r="MFT28" s="1266"/>
      <c r="MFU28" s="1266"/>
      <c r="MFV28" s="1266"/>
      <c r="MFW28" s="1266"/>
      <c r="MFX28" s="1266"/>
      <c r="MFY28" s="1266"/>
      <c r="MFZ28" s="1266"/>
      <c r="MGA28" s="1266"/>
      <c r="MGB28" s="1266"/>
      <c r="MGC28" s="1266"/>
      <c r="MGD28" s="1266"/>
      <c r="MGE28" s="1266"/>
      <c r="MGF28" s="1266"/>
      <c r="MGG28" s="1266"/>
      <c r="MGH28" s="1266"/>
      <c r="MGI28" s="1266"/>
      <c r="MGJ28" s="1266"/>
      <c r="MGK28" s="1266"/>
      <c r="MGL28" s="1266"/>
      <c r="MGM28" s="1266"/>
      <c r="MGN28" s="1266"/>
      <c r="MGO28" s="1266"/>
      <c r="MGP28" s="1266"/>
      <c r="MGQ28" s="1266"/>
      <c r="MGR28" s="1266"/>
      <c r="MGS28" s="1266"/>
      <c r="MGT28" s="1266"/>
      <c r="MGU28" s="1266"/>
      <c r="MGV28" s="1266"/>
      <c r="MGW28" s="1266"/>
      <c r="MGX28" s="1266"/>
      <c r="MGY28" s="1266"/>
      <c r="MGZ28" s="1266"/>
      <c r="MHA28" s="1266"/>
      <c r="MHB28" s="1266"/>
      <c r="MHC28" s="1266"/>
      <c r="MHD28" s="1266"/>
      <c r="MHE28" s="1266"/>
      <c r="MHF28" s="1266"/>
      <c r="MHG28" s="1266"/>
      <c r="MHH28" s="1266"/>
      <c r="MHI28" s="1266"/>
      <c r="MHJ28" s="1266"/>
      <c r="MHK28" s="1266"/>
      <c r="MHL28" s="1266"/>
      <c r="MHM28" s="1266"/>
      <c r="MHN28" s="1266"/>
      <c r="MHO28" s="1266"/>
      <c r="MHP28" s="1266"/>
      <c r="MHQ28" s="1266"/>
      <c r="MHR28" s="1266"/>
      <c r="MHS28" s="1266"/>
      <c r="MHT28" s="1266"/>
      <c r="MHU28" s="1266"/>
      <c r="MHV28" s="1266"/>
      <c r="MHW28" s="1266"/>
      <c r="MHX28" s="1266"/>
      <c r="MHY28" s="1266"/>
      <c r="MHZ28" s="1266"/>
      <c r="MIA28" s="1266"/>
      <c r="MIB28" s="1266"/>
      <c r="MIC28" s="1266"/>
      <c r="MID28" s="1266"/>
      <c r="MIE28" s="1266"/>
      <c r="MIF28" s="1266"/>
      <c r="MIG28" s="1266"/>
      <c r="MIH28" s="1266"/>
      <c r="MII28" s="1266"/>
      <c r="MIJ28" s="1266"/>
      <c r="MIK28" s="1266"/>
      <c r="MIL28" s="1266"/>
      <c r="MIM28" s="1266"/>
      <c r="MIN28" s="1266"/>
      <c r="MIO28" s="1266"/>
      <c r="MIP28" s="1266"/>
      <c r="MIQ28" s="1266"/>
      <c r="MIR28" s="1266"/>
      <c r="MIS28" s="1266"/>
      <c r="MIT28" s="1266"/>
      <c r="MIU28" s="1266"/>
      <c r="MIV28" s="1266"/>
      <c r="MIW28" s="1266"/>
      <c r="MIX28" s="1266"/>
      <c r="MIY28" s="1266"/>
      <c r="MIZ28" s="1266"/>
      <c r="MJA28" s="1266"/>
      <c r="MJB28" s="1266"/>
      <c r="MJC28" s="1266"/>
      <c r="MJD28" s="1266"/>
      <c r="MJE28" s="1266"/>
      <c r="MJF28" s="1266"/>
      <c r="MJG28" s="1266"/>
      <c r="MJH28" s="1266"/>
      <c r="MJI28" s="1266"/>
      <c r="MJJ28" s="1266"/>
      <c r="MJK28" s="1266"/>
      <c r="MJL28" s="1266"/>
      <c r="MJM28" s="1266"/>
      <c r="MJN28" s="1266"/>
      <c r="MJO28" s="1266"/>
      <c r="MJP28" s="1266"/>
      <c r="MJQ28" s="1266"/>
      <c r="MJR28" s="1266"/>
      <c r="MJS28" s="1266"/>
      <c r="MJT28" s="1266"/>
      <c r="MJU28" s="1266"/>
      <c r="MJV28" s="1266"/>
      <c r="MJW28" s="1266"/>
      <c r="MJX28" s="1266"/>
      <c r="MJY28" s="1266"/>
      <c r="MJZ28" s="1266"/>
      <c r="MKA28" s="1266"/>
      <c r="MKB28" s="1266"/>
      <c r="MKC28" s="1266"/>
      <c r="MKD28" s="1266"/>
      <c r="MKE28" s="1266"/>
      <c r="MKF28" s="1266"/>
      <c r="MKG28" s="1266"/>
      <c r="MKH28" s="1266"/>
      <c r="MKI28" s="1266"/>
      <c r="MKJ28" s="1266"/>
      <c r="MKK28" s="1266"/>
      <c r="MKL28" s="1266"/>
      <c r="MKM28" s="1266"/>
      <c r="MKN28" s="1266"/>
      <c r="MKO28" s="1266"/>
      <c r="MKP28" s="1266"/>
      <c r="MKQ28" s="1266"/>
      <c r="MKR28" s="1266"/>
      <c r="MKS28" s="1266"/>
      <c r="MKT28" s="1266"/>
      <c r="MKU28" s="1266"/>
      <c r="MKV28" s="1266"/>
      <c r="MKW28" s="1266"/>
      <c r="MKX28" s="1266"/>
      <c r="MKY28" s="1266"/>
      <c r="MKZ28" s="1266"/>
      <c r="MLA28" s="1266"/>
      <c r="MLB28" s="1266"/>
      <c r="MLC28" s="1266"/>
      <c r="MLD28" s="1266"/>
      <c r="MLE28" s="1266"/>
      <c r="MLF28" s="1266"/>
      <c r="MLG28" s="1266"/>
      <c r="MLH28" s="1266"/>
      <c r="MLI28" s="1266"/>
      <c r="MLJ28" s="1266"/>
      <c r="MLK28" s="1266"/>
      <c r="MLL28" s="1266"/>
      <c r="MLM28" s="1266"/>
      <c r="MLN28" s="1266"/>
      <c r="MLO28" s="1266"/>
      <c r="MLP28" s="1266"/>
      <c r="MLQ28" s="1266"/>
      <c r="MLR28" s="1266"/>
      <c r="MLS28" s="1266"/>
      <c r="MLT28" s="1266"/>
      <c r="MLU28" s="1266"/>
      <c r="MLV28" s="1266"/>
      <c r="MLW28" s="1266"/>
      <c r="MLX28" s="1266"/>
      <c r="MLY28" s="1266"/>
      <c r="MLZ28" s="1266"/>
      <c r="MMA28" s="1266"/>
      <c r="MMB28" s="1266"/>
      <c r="MMC28" s="1266"/>
      <c r="MMD28" s="1266"/>
      <c r="MME28" s="1266"/>
      <c r="MMF28" s="1266"/>
      <c r="MMG28" s="1266"/>
      <c r="MMH28" s="1266"/>
      <c r="MMI28" s="1266"/>
      <c r="MMJ28" s="1266"/>
      <c r="MMK28" s="1266"/>
      <c r="MML28" s="1266"/>
      <c r="MMM28" s="1266"/>
      <c r="MMN28" s="1266"/>
      <c r="MMO28" s="1266"/>
      <c r="MMP28" s="1266"/>
      <c r="MMQ28" s="1266"/>
      <c r="MMR28" s="1266"/>
      <c r="MMS28" s="1266"/>
      <c r="MMT28" s="1266"/>
      <c r="MMU28" s="1266"/>
      <c r="MMV28" s="1266"/>
      <c r="MMW28" s="1266"/>
      <c r="MMX28" s="1266"/>
      <c r="MMY28" s="1266"/>
      <c r="MMZ28" s="1266"/>
      <c r="MNA28" s="1266"/>
      <c r="MNB28" s="1266"/>
      <c r="MNC28" s="1266"/>
      <c r="MND28" s="1266"/>
      <c r="MNE28" s="1266"/>
      <c r="MNF28" s="1266"/>
      <c r="MNG28" s="1266"/>
      <c r="MNH28" s="1266"/>
      <c r="MNI28" s="1266"/>
      <c r="MNJ28" s="1266"/>
      <c r="MNK28" s="1266"/>
      <c r="MNL28" s="1266"/>
      <c r="MNM28" s="1266"/>
      <c r="MNN28" s="1266"/>
      <c r="MNO28" s="1266"/>
      <c r="MNP28" s="1266"/>
      <c r="MNQ28" s="1266"/>
      <c r="MNR28" s="1266"/>
      <c r="MNS28" s="1266"/>
      <c r="MNT28" s="1266"/>
      <c r="MNU28" s="1266"/>
      <c r="MNV28" s="1266"/>
      <c r="MNW28" s="1266"/>
      <c r="MNX28" s="1266"/>
      <c r="MNY28" s="1266"/>
      <c r="MNZ28" s="1266"/>
      <c r="MOA28" s="1266"/>
      <c r="MOB28" s="1266"/>
      <c r="MOC28" s="1266"/>
      <c r="MOD28" s="1266"/>
      <c r="MOE28" s="1266"/>
      <c r="MOF28" s="1266"/>
      <c r="MOG28" s="1266"/>
      <c r="MOH28" s="1266"/>
      <c r="MOI28" s="1266"/>
      <c r="MOJ28" s="1266"/>
      <c r="MOK28" s="1266"/>
      <c r="MOL28" s="1266"/>
      <c r="MOM28" s="1266"/>
      <c r="MON28" s="1266"/>
      <c r="MOO28" s="1266"/>
      <c r="MOP28" s="1266"/>
      <c r="MOQ28" s="1266"/>
      <c r="MOR28" s="1266"/>
      <c r="MOS28" s="1266"/>
      <c r="MOT28" s="1266"/>
      <c r="MOU28" s="1266"/>
      <c r="MOV28" s="1266"/>
      <c r="MOW28" s="1266"/>
      <c r="MOX28" s="1266"/>
      <c r="MOY28" s="1266"/>
      <c r="MOZ28" s="1266"/>
      <c r="MPA28" s="1266"/>
      <c r="MPB28" s="1266"/>
      <c r="MPC28" s="1266"/>
      <c r="MPD28" s="1266"/>
      <c r="MPE28" s="1266"/>
      <c r="MPF28" s="1266"/>
      <c r="MPG28" s="1266"/>
      <c r="MPH28" s="1266"/>
      <c r="MPI28" s="1266"/>
      <c r="MPJ28" s="1266"/>
      <c r="MPK28" s="1266"/>
      <c r="MPL28" s="1266"/>
      <c r="MPM28" s="1266"/>
      <c r="MPN28" s="1266"/>
      <c r="MPO28" s="1266"/>
      <c r="MPP28" s="1266"/>
      <c r="MPQ28" s="1266"/>
      <c r="MPR28" s="1266"/>
      <c r="MPS28" s="1266"/>
      <c r="MPT28" s="1266"/>
      <c r="MPU28" s="1266"/>
      <c r="MPV28" s="1266"/>
      <c r="MPW28" s="1266"/>
      <c r="MPX28" s="1266"/>
      <c r="MPY28" s="1266"/>
      <c r="MPZ28" s="1266"/>
      <c r="MQA28" s="1266"/>
      <c r="MQB28" s="1266"/>
      <c r="MQC28" s="1266"/>
      <c r="MQD28" s="1266"/>
      <c r="MQE28" s="1266"/>
      <c r="MQF28" s="1266"/>
      <c r="MQG28" s="1266"/>
      <c r="MQH28" s="1266"/>
      <c r="MQI28" s="1266"/>
      <c r="MQJ28" s="1266"/>
      <c r="MQK28" s="1266"/>
      <c r="MQL28" s="1266"/>
      <c r="MQM28" s="1266"/>
      <c r="MQN28" s="1266"/>
      <c r="MQO28" s="1266"/>
      <c r="MQP28" s="1266"/>
      <c r="MQQ28" s="1266"/>
      <c r="MQR28" s="1266"/>
      <c r="MQS28" s="1266"/>
      <c r="MQT28" s="1266"/>
      <c r="MQU28" s="1266"/>
      <c r="MQV28" s="1266"/>
      <c r="MQW28" s="1266"/>
      <c r="MQX28" s="1266"/>
      <c r="MQY28" s="1266"/>
      <c r="MQZ28" s="1266"/>
      <c r="MRA28" s="1266"/>
      <c r="MRB28" s="1266"/>
      <c r="MRC28" s="1266"/>
      <c r="MRD28" s="1266"/>
      <c r="MRE28" s="1266"/>
      <c r="MRF28" s="1266"/>
      <c r="MRG28" s="1266"/>
      <c r="MRH28" s="1266"/>
      <c r="MRI28" s="1266"/>
      <c r="MRJ28" s="1266"/>
      <c r="MRK28" s="1266"/>
      <c r="MRL28" s="1266"/>
      <c r="MRM28" s="1266"/>
      <c r="MRN28" s="1266"/>
      <c r="MRO28" s="1266"/>
      <c r="MRP28" s="1266"/>
      <c r="MRQ28" s="1266"/>
      <c r="MRR28" s="1266"/>
      <c r="MRS28" s="1266"/>
      <c r="MRT28" s="1266"/>
      <c r="MRU28" s="1266"/>
      <c r="MRV28" s="1266"/>
      <c r="MRW28" s="1266"/>
      <c r="MRX28" s="1266"/>
      <c r="MRY28" s="1266"/>
      <c r="MRZ28" s="1266"/>
      <c r="MSA28" s="1266"/>
      <c r="MSB28" s="1266"/>
      <c r="MSC28" s="1266"/>
      <c r="MSD28" s="1266"/>
      <c r="MSE28" s="1266"/>
      <c r="MSF28" s="1266"/>
      <c r="MSG28" s="1266"/>
      <c r="MSH28" s="1266"/>
      <c r="MSI28" s="1266"/>
      <c r="MSJ28" s="1266"/>
      <c r="MSK28" s="1266"/>
      <c r="MSL28" s="1266"/>
      <c r="MSM28" s="1266"/>
      <c r="MSN28" s="1266"/>
      <c r="MSO28" s="1266"/>
      <c r="MSP28" s="1266"/>
      <c r="MSQ28" s="1266"/>
      <c r="MSR28" s="1266"/>
      <c r="MSS28" s="1266"/>
      <c r="MST28" s="1266"/>
      <c r="MSU28" s="1266"/>
      <c r="MSV28" s="1266"/>
      <c r="MSW28" s="1266"/>
      <c r="MSX28" s="1266"/>
      <c r="MSY28" s="1266"/>
      <c r="MSZ28" s="1266"/>
      <c r="MTA28" s="1266"/>
      <c r="MTB28" s="1266"/>
      <c r="MTC28" s="1266"/>
      <c r="MTD28" s="1266"/>
      <c r="MTE28" s="1266"/>
      <c r="MTF28" s="1266"/>
      <c r="MTG28" s="1266"/>
      <c r="MTH28" s="1266"/>
      <c r="MTI28" s="1266"/>
      <c r="MTJ28" s="1266"/>
      <c r="MTK28" s="1266"/>
      <c r="MTL28" s="1266"/>
      <c r="MTM28" s="1266"/>
      <c r="MTN28" s="1266"/>
      <c r="MTO28" s="1266"/>
      <c r="MTP28" s="1266"/>
      <c r="MTQ28" s="1266"/>
      <c r="MTR28" s="1266"/>
      <c r="MTS28" s="1266"/>
      <c r="MTT28" s="1266"/>
      <c r="MTU28" s="1266"/>
      <c r="MTV28" s="1266"/>
      <c r="MTW28" s="1266"/>
      <c r="MTX28" s="1266"/>
      <c r="MTY28" s="1266"/>
      <c r="MTZ28" s="1266"/>
      <c r="MUA28" s="1266"/>
      <c r="MUB28" s="1266"/>
      <c r="MUC28" s="1266"/>
      <c r="MUD28" s="1266"/>
      <c r="MUE28" s="1266"/>
      <c r="MUF28" s="1266"/>
      <c r="MUG28" s="1266"/>
      <c r="MUH28" s="1266"/>
      <c r="MUI28" s="1266"/>
      <c r="MUJ28" s="1266"/>
      <c r="MUK28" s="1266"/>
      <c r="MUL28" s="1266"/>
      <c r="MUM28" s="1266"/>
      <c r="MUN28" s="1266"/>
      <c r="MUO28" s="1266"/>
      <c r="MUP28" s="1266"/>
      <c r="MUQ28" s="1266"/>
      <c r="MUR28" s="1266"/>
      <c r="MUS28" s="1266"/>
      <c r="MUT28" s="1266"/>
      <c r="MUU28" s="1266"/>
      <c r="MUV28" s="1266"/>
      <c r="MUW28" s="1266"/>
      <c r="MUX28" s="1266"/>
      <c r="MUY28" s="1266"/>
      <c r="MUZ28" s="1266"/>
      <c r="MVA28" s="1266"/>
      <c r="MVB28" s="1266"/>
      <c r="MVC28" s="1266"/>
      <c r="MVD28" s="1266"/>
      <c r="MVE28" s="1266"/>
      <c r="MVF28" s="1266"/>
      <c r="MVG28" s="1266"/>
      <c r="MVH28" s="1266"/>
      <c r="MVI28" s="1266"/>
      <c r="MVJ28" s="1266"/>
      <c r="MVK28" s="1266"/>
      <c r="MVL28" s="1266"/>
      <c r="MVM28" s="1266"/>
      <c r="MVN28" s="1266"/>
      <c r="MVO28" s="1266"/>
      <c r="MVP28" s="1266"/>
      <c r="MVQ28" s="1266"/>
      <c r="MVR28" s="1266"/>
      <c r="MVS28" s="1266"/>
      <c r="MVT28" s="1266"/>
      <c r="MVU28" s="1266"/>
      <c r="MVV28" s="1266"/>
      <c r="MVW28" s="1266"/>
      <c r="MVX28" s="1266"/>
      <c r="MVY28" s="1266"/>
      <c r="MVZ28" s="1266"/>
      <c r="MWA28" s="1266"/>
      <c r="MWB28" s="1266"/>
      <c r="MWC28" s="1266"/>
      <c r="MWD28" s="1266"/>
      <c r="MWE28" s="1266"/>
      <c r="MWF28" s="1266"/>
      <c r="MWG28" s="1266"/>
      <c r="MWH28" s="1266"/>
      <c r="MWI28" s="1266"/>
      <c r="MWJ28" s="1266"/>
      <c r="MWK28" s="1266"/>
      <c r="MWL28" s="1266"/>
      <c r="MWM28" s="1266"/>
      <c r="MWN28" s="1266"/>
      <c r="MWO28" s="1266"/>
      <c r="MWP28" s="1266"/>
      <c r="MWQ28" s="1266"/>
      <c r="MWR28" s="1266"/>
      <c r="MWS28" s="1266"/>
      <c r="MWT28" s="1266"/>
      <c r="MWU28" s="1266"/>
      <c r="MWV28" s="1266"/>
      <c r="MWW28" s="1266"/>
      <c r="MWX28" s="1266"/>
      <c r="MWY28" s="1266"/>
      <c r="MWZ28" s="1266"/>
      <c r="MXA28" s="1266"/>
      <c r="MXB28" s="1266"/>
      <c r="MXC28" s="1266"/>
      <c r="MXD28" s="1266"/>
      <c r="MXE28" s="1266"/>
      <c r="MXF28" s="1266"/>
      <c r="MXG28" s="1266"/>
      <c r="MXH28" s="1266"/>
      <c r="MXI28" s="1266"/>
      <c r="MXJ28" s="1266"/>
      <c r="MXK28" s="1266"/>
      <c r="MXL28" s="1266"/>
      <c r="MXM28" s="1266"/>
      <c r="MXN28" s="1266"/>
      <c r="MXO28" s="1266"/>
      <c r="MXP28" s="1266"/>
      <c r="MXQ28" s="1266"/>
      <c r="MXR28" s="1266"/>
      <c r="MXS28" s="1266"/>
      <c r="MXT28" s="1266"/>
      <c r="MXU28" s="1266"/>
      <c r="MXV28" s="1266"/>
      <c r="MXW28" s="1266"/>
      <c r="MXX28" s="1266"/>
      <c r="MXY28" s="1266"/>
      <c r="MXZ28" s="1266"/>
      <c r="MYA28" s="1266"/>
      <c r="MYB28" s="1266"/>
      <c r="MYC28" s="1266"/>
      <c r="MYD28" s="1266"/>
      <c r="MYE28" s="1266"/>
      <c r="MYF28" s="1266"/>
      <c r="MYG28" s="1266"/>
      <c r="MYH28" s="1266"/>
      <c r="MYI28" s="1266"/>
      <c r="MYJ28" s="1266"/>
      <c r="MYK28" s="1266"/>
      <c r="MYL28" s="1266"/>
      <c r="MYM28" s="1266"/>
      <c r="MYN28" s="1266"/>
      <c r="MYO28" s="1266"/>
      <c r="MYP28" s="1266"/>
      <c r="MYQ28" s="1266"/>
      <c r="MYR28" s="1266"/>
      <c r="MYS28" s="1266"/>
      <c r="MYT28" s="1266"/>
      <c r="MYU28" s="1266"/>
      <c r="MYV28" s="1266"/>
      <c r="MYW28" s="1266"/>
      <c r="MYX28" s="1266"/>
      <c r="MYY28" s="1266"/>
      <c r="MYZ28" s="1266"/>
      <c r="MZA28" s="1266"/>
      <c r="MZB28" s="1266"/>
      <c r="MZC28" s="1266"/>
      <c r="MZD28" s="1266"/>
      <c r="MZE28" s="1266"/>
      <c r="MZF28" s="1266"/>
      <c r="MZG28" s="1266"/>
      <c r="MZH28" s="1266"/>
      <c r="MZI28" s="1266"/>
      <c r="MZJ28" s="1266"/>
      <c r="MZK28" s="1266"/>
      <c r="MZL28" s="1266"/>
      <c r="MZM28" s="1266"/>
      <c r="MZN28" s="1266"/>
      <c r="MZO28" s="1266"/>
      <c r="MZP28" s="1266"/>
      <c r="MZQ28" s="1266"/>
      <c r="MZR28" s="1266"/>
      <c r="MZS28" s="1266"/>
      <c r="MZT28" s="1266"/>
      <c r="MZU28" s="1266"/>
      <c r="MZV28" s="1266"/>
      <c r="MZW28" s="1266"/>
      <c r="MZX28" s="1266"/>
      <c r="MZY28" s="1266"/>
      <c r="MZZ28" s="1266"/>
      <c r="NAA28" s="1266"/>
      <c r="NAB28" s="1266"/>
      <c r="NAC28" s="1266"/>
      <c r="NAD28" s="1266"/>
      <c r="NAE28" s="1266"/>
      <c r="NAF28" s="1266"/>
      <c r="NAG28" s="1266"/>
      <c r="NAH28" s="1266"/>
      <c r="NAI28" s="1266"/>
      <c r="NAJ28" s="1266"/>
      <c r="NAK28" s="1266"/>
      <c r="NAL28" s="1266"/>
      <c r="NAM28" s="1266"/>
      <c r="NAN28" s="1266"/>
      <c r="NAO28" s="1266"/>
      <c r="NAP28" s="1266"/>
      <c r="NAQ28" s="1266"/>
      <c r="NAR28" s="1266"/>
      <c r="NAS28" s="1266"/>
      <c r="NAT28" s="1266"/>
      <c r="NAU28" s="1266"/>
      <c r="NAV28" s="1266"/>
      <c r="NAW28" s="1266"/>
      <c r="NAX28" s="1266"/>
      <c r="NAY28" s="1266"/>
      <c r="NAZ28" s="1266"/>
      <c r="NBA28" s="1266"/>
      <c r="NBB28" s="1266"/>
      <c r="NBC28" s="1266"/>
      <c r="NBD28" s="1266"/>
      <c r="NBE28" s="1266"/>
      <c r="NBF28" s="1266"/>
      <c r="NBG28" s="1266"/>
      <c r="NBH28" s="1266"/>
      <c r="NBI28" s="1266"/>
      <c r="NBJ28" s="1266"/>
      <c r="NBK28" s="1266"/>
      <c r="NBL28" s="1266"/>
      <c r="NBM28" s="1266"/>
      <c r="NBN28" s="1266"/>
      <c r="NBO28" s="1266"/>
      <c r="NBP28" s="1266"/>
      <c r="NBQ28" s="1266"/>
      <c r="NBR28" s="1266"/>
      <c r="NBS28" s="1266"/>
      <c r="NBT28" s="1266"/>
      <c r="NBU28" s="1266"/>
      <c r="NBV28" s="1266"/>
      <c r="NBW28" s="1266"/>
      <c r="NBX28" s="1266"/>
      <c r="NBY28" s="1266"/>
      <c r="NBZ28" s="1266"/>
      <c r="NCA28" s="1266"/>
      <c r="NCB28" s="1266"/>
      <c r="NCC28" s="1266"/>
      <c r="NCD28" s="1266"/>
      <c r="NCE28" s="1266"/>
      <c r="NCF28" s="1266"/>
      <c r="NCG28" s="1266"/>
      <c r="NCH28" s="1266"/>
      <c r="NCI28" s="1266"/>
      <c r="NCJ28" s="1266"/>
      <c r="NCK28" s="1266"/>
      <c r="NCL28" s="1266"/>
      <c r="NCM28" s="1266"/>
      <c r="NCN28" s="1266"/>
      <c r="NCO28" s="1266"/>
      <c r="NCP28" s="1266"/>
      <c r="NCQ28" s="1266"/>
      <c r="NCR28" s="1266"/>
      <c r="NCS28" s="1266"/>
      <c r="NCT28" s="1266"/>
      <c r="NCU28" s="1266"/>
      <c r="NCV28" s="1266"/>
      <c r="NCW28" s="1266"/>
      <c r="NCX28" s="1266"/>
      <c r="NCY28" s="1266"/>
      <c r="NCZ28" s="1266"/>
      <c r="NDA28" s="1266"/>
      <c r="NDB28" s="1266"/>
      <c r="NDC28" s="1266"/>
      <c r="NDD28" s="1266"/>
      <c r="NDE28" s="1266"/>
      <c r="NDF28" s="1266"/>
      <c r="NDG28" s="1266"/>
      <c r="NDH28" s="1266"/>
      <c r="NDI28" s="1266"/>
      <c r="NDJ28" s="1266"/>
      <c r="NDK28" s="1266"/>
      <c r="NDL28" s="1266"/>
      <c r="NDM28" s="1266"/>
      <c r="NDN28" s="1266"/>
      <c r="NDO28" s="1266"/>
      <c r="NDP28" s="1266"/>
      <c r="NDQ28" s="1266"/>
      <c r="NDR28" s="1266"/>
      <c r="NDS28" s="1266"/>
      <c r="NDT28" s="1266"/>
      <c r="NDU28" s="1266"/>
      <c r="NDV28" s="1266"/>
      <c r="NDW28" s="1266"/>
      <c r="NDX28" s="1266"/>
      <c r="NDY28" s="1266"/>
      <c r="NDZ28" s="1266"/>
      <c r="NEA28" s="1266"/>
      <c r="NEB28" s="1266"/>
      <c r="NEC28" s="1266"/>
      <c r="NED28" s="1266"/>
      <c r="NEE28" s="1266"/>
      <c r="NEF28" s="1266"/>
      <c r="NEG28" s="1266"/>
      <c r="NEH28" s="1266"/>
      <c r="NEI28" s="1266"/>
      <c r="NEJ28" s="1266"/>
      <c r="NEK28" s="1266"/>
      <c r="NEL28" s="1266"/>
      <c r="NEM28" s="1266"/>
      <c r="NEN28" s="1266"/>
      <c r="NEO28" s="1266"/>
      <c r="NEP28" s="1266"/>
      <c r="NEQ28" s="1266"/>
      <c r="NER28" s="1266"/>
      <c r="NES28" s="1266"/>
      <c r="NET28" s="1266"/>
      <c r="NEU28" s="1266"/>
      <c r="NEV28" s="1266"/>
      <c r="NEW28" s="1266"/>
      <c r="NEX28" s="1266"/>
      <c r="NEY28" s="1266"/>
      <c r="NEZ28" s="1266"/>
      <c r="NFA28" s="1266"/>
      <c r="NFB28" s="1266"/>
      <c r="NFC28" s="1266"/>
      <c r="NFD28" s="1266"/>
      <c r="NFE28" s="1266"/>
      <c r="NFF28" s="1266"/>
      <c r="NFG28" s="1266"/>
      <c r="NFH28" s="1266"/>
      <c r="NFI28" s="1266"/>
      <c r="NFJ28" s="1266"/>
      <c r="NFK28" s="1266"/>
      <c r="NFL28" s="1266"/>
      <c r="NFM28" s="1266"/>
      <c r="NFN28" s="1266"/>
      <c r="NFO28" s="1266"/>
      <c r="NFP28" s="1266"/>
      <c r="NFQ28" s="1266"/>
      <c r="NFR28" s="1266"/>
      <c r="NFS28" s="1266"/>
      <c r="NFT28" s="1266"/>
      <c r="NFU28" s="1266"/>
      <c r="NFV28" s="1266"/>
      <c r="NFW28" s="1266"/>
      <c r="NFX28" s="1266"/>
      <c r="NFY28" s="1266"/>
      <c r="NFZ28" s="1266"/>
      <c r="NGA28" s="1266"/>
      <c r="NGB28" s="1266"/>
      <c r="NGC28" s="1266"/>
      <c r="NGD28" s="1266"/>
      <c r="NGE28" s="1266"/>
      <c r="NGF28" s="1266"/>
      <c r="NGG28" s="1266"/>
      <c r="NGH28" s="1266"/>
      <c r="NGI28" s="1266"/>
      <c r="NGJ28" s="1266"/>
      <c r="NGK28" s="1266"/>
      <c r="NGL28" s="1266"/>
      <c r="NGM28" s="1266"/>
      <c r="NGN28" s="1266"/>
      <c r="NGO28" s="1266"/>
      <c r="NGP28" s="1266"/>
      <c r="NGQ28" s="1266"/>
      <c r="NGR28" s="1266"/>
      <c r="NGS28" s="1266"/>
      <c r="NGT28" s="1266"/>
      <c r="NGU28" s="1266"/>
      <c r="NGV28" s="1266"/>
      <c r="NGW28" s="1266"/>
      <c r="NGX28" s="1266"/>
      <c r="NGY28" s="1266"/>
      <c r="NGZ28" s="1266"/>
      <c r="NHA28" s="1266"/>
      <c r="NHB28" s="1266"/>
      <c r="NHC28" s="1266"/>
      <c r="NHD28" s="1266"/>
      <c r="NHE28" s="1266"/>
      <c r="NHF28" s="1266"/>
      <c r="NHG28" s="1266"/>
      <c r="NHH28" s="1266"/>
      <c r="NHI28" s="1266"/>
      <c r="NHJ28" s="1266"/>
      <c r="NHK28" s="1266"/>
      <c r="NHL28" s="1266"/>
      <c r="NHM28" s="1266"/>
      <c r="NHN28" s="1266"/>
      <c r="NHO28" s="1266"/>
      <c r="NHP28" s="1266"/>
      <c r="NHQ28" s="1266"/>
      <c r="NHR28" s="1266"/>
      <c r="NHS28" s="1266"/>
      <c r="NHT28" s="1266"/>
      <c r="NHU28" s="1266"/>
      <c r="NHV28" s="1266"/>
      <c r="NHW28" s="1266"/>
      <c r="NHX28" s="1266"/>
      <c r="NHY28" s="1266"/>
      <c r="NHZ28" s="1266"/>
      <c r="NIA28" s="1266"/>
      <c r="NIB28" s="1266"/>
      <c r="NIC28" s="1266"/>
      <c r="NID28" s="1266"/>
      <c r="NIE28" s="1266"/>
      <c r="NIF28" s="1266"/>
      <c r="NIG28" s="1266"/>
      <c r="NIH28" s="1266"/>
      <c r="NII28" s="1266"/>
      <c r="NIJ28" s="1266"/>
      <c r="NIK28" s="1266"/>
      <c r="NIL28" s="1266"/>
      <c r="NIM28" s="1266"/>
      <c r="NIN28" s="1266"/>
      <c r="NIO28" s="1266"/>
      <c r="NIP28" s="1266"/>
      <c r="NIQ28" s="1266"/>
      <c r="NIR28" s="1266"/>
      <c r="NIS28" s="1266"/>
      <c r="NIT28" s="1266"/>
      <c r="NIU28" s="1266"/>
      <c r="NIV28" s="1266"/>
      <c r="NIW28" s="1266"/>
      <c r="NIX28" s="1266"/>
      <c r="NIY28" s="1266"/>
      <c r="NIZ28" s="1266"/>
      <c r="NJA28" s="1266"/>
      <c r="NJB28" s="1266"/>
      <c r="NJC28" s="1266"/>
      <c r="NJD28" s="1266"/>
      <c r="NJE28" s="1266"/>
      <c r="NJF28" s="1266"/>
      <c r="NJG28" s="1266"/>
      <c r="NJH28" s="1266"/>
      <c r="NJI28" s="1266"/>
      <c r="NJJ28" s="1266"/>
      <c r="NJK28" s="1266"/>
      <c r="NJL28" s="1266"/>
      <c r="NJM28" s="1266"/>
      <c r="NJN28" s="1266"/>
      <c r="NJO28" s="1266"/>
      <c r="NJP28" s="1266"/>
      <c r="NJQ28" s="1266"/>
      <c r="NJR28" s="1266"/>
      <c r="NJS28" s="1266"/>
      <c r="NJT28" s="1266"/>
      <c r="NJU28" s="1266"/>
      <c r="NJV28" s="1266"/>
      <c r="NJW28" s="1266"/>
      <c r="NJX28" s="1266"/>
      <c r="NJY28" s="1266"/>
      <c r="NJZ28" s="1266"/>
      <c r="NKA28" s="1266"/>
      <c r="NKB28" s="1266"/>
      <c r="NKC28" s="1266"/>
      <c r="NKD28" s="1266"/>
      <c r="NKE28" s="1266"/>
      <c r="NKF28" s="1266"/>
      <c r="NKG28" s="1266"/>
      <c r="NKH28" s="1266"/>
      <c r="NKI28" s="1266"/>
      <c r="NKJ28" s="1266"/>
      <c r="NKK28" s="1266"/>
      <c r="NKL28" s="1266"/>
      <c r="NKM28" s="1266"/>
      <c r="NKN28" s="1266"/>
      <c r="NKO28" s="1266"/>
      <c r="NKP28" s="1266"/>
      <c r="NKQ28" s="1266"/>
      <c r="NKR28" s="1266"/>
      <c r="NKS28" s="1266"/>
      <c r="NKT28" s="1266"/>
      <c r="NKU28" s="1266"/>
      <c r="NKV28" s="1266"/>
      <c r="NKW28" s="1266"/>
      <c r="NKX28" s="1266"/>
      <c r="NKY28" s="1266"/>
      <c r="NKZ28" s="1266"/>
      <c r="NLA28" s="1266"/>
      <c r="NLB28" s="1266"/>
      <c r="NLC28" s="1266"/>
      <c r="NLD28" s="1266"/>
      <c r="NLE28" s="1266"/>
      <c r="NLF28" s="1266"/>
      <c r="NLG28" s="1266"/>
      <c r="NLH28" s="1266"/>
      <c r="NLI28" s="1266"/>
      <c r="NLJ28" s="1266"/>
      <c r="NLK28" s="1266"/>
      <c r="NLL28" s="1266"/>
      <c r="NLM28" s="1266"/>
      <c r="NLN28" s="1266"/>
      <c r="NLO28" s="1266"/>
      <c r="NLP28" s="1266"/>
      <c r="NLQ28" s="1266"/>
      <c r="NLR28" s="1266"/>
      <c r="NLS28" s="1266"/>
      <c r="NLT28" s="1266"/>
      <c r="NLU28" s="1266"/>
      <c r="NLV28" s="1266"/>
      <c r="NLW28" s="1266"/>
      <c r="NLX28" s="1266"/>
      <c r="NLY28" s="1266"/>
      <c r="NLZ28" s="1266"/>
      <c r="NMA28" s="1266"/>
      <c r="NMB28" s="1266"/>
      <c r="NMC28" s="1266"/>
      <c r="NMD28" s="1266"/>
      <c r="NME28" s="1266"/>
      <c r="NMF28" s="1266"/>
      <c r="NMG28" s="1266"/>
      <c r="NMH28" s="1266"/>
      <c r="NMI28" s="1266"/>
      <c r="NMJ28" s="1266"/>
      <c r="NMK28" s="1266"/>
      <c r="NML28" s="1266"/>
      <c r="NMM28" s="1266"/>
      <c r="NMN28" s="1266"/>
      <c r="NMO28" s="1266"/>
      <c r="NMP28" s="1266"/>
      <c r="NMQ28" s="1266"/>
      <c r="NMR28" s="1266"/>
      <c r="NMS28" s="1266"/>
      <c r="NMT28" s="1266"/>
      <c r="NMU28" s="1266"/>
      <c r="NMV28" s="1266"/>
      <c r="NMW28" s="1266"/>
      <c r="NMX28" s="1266"/>
      <c r="NMY28" s="1266"/>
      <c r="NMZ28" s="1266"/>
      <c r="NNA28" s="1266"/>
      <c r="NNB28" s="1266"/>
      <c r="NNC28" s="1266"/>
      <c r="NND28" s="1266"/>
      <c r="NNE28" s="1266"/>
      <c r="NNF28" s="1266"/>
      <c r="NNG28" s="1266"/>
      <c r="NNH28" s="1266"/>
      <c r="NNI28" s="1266"/>
      <c r="NNJ28" s="1266"/>
      <c r="NNK28" s="1266"/>
      <c r="NNL28" s="1266"/>
      <c r="NNM28" s="1266"/>
      <c r="NNN28" s="1266"/>
      <c r="NNO28" s="1266"/>
      <c r="NNP28" s="1266"/>
      <c r="NNQ28" s="1266"/>
      <c r="NNR28" s="1266"/>
      <c r="NNS28" s="1266"/>
      <c r="NNT28" s="1266"/>
      <c r="NNU28" s="1266"/>
      <c r="NNV28" s="1266"/>
      <c r="NNW28" s="1266"/>
      <c r="NNX28" s="1266"/>
      <c r="NNY28" s="1266"/>
      <c r="NNZ28" s="1266"/>
      <c r="NOA28" s="1266"/>
      <c r="NOB28" s="1266"/>
      <c r="NOC28" s="1266"/>
      <c r="NOD28" s="1266"/>
      <c r="NOE28" s="1266"/>
      <c r="NOF28" s="1266"/>
      <c r="NOG28" s="1266"/>
      <c r="NOH28" s="1266"/>
      <c r="NOI28" s="1266"/>
      <c r="NOJ28" s="1266"/>
      <c r="NOK28" s="1266"/>
      <c r="NOL28" s="1266"/>
      <c r="NOM28" s="1266"/>
      <c r="NON28" s="1266"/>
      <c r="NOO28" s="1266"/>
      <c r="NOP28" s="1266"/>
      <c r="NOQ28" s="1266"/>
      <c r="NOR28" s="1266"/>
      <c r="NOS28" s="1266"/>
      <c r="NOT28" s="1266"/>
      <c r="NOU28" s="1266"/>
      <c r="NOV28" s="1266"/>
      <c r="NOW28" s="1266"/>
      <c r="NOX28" s="1266"/>
      <c r="NOY28" s="1266"/>
      <c r="NOZ28" s="1266"/>
      <c r="NPA28" s="1266"/>
      <c r="NPB28" s="1266"/>
      <c r="NPC28" s="1266"/>
      <c r="NPD28" s="1266"/>
      <c r="NPE28" s="1266"/>
      <c r="NPF28" s="1266"/>
      <c r="NPG28" s="1266"/>
      <c r="NPH28" s="1266"/>
      <c r="NPI28" s="1266"/>
      <c r="NPJ28" s="1266"/>
      <c r="NPK28" s="1266"/>
      <c r="NPL28" s="1266"/>
      <c r="NPM28" s="1266"/>
      <c r="NPN28" s="1266"/>
      <c r="NPO28" s="1266"/>
      <c r="NPP28" s="1266"/>
      <c r="NPQ28" s="1266"/>
      <c r="NPR28" s="1266"/>
      <c r="NPS28" s="1266"/>
      <c r="NPT28" s="1266"/>
      <c r="NPU28" s="1266"/>
      <c r="NPV28" s="1266"/>
      <c r="NPW28" s="1266"/>
      <c r="NPX28" s="1266"/>
      <c r="NPY28" s="1266"/>
      <c r="NPZ28" s="1266"/>
      <c r="NQA28" s="1266"/>
      <c r="NQB28" s="1266"/>
      <c r="NQC28" s="1266"/>
      <c r="NQD28" s="1266"/>
      <c r="NQE28" s="1266"/>
      <c r="NQF28" s="1266"/>
      <c r="NQG28" s="1266"/>
      <c r="NQH28" s="1266"/>
      <c r="NQI28" s="1266"/>
      <c r="NQJ28" s="1266"/>
      <c r="NQK28" s="1266"/>
      <c r="NQL28" s="1266"/>
      <c r="NQM28" s="1266"/>
      <c r="NQN28" s="1266"/>
      <c r="NQO28" s="1266"/>
      <c r="NQP28" s="1266"/>
      <c r="NQQ28" s="1266"/>
      <c r="NQR28" s="1266"/>
      <c r="NQS28" s="1266"/>
      <c r="NQT28" s="1266"/>
      <c r="NQU28" s="1266"/>
      <c r="NQV28" s="1266"/>
      <c r="NQW28" s="1266"/>
      <c r="NQX28" s="1266"/>
      <c r="NQY28" s="1266"/>
      <c r="NQZ28" s="1266"/>
      <c r="NRA28" s="1266"/>
      <c r="NRB28" s="1266"/>
      <c r="NRC28" s="1266"/>
      <c r="NRD28" s="1266"/>
      <c r="NRE28" s="1266"/>
      <c r="NRF28" s="1266"/>
      <c r="NRG28" s="1266"/>
      <c r="NRH28" s="1266"/>
      <c r="NRI28" s="1266"/>
      <c r="NRJ28" s="1266"/>
      <c r="NRK28" s="1266"/>
      <c r="NRL28" s="1266"/>
      <c r="NRM28" s="1266"/>
      <c r="NRN28" s="1266"/>
      <c r="NRO28" s="1266"/>
      <c r="NRP28" s="1266"/>
      <c r="NRQ28" s="1266"/>
      <c r="NRR28" s="1266"/>
      <c r="NRS28" s="1266"/>
      <c r="NRT28" s="1266"/>
      <c r="NRU28" s="1266"/>
      <c r="NRV28" s="1266"/>
      <c r="NRW28" s="1266"/>
      <c r="NRX28" s="1266"/>
      <c r="NRY28" s="1266"/>
      <c r="NRZ28" s="1266"/>
      <c r="NSA28" s="1266"/>
      <c r="NSB28" s="1266"/>
      <c r="NSC28" s="1266"/>
      <c r="NSD28" s="1266"/>
      <c r="NSE28" s="1266"/>
      <c r="NSF28" s="1266"/>
      <c r="NSG28" s="1266"/>
      <c r="NSH28" s="1266"/>
      <c r="NSI28" s="1266"/>
      <c r="NSJ28" s="1266"/>
      <c r="NSK28" s="1266"/>
      <c r="NSL28" s="1266"/>
      <c r="NSM28" s="1266"/>
      <c r="NSN28" s="1266"/>
      <c r="NSO28" s="1266"/>
      <c r="NSP28" s="1266"/>
      <c r="NSQ28" s="1266"/>
      <c r="NSR28" s="1266"/>
      <c r="NSS28" s="1266"/>
      <c r="NST28" s="1266"/>
      <c r="NSU28" s="1266"/>
      <c r="NSV28" s="1266"/>
      <c r="NSW28" s="1266"/>
      <c r="NSX28" s="1266"/>
      <c r="NSY28" s="1266"/>
      <c r="NSZ28" s="1266"/>
      <c r="NTA28" s="1266"/>
      <c r="NTB28" s="1266"/>
      <c r="NTC28" s="1266"/>
      <c r="NTD28" s="1266"/>
      <c r="NTE28" s="1266"/>
      <c r="NTF28" s="1266"/>
      <c r="NTG28" s="1266"/>
      <c r="NTH28" s="1266"/>
      <c r="NTI28" s="1266"/>
      <c r="NTJ28" s="1266"/>
      <c r="NTK28" s="1266"/>
      <c r="NTL28" s="1266"/>
      <c r="NTM28" s="1266"/>
      <c r="NTN28" s="1266"/>
      <c r="NTO28" s="1266"/>
      <c r="NTP28" s="1266"/>
      <c r="NTQ28" s="1266"/>
      <c r="NTR28" s="1266"/>
      <c r="NTS28" s="1266"/>
      <c r="NTT28" s="1266"/>
      <c r="NTU28" s="1266"/>
      <c r="NTV28" s="1266"/>
      <c r="NTW28" s="1266"/>
      <c r="NTX28" s="1266"/>
      <c r="NTY28" s="1266"/>
      <c r="NTZ28" s="1266"/>
      <c r="NUA28" s="1266"/>
      <c r="NUB28" s="1266"/>
      <c r="NUC28" s="1266"/>
      <c r="NUD28" s="1266"/>
      <c r="NUE28" s="1266"/>
      <c r="NUF28" s="1266"/>
      <c r="NUG28" s="1266"/>
      <c r="NUH28" s="1266"/>
      <c r="NUI28" s="1266"/>
      <c r="NUJ28" s="1266"/>
      <c r="NUK28" s="1266"/>
      <c r="NUL28" s="1266"/>
      <c r="NUM28" s="1266"/>
      <c r="NUN28" s="1266"/>
      <c r="NUO28" s="1266"/>
      <c r="NUP28" s="1266"/>
      <c r="NUQ28" s="1266"/>
      <c r="NUR28" s="1266"/>
      <c r="NUS28" s="1266"/>
      <c r="NUT28" s="1266"/>
      <c r="NUU28" s="1266"/>
      <c r="NUV28" s="1266"/>
      <c r="NUW28" s="1266"/>
      <c r="NUX28" s="1266"/>
      <c r="NUY28" s="1266"/>
      <c r="NUZ28" s="1266"/>
      <c r="NVA28" s="1266"/>
      <c r="NVB28" s="1266"/>
      <c r="NVC28" s="1266"/>
      <c r="NVD28" s="1266"/>
      <c r="NVE28" s="1266"/>
      <c r="NVF28" s="1266"/>
      <c r="NVG28" s="1266"/>
      <c r="NVH28" s="1266"/>
      <c r="NVI28" s="1266"/>
      <c r="NVJ28" s="1266"/>
      <c r="NVK28" s="1266"/>
      <c r="NVL28" s="1266"/>
      <c r="NVM28" s="1266"/>
      <c r="NVN28" s="1266"/>
      <c r="NVO28" s="1266"/>
      <c r="NVP28" s="1266"/>
      <c r="NVQ28" s="1266"/>
      <c r="NVR28" s="1266"/>
      <c r="NVS28" s="1266"/>
      <c r="NVT28" s="1266"/>
      <c r="NVU28" s="1266"/>
      <c r="NVV28" s="1266"/>
      <c r="NVW28" s="1266"/>
      <c r="NVX28" s="1266"/>
      <c r="NVY28" s="1266"/>
      <c r="NVZ28" s="1266"/>
      <c r="NWA28" s="1266"/>
      <c r="NWB28" s="1266"/>
      <c r="NWC28" s="1266"/>
      <c r="NWD28" s="1266"/>
      <c r="NWE28" s="1266"/>
      <c r="NWF28" s="1266"/>
      <c r="NWG28" s="1266"/>
      <c r="NWH28" s="1266"/>
      <c r="NWI28" s="1266"/>
      <c r="NWJ28" s="1266"/>
      <c r="NWK28" s="1266"/>
      <c r="NWL28" s="1266"/>
      <c r="NWM28" s="1266"/>
      <c r="NWN28" s="1266"/>
      <c r="NWO28" s="1266"/>
      <c r="NWP28" s="1266"/>
      <c r="NWQ28" s="1266"/>
      <c r="NWR28" s="1266"/>
      <c r="NWS28" s="1266"/>
      <c r="NWT28" s="1266"/>
      <c r="NWU28" s="1266"/>
      <c r="NWV28" s="1266"/>
      <c r="NWW28" s="1266"/>
      <c r="NWX28" s="1266"/>
      <c r="NWY28" s="1266"/>
      <c r="NWZ28" s="1266"/>
      <c r="NXA28" s="1266"/>
      <c r="NXB28" s="1266"/>
      <c r="NXC28" s="1266"/>
      <c r="NXD28" s="1266"/>
      <c r="NXE28" s="1266"/>
      <c r="NXF28" s="1266"/>
      <c r="NXG28" s="1266"/>
      <c r="NXH28" s="1266"/>
      <c r="NXI28" s="1266"/>
      <c r="NXJ28" s="1266"/>
      <c r="NXK28" s="1266"/>
      <c r="NXL28" s="1266"/>
      <c r="NXM28" s="1266"/>
      <c r="NXN28" s="1266"/>
      <c r="NXO28" s="1266"/>
      <c r="NXP28" s="1266"/>
      <c r="NXQ28" s="1266"/>
      <c r="NXR28" s="1266"/>
      <c r="NXS28" s="1266"/>
      <c r="NXT28" s="1266"/>
      <c r="NXU28" s="1266"/>
      <c r="NXV28" s="1266"/>
      <c r="NXW28" s="1266"/>
      <c r="NXX28" s="1266"/>
      <c r="NXY28" s="1266"/>
      <c r="NXZ28" s="1266"/>
      <c r="NYA28" s="1266"/>
      <c r="NYB28" s="1266"/>
      <c r="NYC28" s="1266"/>
      <c r="NYD28" s="1266"/>
      <c r="NYE28" s="1266"/>
      <c r="NYF28" s="1266"/>
      <c r="NYG28" s="1266"/>
      <c r="NYH28" s="1266"/>
      <c r="NYI28" s="1266"/>
      <c r="NYJ28" s="1266"/>
      <c r="NYK28" s="1266"/>
      <c r="NYL28" s="1266"/>
      <c r="NYM28" s="1266"/>
      <c r="NYN28" s="1266"/>
      <c r="NYO28" s="1266"/>
      <c r="NYP28" s="1266"/>
      <c r="NYQ28" s="1266"/>
      <c r="NYR28" s="1266"/>
      <c r="NYS28" s="1266"/>
      <c r="NYT28" s="1266"/>
      <c r="NYU28" s="1266"/>
      <c r="NYV28" s="1266"/>
      <c r="NYW28" s="1266"/>
      <c r="NYX28" s="1266"/>
      <c r="NYY28" s="1266"/>
      <c r="NYZ28" s="1266"/>
      <c r="NZA28" s="1266"/>
      <c r="NZB28" s="1266"/>
      <c r="NZC28" s="1266"/>
      <c r="NZD28" s="1266"/>
      <c r="NZE28" s="1266"/>
      <c r="NZF28" s="1266"/>
      <c r="NZG28" s="1266"/>
      <c r="NZH28" s="1266"/>
      <c r="NZI28" s="1266"/>
      <c r="NZJ28" s="1266"/>
      <c r="NZK28" s="1266"/>
      <c r="NZL28" s="1266"/>
      <c r="NZM28" s="1266"/>
      <c r="NZN28" s="1266"/>
      <c r="NZO28" s="1266"/>
      <c r="NZP28" s="1266"/>
      <c r="NZQ28" s="1266"/>
      <c r="NZR28" s="1266"/>
      <c r="NZS28" s="1266"/>
      <c r="NZT28" s="1266"/>
      <c r="NZU28" s="1266"/>
      <c r="NZV28" s="1266"/>
      <c r="NZW28" s="1266"/>
      <c r="NZX28" s="1266"/>
      <c r="NZY28" s="1266"/>
      <c r="NZZ28" s="1266"/>
      <c r="OAA28" s="1266"/>
      <c r="OAB28" s="1266"/>
      <c r="OAC28" s="1266"/>
      <c r="OAD28" s="1266"/>
      <c r="OAE28" s="1266"/>
      <c r="OAF28" s="1266"/>
      <c r="OAG28" s="1266"/>
      <c r="OAH28" s="1266"/>
      <c r="OAI28" s="1266"/>
      <c r="OAJ28" s="1266"/>
      <c r="OAK28" s="1266"/>
      <c r="OAL28" s="1266"/>
      <c r="OAM28" s="1266"/>
      <c r="OAN28" s="1266"/>
      <c r="OAO28" s="1266"/>
      <c r="OAP28" s="1266"/>
      <c r="OAQ28" s="1266"/>
      <c r="OAR28" s="1266"/>
      <c r="OAS28" s="1266"/>
      <c r="OAT28" s="1266"/>
      <c r="OAU28" s="1266"/>
      <c r="OAV28" s="1266"/>
      <c r="OAW28" s="1266"/>
      <c r="OAX28" s="1266"/>
      <c r="OAY28" s="1266"/>
      <c r="OAZ28" s="1266"/>
      <c r="OBA28" s="1266"/>
      <c r="OBB28" s="1266"/>
      <c r="OBC28" s="1266"/>
      <c r="OBD28" s="1266"/>
      <c r="OBE28" s="1266"/>
      <c r="OBF28" s="1266"/>
      <c r="OBG28" s="1266"/>
      <c r="OBH28" s="1266"/>
      <c r="OBI28" s="1266"/>
      <c r="OBJ28" s="1266"/>
      <c r="OBK28" s="1266"/>
      <c r="OBL28" s="1266"/>
      <c r="OBM28" s="1266"/>
      <c r="OBN28" s="1266"/>
      <c r="OBO28" s="1266"/>
      <c r="OBP28" s="1266"/>
      <c r="OBQ28" s="1266"/>
      <c r="OBR28" s="1266"/>
      <c r="OBS28" s="1266"/>
      <c r="OBT28" s="1266"/>
      <c r="OBU28" s="1266"/>
      <c r="OBV28" s="1266"/>
      <c r="OBW28" s="1266"/>
      <c r="OBX28" s="1266"/>
      <c r="OBY28" s="1266"/>
      <c r="OBZ28" s="1266"/>
      <c r="OCA28" s="1266"/>
      <c r="OCB28" s="1266"/>
      <c r="OCC28" s="1266"/>
      <c r="OCD28" s="1266"/>
      <c r="OCE28" s="1266"/>
      <c r="OCF28" s="1266"/>
      <c r="OCG28" s="1266"/>
      <c r="OCH28" s="1266"/>
      <c r="OCI28" s="1266"/>
      <c r="OCJ28" s="1266"/>
      <c r="OCK28" s="1266"/>
      <c r="OCL28" s="1266"/>
      <c r="OCM28" s="1266"/>
      <c r="OCN28" s="1266"/>
      <c r="OCO28" s="1266"/>
      <c r="OCP28" s="1266"/>
      <c r="OCQ28" s="1266"/>
      <c r="OCR28" s="1266"/>
      <c r="OCS28" s="1266"/>
      <c r="OCT28" s="1266"/>
      <c r="OCU28" s="1266"/>
      <c r="OCV28" s="1266"/>
      <c r="OCW28" s="1266"/>
      <c r="OCX28" s="1266"/>
      <c r="OCY28" s="1266"/>
      <c r="OCZ28" s="1266"/>
      <c r="ODA28" s="1266"/>
      <c r="ODB28" s="1266"/>
      <c r="ODC28" s="1266"/>
      <c r="ODD28" s="1266"/>
      <c r="ODE28" s="1266"/>
      <c r="ODF28" s="1266"/>
      <c r="ODG28" s="1266"/>
      <c r="ODH28" s="1266"/>
      <c r="ODI28" s="1266"/>
      <c r="ODJ28" s="1266"/>
      <c r="ODK28" s="1266"/>
      <c r="ODL28" s="1266"/>
      <c r="ODM28" s="1266"/>
      <c r="ODN28" s="1266"/>
      <c r="ODO28" s="1266"/>
      <c r="ODP28" s="1266"/>
      <c r="ODQ28" s="1266"/>
      <c r="ODR28" s="1266"/>
      <c r="ODS28" s="1266"/>
      <c r="ODT28" s="1266"/>
      <c r="ODU28" s="1266"/>
      <c r="ODV28" s="1266"/>
      <c r="ODW28" s="1266"/>
      <c r="ODX28" s="1266"/>
      <c r="ODY28" s="1266"/>
      <c r="ODZ28" s="1266"/>
      <c r="OEA28" s="1266"/>
      <c r="OEB28" s="1266"/>
      <c r="OEC28" s="1266"/>
      <c r="OED28" s="1266"/>
      <c r="OEE28" s="1266"/>
      <c r="OEF28" s="1266"/>
      <c r="OEG28" s="1266"/>
      <c r="OEH28" s="1266"/>
      <c r="OEI28" s="1266"/>
      <c r="OEJ28" s="1266"/>
      <c r="OEK28" s="1266"/>
      <c r="OEL28" s="1266"/>
      <c r="OEM28" s="1266"/>
      <c r="OEN28" s="1266"/>
      <c r="OEO28" s="1266"/>
      <c r="OEP28" s="1266"/>
      <c r="OEQ28" s="1266"/>
      <c r="OER28" s="1266"/>
      <c r="OES28" s="1266"/>
      <c r="OET28" s="1266"/>
      <c r="OEU28" s="1266"/>
      <c r="OEV28" s="1266"/>
      <c r="OEW28" s="1266"/>
      <c r="OEX28" s="1266"/>
      <c r="OEY28" s="1266"/>
      <c r="OEZ28" s="1266"/>
      <c r="OFA28" s="1266"/>
      <c r="OFB28" s="1266"/>
      <c r="OFC28" s="1266"/>
      <c r="OFD28" s="1266"/>
      <c r="OFE28" s="1266"/>
      <c r="OFF28" s="1266"/>
      <c r="OFG28" s="1266"/>
      <c r="OFH28" s="1266"/>
      <c r="OFI28" s="1266"/>
      <c r="OFJ28" s="1266"/>
      <c r="OFK28" s="1266"/>
      <c r="OFL28" s="1266"/>
      <c r="OFM28" s="1266"/>
      <c r="OFN28" s="1266"/>
      <c r="OFO28" s="1266"/>
      <c r="OFP28" s="1266"/>
      <c r="OFQ28" s="1266"/>
      <c r="OFR28" s="1266"/>
      <c r="OFS28" s="1266"/>
      <c r="OFT28" s="1266"/>
      <c r="OFU28" s="1266"/>
      <c r="OFV28" s="1266"/>
      <c r="OFW28" s="1266"/>
      <c r="OFX28" s="1266"/>
      <c r="OFY28" s="1266"/>
      <c r="OFZ28" s="1266"/>
      <c r="OGA28" s="1266"/>
      <c r="OGB28" s="1266"/>
      <c r="OGC28" s="1266"/>
      <c r="OGD28" s="1266"/>
      <c r="OGE28" s="1266"/>
      <c r="OGF28" s="1266"/>
      <c r="OGG28" s="1266"/>
      <c r="OGH28" s="1266"/>
      <c r="OGI28" s="1266"/>
      <c r="OGJ28" s="1266"/>
      <c r="OGK28" s="1266"/>
      <c r="OGL28" s="1266"/>
      <c r="OGM28" s="1266"/>
      <c r="OGN28" s="1266"/>
      <c r="OGO28" s="1266"/>
      <c r="OGP28" s="1266"/>
      <c r="OGQ28" s="1266"/>
      <c r="OGR28" s="1266"/>
      <c r="OGS28" s="1266"/>
      <c r="OGT28" s="1266"/>
      <c r="OGU28" s="1266"/>
      <c r="OGV28" s="1266"/>
      <c r="OGW28" s="1266"/>
      <c r="OGX28" s="1266"/>
      <c r="OGY28" s="1266"/>
      <c r="OGZ28" s="1266"/>
      <c r="OHA28" s="1266"/>
      <c r="OHB28" s="1266"/>
      <c r="OHC28" s="1266"/>
      <c r="OHD28" s="1266"/>
      <c r="OHE28" s="1266"/>
      <c r="OHF28" s="1266"/>
      <c r="OHG28" s="1266"/>
      <c r="OHH28" s="1266"/>
      <c r="OHI28" s="1266"/>
      <c r="OHJ28" s="1266"/>
      <c r="OHK28" s="1266"/>
      <c r="OHL28" s="1266"/>
      <c r="OHM28" s="1266"/>
      <c r="OHN28" s="1266"/>
      <c r="OHO28" s="1266"/>
      <c r="OHP28" s="1266"/>
      <c r="OHQ28" s="1266"/>
      <c r="OHR28" s="1266"/>
      <c r="OHS28" s="1266"/>
      <c r="OHT28" s="1266"/>
      <c r="OHU28" s="1266"/>
      <c r="OHV28" s="1266"/>
      <c r="OHW28" s="1266"/>
      <c r="OHX28" s="1266"/>
      <c r="OHY28" s="1266"/>
      <c r="OHZ28" s="1266"/>
      <c r="OIA28" s="1266"/>
      <c r="OIB28" s="1266"/>
      <c r="OIC28" s="1266"/>
      <c r="OID28" s="1266"/>
      <c r="OIE28" s="1266"/>
      <c r="OIF28" s="1266"/>
      <c r="OIG28" s="1266"/>
      <c r="OIH28" s="1266"/>
      <c r="OII28" s="1266"/>
      <c r="OIJ28" s="1266"/>
      <c r="OIK28" s="1266"/>
      <c r="OIL28" s="1266"/>
      <c r="OIM28" s="1266"/>
      <c r="OIN28" s="1266"/>
      <c r="OIO28" s="1266"/>
      <c r="OIP28" s="1266"/>
      <c r="OIQ28" s="1266"/>
      <c r="OIR28" s="1266"/>
      <c r="OIS28" s="1266"/>
      <c r="OIT28" s="1266"/>
      <c r="OIU28" s="1266"/>
      <c r="OIV28" s="1266"/>
      <c r="OIW28" s="1266"/>
      <c r="OIX28" s="1266"/>
      <c r="OIY28" s="1266"/>
      <c r="OIZ28" s="1266"/>
      <c r="OJA28" s="1266"/>
      <c r="OJB28" s="1266"/>
      <c r="OJC28" s="1266"/>
      <c r="OJD28" s="1266"/>
      <c r="OJE28" s="1266"/>
      <c r="OJF28" s="1266"/>
      <c r="OJG28" s="1266"/>
      <c r="OJH28" s="1266"/>
      <c r="OJI28" s="1266"/>
      <c r="OJJ28" s="1266"/>
      <c r="OJK28" s="1266"/>
      <c r="OJL28" s="1266"/>
      <c r="OJM28" s="1266"/>
      <c r="OJN28" s="1266"/>
      <c r="OJO28" s="1266"/>
      <c r="OJP28" s="1266"/>
      <c r="OJQ28" s="1266"/>
      <c r="OJR28" s="1266"/>
      <c r="OJS28" s="1266"/>
      <c r="OJT28" s="1266"/>
      <c r="OJU28" s="1266"/>
      <c r="OJV28" s="1266"/>
      <c r="OJW28" s="1266"/>
      <c r="OJX28" s="1266"/>
      <c r="OJY28" s="1266"/>
      <c r="OJZ28" s="1266"/>
      <c r="OKA28" s="1266"/>
      <c r="OKB28" s="1266"/>
      <c r="OKC28" s="1266"/>
      <c r="OKD28" s="1266"/>
      <c r="OKE28" s="1266"/>
      <c r="OKF28" s="1266"/>
      <c r="OKG28" s="1266"/>
      <c r="OKH28" s="1266"/>
      <c r="OKI28" s="1266"/>
      <c r="OKJ28" s="1266"/>
      <c r="OKK28" s="1266"/>
      <c r="OKL28" s="1266"/>
      <c r="OKM28" s="1266"/>
      <c r="OKN28" s="1266"/>
      <c r="OKO28" s="1266"/>
      <c r="OKP28" s="1266"/>
      <c r="OKQ28" s="1266"/>
      <c r="OKR28" s="1266"/>
      <c r="OKS28" s="1266"/>
      <c r="OKT28" s="1266"/>
      <c r="OKU28" s="1266"/>
      <c r="OKV28" s="1266"/>
      <c r="OKW28" s="1266"/>
      <c r="OKX28" s="1266"/>
      <c r="OKY28" s="1266"/>
      <c r="OKZ28" s="1266"/>
      <c r="OLA28" s="1266"/>
      <c r="OLB28" s="1266"/>
      <c r="OLC28" s="1266"/>
      <c r="OLD28" s="1266"/>
      <c r="OLE28" s="1266"/>
      <c r="OLF28" s="1266"/>
      <c r="OLG28" s="1266"/>
      <c r="OLH28" s="1266"/>
      <c r="OLI28" s="1266"/>
      <c r="OLJ28" s="1266"/>
      <c r="OLK28" s="1266"/>
      <c r="OLL28" s="1266"/>
      <c r="OLM28" s="1266"/>
      <c r="OLN28" s="1266"/>
      <c r="OLO28" s="1266"/>
      <c r="OLP28" s="1266"/>
      <c r="OLQ28" s="1266"/>
      <c r="OLR28" s="1266"/>
      <c r="OLS28" s="1266"/>
      <c r="OLT28" s="1266"/>
      <c r="OLU28" s="1266"/>
      <c r="OLV28" s="1266"/>
      <c r="OLW28" s="1266"/>
      <c r="OLX28" s="1266"/>
      <c r="OLY28" s="1266"/>
      <c r="OLZ28" s="1266"/>
      <c r="OMA28" s="1266"/>
      <c r="OMB28" s="1266"/>
      <c r="OMC28" s="1266"/>
      <c r="OMD28" s="1266"/>
      <c r="OME28" s="1266"/>
      <c r="OMF28" s="1266"/>
      <c r="OMG28" s="1266"/>
      <c r="OMH28" s="1266"/>
      <c r="OMI28" s="1266"/>
      <c r="OMJ28" s="1266"/>
      <c r="OMK28" s="1266"/>
      <c r="OML28" s="1266"/>
      <c r="OMM28" s="1266"/>
      <c r="OMN28" s="1266"/>
      <c r="OMO28" s="1266"/>
      <c r="OMP28" s="1266"/>
      <c r="OMQ28" s="1266"/>
      <c r="OMR28" s="1266"/>
      <c r="OMS28" s="1266"/>
      <c r="OMT28" s="1266"/>
      <c r="OMU28" s="1266"/>
      <c r="OMV28" s="1266"/>
      <c r="OMW28" s="1266"/>
      <c r="OMX28" s="1266"/>
      <c r="OMY28" s="1266"/>
      <c r="OMZ28" s="1266"/>
      <c r="ONA28" s="1266"/>
      <c r="ONB28" s="1266"/>
      <c r="ONC28" s="1266"/>
      <c r="OND28" s="1266"/>
      <c r="ONE28" s="1266"/>
      <c r="ONF28" s="1266"/>
      <c r="ONG28" s="1266"/>
      <c r="ONH28" s="1266"/>
      <c r="ONI28" s="1266"/>
      <c r="ONJ28" s="1266"/>
      <c r="ONK28" s="1266"/>
      <c r="ONL28" s="1266"/>
      <c r="ONM28" s="1266"/>
      <c r="ONN28" s="1266"/>
      <c r="ONO28" s="1266"/>
      <c r="ONP28" s="1266"/>
      <c r="ONQ28" s="1266"/>
      <c r="ONR28" s="1266"/>
      <c r="ONS28" s="1266"/>
      <c r="ONT28" s="1266"/>
      <c r="ONU28" s="1266"/>
      <c r="ONV28" s="1266"/>
      <c r="ONW28" s="1266"/>
      <c r="ONX28" s="1266"/>
      <c r="ONY28" s="1266"/>
      <c r="ONZ28" s="1266"/>
      <c r="OOA28" s="1266"/>
      <c r="OOB28" s="1266"/>
      <c r="OOC28" s="1266"/>
      <c r="OOD28" s="1266"/>
      <c r="OOE28" s="1266"/>
      <c r="OOF28" s="1266"/>
      <c r="OOG28" s="1266"/>
      <c r="OOH28" s="1266"/>
      <c r="OOI28" s="1266"/>
      <c r="OOJ28" s="1266"/>
      <c r="OOK28" s="1266"/>
      <c r="OOL28" s="1266"/>
      <c r="OOM28" s="1266"/>
      <c r="OON28" s="1266"/>
      <c r="OOO28" s="1266"/>
      <c r="OOP28" s="1266"/>
      <c r="OOQ28" s="1266"/>
      <c r="OOR28" s="1266"/>
      <c r="OOS28" s="1266"/>
      <c r="OOT28" s="1266"/>
      <c r="OOU28" s="1266"/>
      <c r="OOV28" s="1266"/>
      <c r="OOW28" s="1266"/>
      <c r="OOX28" s="1266"/>
      <c r="OOY28" s="1266"/>
      <c r="OOZ28" s="1266"/>
      <c r="OPA28" s="1266"/>
      <c r="OPB28" s="1266"/>
      <c r="OPC28" s="1266"/>
      <c r="OPD28" s="1266"/>
      <c r="OPE28" s="1266"/>
      <c r="OPF28" s="1266"/>
      <c r="OPG28" s="1266"/>
      <c r="OPH28" s="1266"/>
      <c r="OPI28" s="1266"/>
      <c r="OPJ28" s="1266"/>
      <c r="OPK28" s="1266"/>
      <c r="OPL28" s="1266"/>
      <c r="OPM28" s="1266"/>
      <c r="OPN28" s="1266"/>
      <c r="OPO28" s="1266"/>
      <c r="OPP28" s="1266"/>
      <c r="OPQ28" s="1266"/>
      <c r="OPR28" s="1266"/>
      <c r="OPS28" s="1266"/>
      <c r="OPT28" s="1266"/>
      <c r="OPU28" s="1266"/>
      <c r="OPV28" s="1266"/>
      <c r="OPW28" s="1266"/>
      <c r="OPX28" s="1266"/>
      <c r="OPY28" s="1266"/>
      <c r="OPZ28" s="1266"/>
      <c r="OQA28" s="1266"/>
      <c r="OQB28" s="1266"/>
      <c r="OQC28" s="1266"/>
      <c r="OQD28" s="1266"/>
      <c r="OQE28" s="1266"/>
      <c r="OQF28" s="1266"/>
      <c r="OQG28" s="1266"/>
      <c r="OQH28" s="1266"/>
      <c r="OQI28" s="1266"/>
      <c r="OQJ28" s="1266"/>
      <c r="OQK28" s="1266"/>
      <c r="OQL28" s="1266"/>
      <c r="OQM28" s="1266"/>
      <c r="OQN28" s="1266"/>
      <c r="OQO28" s="1266"/>
      <c r="OQP28" s="1266"/>
      <c r="OQQ28" s="1266"/>
      <c r="OQR28" s="1266"/>
      <c r="OQS28" s="1266"/>
      <c r="OQT28" s="1266"/>
      <c r="OQU28" s="1266"/>
      <c r="OQV28" s="1266"/>
      <c r="OQW28" s="1266"/>
      <c r="OQX28" s="1266"/>
      <c r="OQY28" s="1266"/>
      <c r="OQZ28" s="1266"/>
      <c r="ORA28" s="1266"/>
      <c r="ORB28" s="1266"/>
      <c r="ORC28" s="1266"/>
      <c r="ORD28" s="1266"/>
      <c r="ORE28" s="1266"/>
      <c r="ORF28" s="1266"/>
      <c r="ORG28" s="1266"/>
      <c r="ORH28" s="1266"/>
      <c r="ORI28" s="1266"/>
      <c r="ORJ28" s="1266"/>
      <c r="ORK28" s="1266"/>
      <c r="ORL28" s="1266"/>
      <c r="ORM28" s="1266"/>
      <c r="ORN28" s="1266"/>
      <c r="ORO28" s="1266"/>
      <c r="ORP28" s="1266"/>
      <c r="ORQ28" s="1266"/>
      <c r="ORR28" s="1266"/>
      <c r="ORS28" s="1266"/>
      <c r="ORT28" s="1266"/>
      <c r="ORU28" s="1266"/>
      <c r="ORV28" s="1266"/>
      <c r="ORW28" s="1266"/>
      <c r="ORX28" s="1266"/>
      <c r="ORY28" s="1266"/>
      <c r="ORZ28" s="1266"/>
      <c r="OSA28" s="1266"/>
      <c r="OSB28" s="1266"/>
      <c r="OSC28" s="1266"/>
      <c r="OSD28" s="1266"/>
      <c r="OSE28" s="1266"/>
      <c r="OSF28" s="1266"/>
      <c r="OSG28" s="1266"/>
      <c r="OSH28" s="1266"/>
      <c r="OSI28" s="1266"/>
      <c r="OSJ28" s="1266"/>
      <c r="OSK28" s="1266"/>
      <c r="OSL28" s="1266"/>
      <c r="OSM28" s="1266"/>
      <c r="OSN28" s="1266"/>
      <c r="OSO28" s="1266"/>
      <c r="OSP28" s="1266"/>
      <c r="OSQ28" s="1266"/>
      <c r="OSR28" s="1266"/>
      <c r="OSS28" s="1266"/>
      <c r="OST28" s="1266"/>
      <c r="OSU28" s="1266"/>
      <c r="OSV28" s="1266"/>
      <c r="OSW28" s="1266"/>
      <c r="OSX28" s="1266"/>
      <c r="OSY28" s="1266"/>
      <c r="OSZ28" s="1266"/>
      <c r="OTA28" s="1266"/>
      <c r="OTB28" s="1266"/>
      <c r="OTC28" s="1266"/>
      <c r="OTD28" s="1266"/>
      <c r="OTE28" s="1266"/>
      <c r="OTF28" s="1266"/>
      <c r="OTG28" s="1266"/>
      <c r="OTH28" s="1266"/>
      <c r="OTI28" s="1266"/>
      <c r="OTJ28" s="1266"/>
      <c r="OTK28" s="1266"/>
      <c r="OTL28" s="1266"/>
      <c r="OTM28" s="1266"/>
      <c r="OTN28" s="1266"/>
      <c r="OTO28" s="1266"/>
      <c r="OTP28" s="1266"/>
      <c r="OTQ28" s="1266"/>
      <c r="OTR28" s="1266"/>
      <c r="OTS28" s="1266"/>
      <c r="OTT28" s="1266"/>
      <c r="OTU28" s="1266"/>
      <c r="OTV28" s="1266"/>
      <c r="OTW28" s="1266"/>
      <c r="OTX28" s="1266"/>
      <c r="OTY28" s="1266"/>
      <c r="OTZ28" s="1266"/>
      <c r="OUA28" s="1266"/>
      <c r="OUB28" s="1266"/>
      <c r="OUC28" s="1266"/>
      <c r="OUD28" s="1266"/>
      <c r="OUE28" s="1266"/>
      <c r="OUF28" s="1266"/>
      <c r="OUG28" s="1266"/>
      <c r="OUH28" s="1266"/>
      <c r="OUI28" s="1266"/>
      <c r="OUJ28" s="1266"/>
      <c r="OUK28" s="1266"/>
      <c r="OUL28" s="1266"/>
      <c r="OUM28" s="1266"/>
      <c r="OUN28" s="1266"/>
      <c r="OUO28" s="1266"/>
      <c r="OUP28" s="1266"/>
      <c r="OUQ28" s="1266"/>
      <c r="OUR28" s="1266"/>
      <c r="OUS28" s="1266"/>
      <c r="OUT28" s="1266"/>
      <c r="OUU28" s="1266"/>
      <c r="OUV28" s="1266"/>
      <c r="OUW28" s="1266"/>
      <c r="OUX28" s="1266"/>
      <c r="OUY28" s="1266"/>
      <c r="OUZ28" s="1266"/>
      <c r="OVA28" s="1266"/>
      <c r="OVB28" s="1266"/>
      <c r="OVC28" s="1266"/>
      <c r="OVD28" s="1266"/>
      <c r="OVE28" s="1266"/>
      <c r="OVF28" s="1266"/>
      <c r="OVG28" s="1266"/>
      <c r="OVH28" s="1266"/>
      <c r="OVI28" s="1266"/>
      <c r="OVJ28" s="1266"/>
      <c r="OVK28" s="1266"/>
      <c r="OVL28" s="1266"/>
      <c r="OVM28" s="1266"/>
      <c r="OVN28" s="1266"/>
      <c r="OVO28" s="1266"/>
      <c r="OVP28" s="1266"/>
      <c r="OVQ28" s="1266"/>
      <c r="OVR28" s="1266"/>
      <c r="OVS28" s="1266"/>
      <c r="OVT28" s="1266"/>
      <c r="OVU28" s="1266"/>
      <c r="OVV28" s="1266"/>
      <c r="OVW28" s="1266"/>
      <c r="OVX28" s="1266"/>
      <c r="OVY28" s="1266"/>
      <c r="OVZ28" s="1266"/>
      <c r="OWA28" s="1266"/>
      <c r="OWB28" s="1266"/>
      <c r="OWC28" s="1266"/>
      <c r="OWD28" s="1266"/>
      <c r="OWE28" s="1266"/>
      <c r="OWF28" s="1266"/>
      <c r="OWG28" s="1266"/>
      <c r="OWH28" s="1266"/>
      <c r="OWI28" s="1266"/>
      <c r="OWJ28" s="1266"/>
      <c r="OWK28" s="1266"/>
      <c r="OWL28" s="1266"/>
      <c r="OWM28" s="1266"/>
      <c r="OWN28" s="1266"/>
      <c r="OWO28" s="1266"/>
      <c r="OWP28" s="1266"/>
      <c r="OWQ28" s="1266"/>
      <c r="OWR28" s="1266"/>
      <c r="OWS28" s="1266"/>
      <c r="OWT28" s="1266"/>
      <c r="OWU28" s="1266"/>
      <c r="OWV28" s="1266"/>
      <c r="OWW28" s="1266"/>
      <c r="OWX28" s="1266"/>
      <c r="OWY28" s="1266"/>
      <c r="OWZ28" s="1266"/>
      <c r="OXA28" s="1266"/>
      <c r="OXB28" s="1266"/>
      <c r="OXC28" s="1266"/>
      <c r="OXD28" s="1266"/>
      <c r="OXE28" s="1266"/>
      <c r="OXF28" s="1266"/>
      <c r="OXG28" s="1266"/>
      <c r="OXH28" s="1266"/>
      <c r="OXI28" s="1266"/>
      <c r="OXJ28" s="1266"/>
      <c r="OXK28" s="1266"/>
      <c r="OXL28" s="1266"/>
      <c r="OXM28" s="1266"/>
      <c r="OXN28" s="1266"/>
      <c r="OXO28" s="1266"/>
      <c r="OXP28" s="1266"/>
      <c r="OXQ28" s="1266"/>
      <c r="OXR28" s="1266"/>
      <c r="OXS28" s="1266"/>
      <c r="OXT28" s="1266"/>
      <c r="OXU28" s="1266"/>
      <c r="OXV28" s="1266"/>
      <c r="OXW28" s="1266"/>
      <c r="OXX28" s="1266"/>
      <c r="OXY28" s="1266"/>
      <c r="OXZ28" s="1266"/>
      <c r="OYA28" s="1266"/>
      <c r="OYB28" s="1266"/>
      <c r="OYC28" s="1266"/>
      <c r="OYD28" s="1266"/>
      <c r="OYE28" s="1266"/>
      <c r="OYF28" s="1266"/>
      <c r="OYG28" s="1266"/>
      <c r="OYH28" s="1266"/>
      <c r="OYI28" s="1266"/>
      <c r="OYJ28" s="1266"/>
      <c r="OYK28" s="1266"/>
      <c r="OYL28" s="1266"/>
      <c r="OYM28" s="1266"/>
      <c r="OYN28" s="1266"/>
      <c r="OYO28" s="1266"/>
      <c r="OYP28" s="1266"/>
      <c r="OYQ28" s="1266"/>
      <c r="OYR28" s="1266"/>
      <c r="OYS28" s="1266"/>
      <c r="OYT28" s="1266"/>
      <c r="OYU28" s="1266"/>
      <c r="OYV28" s="1266"/>
      <c r="OYW28" s="1266"/>
      <c r="OYX28" s="1266"/>
      <c r="OYY28" s="1266"/>
      <c r="OYZ28" s="1266"/>
      <c r="OZA28" s="1266"/>
      <c r="OZB28" s="1266"/>
      <c r="OZC28" s="1266"/>
      <c r="OZD28" s="1266"/>
      <c r="OZE28" s="1266"/>
      <c r="OZF28" s="1266"/>
      <c r="OZG28" s="1266"/>
      <c r="OZH28" s="1266"/>
      <c r="OZI28" s="1266"/>
      <c r="OZJ28" s="1266"/>
      <c r="OZK28" s="1266"/>
      <c r="OZL28" s="1266"/>
      <c r="OZM28" s="1266"/>
      <c r="OZN28" s="1266"/>
      <c r="OZO28" s="1266"/>
      <c r="OZP28" s="1266"/>
      <c r="OZQ28" s="1266"/>
      <c r="OZR28" s="1266"/>
      <c r="OZS28" s="1266"/>
      <c r="OZT28" s="1266"/>
      <c r="OZU28" s="1266"/>
      <c r="OZV28" s="1266"/>
      <c r="OZW28" s="1266"/>
      <c r="OZX28" s="1266"/>
      <c r="OZY28" s="1266"/>
      <c r="OZZ28" s="1266"/>
      <c r="PAA28" s="1266"/>
      <c r="PAB28" s="1266"/>
      <c r="PAC28" s="1266"/>
      <c r="PAD28" s="1266"/>
      <c r="PAE28" s="1266"/>
      <c r="PAF28" s="1266"/>
      <c r="PAG28" s="1266"/>
      <c r="PAH28" s="1266"/>
      <c r="PAI28" s="1266"/>
      <c r="PAJ28" s="1266"/>
      <c r="PAK28" s="1266"/>
      <c r="PAL28" s="1266"/>
      <c r="PAM28" s="1266"/>
      <c r="PAN28" s="1266"/>
      <c r="PAO28" s="1266"/>
      <c r="PAP28" s="1266"/>
      <c r="PAQ28" s="1266"/>
      <c r="PAR28" s="1266"/>
      <c r="PAS28" s="1266"/>
      <c r="PAT28" s="1266"/>
      <c r="PAU28" s="1266"/>
      <c r="PAV28" s="1266"/>
      <c r="PAW28" s="1266"/>
      <c r="PAX28" s="1266"/>
      <c r="PAY28" s="1266"/>
      <c r="PAZ28" s="1266"/>
      <c r="PBA28" s="1266"/>
      <c r="PBB28" s="1266"/>
      <c r="PBC28" s="1266"/>
      <c r="PBD28" s="1266"/>
      <c r="PBE28" s="1266"/>
      <c r="PBF28" s="1266"/>
      <c r="PBG28" s="1266"/>
      <c r="PBH28" s="1266"/>
      <c r="PBI28" s="1266"/>
      <c r="PBJ28" s="1266"/>
      <c r="PBK28" s="1266"/>
      <c r="PBL28" s="1266"/>
      <c r="PBM28" s="1266"/>
      <c r="PBN28" s="1266"/>
      <c r="PBO28" s="1266"/>
      <c r="PBP28" s="1266"/>
      <c r="PBQ28" s="1266"/>
      <c r="PBR28" s="1266"/>
      <c r="PBS28" s="1266"/>
      <c r="PBT28" s="1266"/>
      <c r="PBU28" s="1266"/>
      <c r="PBV28" s="1266"/>
      <c r="PBW28" s="1266"/>
      <c r="PBX28" s="1266"/>
      <c r="PBY28" s="1266"/>
      <c r="PBZ28" s="1266"/>
      <c r="PCA28" s="1266"/>
      <c r="PCB28" s="1266"/>
      <c r="PCC28" s="1266"/>
      <c r="PCD28" s="1266"/>
      <c r="PCE28" s="1266"/>
      <c r="PCF28" s="1266"/>
      <c r="PCG28" s="1266"/>
      <c r="PCH28" s="1266"/>
      <c r="PCI28" s="1266"/>
      <c r="PCJ28" s="1266"/>
      <c r="PCK28" s="1266"/>
      <c r="PCL28" s="1266"/>
      <c r="PCM28" s="1266"/>
      <c r="PCN28" s="1266"/>
      <c r="PCO28" s="1266"/>
      <c r="PCP28" s="1266"/>
      <c r="PCQ28" s="1266"/>
      <c r="PCR28" s="1266"/>
      <c r="PCS28" s="1266"/>
      <c r="PCT28" s="1266"/>
      <c r="PCU28" s="1266"/>
      <c r="PCV28" s="1266"/>
      <c r="PCW28" s="1266"/>
      <c r="PCX28" s="1266"/>
      <c r="PCY28" s="1266"/>
      <c r="PCZ28" s="1266"/>
      <c r="PDA28" s="1266"/>
      <c r="PDB28" s="1266"/>
      <c r="PDC28" s="1266"/>
      <c r="PDD28" s="1266"/>
      <c r="PDE28" s="1266"/>
      <c r="PDF28" s="1266"/>
      <c r="PDG28" s="1266"/>
      <c r="PDH28" s="1266"/>
      <c r="PDI28" s="1266"/>
      <c r="PDJ28" s="1266"/>
      <c r="PDK28" s="1266"/>
      <c r="PDL28" s="1266"/>
      <c r="PDM28" s="1266"/>
      <c r="PDN28" s="1266"/>
      <c r="PDO28" s="1266"/>
      <c r="PDP28" s="1266"/>
      <c r="PDQ28" s="1266"/>
      <c r="PDR28" s="1266"/>
      <c r="PDS28" s="1266"/>
      <c r="PDT28" s="1266"/>
      <c r="PDU28" s="1266"/>
      <c r="PDV28" s="1266"/>
      <c r="PDW28" s="1266"/>
      <c r="PDX28" s="1266"/>
      <c r="PDY28" s="1266"/>
      <c r="PDZ28" s="1266"/>
      <c r="PEA28" s="1266"/>
      <c r="PEB28" s="1266"/>
      <c r="PEC28" s="1266"/>
      <c r="PED28" s="1266"/>
      <c r="PEE28" s="1266"/>
      <c r="PEF28" s="1266"/>
      <c r="PEG28" s="1266"/>
      <c r="PEH28" s="1266"/>
      <c r="PEI28" s="1266"/>
      <c r="PEJ28" s="1266"/>
      <c r="PEK28" s="1266"/>
      <c r="PEL28" s="1266"/>
      <c r="PEM28" s="1266"/>
      <c r="PEN28" s="1266"/>
      <c r="PEO28" s="1266"/>
      <c r="PEP28" s="1266"/>
      <c r="PEQ28" s="1266"/>
      <c r="PER28" s="1266"/>
      <c r="PES28" s="1266"/>
      <c r="PET28" s="1266"/>
      <c r="PEU28" s="1266"/>
      <c r="PEV28" s="1266"/>
      <c r="PEW28" s="1266"/>
      <c r="PEX28" s="1266"/>
      <c r="PEY28" s="1266"/>
      <c r="PEZ28" s="1266"/>
      <c r="PFA28" s="1266"/>
      <c r="PFB28" s="1266"/>
      <c r="PFC28" s="1266"/>
      <c r="PFD28" s="1266"/>
      <c r="PFE28" s="1266"/>
      <c r="PFF28" s="1266"/>
      <c r="PFG28" s="1266"/>
      <c r="PFH28" s="1266"/>
      <c r="PFI28" s="1266"/>
      <c r="PFJ28" s="1266"/>
      <c r="PFK28" s="1266"/>
      <c r="PFL28" s="1266"/>
      <c r="PFM28" s="1266"/>
      <c r="PFN28" s="1266"/>
      <c r="PFO28" s="1266"/>
      <c r="PFP28" s="1266"/>
      <c r="PFQ28" s="1266"/>
      <c r="PFR28" s="1266"/>
      <c r="PFS28" s="1266"/>
      <c r="PFT28" s="1266"/>
      <c r="PFU28" s="1266"/>
      <c r="PFV28" s="1266"/>
      <c r="PFW28" s="1266"/>
      <c r="PFX28" s="1266"/>
      <c r="PFY28" s="1266"/>
      <c r="PFZ28" s="1266"/>
      <c r="PGA28" s="1266"/>
      <c r="PGB28" s="1266"/>
      <c r="PGC28" s="1266"/>
      <c r="PGD28" s="1266"/>
      <c r="PGE28" s="1266"/>
      <c r="PGF28" s="1266"/>
      <c r="PGG28" s="1266"/>
      <c r="PGH28" s="1266"/>
      <c r="PGI28" s="1266"/>
      <c r="PGJ28" s="1266"/>
      <c r="PGK28" s="1266"/>
      <c r="PGL28" s="1266"/>
      <c r="PGM28" s="1266"/>
      <c r="PGN28" s="1266"/>
      <c r="PGO28" s="1266"/>
      <c r="PGP28" s="1266"/>
      <c r="PGQ28" s="1266"/>
      <c r="PGR28" s="1266"/>
      <c r="PGS28" s="1266"/>
      <c r="PGT28" s="1266"/>
      <c r="PGU28" s="1266"/>
      <c r="PGV28" s="1266"/>
      <c r="PGW28" s="1266"/>
      <c r="PGX28" s="1266"/>
      <c r="PGY28" s="1266"/>
      <c r="PGZ28" s="1266"/>
      <c r="PHA28" s="1266"/>
      <c r="PHB28" s="1266"/>
      <c r="PHC28" s="1266"/>
      <c r="PHD28" s="1266"/>
      <c r="PHE28" s="1266"/>
      <c r="PHF28" s="1266"/>
      <c r="PHG28" s="1266"/>
      <c r="PHH28" s="1266"/>
      <c r="PHI28" s="1266"/>
      <c r="PHJ28" s="1266"/>
      <c r="PHK28" s="1266"/>
      <c r="PHL28" s="1266"/>
      <c r="PHM28" s="1266"/>
      <c r="PHN28" s="1266"/>
      <c r="PHO28" s="1266"/>
      <c r="PHP28" s="1266"/>
      <c r="PHQ28" s="1266"/>
      <c r="PHR28" s="1266"/>
      <c r="PHS28" s="1266"/>
      <c r="PHT28" s="1266"/>
      <c r="PHU28" s="1266"/>
      <c r="PHV28" s="1266"/>
      <c r="PHW28" s="1266"/>
      <c r="PHX28" s="1266"/>
      <c r="PHY28" s="1266"/>
      <c r="PHZ28" s="1266"/>
      <c r="PIA28" s="1266"/>
      <c r="PIB28" s="1266"/>
      <c r="PIC28" s="1266"/>
      <c r="PID28" s="1266"/>
      <c r="PIE28" s="1266"/>
      <c r="PIF28" s="1266"/>
      <c r="PIG28" s="1266"/>
      <c r="PIH28" s="1266"/>
      <c r="PII28" s="1266"/>
      <c r="PIJ28" s="1266"/>
      <c r="PIK28" s="1266"/>
      <c r="PIL28" s="1266"/>
      <c r="PIM28" s="1266"/>
      <c r="PIN28" s="1266"/>
      <c r="PIO28" s="1266"/>
      <c r="PIP28" s="1266"/>
      <c r="PIQ28" s="1266"/>
      <c r="PIR28" s="1266"/>
      <c r="PIS28" s="1266"/>
      <c r="PIT28" s="1266"/>
      <c r="PIU28" s="1266"/>
      <c r="PIV28" s="1266"/>
      <c r="PIW28" s="1266"/>
      <c r="PIX28" s="1266"/>
      <c r="PIY28" s="1266"/>
      <c r="PIZ28" s="1266"/>
      <c r="PJA28" s="1266"/>
      <c r="PJB28" s="1266"/>
      <c r="PJC28" s="1266"/>
      <c r="PJD28" s="1266"/>
      <c r="PJE28" s="1266"/>
      <c r="PJF28" s="1266"/>
      <c r="PJG28" s="1266"/>
      <c r="PJH28" s="1266"/>
      <c r="PJI28" s="1266"/>
      <c r="PJJ28" s="1266"/>
      <c r="PJK28" s="1266"/>
      <c r="PJL28" s="1266"/>
      <c r="PJM28" s="1266"/>
      <c r="PJN28" s="1266"/>
      <c r="PJO28" s="1266"/>
      <c r="PJP28" s="1266"/>
      <c r="PJQ28" s="1266"/>
      <c r="PJR28" s="1266"/>
      <c r="PJS28" s="1266"/>
      <c r="PJT28" s="1266"/>
      <c r="PJU28" s="1266"/>
      <c r="PJV28" s="1266"/>
      <c r="PJW28" s="1266"/>
      <c r="PJX28" s="1266"/>
      <c r="PJY28" s="1266"/>
      <c r="PJZ28" s="1266"/>
      <c r="PKA28" s="1266"/>
      <c r="PKB28" s="1266"/>
      <c r="PKC28" s="1266"/>
      <c r="PKD28" s="1266"/>
      <c r="PKE28" s="1266"/>
      <c r="PKF28" s="1266"/>
      <c r="PKG28" s="1266"/>
      <c r="PKH28" s="1266"/>
      <c r="PKI28" s="1266"/>
      <c r="PKJ28" s="1266"/>
      <c r="PKK28" s="1266"/>
      <c r="PKL28" s="1266"/>
      <c r="PKM28" s="1266"/>
      <c r="PKN28" s="1266"/>
      <c r="PKO28" s="1266"/>
      <c r="PKP28" s="1266"/>
      <c r="PKQ28" s="1266"/>
      <c r="PKR28" s="1266"/>
      <c r="PKS28" s="1266"/>
      <c r="PKT28" s="1266"/>
      <c r="PKU28" s="1266"/>
      <c r="PKV28" s="1266"/>
      <c r="PKW28" s="1266"/>
      <c r="PKX28" s="1266"/>
      <c r="PKY28" s="1266"/>
      <c r="PKZ28" s="1266"/>
      <c r="PLA28" s="1266"/>
      <c r="PLB28" s="1266"/>
      <c r="PLC28" s="1266"/>
      <c r="PLD28" s="1266"/>
      <c r="PLE28" s="1266"/>
      <c r="PLF28" s="1266"/>
      <c r="PLG28" s="1266"/>
      <c r="PLH28" s="1266"/>
      <c r="PLI28" s="1266"/>
      <c r="PLJ28" s="1266"/>
      <c r="PLK28" s="1266"/>
      <c r="PLL28" s="1266"/>
      <c r="PLM28" s="1266"/>
      <c r="PLN28" s="1266"/>
      <c r="PLO28" s="1266"/>
      <c r="PLP28" s="1266"/>
      <c r="PLQ28" s="1266"/>
      <c r="PLR28" s="1266"/>
      <c r="PLS28" s="1266"/>
      <c r="PLT28" s="1266"/>
      <c r="PLU28" s="1266"/>
      <c r="PLV28" s="1266"/>
      <c r="PLW28" s="1266"/>
      <c r="PLX28" s="1266"/>
      <c r="PLY28" s="1266"/>
      <c r="PLZ28" s="1266"/>
      <c r="PMA28" s="1266"/>
      <c r="PMB28" s="1266"/>
      <c r="PMC28" s="1266"/>
      <c r="PMD28" s="1266"/>
      <c r="PME28" s="1266"/>
      <c r="PMF28" s="1266"/>
      <c r="PMG28" s="1266"/>
      <c r="PMH28" s="1266"/>
      <c r="PMI28" s="1266"/>
      <c r="PMJ28" s="1266"/>
      <c r="PMK28" s="1266"/>
      <c r="PML28" s="1266"/>
      <c r="PMM28" s="1266"/>
      <c r="PMN28" s="1266"/>
      <c r="PMO28" s="1266"/>
      <c r="PMP28" s="1266"/>
      <c r="PMQ28" s="1266"/>
      <c r="PMR28" s="1266"/>
      <c r="PMS28" s="1266"/>
      <c r="PMT28" s="1266"/>
      <c r="PMU28" s="1266"/>
      <c r="PMV28" s="1266"/>
      <c r="PMW28" s="1266"/>
      <c r="PMX28" s="1266"/>
      <c r="PMY28" s="1266"/>
      <c r="PMZ28" s="1266"/>
      <c r="PNA28" s="1266"/>
      <c r="PNB28" s="1266"/>
      <c r="PNC28" s="1266"/>
      <c r="PND28" s="1266"/>
      <c r="PNE28" s="1266"/>
      <c r="PNF28" s="1266"/>
      <c r="PNG28" s="1266"/>
      <c r="PNH28" s="1266"/>
      <c r="PNI28" s="1266"/>
      <c r="PNJ28" s="1266"/>
      <c r="PNK28" s="1266"/>
      <c r="PNL28" s="1266"/>
      <c r="PNM28" s="1266"/>
      <c r="PNN28" s="1266"/>
      <c r="PNO28" s="1266"/>
      <c r="PNP28" s="1266"/>
      <c r="PNQ28" s="1266"/>
      <c r="PNR28" s="1266"/>
      <c r="PNS28" s="1266"/>
      <c r="PNT28" s="1266"/>
      <c r="PNU28" s="1266"/>
      <c r="PNV28" s="1266"/>
      <c r="PNW28" s="1266"/>
      <c r="PNX28" s="1266"/>
      <c r="PNY28" s="1266"/>
      <c r="PNZ28" s="1266"/>
      <c r="POA28" s="1266"/>
      <c r="POB28" s="1266"/>
      <c r="POC28" s="1266"/>
      <c r="POD28" s="1266"/>
      <c r="POE28" s="1266"/>
      <c r="POF28" s="1266"/>
      <c r="POG28" s="1266"/>
      <c r="POH28" s="1266"/>
      <c r="POI28" s="1266"/>
      <c r="POJ28" s="1266"/>
      <c r="POK28" s="1266"/>
      <c r="POL28" s="1266"/>
      <c r="POM28" s="1266"/>
      <c r="PON28" s="1266"/>
      <c r="POO28" s="1266"/>
      <c r="POP28" s="1266"/>
      <c r="POQ28" s="1266"/>
      <c r="POR28" s="1266"/>
      <c r="POS28" s="1266"/>
      <c r="POT28" s="1266"/>
      <c r="POU28" s="1266"/>
      <c r="POV28" s="1266"/>
      <c r="POW28" s="1266"/>
      <c r="POX28" s="1266"/>
      <c r="POY28" s="1266"/>
      <c r="POZ28" s="1266"/>
      <c r="PPA28" s="1266"/>
      <c r="PPB28" s="1266"/>
      <c r="PPC28" s="1266"/>
      <c r="PPD28" s="1266"/>
      <c r="PPE28" s="1266"/>
      <c r="PPF28" s="1266"/>
      <c r="PPG28" s="1266"/>
      <c r="PPH28" s="1266"/>
      <c r="PPI28" s="1266"/>
      <c r="PPJ28" s="1266"/>
      <c r="PPK28" s="1266"/>
      <c r="PPL28" s="1266"/>
      <c r="PPM28" s="1266"/>
      <c r="PPN28" s="1266"/>
      <c r="PPO28" s="1266"/>
      <c r="PPP28" s="1266"/>
      <c r="PPQ28" s="1266"/>
      <c r="PPR28" s="1266"/>
      <c r="PPS28" s="1266"/>
      <c r="PPT28" s="1266"/>
      <c r="PPU28" s="1266"/>
      <c r="PPV28" s="1266"/>
      <c r="PPW28" s="1266"/>
      <c r="PPX28" s="1266"/>
      <c r="PPY28" s="1266"/>
      <c r="PPZ28" s="1266"/>
      <c r="PQA28" s="1266"/>
      <c r="PQB28" s="1266"/>
      <c r="PQC28" s="1266"/>
      <c r="PQD28" s="1266"/>
      <c r="PQE28" s="1266"/>
      <c r="PQF28" s="1266"/>
      <c r="PQG28" s="1266"/>
      <c r="PQH28" s="1266"/>
      <c r="PQI28" s="1266"/>
      <c r="PQJ28" s="1266"/>
      <c r="PQK28" s="1266"/>
      <c r="PQL28" s="1266"/>
      <c r="PQM28" s="1266"/>
      <c r="PQN28" s="1266"/>
      <c r="PQO28" s="1266"/>
      <c r="PQP28" s="1266"/>
      <c r="PQQ28" s="1266"/>
      <c r="PQR28" s="1266"/>
      <c r="PQS28" s="1266"/>
      <c r="PQT28" s="1266"/>
      <c r="PQU28" s="1266"/>
      <c r="PQV28" s="1266"/>
      <c r="PQW28" s="1266"/>
      <c r="PQX28" s="1266"/>
      <c r="PQY28" s="1266"/>
      <c r="PQZ28" s="1266"/>
      <c r="PRA28" s="1266"/>
      <c r="PRB28" s="1266"/>
      <c r="PRC28" s="1266"/>
      <c r="PRD28" s="1266"/>
      <c r="PRE28" s="1266"/>
      <c r="PRF28" s="1266"/>
      <c r="PRG28" s="1266"/>
      <c r="PRH28" s="1266"/>
      <c r="PRI28" s="1266"/>
      <c r="PRJ28" s="1266"/>
      <c r="PRK28" s="1266"/>
      <c r="PRL28" s="1266"/>
      <c r="PRM28" s="1266"/>
      <c r="PRN28" s="1266"/>
      <c r="PRO28" s="1266"/>
      <c r="PRP28" s="1266"/>
      <c r="PRQ28" s="1266"/>
      <c r="PRR28" s="1266"/>
      <c r="PRS28" s="1266"/>
      <c r="PRT28" s="1266"/>
      <c r="PRU28" s="1266"/>
      <c r="PRV28" s="1266"/>
      <c r="PRW28" s="1266"/>
      <c r="PRX28" s="1266"/>
      <c r="PRY28" s="1266"/>
      <c r="PRZ28" s="1266"/>
      <c r="PSA28" s="1266"/>
      <c r="PSB28" s="1266"/>
      <c r="PSC28" s="1266"/>
      <c r="PSD28" s="1266"/>
      <c r="PSE28" s="1266"/>
      <c r="PSF28" s="1266"/>
      <c r="PSG28" s="1266"/>
      <c r="PSH28" s="1266"/>
      <c r="PSI28" s="1266"/>
      <c r="PSJ28" s="1266"/>
      <c r="PSK28" s="1266"/>
      <c r="PSL28" s="1266"/>
      <c r="PSM28" s="1266"/>
      <c r="PSN28" s="1266"/>
      <c r="PSO28" s="1266"/>
      <c r="PSP28" s="1266"/>
      <c r="PSQ28" s="1266"/>
      <c r="PSR28" s="1266"/>
      <c r="PSS28" s="1266"/>
      <c r="PST28" s="1266"/>
      <c r="PSU28" s="1266"/>
      <c r="PSV28" s="1266"/>
      <c r="PSW28" s="1266"/>
      <c r="PSX28" s="1266"/>
      <c r="PSY28" s="1266"/>
      <c r="PSZ28" s="1266"/>
      <c r="PTA28" s="1266"/>
      <c r="PTB28" s="1266"/>
      <c r="PTC28" s="1266"/>
      <c r="PTD28" s="1266"/>
      <c r="PTE28" s="1266"/>
      <c r="PTF28" s="1266"/>
      <c r="PTG28" s="1266"/>
      <c r="PTH28" s="1266"/>
      <c r="PTI28" s="1266"/>
      <c r="PTJ28" s="1266"/>
      <c r="PTK28" s="1266"/>
      <c r="PTL28" s="1266"/>
      <c r="PTM28" s="1266"/>
      <c r="PTN28" s="1266"/>
      <c r="PTO28" s="1266"/>
      <c r="PTP28" s="1266"/>
      <c r="PTQ28" s="1266"/>
      <c r="PTR28" s="1266"/>
      <c r="PTS28" s="1266"/>
      <c r="PTT28" s="1266"/>
      <c r="PTU28" s="1266"/>
      <c r="PTV28" s="1266"/>
      <c r="PTW28" s="1266"/>
      <c r="PTX28" s="1266"/>
      <c r="PTY28" s="1266"/>
      <c r="PTZ28" s="1266"/>
      <c r="PUA28" s="1266"/>
      <c r="PUB28" s="1266"/>
      <c r="PUC28" s="1266"/>
      <c r="PUD28" s="1266"/>
      <c r="PUE28" s="1266"/>
      <c r="PUF28" s="1266"/>
      <c r="PUG28" s="1266"/>
      <c r="PUH28" s="1266"/>
      <c r="PUI28" s="1266"/>
      <c r="PUJ28" s="1266"/>
      <c r="PUK28" s="1266"/>
      <c r="PUL28" s="1266"/>
      <c r="PUM28" s="1266"/>
      <c r="PUN28" s="1266"/>
      <c r="PUO28" s="1266"/>
      <c r="PUP28" s="1266"/>
      <c r="PUQ28" s="1266"/>
      <c r="PUR28" s="1266"/>
      <c r="PUS28" s="1266"/>
      <c r="PUT28" s="1266"/>
      <c r="PUU28" s="1266"/>
      <c r="PUV28" s="1266"/>
      <c r="PUW28" s="1266"/>
      <c r="PUX28" s="1266"/>
      <c r="PUY28" s="1266"/>
      <c r="PUZ28" s="1266"/>
      <c r="PVA28" s="1266"/>
      <c r="PVB28" s="1266"/>
      <c r="PVC28" s="1266"/>
      <c r="PVD28" s="1266"/>
      <c r="PVE28" s="1266"/>
      <c r="PVF28" s="1266"/>
      <c r="PVG28" s="1266"/>
      <c r="PVH28" s="1266"/>
      <c r="PVI28" s="1266"/>
      <c r="PVJ28" s="1266"/>
      <c r="PVK28" s="1266"/>
      <c r="PVL28" s="1266"/>
      <c r="PVM28" s="1266"/>
      <c r="PVN28" s="1266"/>
      <c r="PVO28" s="1266"/>
      <c r="PVP28" s="1266"/>
      <c r="PVQ28" s="1266"/>
      <c r="PVR28" s="1266"/>
      <c r="PVS28" s="1266"/>
      <c r="PVT28" s="1266"/>
      <c r="PVU28" s="1266"/>
      <c r="PVV28" s="1266"/>
      <c r="PVW28" s="1266"/>
      <c r="PVX28" s="1266"/>
      <c r="PVY28" s="1266"/>
      <c r="PVZ28" s="1266"/>
      <c r="PWA28" s="1266"/>
      <c r="PWB28" s="1266"/>
      <c r="PWC28" s="1266"/>
      <c r="PWD28" s="1266"/>
      <c r="PWE28" s="1266"/>
      <c r="PWF28" s="1266"/>
      <c r="PWG28" s="1266"/>
      <c r="PWH28" s="1266"/>
      <c r="PWI28" s="1266"/>
      <c r="PWJ28" s="1266"/>
      <c r="PWK28" s="1266"/>
      <c r="PWL28" s="1266"/>
      <c r="PWM28" s="1266"/>
      <c r="PWN28" s="1266"/>
      <c r="PWO28" s="1266"/>
      <c r="PWP28" s="1266"/>
      <c r="PWQ28" s="1266"/>
      <c r="PWR28" s="1266"/>
      <c r="PWS28" s="1266"/>
      <c r="PWT28" s="1266"/>
      <c r="PWU28" s="1266"/>
      <c r="PWV28" s="1266"/>
      <c r="PWW28" s="1266"/>
      <c r="PWX28" s="1266"/>
      <c r="PWY28" s="1266"/>
      <c r="PWZ28" s="1266"/>
      <c r="PXA28" s="1266"/>
      <c r="PXB28" s="1266"/>
      <c r="PXC28" s="1266"/>
      <c r="PXD28" s="1266"/>
      <c r="PXE28" s="1266"/>
      <c r="PXF28" s="1266"/>
      <c r="PXG28" s="1266"/>
      <c r="PXH28" s="1266"/>
      <c r="PXI28" s="1266"/>
      <c r="PXJ28" s="1266"/>
      <c r="PXK28" s="1266"/>
      <c r="PXL28" s="1266"/>
      <c r="PXM28" s="1266"/>
      <c r="PXN28" s="1266"/>
      <c r="PXO28" s="1266"/>
      <c r="PXP28" s="1266"/>
      <c r="PXQ28" s="1266"/>
      <c r="PXR28" s="1266"/>
      <c r="PXS28" s="1266"/>
      <c r="PXT28" s="1266"/>
      <c r="PXU28" s="1266"/>
      <c r="PXV28" s="1266"/>
      <c r="PXW28" s="1266"/>
      <c r="PXX28" s="1266"/>
      <c r="PXY28" s="1266"/>
      <c r="PXZ28" s="1266"/>
      <c r="PYA28" s="1266"/>
      <c r="PYB28" s="1266"/>
      <c r="PYC28" s="1266"/>
      <c r="PYD28" s="1266"/>
      <c r="PYE28" s="1266"/>
      <c r="PYF28" s="1266"/>
      <c r="PYG28" s="1266"/>
      <c r="PYH28" s="1266"/>
      <c r="PYI28" s="1266"/>
      <c r="PYJ28" s="1266"/>
      <c r="PYK28" s="1266"/>
      <c r="PYL28" s="1266"/>
      <c r="PYM28" s="1266"/>
      <c r="PYN28" s="1266"/>
      <c r="PYO28" s="1266"/>
      <c r="PYP28" s="1266"/>
      <c r="PYQ28" s="1266"/>
      <c r="PYR28" s="1266"/>
      <c r="PYS28" s="1266"/>
      <c r="PYT28" s="1266"/>
      <c r="PYU28" s="1266"/>
      <c r="PYV28" s="1266"/>
      <c r="PYW28" s="1266"/>
      <c r="PYX28" s="1266"/>
      <c r="PYY28" s="1266"/>
      <c r="PYZ28" s="1266"/>
      <c r="PZA28" s="1266"/>
      <c r="PZB28" s="1266"/>
      <c r="PZC28" s="1266"/>
      <c r="PZD28" s="1266"/>
      <c r="PZE28" s="1266"/>
      <c r="PZF28" s="1266"/>
      <c r="PZG28" s="1266"/>
      <c r="PZH28" s="1266"/>
      <c r="PZI28" s="1266"/>
      <c r="PZJ28" s="1266"/>
      <c r="PZK28" s="1266"/>
      <c r="PZL28" s="1266"/>
      <c r="PZM28" s="1266"/>
      <c r="PZN28" s="1266"/>
      <c r="PZO28" s="1266"/>
      <c r="PZP28" s="1266"/>
      <c r="PZQ28" s="1266"/>
      <c r="PZR28" s="1266"/>
      <c r="PZS28" s="1266"/>
      <c r="PZT28" s="1266"/>
      <c r="PZU28" s="1266"/>
      <c r="PZV28" s="1266"/>
      <c r="PZW28" s="1266"/>
      <c r="PZX28" s="1266"/>
      <c r="PZY28" s="1266"/>
      <c r="PZZ28" s="1266"/>
      <c r="QAA28" s="1266"/>
      <c r="QAB28" s="1266"/>
      <c r="QAC28" s="1266"/>
      <c r="QAD28" s="1266"/>
      <c r="QAE28" s="1266"/>
      <c r="QAF28" s="1266"/>
      <c r="QAG28" s="1266"/>
      <c r="QAH28" s="1266"/>
      <c r="QAI28" s="1266"/>
      <c r="QAJ28" s="1266"/>
      <c r="QAK28" s="1266"/>
      <c r="QAL28" s="1266"/>
      <c r="QAM28" s="1266"/>
      <c r="QAN28" s="1266"/>
      <c r="QAO28" s="1266"/>
      <c r="QAP28" s="1266"/>
      <c r="QAQ28" s="1266"/>
      <c r="QAR28" s="1266"/>
      <c r="QAS28" s="1266"/>
      <c r="QAT28" s="1266"/>
      <c r="QAU28" s="1266"/>
      <c r="QAV28" s="1266"/>
      <c r="QAW28" s="1266"/>
      <c r="QAX28" s="1266"/>
      <c r="QAY28" s="1266"/>
      <c r="QAZ28" s="1266"/>
      <c r="QBA28" s="1266"/>
      <c r="QBB28" s="1266"/>
      <c r="QBC28" s="1266"/>
      <c r="QBD28" s="1266"/>
      <c r="QBE28" s="1266"/>
      <c r="QBF28" s="1266"/>
      <c r="QBG28" s="1266"/>
      <c r="QBH28" s="1266"/>
      <c r="QBI28" s="1266"/>
      <c r="QBJ28" s="1266"/>
      <c r="QBK28" s="1266"/>
      <c r="QBL28" s="1266"/>
      <c r="QBM28" s="1266"/>
      <c r="QBN28" s="1266"/>
      <c r="QBO28" s="1266"/>
      <c r="QBP28" s="1266"/>
      <c r="QBQ28" s="1266"/>
      <c r="QBR28" s="1266"/>
      <c r="QBS28" s="1266"/>
      <c r="QBT28" s="1266"/>
      <c r="QBU28" s="1266"/>
      <c r="QBV28" s="1266"/>
      <c r="QBW28" s="1266"/>
      <c r="QBX28" s="1266"/>
      <c r="QBY28" s="1266"/>
      <c r="QBZ28" s="1266"/>
      <c r="QCA28" s="1266"/>
      <c r="QCB28" s="1266"/>
      <c r="QCC28" s="1266"/>
      <c r="QCD28" s="1266"/>
      <c r="QCE28" s="1266"/>
      <c r="QCF28" s="1266"/>
      <c r="QCG28" s="1266"/>
      <c r="QCH28" s="1266"/>
      <c r="QCI28" s="1266"/>
      <c r="QCJ28" s="1266"/>
      <c r="QCK28" s="1266"/>
      <c r="QCL28" s="1266"/>
      <c r="QCM28" s="1266"/>
      <c r="QCN28" s="1266"/>
      <c r="QCO28" s="1266"/>
      <c r="QCP28" s="1266"/>
      <c r="QCQ28" s="1266"/>
      <c r="QCR28" s="1266"/>
      <c r="QCS28" s="1266"/>
      <c r="QCT28" s="1266"/>
      <c r="QCU28" s="1266"/>
      <c r="QCV28" s="1266"/>
      <c r="QCW28" s="1266"/>
      <c r="QCX28" s="1266"/>
      <c r="QCY28" s="1266"/>
      <c r="QCZ28" s="1266"/>
      <c r="QDA28" s="1266"/>
      <c r="QDB28" s="1266"/>
      <c r="QDC28" s="1266"/>
      <c r="QDD28" s="1266"/>
      <c r="QDE28" s="1266"/>
      <c r="QDF28" s="1266"/>
      <c r="QDG28" s="1266"/>
      <c r="QDH28" s="1266"/>
      <c r="QDI28" s="1266"/>
      <c r="QDJ28" s="1266"/>
      <c r="QDK28" s="1266"/>
      <c r="QDL28" s="1266"/>
      <c r="QDM28" s="1266"/>
      <c r="QDN28" s="1266"/>
      <c r="QDO28" s="1266"/>
      <c r="QDP28" s="1266"/>
      <c r="QDQ28" s="1266"/>
      <c r="QDR28" s="1266"/>
      <c r="QDS28" s="1266"/>
      <c r="QDT28" s="1266"/>
      <c r="QDU28" s="1266"/>
      <c r="QDV28" s="1266"/>
      <c r="QDW28" s="1266"/>
      <c r="QDX28" s="1266"/>
      <c r="QDY28" s="1266"/>
      <c r="QDZ28" s="1266"/>
      <c r="QEA28" s="1266"/>
      <c r="QEB28" s="1266"/>
      <c r="QEC28" s="1266"/>
      <c r="QED28" s="1266"/>
      <c r="QEE28" s="1266"/>
      <c r="QEF28" s="1266"/>
      <c r="QEG28" s="1266"/>
      <c r="QEH28" s="1266"/>
      <c r="QEI28" s="1266"/>
      <c r="QEJ28" s="1266"/>
      <c r="QEK28" s="1266"/>
      <c r="QEL28" s="1266"/>
      <c r="QEM28" s="1266"/>
      <c r="QEN28" s="1266"/>
      <c r="QEO28" s="1266"/>
      <c r="QEP28" s="1266"/>
      <c r="QEQ28" s="1266"/>
      <c r="QER28" s="1266"/>
      <c r="QES28" s="1266"/>
      <c r="QET28" s="1266"/>
      <c r="QEU28" s="1266"/>
      <c r="QEV28" s="1266"/>
      <c r="QEW28" s="1266"/>
      <c r="QEX28" s="1266"/>
      <c r="QEY28" s="1266"/>
      <c r="QEZ28" s="1266"/>
      <c r="QFA28" s="1266"/>
      <c r="QFB28" s="1266"/>
      <c r="QFC28" s="1266"/>
      <c r="QFD28" s="1266"/>
      <c r="QFE28" s="1266"/>
      <c r="QFF28" s="1266"/>
      <c r="QFG28" s="1266"/>
      <c r="QFH28" s="1266"/>
      <c r="QFI28" s="1266"/>
      <c r="QFJ28" s="1266"/>
      <c r="QFK28" s="1266"/>
      <c r="QFL28" s="1266"/>
      <c r="QFM28" s="1266"/>
      <c r="QFN28" s="1266"/>
      <c r="QFO28" s="1266"/>
      <c r="QFP28" s="1266"/>
      <c r="QFQ28" s="1266"/>
      <c r="QFR28" s="1266"/>
      <c r="QFS28" s="1266"/>
      <c r="QFT28" s="1266"/>
      <c r="QFU28" s="1266"/>
      <c r="QFV28" s="1266"/>
      <c r="QFW28" s="1266"/>
      <c r="QFX28" s="1266"/>
      <c r="QFY28" s="1266"/>
      <c r="QFZ28" s="1266"/>
      <c r="QGA28" s="1266"/>
      <c r="QGB28" s="1266"/>
      <c r="QGC28" s="1266"/>
      <c r="QGD28" s="1266"/>
      <c r="QGE28" s="1266"/>
      <c r="QGF28" s="1266"/>
      <c r="QGG28" s="1266"/>
      <c r="QGH28" s="1266"/>
      <c r="QGI28" s="1266"/>
      <c r="QGJ28" s="1266"/>
      <c r="QGK28" s="1266"/>
      <c r="QGL28" s="1266"/>
      <c r="QGM28" s="1266"/>
      <c r="QGN28" s="1266"/>
      <c r="QGO28" s="1266"/>
      <c r="QGP28" s="1266"/>
      <c r="QGQ28" s="1266"/>
      <c r="QGR28" s="1266"/>
      <c r="QGS28" s="1266"/>
      <c r="QGT28" s="1266"/>
      <c r="QGU28" s="1266"/>
      <c r="QGV28" s="1266"/>
      <c r="QGW28" s="1266"/>
      <c r="QGX28" s="1266"/>
      <c r="QGY28" s="1266"/>
      <c r="QGZ28" s="1266"/>
      <c r="QHA28" s="1266"/>
      <c r="QHB28" s="1266"/>
      <c r="QHC28" s="1266"/>
      <c r="QHD28" s="1266"/>
      <c r="QHE28" s="1266"/>
      <c r="QHF28" s="1266"/>
      <c r="QHG28" s="1266"/>
      <c r="QHH28" s="1266"/>
      <c r="QHI28" s="1266"/>
      <c r="QHJ28" s="1266"/>
      <c r="QHK28" s="1266"/>
      <c r="QHL28" s="1266"/>
      <c r="QHM28" s="1266"/>
      <c r="QHN28" s="1266"/>
      <c r="QHO28" s="1266"/>
      <c r="QHP28" s="1266"/>
      <c r="QHQ28" s="1266"/>
      <c r="QHR28" s="1266"/>
      <c r="QHS28" s="1266"/>
      <c r="QHT28" s="1266"/>
      <c r="QHU28" s="1266"/>
      <c r="QHV28" s="1266"/>
      <c r="QHW28" s="1266"/>
      <c r="QHX28" s="1266"/>
      <c r="QHY28" s="1266"/>
      <c r="QHZ28" s="1266"/>
      <c r="QIA28" s="1266"/>
      <c r="QIB28" s="1266"/>
      <c r="QIC28" s="1266"/>
      <c r="QID28" s="1266"/>
      <c r="QIE28" s="1266"/>
      <c r="QIF28" s="1266"/>
      <c r="QIG28" s="1266"/>
      <c r="QIH28" s="1266"/>
      <c r="QII28" s="1266"/>
      <c r="QIJ28" s="1266"/>
      <c r="QIK28" s="1266"/>
      <c r="QIL28" s="1266"/>
      <c r="QIM28" s="1266"/>
      <c r="QIN28" s="1266"/>
      <c r="QIO28" s="1266"/>
      <c r="QIP28" s="1266"/>
      <c r="QIQ28" s="1266"/>
      <c r="QIR28" s="1266"/>
      <c r="QIS28" s="1266"/>
      <c r="QIT28" s="1266"/>
      <c r="QIU28" s="1266"/>
      <c r="QIV28" s="1266"/>
      <c r="QIW28" s="1266"/>
      <c r="QIX28" s="1266"/>
      <c r="QIY28" s="1266"/>
      <c r="QIZ28" s="1266"/>
      <c r="QJA28" s="1266"/>
      <c r="QJB28" s="1266"/>
      <c r="QJC28" s="1266"/>
      <c r="QJD28" s="1266"/>
      <c r="QJE28" s="1266"/>
      <c r="QJF28" s="1266"/>
      <c r="QJG28" s="1266"/>
      <c r="QJH28" s="1266"/>
      <c r="QJI28" s="1266"/>
      <c r="QJJ28" s="1266"/>
      <c r="QJK28" s="1266"/>
      <c r="QJL28" s="1266"/>
      <c r="QJM28" s="1266"/>
      <c r="QJN28" s="1266"/>
      <c r="QJO28" s="1266"/>
      <c r="QJP28" s="1266"/>
      <c r="QJQ28" s="1266"/>
      <c r="QJR28" s="1266"/>
      <c r="QJS28" s="1266"/>
      <c r="QJT28" s="1266"/>
      <c r="QJU28" s="1266"/>
      <c r="QJV28" s="1266"/>
      <c r="QJW28" s="1266"/>
      <c r="QJX28" s="1266"/>
      <c r="QJY28" s="1266"/>
      <c r="QJZ28" s="1266"/>
      <c r="QKA28" s="1266"/>
      <c r="QKB28" s="1266"/>
      <c r="QKC28" s="1266"/>
      <c r="QKD28" s="1266"/>
      <c r="QKE28" s="1266"/>
      <c r="QKF28" s="1266"/>
      <c r="QKG28" s="1266"/>
      <c r="QKH28" s="1266"/>
      <c r="QKI28" s="1266"/>
      <c r="QKJ28" s="1266"/>
      <c r="QKK28" s="1266"/>
      <c r="QKL28" s="1266"/>
      <c r="QKM28" s="1266"/>
      <c r="QKN28" s="1266"/>
      <c r="QKO28" s="1266"/>
      <c r="QKP28" s="1266"/>
      <c r="QKQ28" s="1266"/>
      <c r="QKR28" s="1266"/>
      <c r="QKS28" s="1266"/>
      <c r="QKT28" s="1266"/>
      <c r="QKU28" s="1266"/>
      <c r="QKV28" s="1266"/>
      <c r="QKW28" s="1266"/>
      <c r="QKX28" s="1266"/>
      <c r="QKY28" s="1266"/>
      <c r="QKZ28" s="1266"/>
      <c r="QLA28" s="1266"/>
      <c r="QLB28" s="1266"/>
      <c r="QLC28" s="1266"/>
      <c r="QLD28" s="1266"/>
      <c r="QLE28" s="1266"/>
      <c r="QLF28" s="1266"/>
      <c r="QLG28" s="1266"/>
      <c r="QLH28" s="1266"/>
      <c r="QLI28" s="1266"/>
      <c r="QLJ28" s="1266"/>
      <c r="QLK28" s="1266"/>
      <c r="QLL28" s="1266"/>
      <c r="QLM28" s="1266"/>
      <c r="QLN28" s="1266"/>
      <c r="QLO28" s="1266"/>
      <c r="QLP28" s="1266"/>
      <c r="QLQ28" s="1266"/>
      <c r="QLR28" s="1266"/>
      <c r="QLS28" s="1266"/>
      <c r="QLT28" s="1266"/>
      <c r="QLU28" s="1266"/>
      <c r="QLV28" s="1266"/>
      <c r="QLW28" s="1266"/>
      <c r="QLX28" s="1266"/>
      <c r="QLY28" s="1266"/>
      <c r="QLZ28" s="1266"/>
      <c r="QMA28" s="1266"/>
      <c r="QMB28" s="1266"/>
      <c r="QMC28" s="1266"/>
      <c r="QMD28" s="1266"/>
      <c r="QME28" s="1266"/>
      <c r="QMF28" s="1266"/>
      <c r="QMG28" s="1266"/>
      <c r="QMH28" s="1266"/>
      <c r="QMI28" s="1266"/>
      <c r="QMJ28" s="1266"/>
      <c r="QMK28" s="1266"/>
      <c r="QML28" s="1266"/>
      <c r="QMM28" s="1266"/>
      <c r="QMN28" s="1266"/>
      <c r="QMO28" s="1266"/>
      <c r="QMP28" s="1266"/>
      <c r="QMQ28" s="1266"/>
      <c r="QMR28" s="1266"/>
      <c r="QMS28" s="1266"/>
      <c r="QMT28" s="1266"/>
      <c r="QMU28" s="1266"/>
      <c r="QMV28" s="1266"/>
      <c r="QMW28" s="1266"/>
      <c r="QMX28" s="1266"/>
      <c r="QMY28" s="1266"/>
      <c r="QMZ28" s="1266"/>
      <c r="QNA28" s="1266"/>
      <c r="QNB28" s="1266"/>
      <c r="QNC28" s="1266"/>
      <c r="QND28" s="1266"/>
      <c r="QNE28" s="1266"/>
      <c r="QNF28" s="1266"/>
      <c r="QNG28" s="1266"/>
      <c r="QNH28" s="1266"/>
      <c r="QNI28" s="1266"/>
      <c r="QNJ28" s="1266"/>
      <c r="QNK28" s="1266"/>
      <c r="QNL28" s="1266"/>
      <c r="QNM28" s="1266"/>
      <c r="QNN28" s="1266"/>
      <c r="QNO28" s="1266"/>
      <c r="QNP28" s="1266"/>
      <c r="QNQ28" s="1266"/>
      <c r="QNR28" s="1266"/>
      <c r="QNS28" s="1266"/>
      <c r="QNT28" s="1266"/>
      <c r="QNU28" s="1266"/>
      <c r="QNV28" s="1266"/>
      <c r="QNW28" s="1266"/>
      <c r="QNX28" s="1266"/>
      <c r="QNY28" s="1266"/>
      <c r="QNZ28" s="1266"/>
      <c r="QOA28" s="1266"/>
      <c r="QOB28" s="1266"/>
      <c r="QOC28" s="1266"/>
      <c r="QOD28" s="1266"/>
      <c r="QOE28" s="1266"/>
      <c r="QOF28" s="1266"/>
      <c r="QOG28" s="1266"/>
      <c r="QOH28" s="1266"/>
      <c r="QOI28" s="1266"/>
      <c r="QOJ28" s="1266"/>
      <c r="QOK28" s="1266"/>
      <c r="QOL28" s="1266"/>
      <c r="QOM28" s="1266"/>
      <c r="QON28" s="1266"/>
      <c r="QOO28" s="1266"/>
      <c r="QOP28" s="1266"/>
      <c r="QOQ28" s="1266"/>
      <c r="QOR28" s="1266"/>
      <c r="QOS28" s="1266"/>
      <c r="QOT28" s="1266"/>
      <c r="QOU28" s="1266"/>
      <c r="QOV28" s="1266"/>
      <c r="QOW28" s="1266"/>
      <c r="QOX28" s="1266"/>
      <c r="QOY28" s="1266"/>
      <c r="QOZ28" s="1266"/>
      <c r="QPA28" s="1266"/>
      <c r="QPB28" s="1266"/>
      <c r="QPC28" s="1266"/>
      <c r="QPD28" s="1266"/>
      <c r="QPE28" s="1266"/>
      <c r="QPF28" s="1266"/>
      <c r="QPG28" s="1266"/>
      <c r="QPH28" s="1266"/>
      <c r="QPI28" s="1266"/>
      <c r="QPJ28" s="1266"/>
      <c r="QPK28" s="1266"/>
      <c r="QPL28" s="1266"/>
      <c r="QPM28" s="1266"/>
      <c r="QPN28" s="1266"/>
      <c r="QPO28" s="1266"/>
      <c r="QPP28" s="1266"/>
      <c r="QPQ28" s="1266"/>
      <c r="QPR28" s="1266"/>
      <c r="QPS28" s="1266"/>
      <c r="QPT28" s="1266"/>
      <c r="QPU28" s="1266"/>
      <c r="QPV28" s="1266"/>
      <c r="QPW28" s="1266"/>
      <c r="QPX28" s="1266"/>
      <c r="QPY28" s="1266"/>
      <c r="QPZ28" s="1266"/>
      <c r="QQA28" s="1266"/>
      <c r="QQB28" s="1266"/>
      <c r="QQC28" s="1266"/>
      <c r="QQD28" s="1266"/>
      <c r="QQE28" s="1266"/>
      <c r="QQF28" s="1266"/>
      <c r="QQG28" s="1266"/>
      <c r="QQH28" s="1266"/>
      <c r="QQI28" s="1266"/>
      <c r="QQJ28" s="1266"/>
      <c r="QQK28" s="1266"/>
      <c r="QQL28" s="1266"/>
      <c r="QQM28" s="1266"/>
      <c r="QQN28" s="1266"/>
      <c r="QQO28" s="1266"/>
      <c r="QQP28" s="1266"/>
      <c r="QQQ28" s="1266"/>
      <c r="QQR28" s="1266"/>
      <c r="QQS28" s="1266"/>
      <c r="QQT28" s="1266"/>
      <c r="QQU28" s="1266"/>
      <c r="QQV28" s="1266"/>
      <c r="QQW28" s="1266"/>
      <c r="QQX28" s="1266"/>
      <c r="QQY28" s="1266"/>
      <c r="QQZ28" s="1266"/>
      <c r="QRA28" s="1266"/>
      <c r="QRB28" s="1266"/>
      <c r="QRC28" s="1266"/>
      <c r="QRD28" s="1266"/>
      <c r="QRE28" s="1266"/>
      <c r="QRF28" s="1266"/>
      <c r="QRG28" s="1266"/>
      <c r="QRH28" s="1266"/>
      <c r="QRI28" s="1266"/>
      <c r="QRJ28" s="1266"/>
      <c r="QRK28" s="1266"/>
      <c r="QRL28" s="1266"/>
      <c r="QRM28" s="1266"/>
      <c r="QRN28" s="1266"/>
      <c r="QRO28" s="1266"/>
      <c r="QRP28" s="1266"/>
      <c r="QRQ28" s="1266"/>
      <c r="QRR28" s="1266"/>
      <c r="QRS28" s="1266"/>
      <c r="QRT28" s="1266"/>
      <c r="QRU28" s="1266"/>
      <c r="QRV28" s="1266"/>
      <c r="QRW28" s="1266"/>
      <c r="QRX28" s="1266"/>
      <c r="QRY28" s="1266"/>
      <c r="QRZ28" s="1266"/>
      <c r="QSA28" s="1266"/>
      <c r="QSB28" s="1266"/>
      <c r="QSC28" s="1266"/>
      <c r="QSD28" s="1266"/>
      <c r="QSE28" s="1266"/>
      <c r="QSF28" s="1266"/>
      <c r="QSG28" s="1266"/>
      <c r="QSH28" s="1266"/>
      <c r="QSI28" s="1266"/>
      <c r="QSJ28" s="1266"/>
      <c r="QSK28" s="1266"/>
      <c r="QSL28" s="1266"/>
      <c r="QSM28" s="1266"/>
      <c r="QSN28" s="1266"/>
      <c r="QSO28" s="1266"/>
      <c r="QSP28" s="1266"/>
      <c r="QSQ28" s="1266"/>
      <c r="QSR28" s="1266"/>
      <c r="QSS28" s="1266"/>
      <c r="QST28" s="1266"/>
      <c r="QSU28" s="1266"/>
      <c r="QSV28" s="1266"/>
      <c r="QSW28" s="1266"/>
      <c r="QSX28" s="1266"/>
      <c r="QSY28" s="1266"/>
      <c r="QSZ28" s="1266"/>
      <c r="QTA28" s="1266"/>
      <c r="QTB28" s="1266"/>
      <c r="QTC28" s="1266"/>
      <c r="QTD28" s="1266"/>
      <c r="QTE28" s="1266"/>
      <c r="QTF28" s="1266"/>
      <c r="QTG28" s="1266"/>
      <c r="QTH28" s="1266"/>
      <c r="QTI28" s="1266"/>
      <c r="QTJ28" s="1266"/>
      <c r="QTK28" s="1266"/>
      <c r="QTL28" s="1266"/>
      <c r="QTM28" s="1266"/>
      <c r="QTN28" s="1266"/>
      <c r="QTO28" s="1266"/>
      <c r="QTP28" s="1266"/>
      <c r="QTQ28" s="1266"/>
      <c r="QTR28" s="1266"/>
      <c r="QTS28" s="1266"/>
      <c r="QTT28" s="1266"/>
      <c r="QTU28" s="1266"/>
      <c r="QTV28" s="1266"/>
      <c r="QTW28" s="1266"/>
      <c r="QTX28" s="1266"/>
      <c r="QTY28" s="1266"/>
      <c r="QTZ28" s="1266"/>
      <c r="QUA28" s="1266"/>
      <c r="QUB28" s="1266"/>
      <c r="QUC28" s="1266"/>
      <c r="QUD28" s="1266"/>
      <c r="QUE28" s="1266"/>
      <c r="QUF28" s="1266"/>
      <c r="QUG28" s="1266"/>
      <c r="QUH28" s="1266"/>
      <c r="QUI28" s="1266"/>
      <c r="QUJ28" s="1266"/>
      <c r="QUK28" s="1266"/>
      <c r="QUL28" s="1266"/>
      <c r="QUM28" s="1266"/>
      <c r="QUN28" s="1266"/>
      <c r="QUO28" s="1266"/>
      <c r="QUP28" s="1266"/>
      <c r="QUQ28" s="1266"/>
      <c r="QUR28" s="1266"/>
      <c r="QUS28" s="1266"/>
      <c r="QUT28" s="1266"/>
      <c r="QUU28" s="1266"/>
      <c r="QUV28" s="1266"/>
      <c r="QUW28" s="1266"/>
      <c r="QUX28" s="1266"/>
      <c r="QUY28" s="1266"/>
      <c r="QUZ28" s="1266"/>
      <c r="QVA28" s="1266"/>
      <c r="QVB28" s="1266"/>
      <c r="QVC28" s="1266"/>
      <c r="QVD28" s="1266"/>
      <c r="QVE28" s="1266"/>
      <c r="QVF28" s="1266"/>
      <c r="QVG28" s="1266"/>
      <c r="QVH28" s="1266"/>
      <c r="QVI28" s="1266"/>
      <c r="QVJ28" s="1266"/>
      <c r="QVK28" s="1266"/>
      <c r="QVL28" s="1266"/>
      <c r="QVM28" s="1266"/>
      <c r="QVN28" s="1266"/>
      <c r="QVO28" s="1266"/>
      <c r="QVP28" s="1266"/>
      <c r="QVQ28" s="1266"/>
      <c r="QVR28" s="1266"/>
      <c r="QVS28" s="1266"/>
      <c r="QVT28" s="1266"/>
      <c r="QVU28" s="1266"/>
      <c r="QVV28" s="1266"/>
      <c r="QVW28" s="1266"/>
      <c r="QVX28" s="1266"/>
      <c r="QVY28" s="1266"/>
      <c r="QVZ28" s="1266"/>
      <c r="QWA28" s="1266"/>
      <c r="QWB28" s="1266"/>
      <c r="QWC28" s="1266"/>
      <c r="QWD28" s="1266"/>
      <c r="QWE28" s="1266"/>
      <c r="QWF28" s="1266"/>
      <c r="QWG28" s="1266"/>
      <c r="QWH28" s="1266"/>
      <c r="QWI28" s="1266"/>
      <c r="QWJ28" s="1266"/>
      <c r="QWK28" s="1266"/>
      <c r="QWL28" s="1266"/>
      <c r="QWM28" s="1266"/>
      <c r="QWN28" s="1266"/>
      <c r="QWO28" s="1266"/>
      <c r="QWP28" s="1266"/>
      <c r="QWQ28" s="1266"/>
      <c r="QWR28" s="1266"/>
      <c r="QWS28" s="1266"/>
      <c r="QWT28" s="1266"/>
      <c r="QWU28" s="1266"/>
      <c r="QWV28" s="1266"/>
      <c r="QWW28" s="1266"/>
      <c r="QWX28" s="1266"/>
      <c r="QWY28" s="1266"/>
      <c r="QWZ28" s="1266"/>
      <c r="QXA28" s="1266"/>
      <c r="QXB28" s="1266"/>
      <c r="QXC28" s="1266"/>
      <c r="QXD28" s="1266"/>
      <c r="QXE28" s="1266"/>
      <c r="QXF28" s="1266"/>
      <c r="QXG28" s="1266"/>
      <c r="QXH28" s="1266"/>
      <c r="QXI28" s="1266"/>
      <c r="QXJ28" s="1266"/>
      <c r="QXK28" s="1266"/>
      <c r="QXL28" s="1266"/>
      <c r="QXM28" s="1266"/>
      <c r="QXN28" s="1266"/>
      <c r="QXO28" s="1266"/>
      <c r="QXP28" s="1266"/>
      <c r="QXQ28" s="1266"/>
      <c r="QXR28" s="1266"/>
      <c r="QXS28" s="1266"/>
      <c r="QXT28" s="1266"/>
      <c r="QXU28" s="1266"/>
      <c r="QXV28" s="1266"/>
      <c r="QXW28" s="1266"/>
      <c r="QXX28" s="1266"/>
      <c r="QXY28" s="1266"/>
      <c r="QXZ28" s="1266"/>
      <c r="QYA28" s="1266"/>
      <c r="QYB28" s="1266"/>
      <c r="QYC28" s="1266"/>
      <c r="QYD28" s="1266"/>
      <c r="QYE28" s="1266"/>
      <c r="QYF28" s="1266"/>
      <c r="QYG28" s="1266"/>
      <c r="QYH28" s="1266"/>
      <c r="QYI28" s="1266"/>
      <c r="QYJ28" s="1266"/>
      <c r="QYK28" s="1266"/>
      <c r="QYL28" s="1266"/>
      <c r="QYM28" s="1266"/>
      <c r="QYN28" s="1266"/>
      <c r="QYO28" s="1266"/>
      <c r="QYP28" s="1266"/>
      <c r="QYQ28" s="1266"/>
      <c r="QYR28" s="1266"/>
      <c r="QYS28" s="1266"/>
      <c r="QYT28" s="1266"/>
      <c r="QYU28" s="1266"/>
      <c r="QYV28" s="1266"/>
      <c r="QYW28" s="1266"/>
      <c r="QYX28" s="1266"/>
      <c r="QYY28" s="1266"/>
      <c r="QYZ28" s="1266"/>
      <c r="QZA28" s="1266"/>
      <c r="QZB28" s="1266"/>
      <c r="QZC28" s="1266"/>
      <c r="QZD28" s="1266"/>
      <c r="QZE28" s="1266"/>
      <c r="QZF28" s="1266"/>
      <c r="QZG28" s="1266"/>
      <c r="QZH28" s="1266"/>
      <c r="QZI28" s="1266"/>
      <c r="QZJ28" s="1266"/>
      <c r="QZK28" s="1266"/>
      <c r="QZL28" s="1266"/>
      <c r="QZM28" s="1266"/>
      <c r="QZN28" s="1266"/>
      <c r="QZO28" s="1266"/>
      <c r="QZP28" s="1266"/>
      <c r="QZQ28" s="1266"/>
      <c r="QZR28" s="1266"/>
      <c r="QZS28" s="1266"/>
      <c r="QZT28" s="1266"/>
      <c r="QZU28" s="1266"/>
      <c r="QZV28" s="1266"/>
      <c r="QZW28" s="1266"/>
      <c r="QZX28" s="1266"/>
      <c r="QZY28" s="1266"/>
      <c r="QZZ28" s="1266"/>
      <c r="RAA28" s="1266"/>
      <c r="RAB28" s="1266"/>
      <c r="RAC28" s="1266"/>
      <c r="RAD28" s="1266"/>
      <c r="RAE28" s="1266"/>
      <c r="RAF28" s="1266"/>
      <c r="RAG28" s="1266"/>
      <c r="RAH28" s="1266"/>
      <c r="RAI28" s="1266"/>
      <c r="RAJ28" s="1266"/>
      <c r="RAK28" s="1266"/>
      <c r="RAL28" s="1266"/>
      <c r="RAM28" s="1266"/>
      <c r="RAN28" s="1266"/>
      <c r="RAO28" s="1266"/>
      <c r="RAP28" s="1266"/>
      <c r="RAQ28" s="1266"/>
      <c r="RAR28" s="1266"/>
      <c r="RAS28" s="1266"/>
      <c r="RAT28" s="1266"/>
      <c r="RAU28" s="1266"/>
      <c r="RAV28" s="1266"/>
      <c r="RAW28" s="1266"/>
      <c r="RAX28" s="1266"/>
      <c r="RAY28" s="1266"/>
      <c r="RAZ28" s="1266"/>
      <c r="RBA28" s="1266"/>
      <c r="RBB28" s="1266"/>
      <c r="RBC28" s="1266"/>
      <c r="RBD28" s="1266"/>
      <c r="RBE28" s="1266"/>
      <c r="RBF28" s="1266"/>
      <c r="RBG28" s="1266"/>
      <c r="RBH28" s="1266"/>
      <c r="RBI28" s="1266"/>
      <c r="RBJ28" s="1266"/>
      <c r="RBK28" s="1266"/>
      <c r="RBL28" s="1266"/>
      <c r="RBM28" s="1266"/>
      <c r="RBN28" s="1266"/>
      <c r="RBO28" s="1266"/>
      <c r="RBP28" s="1266"/>
      <c r="RBQ28" s="1266"/>
      <c r="RBR28" s="1266"/>
      <c r="RBS28" s="1266"/>
      <c r="RBT28" s="1266"/>
      <c r="RBU28" s="1266"/>
      <c r="RBV28" s="1266"/>
      <c r="RBW28" s="1266"/>
      <c r="RBX28" s="1266"/>
      <c r="RBY28" s="1266"/>
      <c r="RBZ28" s="1266"/>
      <c r="RCA28" s="1266"/>
      <c r="RCB28" s="1266"/>
      <c r="RCC28" s="1266"/>
      <c r="RCD28" s="1266"/>
      <c r="RCE28" s="1266"/>
      <c r="RCF28" s="1266"/>
      <c r="RCG28" s="1266"/>
      <c r="RCH28" s="1266"/>
      <c r="RCI28" s="1266"/>
      <c r="RCJ28" s="1266"/>
      <c r="RCK28" s="1266"/>
      <c r="RCL28" s="1266"/>
      <c r="RCM28" s="1266"/>
      <c r="RCN28" s="1266"/>
      <c r="RCO28" s="1266"/>
      <c r="RCP28" s="1266"/>
      <c r="RCQ28" s="1266"/>
      <c r="RCR28" s="1266"/>
      <c r="RCS28" s="1266"/>
      <c r="RCT28" s="1266"/>
      <c r="RCU28" s="1266"/>
      <c r="RCV28" s="1266"/>
      <c r="RCW28" s="1266"/>
      <c r="RCX28" s="1266"/>
      <c r="RCY28" s="1266"/>
      <c r="RCZ28" s="1266"/>
      <c r="RDA28" s="1266"/>
      <c r="RDB28" s="1266"/>
      <c r="RDC28" s="1266"/>
      <c r="RDD28" s="1266"/>
      <c r="RDE28" s="1266"/>
      <c r="RDF28" s="1266"/>
      <c r="RDG28" s="1266"/>
      <c r="RDH28" s="1266"/>
      <c r="RDI28" s="1266"/>
      <c r="RDJ28" s="1266"/>
      <c r="RDK28" s="1266"/>
      <c r="RDL28" s="1266"/>
      <c r="RDM28" s="1266"/>
      <c r="RDN28" s="1266"/>
      <c r="RDO28" s="1266"/>
      <c r="RDP28" s="1266"/>
      <c r="RDQ28" s="1266"/>
      <c r="RDR28" s="1266"/>
      <c r="RDS28" s="1266"/>
      <c r="RDT28" s="1266"/>
      <c r="RDU28" s="1266"/>
      <c r="RDV28" s="1266"/>
      <c r="RDW28" s="1266"/>
      <c r="RDX28" s="1266"/>
      <c r="RDY28" s="1266"/>
      <c r="RDZ28" s="1266"/>
      <c r="REA28" s="1266"/>
      <c r="REB28" s="1266"/>
      <c r="REC28" s="1266"/>
      <c r="RED28" s="1266"/>
      <c r="REE28" s="1266"/>
      <c r="REF28" s="1266"/>
      <c r="REG28" s="1266"/>
      <c r="REH28" s="1266"/>
      <c r="REI28" s="1266"/>
      <c r="REJ28" s="1266"/>
      <c r="REK28" s="1266"/>
      <c r="REL28" s="1266"/>
      <c r="REM28" s="1266"/>
      <c r="REN28" s="1266"/>
      <c r="REO28" s="1266"/>
      <c r="REP28" s="1266"/>
      <c r="REQ28" s="1266"/>
      <c r="RER28" s="1266"/>
      <c r="RES28" s="1266"/>
      <c r="RET28" s="1266"/>
      <c r="REU28" s="1266"/>
      <c r="REV28" s="1266"/>
      <c r="REW28" s="1266"/>
      <c r="REX28" s="1266"/>
      <c r="REY28" s="1266"/>
      <c r="REZ28" s="1266"/>
      <c r="RFA28" s="1266"/>
      <c r="RFB28" s="1266"/>
      <c r="RFC28" s="1266"/>
      <c r="RFD28" s="1266"/>
      <c r="RFE28" s="1266"/>
      <c r="RFF28" s="1266"/>
      <c r="RFG28" s="1266"/>
      <c r="RFH28" s="1266"/>
      <c r="RFI28" s="1266"/>
      <c r="RFJ28" s="1266"/>
      <c r="RFK28" s="1266"/>
      <c r="RFL28" s="1266"/>
      <c r="RFM28" s="1266"/>
      <c r="RFN28" s="1266"/>
      <c r="RFO28" s="1266"/>
      <c r="RFP28" s="1266"/>
      <c r="RFQ28" s="1266"/>
      <c r="RFR28" s="1266"/>
      <c r="RFS28" s="1266"/>
      <c r="RFT28" s="1266"/>
      <c r="RFU28" s="1266"/>
      <c r="RFV28" s="1266"/>
      <c r="RFW28" s="1266"/>
      <c r="RFX28" s="1266"/>
      <c r="RFY28" s="1266"/>
      <c r="RFZ28" s="1266"/>
      <c r="RGA28" s="1266"/>
      <c r="RGB28" s="1266"/>
      <c r="RGC28" s="1266"/>
      <c r="RGD28" s="1266"/>
      <c r="RGE28" s="1266"/>
      <c r="RGF28" s="1266"/>
      <c r="RGG28" s="1266"/>
      <c r="RGH28" s="1266"/>
      <c r="RGI28" s="1266"/>
      <c r="RGJ28" s="1266"/>
      <c r="RGK28" s="1266"/>
      <c r="RGL28" s="1266"/>
      <c r="RGM28" s="1266"/>
      <c r="RGN28" s="1266"/>
      <c r="RGO28" s="1266"/>
      <c r="RGP28" s="1266"/>
      <c r="RGQ28" s="1266"/>
      <c r="RGR28" s="1266"/>
      <c r="RGS28" s="1266"/>
      <c r="RGT28" s="1266"/>
      <c r="RGU28" s="1266"/>
      <c r="RGV28" s="1266"/>
      <c r="RGW28" s="1266"/>
      <c r="RGX28" s="1266"/>
      <c r="RGY28" s="1266"/>
      <c r="RGZ28" s="1266"/>
      <c r="RHA28" s="1266"/>
      <c r="RHB28" s="1266"/>
      <c r="RHC28" s="1266"/>
      <c r="RHD28" s="1266"/>
      <c r="RHE28" s="1266"/>
      <c r="RHF28" s="1266"/>
      <c r="RHG28" s="1266"/>
      <c r="RHH28" s="1266"/>
      <c r="RHI28" s="1266"/>
      <c r="RHJ28" s="1266"/>
      <c r="RHK28" s="1266"/>
      <c r="RHL28" s="1266"/>
      <c r="RHM28" s="1266"/>
      <c r="RHN28" s="1266"/>
      <c r="RHO28" s="1266"/>
      <c r="RHP28" s="1266"/>
      <c r="RHQ28" s="1266"/>
      <c r="RHR28" s="1266"/>
      <c r="RHS28" s="1266"/>
      <c r="RHT28" s="1266"/>
      <c r="RHU28" s="1266"/>
      <c r="RHV28" s="1266"/>
      <c r="RHW28" s="1266"/>
      <c r="RHX28" s="1266"/>
      <c r="RHY28" s="1266"/>
      <c r="RHZ28" s="1266"/>
      <c r="RIA28" s="1266"/>
      <c r="RIB28" s="1266"/>
      <c r="RIC28" s="1266"/>
      <c r="RID28" s="1266"/>
      <c r="RIE28" s="1266"/>
      <c r="RIF28" s="1266"/>
      <c r="RIG28" s="1266"/>
      <c r="RIH28" s="1266"/>
      <c r="RII28" s="1266"/>
      <c r="RIJ28" s="1266"/>
      <c r="RIK28" s="1266"/>
      <c r="RIL28" s="1266"/>
      <c r="RIM28" s="1266"/>
      <c r="RIN28" s="1266"/>
      <c r="RIO28" s="1266"/>
      <c r="RIP28" s="1266"/>
      <c r="RIQ28" s="1266"/>
      <c r="RIR28" s="1266"/>
      <c r="RIS28" s="1266"/>
      <c r="RIT28" s="1266"/>
      <c r="RIU28" s="1266"/>
      <c r="RIV28" s="1266"/>
      <c r="RIW28" s="1266"/>
      <c r="RIX28" s="1266"/>
      <c r="RIY28" s="1266"/>
      <c r="RIZ28" s="1266"/>
      <c r="RJA28" s="1266"/>
      <c r="RJB28" s="1266"/>
      <c r="RJC28" s="1266"/>
      <c r="RJD28" s="1266"/>
      <c r="RJE28" s="1266"/>
      <c r="RJF28" s="1266"/>
      <c r="RJG28" s="1266"/>
      <c r="RJH28" s="1266"/>
      <c r="RJI28" s="1266"/>
      <c r="RJJ28" s="1266"/>
      <c r="RJK28" s="1266"/>
      <c r="RJL28" s="1266"/>
      <c r="RJM28" s="1266"/>
      <c r="RJN28" s="1266"/>
      <c r="RJO28" s="1266"/>
      <c r="RJP28" s="1266"/>
      <c r="RJQ28" s="1266"/>
      <c r="RJR28" s="1266"/>
      <c r="RJS28" s="1266"/>
      <c r="RJT28" s="1266"/>
      <c r="RJU28" s="1266"/>
      <c r="RJV28" s="1266"/>
      <c r="RJW28" s="1266"/>
      <c r="RJX28" s="1266"/>
      <c r="RJY28" s="1266"/>
      <c r="RJZ28" s="1266"/>
      <c r="RKA28" s="1266"/>
      <c r="RKB28" s="1266"/>
      <c r="RKC28" s="1266"/>
      <c r="RKD28" s="1266"/>
      <c r="RKE28" s="1266"/>
      <c r="RKF28" s="1266"/>
      <c r="RKG28" s="1266"/>
      <c r="RKH28" s="1266"/>
      <c r="RKI28" s="1266"/>
      <c r="RKJ28" s="1266"/>
      <c r="RKK28" s="1266"/>
      <c r="RKL28" s="1266"/>
      <c r="RKM28" s="1266"/>
      <c r="RKN28" s="1266"/>
      <c r="RKO28" s="1266"/>
      <c r="RKP28" s="1266"/>
      <c r="RKQ28" s="1266"/>
      <c r="RKR28" s="1266"/>
      <c r="RKS28" s="1266"/>
      <c r="RKT28" s="1266"/>
      <c r="RKU28" s="1266"/>
      <c r="RKV28" s="1266"/>
      <c r="RKW28" s="1266"/>
      <c r="RKX28" s="1266"/>
      <c r="RKY28" s="1266"/>
      <c r="RKZ28" s="1266"/>
      <c r="RLA28" s="1266"/>
      <c r="RLB28" s="1266"/>
      <c r="RLC28" s="1266"/>
      <c r="RLD28" s="1266"/>
      <c r="RLE28" s="1266"/>
      <c r="RLF28" s="1266"/>
      <c r="RLG28" s="1266"/>
      <c r="RLH28" s="1266"/>
      <c r="RLI28" s="1266"/>
      <c r="RLJ28" s="1266"/>
      <c r="RLK28" s="1266"/>
      <c r="RLL28" s="1266"/>
      <c r="RLM28" s="1266"/>
      <c r="RLN28" s="1266"/>
      <c r="RLO28" s="1266"/>
      <c r="RLP28" s="1266"/>
      <c r="RLQ28" s="1266"/>
      <c r="RLR28" s="1266"/>
      <c r="RLS28" s="1266"/>
      <c r="RLT28" s="1266"/>
      <c r="RLU28" s="1266"/>
      <c r="RLV28" s="1266"/>
      <c r="RLW28" s="1266"/>
      <c r="RLX28" s="1266"/>
      <c r="RLY28" s="1266"/>
      <c r="RLZ28" s="1266"/>
      <c r="RMA28" s="1266"/>
      <c r="RMB28" s="1266"/>
      <c r="RMC28" s="1266"/>
      <c r="RMD28" s="1266"/>
      <c r="RME28" s="1266"/>
      <c r="RMF28" s="1266"/>
      <c r="RMG28" s="1266"/>
      <c r="RMH28" s="1266"/>
      <c r="RMI28" s="1266"/>
      <c r="RMJ28" s="1266"/>
      <c r="RMK28" s="1266"/>
      <c r="RML28" s="1266"/>
      <c r="RMM28" s="1266"/>
      <c r="RMN28" s="1266"/>
      <c r="RMO28" s="1266"/>
      <c r="RMP28" s="1266"/>
      <c r="RMQ28" s="1266"/>
      <c r="RMR28" s="1266"/>
      <c r="RMS28" s="1266"/>
      <c r="RMT28" s="1266"/>
      <c r="RMU28" s="1266"/>
      <c r="RMV28" s="1266"/>
      <c r="RMW28" s="1266"/>
      <c r="RMX28" s="1266"/>
      <c r="RMY28" s="1266"/>
      <c r="RMZ28" s="1266"/>
      <c r="RNA28" s="1266"/>
      <c r="RNB28" s="1266"/>
      <c r="RNC28" s="1266"/>
      <c r="RND28" s="1266"/>
      <c r="RNE28" s="1266"/>
      <c r="RNF28" s="1266"/>
      <c r="RNG28" s="1266"/>
      <c r="RNH28" s="1266"/>
      <c r="RNI28" s="1266"/>
      <c r="RNJ28" s="1266"/>
      <c r="RNK28" s="1266"/>
      <c r="RNL28" s="1266"/>
      <c r="RNM28" s="1266"/>
      <c r="RNN28" s="1266"/>
      <c r="RNO28" s="1266"/>
      <c r="RNP28" s="1266"/>
      <c r="RNQ28" s="1266"/>
      <c r="RNR28" s="1266"/>
      <c r="RNS28" s="1266"/>
      <c r="RNT28" s="1266"/>
      <c r="RNU28" s="1266"/>
      <c r="RNV28" s="1266"/>
      <c r="RNW28" s="1266"/>
      <c r="RNX28" s="1266"/>
      <c r="RNY28" s="1266"/>
      <c r="RNZ28" s="1266"/>
      <c r="ROA28" s="1266"/>
      <c r="ROB28" s="1266"/>
      <c r="ROC28" s="1266"/>
      <c r="ROD28" s="1266"/>
      <c r="ROE28" s="1266"/>
      <c r="ROF28" s="1266"/>
      <c r="ROG28" s="1266"/>
      <c r="ROH28" s="1266"/>
      <c r="ROI28" s="1266"/>
      <c r="ROJ28" s="1266"/>
      <c r="ROK28" s="1266"/>
      <c r="ROL28" s="1266"/>
      <c r="ROM28" s="1266"/>
      <c r="RON28" s="1266"/>
      <c r="ROO28" s="1266"/>
      <c r="ROP28" s="1266"/>
      <c r="ROQ28" s="1266"/>
      <c r="ROR28" s="1266"/>
      <c r="ROS28" s="1266"/>
      <c r="ROT28" s="1266"/>
      <c r="ROU28" s="1266"/>
      <c r="ROV28" s="1266"/>
      <c r="ROW28" s="1266"/>
      <c r="ROX28" s="1266"/>
      <c r="ROY28" s="1266"/>
      <c r="ROZ28" s="1266"/>
      <c r="RPA28" s="1266"/>
      <c r="RPB28" s="1266"/>
      <c r="RPC28" s="1266"/>
      <c r="RPD28" s="1266"/>
      <c r="RPE28" s="1266"/>
      <c r="RPF28" s="1266"/>
      <c r="RPG28" s="1266"/>
      <c r="RPH28" s="1266"/>
      <c r="RPI28" s="1266"/>
      <c r="RPJ28" s="1266"/>
      <c r="RPK28" s="1266"/>
      <c r="RPL28" s="1266"/>
      <c r="RPM28" s="1266"/>
      <c r="RPN28" s="1266"/>
      <c r="RPO28" s="1266"/>
      <c r="RPP28" s="1266"/>
      <c r="RPQ28" s="1266"/>
      <c r="RPR28" s="1266"/>
      <c r="RPS28" s="1266"/>
      <c r="RPT28" s="1266"/>
      <c r="RPU28" s="1266"/>
      <c r="RPV28" s="1266"/>
      <c r="RPW28" s="1266"/>
      <c r="RPX28" s="1266"/>
      <c r="RPY28" s="1266"/>
      <c r="RPZ28" s="1266"/>
      <c r="RQA28" s="1266"/>
      <c r="RQB28" s="1266"/>
      <c r="RQC28" s="1266"/>
      <c r="RQD28" s="1266"/>
      <c r="RQE28" s="1266"/>
      <c r="RQF28" s="1266"/>
      <c r="RQG28" s="1266"/>
      <c r="RQH28" s="1266"/>
      <c r="RQI28" s="1266"/>
      <c r="RQJ28" s="1266"/>
      <c r="RQK28" s="1266"/>
      <c r="RQL28" s="1266"/>
      <c r="RQM28" s="1266"/>
      <c r="RQN28" s="1266"/>
      <c r="RQO28" s="1266"/>
      <c r="RQP28" s="1266"/>
      <c r="RQQ28" s="1266"/>
      <c r="RQR28" s="1266"/>
      <c r="RQS28" s="1266"/>
      <c r="RQT28" s="1266"/>
      <c r="RQU28" s="1266"/>
      <c r="RQV28" s="1266"/>
      <c r="RQW28" s="1266"/>
      <c r="RQX28" s="1266"/>
      <c r="RQY28" s="1266"/>
      <c r="RQZ28" s="1266"/>
      <c r="RRA28" s="1266"/>
      <c r="RRB28" s="1266"/>
      <c r="RRC28" s="1266"/>
      <c r="RRD28" s="1266"/>
      <c r="RRE28" s="1266"/>
      <c r="RRF28" s="1266"/>
      <c r="RRG28" s="1266"/>
      <c r="RRH28" s="1266"/>
      <c r="RRI28" s="1266"/>
      <c r="RRJ28" s="1266"/>
      <c r="RRK28" s="1266"/>
      <c r="RRL28" s="1266"/>
      <c r="RRM28" s="1266"/>
      <c r="RRN28" s="1266"/>
      <c r="RRO28" s="1266"/>
      <c r="RRP28" s="1266"/>
      <c r="RRQ28" s="1266"/>
      <c r="RRR28" s="1266"/>
      <c r="RRS28" s="1266"/>
      <c r="RRT28" s="1266"/>
      <c r="RRU28" s="1266"/>
      <c r="RRV28" s="1266"/>
      <c r="RRW28" s="1266"/>
      <c r="RRX28" s="1266"/>
      <c r="RRY28" s="1266"/>
      <c r="RRZ28" s="1266"/>
      <c r="RSA28" s="1266"/>
      <c r="RSB28" s="1266"/>
      <c r="RSC28" s="1266"/>
      <c r="RSD28" s="1266"/>
      <c r="RSE28" s="1266"/>
      <c r="RSF28" s="1266"/>
      <c r="RSG28" s="1266"/>
      <c r="RSH28" s="1266"/>
      <c r="RSI28" s="1266"/>
      <c r="RSJ28" s="1266"/>
      <c r="RSK28" s="1266"/>
      <c r="RSL28" s="1266"/>
      <c r="RSM28" s="1266"/>
      <c r="RSN28" s="1266"/>
      <c r="RSO28" s="1266"/>
      <c r="RSP28" s="1266"/>
      <c r="RSQ28" s="1266"/>
      <c r="RSR28" s="1266"/>
      <c r="RSS28" s="1266"/>
      <c r="RST28" s="1266"/>
      <c r="RSU28" s="1266"/>
      <c r="RSV28" s="1266"/>
      <c r="RSW28" s="1266"/>
      <c r="RSX28" s="1266"/>
      <c r="RSY28" s="1266"/>
      <c r="RSZ28" s="1266"/>
      <c r="RTA28" s="1266"/>
      <c r="RTB28" s="1266"/>
      <c r="RTC28" s="1266"/>
      <c r="RTD28" s="1266"/>
      <c r="RTE28" s="1266"/>
      <c r="RTF28" s="1266"/>
      <c r="RTG28" s="1266"/>
      <c r="RTH28" s="1266"/>
      <c r="RTI28" s="1266"/>
      <c r="RTJ28" s="1266"/>
      <c r="RTK28" s="1266"/>
      <c r="RTL28" s="1266"/>
      <c r="RTM28" s="1266"/>
      <c r="RTN28" s="1266"/>
      <c r="RTO28" s="1266"/>
      <c r="RTP28" s="1266"/>
      <c r="RTQ28" s="1266"/>
      <c r="RTR28" s="1266"/>
      <c r="RTS28" s="1266"/>
      <c r="RTT28" s="1266"/>
      <c r="RTU28" s="1266"/>
      <c r="RTV28" s="1266"/>
      <c r="RTW28" s="1266"/>
      <c r="RTX28" s="1266"/>
      <c r="RTY28" s="1266"/>
      <c r="RTZ28" s="1266"/>
      <c r="RUA28" s="1266"/>
      <c r="RUB28" s="1266"/>
      <c r="RUC28" s="1266"/>
      <c r="RUD28" s="1266"/>
      <c r="RUE28" s="1266"/>
      <c r="RUF28" s="1266"/>
      <c r="RUG28" s="1266"/>
      <c r="RUH28" s="1266"/>
      <c r="RUI28" s="1266"/>
      <c r="RUJ28" s="1266"/>
      <c r="RUK28" s="1266"/>
      <c r="RUL28" s="1266"/>
      <c r="RUM28" s="1266"/>
      <c r="RUN28" s="1266"/>
      <c r="RUO28" s="1266"/>
      <c r="RUP28" s="1266"/>
      <c r="RUQ28" s="1266"/>
      <c r="RUR28" s="1266"/>
      <c r="RUS28" s="1266"/>
      <c r="RUT28" s="1266"/>
      <c r="RUU28" s="1266"/>
      <c r="RUV28" s="1266"/>
      <c r="RUW28" s="1266"/>
      <c r="RUX28" s="1266"/>
      <c r="RUY28" s="1266"/>
      <c r="RUZ28" s="1266"/>
      <c r="RVA28" s="1266"/>
      <c r="RVB28" s="1266"/>
      <c r="RVC28" s="1266"/>
      <c r="RVD28" s="1266"/>
      <c r="RVE28" s="1266"/>
      <c r="RVF28" s="1266"/>
      <c r="RVG28" s="1266"/>
      <c r="RVH28" s="1266"/>
      <c r="RVI28" s="1266"/>
      <c r="RVJ28" s="1266"/>
      <c r="RVK28" s="1266"/>
      <c r="RVL28" s="1266"/>
      <c r="RVM28" s="1266"/>
      <c r="RVN28" s="1266"/>
      <c r="RVO28" s="1266"/>
      <c r="RVP28" s="1266"/>
      <c r="RVQ28" s="1266"/>
      <c r="RVR28" s="1266"/>
      <c r="RVS28" s="1266"/>
      <c r="RVT28" s="1266"/>
      <c r="RVU28" s="1266"/>
      <c r="RVV28" s="1266"/>
      <c r="RVW28" s="1266"/>
      <c r="RVX28" s="1266"/>
      <c r="RVY28" s="1266"/>
      <c r="RVZ28" s="1266"/>
      <c r="RWA28" s="1266"/>
      <c r="RWB28" s="1266"/>
      <c r="RWC28" s="1266"/>
      <c r="RWD28" s="1266"/>
      <c r="RWE28" s="1266"/>
      <c r="RWF28" s="1266"/>
      <c r="RWG28" s="1266"/>
      <c r="RWH28" s="1266"/>
      <c r="RWI28" s="1266"/>
      <c r="RWJ28" s="1266"/>
      <c r="RWK28" s="1266"/>
      <c r="RWL28" s="1266"/>
      <c r="RWM28" s="1266"/>
      <c r="RWN28" s="1266"/>
      <c r="RWO28" s="1266"/>
      <c r="RWP28" s="1266"/>
      <c r="RWQ28" s="1266"/>
      <c r="RWR28" s="1266"/>
      <c r="RWS28" s="1266"/>
      <c r="RWT28" s="1266"/>
      <c r="RWU28" s="1266"/>
      <c r="RWV28" s="1266"/>
      <c r="RWW28" s="1266"/>
      <c r="RWX28" s="1266"/>
      <c r="RWY28" s="1266"/>
      <c r="RWZ28" s="1266"/>
      <c r="RXA28" s="1266"/>
      <c r="RXB28" s="1266"/>
      <c r="RXC28" s="1266"/>
      <c r="RXD28" s="1266"/>
      <c r="RXE28" s="1266"/>
      <c r="RXF28" s="1266"/>
      <c r="RXG28" s="1266"/>
      <c r="RXH28" s="1266"/>
      <c r="RXI28" s="1266"/>
      <c r="RXJ28" s="1266"/>
      <c r="RXK28" s="1266"/>
      <c r="RXL28" s="1266"/>
      <c r="RXM28" s="1266"/>
      <c r="RXN28" s="1266"/>
      <c r="RXO28" s="1266"/>
      <c r="RXP28" s="1266"/>
      <c r="RXQ28" s="1266"/>
      <c r="RXR28" s="1266"/>
      <c r="RXS28" s="1266"/>
      <c r="RXT28" s="1266"/>
      <c r="RXU28" s="1266"/>
      <c r="RXV28" s="1266"/>
      <c r="RXW28" s="1266"/>
      <c r="RXX28" s="1266"/>
      <c r="RXY28" s="1266"/>
      <c r="RXZ28" s="1266"/>
      <c r="RYA28" s="1266"/>
      <c r="RYB28" s="1266"/>
      <c r="RYC28" s="1266"/>
      <c r="RYD28" s="1266"/>
      <c r="RYE28" s="1266"/>
      <c r="RYF28" s="1266"/>
      <c r="RYG28" s="1266"/>
      <c r="RYH28" s="1266"/>
      <c r="RYI28" s="1266"/>
      <c r="RYJ28" s="1266"/>
      <c r="RYK28" s="1266"/>
      <c r="RYL28" s="1266"/>
      <c r="RYM28" s="1266"/>
      <c r="RYN28" s="1266"/>
      <c r="RYO28" s="1266"/>
      <c r="RYP28" s="1266"/>
      <c r="RYQ28" s="1266"/>
      <c r="RYR28" s="1266"/>
      <c r="RYS28" s="1266"/>
      <c r="RYT28" s="1266"/>
      <c r="RYU28" s="1266"/>
      <c r="RYV28" s="1266"/>
      <c r="RYW28" s="1266"/>
      <c r="RYX28" s="1266"/>
      <c r="RYY28" s="1266"/>
      <c r="RYZ28" s="1266"/>
      <c r="RZA28" s="1266"/>
      <c r="RZB28" s="1266"/>
      <c r="RZC28" s="1266"/>
      <c r="RZD28" s="1266"/>
      <c r="RZE28" s="1266"/>
      <c r="RZF28" s="1266"/>
      <c r="RZG28" s="1266"/>
      <c r="RZH28" s="1266"/>
      <c r="RZI28" s="1266"/>
      <c r="RZJ28" s="1266"/>
      <c r="RZK28" s="1266"/>
      <c r="RZL28" s="1266"/>
      <c r="RZM28" s="1266"/>
      <c r="RZN28" s="1266"/>
      <c r="RZO28" s="1266"/>
      <c r="RZP28" s="1266"/>
      <c r="RZQ28" s="1266"/>
      <c r="RZR28" s="1266"/>
      <c r="RZS28" s="1266"/>
      <c r="RZT28" s="1266"/>
      <c r="RZU28" s="1266"/>
      <c r="RZV28" s="1266"/>
      <c r="RZW28" s="1266"/>
      <c r="RZX28" s="1266"/>
      <c r="RZY28" s="1266"/>
      <c r="RZZ28" s="1266"/>
      <c r="SAA28" s="1266"/>
      <c r="SAB28" s="1266"/>
      <c r="SAC28" s="1266"/>
      <c r="SAD28" s="1266"/>
      <c r="SAE28" s="1266"/>
      <c r="SAF28" s="1266"/>
      <c r="SAG28" s="1266"/>
      <c r="SAH28" s="1266"/>
      <c r="SAI28" s="1266"/>
      <c r="SAJ28" s="1266"/>
      <c r="SAK28" s="1266"/>
      <c r="SAL28" s="1266"/>
      <c r="SAM28" s="1266"/>
      <c r="SAN28" s="1266"/>
      <c r="SAO28" s="1266"/>
      <c r="SAP28" s="1266"/>
      <c r="SAQ28" s="1266"/>
      <c r="SAR28" s="1266"/>
      <c r="SAS28" s="1266"/>
      <c r="SAT28" s="1266"/>
      <c r="SAU28" s="1266"/>
      <c r="SAV28" s="1266"/>
      <c r="SAW28" s="1266"/>
      <c r="SAX28" s="1266"/>
      <c r="SAY28" s="1266"/>
      <c r="SAZ28" s="1266"/>
      <c r="SBA28" s="1266"/>
      <c r="SBB28" s="1266"/>
      <c r="SBC28" s="1266"/>
      <c r="SBD28" s="1266"/>
      <c r="SBE28" s="1266"/>
      <c r="SBF28" s="1266"/>
      <c r="SBG28" s="1266"/>
      <c r="SBH28" s="1266"/>
      <c r="SBI28" s="1266"/>
      <c r="SBJ28" s="1266"/>
      <c r="SBK28" s="1266"/>
      <c r="SBL28" s="1266"/>
      <c r="SBM28" s="1266"/>
      <c r="SBN28" s="1266"/>
      <c r="SBO28" s="1266"/>
      <c r="SBP28" s="1266"/>
      <c r="SBQ28" s="1266"/>
      <c r="SBR28" s="1266"/>
      <c r="SBS28" s="1266"/>
      <c r="SBT28" s="1266"/>
      <c r="SBU28" s="1266"/>
      <c r="SBV28" s="1266"/>
      <c r="SBW28" s="1266"/>
      <c r="SBX28" s="1266"/>
      <c r="SBY28" s="1266"/>
      <c r="SBZ28" s="1266"/>
      <c r="SCA28" s="1266"/>
      <c r="SCB28" s="1266"/>
      <c r="SCC28" s="1266"/>
      <c r="SCD28" s="1266"/>
      <c r="SCE28" s="1266"/>
      <c r="SCF28" s="1266"/>
      <c r="SCG28" s="1266"/>
      <c r="SCH28" s="1266"/>
      <c r="SCI28" s="1266"/>
      <c r="SCJ28" s="1266"/>
      <c r="SCK28" s="1266"/>
      <c r="SCL28" s="1266"/>
      <c r="SCM28" s="1266"/>
      <c r="SCN28" s="1266"/>
      <c r="SCO28" s="1266"/>
      <c r="SCP28" s="1266"/>
      <c r="SCQ28" s="1266"/>
      <c r="SCR28" s="1266"/>
      <c r="SCS28" s="1266"/>
      <c r="SCT28" s="1266"/>
      <c r="SCU28" s="1266"/>
      <c r="SCV28" s="1266"/>
      <c r="SCW28" s="1266"/>
      <c r="SCX28" s="1266"/>
      <c r="SCY28" s="1266"/>
      <c r="SCZ28" s="1266"/>
      <c r="SDA28" s="1266"/>
      <c r="SDB28" s="1266"/>
      <c r="SDC28" s="1266"/>
      <c r="SDD28" s="1266"/>
      <c r="SDE28" s="1266"/>
      <c r="SDF28" s="1266"/>
      <c r="SDG28" s="1266"/>
      <c r="SDH28" s="1266"/>
      <c r="SDI28" s="1266"/>
      <c r="SDJ28" s="1266"/>
      <c r="SDK28" s="1266"/>
      <c r="SDL28" s="1266"/>
      <c r="SDM28" s="1266"/>
      <c r="SDN28" s="1266"/>
      <c r="SDO28" s="1266"/>
      <c r="SDP28" s="1266"/>
      <c r="SDQ28" s="1266"/>
      <c r="SDR28" s="1266"/>
      <c r="SDS28" s="1266"/>
      <c r="SDT28" s="1266"/>
      <c r="SDU28" s="1266"/>
      <c r="SDV28" s="1266"/>
      <c r="SDW28" s="1266"/>
      <c r="SDX28" s="1266"/>
      <c r="SDY28" s="1266"/>
      <c r="SDZ28" s="1266"/>
      <c r="SEA28" s="1266"/>
      <c r="SEB28" s="1266"/>
      <c r="SEC28" s="1266"/>
      <c r="SED28" s="1266"/>
      <c r="SEE28" s="1266"/>
      <c r="SEF28" s="1266"/>
      <c r="SEG28" s="1266"/>
      <c r="SEH28" s="1266"/>
      <c r="SEI28" s="1266"/>
      <c r="SEJ28" s="1266"/>
      <c r="SEK28" s="1266"/>
      <c r="SEL28" s="1266"/>
      <c r="SEM28" s="1266"/>
      <c r="SEN28" s="1266"/>
      <c r="SEO28" s="1266"/>
      <c r="SEP28" s="1266"/>
      <c r="SEQ28" s="1266"/>
      <c r="SER28" s="1266"/>
      <c r="SES28" s="1266"/>
      <c r="SET28" s="1266"/>
      <c r="SEU28" s="1266"/>
      <c r="SEV28" s="1266"/>
      <c r="SEW28" s="1266"/>
      <c r="SEX28" s="1266"/>
      <c r="SEY28" s="1266"/>
      <c r="SEZ28" s="1266"/>
      <c r="SFA28" s="1266"/>
      <c r="SFB28" s="1266"/>
      <c r="SFC28" s="1266"/>
      <c r="SFD28" s="1266"/>
      <c r="SFE28" s="1266"/>
      <c r="SFF28" s="1266"/>
      <c r="SFG28" s="1266"/>
      <c r="SFH28" s="1266"/>
      <c r="SFI28" s="1266"/>
      <c r="SFJ28" s="1266"/>
      <c r="SFK28" s="1266"/>
      <c r="SFL28" s="1266"/>
      <c r="SFM28" s="1266"/>
      <c r="SFN28" s="1266"/>
      <c r="SFO28" s="1266"/>
      <c r="SFP28" s="1266"/>
      <c r="SFQ28" s="1266"/>
      <c r="SFR28" s="1266"/>
      <c r="SFS28" s="1266"/>
      <c r="SFT28" s="1266"/>
      <c r="SFU28" s="1266"/>
      <c r="SFV28" s="1266"/>
      <c r="SFW28" s="1266"/>
      <c r="SFX28" s="1266"/>
      <c r="SFY28" s="1266"/>
      <c r="SFZ28" s="1266"/>
      <c r="SGA28" s="1266"/>
      <c r="SGB28" s="1266"/>
      <c r="SGC28" s="1266"/>
      <c r="SGD28" s="1266"/>
      <c r="SGE28" s="1266"/>
      <c r="SGF28" s="1266"/>
      <c r="SGG28" s="1266"/>
      <c r="SGH28" s="1266"/>
      <c r="SGI28" s="1266"/>
      <c r="SGJ28" s="1266"/>
      <c r="SGK28" s="1266"/>
      <c r="SGL28" s="1266"/>
      <c r="SGM28" s="1266"/>
      <c r="SGN28" s="1266"/>
      <c r="SGO28" s="1266"/>
      <c r="SGP28" s="1266"/>
      <c r="SGQ28" s="1266"/>
      <c r="SGR28" s="1266"/>
      <c r="SGS28" s="1266"/>
      <c r="SGT28" s="1266"/>
      <c r="SGU28" s="1266"/>
      <c r="SGV28" s="1266"/>
      <c r="SGW28" s="1266"/>
      <c r="SGX28" s="1266"/>
      <c r="SGY28" s="1266"/>
      <c r="SGZ28" s="1266"/>
      <c r="SHA28" s="1266"/>
      <c r="SHB28" s="1266"/>
      <c r="SHC28" s="1266"/>
      <c r="SHD28" s="1266"/>
      <c r="SHE28" s="1266"/>
      <c r="SHF28" s="1266"/>
      <c r="SHG28" s="1266"/>
      <c r="SHH28" s="1266"/>
      <c r="SHI28" s="1266"/>
      <c r="SHJ28" s="1266"/>
      <c r="SHK28" s="1266"/>
      <c r="SHL28" s="1266"/>
      <c r="SHM28" s="1266"/>
      <c r="SHN28" s="1266"/>
      <c r="SHO28" s="1266"/>
      <c r="SHP28" s="1266"/>
      <c r="SHQ28" s="1266"/>
      <c r="SHR28" s="1266"/>
      <c r="SHS28" s="1266"/>
      <c r="SHT28" s="1266"/>
      <c r="SHU28" s="1266"/>
      <c r="SHV28" s="1266"/>
      <c r="SHW28" s="1266"/>
      <c r="SHX28" s="1266"/>
      <c r="SHY28" s="1266"/>
      <c r="SHZ28" s="1266"/>
      <c r="SIA28" s="1266"/>
      <c r="SIB28" s="1266"/>
      <c r="SIC28" s="1266"/>
      <c r="SID28" s="1266"/>
      <c r="SIE28" s="1266"/>
      <c r="SIF28" s="1266"/>
      <c r="SIG28" s="1266"/>
      <c r="SIH28" s="1266"/>
      <c r="SII28" s="1266"/>
      <c r="SIJ28" s="1266"/>
      <c r="SIK28" s="1266"/>
      <c r="SIL28" s="1266"/>
      <c r="SIM28" s="1266"/>
      <c r="SIN28" s="1266"/>
      <c r="SIO28" s="1266"/>
      <c r="SIP28" s="1266"/>
      <c r="SIQ28" s="1266"/>
      <c r="SIR28" s="1266"/>
      <c r="SIS28" s="1266"/>
      <c r="SIT28" s="1266"/>
      <c r="SIU28" s="1266"/>
      <c r="SIV28" s="1266"/>
      <c r="SIW28" s="1266"/>
      <c r="SIX28" s="1266"/>
      <c r="SIY28" s="1266"/>
      <c r="SIZ28" s="1266"/>
      <c r="SJA28" s="1266"/>
      <c r="SJB28" s="1266"/>
      <c r="SJC28" s="1266"/>
      <c r="SJD28" s="1266"/>
      <c r="SJE28" s="1266"/>
      <c r="SJF28" s="1266"/>
      <c r="SJG28" s="1266"/>
      <c r="SJH28" s="1266"/>
      <c r="SJI28" s="1266"/>
      <c r="SJJ28" s="1266"/>
      <c r="SJK28" s="1266"/>
      <c r="SJL28" s="1266"/>
      <c r="SJM28" s="1266"/>
      <c r="SJN28" s="1266"/>
      <c r="SJO28" s="1266"/>
      <c r="SJP28" s="1266"/>
      <c r="SJQ28" s="1266"/>
      <c r="SJR28" s="1266"/>
      <c r="SJS28" s="1266"/>
      <c r="SJT28" s="1266"/>
      <c r="SJU28" s="1266"/>
      <c r="SJV28" s="1266"/>
      <c r="SJW28" s="1266"/>
      <c r="SJX28" s="1266"/>
      <c r="SJY28" s="1266"/>
      <c r="SJZ28" s="1266"/>
      <c r="SKA28" s="1266"/>
      <c r="SKB28" s="1266"/>
      <c r="SKC28" s="1266"/>
      <c r="SKD28" s="1266"/>
      <c r="SKE28" s="1266"/>
      <c r="SKF28" s="1266"/>
      <c r="SKG28" s="1266"/>
      <c r="SKH28" s="1266"/>
      <c r="SKI28" s="1266"/>
      <c r="SKJ28" s="1266"/>
      <c r="SKK28" s="1266"/>
      <c r="SKL28" s="1266"/>
      <c r="SKM28" s="1266"/>
      <c r="SKN28" s="1266"/>
      <c r="SKO28" s="1266"/>
      <c r="SKP28" s="1266"/>
      <c r="SKQ28" s="1266"/>
      <c r="SKR28" s="1266"/>
      <c r="SKS28" s="1266"/>
      <c r="SKT28" s="1266"/>
      <c r="SKU28" s="1266"/>
      <c r="SKV28" s="1266"/>
      <c r="SKW28" s="1266"/>
      <c r="SKX28" s="1266"/>
      <c r="SKY28" s="1266"/>
      <c r="SKZ28" s="1266"/>
      <c r="SLA28" s="1266"/>
      <c r="SLB28" s="1266"/>
      <c r="SLC28" s="1266"/>
      <c r="SLD28" s="1266"/>
      <c r="SLE28" s="1266"/>
      <c r="SLF28" s="1266"/>
      <c r="SLG28" s="1266"/>
      <c r="SLH28" s="1266"/>
      <c r="SLI28" s="1266"/>
      <c r="SLJ28" s="1266"/>
      <c r="SLK28" s="1266"/>
      <c r="SLL28" s="1266"/>
      <c r="SLM28" s="1266"/>
      <c r="SLN28" s="1266"/>
      <c r="SLO28" s="1266"/>
      <c r="SLP28" s="1266"/>
      <c r="SLQ28" s="1266"/>
      <c r="SLR28" s="1266"/>
      <c r="SLS28" s="1266"/>
      <c r="SLT28" s="1266"/>
      <c r="SLU28" s="1266"/>
      <c r="SLV28" s="1266"/>
      <c r="SLW28" s="1266"/>
      <c r="SLX28" s="1266"/>
      <c r="SLY28" s="1266"/>
      <c r="SLZ28" s="1266"/>
      <c r="SMA28" s="1266"/>
      <c r="SMB28" s="1266"/>
      <c r="SMC28" s="1266"/>
      <c r="SMD28" s="1266"/>
      <c r="SME28" s="1266"/>
      <c r="SMF28" s="1266"/>
      <c r="SMG28" s="1266"/>
      <c r="SMH28" s="1266"/>
      <c r="SMI28" s="1266"/>
      <c r="SMJ28" s="1266"/>
      <c r="SMK28" s="1266"/>
      <c r="SML28" s="1266"/>
      <c r="SMM28" s="1266"/>
      <c r="SMN28" s="1266"/>
      <c r="SMO28" s="1266"/>
      <c r="SMP28" s="1266"/>
      <c r="SMQ28" s="1266"/>
      <c r="SMR28" s="1266"/>
      <c r="SMS28" s="1266"/>
      <c r="SMT28" s="1266"/>
      <c r="SMU28" s="1266"/>
      <c r="SMV28" s="1266"/>
      <c r="SMW28" s="1266"/>
      <c r="SMX28" s="1266"/>
      <c r="SMY28" s="1266"/>
      <c r="SMZ28" s="1266"/>
      <c r="SNA28" s="1266"/>
      <c r="SNB28" s="1266"/>
      <c r="SNC28" s="1266"/>
      <c r="SND28" s="1266"/>
      <c r="SNE28" s="1266"/>
      <c r="SNF28" s="1266"/>
      <c r="SNG28" s="1266"/>
      <c r="SNH28" s="1266"/>
      <c r="SNI28" s="1266"/>
      <c r="SNJ28" s="1266"/>
      <c r="SNK28" s="1266"/>
      <c r="SNL28" s="1266"/>
      <c r="SNM28" s="1266"/>
      <c r="SNN28" s="1266"/>
      <c r="SNO28" s="1266"/>
      <c r="SNP28" s="1266"/>
      <c r="SNQ28" s="1266"/>
      <c r="SNR28" s="1266"/>
      <c r="SNS28" s="1266"/>
      <c r="SNT28" s="1266"/>
      <c r="SNU28" s="1266"/>
      <c r="SNV28" s="1266"/>
      <c r="SNW28" s="1266"/>
      <c r="SNX28" s="1266"/>
      <c r="SNY28" s="1266"/>
      <c r="SNZ28" s="1266"/>
      <c r="SOA28" s="1266"/>
      <c r="SOB28" s="1266"/>
      <c r="SOC28" s="1266"/>
      <c r="SOD28" s="1266"/>
      <c r="SOE28" s="1266"/>
      <c r="SOF28" s="1266"/>
      <c r="SOG28" s="1266"/>
      <c r="SOH28" s="1266"/>
      <c r="SOI28" s="1266"/>
      <c r="SOJ28" s="1266"/>
      <c r="SOK28" s="1266"/>
      <c r="SOL28" s="1266"/>
      <c r="SOM28" s="1266"/>
      <c r="SON28" s="1266"/>
      <c r="SOO28" s="1266"/>
      <c r="SOP28" s="1266"/>
      <c r="SOQ28" s="1266"/>
      <c r="SOR28" s="1266"/>
      <c r="SOS28" s="1266"/>
      <c r="SOT28" s="1266"/>
      <c r="SOU28" s="1266"/>
      <c r="SOV28" s="1266"/>
      <c r="SOW28" s="1266"/>
      <c r="SOX28" s="1266"/>
      <c r="SOY28" s="1266"/>
      <c r="SOZ28" s="1266"/>
      <c r="SPA28" s="1266"/>
      <c r="SPB28" s="1266"/>
      <c r="SPC28" s="1266"/>
      <c r="SPD28" s="1266"/>
      <c r="SPE28" s="1266"/>
      <c r="SPF28" s="1266"/>
      <c r="SPG28" s="1266"/>
      <c r="SPH28" s="1266"/>
      <c r="SPI28" s="1266"/>
      <c r="SPJ28" s="1266"/>
      <c r="SPK28" s="1266"/>
      <c r="SPL28" s="1266"/>
      <c r="SPM28" s="1266"/>
      <c r="SPN28" s="1266"/>
      <c r="SPO28" s="1266"/>
      <c r="SPP28" s="1266"/>
      <c r="SPQ28" s="1266"/>
      <c r="SPR28" s="1266"/>
      <c r="SPS28" s="1266"/>
      <c r="SPT28" s="1266"/>
      <c r="SPU28" s="1266"/>
      <c r="SPV28" s="1266"/>
      <c r="SPW28" s="1266"/>
      <c r="SPX28" s="1266"/>
      <c r="SPY28" s="1266"/>
      <c r="SPZ28" s="1266"/>
      <c r="SQA28" s="1266"/>
      <c r="SQB28" s="1266"/>
      <c r="SQC28" s="1266"/>
      <c r="SQD28" s="1266"/>
      <c r="SQE28" s="1266"/>
      <c r="SQF28" s="1266"/>
      <c r="SQG28" s="1266"/>
      <c r="SQH28" s="1266"/>
      <c r="SQI28" s="1266"/>
      <c r="SQJ28" s="1266"/>
      <c r="SQK28" s="1266"/>
      <c r="SQL28" s="1266"/>
      <c r="SQM28" s="1266"/>
      <c r="SQN28" s="1266"/>
      <c r="SQO28" s="1266"/>
      <c r="SQP28" s="1266"/>
      <c r="SQQ28" s="1266"/>
      <c r="SQR28" s="1266"/>
      <c r="SQS28" s="1266"/>
      <c r="SQT28" s="1266"/>
      <c r="SQU28" s="1266"/>
      <c r="SQV28" s="1266"/>
      <c r="SQW28" s="1266"/>
      <c r="SQX28" s="1266"/>
      <c r="SQY28" s="1266"/>
      <c r="SQZ28" s="1266"/>
      <c r="SRA28" s="1266"/>
      <c r="SRB28" s="1266"/>
      <c r="SRC28" s="1266"/>
      <c r="SRD28" s="1266"/>
      <c r="SRE28" s="1266"/>
      <c r="SRF28" s="1266"/>
      <c r="SRG28" s="1266"/>
      <c r="SRH28" s="1266"/>
      <c r="SRI28" s="1266"/>
      <c r="SRJ28" s="1266"/>
      <c r="SRK28" s="1266"/>
      <c r="SRL28" s="1266"/>
      <c r="SRM28" s="1266"/>
      <c r="SRN28" s="1266"/>
      <c r="SRO28" s="1266"/>
      <c r="SRP28" s="1266"/>
      <c r="SRQ28" s="1266"/>
      <c r="SRR28" s="1266"/>
      <c r="SRS28" s="1266"/>
      <c r="SRT28" s="1266"/>
      <c r="SRU28" s="1266"/>
      <c r="SRV28" s="1266"/>
      <c r="SRW28" s="1266"/>
      <c r="SRX28" s="1266"/>
      <c r="SRY28" s="1266"/>
      <c r="SRZ28" s="1266"/>
      <c r="SSA28" s="1266"/>
      <c r="SSB28" s="1266"/>
      <c r="SSC28" s="1266"/>
      <c r="SSD28" s="1266"/>
      <c r="SSE28" s="1266"/>
      <c r="SSF28" s="1266"/>
      <c r="SSG28" s="1266"/>
      <c r="SSH28" s="1266"/>
      <c r="SSI28" s="1266"/>
      <c r="SSJ28" s="1266"/>
      <c r="SSK28" s="1266"/>
      <c r="SSL28" s="1266"/>
      <c r="SSM28" s="1266"/>
      <c r="SSN28" s="1266"/>
      <c r="SSO28" s="1266"/>
      <c r="SSP28" s="1266"/>
      <c r="SSQ28" s="1266"/>
      <c r="SSR28" s="1266"/>
      <c r="SSS28" s="1266"/>
      <c r="SST28" s="1266"/>
      <c r="SSU28" s="1266"/>
      <c r="SSV28" s="1266"/>
      <c r="SSW28" s="1266"/>
      <c r="SSX28" s="1266"/>
      <c r="SSY28" s="1266"/>
      <c r="SSZ28" s="1266"/>
      <c r="STA28" s="1266"/>
      <c r="STB28" s="1266"/>
      <c r="STC28" s="1266"/>
      <c r="STD28" s="1266"/>
      <c r="STE28" s="1266"/>
      <c r="STF28" s="1266"/>
      <c r="STG28" s="1266"/>
      <c r="STH28" s="1266"/>
      <c r="STI28" s="1266"/>
      <c r="STJ28" s="1266"/>
      <c r="STK28" s="1266"/>
      <c r="STL28" s="1266"/>
      <c r="STM28" s="1266"/>
      <c r="STN28" s="1266"/>
      <c r="STO28" s="1266"/>
      <c r="STP28" s="1266"/>
      <c r="STQ28" s="1266"/>
      <c r="STR28" s="1266"/>
      <c r="STS28" s="1266"/>
      <c r="STT28" s="1266"/>
      <c r="STU28" s="1266"/>
      <c r="STV28" s="1266"/>
      <c r="STW28" s="1266"/>
      <c r="STX28" s="1266"/>
      <c r="STY28" s="1266"/>
      <c r="STZ28" s="1266"/>
      <c r="SUA28" s="1266"/>
      <c r="SUB28" s="1266"/>
      <c r="SUC28" s="1266"/>
      <c r="SUD28" s="1266"/>
      <c r="SUE28" s="1266"/>
      <c r="SUF28" s="1266"/>
      <c r="SUG28" s="1266"/>
      <c r="SUH28" s="1266"/>
      <c r="SUI28" s="1266"/>
      <c r="SUJ28" s="1266"/>
      <c r="SUK28" s="1266"/>
      <c r="SUL28" s="1266"/>
      <c r="SUM28" s="1266"/>
      <c r="SUN28" s="1266"/>
      <c r="SUO28" s="1266"/>
      <c r="SUP28" s="1266"/>
      <c r="SUQ28" s="1266"/>
      <c r="SUR28" s="1266"/>
      <c r="SUS28" s="1266"/>
      <c r="SUT28" s="1266"/>
      <c r="SUU28" s="1266"/>
      <c r="SUV28" s="1266"/>
      <c r="SUW28" s="1266"/>
      <c r="SUX28" s="1266"/>
      <c r="SUY28" s="1266"/>
      <c r="SUZ28" s="1266"/>
      <c r="SVA28" s="1266"/>
      <c r="SVB28" s="1266"/>
      <c r="SVC28" s="1266"/>
      <c r="SVD28" s="1266"/>
      <c r="SVE28" s="1266"/>
      <c r="SVF28" s="1266"/>
      <c r="SVG28" s="1266"/>
      <c r="SVH28" s="1266"/>
      <c r="SVI28" s="1266"/>
      <c r="SVJ28" s="1266"/>
      <c r="SVK28" s="1266"/>
      <c r="SVL28" s="1266"/>
      <c r="SVM28" s="1266"/>
      <c r="SVN28" s="1266"/>
      <c r="SVO28" s="1266"/>
      <c r="SVP28" s="1266"/>
      <c r="SVQ28" s="1266"/>
      <c r="SVR28" s="1266"/>
      <c r="SVS28" s="1266"/>
      <c r="SVT28" s="1266"/>
      <c r="SVU28" s="1266"/>
      <c r="SVV28" s="1266"/>
      <c r="SVW28" s="1266"/>
      <c r="SVX28" s="1266"/>
      <c r="SVY28" s="1266"/>
      <c r="SVZ28" s="1266"/>
      <c r="SWA28" s="1266"/>
      <c r="SWB28" s="1266"/>
      <c r="SWC28" s="1266"/>
      <c r="SWD28" s="1266"/>
      <c r="SWE28" s="1266"/>
      <c r="SWF28" s="1266"/>
      <c r="SWG28" s="1266"/>
      <c r="SWH28" s="1266"/>
      <c r="SWI28" s="1266"/>
      <c r="SWJ28" s="1266"/>
      <c r="SWK28" s="1266"/>
      <c r="SWL28" s="1266"/>
      <c r="SWM28" s="1266"/>
      <c r="SWN28" s="1266"/>
      <c r="SWO28" s="1266"/>
      <c r="SWP28" s="1266"/>
      <c r="SWQ28" s="1266"/>
      <c r="SWR28" s="1266"/>
      <c r="SWS28" s="1266"/>
      <c r="SWT28" s="1266"/>
      <c r="SWU28" s="1266"/>
      <c r="SWV28" s="1266"/>
      <c r="SWW28" s="1266"/>
      <c r="SWX28" s="1266"/>
      <c r="SWY28" s="1266"/>
      <c r="SWZ28" s="1266"/>
      <c r="SXA28" s="1266"/>
      <c r="SXB28" s="1266"/>
      <c r="SXC28" s="1266"/>
      <c r="SXD28" s="1266"/>
      <c r="SXE28" s="1266"/>
      <c r="SXF28" s="1266"/>
      <c r="SXG28" s="1266"/>
      <c r="SXH28" s="1266"/>
      <c r="SXI28" s="1266"/>
      <c r="SXJ28" s="1266"/>
      <c r="SXK28" s="1266"/>
      <c r="SXL28" s="1266"/>
      <c r="SXM28" s="1266"/>
      <c r="SXN28" s="1266"/>
      <c r="SXO28" s="1266"/>
      <c r="SXP28" s="1266"/>
      <c r="SXQ28" s="1266"/>
      <c r="SXR28" s="1266"/>
      <c r="SXS28" s="1266"/>
      <c r="SXT28" s="1266"/>
      <c r="SXU28" s="1266"/>
      <c r="SXV28" s="1266"/>
      <c r="SXW28" s="1266"/>
      <c r="SXX28" s="1266"/>
      <c r="SXY28" s="1266"/>
      <c r="SXZ28" s="1266"/>
      <c r="SYA28" s="1266"/>
      <c r="SYB28" s="1266"/>
      <c r="SYC28" s="1266"/>
      <c r="SYD28" s="1266"/>
      <c r="SYE28" s="1266"/>
      <c r="SYF28" s="1266"/>
      <c r="SYG28" s="1266"/>
      <c r="SYH28" s="1266"/>
      <c r="SYI28" s="1266"/>
      <c r="SYJ28" s="1266"/>
      <c r="SYK28" s="1266"/>
      <c r="SYL28" s="1266"/>
      <c r="SYM28" s="1266"/>
      <c r="SYN28" s="1266"/>
      <c r="SYO28" s="1266"/>
      <c r="SYP28" s="1266"/>
      <c r="SYQ28" s="1266"/>
      <c r="SYR28" s="1266"/>
      <c r="SYS28" s="1266"/>
      <c r="SYT28" s="1266"/>
      <c r="SYU28" s="1266"/>
      <c r="SYV28" s="1266"/>
      <c r="SYW28" s="1266"/>
      <c r="SYX28" s="1266"/>
      <c r="SYY28" s="1266"/>
      <c r="SYZ28" s="1266"/>
      <c r="SZA28" s="1266"/>
      <c r="SZB28" s="1266"/>
      <c r="SZC28" s="1266"/>
      <c r="SZD28" s="1266"/>
      <c r="SZE28" s="1266"/>
      <c r="SZF28" s="1266"/>
      <c r="SZG28" s="1266"/>
      <c r="SZH28" s="1266"/>
      <c r="SZI28" s="1266"/>
      <c r="SZJ28" s="1266"/>
      <c r="SZK28" s="1266"/>
      <c r="SZL28" s="1266"/>
      <c r="SZM28" s="1266"/>
      <c r="SZN28" s="1266"/>
      <c r="SZO28" s="1266"/>
      <c r="SZP28" s="1266"/>
      <c r="SZQ28" s="1266"/>
      <c r="SZR28" s="1266"/>
      <c r="SZS28" s="1266"/>
      <c r="SZT28" s="1266"/>
      <c r="SZU28" s="1266"/>
      <c r="SZV28" s="1266"/>
      <c r="SZW28" s="1266"/>
      <c r="SZX28" s="1266"/>
      <c r="SZY28" s="1266"/>
      <c r="SZZ28" s="1266"/>
      <c r="TAA28" s="1266"/>
      <c r="TAB28" s="1266"/>
      <c r="TAC28" s="1266"/>
      <c r="TAD28" s="1266"/>
      <c r="TAE28" s="1266"/>
      <c r="TAF28" s="1266"/>
      <c r="TAG28" s="1266"/>
      <c r="TAH28" s="1266"/>
      <c r="TAI28" s="1266"/>
      <c r="TAJ28" s="1266"/>
      <c r="TAK28" s="1266"/>
      <c r="TAL28" s="1266"/>
      <c r="TAM28" s="1266"/>
      <c r="TAN28" s="1266"/>
      <c r="TAO28" s="1266"/>
      <c r="TAP28" s="1266"/>
      <c r="TAQ28" s="1266"/>
      <c r="TAR28" s="1266"/>
      <c r="TAS28" s="1266"/>
      <c r="TAT28" s="1266"/>
      <c r="TAU28" s="1266"/>
      <c r="TAV28" s="1266"/>
      <c r="TAW28" s="1266"/>
      <c r="TAX28" s="1266"/>
      <c r="TAY28" s="1266"/>
      <c r="TAZ28" s="1266"/>
      <c r="TBA28" s="1266"/>
      <c r="TBB28" s="1266"/>
      <c r="TBC28" s="1266"/>
      <c r="TBD28" s="1266"/>
      <c r="TBE28" s="1266"/>
      <c r="TBF28" s="1266"/>
      <c r="TBG28" s="1266"/>
      <c r="TBH28" s="1266"/>
      <c r="TBI28" s="1266"/>
      <c r="TBJ28" s="1266"/>
      <c r="TBK28" s="1266"/>
      <c r="TBL28" s="1266"/>
      <c r="TBM28" s="1266"/>
      <c r="TBN28" s="1266"/>
      <c r="TBO28" s="1266"/>
      <c r="TBP28" s="1266"/>
      <c r="TBQ28" s="1266"/>
      <c r="TBR28" s="1266"/>
      <c r="TBS28" s="1266"/>
      <c r="TBT28" s="1266"/>
      <c r="TBU28" s="1266"/>
      <c r="TBV28" s="1266"/>
      <c r="TBW28" s="1266"/>
      <c r="TBX28" s="1266"/>
      <c r="TBY28" s="1266"/>
      <c r="TBZ28" s="1266"/>
      <c r="TCA28" s="1266"/>
      <c r="TCB28" s="1266"/>
      <c r="TCC28" s="1266"/>
      <c r="TCD28" s="1266"/>
      <c r="TCE28" s="1266"/>
      <c r="TCF28" s="1266"/>
      <c r="TCG28" s="1266"/>
      <c r="TCH28" s="1266"/>
      <c r="TCI28" s="1266"/>
      <c r="TCJ28" s="1266"/>
      <c r="TCK28" s="1266"/>
      <c r="TCL28" s="1266"/>
      <c r="TCM28" s="1266"/>
      <c r="TCN28" s="1266"/>
      <c r="TCO28" s="1266"/>
      <c r="TCP28" s="1266"/>
      <c r="TCQ28" s="1266"/>
      <c r="TCR28" s="1266"/>
      <c r="TCS28" s="1266"/>
      <c r="TCT28" s="1266"/>
      <c r="TCU28" s="1266"/>
      <c r="TCV28" s="1266"/>
      <c r="TCW28" s="1266"/>
      <c r="TCX28" s="1266"/>
      <c r="TCY28" s="1266"/>
      <c r="TCZ28" s="1266"/>
      <c r="TDA28" s="1266"/>
      <c r="TDB28" s="1266"/>
      <c r="TDC28" s="1266"/>
      <c r="TDD28" s="1266"/>
      <c r="TDE28" s="1266"/>
      <c r="TDF28" s="1266"/>
      <c r="TDG28" s="1266"/>
      <c r="TDH28" s="1266"/>
      <c r="TDI28" s="1266"/>
      <c r="TDJ28" s="1266"/>
      <c r="TDK28" s="1266"/>
      <c r="TDL28" s="1266"/>
      <c r="TDM28" s="1266"/>
      <c r="TDN28" s="1266"/>
      <c r="TDO28" s="1266"/>
      <c r="TDP28" s="1266"/>
      <c r="TDQ28" s="1266"/>
      <c r="TDR28" s="1266"/>
      <c r="TDS28" s="1266"/>
      <c r="TDT28" s="1266"/>
      <c r="TDU28" s="1266"/>
      <c r="TDV28" s="1266"/>
      <c r="TDW28" s="1266"/>
      <c r="TDX28" s="1266"/>
      <c r="TDY28" s="1266"/>
      <c r="TDZ28" s="1266"/>
      <c r="TEA28" s="1266"/>
      <c r="TEB28" s="1266"/>
      <c r="TEC28" s="1266"/>
      <c r="TED28" s="1266"/>
      <c r="TEE28" s="1266"/>
      <c r="TEF28" s="1266"/>
      <c r="TEG28" s="1266"/>
      <c r="TEH28" s="1266"/>
      <c r="TEI28" s="1266"/>
      <c r="TEJ28" s="1266"/>
      <c r="TEK28" s="1266"/>
      <c r="TEL28" s="1266"/>
      <c r="TEM28" s="1266"/>
      <c r="TEN28" s="1266"/>
      <c r="TEO28" s="1266"/>
      <c r="TEP28" s="1266"/>
      <c r="TEQ28" s="1266"/>
      <c r="TER28" s="1266"/>
      <c r="TES28" s="1266"/>
      <c r="TET28" s="1266"/>
      <c r="TEU28" s="1266"/>
      <c r="TEV28" s="1266"/>
      <c r="TEW28" s="1266"/>
      <c r="TEX28" s="1266"/>
      <c r="TEY28" s="1266"/>
      <c r="TEZ28" s="1266"/>
      <c r="TFA28" s="1266"/>
      <c r="TFB28" s="1266"/>
      <c r="TFC28" s="1266"/>
      <c r="TFD28" s="1266"/>
      <c r="TFE28" s="1266"/>
      <c r="TFF28" s="1266"/>
      <c r="TFG28" s="1266"/>
      <c r="TFH28" s="1266"/>
      <c r="TFI28" s="1266"/>
      <c r="TFJ28" s="1266"/>
      <c r="TFK28" s="1266"/>
      <c r="TFL28" s="1266"/>
      <c r="TFM28" s="1266"/>
      <c r="TFN28" s="1266"/>
      <c r="TFO28" s="1266"/>
      <c r="TFP28" s="1266"/>
      <c r="TFQ28" s="1266"/>
      <c r="TFR28" s="1266"/>
      <c r="TFS28" s="1266"/>
      <c r="TFT28" s="1266"/>
      <c r="TFU28" s="1266"/>
      <c r="TFV28" s="1266"/>
      <c r="TFW28" s="1266"/>
      <c r="TFX28" s="1266"/>
      <c r="TFY28" s="1266"/>
      <c r="TFZ28" s="1266"/>
      <c r="TGA28" s="1266"/>
      <c r="TGB28" s="1266"/>
      <c r="TGC28" s="1266"/>
      <c r="TGD28" s="1266"/>
      <c r="TGE28" s="1266"/>
      <c r="TGF28" s="1266"/>
      <c r="TGG28" s="1266"/>
      <c r="TGH28" s="1266"/>
      <c r="TGI28" s="1266"/>
      <c r="TGJ28" s="1266"/>
      <c r="TGK28" s="1266"/>
      <c r="TGL28" s="1266"/>
      <c r="TGM28" s="1266"/>
      <c r="TGN28" s="1266"/>
      <c r="TGO28" s="1266"/>
      <c r="TGP28" s="1266"/>
      <c r="TGQ28" s="1266"/>
      <c r="TGR28" s="1266"/>
      <c r="TGS28" s="1266"/>
      <c r="TGT28" s="1266"/>
      <c r="TGU28" s="1266"/>
      <c r="TGV28" s="1266"/>
      <c r="TGW28" s="1266"/>
      <c r="TGX28" s="1266"/>
      <c r="TGY28" s="1266"/>
      <c r="TGZ28" s="1266"/>
      <c r="THA28" s="1266"/>
      <c r="THB28" s="1266"/>
      <c r="THC28" s="1266"/>
      <c r="THD28" s="1266"/>
      <c r="THE28" s="1266"/>
      <c r="THF28" s="1266"/>
      <c r="THG28" s="1266"/>
      <c r="THH28" s="1266"/>
      <c r="THI28" s="1266"/>
      <c r="THJ28" s="1266"/>
      <c r="THK28" s="1266"/>
      <c r="THL28" s="1266"/>
      <c r="THM28" s="1266"/>
      <c r="THN28" s="1266"/>
      <c r="THO28" s="1266"/>
      <c r="THP28" s="1266"/>
      <c r="THQ28" s="1266"/>
      <c r="THR28" s="1266"/>
      <c r="THS28" s="1266"/>
      <c r="THT28" s="1266"/>
      <c r="THU28" s="1266"/>
      <c r="THV28" s="1266"/>
      <c r="THW28" s="1266"/>
      <c r="THX28" s="1266"/>
      <c r="THY28" s="1266"/>
      <c r="THZ28" s="1266"/>
      <c r="TIA28" s="1266"/>
      <c r="TIB28" s="1266"/>
      <c r="TIC28" s="1266"/>
      <c r="TID28" s="1266"/>
      <c r="TIE28" s="1266"/>
      <c r="TIF28" s="1266"/>
      <c r="TIG28" s="1266"/>
      <c r="TIH28" s="1266"/>
      <c r="TII28" s="1266"/>
      <c r="TIJ28" s="1266"/>
      <c r="TIK28" s="1266"/>
      <c r="TIL28" s="1266"/>
      <c r="TIM28" s="1266"/>
      <c r="TIN28" s="1266"/>
      <c r="TIO28" s="1266"/>
      <c r="TIP28" s="1266"/>
      <c r="TIQ28" s="1266"/>
      <c r="TIR28" s="1266"/>
      <c r="TIS28" s="1266"/>
      <c r="TIT28" s="1266"/>
      <c r="TIU28" s="1266"/>
      <c r="TIV28" s="1266"/>
      <c r="TIW28" s="1266"/>
      <c r="TIX28" s="1266"/>
      <c r="TIY28" s="1266"/>
      <c r="TIZ28" s="1266"/>
      <c r="TJA28" s="1266"/>
      <c r="TJB28" s="1266"/>
      <c r="TJC28" s="1266"/>
      <c r="TJD28" s="1266"/>
      <c r="TJE28" s="1266"/>
      <c r="TJF28" s="1266"/>
      <c r="TJG28" s="1266"/>
      <c r="TJH28" s="1266"/>
      <c r="TJI28" s="1266"/>
      <c r="TJJ28" s="1266"/>
      <c r="TJK28" s="1266"/>
      <c r="TJL28" s="1266"/>
      <c r="TJM28" s="1266"/>
      <c r="TJN28" s="1266"/>
      <c r="TJO28" s="1266"/>
      <c r="TJP28" s="1266"/>
      <c r="TJQ28" s="1266"/>
      <c r="TJR28" s="1266"/>
      <c r="TJS28" s="1266"/>
      <c r="TJT28" s="1266"/>
      <c r="TJU28" s="1266"/>
      <c r="TJV28" s="1266"/>
      <c r="TJW28" s="1266"/>
      <c r="TJX28" s="1266"/>
      <c r="TJY28" s="1266"/>
      <c r="TJZ28" s="1266"/>
      <c r="TKA28" s="1266"/>
      <c r="TKB28" s="1266"/>
      <c r="TKC28" s="1266"/>
      <c r="TKD28" s="1266"/>
      <c r="TKE28" s="1266"/>
      <c r="TKF28" s="1266"/>
      <c r="TKG28" s="1266"/>
      <c r="TKH28" s="1266"/>
      <c r="TKI28" s="1266"/>
      <c r="TKJ28" s="1266"/>
      <c r="TKK28" s="1266"/>
      <c r="TKL28" s="1266"/>
      <c r="TKM28" s="1266"/>
      <c r="TKN28" s="1266"/>
      <c r="TKO28" s="1266"/>
      <c r="TKP28" s="1266"/>
      <c r="TKQ28" s="1266"/>
      <c r="TKR28" s="1266"/>
      <c r="TKS28" s="1266"/>
      <c r="TKT28" s="1266"/>
      <c r="TKU28" s="1266"/>
      <c r="TKV28" s="1266"/>
      <c r="TKW28" s="1266"/>
      <c r="TKX28" s="1266"/>
      <c r="TKY28" s="1266"/>
      <c r="TKZ28" s="1266"/>
      <c r="TLA28" s="1266"/>
      <c r="TLB28" s="1266"/>
      <c r="TLC28" s="1266"/>
      <c r="TLD28" s="1266"/>
      <c r="TLE28" s="1266"/>
      <c r="TLF28" s="1266"/>
      <c r="TLG28" s="1266"/>
      <c r="TLH28" s="1266"/>
      <c r="TLI28" s="1266"/>
      <c r="TLJ28" s="1266"/>
      <c r="TLK28" s="1266"/>
      <c r="TLL28" s="1266"/>
      <c r="TLM28" s="1266"/>
      <c r="TLN28" s="1266"/>
      <c r="TLO28" s="1266"/>
      <c r="TLP28" s="1266"/>
      <c r="TLQ28" s="1266"/>
      <c r="TLR28" s="1266"/>
      <c r="TLS28" s="1266"/>
      <c r="TLT28" s="1266"/>
      <c r="TLU28" s="1266"/>
      <c r="TLV28" s="1266"/>
      <c r="TLW28" s="1266"/>
      <c r="TLX28" s="1266"/>
      <c r="TLY28" s="1266"/>
      <c r="TLZ28" s="1266"/>
      <c r="TMA28" s="1266"/>
      <c r="TMB28" s="1266"/>
      <c r="TMC28" s="1266"/>
      <c r="TMD28" s="1266"/>
      <c r="TME28" s="1266"/>
      <c r="TMF28" s="1266"/>
      <c r="TMG28" s="1266"/>
      <c r="TMH28" s="1266"/>
      <c r="TMI28" s="1266"/>
      <c r="TMJ28" s="1266"/>
      <c r="TMK28" s="1266"/>
      <c r="TML28" s="1266"/>
      <c r="TMM28" s="1266"/>
      <c r="TMN28" s="1266"/>
      <c r="TMO28" s="1266"/>
      <c r="TMP28" s="1266"/>
      <c r="TMQ28" s="1266"/>
      <c r="TMR28" s="1266"/>
      <c r="TMS28" s="1266"/>
      <c r="TMT28" s="1266"/>
      <c r="TMU28" s="1266"/>
      <c r="TMV28" s="1266"/>
      <c r="TMW28" s="1266"/>
      <c r="TMX28" s="1266"/>
      <c r="TMY28" s="1266"/>
      <c r="TMZ28" s="1266"/>
      <c r="TNA28" s="1266"/>
      <c r="TNB28" s="1266"/>
      <c r="TNC28" s="1266"/>
      <c r="TND28" s="1266"/>
      <c r="TNE28" s="1266"/>
      <c r="TNF28" s="1266"/>
      <c r="TNG28" s="1266"/>
      <c r="TNH28" s="1266"/>
      <c r="TNI28" s="1266"/>
      <c r="TNJ28" s="1266"/>
      <c r="TNK28" s="1266"/>
      <c r="TNL28" s="1266"/>
      <c r="TNM28" s="1266"/>
      <c r="TNN28" s="1266"/>
      <c r="TNO28" s="1266"/>
      <c r="TNP28" s="1266"/>
      <c r="TNQ28" s="1266"/>
      <c r="TNR28" s="1266"/>
      <c r="TNS28" s="1266"/>
      <c r="TNT28" s="1266"/>
      <c r="TNU28" s="1266"/>
      <c r="TNV28" s="1266"/>
      <c r="TNW28" s="1266"/>
      <c r="TNX28" s="1266"/>
      <c r="TNY28" s="1266"/>
      <c r="TNZ28" s="1266"/>
      <c r="TOA28" s="1266"/>
      <c r="TOB28" s="1266"/>
      <c r="TOC28" s="1266"/>
      <c r="TOD28" s="1266"/>
      <c r="TOE28" s="1266"/>
      <c r="TOF28" s="1266"/>
      <c r="TOG28" s="1266"/>
      <c r="TOH28" s="1266"/>
      <c r="TOI28" s="1266"/>
      <c r="TOJ28" s="1266"/>
      <c r="TOK28" s="1266"/>
      <c r="TOL28" s="1266"/>
      <c r="TOM28" s="1266"/>
      <c r="TON28" s="1266"/>
      <c r="TOO28" s="1266"/>
      <c r="TOP28" s="1266"/>
      <c r="TOQ28" s="1266"/>
      <c r="TOR28" s="1266"/>
      <c r="TOS28" s="1266"/>
      <c r="TOT28" s="1266"/>
      <c r="TOU28" s="1266"/>
      <c r="TOV28" s="1266"/>
      <c r="TOW28" s="1266"/>
      <c r="TOX28" s="1266"/>
      <c r="TOY28" s="1266"/>
      <c r="TOZ28" s="1266"/>
      <c r="TPA28" s="1266"/>
      <c r="TPB28" s="1266"/>
      <c r="TPC28" s="1266"/>
      <c r="TPD28" s="1266"/>
      <c r="TPE28" s="1266"/>
      <c r="TPF28" s="1266"/>
      <c r="TPG28" s="1266"/>
      <c r="TPH28" s="1266"/>
      <c r="TPI28" s="1266"/>
      <c r="TPJ28" s="1266"/>
      <c r="TPK28" s="1266"/>
      <c r="TPL28" s="1266"/>
      <c r="TPM28" s="1266"/>
      <c r="TPN28" s="1266"/>
      <c r="TPO28" s="1266"/>
      <c r="TPP28" s="1266"/>
      <c r="TPQ28" s="1266"/>
      <c r="TPR28" s="1266"/>
      <c r="TPS28" s="1266"/>
      <c r="TPT28" s="1266"/>
      <c r="TPU28" s="1266"/>
      <c r="TPV28" s="1266"/>
      <c r="TPW28" s="1266"/>
      <c r="TPX28" s="1266"/>
      <c r="TPY28" s="1266"/>
      <c r="TPZ28" s="1266"/>
      <c r="TQA28" s="1266"/>
      <c r="TQB28" s="1266"/>
      <c r="TQC28" s="1266"/>
      <c r="TQD28" s="1266"/>
      <c r="TQE28" s="1266"/>
      <c r="TQF28" s="1266"/>
      <c r="TQG28" s="1266"/>
      <c r="TQH28" s="1266"/>
      <c r="TQI28" s="1266"/>
      <c r="TQJ28" s="1266"/>
      <c r="TQK28" s="1266"/>
      <c r="TQL28" s="1266"/>
      <c r="TQM28" s="1266"/>
      <c r="TQN28" s="1266"/>
      <c r="TQO28" s="1266"/>
      <c r="TQP28" s="1266"/>
      <c r="TQQ28" s="1266"/>
      <c r="TQR28" s="1266"/>
      <c r="TQS28" s="1266"/>
      <c r="TQT28" s="1266"/>
      <c r="TQU28" s="1266"/>
      <c r="TQV28" s="1266"/>
      <c r="TQW28" s="1266"/>
      <c r="TQX28" s="1266"/>
      <c r="TQY28" s="1266"/>
      <c r="TQZ28" s="1266"/>
      <c r="TRA28" s="1266"/>
      <c r="TRB28" s="1266"/>
      <c r="TRC28" s="1266"/>
      <c r="TRD28" s="1266"/>
      <c r="TRE28" s="1266"/>
      <c r="TRF28" s="1266"/>
      <c r="TRG28" s="1266"/>
      <c r="TRH28" s="1266"/>
      <c r="TRI28" s="1266"/>
      <c r="TRJ28" s="1266"/>
      <c r="TRK28" s="1266"/>
      <c r="TRL28" s="1266"/>
      <c r="TRM28" s="1266"/>
      <c r="TRN28" s="1266"/>
      <c r="TRO28" s="1266"/>
      <c r="TRP28" s="1266"/>
      <c r="TRQ28" s="1266"/>
      <c r="TRR28" s="1266"/>
      <c r="TRS28" s="1266"/>
      <c r="TRT28" s="1266"/>
      <c r="TRU28" s="1266"/>
      <c r="TRV28" s="1266"/>
      <c r="TRW28" s="1266"/>
      <c r="TRX28" s="1266"/>
      <c r="TRY28" s="1266"/>
      <c r="TRZ28" s="1266"/>
      <c r="TSA28" s="1266"/>
      <c r="TSB28" s="1266"/>
      <c r="TSC28" s="1266"/>
      <c r="TSD28" s="1266"/>
      <c r="TSE28" s="1266"/>
      <c r="TSF28" s="1266"/>
      <c r="TSG28" s="1266"/>
      <c r="TSH28" s="1266"/>
      <c r="TSI28" s="1266"/>
      <c r="TSJ28" s="1266"/>
      <c r="TSK28" s="1266"/>
      <c r="TSL28" s="1266"/>
      <c r="TSM28" s="1266"/>
      <c r="TSN28" s="1266"/>
      <c r="TSO28" s="1266"/>
      <c r="TSP28" s="1266"/>
      <c r="TSQ28" s="1266"/>
      <c r="TSR28" s="1266"/>
      <c r="TSS28" s="1266"/>
      <c r="TST28" s="1266"/>
      <c r="TSU28" s="1266"/>
      <c r="TSV28" s="1266"/>
      <c r="TSW28" s="1266"/>
      <c r="TSX28" s="1266"/>
      <c r="TSY28" s="1266"/>
      <c r="TSZ28" s="1266"/>
      <c r="TTA28" s="1266"/>
      <c r="TTB28" s="1266"/>
      <c r="TTC28" s="1266"/>
      <c r="TTD28" s="1266"/>
      <c r="TTE28" s="1266"/>
      <c r="TTF28" s="1266"/>
      <c r="TTG28" s="1266"/>
      <c r="TTH28" s="1266"/>
      <c r="TTI28" s="1266"/>
      <c r="TTJ28" s="1266"/>
      <c r="TTK28" s="1266"/>
      <c r="TTL28" s="1266"/>
      <c r="TTM28" s="1266"/>
      <c r="TTN28" s="1266"/>
      <c r="TTO28" s="1266"/>
      <c r="TTP28" s="1266"/>
      <c r="TTQ28" s="1266"/>
      <c r="TTR28" s="1266"/>
      <c r="TTS28" s="1266"/>
      <c r="TTT28" s="1266"/>
      <c r="TTU28" s="1266"/>
      <c r="TTV28" s="1266"/>
      <c r="TTW28" s="1266"/>
      <c r="TTX28" s="1266"/>
      <c r="TTY28" s="1266"/>
      <c r="TTZ28" s="1266"/>
      <c r="TUA28" s="1266"/>
      <c r="TUB28" s="1266"/>
      <c r="TUC28" s="1266"/>
      <c r="TUD28" s="1266"/>
      <c r="TUE28" s="1266"/>
      <c r="TUF28" s="1266"/>
      <c r="TUG28" s="1266"/>
      <c r="TUH28" s="1266"/>
      <c r="TUI28" s="1266"/>
      <c r="TUJ28" s="1266"/>
      <c r="TUK28" s="1266"/>
      <c r="TUL28" s="1266"/>
      <c r="TUM28" s="1266"/>
      <c r="TUN28" s="1266"/>
      <c r="TUO28" s="1266"/>
      <c r="TUP28" s="1266"/>
      <c r="TUQ28" s="1266"/>
      <c r="TUR28" s="1266"/>
      <c r="TUS28" s="1266"/>
      <c r="TUT28" s="1266"/>
      <c r="TUU28" s="1266"/>
      <c r="TUV28" s="1266"/>
      <c r="TUW28" s="1266"/>
      <c r="TUX28" s="1266"/>
      <c r="TUY28" s="1266"/>
      <c r="TUZ28" s="1266"/>
      <c r="TVA28" s="1266"/>
      <c r="TVB28" s="1266"/>
      <c r="TVC28" s="1266"/>
      <c r="TVD28" s="1266"/>
      <c r="TVE28" s="1266"/>
      <c r="TVF28" s="1266"/>
      <c r="TVG28" s="1266"/>
      <c r="TVH28" s="1266"/>
      <c r="TVI28" s="1266"/>
      <c r="TVJ28" s="1266"/>
      <c r="TVK28" s="1266"/>
      <c r="TVL28" s="1266"/>
      <c r="TVM28" s="1266"/>
      <c r="TVN28" s="1266"/>
      <c r="TVO28" s="1266"/>
      <c r="TVP28" s="1266"/>
      <c r="TVQ28" s="1266"/>
      <c r="TVR28" s="1266"/>
      <c r="TVS28" s="1266"/>
      <c r="TVT28" s="1266"/>
      <c r="TVU28" s="1266"/>
      <c r="TVV28" s="1266"/>
      <c r="TVW28" s="1266"/>
      <c r="TVX28" s="1266"/>
      <c r="TVY28" s="1266"/>
      <c r="TVZ28" s="1266"/>
      <c r="TWA28" s="1266"/>
      <c r="TWB28" s="1266"/>
      <c r="TWC28" s="1266"/>
      <c r="TWD28" s="1266"/>
      <c r="TWE28" s="1266"/>
      <c r="TWF28" s="1266"/>
      <c r="TWG28" s="1266"/>
      <c r="TWH28" s="1266"/>
      <c r="TWI28" s="1266"/>
      <c r="TWJ28" s="1266"/>
      <c r="TWK28" s="1266"/>
      <c r="TWL28" s="1266"/>
      <c r="TWM28" s="1266"/>
      <c r="TWN28" s="1266"/>
      <c r="TWO28" s="1266"/>
      <c r="TWP28" s="1266"/>
      <c r="TWQ28" s="1266"/>
      <c r="TWR28" s="1266"/>
      <c r="TWS28" s="1266"/>
      <c r="TWT28" s="1266"/>
      <c r="TWU28" s="1266"/>
      <c r="TWV28" s="1266"/>
      <c r="TWW28" s="1266"/>
      <c r="TWX28" s="1266"/>
      <c r="TWY28" s="1266"/>
      <c r="TWZ28" s="1266"/>
      <c r="TXA28" s="1266"/>
      <c r="TXB28" s="1266"/>
      <c r="TXC28" s="1266"/>
      <c r="TXD28" s="1266"/>
      <c r="TXE28" s="1266"/>
      <c r="TXF28" s="1266"/>
      <c r="TXG28" s="1266"/>
      <c r="TXH28" s="1266"/>
      <c r="TXI28" s="1266"/>
      <c r="TXJ28" s="1266"/>
      <c r="TXK28" s="1266"/>
      <c r="TXL28" s="1266"/>
      <c r="TXM28" s="1266"/>
      <c r="TXN28" s="1266"/>
      <c r="TXO28" s="1266"/>
      <c r="TXP28" s="1266"/>
      <c r="TXQ28" s="1266"/>
      <c r="TXR28" s="1266"/>
      <c r="TXS28" s="1266"/>
      <c r="TXT28" s="1266"/>
      <c r="TXU28" s="1266"/>
      <c r="TXV28" s="1266"/>
      <c r="TXW28" s="1266"/>
      <c r="TXX28" s="1266"/>
      <c r="TXY28" s="1266"/>
      <c r="TXZ28" s="1266"/>
      <c r="TYA28" s="1266"/>
      <c r="TYB28" s="1266"/>
      <c r="TYC28" s="1266"/>
      <c r="TYD28" s="1266"/>
      <c r="TYE28" s="1266"/>
      <c r="TYF28" s="1266"/>
      <c r="TYG28" s="1266"/>
      <c r="TYH28" s="1266"/>
      <c r="TYI28" s="1266"/>
      <c r="TYJ28" s="1266"/>
      <c r="TYK28" s="1266"/>
      <c r="TYL28" s="1266"/>
      <c r="TYM28" s="1266"/>
      <c r="TYN28" s="1266"/>
      <c r="TYO28" s="1266"/>
      <c r="TYP28" s="1266"/>
      <c r="TYQ28" s="1266"/>
      <c r="TYR28" s="1266"/>
      <c r="TYS28" s="1266"/>
      <c r="TYT28" s="1266"/>
      <c r="TYU28" s="1266"/>
      <c r="TYV28" s="1266"/>
      <c r="TYW28" s="1266"/>
      <c r="TYX28" s="1266"/>
      <c r="TYY28" s="1266"/>
      <c r="TYZ28" s="1266"/>
      <c r="TZA28" s="1266"/>
      <c r="TZB28" s="1266"/>
      <c r="TZC28" s="1266"/>
      <c r="TZD28" s="1266"/>
      <c r="TZE28" s="1266"/>
      <c r="TZF28" s="1266"/>
      <c r="TZG28" s="1266"/>
      <c r="TZH28" s="1266"/>
      <c r="TZI28" s="1266"/>
      <c r="TZJ28" s="1266"/>
      <c r="TZK28" s="1266"/>
      <c r="TZL28" s="1266"/>
      <c r="TZM28" s="1266"/>
      <c r="TZN28" s="1266"/>
      <c r="TZO28" s="1266"/>
      <c r="TZP28" s="1266"/>
      <c r="TZQ28" s="1266"/>
      <c r="TZR28" s="1266"/>
      <c r="TZS28" s="1266"/>
      <c r="TZT28" s="1266"/>
      <c r="TZU28" s="1266"/>
      <c r="TZV28" s="1266"/>
      <c r="TZW28" s="1266"/>
      <c r="TZX28" s="1266"/>
      <c r="TZY28" s="1266"/>
      <c r="TZZ28" s="1266"/>
      <c r="UAA28" s="1266"/>
      <c r="UAB28" s="1266"/>
      <c r="UAC28" s="1266"/>
      <c r="UAD28" s="1266"/>
      <c r="UAE28" s="1266"/>
      <c r="UAF28" s="1266"/>
      <c r="UAG28" s="1266"/>
      <c r="UAH28" s="1266"/>
      <c r="UAI28" s="1266"/>
      <c r="UAJ28" s="1266"/>
      <c r="UAK28" s="1266"/>
      <c r="UAL28" s="1266"/>
      <c r="UAM28" s="1266"/>
      <c r="UAN28" s="1266"/>
      <c r="UAO28" s="1266"/>
      <c r="UAP28" s="1266"/>
      <c r="UAQ28" s="1266"/>
      <c r="UAR28" s="1266"/>
      <c r="UAS28" s="1266"/>
      <c r="UAT28" s="1266"/>
      <c r="UAU28" s="1266"/>
      <c r="UAV28" s="1266"/>
      <c r="UAW28" s="1266"/>
      <c r="UAX28" s="1266"/>
      <c r="UAY28" s="1266"/>
      <c r="UAZ28" s="1266"/>
      <c r="UBA28" s="1266"/>
      <c r="UBB28" s="1266"/>
      <c r="UBC28" s="1266"/>
      <c r="UBD28" s="1266"/>
      <c r="UBE28" s="1266"/>
      <c r="UBF28" s="1266"/>
      <c r="UBG28" s="1266"/>
      <c r="UBH28" s="1266"/>
      <c r="UBI28" s="1266"/>
      <c r="UBJ28" s="1266"/>
      <c r="UBK28" s="1266"/>
      <c r="UBL28" s="1266"/>
      <c r="UBM28" s="1266"/>
      <c r="UBN28" s="1266"/>
      <c r="UBO28" s="1266"/>
      <c r="UBP28" s="1266"/>
      <c r="UBQ28" s="1266"/>
      <c r="UBR28" s="1266"/>
      <c r="UBS28" s="1266"/>
      <c r="UBT28" s="1266"/>
      <c r="UBU28" s="1266"/>
      <c r="UBV28" s="1266"/>
      <c r="UBW28" s="1266"/>
      <c r="UBX28" s="1266"/>
      <c r="UBY28" s="1266"/>
      <c r="UBZ28" s="1266"/>
      <c r="UCA28" s="1266"/>
      <c r="UCB28" s="1266"/>
      <c r="UCC28" s="1266"/>
      <c r="UCD28" s="1266"/>
      <c r="UCE28" s="1266"/>
      <c r="UCF28" s="1266"/>
      <c r="UCG28" s="1266"/>
      <c r="UCH28" s="1266"/>
      <c r="UCI28" s="1266"/>
      <c r="UCJ28" s="1266"/>
      <c r="UCK28" s="1266"/>
      <c r="UCL28" s="1266"/>
      <c r="UCM28" s="1266"/>
      <c r="UCN28" s="1266"/>
      <c r="UCO28" s="1266"/>
      <c r="UCP28" s="1266"/>
      <c r="UCQ28" s="1266"/>
      <c r="UCR28" s="1266"/>
      <c r="UCS28" s="1266"/>
      <c r="UCT28" s="1266"/>
      <c r="UCU28" s="1266"/>
      <c r="UCV28" s="1266"/>
      <c r="UCW28" s="1266"/>
      <c r="UCX28" s="1266"/>
      <c r="UCY28" s="1266"/>
      <c r="UCZ28" s="1266"/>
      <c r="UDA28" s="1266"/>
      <c r="UDB28" s="1266"/>
      <c r="UDC28" s="1266"/>
      <c r="UDD28" s="1266"/>
      <c r="UDE28" s="1266"/>
      <c r="UDF28" s="1266"/>
      <c r="UDG28" s="1266"/>
      <c r="UDH28" s="1266"/>
      <c r="UDI28" s="1266"/>
      <c r="UDJ28" s="1266"/>
      <c r="UDK28" s="1266"/>
      <c r="UDL28" s="1266"/>
      <c r="UDM28" s="1266"/>
      <c r="UDN28" s="1266"/>
      <c r="UDO28" s="1266"/>
      <c r="UDP28" s="1266"/>
      <c r="UDQ28" s="1266"/>
      <c r="UDR28" s="1266"/>
      <c r="UDS28" s="1266"/>
      <c r="UDT28" s="1266"/>
      <c r="UDU28" s="1266"/>
      <c r="UDV28" s="1266"/>
      <c r="UDW28" s="1266"/>
      <c r="UDX28" s="1266"/>
      <c r="UDY28" s="1266"/>
      <c r="UDZ28" s="1266"/>
      <c r="UEA28" s="1266"/>
      <c r="UEB28" s="1266"/>
      <c r="UEC28" s="1266"/>
      <c r="UED28" s="1266"/>
      <c r="UEE28" s="1266"/>
      <c r="UEF28" s="1266"/>
      <c r="UEG28" s="1266"/>
      <c r="UEH28" s="1266"/>
      <c r="UEI28" s="1266"/>
      <c r="UEJ28" s="1266"/>
      <c r="UEK28" s="1266"/>
      <c r="UEL28" s="1266"/>
      <c r="UEM28" s="1266"/>
      <c r="UEN28" s="1266"/>
      <c r="UEO28" s="1266"/>
      <c r="UEP28" s="1266"/>
      <c r="UEQ28" s="1266"/>
      <c r="UER28" s="1266"/>
      <c r="UES28" s="1266"/>
      <c r="UET28" s="1266"/>
      <c r="UEU28" s="1266"/>
      <c r="UEV28" s="1266"/>
      <c r="UEW28" s="1266"/>
      <c r="UEX28" s="1266"/>
      <c r="UEY28" s="1266"/>
      <c r="UEZ28" s="1266"/>
      <c r="UFA28" s="1266"/>
      <c r="UFB28" s="1266"/>
      <c r="UFC28" s="1266"/>
      <c r="UFD28" s="1266"/>
      <c r="UFE28" s="1266"/>
      <c r="UFF28" s="1266"/>
      <c r="UFG28" s="1266"/>
      <c r="UFH28" s="1266"/>
      <c r="UFI28" s="1266"/>
      <c r="UFJ28" s="1266"/>
      <c r="UFK28" s="1266"/>
      <c r="UFL28" s="1266"/>
      <c r="UFM28" s="1266"/>
      <c r="UFN28" s="1266"/>
      <c r="UFO28" s="1266"/>
      <c r="UFP28" s="1266"/>
      <c r="UFQ28" s="1266"/>
      <c r="UFR28" s="1266"/>
      <c r="UFS28" s="1266"/>
      <c r="UFT28" s="1266"/>
      <c r="UFU28" s="1266"/>
      <c r="UFV28" s="1266"/>
      <c r="UFW28" s="1266"/>
      <c r="UFX28" s="1266"/>
      <c r="UFY28" s="1266"/>
      <c r="UFZ28" s="1266"/>
      <c r="UGA28" s="1266"/>
      <c r="UGB28" s="1266"/>
      <c r="UGC28" s="1266"/>
      <c r="UGD28" s="1266"/>
      <c r="UGE28" s="1266"/>
      <c r="UGF28" s="1266"/>
      <c r="UGG28" s="1266"/>
      <c r="UGH28" s="1266"/>
      <c r="UGI28" s="1266"/>
      <c r="UGJ28" s="1266"/>
      <c r="UGK28" s="1266"/>
      <c r="UGL28" s="1266"/>
      <c r="UGM28" s="1266"/>
      <c r="UGN28" s="1266"/>
      <c r="UGO28" s="1266"/>
      <c r="UGP28" s="1266"/>
      <c r="UGQ28" s="1266"/>
      <c r="UGR28" s="1266"/>
      <c r="UGS28" s="1266"/>
      <c r="UGT28" s="1266"/>
      <c r="UGU28" s="1266"/>
      <c r="UGV28" s="1266"/>
      <c r="UGW28" s="1266"/>
      <c r="UGX28" s="1266"/>
      <c r="UGY28" s="1266"/>
      <c r="UGZ28" s="1266"/>
      <c r="UHA28" s="1266"/>
      <c r="UHB28" s="1266"/>
      <c r="UHC28" s="1266"/>
      <c r="UHD28" s="1266"/>
      <c r="UHE28" s="1266"/>
      <c r="UHF28" s="1266"/>
      <c r="UHG28" s="1266"/>
      <c r="UHH28" s="1266"/>
      <c r="UHI28" s="1266"/>
      <c r="UHJ28" s="1266"/>
      <c r="UHK28" s="1266"/>
      <c r="UHL28" s="1266"/>
      <c r="UHM28" s="1266"/>
      <c r="UHN28" s="1266"/>
      <c r="UHO28" s="1266"/>
      <c r="UHP28" s="1266"/>
      <c r="UHQ28" s="1266"/>
      <c r="UHR28" s="1266"/>
      <c r="UHS28" s="1266"/>
      <c r="UHT28" s="1266"/>
      <c r="UHU28" s="1266"/>
      <c r="UHV28" s="1266"/>
      <c r="UHW28" s="1266"/>
      <c r="UHX28" s="1266"/>
      <c r="UHY28" s="1266"/>
      <c r="UHZ28" s="1266"/>
      <c r="UIA28" s="1266"/>
      <c r="UIB28" s="1266"/>
      <c r="UIC28" s="1266"/>
      <c r="UID28" s="1266"/>
      <c r="UIE28" s="1266"/>
      <c r="UIF28" s="1266"/>
      <c r="UIG28" s="1266"/>
      <c r="UIH28" s="1266"/>
      <c r="UII28" s="1266"/>
      <c r="UIJ28" s="1266"/>
      <c r="UIK28" s="1266"/>
      <c r="UIL28" s="1266"/>
      <c r="UIM28" s="1266"/>
      <c r="UIN28" s="1266"/>
      <c r="UIO28" s="1266"/>
      <c r="UIP28" s="1266"/>
      <c r="UIQ28" s="1266"/>
      <c r="UIR28" s="1266"/>
      <c r="UIS28" s="1266"/>
      <c r="UIT28" s="1266"/>
      <c r="UIU28" s="1266"/>
      <c r="UIV28" s="1266"/>
      <c r="UIW28" s="1266"/>
      <c r="UIX28" s="1266"/>
      <c r="UIY28" s="1266"/>
      <c r="UIZ28" s="1266"/>
      <c r="UJA28" s="1266"/>
      <c r="UJB28" s="1266"/>
      <c r="UJC28" s="1266"/>
      <c r="UJD28" s="1266"/>
      <c r="UJE28" s="1266"/>
      <c r="UJF28" s="1266"/>
      <c r="UJG28" s="1266"/>
      <c r="UJH28" s="1266"/>
      <c r="UJI28" s="1266"/>
      <c r="UJJ28" s="1266"/>
      <c r="UJK28" s="1266"/>
      <c r="UJL28" s="1266"/>
      <c r="UJM28" s="1266"/>
      <c r="UJN28" s="1266"/>
      <c r="UJO28" s="1266"/>
      <c r="UJP28" s="1266"/>
      <c r="UJQ28" s="1266"/>
      <c r="UJR28" s="1266"/>
      <c r="UJS28" s="1266"/>
      <c r="UJT28" s="1266"/>
      <c r="UJU28" s="1266"/>
      <c r="UJV28" s="1266"/>
      <c r="UJW28" s="1266"/>
      <c r="UJX28" s="1266"/>
      <c r="UJY28" s="1266"/>
      <c r="UJZ28" s="1266"/>
      <c r="UKA28" s="1266"/>
      <c r="UKB28" s="1266"/>
      <c r="UKC28" s="1266"/>
      <c r="UKD28" s="1266"/>
      <c r="UKE28" s="1266"/>
      <c r="UKF28" s="1266"/>
      <c r="UKG28" s="1266"/>
      <c r="UKH28" s="1266"/>
      <c r="UKI28" s="1266"/>
      <c r="UKJ28" s="1266"/>
      <c r="UKK28" s="1266"/>
      <c r="UKL28" s="1266"/>
      <c r="UKM28" s="1266"/>
      <c r="UKN28" s="1266"/>
      <c r="UKO28" s="1266"/>
      <c r="UKP28" s="1266"/>
      <c r="UKQ28" s="1266"/>
      <c r="UKR28" s="1266"/>
      <c r="UKS28" s="1266"/>
      <c r="UKT28" s="1266"/>
      <c r="UKU28" s="1266"/>
      <c r="UKV28" s="1266"/>
      <c r="UKW28" s="1266"/>
      <c r="UKX28" s="1266"/>
      <c r="UKY28" s="1266"/>
      <c r="UKZ28" s="1266"/>
      <c r="ULA28" s="1266"/>
      <c r="ULB28" s="1266"/>
      <c r="ULC28" s="1266"/>
      <c r="ULD28" s="1266"/>
      <c r="ULE28" s="1266"/>
      <c r="ULF28" s="1266"/>
      <c r="ULG28" s="1266"/>
      <c r="ULH28" s="1266"/>
      <c r="ULI28" s="1266"/>
      <c r="ULJ28" s="1266"/>
      <c r="ULK28" s="1266"/>
      <c r="ULL28" s="1266"/>
      <c r="ULM28" s="1266"/>
      <c r="ULN28" s="1266"/>
      <c r="ULO28" s="1266"/>
      <c r="ULP28" s="1266"/>
      <c r="ULQ28" s="1266"/>
      <c r="ULR28" s="1266"/>
      <c r="ULS28" s="1266"/>
      <c r="ULT28" s="1266"/>
      <c r="ULU28" s="1266"/>
      <c r="ULV28" s="1266"/>
      <c r="ULW28" s="1266"/>
      <c r="ULX28" s="1266"/>
      <c r="ULY28" s="1266"/>
      <c r="ULZ28" s="1266"/>
      <c r="UMA28" s="1266"/>
      <c r="UMB28" s="1266"/>
      <c r="UMC28" s="1266"/>
      <c r="UMD28" s="1266"/>
      <c r="UME28" s="1266"/>
      <c r="UMF28" s="1266"/>
      <c r="UMG28" s="1266"/>
      <c r="UMH28" s="1266"/>
      <c r="UMI28" s="1266"/>
      <c r="UMJ28" s="1266"/>
      <c r="UMK28" s="1266"/>
      <c r="UML28" s="1266"/>
      <c r="UMM28" s="1266"/>
      <c r="UMN28" s="1266"/>
      <c r="UMO28" s="1266"/>
      <c r="UMP28" s="1266"/>
      <c r="UMQ28" s="1266"/>
      <c r="UMR28" s="1266"/>
      <c r="UMS28" s="1266"/>
      <c r="UMT28" s="1266"/>
      <c r="UMU28" s="1266"/>
      <c r="UMV28" s="1266"/>
      <c r="UMW28" s="1266"/>
      <c r="UMX28" s="1266"/>
      <c r="UMY28" s="1266"/>
      <c r="UMZ28" s="1266"/>
      <c r="UNA28" s="1266"/>
      <c r="UNB28" s="1266"/>
      <c r="UNC28" s="1266"/>
      <c r="UND28" s="1266"/>
      <c r="UNE28" s="1266"/>
      <c r="UNF28" s="1266"/>
      <c r="UNG28" s="1266"/>
      <c r="UNH28" s="1266"/>
      <c r="UNI28" s="1266"/>
      <c r="UNJ28" s="1266"/>
      <c r="UNK28" s="1266"/>
      <c r="UNL28" s="1266"/>
      <c r="UNM28" s="1266"/>
      <c r="UNN28" s="1266"/>
      <c r="UNO28" s="1266"/>
      <c r="UNP28" s="1266"/>
      <c r="UNQ28" s="1266"/>
      <c r="UNR28" s="1266"/>
      <c r="UNS28" s="1266"/>
      <c r="UNT28" s="1266"/>
      <c r="UNU28" s="1266"/>
      <c r="UNV28" s="1266"/>
      <c r="UNW28" s="1266"/>
      <c r="UNX28" s="1266"/>
      <c r="UNY28" s="1266"/>
      <c r="UNZ28" s="1266"/>
      <c r="UOA28" s="1266"/>
      <c r="UOB28" s="1266"/>
      <c r="UOC28" s="1266"/>
      <c r="UOD28" s="1266"/>
      <c r="UOE28" s="1266"/>
      <c r="UOF28" s="1266"/>
      <c r="UOG28" s="1266"/>
      <c r="UOH28" s="1266"/>
      <c r="UOI28" s="1266"/>
      <c r="UOJ28" s="1266"/>
      <c r="UOK28" s="1266"/>
      <c r="UOL28" s="1266"/>
      <c r="UOM28" s="1266"/>
      <c r="UON28" s="1266"/>
      <c r="UOO28" s="1266"/>
      <c r="UOP28" s="1266"/>
      <c r="UOQ28" s="1266"/>
      <c r="UOR28" s="1266"/>
      <c r="UOS28" s="1266"/>
      <c r="UOT28" s="1266"/>
      <c r="UOU28" s="1266"/>
      <c r="UOV28" s="1266"/>
      <c r="UOW28" s="1266"/>
      <c r="UOX28" s="1266"/>
      <c r="UOY28" s="1266"/>
      <c r="UOZ28" s="1266"/>
      <c r="UPA28" s="1266"/>
      <c r="UPB28" s="1266"/>
      <c r="UPC28" s="1266"/>
      <c r="UPD28" s="1266"/>
      <c r="UPE28" s="1266"/>
      <c r="UPF28" s="1266"/>
      <c r="UPG28" s="1266"/>
      <c r="UPH28" s="1266"/>
      <c r="UPI28" s="1266"/>
      <c r="UPJ28" s="1266"/>
      <c r="UPK28" s="1266"/>
      <c r="UPL28" s="1266"/>
      <c r="UPM28" s="1266"/>
      <c r="UPN28" s="1266"/>
      <c r="UPO28" s="1266"/>
      <c r="UPP28" s="1266"/>
      <c r="UPQ28" s="1266"/>
      <c r="UPR28" s="1266"/>
      <c r="UPS28" s="1266"/>
      <c r="UPT28" s="1266"/>
      <c r="UPU28" s="1266"/>
      <c r="UPV28" s="1266"/>
      <c r="UPW28" s="1266"/>
      <c r="UPX28" s="1266"/>
      <c r="UPY28" s="1266"/>
      <c r="UPZ28" s="1266"/>
      <c r="UQA28" s="1266"/>
      <c r="UQB28" s="1266"/>
      <c r="UQC28" s="1266"/>
      <c r="UQD28" s="1266"/>
      <c r="UQE28" s="1266"/>
      <c r="UQF28" s="1266"/>
      <c r="UQG28" s="1266"/>
      <c r="UQH28" s="1266"/>
      <c r="UQI28" s="1266"/>
      <c r="UQJ28" s="1266"/>
      <c r="UQK28" s="1266"/>
      <c r="UQL28" s="1266"/>
      <c r="UQM28" s="1266"/>
      <c r="UQN28" s="1266"/>
      <c r="UQO28" s="1266"/>
      <c r="UQP28" s="1266"/>
      <c r="UQQ28" s="1266"/>
      <c r="UQR28" s="1266"/>
      <c r="UQS28" s="1266"/>
      <c r="UQT28" s="1266"/>
      <c r="UQU28" s="1266"/>
      <c r="UQV28" s="1266"/>
      <c r="UQW28" s="1266"/>
      <c r="UQX28" s="1266"/>
      <c r="UQY28" s="1266"/>
      <c r="UQZ28" s="1266"/>
      <c r="URA28" s="1266"/>
      <c r="URB28" s="1266"/>
      <c r="URC28" s="1266"/>
      <c r="URD28" s="1266"/>
      <c r="URE28" s="1266"/>
      <c r="URF28" s="1266"/>
      <c r="URG28" s="1266"/>
      <c r="URH28" s="1266"/>
      <c r="URI28" s="1266"/>
      <c r="URJ28" s="1266"/>
      <c r="URK28" s="1266"/>
      <c r="URL28" s="1266"/>
      <c r="URM28" s="1266"/>
      <c r="URN28" s="1266"/>
      <c r="URO28" s="1266"/>
      <c r="URP28" s="1266"/>
      <c r="URQ28" s="1266"/>
      <c r="URR28" s="1266"/>
      <c r="URS28" s="1266"/>
      <c r="URT28" s="1266"/>
      <c r="URU28" s="1266"/>
      <c r="URV28" s="1266"/>
      <c r="URW28" s="1266"/>
      <c r="URX28" s="1266"/>
      <c r="URY28" s="1266"/>
      <c r="URZ28" s="1266"/>
      <c r="USA28" s="1266"/>
      <c r="USB28" s="1266"/>
      <c r="USC28" s="1266"/>
      <c r="USD28" s="1266"/>
      <c r="USE28" s="1266"/>
      <c r="USF28" s="1266"/>
      <c r="USG28" s="1266"/>
      <c r="USH28" s="1266"/>
      <c r="USI28" s="1266"/>
      <c r="USJ28" s="1266"/>
      <c r="USK28" s="1266"/>
      <c r="USL28" s="1266"/>
      <c r="USM28" s="1266"/>
      <c r="USN28" s="1266"/>
      <c r="USO28" s="1266"/>
      <c r="USP28" s="1266"/>
      <c r="USQ28" s="1266"/>
      <c r="USR28" s="1266"/>
      <c r="USS28" s="1266"/>
      <c r="UST28" s="1266"/>
      <c r="USU28" s="1266"/>
      <c r="USV28" s="1266"/>
      <c r="USW28" s="1266"/>
      <c r="USX28" s="1266"/>
      <c r="USY28" s="1266"/>
      <c r="USZ28" s="1266"/>
      <c r="UTA28" s="1266"/>
      <c r="UTB28" s="1266"/>
      <c r="UTC28" s="1266"/>
      <c r="UTD28" s="1266"/>
      <c r="UTE28" s="1266"/>
      <c r="UTF28" s="1266"/>
      <c r="UTG28" s="1266"/>
      <c r="UTH28" s="1266"/>
      <c r="UTI28" s="1266"/>
      <c r="UTJ28" s="1266"/>
      <c r="UTK28" s="1266"/>
      <c r="UTL28" s="1266"/>
      <c r="UTM28" s="1266"/>
      <c r="UTN28" s="1266"/>
      <c r="UTO28" s="1266"/>
      <c r="UTP28" s="1266"/>
      <c r="UTQ28" s="1266"/>
      <c r="UTR28" s="1266"/>
      <c r="UTS28" s="1266"/>
      <c r="UTT28" s="1266"/>
      <c r="UTU28" s="1266"/>
      <c r="UTV28" s="1266"/>
      <c r="UTW28" s="1266"/>
      <c r="UTX28" s="1266"/>
      <c r="UTY28" s="1266"/>
      <c r="UTZ28" s="1266"/>
      <c r="UUA28" s="1266"/>
      <c r="UUB28" s="1266"/>
      <c r="UUC28" s="1266"/>
      <c r="UUD28" s="1266"/>
      <c r="UUE28" s="1266"/>
      <c r="UUF28" s="1266"/>
      <c r="UUG28" s="1266"/>
      <c r="UUH28" s="1266"/>
      <c r="UUI28" s="1266"/>
      <c r="UUJ28" s="1266"/>
      <c r="UUK28" s="1266"/>
      <c r="UUL28" s="1266"/>
      <c r="UUM28" s="1266"/>
      <c r="UUN28" s="1266"/>
      <c r="UUO28" s="1266"/>
      <c r="UUP28" s="1266"/>
      <c r="UUQ28" s="1266"/>
      <c r="UUR28" s="1266"/>
      <c r="UUS28" s="1266"/>
      <c r="UUT28" s="1266"/>
      <c r="UUU28" s="1266"/>
      <c r="UUV28" s="1266"/>
      <c r="UUW28" s="1266"/>
      <c r="UUX28" s="1266"/>
      <c r="UUY28" s="1266"/>
      <c r="UUZ28" s="1266"/>
      <c r="UVA28" s="1266"/>
      <c r="UVB28" s="1266"/>
      <c r="UVC28" s="1266"/>
      <c r="UVD28" s="1266"/>
      <c r="UVE28" s="1266"/>
      <c r="UVF28" s="1266"/>
      <c r="UVG28" s="1266"/>
      <c r="UVH28" s="1266"/>
      <c r="UVI28" s="1266"/>
      <c r="UVJ28" s="1266"/>
      <c r="UVK28" s="1266"/>
      <c r="UVL28" s="1266"/>
      <c r="UVM28" s="1266"/>
      <c r="UVN28" s="1266"/>
      <c r="UVO28" s="1266"/>
      <c r="UVP28" s="1266"/>
      <c r="UVQ28" s="1266"/>
      <c r="UVR28" s="1266"/>
      <c r="UVS28" s="1266"/>
      <c r="UVT28" s="1266"/>
      <c r="UVU28" s="1266"/>
      <c r="UVV28" s="1266"/>
      <c r="UVW28" s="1266"/>
      <c r="UVX28" s="1266"/>
      <c r="UVY28" s="1266"/>
      <c r="UVZ28" s="1266"/>
      <c r="UWA28" s="1266"/>
      <c r="UWB28" s="1266"/>
      <c r="UWC28" s="1266"/>
      <c r="UWD28" s="1266"/>
      <c r="UWE28" s="1266"/>
      <c r="UWF28" s="1266"/>
      <c r="UWG28" s="1266"/>
      <c r="UWH28" s="1266"/>
      <c r="UWI28" s="1266"/>
      <c r="UWJ28" s="1266"/>
      <c r="UWK28" s="1266"/>
      <c r="UWL28" s="1266"/>
      <c r="UWM28" s="1266"/>
      <c r="UWN28" s="1266"/>
      <c r="UWO28" s="1266"/>
      <c r="UWP28" s="1266"/>
      <c r="UWQ28" s="1266"/>
      <c r="UWR28" s="1266"/>
      <c r="UWS28" s="1266"/>
      <c r="UWT28" s="1266"/>
      <c r="UWU28" s="1266"/>
      <c r="UWV28" s="1266"/>
      <c r="UWW28" s="1266"/>
      <c r="UWX28" s="1266"/>
      <c r="UWY28" s="1266"/>
      <c r="UWZ28" s="1266"/>
      <c r="UXA28" s="1266"/>
      <c r="UXB28" s="1266"/>
      <c r="UXC28" s="1266"/>
      <c r="UXD28" s="1266"/>
      <c r="UXE28" s="1266"/>
      <c r="UXF28" s="1266"/>
      <c r="UXG28" s="1266"/>
      <c r="UXH28" s="1266"/>
      <c r="UXI28" s="1266"/>
      <c r="UXJ28" s="1266"/>
      <c r="UXK28" s="1266"/>
      <c r="UXL28" s="1266"/>
      <c r="UXM28" s="1266"/>
      <c r="UXN28" s="1266"/>
      <c r="UXO28" s="1266"/>
      <c r="UXP28" s="1266"/>
      <c r="UXQ28" s="1266"/>
      <c r="UXR28" s="1266"/>
      <c r="UXS28" s="1266"/>
      <c r="UXT28" s="1266"/>
      <c r="UXU28" s="1266"/>
      <c r="UXV28" s="1266"/>
      <c r="UXW28" s="1266"/>
      <c r="UXX28" s="1266"/>
      <c r="UXY28" s="1266"/>
      <c r="UXZ28" s="1266"/>
      <c r="UYA28" s="1266"/>
      <c r="UYB28" s="1266"/>
      <c r="UYC28" s="1266"/>
      <c r="UYD28" s="1266"/>
      <c r="UYE28" s="1266"/>
      <c r="UYF28" s="1266"/>
      <c r="UYG28" s="1266"/>
      <c r="UYH28" s="1266"/>
      <c r="UYI28" s="1266"/>
      <c r="UYJ28" s="1266"/>
      <c r="UYK28" s="1266"/>
      <c r="UYL28" s="1266"/>
      <c r="UYM28" s="1266"/>
      <c r="UYN28" s="1266"/>
      <c r="UYO28" s="1266"/>
      <c r="UYP28" s="1266"/>
      <c r="UYQ28" s="1266"/>
      <c r="UYR28" s="1266"/>
      <c r="UYS28" s="1266"/>
      <c r="UYT28" s="1266"/>
      <c r="UYU28" s="1266"/>
      <c r="UYV28" s="1266"/>
      <c r="UYW28" s="1266"/>
      <c r="UYX28" s="1266"/>
      <c r="UYY28" s="1266"/>
      <c r="UYZ28" s="1266"/>
      <c r="UZA28" s="1266"/>
      <c r="UZB28" s="1266"/>
      <c r="UZC28" s="1266"/>
      <c r="UZD28" s="1266"/>
      <c r="UZE28" s="1266"/>
      <c r="UZF28" s="1266"/>
      <c r="UZG28" s="1266"/>
      <c r="UZH28" s="1266"/>
      <c r="UZI28" s="1266"/>
      <c r="UZJ28" s="1266"/>
      <c r="UZK28" s="1266"/>
      <c r="UZL28" s="1266"/>
      <c r="UZM28" s="1266"/>
      <c r="UZN28" s="1266"/>
      <c r="UZO28" s="1266"/>
      <c r="UZP28" s="1266"/>
      <c r="UZQ28" s="1266"/>
      <c r="UZR28" s="1266"/>
      <c r="UZS28" s="1266"/>
      <c r="UZT28" s="1266"/>
      <c r="UZU28" s="1266"/>
      <c r="UZV28" s="1266"/>
      <c r="UZW28" s="1266"/>
      <c r="UZX28" s="1266"/>
      <c r="UZY28" s="1266"/>
      <c r="UZZ28" s="1266"/>
      <c r="VAA28" s="1266"/>
      <c r="VAB28" s="1266"/>
      <c r="VAC28" s="1266"/>
      <c r="VAD28" s="1266"/>
      <c r="VAE28" s="1266"/>
      <c r="VAF28" s="1266"/>
      <c r="VAG28" s="1266"/>
      <c r="VAH28" s="1266"/>
      <c r="VAI28" s="1266"/>
      <c r="VAJ28" s="1266"/>
      <c r="VAK28" s="1266"/>
      <c r="VAL28" s="1266"/>
      <c r="VAM28" s="1266"/>
      <c r="VAN28" s="1266"/>
      <c r="VAO28" s="1266"/>
      <c r="VAP28" s="1266"/>
      <c r="VAQ28" s="1266"/>
      <c r="VAR28" s="1266"/>
      <c r="VAS28" s="1266"/>
      <c r="VAT28" s="1266"/>
      <c r="VAU28" s="1266"/>
      <c r="VAV28" s="1266"/>
      <c r="VAW28" s="1266"/>
      <c r="VAX28" s="1266"/>
      <c r="VAY28" s="1266"/>
      <c r="VAZ28" s="1266"/>
      <c r="VBA28" s="1266"/>
      <c r="VBB28" s="1266"/>
      <c r="VBC28" s="1266"/>
      <c r="VBD28" s="1266"/>
      <c r="VBE28" s="1266"/>
      <c r="VBF28" s="1266"/>
      <c r="VBG28" s="1266"/>
      <c r="VBH28" s="1266"/>
      <c r="VBI28" s="1266"/>
      <c r="VBJ28" s="1266"/>
      <c r="VBK28" s="1266"/>
      <c r="VBL28" s="1266"/>
      <c r="VBM28" s="1266"/>
      <c r="VBN28" s="1266"/>
      <c r="VBO28" s="1266"/>
      <c r="VBP28" s="1266"/>
      <c r="VBQ28" s="1266"/>
      <c r="VBR28" s="1266"/>
      <c r="VBS28" s="1266"/>
      <c r="VBT28" s="1266"/>
      <c r="VBU28" s="1266"/>
      <c r="VBV28" s="1266"/>
      <c r="VBW28" s="1266"/>
      <c r="VBX28" s="1266"/>
      <c r="VBY28" s="1266"/>
      <c r="VBZ28" s="1266"/>
      <c r="VCA28" s="1266"/>
      <c r="VCB28" s="1266"/>
      <c r="VCC28" s="1266"/>
      <c r="VCD28" s="1266"/>
      <c r="VCE28" s="1266"/>
      <c r="VCF28" s="1266"/>
      <c r="VCG28" s="1266"/>
      <c r="VCH28" s="1266"/>
      <c r="VCI28" s="1266"/>
      <c r="VCJ28" s="1266"/>
      <c r="VCK28" s="1266"/>
      <c r="VCL28" s="1266"/>
      <c r="VCM28" s="1266"/>
      <c r="VCN28" s="1266"/>
      <c r="VCO28" s="1266"/>
      <c r="VCP28" s="1266"/>
      <c r="VCQ28" s="1266"/>
      <c r="VCR28" s="1266"/>
      <c r="VCS28" s="1266"/>
      <c r="VCT28" s="1266"/>
      <c r="VCU28" s="1266"/>
      <c r="VCV28" s="1266"/>
      <c r="VCW28" s="1266"/>
      <c r="VCX28" s="1266"/>
      <c r="VCY28" s="1266"/>
      <c r="VCZ28" s="1266"/>
      <c r="VDA28" s="1266"/>
      <c r="VDB28" s="1266"/>
      <c r="VDC28" s="1266"/>
      <c r="VDD28" s="1266"/>
      <c r="VDE28" s="1266"/>
      <c r="VDF28" s="1266"/>
      <c r="VDG28" s="1266"/>
      <c r="VDH28" s="1266"/>
      <c r="VDI28" s="1266"/>
      <c r="VDJ28" s="1266"/>
      <c r="VDK28" s="1266"/>
      <c r="VDL28" s="1266"/>
      <c r="VDM28" s="1266"/>
      <c r="VDN28" s="1266"/>
      <c r="VDO28" s="1266"/>
      <c r="VDP28" s="1266"/>
      <c r="VDQ28" s="1266"/>
      <c r="VDR28" s="1266"/>
      <c r="VDS28" s="1266"/>
      <c r="VDT28" s="1266"/>
      <c r="VDU28" s="1266"/>
      <c r="VDV28" s="1266"/>
      <c r="VDW28" s="1266"/>
      <c r="VDX28" s="1266"/>
      <c r="VDY28" s="1266"/>
      <c r="VDZ28" s="1266"/>
      <c r="VEA28" s="1266"/>
      <c r="VEB28" s="1266"/>
      <c r="VEC28" s="1266"/>
      <c r="VED28" s="1266"/>
      <c r="VEE28" s="1266"/>
      <c r="VEF28" s="1266"/>
      <c r="VEG28" s="1266"/>
      <c r="VEH28" s="1266"/>
      <c r="VEI28" s="1266"/>
      <c r="VEJ28" s="1266"/>
      <c r="VEK28" s="1266"/>
      <c r="VEL28" s="1266"/>
      <c r="VEM28" s="1266"/>
      <c r="VEN28" s="1266"/>
      <c r="VEO28" s="1266"/>
      <c r="VEP28" s="1266"/>
      <c r="VEQ28" s="1266"/>
      <c r="VER28" s="1266"/>
      <c r="VES28" s="1266"/>
      <c r="VET28" s="1266"/>
      <c r="VEU28" s="1266"/>
      <c r="VEV28" s="1266"/>
      <c r="VEW28" s="1266"/>
      <c r="VEX28" s="1266"/>
      <c r="VEY28" s="1266"/>
      <c r="VEZ28" s="1266"/>
      <c r="VFA28" s="1266"/>
      <c r="VFB28" s="1266"/>
      <c r="VFC28" s="1266"/>
      <c r="VFD28" s="1266"/>
      <c r="VFE28" s="1266"/>
      <c r="VFF28" s="1266"/>
      <c r="VFG28" s="1266"/>
      <c r="VFH28" s="1266"/>
      <c r="VFI28" s="1266"/>
      <c r="VFJ28" s="1266"/>
      <c r="VFK28" s="1266"/>
      <c r="VFL28" s="1266"/>
      <c r="VFM28" s="1266"/>
      <c r="VFN28" s="1266"/>
      <c r="VFO28" s="1266"/>
      <c r="VFP28" s="1266"/>
      <c r="VFQ28" s="1266"/>
      <c r="VFR28" s="1266"/>
      <c r="VFS28" s="1266"/>
      <c r="VFT28" s="1266"/>
      <c r="VFU28" s="1266"/>
      <c r="VFV28" s="1266"/>
      <c r="VFW28" s="1266"/>
      <c r="VFX28" s="1266"/>
      <c r="VFY28" s="1266"/>
      <c r="VFZ28" s="1266"/>
      <c r="VGA28" s="1266"/>
      <c r="VGB28" s="1266"/>
      <c r="VGC28" s="1266"/>
      <c r="VGD28" s="1266"/>
      <c r="VGE28" s="1266"/>
      <c r="VGF28" s="1266"/>
      <c r="VGG28" s="1266"/>
      <c r="VGH28" s="1266"/>
      <c r="VGI28" s="1266"/>
      <c r="VGJ28" s="1266"/>
      <c r="VGK28" s="1266"/>
      <c r="VGL28" s="1266"/>
      <c r="VGM28" s="1266"/>
      <c r="VGN28" s="1266"/>
      <c r="VGO28" s="1266"/>
      <c r="VGP28" s="1266"/>
      <c r="VGQ28" s="1266"/>
      <c r="VGR28" s="1266"/>
      <c r="VGS28" s="1266"/>
      <c r="VGT28" s="1266"/>
      <c r="VGU28" s="1266"/>
      <c r="VGV28" s="1266"/>
      <c r="VGW28" s="1266"/>
      <c r="VGX28" s="1266"/>
      <c r="VGY28" s="1266"/>
      <c r="VGZ28" s="1266"/>
      <c r="VHA28" s="1266"/>
      <c r="VHB28" s="1266"/>
      <c r="VHC28" s="1266"/>
      <c r="VHD28" s="1266"/>
      <c r="VHE28" s="1266"/>
      <c r="VHF28" s="1266"/>
      <c r="VHG28" s="1266"/>
      <c r="VHH28" s="1266"/>
      <c r="VHI28" s="1266"/>
      <c r="VHJ28" s="1266"/>
      <c r="VHK28" s="1266"/>
      <c r="VHL28" s="1266"/>
      <c r="VHM28" s="1266"/>
      <c r="VHN28" s="1266"/>
      <c r="VHO28" s="1266"/>
      <c r="VHP28" s="1266"/>
      <c r="VHQ28" s="1266"/>
      <c r="VHR28" s="1266"/>
      <c r="VHS28" s="1266"/>
      <c r="VHT28" s="1266"/>
      <c r="VHU28" s="1266"/>
      <c r="VHV28" s="1266"/>
      <c r="VHW28" s="1266"/>
      <c r="VHX28" s="1266"/>
      <c r="VHY28" s="1266"/>
      <c r="VHZ28" s="1266"/>
      <c r="VIA28" s="1266"/>
      <c r="VIB28" s="1266"/>
      <c r="VIC28" s="1266"/>
      <c r="VID28" s="1266"/>
      <c r="VIE28" s="1266"/>
      <c r="VIF28" s="1266"/>
      <c r="VIG28" s="1266"/>
      <c r="VIH28" s="1266"/>
      <c r="VII28" s="1266"/>
      <c r="VIJ28" s="1266"/>
      <c r="VIK28" s="1266"/>
      <c r="VIL28" s="1266"/>
      <c r="VIM28" s="1266"/>
      <c r="VIN28" s="1266"/>
      <c r="VIO28" s="1266"/>
      <c r="VIP28" s="1266"/>
      <c r="VIQ28" s="1266"/>
      <c r="VIR28" s="1266"/>
      <c r="VIS28" s="1266"/>
      <c r="VIT28" s="1266"/>
      <c r="VIU28" s="1266"/>
      <c r="VIV28" s="1266"/>
      <c r="VIW28" s="1266"/>
      <c r="VIX28" s="1266"/>
      <c r="VIY28" s="1266"/>
      <c r="VIZ28" s="1266"/>
      <c r="VJA28" s="1266"/>
      <c r="VJB28" s="1266"/>
      <c r="VJC28" s="1266"/>
      <c r="VJD28" s="1266"/>
      <c r="VJE28" s="1266"/>
      <c r="VJF28" s="1266"/>
      <c r="VJG28" s="1266"/>
      <c r="VJH28" s="1266"/>
      <c r="VJI28" s="1266"/>
      <c r="VJJ28" s="1266"/>
      <c r="VJK28" s="1266"/>
      <c r="VJL28" s="1266"/>
      <c r="VJM28" s="1266"/>
      <c r="VJN28" s="1266"/>
      <c r="VJO28" s="1266"/>
      <c r="VJP28" s="1266"/>
      <c r="VJQ28" s="1266"/>
      <c r="VJR28" s="1266"/>
      <c r="VJS28" s="1266"/>
      <c r="VJT28" s="1266"/>
      <c r="VJU28" s="1266"/>
      <c r="VJV28" s="1266"/>
      <c r="VJW28" s="1266"/>
      <c r="VJX28" s="1266"/>
      <c r="VJY28" s="1266"/>
      <c r="VJZ28" s="1266"/>
      <c r="VKA28" s="1266"/>
      <c r="VKB28" s="1266"/>
      <c r="VKC28" s="1266"/>
      <c r="VKD28" s="1266"/>
      <c r="VKE28" s="1266"/>
      <c r="VKF28" s="1266"/>
      <c r="VKG28" s="1266"/>
      <c r="VKH28" s="1266"/>
      <c r="VKI28" s="1266"/>
      <c r="VKJ28" s="1266"/>
      <c r="VKK28" s="1266"/>
      <c r="VKL28" s="1266"/>
      <c r="VKM28" s="1266"/>
      <c r="VKN28" s="1266"/>
      <c r="VKO28" s="1266"/>
      <c r="VKP28" s="1266"/>
      <c r="VKQ28" s="1266"/>
      <c r="VKR28" s="1266"/>
      <c r="VKS28" s="1266"/>
      <c r="VKT28" s="1266"/>
      <c r="VKU28" s="1266"/>
      <c r="VKV28" s="1266"/>
      <c r="VKW28" s="1266"/>
      <c r="VKX28" s="1266"/>
      <c r="VKY28" s="1266"/>
      <c r="VKZ28" s="1266"/>
      <c r="VLA28" s="1266"/>
      <c r="VLB28" s="1266"/>
      <c r="VLC28" s="1266"/>
      <c r="VLD28" s="1266"/>
      <c r="VLE28" s="1266"/>
      <c r="VLF28" s="1266"/>
      <c r="VLG28" s="1266"/>
      <c r="VLH28" s="1266"/>
      <c r="VLI28" s="1266"/>
      <c r="VLJ28" s="1266"/>
      <c r="VLK28" s="1266"/>
      <c r="VLL28" s="1266"/>
      <c r="VLM28" s="1266"/>
      <c r="VLN28" s="1266"/>
      <c r="VLO28" s="1266"/>
      <c r="VLP28" s="1266"/>
      <c r="VLQ28" s="1266"/>
      <c r="VLR28" s="1266"/>
      <c r="VLS28" s="1266"/>
      <c r="VLT28" s="1266"/>
      <c r="VLU28" s="1266"/>
      <c r="VLV28" s="1266"/>
      <c r="VLW28" s="1266"/>
      <c r="VLX28" s="1266"/>
      <c r="VLY28" s="1266"/>
      <c r="VLZ28" s="1266"/>
      <c r="VMA28" s="1266"/>
      <c r="VMB28" s="1266"/>
      <c r="VMC28" s="1266"/>
      <c r="VMD28" s="1266"/>
      <c r="VME28" s="1266"/>
      <c r="VMF28" s="1266"/>
      <c r="VMG28" s="1266"/>
      <c r="VMH28" s="1266"/>
      <c r="VMI28" s="1266"/>
      <c r="VMJ28" s="1266"/>
      <c r="VMK28" s="1266"/>
      <c r="VML28" s="1266"/>
      <c r="VMM28" s="1266"/>
      <c r="VMN28" s="1266"/>
      <c r="VMO28" s="1266"/>
      <c r="VMP28" s="1266"/>
      <c r="VMQ28" s="1266"/>
      <c r="VMR28" s="1266"/>
      <c r="VMS28" s="1266"/>
      <c r="VMT28" s="1266"/>
      <c r="VMU28" s="1266"/>
      <c r="VMV28" s="1266"/>
      <c r="VMW28" s="1266"/>
      <c r="VMX28" s="1266"/>
      <c r="VMY28" s="1266"/>
      <c r="VMZ28" s="1266"/>
      <c r="VNA28" s="1266"/>
      <c r="VNB28" s="1266"/>
      <c r="VNC28" s="1266"/>
      <c r="VND28" s="1266"/>
      <c r="VNE28" s="1266"/>
      <c r="VNF28" s="1266"/>
      <c r="VNG28" s="1266"/>
      <c r="VNH28" s="1266"/>
      <c r="VNI28" s="1266"/>
      <c r="VNJ28" s="1266"/>
      <c r="VNK28" s="1266"/>
      <c r="VNL28" s="1266"/>
      <c r="VNM28" s="1266"/>
      <c r="VNN28" s="1266"/>
      <c r="VNO28" s="1266"/>
      <c r="VNP28" s="1266"/>
      <c r="VNQ28" s="1266"/>
      <c r="VNR28" s="1266"/>
      <c r="VNS28" s="1266"/>
      <c r="VNT28" s="1266"/>
      <c r="VNU28" s="1266"/>
      <c r="VNV28" s="1266"/>
      <c r="VNW28" s="1266"/>
      <c r="VNX28" s="1266"/>
      <c r="VNY28" s="1266"/>
      <c r="VNZ28" s="1266"/>
      <c r="VOA28" s="1266"/>
      <c r="VOB28" s="1266"/>
      <c r="VOC28" s="1266"/>
      <c r="VOD28" s="1266"/>
      <c r="VOE28" s="1266"/>
      <c r="VOF28" s="1266"/>
      <c r="VOG28" s="1266"/>
      <c r="VOH28" s="1266"/>
      <c r="VOI28" s="1266"/>
      <c r="VOJ28" s="1266"/>
      <c r="VOK28" s="1266"/>
      <c r="VOL28" s="1266"/>
      <c r="VOM28" s="1266"/>
      <c r="VON28" s="1266"/>
      <c r="VOO28" s="1266"/>
      <c r="VOP28" s="1266"/>
      <c r="VOQ28" s="1266"/>
      <c r="VOR28" s="1266"/>
      <c r="VOS28" s="1266"/>
      <c r="VOT28" s="1266"/>
      <c r="VOU28" s="1266"/>
      <c r="VOV28" s="1266"/>
      <c r="VOW28" s="1266"/>
      <c r="VOX28" s="1266"/>
      <c r="VOY28" s="1266"/>
      <c r="VOZ28" s="1266"/>
      <c r="VPA28" s="1266"/>
      <c r="VPB28" s="1266"/>
      <c r="VPC28" s="1266"/>
      <c r="VPD28" s="1266"/>
      <c r="VPE28" s="1266"/>
      <c r="VPF28" s="1266"/>
      <c r="VPG28" s="1266"/>
      <c r="VPH28" s="1266"/>
      <c r="VPI28" s="1266"/>
      <c r="VPJ28" s="1266"/>
      <c r="VPK28" s="1266"/>
      <c r="VPL28" s="1266"/>
      <c r="VPM28" s="1266"/>
      <c r="VPN28" s="1266"/>
      <c r="VPO28" s="1266"/>
      <c r="VPP28" s="1266"/>
      <c r="VPQ28" s="1266"/>
      <c r="VPR28" s="1266"/>
      <c r="VPS28" s="1266"/>
      <c r="VPT28" s="1266"/>
      <c r="VPU28" s="1266"/>
      <c r="VPV28" s="1266"/>
      <c r="VPW28" s="1266"/>
      <c r="VPX28" s="1266"/>
      <c r="VPY28" s="1266"/>
      <c r="VPZ28" s="1266"/>
      <c r="VQA28" s="1266"/>
      <c r="VQB28" s="1266"/>
      <c r="VQC28" s="1266"/>
      <c r="VQD28" s="1266"/>
      <c r="VQE28" s="1266"/>
      <c r="VQF28" s="1266"/>
      <c r="VQG28" s="1266"/>
      <c r="VQH28" s="1266"/>
      <c r="VQI28" s="1266"/>
      <c r="VQJ28" s="1266"/>
      <c r="VQK28" s="1266"/>
      <c r="VQL28" s="1266"/>
      <c r="VQM28" s="1266"/>
      <c r="VQN28" s="1266"/>
      <c r="VQO28" s="1266"/>
      <c r="VQP28" s="1266"/>
      <c r="VQQ28" s="1266"/>
      <c r="VQR28" s="1266"/>
      <c r="VQS28" s="1266"/>
      <c r="VQT28" s="1266"/>
      <c r="VQU28" s="1266"/>
      <c r="VQV28" s="1266"/>
      <c r="VQW28" s="1266"/>
      <c r="VQX28" s="1266"/>
      <c r="VQY28" s="1266"/>
      <c r="VQZ28" s="1266"/>
      <c r="VRA28" s="1266"/>
      <c r="VRB28" s="1266"/>
      <c r="VRC28" s="1266"/>
      <c r="VRD28" s="1266"/>
      <c r="VRE28" s="1266"/>
      <c r="VRF28" s="1266"/>
      <c r="VRG28" s="1266"/>
      <c r="VRH28" s="1266"/>
      <c r="VRI28" s="1266"/>
      <c r="VRJ28" s="1266"/>
      <c r="VRK28" s="1266"/>
      <c r="VRL28" s="1266"/>
      <c r="VRM28" s="1266"/>
      <c r="VRN28" s="1266"/>
      <c r="VRO28" s="1266"/>
      <c r="VRP28" s="1266"/>
      <c r="VRQ28" s="1266"/>
      <c r="VRR28" s="1266"/>
      <c r="VRS28" s="1266"/>
      <c r="VRT28" s="1266"/>
      <c r="VRU28" s="1266"/>
      <c r="VRV28" s="1266"/>
      <c r="VRW28" s="1266"/>
      <c r="VRX28" s="1266"/>
      <c r="VRY28" s="1266"/>
      <c r="VRZ28" s="1266"/>
      <c r="VSA28" s="1266"/>
      <c r="VSB28" s="1266"/>
      <c r="VSC28" s="1266"/>
      <c r="VSD28" s="1266"/>
      <c r="VSE28" s="1266"/>
      <c r="VSF28" s="1266"/>
      <c r="VSG28" s="1266"/>
      <c r="VSH28" s="1266"/>
      <c r="VSI28" s="1266"/>
      <c r="VSJ28" s="1266"/>
      <c r="VSK28" s="1266"/>
      <c r="VSL28" s="1266"/>
      <c r="VSM28" s="1266"/>
      <c r="VSN28" s="1266"/>
      <c r="VSO28" s="1266"/>
      <c r="VSP28" s="1266"/>
      <c r="VSQ28" s="1266"/>
      <c r="VSR28" s="1266"/>
      <c r="VSS28" s="1266"/>
      <c r="VST28" s="1266"/>
      <c r="VSU28" s="1266"/>
      <c r="VSV28" s="1266"/>
      <c r="VSW28" s="1266"/>
      <c r="VSX28" s="1266"/>
      <c r="VSY28" s="1266"/>
      <c r="VSZ28" s="1266"/>
      <c r="VTA28" s="1266"/>
      <c r="VTB28" s="1266"/>
      <c r="VTC28" s="1266"/>
      <c r="VTD28" s="1266"/>
      <c r="VTE28" s="1266"/>
      <c r="VTF28" s="1266"/>
      <c r="VTG28" s="1266"/>
      <c r="VTH28" s="1266"/>
      <c r="VTI28" s="1266"/>
      <c r="VTJ28" s="1266"/>
      <c r="VTK28" s="1266"/>
      <c r="VTL28" s="1266"/>
      <c r="VTM28" s="1266"/>
      <c r="VTN28" s="1266"/>
      <c r="VTO28" s="1266"/>
      <c r="VTP28" s="1266"/>
      <c r="VTQ28" s="1266"/>
      <c r="VTR28" s="1266"/>
      <c r="VTS28" s="1266"/>
      <c r="VTT28" s="1266"/>
      <c r="VTU28" s="1266"/>
      <c r="VTV28" s="1266"/>
      <c r="VTW28" s="1266"/>
      <c r="VTX28" s="1266"/>
      <c r="VTY28" s="1266"/>
      <c r="VTZ28" s="1266"/>
      <c r="VUA28" s="1266"/>
      <c r="VUB28" s="1266"/>
      <c r="VUC28" s="1266"/>
      <c r="VUD28" s="1266"/>
      <c r="VUE28" s="1266"/>
      <c r="VUF28" s="1266"/>
      <c r="VUG28" s="1266"/>
      <c r="VUH28" s="1266"/>
      <c r="VUI28" s="1266"/>
      <c r="VUJ28" s="1266"/>
      <c r="VUK28" s="1266"/>
      <c r="VUL28" s="1266"/>
      <c r="VUM28" s="1266"/>
      <c r="VUN28" s="1266"/>
      <c r="VUO28" s="1266"/>
      <c r="VUP28" s="1266"/>
      <c r="VUQ28" s="1266"/>
      <c r="VUR28" s="1266"/>
      <c r="VUS28" s="1266"/>
      <c r="VUT28" s="1266"/>
      <c r="VUU28" s="1266"/>
      <c r="VUV28" s="1266"/>
      <c r="VUW28" s="1266"/>
      <c r="VUX28" s="1266"/>
      <c r="VUY28" s="1266"/>
      <c r="VUZ28" s="1266"/>
      <c r="VVA28" s="1266"/>
      <c r="VVB28" s="1266"/>
      <c r="VVC28" s="1266"/>
      <c r="VVD28" s="1266"/>
      <c r="VVE28" s="1266"/>
      <c r="VVF28" s="1266"/>
      <c r="VVG28" s="1266"/>
      <c r="VVH28" s="1266"/>
      <c r="VVI28" s="1266"/>
      <c r="VVJ28" s="1266"/>
      <c r="VVK28" s="1266"/>
      <c r="VVL28" s="1266"/>
      <c r="VVM28" s="1266"/>
      <c r="VVN28" s="1266"/>
      <c r="VVO28" s="1266"/>
      <c r="VVP28" s="1266"/>
      <c r="VVQ28" s="1266"/>
      <c r="VVR28" s="1266"/>
      <c r="VVS28" s="1266"/>
      <c r="VVT28" s="1266"/>
      <c r="VVU28" s="1266"/>
      <c r="VVV28" s="1266"/>
      <c r="VVW28" s="1266"/>
      <c r="VVX28" s="1266"/>
      <c r="VVY28" s="1266"/>
      <c r="VVZ28" s="1266"/>
      <c r="VWA28" s="1266"/>
      <c r="VWB28" s="1266"/>
      <c r="VWC28" s="1266"/>
      <c r="VWD28" s="1266"/>
      <c r="VWE28" s="1266"/>
      <c r="VWF28" s="1266"/>
      <c r="VWG28" s="1266"/>
      <c r="VWH28" s="1266"/>
      <c r="VWI28" s="1266"/>
      <c r="VWJ28" s="1266"/>
      <c r="VWK28" s="1266"/>
      <c r="VWL28" s="1266"/>
      <c r="VWM28" s="1266"/>
      <c r="VWN28" s="1266"/>
      <c r="VWO28" s="1266"/>
      <c r="VWP28" s="1266"/>
      <c r="VWQ28" s="1266"/>
      <c r="VWR28" s="1266"/>
      <c r="VWS28" s="1266"/>
      <c r="VWT28" s="1266"/>
      <c r="VWU28" s="1266"/>
      <c r="VWV28" s="1266"/>
      <c r="VWW28" s="1266"/>
      <c r="VWX28" s="1266"/>
      <c r="VWY28" s="1266"/>
      <c r="VWZ28" s="1266"/>
      <c r="VXA28" s="1266"/>
      <c r="VXB28" s="1266"/>
      <c r="VXC28" s="1266"/>
      <c r="VXD28" s="1266"/>
      <c r="VXE28" s="1266"/>
      <c r="VXF28" s="1266"/>
      <c r="VXG28" s="1266"/>
      <c r="VXH28" s="1266"/>
      <c r="VXI28" s="1266"/>
      <c r="VXJ28" s="1266"/>
      <c r="VXK28" s="1266"/>
      <c r="VXL28" s="1266"/>
      <c r="VXM28" s="1266"/>
      <c r="VXN28" s="1266"/>
      <c r="VXO28" s="1266"/>
      <c r="VXP28" s="1266"/>
      <c r="VXQ28" s="1266"/>
      <c r="VXR28" s="1266"/>
      <c r="VXS28" s="1266"/>
      <c r="VXT28" s="1266"/>
      <c r="VXU28" s="1266"/>
      <c r="VXV28" s="1266"/>
      <c r="VXW28" s="1266"/>
      <c r="VXX28" s="1266"/>
      <c r="VXY28" s="1266"/>
      <c r="VXZ28" s="1266"/>
      <c r="VYA28" s="1266"/>
      <c r="VYB28" s="1266"/>
      <c r="VYC28" s="1266"/>
      <c r="VYD28" s="1266"/>
      <c r="VYE28" s="1266"/>
      <c r="VYF28" s="1266"/>
      <c r="VYG28" s="1266"/>
      <c r="VYH28" s="1266"/>
      <c r="VYI28" s="1266"/>
      <c r="VYJ28" s="1266"/>
      <c r="VYK28" s="1266"/>
      <c r="VYL28" s="1266"/>
      <c r="VYM28" s="1266"/>
      <c r="VYN28" s="1266"/>
      <c r="VYO28" s="1266"/>
      <c r="VYP28" s="1266"/>
      <c r="VYQ28" s="1266"/>
      <c r="VYR28" s="1266"/>
      <c r="VYS28" s="1266"/>
      <c r="VYT28" s="1266"/>
      <c r="VYU28" s="1266"/>
      <c r="VYV28" s="1266"/>
      <c r="VYW28" s="1266"/>
      <c r="VYX28" s="1266"/>
      <c r="VYY28" s="1266"/>
      <c r="VYZ28" s="1266"/>
      <c r="VZA28" s="1266"/>
      <c r="VZB28" s="1266"/>
      <c r="VZC28" s="1266"/>
      <c r="VZD28" s="1266"/>
      <c r="VZE28" s="1266"/>
      <c r="VZF28" s="1266"/>
      <c r="VZG28" s="1266"/>
      <c r="VZH28" s="1266"/>
      <c r="VZI28" s="1266"/>
      <c r="VZJ28" s="1266"/>
      <c r="VZK28" s="1266"/>
      <c r="VZL28" s="1266"/>
      <c r="VZM28" s="1266"/>
      <c r="VZN28" s="1266"/>
      <c r="VZO28" s="1266"/>
      <c r="VZP28" s="1266"/>
      <c r="VZQ28" s="1266"/>
      <c r="VZR28" s="1266"/>
      <c r="VZS28" s="1266"/>
      <c r="VZT28" s="1266"/>
      <c r="VZU28" s="1266"/>
      <c r="VZV28" s="1266"/>
      <c r="VZW28" s="1266"/>
      <c r="VZX28" s="1266"/>
      <c r="VZY28" s="1266"/>
      <c r="VZZ28" s="1266"/>
      <c r="WAA28" s="1266"/>
      <c r="WAB28" s="1266"/>
      <c r="WAC28" s="1266"/>
      <c r="WAD28" s="1266"/>
      <c r="WAE28" s="1266"/>
      <c r="WAF28" s="1266"/>
      <c r="WAG28" s="1266"/>
      <c r="WAH28" s="1266"/>
      <c r="WAI28" s="1266"/>
      <c r="WAJ28" s="1266"/>
      <c r="WAK28" s="1266"/>
      <c r="WAL28" s="1266"/>
      <c r="WAM28" s="1266"/>
      <c r="WAN28" s="1266"/>
      <c r="WAO28" s="1266"/>
      <c r="WAP28" s="1266"/>
      <c r="WAQ28" s="1266"/>
      <c r="WAR28" s="1266"/>
      <c r="WAS28" s="1266"/>
      <c r="WAT28" s="1266"/>
      <c r="WAU28" s="1266"/>
      <c r="WAV28" s="1266"/>
      <c r="WAW28" s="1266"/>
      <c r="WAX28" s="1266"/>
      <c r="WAY28" s="1266"/>
      <c r="WAZ28" s="1266"/>
      <c r="WBA28" s="1266"/>
      <c r="WBB28" s="1266"/>
      <c r="WBC28" s="1266"/>
      <c r="WBD28" s="1266"/>
      <c r="WBE28" s="1266"/>
      <c r="WBF28" s="1266"/>
      <c r="WBG28" s="1266"/>
      <c r="WBH28" s="1266"/>
      <c r="WBI28" s="1266"/>
      <c r="WBJ28" s="1266"/>
      <c r="WBK28" s="1266"/>
      <c r="WBL28" s="1266"/>
      <c r="WBM28" s="1266"/>
      <c r="WBN28" s="1266"/>
      <c r="WBO28" s="1266"/>
      <c r="WBP28" s="1266"/>
      <c r="WBQ28" s="1266"/>
      <c r="WBR28" s="1266"/>
      <c r="WBS28" s="1266"/>
      <c r="WBT28" s="1266"/>
      <c r="WBU28" s="1266"/>
      <c r="WBV28" s="1266"/>
      <c r="WBW28" s="1266"/>
      <c r="WBX28" s="1266"/>
      <c r="WBY28" s="1266"/>
      <c r="WBZ28" s="1266"/>
      <c r="WCA28" s="1266"/>
      <c r="WCB28" s="1266"/>
      <c r="WCC28" s="1266"/>
      <c r="WCD28" s="1266"/>
      <c r="WCE28" s="1266"/>
      <c r="WCF28" s="1266"/>
      <c r="WCG28" s="1266"/>
      <c r="WCH28" s="1266"/>
      <c r="WCI28" s="1266"/>
      <c r="WCJ28" s="1266"/>
      <c r="WCK28" s="1266"/>
      <c r="WCL28" s="1266"/>
      <c r="WCM28" s="1266"/>
      <c r="WCN28" s="1266"/>
      <c r="WCO28" s="1266"/>
      <c r="WCP28" s="1266"/>
      <c r="WCQ28" s="1266"/>
      <c r="WCR28" s="1266"/>
      <c r="WCS28" s="1266"/>
      <c r="WCT28" s="1266"/>
      <c r="WCU28" s="1266"/>
      <c r="WCV28" s="1266"/>
      <c r="WCW28" s="1266"/>
      <c r="WCX28" s="1266"/>
      <c r="WCY28" s="1266"/>
      <c r="WCZ28" s="1266"/>
      <c r="WDA28" s="1266"/>
      <c r="WDB28" s="1266"/>
      <c r="WDC28" s="1266"/>
      <c r="WDD28" s="1266"/>
      <c r="WDE28" s="1266"/>
      <c r="WDF28" s="1266"/>
      <c r="WDG28" s="1266"/>
      <c r="WDH28" s="1266"/>
      <c r="WDI28" s="1266"/>
      <c r="WDJ28" s="1266"/>
      <c r="WDK28" s="1266"/>
      <c r="WDL28" s="1266"/>
      <c r="WDM28" s="1266"/>
      <c r="WDN28" s="1266"/>
      <c r="WDO28" s="1266"/>
      <c r="WDP28" s="1266"/>
      <c r="WDQ28" s="1266"/>
      <c r="WDR28" s="1266"/>
      <c r="WDS28" s="1266"/>
      <c r="WDT28" s="1266"/>
      <c r="WDU28" s="1266"/>
      <c r="WDV28" s="1266"/>
      <c r="WDW28" s="1266"/>
      <c r="WDX28" s="1266"/>
      <c r="WDY28" s="1266"/>
      <c r="WDZ28" s="1266"/>
      <c r="WEA28" s="1266"/>
      <c r="WEB28" s="1266"/>
      <c r="WEC28" s="1266"/>
      <c r="WED28" s="1266"/>
      <c r="WEE28" s="1266"/>
      <c r="WEF28" s="1266"/>
      <c r="WEG28" s="1266"/>
      <c r="WEH28" s="1266"/>
      <c r="WEI28" s="1266"/>
      <c r="WEJ28" s="1266"/>
      <c r="WEK28" s="1266"/>
      <c r="WEL28" s="1266"/>
      <c r="WEM28" s="1266"/>
      <c r="WEN28" s="1266"/>
      <c r="WEO28" s="1266"/>
      <c r="WEP28" s="1266"/>
      <c r="WEQ28" s="1266"/>
      <c r="WER28" s="1266"/>
      <c r="WES28" s="1266"/>
      <c r="WET28" s="1266"/>
      <c r="WEU28" s="1266"/>
      <c r="WEV28" s="1266"/>
      <c r="WEW28" s="1266"/>
      <c r="WEX28" s="1266"/>
      <c r="WEY28" s="1266"/>
      <c r="WEZ28" s="1266"/>
      <c r="WFA28" s="1266"/>
      <c r="WFB28" s="1266"/>
      <c r="WFC28" s="1266"/>
      <c r="WFD28" s="1266"/>
      <c r="WFE28" s="1266"/>
      <c r="WFF28" s="1266"/>
      <c r="WFG28" s="1266"/>
      <c r="WFH28" s="1266"/>
      <c r="WFI28" s="1266"/>
      <c r="WFJ28" s="1266"/>
      <c r="WFK28" s="1266"/>
      <c r="WFL28" s="1266"/>
      <c r="WFM28" s="1266"/>
      <c r="WFN28" s="1266"/>
      <c r="WFO28" s="1266"/>
      <c r="WFP28" s="1266"/>
      <c r="WFQ28" s="1266"/>
      <c r="WFR28" s="1266"/>
      <c r="WFS28" s="1266"/>
      <c r="WFT28" s="1266"/>
      <c r="WFU28" s="1266"/>
      <c r="WFV28" s="1266"/>
      <c r="WFW28" s="1266"/>
      <c r="WFX28" s="1266"/>
      <c r="WFY28" s="1266"/>
      <c r="WFZ28" s="1266"/>
      <c r="WGA28" s="1266"/>
      <c r="WGB28" s="1266"/>
      <c r="WGC28" s="1266"/>
      <c r="WGD28" s="1266"/>
      <c r="WGE28" s="1266"/>
      <c r="WGF28" s="1266"/>
      <c r="WGG28" s="1266"/>
      <c r="WGH28" s="1266"/>
      <c r="WGI28" s="1266"/>
      <c r="WGJ28" s="1266"/>
      <c r="WGK28" s="1266"/>
      <c r="WGL28" s="1266"/>
      <c r="WGM28" s="1266"/>
      <c r="WGN28" s="1266"/>
      <c r="WGO28" s="1266"/>
      <c r="WGP28" s="1266"/>
      <c r="WGQ28" s="1266"/>
      <c r="WGR28" s="1266"/>
      <c r="WGS28" s="1266"/>
      <c r="WGT28" s="1266"/>
      <c r="WGU28" s="1266"/>
      <c r="WGV28" s="1266"/>
      <c r="WGW28" s="1266"/>
      <c r="WGX28" s="1266"/>
      <c r="WGY28" s="1266"/>
      <c r="WGZ28" s="1266"/>
      <c r="WHA28" s="1266"/>
      <c r="WHB28" s="1266"/>
      <c r="WHC28" s="1266"/>
      <c r="WHD28" s="1266"/>
      <c r="WHE28" s="1266"/>
      <c r="WHF28" s="1266"/>
      <c r="WHG28" s="1266"/>
      <c r="WHH28" s="1266"/>
      <c r="WHI28" s="1266"/>
      <c r="WHJ28" s="1266"/>
      <c r="WHK28" s="1266"/>
      <c r="WHL28" s="1266"/>
      <c r="WHM28" s="1266"/>
      <c r="WHN28" s="1266"/>
      <c r="WHO28" s="1266"/>
      <c r="WHP28" s="1266"/>
      <c r="WHQ28" s="1266"/>
      <c r="WHR28" s="1266"/>
      <c r="WHS28" s="1266"/>
      <c r="WHT28" s="1266"/>
      <c r="WHU28" s="1266"/>
      <c r="WHV28" s="1266"/>
      <c r="WHW28" s="1266"/>
      <c r="WHX28" s="1266"/>
      <c r="WHY28" s="1266"/>
      <c r="WHZ28" s="1266"/>
      <c r="WIA28" s="1266"/>
      <c r="WIB28" s="1266"/>
      <c r="WIC28" s="1266"/>
      <c r="WID28" s="1266"/>
      <c r="WIE28" s="1266"/>
      <c r="WIF28" s="1266"/>
      <c r="WIG28" s="1266"/>
      <c r="WIH28" s="1266"/>
      <c r="WII28" s="1266"/>
      <c r="WIJ28" s="1266"/>
      <c r="WIK28" s="1266"/>
      <c r="WIL28" s="1266"/>
      <c r="WIM28" s="1266"/>
      <c r="WIN28" s="1266"/>
      <c r="WIO28" s="1266"/>
      <c r="WIP28" s="1266"/>
      <c r="WIQ28" s="1266"/>
      <c r="WIR28" s="1266"/>
      <c r="WIS28" s="1266"/>
      <c r="WIT28" s="1266"/>
      <c r="WIU28" s="1266"/>
      <c r="WIV28" s="1266"/>
      <c r="WIW28" s="1266"/>
      <c r="WIX28" s="1266"/>
      <c r="WIY28" s="1266"/>
      <c r="WIZ28" s="1266"/>
      <c r="WJA28" s="1266"/>
      <c r="WJB28" s="1266"/>
      <c r="WJC28" s="1266"/>
      <c r="WJD28" s="1266"/>
      <c r="WJE28" s="1266"/>
      <c r="WJF28" s="1266"/>
      <c r="WJG28" s="1266"/>
      <c r="WJH28" s="1266"/>
      <c r="WJI28" s="1266"/>
      <c r="WJJ28" s="1266"/>
      <c r="WJK28" s="1266"/>
      <c r="WJL28" s="1266"/>
      <c r="WJM28" s="1266"/>
      <c r="WJN28" s="1266"/>
      <c r="WJO28" s="1266"/>
      <c r="WJP28" s="1266"/>
      <c r="WJQ28" s="1266"/>
      <c r="WJR28" s="1266"/>
      <c r="WJS28" s="1266"/>
      <c r="WJT28" s="1266"/>
      <c r="WJU28" s="1266"/>
      <c r="WJV28" s="1266"/>
      <c r="WJW28" s="1266"/>
      <c r="WJX28" s="1266"/>
      <c r="WJY28" s="1266"/>
      <c r="WJZ28" s="1266"/>
      <c r="WKA28" s="1266"/>
      <c r="WKB28" s="1266"/>
      <c r="WKC28" s="1266"/>
      <c r="WKD28" s="1266"/>
      <c r="WKE28" s="1266"/>
      <c r="WKF28" s="1266"/>
      <c r="WKG28" s="1266"/>
      <c r="WKH28" s="1266"/>
      <c r="WKI28" s="1266"/>
      <c r="WKJ28" s="1266"/>
      <c r="WKK28" s="1266"/>
      <c r="WKL28" s="1266"/>
      <c r="WKM28" s="1266"/>
      <c r="WKN28" s="1266"/>
      <c r="WKO28" s="1266"/>
      <c r="WKP28" s="1266"/>
      <c r="WKQ28" s="1266"/>
      <c r="WKR28" s="1266"/>
      <c r="WKS28" s="1266"/>
      <c r="WKT28" s="1266"/>
      <c r="WKU28" s="1266"/>
      <c r="WKV28" s="1266"/>
      <c r="WKW28" s="1266"/>
      <c r="WKX28" s="1266"/>
      <c r="WKY28" s="1266"/>
      <c r="WKZ28" s="1266"/>
      <c r="WLA28" s="1266"/>
      <c r="WLB28" s="1266"/>
      <c r="WLC28" s="1266"/>
      <c r="WLD28" s="1266"/>
      <c r="WLE28" s="1266"/>
      <c r="WLF28" s="1266"/>
      <c r="WLG28" s="1266"/>
      <c r="WLH28" s="1266"/>
      <c r="WLI28" s="1266"/>
      <c r="WLJ28" s="1266"/>
      <c r="WLK28" s="1266"/>
      <c r="WLL28" s="1266"/>
      <c r="WLM28" s="1266"/>
      <c r="WLN28" s="1266"/>
      <c r="WLO28" s="1266"/>
      <c r="WLP28" s="1266"/>
      <c r="WLQ28" s="1266"/>
      <c r="WLR28" s="1266"/>
      <c r="WLS28" s="1266"/>
      <c r="WLT28" s="1266"/>
      <c r="WLU28" s="1266"/>
      <c r="WLV28" s="1266"/>
      <c r="WLW28" s="1266"/>
      <c r="WLX28" s="1266"/>
      <c r="WLY28" s="1266"/>
      <c r="WLZ28" s="1266"/>
      <c r="WMA28" s="1266"/>
      <c r="WMB28" s="1266"/>
      <c r="WMC28" s="1266"/>
      <c r="WMD28" s="1266"/>
      <c r="WME28" s="1266"/>
      <c r="WMF28" s="1266"/>
      <c r="WMG28" s="1266"/>
      <c r="WMH28" s="1266"/>
      <c r="WMI28" s="1266"/>
      <c r="WMJ28" s="1266"/>
      <c r="WMK28" s="1266"/>
      <c r="WML28" s="1266"/>
      <c r="WMM28" s="1266"/>
      <c r="WMN28" s="1266"/>
      <c r="WMO28" s="1266"/>
      <c r="WMP28" s="1266"/>
      <c r="WMQ28" s="1266"/>
      <c r="WMR28" s="1266"/>
      <c r="WMS28" s="1266"/>
      <c r="WMT28" s="1266"/>
      <c r="WMU28" s="1266"/>
      <c r="WMV28" s="1266"/>
      <c r="WMW28" s="1266"/>
      <c r="WMX28" s="1266"/>
      <c r="WMY28" s="1266"/>
      <c r="WMZ28" s="1266"/>
      <c r="WNA28" s="1266"/>
      <c r="WNB28" s="1266"/>
      <c r="WNC28" s="1266"/>
      <c r="WND28" s="1266"/>
      <c r="WNE28" s="1266"/>
      <c r="WNF28" s="1266"/>
      <c r="WNG28" s="1266"/>
      <c r="WNH28" s="1266"/>
      <c r="WNI28" s="1266"/>
      <c r="WNJ28" s="1266"/>
      <c r="WNK28" s="1266"/>
      <c r="WNL28" s="1266"/>
      <c r="WNM28" s="1266"/>
      <c r="WNN28" s="1266"/>
      <c r="WNO28" s="1266"/>
      <c r="WNP28" s="1266"/>
      <c r="WNQ28" s="1266"/>
      <c r="WNR28" s="1266"/>
      <c r="WNS28" s="1266"/>
      <c r="WNT28" s="1266"/>
      <c r="WNU28" s="1266"/>
      <c r="WNV28" s="1266"/>
      <c r="WNW28" s="1266"/>
      <c r="WNX28" s="1266"/>
      <c r="WNY28" s="1266"/>
      <c r="WNZ28" s="1266"/>
      <c r="WOA28" s="1266"/>
      <c r="WOB28" s="1266"/>
      <c r="WOC28" s="1266"/>
      <c r="WOD28" s="1266"/>
      <c r="WOE28" s="1266"/>
      <c r="WOF28" s="1266"/>
      <c r="WOG28" s="1266"/>
      <c r="WOH28" s="1266"/>
      <c r="WOI28" s="1266"/>
      <c r="WOJ28" s="1266"/>
      <c r="WOK28" s="1266"/>
      <c r="WOL28" s="1266"/>
      <c r="WOM28" s="1266"/>
      <c r="WON28" s="1266"/>
      <c r="WOO28" s="1266"/>
      <c r="WOP28" s="1266"/>
      <c r="WOQ28" s="1266"/>
      <c r="WOR28" s="1266"/>
      <c r="WOS28" s="1266"/>
      <c r="WOT28" s="1266"/>
      <c r="WOU28" s="1266"/>
      <c r="WOV28" s="1266"/>
      <c r="WOW28" s="1266"/>
      <c r="WOX28" s="1266"/>
      <c r="WOY28" s="1266"/>
      <c r="WOZ28" s="1266"/>
      <c r="WPA28" s="1266"/>
      <c r="WPB28" s="1266"/>
      <c r="WPC28" s="1266"/>
      <c r="WPD28" s="1266"/>
      <c r="WPE28" s="1266"/>
      <c r="WPF28" s="1266"/>
      <c r="WPG28" s="1266"/>
      <c r="WPH28" s="1266"/>
      <c r="WPI28" s="1266"/>
      <c r="WPJ28" s="1266"/>
      <c r="WPK28" s="1266"/>
      <c r="WPL28" s="1266"/>
      <c r="WPM28" s="1266"/>
      <c r="WPN28" s="1266"/>
      <c r="WPO28" s="1266"/>
      <c r="WPP28" s="1266"/>
      <c r="WPQ28" s="1266"/>
      <c r="WPR28" s="1266"/>
      <c r="WPS28" s="1266"/>
      <c r="WPT28" s="1266"/>
      <c r="WPU28" s="1266"/>
      <c r="WPV28" s="1266"/>
      <c r="WPW28" s="1266"/>
      <c r="WPX28" s="1266"/>
      <c r="WPY28" s="1266"/>
      <c r="WPZ28" s="1266"/>
      <c r="WQA28" s="1266"/>
      <c r="WQB28" s="1266"/>
      <c r="WQC28" s="1266"/>
      <c r="WQD28" s="1266"/>
      <c r="WQE28" s="1266"/>
      <c r="WQF28" s="1266"/>
      <c r="WQG28" s="1266"/>
      <c r="WQH28" s="1266"/>
      <c r="WQI28" s="1266"/>
      <c r="WQJ28" s="1266"/>
      <c r="WQK28" s="1266"/>
      <c r="WQL28" s="1266"/>
      <c r="WQM28" s="1266"/>
      <c r="WQN28" s="1266"/>
      <c r="WQO28" s="1266"/>
      <c r="WQP28" s="1266"/>
      <c r="WQQ28" s="1266"/>
      <c r="WQR28" s="1266"/>
      <c r="WQS28" s="1266"/>
      <c r="WQT28" s="1266"/>
      <c r="WQU28" s="1266"/>
      <c r="WQV28" s="1266"/>
      <c r="WQW28" s="1266"/>
      <c r="WQX28" s="1266"/>
      <c r="WQY28" s="1266"/>
      <c r="WQZ28" s="1266"/>
      <c r="WRA28" s="1266"/>
      <c r="WRB28" s="1266"/>
      <c r="WRC28" s="1266"/>
      <c r="WRD28" s="1266"/>
      <c r="WRE28" s="1266"/>
      <c r="WRF28" s="1266"/>
      <c r="WRG28" s="1266"/>
      <c r="WRH28" s="1266"/>
      <c r="WRI28" s="1266"/>
      <c r="WRJ28" s="1266"/>
      <c r="WRK28" s="1266"/>
      <c r="WRL28" s="1266"/>
      <c r="WRM28" s="1266"/>
      <c r="WRN28" s="1266"/>
      <c r="WRO28" s="1266"/>
      <c r="WRP28" s="1266"/>
      <c r="WRQ28" s="1266"/>
      <c r="WRR28" s="1266"/>
      <c r="WRS28" s="1266"/>
      <c r="WRT28" s="1266"/>
      <c r="WRU28" s="1266"/>
      <c r="WRV28" s="1266"/>
      <c r="WRW28" s="1266"/>
      <c r="WRX28" s="1266"/>
      <c r="WRY28" s="1266"/>
      <c r="WRZ28" s="1266"/>
      <c r="WSA28" s="1266"/>
      <c r="WSB28" s="1266"/>
      <c r="WSC28" s="1266"/>
      <c r="WSD28" s="1266"/>
      <c r="WSE28" s="1266"/>
      <c r="WSF28" s="1266"/>
      <c r="WSG28" s="1266"/>
      <c r="WSH28" s="1266"/>
      <c r="WSI28" s="1266"/>
      <c r="WSJ28" s="1266"/>
      <c r="WSK28" s="1266"/>
      <c r="WSL28" s="1266"/>
      <c r="WSM28" s="1266"/>
      <c r="WSN28" s="1266"/>
      <c r="WSO28" s="1266"/>
      <c r="WSP28" s="1266"/>
      <c r="WSQ28" s="1266"/>
      <c r="WSR28" s="1266"/>
      <c r="WSS28" s="1266"/>
      <c r="WST28" s="1266"/>
      <c r="WSU28" s="1266"/>
      <c r="WSV28" s="1266"/>
      <c r="WSW28" s="1266"/>
      <c r="WSX28" s="1266"/>
      <c r="WSY28" s="1266"/>
      <c r="WSZ28" s="1266"/>
      <c r="WTA28" s="1266"/>
      <c r="WTB28" s="1266"/>
      <c r="WTC28" s="1266"/>
      <c r="WTD28" s="1266"/>
      <c r="WTE28" s="1266"/>
      <c r="WTF28" s="1266"/>
      <c r="WTG28" s="1266"/>
      <c r="WTH28" s="1266"/>
      <c r="WTI28" s="1266"/>
      <c r="WTJ28" s="1266"/>
      <c r="WTK28" s="1266"/>
      <c r="WTL28" s="1266"/>
      <c r="WTM28" s="1266"/>
      <c r="WTN28" s="1266"/>
      <c r="WTO28" s="1266"/>
      <c r="WTP28" s="1266"/>
      <c r="WTQ28" s="1266"/>
      <c r="WTR28" s="1266"/>
      <c r="WTS28" s="1266"/>
      <c r="WTT28" s="1266"/>
      <c r="WTU28" s="1266"/>
      <c r="WTV28" s="1266"/>
      <c r="WTW28" s="1266"/>
      <c r="WTX28" s="1266"/>
      <c r="WTY28" s="1266"/>
      <c r="WTZ28" s="1266"/>
      <c r="WUA28" s="1266"/>
      <c r="WUB28" s="1266"/>
      <c r="WUC28" s="1266"/>
      <c r="WUD28" s="1266"/>
      <c r="WUE28" s="1266"/>
      <c r="WUF28" s="1266"/>
      <c r="WUG28" s="1266"/>
      <c r="WUH28" s="1266"/>
      <c r="WUI28" s="1266"/>
      <c r="WUJ28" s="1266"/>
      <c r="WUK28" s="1266"/>
      <c r="WUL28" s="1266"/>
      <c r="WUM28" s="1266"/>
      <c r="WUN28" s="1266"/>
      <c r="WUO28" s="1266"/>
      <c r="WUP28" s="1266"/>
      <c r="WUQ28" s="1266"/>
      <c r="WUR28" s="1266"/>
      <c r="WUS28" s="1266"/>
      <c r="WUT28" s="1266"/>
      <c r="WUU28" s="1266"/>
      <c r="WUV28" s="1266"/>
      <c r="WUW28" s="1266"/>
      <c r="WUX28" s="1266"/>
      <c r="WUY28" s="1266"/>
      <c r="WUZ28" s="1266"/>
      <c r="WVA28" s="1266"/>
      <c r="WVB28" s="1266"/>
      <c r="WVC28" s="1266"/>
      <c r="WVD28" s="1266"/>
      <c r="WVE28" s="1266"/>
      <c r="WVF28" s="1266"/>
      <c r="WVG28" s="1266"/>
      <c r="WVH28" s="1266"/>
      <c r="WVI28" s="1266"/>
      <c r="WVJ28" s="1266"/>
      <c r="WVK28" s="1266"/>
      <c r="WVL28" s="1266"/>
      <c r="WVM28" s="1266"/>
      <c r="WVN28" s="1266"/>
      <c r="WVO28" s="1266"/>
      <c r="WVP28" s="1266"/>
      <c r="WVQ28" s="1266"/>
      <c r="WVR28" s="1266"/>
      <c r="WVS28" s="1266"/>
      <c r="WVT28" s="1266"/>
      <c r="WVU28" s="1266"/>
      <c r="WVV28" s="1266"/>
      <c r="WVW28" s="1266"/>
      <c r="WVX28" s="1266"/>
      <c r="WVY28" s="1266"/>
      <c r="WVZ28" s="1266"/>
      <c r="WWA28" s="1266"/>
      <c r="WWB28" s="1266"/>
      <c r="WWC28" s="1266"/>
      <c r="WWD28" s="1266"/>
      <c r="WWE28" s="1266"/>
      <c r="WWF28" s="1266"/>
      <c r="WWG28" s="1266"/>
      <c r="WWH28" s="1266"/>
      <c r="WWI28" s="1266"/>
      <c r="WWJ28" s="1266"/>
      <c r="WWK28" s="1266"/>
      <c r="WWL28" s="1266"/>
      <c r="WWM28" s="1266"/>
      <c r="WWN28" s="1266"/>
      <c r="WWO28" s="1266"/>
      <c r="WWP28" s="1266"/>
      <c r="WWQ28" s="1266"/>
      <c r="WWR28" s="1266"/>
      <c r="WWS28" s="1266"/>
      <c r="WWT28" s="1266"/>
      <c r="WWU28" s="1266"/>
      <c r="WWV28" s="1266"/>
      <c r="WWW28" s="1266"/>
      <c r="WWX28" s="1266"/>
      <c r="WWY28" s="1266"/>
      <c r="WWZ28" s="1266"/>
      <c r="WXA28" s="1266"/>
      <c r="WXB28" s="1266"/>
      <c r="WXC28" s="1266"/>
      <c r="WXD28" s="1266"/>
      <c r="WXE28" s="1266"/>
      <c r="WXF28" s="1266"/>
      <c r="WXG28" s="1266"/>
      <c r="WXH28" s="1266"/>
      <c r="WXI28" s="1266"/>
      <c r="WXJ28" s="1266"/>
      <c r="WXK28" s="1266"/>
      <c r="WXL28" s="1266"/>
      <c r="WXM28" s="1266"/>
      <c r="WXN28" s="1266"/>
      <c r="WXO28" s="1266"/>
      <c r="WXP28" s="1266"/>
      <c r="WXQ28" s="1266"/>
      <c r="WXR28" s="1266"/>
      <c r="WXS28" s="1266"/>
      <c r="WXT28" s="1266"/>
      <c r="WXU28" s="1266"/>
      <c r="WXV28" s="1266"/>
      <c r="WXW28" s="1266"/>
      <c r="WXX28" s="1266"/>
      <c r="WXY28" s="1266"/>
      <c r="WXZ28" s="1266"/>
      <c r="WYA28" s="1266"/>
      <c r="WYB28" s="1266"/>
      <c r="WYC28" s="1266"/>
      <c r="WYD28" s="1266"/>
      <c r="WYE28" s="1266"/>
      <c r="WYF28" s="1266"/>
      <c r="WYG28" s="1266"/>
      <c r="WYH28" s="1266"/>
      <c r="WYI28" s="1266"/>
      <c r="WYJ28" s="1266"/>
      <c r="WYK28" s="1266"/>
      <c r="WYL28" s="1266"/>
      <c r="WYM28" s="1266"/>
      <c r="WYN28" s="1266"/>
      <c r="WYO28" s="1266"/>
      <c r="WYP28" s="1266"/>
      <c r="WYQ28" s="1266"/>
      <c r="WYR28" s="1266"/>
      <c r="WYS28" s="1266"/>
      <c r="WYT28" s="1266"/>
      <c r="WYU28" s="1266"/>
      <c r="WYV28" s="1266"/>
      <c r="WYW28" s="1266"/>
      <c r="WYX28" s="1266"/>
      <c r="WYY28" s="1266"/>
      <c r="WYZ28" s="1266"/>
      <c r="WZA28" s="1266"/>
      <c r="WZB28" s="1266"/>
      <c r="WZC28" s="1266"/>
      <c r="WZD28" s="1266"/>
      <c r="WZE28" s="1266"/>
      <c r="WZF28" s="1266"/>
      <c r="WZG28" s="1266"/>
      <c r="WZH28" s="1266"/>
      <c r="WZI28" s="1266"/>
      <c r="WZJ28" s="1266"/>
      <c r="WZK28" s="1266"/>
      <c r="WZL28" s="1266"/>
      <c r="WZM28" s="1266"/>
      <c r="WZN28" s="1266"/>
      <c r="WZO28" s="1266"/>
      <c r="WZP28" s="1266"/>
      <c r="WZQ28" s="1266"/>
      <c r="WZR28" s="1266"/>
      <c r="WZS28" s="1266"/>
      <c r="WZT28" s="1266"/>
      <c r="WZU28" s="1266"/>
      <c r="WZV28" s="1266"/>
      <c r="WZW28" s="1266"/>
      <c r="WZX28" s="1266"/>
      <c r="WZY28" s="1266"/>
      <c r="WZZ28" s="1266"/>
      <c r="XAA28" s="1266"/>
      <c r="XAB28" s="1266"/>
      <c r="XAC28" s="1266"/>
      <c r="XAD28" s="1266"/>
      <c r="XAE28" s="1266"/>
      <c r="XAF28" s="1266"/>
      <c r="XAG28" s="1266"/>
      <c r="XAH28" s="1266"/>
      <c r="XAI28" s="1266"/>
      <c r="XAJ28" s="1266"/>
      <c r="XAK28" s="1266"/>
      <c r="XAL28" s="1266"/>
      <c r="XAM28" s="1266"/>
      <c r="XAN28" s="1266"/>
      <c r="XAO28" s="1266"/>
      <c r="XAP28" s="1266"/>
      <c r="XAQ28" s="1266"/>
      <c r="XAR28" s="1266"/>
      <c r="XAS28" s="1266"/>
      <c r="XAT28" s="1266"/>
      <c r="XAU28" s="1266"/>
      <c r="XAV28" s="1266"/>
      <c r="XAW28" s="1266"/>
      <c r="XAX28" s="1266"/>
      <c r="XAY28" s="1266"/>
      <c r="XAZ28" s="1266"/>
      <c r="XBA28" s="1266"/>
      <c r="XBB28" s="1266"/>
      <c r="XBC28" s="1266"/>
      <c r="XBD28" s="1266"/>
      <c r="XBE28" s="1266"/>
      <c r="XBF28" s="1266"/>
      <c r="XBG28" s="1266"/>
      <c r="XBH28" s="1266"/>
      <c r="XBI28" s="1266"/>
      <c r="XBJ28" s="1266"/>
      <c r="XBK28" s="1266"/>
      <c r="XBL28" s="1266"/>
      <c r="XBM28" s="1266"/>
      <c r="XBN28" s="1266"/>
      <c r="XBO28" s="1266"/>
      <c r="XBP28" s="1266"/>
      <c r="XBQ28" s="1266"/>
      <c r="XBR28" s="1266"/>
      <c r="XBS28" s="1266"/>
      <c r="XBT28" s="1266"/>
      <c r="XBU28" s="1266"/>
      <c r="XBV28" s="1266"/>
      <c r="XBW28" s="1266"/>
      <c r="XBX28" s="1266"/>
      <c r="XBY28" s="1266"/>
      <c r="XBZ28" s="1266"/>
      <c r="XCA28" s="1266"/>
      <c r="XCB28" s="1266"/>
      <c r="XCC28" s="1266"/>
      <c r="XCD28" s="1266"/>
      <c r="XCE28" s="1266"/>
      <c r="XCF28" s="1266"/>
      <c r="XCG28" s="1266"/>
      <c r="XCH28" s="1266"/>
      <c r="XCI28" s="1266"/>
      <c r="XCJ28" s="1266"/>
      <c r="XCK28" s="1266"/>
      <c r="XCL28" s="1266"/>
      <c r="XCM28" s="1266"/>
      <c r="XCN28" s="1266"/>
      <c r="XCO28" s="1266"/>
      <c r="XCP28" s="1266"/>
      <c r="XCQ28" s="1266"/>
      <c r="XCR28" s="1266"/>
      <c r="XCS28" s="1266"/>
      <c r="XCT28" s="1266"/>
      <c r="XCU28" s="1266"/>
      <c r="XCV28" s="1266"/>
      <c r="XCW28" s="1266"/>
      <c r="XCX28" s="1266"/>
      <c r="XCY28" s="1266"/>
      <c r="XCZ28" s="1266"/>
      <c r="XDA28" s="1266"/>
      <c r="XDB28" s="1266"/>
      <c r="XDC28" s="1266"/>
      <c r="XDD28" s="1266"/>
      <c r="XDE28" s="1266"/>
      <c r="XDF28" s="1266"/>
      <c r="XDG28" s="1266"/>
      <c r="XDH28" s="1266"/>
      <c r="XDI28" s="1266"/>
      <c r="XDJ28" s="1266"/>
      <c r="XDK28" s="1266"/>
      <c r="XDL28" s="1266"/>
      <c r="XDM28" s="1266"/>
      <c r="XDN28" s="1266"/>
      <c r="XDO28" s="1266"/>
      <c r="XDP28" s="1266"/>
      <c r="XDQ28" s="1266"/>
      <c r="XDR28" s="1266"/>
      <c r="XDS28" s="1266"/>
      <c r="XDT28" s="1266"/>
      <c r="XDU28" s="1266"/>
      <c r="XDV28" s="1266"/>
      <c r="XDW28" s="1266"/>
      <c r="XDX28" s="1266"/>
      <c r="XDY28" s="1266"/>
      <c r="XDZ28" s="1266"/>
      <c r="XEA28" s="1266"/>
      <c r="XEB28" s="1266"/>
      <c r="XEC28" s="1266"/>
      <c r="XED28" s="1266"/>
      <c r="XEE28" s="1266"/>
      <c r="XEF28" s="1266"/>
      <c r="XEG28" s="1266"/>
      <c r="XEH28" s="1266"/>
      <c r="XEI28" s="1266"/>
      <c r="XEJ28" s="1266"/>
      <c r="XEK28" s="1266"/>
      <c r="XEL28" s="1266"/>
      <c r="XEM28" s="1266"/>
      <c r="XEN28" s="1266"/>
      <c r="XEO28" s="1266"/>
      <c r="XEP28" s="1266"/>
      <c r="XEQ28" s="1266"/>
      <c r="XER28" s="1266"/>
      <c r="XES28" s="1266"/>
      <c r="XET28" s="1266"/>
      <c r="XEU28" s="1266"/>
      <c r="XEV28" s="1266"/>
      <c r="XEW28" s="1266"/>
      <c r="XEX28" s="1266"/>
      <c r="XEY28" s="1266"/>
      <c r="XEZ28" s="1266"/>
      <c r="XFA28" s="1266"/>
      <c r="XFB28" s="1266"/>
      <c r="XFC28" s="1266"/>
      <c r="XFD28" s="1266"/>
    </row>
    <row r="29" spans="1:16384" s="972" customFormat="1" ht="42.75" customHeight="1">
      <c r="A29" s="1267" t="s">
        <v>689</v>
      </c>
      <c r="B29" s="1267"/>
      <c r="C29" s="1268">
        <f>+cuadro!L8</f>
        <v>0</v>
      </c>
      <c r="D29" s="1268"/>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c r="CB29" s="1266"/>
      <c r="CC29" s="1266"/>
      <c r="CD29" s="1266"/>
      <c r="CE29" s="1266"/>
      <c r="CF29" s="1266"/>
      <c r="CG29" s="1266"/>
      <c r="CH29" s="1266"/>
      <c r="CI29" s="1266"/>
      <c r="CJ29" s="1266"/>
      <c r="CK29" s="1266"/>
      <c r="CL29" s="1266"/>
      <c r="CM29" s="1266"/>
      <c r="CN29" s="1266"/>
      <c r="CO29" s="1266"/>
      <c r="CP29" s="1266"/>
      <c r="CQ29" s="1266"/>
      <c r="CR29" s="1266"/>
      <c r="CS29" s="1266"/>
      <c r="CT29" s="1266"/>
      <c r="CU29" s="1266"/>
      <c r="CV29" s="1266"/>
      <c r="CW29" s="1266"/>
      <c r="CX29" s="1266"/>
      <c r="CY29" s="1266"/>
      <c r="CZ29" s="1266"/>
      <c r="DA29" s="1266"/>
      <c r="DB29" s="1266"/>
      <c r="DC29" s="1266"/>
      <c r="DD29" s="1266"/>
      <c r="DE29" s="1266"/>
      <c r="DF29" s="1266"/>
      <c r="DG29" s="1266"/>
      <c r="DH29" s="1266"/>
      <c r="DI29" s="1266"/>
      <c r="DJ29" s="1266"/>
      <c r="DK29" s="1266"/>
      <c r="DL29" s="1266"/>
      <c r="DM29" s="1266"/>
      <c r="DN29" s="1266"/>
      <c r="DO29" s="1266"/>
      <c r="DP29" s="1266"/>
      <c r="DQ29" s="1266"/>
      <c r="DR29" s="1266"/>
      <c r="DS29" s="1266"/>
      <c r="DT29" s="1266"/>
      <c r="DU29" s="1266"/>
      <c r="DV29" s="1266"/>
      <c r="DW29" s="1266"/>
      <c r="DX29" s="1266"/>
      <c r="DY29" s="1266"/>
      <c r="DZ29" s="1266"/>
      <c r="EA29" s="1266"/>
      <c r="EB29" s="1266"/>
      <c r="EC29" s="1266"/>
      <c r="ED29" s="1266"/>
      <c r="EE29" s="1266"/>
      <c r="EF29" s="1266"/>
      <c r="EG29" s="1266"/>
      <c r="EH29" s="1266"/>
      <c r="EI29" s="1266"/>
      <c r="EJ29" s="1266"/>
      <c r="EK29" s="1266"/>
      <c r="EL29" s="1266"/>
      <c r="EM29" s="1266"/>
      <c r="EN29" s="1266"/>
      <c r="EO29" s="1266"/>
      <c r="EP29" s="1266"/>
      <c r="EQ29" s="1266"/>
      <c r="ER29" s="1266"/>
      <c r="ES29" s="1266"/>
      <c r="ET29" s="1266"/>
      <c r="EU29" s="1266"/>
      <c r="EV29" s="1266"/>
      <c r="EW29" s="1266"/>
      <c r="EX29" s="1266"/>
      <c r="EY29" s="1266"/>
      <c r="EZ29" s="1266"/>
      <c r="FA29" s="1266"/>
      <c r="FB29" s="1266"/>
      <c r="FC29" s="1266"/>
      <c r="FD29" s="1266"/>
      <c r="FE29" s="1266"/>
      <c r="FF29" s="1266"/>
      <c r="FG29" s="1266"/>
      <c r="FH29" s="1266"/>
      <c r="FI29" s="1266"/>
      <c r="FJ29" s="1266"/>
      <c r="FK29" s="1266"/>
      <c r="FL29" s="1266"/>
      <c r="FM29" s="1266"/>
      <c r="FN29" s="1266"/>
      <c r="FO29" s="1266"/>
      <c r="FP29" s="1266"/>
      <c r="FQ29" s="1266"/>
      <c r="FR29" s="1266"/>
      <c r="FS29" s="1266"/>
      <c r="FT29" s="1266"/>
      <c r="FU29" s="1266"/>
      <c r="FV29" s="1266"/>
      <c r="FW29" s="1266"/>
      <c r="FX29" s="1266"/>
      <c r="FY29" s="1266"/>
      <c r="FZ29" s="1266"/>
      <c r="GA29" s="1266"/>
      <c r="GB29" s="1266"/>
      <c r="GC29" s="1266"/>
      <c r="GD29" s="1266"/>
      <c r="GE29" s="1266"/>
      <c r="GF29" s="1266"/>
      <c r="GG29" s="1266"/>
      <c r="GH29" s="1266"/>
      <c r="GI29" s="1266"/>
      <c r="GJ29" s="1266"/>
      <c r="GK29" s="1266"/>
      <c r="GL29" s="1266"/>
      <c r="GM29" s="1266"/>
      <c r="GN29" s="1266"/>
      <c r="GO29" s="1266"/>
      <c r="GP29" s="1266"/>
      <c r="GQ29" s="1266"/>
      <c r="GR29" s="1266"/>
      <c r="GS29" s="1266"/>
      <c r="GT29" s="1266"/>
      <c r="GU29" s="1266"/>
      <c r="GV29" s="1266"/>
      <c r="GW29" s="1266"/>
      <c r="GX29" s="1266"/>
      <c r="GY29" s="1266"/>
      <c r="GZ29" s="1266"/>
      <c r="HA29" s="1266"/>
      <c r="HB29" s="1266"/>
      <c r="HC29" s="1266"/>
      <c r="HD29" s="1266"/>
      <c r="HE29" s="1266"/>
      <c r="HF29" s="1266"/>
      <c r="HG29" s="1266"/>
      <c r="HH29" s="1266"/>
      <c r="HI29" s="1266"/>
      <c r="HJ29" s="1266"/>
      <c r="HK29" s="1266"/>
      <c r="HL29" s="1266"/>
      <c r="HM29" s="1266"/>
      <c r="HN29" s="1266"/>
      <c r="HO29" s="1266"/>
      <c r="HP29" s="1266"/>
      <c r="HQ29" s="1266"/>
      <c r="HR29" s="1266"/>
      <c r="HS29" s="1266"/>
      <c r="HT29" s="1266"/>
      <c r="HU29" s="1266"/>
      <c r="HV29" s="1266"/>
      <c r="HW29" s="1266"/>
      <c r="HX29" s="1266"/>
      <c r="HY29" s="1266"/>
      <c r="HZ29" s="1266"/>
      <c r="IA29" s="1266"/>
      <c r="IB29" s="1266"/>
      <c r="IC29" s="1266"/>
      <c r="ID29" s="1266"/>
      <c r="IE29" s="1266"/>
      <c r="IF29" s="1266"/>
      <c r="IG29" s="1266"/>
      <c r="IH29" s="1266"/>
      <c r="II29" s="1266"/>
      <c r="IJ29" s="1266"/>
      <c r="IK29" s="1266"/>
      <c r="IL29" s="1266"/>
      <c r="IM29" s="1266"/>
      <c r="IN29" s="1266"/>
      <c r="IO29" s="1266"/>
      <c r="IP29" s="1266"/>
      <c r="IQ29" s="1266"/>
      <c r="IR29" s="1266"/>
      <c r="IS29" s="1266"/>
      <c r="IT29" s="1266"/>
      <c r="IU29" s="1266"/>
      <c r="IV29" s="1266"/>
      <c r="IW29" s="1266"/>
      <c r="IX29" s="1266"/>
      <c r="IY29" s="1266"/>
      <c r="IZ29" s="1266"/>
      <c r="JA29" s="1266"/>
      <c r="JB29" s="1266"/>
      <c r="JC29" s="1266"/>
      <c r="JD29" s="1266"/>
      <c r="JE29" s="1266"/>
      <c r="JF29" s="1266"/>
      <c r="JG29" s="1266"/>
      <c r="JH29" s="1266"/>
      <c r="JI29" s="1266"/>
      <c r="JJ29" s="1266"/>
      <c r="JK29" s="1266"/>
      <c r="JL29" s="1266"/>
      <c r="JM29" s="1266"/>
      <c r="JN29" s="1266"/>
      <c r="JO29" s="1266"/>
      <c r="JP29" s="1266"/>
      <c r="JQ29" s="1266"/>
      <c r="JR29" s="1266"/>
      <c r="JS29" s="1266"/>
      <c r="JT29" s="1266"/>
      <c r="JU29" s="1266"/>
      <c r="JV29" s="1266"/>
      <c r="JW29" s="1266"/>
      <c r="JX29" s="1266"/>
      <c r="JY29" s="1266"/>
      <c r="JZ29" s="1266"/>
      <c r="KA29" s="1266"/>
      <c r="KB29" s="1266"/>
      <c r="KC29" s="1266"/>
      <c r="KD29" s="1266"/>
      <c r="KE29" s="1266"/>
      <c r="KF29" s="1266"/>
      <c r="KG29" s="1266"/>
      <c r="KH29" s="1266"/>
      <c r="KI29" s="1266"/>
      <c r="KJ29" s="1266"/>
      <c r="KK29" s="1266"/>
      <c r="KL29" s="1266"/>
      <c r="KM29" s="1266"/>
      <c r="KN29" s="1266"/>
      <c r="KO29" s="1266"/>
      <c r="KP29" s="1266"/>
      <c r="KQ29" s="1266"/>
      <c r="KR29" s="1266"/>
      <c r="KS29" s="1266"/>
      <c r="KT29" s="1266"/>
      <c r="KU29" s="1266"/>
      <c r="KV29" s="1266"/>
      <c r="KW29" s="1266"/>
      <c r="KX29" s="1266"/>
      <c r="KY29" s="1266"/>
      <c r="KZ29" s="1266"/>
      <c r="LA29" s="1266"/>
      <c r="LB29" s="1266"/>
      <c r="LC29" s="1266"/>
      <c r="LD29" s="1266"/>
      <c r="LE29" s="1266"/>
      <c r="LF29" s="1266"/>
      <c r="LG29" s="1266"/>
      <c r="LH29" s="1266"/>
      <c r="LI29" s="1266"/>
      <c r="LJ29" s="1266"/>
      <c r="LK29" s="1266"/>
      <c r="LL29" s="1266"/>
      <c r="LM29" s="1266"/>
      <c r="LN29" s="1266"/>
      <c r="LO29" s="1266"/>
      <c r="LP29" s="1266"/>
      <c r="LQ29" s="1266"/>
      <c r="LR29" s="1266"/>
      <c r="LS29" s="1266"/>
      <c r="LT29" s="1266"/>
      <c r="LU29" s="1266"/>
      <c r="LV29" s="1266"/>
      <c r="LW29" s="1266"/>
      <c r="LX29" s="1266"/>
      <c r="LY29" s="1266"/>
      <c r="LZ29" s="1266"/>
      <c r="MA29" s="1266"/>
      <c r="MB29" s="1266"/>
      <c r="MC29" s="1266"/>
      <c r="MD29" s="1266"/>
      <c r="ME29" s="1266"/>
      <c r="MF29" s="1266"/>
      <c r="MG29" s="1266"/>
      <c r="MH29" s="1266"/>
      <c r="MI29" s="1266"/>
      <c r="MJ29" s="1266"/>
      <c r="MK29" s="1266"/>
      <c r="ML29" s="1266"/>
      <c r="MM29" s="1266"/>
      <c r="MN29" s="1266"/>
      <c r="MO29" s="1266"/>
      <c r="MP29" s="1266"/>
      <c r="MQ29" s="1266"/>
      <c r="MR29" s="1266"/>
      <c r="MS29" s="1266"/>
      <c r="MT29" s="1266"/>
      <c r="MU29" s="1266"/>
      <c r="MV29" s="1266"/>
      <c r="MW29" s="1266"/>
      <c r="MX29" s="1266"/>
      <c r="MY29" s="1266"/>
      <c r="MZ29" s="1266"/>
      <c r="NA29" s="1266"/>
      <c r="NB29" s="1266"/>
      <c r="NC29" s="1266"/>
      <c r="ND29" s="1266"/>
      <c r="NE29" s="1266"/>
      <c r="NF29" s="1266"/>
      <c r="NG29" s="1266"/>
      <c r="NH29" s="1266"/>
      <c r="NI29" s="1266"/>
      <c r="NJ29" s="1266"/>
      <c r="NK29" s="1266"/>
      <c r="NL29" s="1266"/>
      <c r="NM29" s="1266"/>
      <c r="NN29" s="1266"/>
      <c r="NO29" s="1266"/>
      <c r="NP29" s="1266"/>
      <c r="NQ29" s="1266"/>
      <c r="NR29" s="1266"/>
      <c r="NS29" s="1266"/>
      <c r="NT29" s="1266"/>
      <c r="NU29" s="1266"/>
      <c r="NV29" s="1266"/>
      <c r="NW29" s="1266"/>
      <c r="NX29" s="1266"/>
      <c r="NY29" s="1266"/>
      <c r="NZ29" s="1266"/>
      <c r="OA29" s="1266"/>
      <c r="OB29" s="1266"/>
      <c r="OC29" s="1266"/>
      <c r="OD29" s="1266"/>
      <c r="OE29" s="1266"/>
      <c r="OF29" s="1266"/>
      <c r="OG29" s="1266"/>
      <c r="OH29" s="1266"/>
      <c r="OI29" s="1266"/>
      <c r="OJ29" s="1266"/>
      <c r="OK29" s="1266"/>
      <c r="OL29" s="1266"/>
      <c r="OM29" s="1266"/>
      <c r="ON29" s="1266"/>
      <c r="OO29" s="1266"/>
      <c r="OP29" s="1266"/>
      <c r="OQ29" s="1266"/>
      <c r="OR29" s="1266"/>
      <c r="OS29" s="1266"/>
      <c r="OT29" s="1266"/>
      <c r="OU29" s="1266"/>
      <c r="OV29" s="1266"/>
      <c r="OW29" s="1266"/>
      <c r="OX29" s="1266"/>
      <c r="OY29" s="1266"/>
      <c r="OZ29" s="1266"/>
      <c r="PA29" s="1266"/>
      <c r="PB29" s="1266"/>
      <c r="PC29" s="1266"/>
      <c r="PD29" s="1266"/>
      <c r="PE29" s="1266"/>
      <c r="PF29" s="1266"/>
      <c r="PG29" s="1266"/>
      <c r="PH29" s="1266"/>
      <c r="PI29" s="1266"/>
      <c r="PJ29" s="1266"/>
      <c r="PK29" s="1266"/>
      <c r="PL29" s="1266"/>
      <c r="PM29" s="1266"/>
      <c r="PN29" s="1266"/>
      <c r="PO29" s="1266"/>
      <c r="PP29" s="1266"/>
      <c r="PQ29" s="1266"/>
      <c r="PR29" s="1266"/>
      <c r="PS29" s="1266"/>
      <c r="PT29" s="1266"/>
      <c r="PU29" s="1266"/>
      <c r="PV29" s="1266"/>
      <c r="PW29" s="1266"/>
      <c r="PX29" s="1266"/>
      <c r="PY29" s="1266"/>
      <c r="PZ29" s="1266"/>
      <c r="QA29" s="1266"/>
      <c r="QB29" s="1266"/>
      <c r="QC29" s="1266"/>
      <c r="QD29" s="1266"/>
      <c r="QE29" s="1266"/>
      <c r="QF29" s="1266"/>
      <c r="QG29" s="1266"/>
      <c r="QH29" s="1266"/>
      <c r="QI29" s="1266"/>
      <c r="QJ29" s="1266"/>
      <c r="QK29" s="1266"/>
      <c r="QL29" s="1266"/>
      <c r="QM29" s="1266"/>
      <c r="QN29" s="1266"/>
      <c r="QO29" s="1266"/>
      <c r="QP29" s="1266"/>
      <c r="QQ29" s="1266"/>
      <c r="QR29" s="1266"/>
      <c r="QS29" s="1266"/>
      <c r="QT29" s="1266"/>
      <c r="QU29" s="1266"/>
      <c r="QV29" s="1266"/>
      <c r="QW29" s="1266"/>
      <c r="QX29" s="1266"/>
      <c r="QY29" s="1266"/>
      <c r="QZ29" s="1266"/>
      <c r="RA29" s="1266"/>
      <c r="RB29" s="1266"/>
      <c r="RC29" s="1266"/>
      <c r="RD29" s="1266"/>
      <c r="RE29" s="1266"/>
      <c r="RF29" s="1266"/>
      <c r="RG29" s="1266"/>
      <c r="RH29" s="1266"/>
      <c r="RI29" s="1266"/>
      <c r="RJ29" s="1266"/>
      <c r="RK29" s="1266"/>
      <c r="RL29" s="1266"/>
      <c r="RM29" s="1266"/>
      <c r="RN29" s="1266"/>
      <c r="RO29" s="1266"/>
      <c r="RP29" s="1266"/>
      <c r="RQ29" s="1266"/>
      <c r="RR29" s="1266"/>
      <c r="RS29" s="1266"/>
      <c r="RT29" s="1266"/>
      <c r="RU29" s="1266"/>
      <c r="RV29" s="1266"/>
      <c r="RW29" s="1266"/>
      <c r="RX29" s="1266"/>
      <c r="RY29" s="1266"/>
      <c r="RZ29" s="1266"/>
      <c r="SA29" s="1266"/>
      <c r="SB29" s="1266"/>
      <c r="SC29" s="1266"/>
      <c r="SD29" s="1266"/>
      <c r="SE29" s="1266"/>
      <c r="SF29" s="1266"/>
      <c r="SG29" s="1266"/>
      <c r="SH29" s="1266"/>
      <c r="SI29" s="1266"/>
      <c r="SJ29" s="1266"/>
      <c r="SK29" s="1266"/>
      <c r="SL29" s="1266"/>
      <c r="SM29" s="1266"/>
      <c r="SN29" s="1266"/>
      <c r="SO29" s="1266"/>
      <c r="SP29" s="1266"/>
      <c r="SQ29" s="1266"/>
      <c r="SR29" s="1266"/>
      <c r="SS29" s="1266"/>
      <c r="ST29" s="1266"/>
      <c r="SU29" s="1266"/>
      <c r="SV29" s="1266"/>
      <c r="SW29" s="1266"/>
      <c r="SX29" s="1266"/>
      <c r="SY29" s="1266"/>
      <c r="SZ29" s="1266"/>
      <c r="TA29" s="1266"/>
      <c r="TB29" s="1266"/>
      <c r="TC29" s="1266"/>
      <c r="TD29" s="1266"/>
      <c r="TE29" s="1266"/>
      <c r="TF29" s="1266"/>
      <c r="TG29" s="1266"/>
      <c r="TH29" s="1266"/>
      <c r="TI29" s="1266"/>
      <c r="TJ29" s="1266"/>
      <c r="TK29" s="1266"/>
      <c r="TL29" s="1266"/>
      <c r="TM29" s="1266"/>
      <c r="TN29" s="1266"/>
      <c r="TO29" s="1266"/>
      <c r="TP29" s="1266"/>
      <c r="TQ29" s="1266"/>
      <c r="TR29" s="1266"/>
      <c r="TS29" s="1266"/>
      <c r="TT29" s="1266"/>
      <c r="TU29" s="1266"/>
      <c r="TV29" s="1266"/>
      <c r="TW29" s="1266"/>
      <c r="TX29" s="1266"/>
      <c r="TY29" s="1266"/>
      <c r="TZ29" s="1266"/>
      <c r="UA29" s="1266"/>
      <c r="UB29" s="1266"/>
      <c r="UC29" s="1266"/>
      <c r="UD29" s="1266"/>
      <c r="UE29" s="1266"/>
      <c r="UF29" s="1266"/>
      <c r="UG29" s="1266"/>
      <c r="UH29" s="1266"/>
      <c r="UI29" s="1266"/>
      <c r="UJ29" s="1266"/>
      <c r="UK29" s="1266"/>
      <c r="UL29" s="1266"/>
      <c r="UM29" s="1266"/>
      <c r="UN29" s="1266"/>
      <c r="UO29" s="1266"/>
      <c r="UP29" s="1266"/>
      <c r="UQ29" s="1266"/>
      <c r="UR29" s="1266"/>
      <c r="US29" s="1266"/>
      <c r="UT29" s="1266"/>
      <c r="UU29" s="1266"/>
      <c r="UV29" s="1266"/>
      <c r="UW29" s="1266"/>
      <c r="UX29" s="1266"/>
      <c r="UY29" s="1266"/>
      <c r="UZ29" s="1266"/>
      <c r="VA29" s="1266"/>
      <c r="VB29" s="1266"/>
      <c r="VC29" s="1266"/>
      <c r="VD29" s="1266"/>
      <c r="VE29" s="1266"/>
      <c r="VF29" s="1266"/>
      <c r="VG29" s="1266"/>
      <c r="VH29" s="1266"/>
      <c r="VI29" s="1266"/>
      <c r="VJ29" s="1266"/>
      <c r="VK29" s="1266"/>
      <c r="VL29" s="1266"/>
      <c r="VM29" s="1266"/>
      <c r="VN29" s="1266"/>
      <c r="VO29" s="1266"/>
      <c r="VP29" s="1266"/>
      <c r="VQ29" s="1266"/>
      <c r="VR29" s="1266"/>
      <c r="VS29" s="1266"/>
      <c r="VT29" s="1266"/>
      <c r="VU29" s="1266"/>
      <c r="VV29" s="1266"/>
      <c r="VW29" s="1266"/>
      <c r="VX29" s="1266"/>
      <c r="VY29" s="1266"/>
      <c r="VZ29" s="1266"/>
      <c r="WA29" s="1266"/>
      <c r="WB29" s="1266"/>
      <c r="WC29" s="1266"/>
      <c r="WD29" s="1266"/>
      <c r="WE29" s="1266"/>
      <c r="WF29" s="1266"/>
      <c r="WG29" s="1266"/>
      <c r="WH29" s="1266"/>
      <c r="WI29" s="1266"/>
      <c r="WJ29" s="1266"/>
      <c r="WK29" s="1266"/>
      <c r="WL29" s="1266"/>
      <c r="WM29" s="1266"/>
      <c r="WN29" s="1266"/>
      <c r="WO29" s="1266"/>
      <c r="WP29" s="1266"/>
      <c r="WQ29" s="1266"/>
      <c r="WR29" s="1266"/>
      <c r="WS29" s="1266"/>
      <c r="WT29" s="1266"/>
      <c r="WU29" s="1266"/>
      <c r="WV29" s="1266"/>
      <c r="WW29" s="1266"/>
      <c r="WX29" s="1266"/>
      <c r="WY29" s="1266"/>
      <c r="WZ29" s="1266"/>
      <c r="XA29" s="1266"/>
      <c r="XB29" s="1266"/>
      <c r="XC29" s="1266"/>
      <c r="XD29" s="1266"/>
      <c r="XE29" s="1266"/>
      <c r="XF29" s="1266"/>
      <c r="XG29" s="1266"/>
      <c r="XH29" s="1266"/>
      <c r="XI29" s="1266"/>
      <c r="XJ29" s="1266"/>
      <c r="XK29" s="1266"/>
      <c r="XL29" s="1266"/>
      <c r="XM29" s="1266"/>
      <c r="XN29" s="1266"/>
      <c r="XO29" s="1266"/>
      <c r="XP29" s="1266"/>
      <c r="XQ29" s="1266"/>
      <c r="XR29" s="1266"/>
      <c r="XS29" s="1266"/>
      <c r="XT29" s="1266"/>
      <c r="XU29" s="1266"/>
      <c r="XV29" s="1266"/>
      <c r="XW29" s="1266"/>
      <c r="XX29" s="1266"/>
      <c r="XY29" s="1266"/>
      <c r="XZ29" s="1266"/>
      <c r="YA29" s="1266"/>
      <c r="YB29" s="1266"/>
      <c r="YC29" s="1266"/>
      <c r="YD29" s="1266"/>
      <c r="YE29" s="1266"/>
      <c r="YF29" s="1266"/>
      <c r="YG29" s="1266"/>
      <c r="YH29" s="1266"/>
      <c r="YI29" s="1266"/>
      <c r="YJ29" s="1266"/>
      <c r="YK29" s="1266"/>
      <c r="YL29" s="1266"/>
      <c r="YM29" s="1266"/>
      <c r="YN29" s="1266"/>
      <c r="YO29" s="1266"/>
      <c r="YP29" s="1266"/>
      <c r="YQ29" s="1266"/>
      <c r="YR29" s="1266"/>
      <c r="YS29" s="1266"/>
      <c r="YT29" s="1266"/>
      <c r="YU29" s="1266"/>
      <c r="YV29" s="1266"/>
      <c r="YW29" s="1266"/>
      <c r="YX29" s="1266"/>
      <c r="YY29" s="1266"/>
      <c r="YZ29" s="1266"/>
      <c r="ZA29" s="1266"/>
      <c r="ZB29" s="1266"/>
      <c r="ZC29" s="1266"/>
      <c r="ZD29" s="1266"/>
      <c r="ZE29" s="1266"/>
      <c r="ZF29" s="1266"/>
      <c r="ZG29" s="1266"/>
      <c r="ZH29" s="1266"/>
      <c r="ZI29" s="1266"/>
      <c r="ZJ29" s="1266"/>
      <c r="ZK29" s="1266"/>
      <c r="ZL29" s="1266"/>
      <c r="ZM29" s="1266"/>
      <c r="ZN29" s="1266"/>
      <c r="ZO29" s="1266"/>
      <c r="ZP29" s="1266"/>
      <c r="ZQ29" s="1266"/>
      <c r="ZR29" s="1266"/>
      <c r="ZS29" s="1266"/>
      <c r="ZT29" s="1266"/>
      <c r="ZU29" s="1266"/>
      <c r="ZV29" s="1266"/>
      <c r="ZW29" s="1266"/>
      <c r="ZX29" s="1266"/>
      <c r="ZY29" s="1266"/>
      <c r="ZZ29" s="1266"/>
      <c r="AAA29" s="1266"/>
      <c r="AAB29" s="1266"/>
      <c r="AAC29" s="1266"/>
      <c r="AAD29" s="1266"/>
      <c r="AAE29" s="1266"/>
      <c r="AAF29" s="1266"/>
      <c r="AAG29" s="1266"/>
      <c r="AAH29" s="1266"/>
      <c r="AAI29" s="1266"/>
      <c r="AAJ29" s="1266"/>
      <c r="AAK29" s="1266"/>
      <c r="AAL29" s="1266"/>
      <c r="AAM29" s="1266"/>
      <c r="AAN29" s="1266"/>
      <c r="AAO29" s="1266"/>
      <c r="AAP29" s="1266"/>
      <c r="AAQ29" s="1266"/>
      <c r="AAR29" s="1266"/>
      <c r="AAS29" s="1266"/>
      <c r="AAT29" s="1266"/>
      <c r="AAU29" s="1266"/>
      <c r="AAV29" s="1266"/>
      <c r="AAW29" s="1266"/>
      <c r="AAX29" s="1266"/>
      <c r="AAY29" s="1266"/>
      <c r="AAZ29" s="1266"/>
      <c r="ABA29" s="1266"/>
      <c r="ABB29" s="1266"/>
      <c r="ABC29" s="1266"/>
      <c r="ABD29" s="1266"/>
      <c r="ABE29" s="1266"/>
      <c r="ABF29" s="1266"/>
      <c r="ABG29" s="1266"/>
      <c r="ABH29" s="1266"/>
      <c r="ABI29" s="1266"/>
      <c r="ABJ29" s="1266"/>
      <c r="ABK29" s="1266"/>
      <c r="ABL29" s="1266"/>
      <c r="ABM29" s="1266"/>
      <c r="ABN29" s="1266"/>
      <c r="ABO29" s="1266"/>
      <c r="ABP29" s="1266"/>
      <c r="ABQ29" s="1266"/>
      <c r="ABR29" s="1266"/>
      <c r="ABS29" s="1266"/>
      <c r="ABT29" s="1266"/>
      <c r="ABU29" s="1266"/>
      <c r="ABV29" s="1266"/>
      <c r="ABW29" s="1266"/>
      <c r="ABX29" s="1266"/>
      <c r="ABY29" s="1266"/>
      <c r="ABZ29" s="1266"/>
      <c r="ACA29" s="1266"/>
      <c r="ACB29" s="1266"/>
      <c r="ACC29" s="1266"/>
      <c r="ACD29" s="1266"/>
      <c r="ACE29" s="1266"/>
      <c r="ACF29" s="1266"/>
      <c r="ACG29" s="1266"/>
      <c r="ACH29" s="1266"/>
      <c r="ACI29" s="1266"/>
      <c r="ACJ29" s="1266"/>
      <c r="ACK29" s="1266"/>
      <c r="ACL29" s="1266"/>
      <c r="ACM29" s="1266"/>
      <c r="ACN29" s="1266"/>
      <c r="ACO29" s="1266"/>
      <c r="ACP29" s="1266"/>
      <c r="ACQ29" s="1266"/>
      <c r="ACR29" s="1266"/>
      <c r="ACS29" s="1266"/>
      <c r="ACT29" s="1266"/>
      <c r="ACU29" s="1266"/>
      <c r="ACV29" s="1266"/>
      <c r="ACW29" s="1266"/>
      <c r="ACX29" s="1266"/>
      <c r="ACY29" s="1266"/>
      <c r="ACZ29" s="1266"/>
      <c r="ADA29" s="1266"/>
      <c r="ADB29" s="1266"/>
      <c r="ADC29" s="1266"/>
      <c r="ADD29" s="1266"/>
      <c r="ADE29" s="1266"/>
      <c r="ADF29" s="1266"/>
      <c r="ADG29" s="1266"/>
      <c r="ADH29" s="1266"/>
      <c r="ADI29" s="1266"/>
      <c r="ADJ29" s="1266"/>
      <c r="ADK29" s="1266"/>
      <c r="ADL29" s="1266"/>
      <c r="ADM29" s="1266"/>
      <c r="ADN29" s="1266"/>
      <c r="ADO29" s="1266"/>
      <c r="ADP29" s="1266"/>
      <c r="ADQ29" s="1266"/>
      <c r="ADR29" s="1266"/>
      <c r="ADS29" s="1266"/>
      <c r="ADT29" s="1266"/>
      <c r="ADU29" s="1266"/>
      <c r="ADV29" s="1266"/>
      <c r="ADW29" s="1266"/>
      <c r="ADX29" s="1266"/>
      <c r="ADY29" s="1266"/>
      <c r="ADZ29" s="1266"/>
      <c r="AEA29" s="1266"/>
      <c r="AEB29" s="1266"/>
      <c r="AEC29" s="1266"/>
      <c r="AED29" s="1266"/>
      <c r="AEE29" s="1266"/>
      <c r="AEF29" s="1266"/>
      <c r="AEG29" s="1266"/>
      <c r="AEH29" s="1266"/>
      <c r="AEI29" s="1266"/>
      <c r="AEJ29" s="1266"/>
      <c r="AEK29" s="1266"/>
      <c r="AEL29" s="1266"/>
      <c r="AEM29" s="1266"/>
      <c r="AEN29" s="1266"/>
      <c r="AEO29" s="1266"/>
      <c r="AEP29" s="1266"/>
      <c r="AEQ29" s="1266"/>
      <c r="AER29" s="1266"/>
      <c r="AES29" s="1266"/>
      <c r="AET29" s="1266"/>
      <c r="AEU29" s="1266"/>
      <c r="AEV29" s="1266"/>
      <c r="AEW29" s="1266"/>
      <c r="AEX29" s="1266"/>
      <c r="AEY29" s="1266"/>
      <c r="AEZ29" s="1266"/>
      <c r="AFA29" s="1266"/>
      <c r="AFB29" s="1266"/>
      <c r="AFC29" s="1266"/>
      <c r="AFD29" s="1266"/>
      <c r="AFE29" s="1266"/>
      <c r="AFF29" s="1266"/>
      <c r="AFG29" s="1266"/>
      <c r="AFH29" s="1266"/>
      <c r="AFI29" s="1266"/>
      <c r="AFJ29" s="1266"/>
      <c r="AFK29" s="1266"/>
      <c r="AFL29" s="1266"/>
      <c r="AFM29" s="1266"/>
      <c r="AFN29" s="1266"/>
      <c r="AFO29" s="1266"/>
      <c r="AFP29" s="1266"/>
      <c r="AFQ29" s="1266"/>
      <c r="AFR29" s="1266"/>
      <c r="AFS29" s="1266"/>
      <c r="AFT29" s="1266"/>
      <c r="AFU29" s="1266"/>
      <c r="AFV29" s="1266"/>
      <c r="AFW29" s="1266"/>
      <c r="AFX29" s="1266"/>
      <c r="AFY29" s="1266"/>
      <c r="AFZ29" s="1266"/>
      <c r="AGA29" s="1266"/>
      <c r="AGB29" s="1266"/>
      <c r="AGC29" s="1266"/>
      <c r="AGD29" s="1266"/>
      <c r="AGE29" s="1266"/>
      <c r="AGF29" s="1266"/>
      <c r="AGG29" s="1266"/>
      <c r="AGH29" s="1266"/>
      <c r="AGI29" s="1266"/>
      <c r="AGJ29" s="1266"/>
      <c r="AGK29" s="1266"/>
      <c r="AGL29" s="1266"/>
      <c r="AGM29" s="1266"/>
      <c r="AGN29" s="1266"/>
      <c r="AGO29" s="1266"/>
      <c r="AGP29" s="1266"/>
      <c r="AGQ29" s="1266"/>
      <c r="AGR29" s="1266"/>
      <c r="AGS29" s="1266"/>
      <c r="AGT29" s="1266"/>
      <c r="AGU29" s="1266"/>
      <c r="AGV29" s="1266"/>
      <c r="AGW29" s="1266"/>
      <c r="AGX29" s="1266"/>
      <c r="AGY29" s="1266"/>
      <c r="AGZ29" s="1266"/>
      <c r="AHA29" s="1266"/>
      <c r="AHB29" s="1266"/>
      <c r="AHC29" s="1266"/>
      <c r="AHD29" s="1266"/>
      <c r="AHE29" s="1266"/>
      <c r="AHF29" s="1266"/>
      <c r="AHG29" s="1266"/>
      <c r="AHH29" s="1266"/>
      <c r="AHI29" s="1266"/>
      <c r="AHJ29" s="1266"/>
      <c r="AHK29" s="1266"/>
      <c r="AHL29" s="1266"/>
      <c r="AHM29" s="1266"/>
      <c r="AHN29" s="1266"/>
      <c r="AHO29" s="1266"/>
      <c r="AHP29" s="1266"/>
      <c r="AHQ29" s="1266"/>
      <c r="AHR29" s="1266"/>
      <c r="AHS29" s="1266"/>
      <c r="AHT29" s="1266"/>
      <c r="AHU29" s="1266"/>
      <c r="AHV29" s="1266"/>
      <c r="AHW29" s="1266"/>
      <c r="AHX29" s="1266"/>
      <c r="AHY29" s="1266"/>
      <c r="AHZ29" s="1266"/>
      <c r="AIA29" s="1266"/>
      <c r="AIB29" s="1266"/>
      <c r="AIC29" s="1266"/>
      <c r="AID29" s="1266"/>
      <c r="AIE29" s="1266"/>
      <c r="AIF29" s="1266"/>
      <c r="AIG29" s="1266"/>
      <c r="AIH29" s="1266"/>
      <c r="AII29" s="1266"/>
      <c r="AIJ29" s="1266"/>
      <c r="AIK29" s="1266"/>
      <c r="AIL29" s="1266"/>
      <c r="AIM29" s="1266"/>
      <c r="AIN29" s="1266"/>
      <c r="AIO29" s="1266"/>
      <c r="AIP29" s="1266"/>
      <c r="AIQ29" s="1266"/>
      <c r="AIR29" s="1266"/>
      <c r="AIS29" s="1266"/>
      <c r="AIT29" s="1266"/>
      <c r="AIU29" s="1266"/>
      <c r="AIV29" s="1266"/>
      <c r="AIW29" s="1266"/>
      <c r="AIX29" s="1266"/>
      <c r="AIY29" s="1266"/>
      <c r="AIZ29" s="1266"/>
      <c r="AJA29" s="1266"/>
      <c r="AJB29" s="1266"/>
      <c r="AJC29" s="1266"/>
      <c r="AJD29" s="1266"/>
      <c r="AJE29" s="1266"/>
      <c r="AJF29" s="1266"/>
      <c r="AJG29" s="1266"/>
      <c r="AJH29" s="1266"/>
      <c r="AJI29" s="1266"/>
      <c r="AJJ29" s="1266"/>
      <c r="AJK29" s="1266"/>
      <c r="AJL29" s="1266"/>
      <c r="AJM29" s="1266"/>
      <c r="AJN29" s="1266"/>
      <c r="AJO29" s="1266"/>
      <c r="AJP29" s="1266"/>
      <c r="AJQ29" s="1266"/>
      <c r="AJR29" s="1266"/>
      <c r="AJS29" s="1266"/>
      <c r="AJT29" s="1266"/>
      <c r="AJU29" s="1266"/>
      <c r="AJV29" s="1266"/>
      <c r="AJW29" s="1266"/>
      <c r="AJX29" s="1266"/>
      <c r="AJY29" s="1266"/>
      <c r="AJZ29" s="1266"/>
      <c r="AKA29" s="1266"/>
      <c r="AKB29" s="1266"/>
      <c r="AKC29" s="1266"/>
      <c r="AKD29" s="1266"/>
      <c r="AKE29" s="1266"/>
      <c r="AKF29" s="1266"/>
      <c r="AKG29" s="1266"/>
      <c r="AKH29" s="1266"/>
      <c r="AKI29" s="1266"/>
      <c r="AKJ29" s="1266"/>
      <c r="AKK29" s="1266"/>
      <c r="AKL29" s="1266"/>
      <c r="AKM29" s="1266"/>
      <c r="AKN29" s="1266"/>
      <c r="AKO29" s="1266"/>
      <c r="AKP29" s="1266"/>
      <c r="AKQ29" s="1266"/>
      <c r="AKR29" s="1266"/>
      <c r="AKS29" s="1266"/>
      <c r="AKT29" s="1266"/>
      <c r="AKU29" s="1266"/>
      <c r="AKV29" s="1266"/>
      <c r="AKW29" s="1266"/>
      <c r="AKX29" s="1266"/>
      <c r="AKY29" s="1266"/>
      <c r="AKZ29" s="1266"/>
      <c r="ALA29" s="1266"/>
      <c r="ALB29" s="1266"/>
      <c r="ALC29" s="1266"/>
      <c r="ALD29" s="1266"/>
      <c r="ALE29" s="1266"/>
      <c r="ALF29" s="1266"/>
      <c r="ALG29" s="1266"/>
      <c r="ALH29" s="1266"/>
      <c r="ALI29" s="1266"/>
      <c r="ALJ29" s="1266"/>
      <c r="ALK29" s="1266"/>
      <c r="ALL29" s="1266"/>
      <c r="ALM29" s="1266"/>
      <c r="ALN29" s="1266"/>
      <c r="ALO29" s="1266"/>
      <c r="ALP29" s="1266"/>
      <c r="ALQ29" s="1266"/>
      <c r="ALR29" s="1266"/>
      <c r="ALS29" s="1266"/>
      <c r="ALT29" s="1266"/>
      <c r="ALU29" s="1266"/>
      <c r="ALV29" s="1266"/>
      <c r="ALW29" s="1266"/>
      <c r="ALX29" s="1266"/>
      <c r="ALY29" s="1266"/>
      <c r="ALZ29" s="1266"/>
      <c r="AMA29" s="1266"/>
      <c r="AMB29" s="1266"/>
      <c r="AMC29" s="1266"/>
      <c r="AMD29" s="1266"/>
      <c r="AME29" s="1266"/>
      <c r="AMF29" s="1266"/>
      <c r="AMG29" s="1266"/>
      <c r="AMH29" s="1266"/>
      <c r="AMI29" s="1266"/>
      <c r="AMJ29" s="1266"/>
      <c r="AMK29" s="1266"/>
      <c r="AML29" s="1266"/>
      <c r="AMM29" s="1266"/>
      <c r="AMN29" s="1266"/>
      <c r="AMO29" s="1266"/>
      <c r="AMP29" s="1266"/>
      <c r="AMQ29" s="1266"/>
      <c r="AMR29" s="1266"/>
      <c r="AMS29" s="1266"/>
      <c r="AMT29" s="1266"/>
      <c r="AMU29" s="1266"/>
      <c r="AMV29" s="1266"/>
      <c r="AMW29" s="1266"/>
      <c r="AMX29" s="1266"/>
      <c r="AMY29" s="1266"/>
      <c r="AMZ29" s="1266"/>
      <c r="ANA29" s="1266"/>
      <c r="ANB29" s="1266"/>
      <c r="ANC29" s="1266"/>
      <c r="AND29" s="1266"/>
      <c r="ANE29" s="1266"/>
      <c r="ANF29" s="1266"/>
      <c r="ANG29" s="1266"/>
      <c r="ANH29" s="1266"/>
      <c r="ANI29" s="1266"/>
      <c r="ANJ29" s="1266"/>
      <c r="ANK29" s="1266"/>
      <c r="ANL29" s="1266"/>
      <c r="ANM29" s="1266"/>
      <c r="ANN29" s="1266"/>
      <c r="ANO29" s="1266"/>
      <c r="ANP29" s="1266"/>
      <c r="ANQ29" s="1266"/>
      <c r="ANR29" s="1266"/>
      <c r="ANS29" s="1266"/>
      <c r="ANT29" s="1266"/>
      <c r="ANU29" s="1266"/>
      <c r="ANV29" s="1266"/>
      <c r="ANW29" s="1266"/>
      <c r="ANX29" s="1266"/>
      <c r="ANY29" s="1266"/>
      <c r="ANZ29" s="1266"/>
      <c r="AOA29" s="1266"/>
      <c r="AOB29" s="1266"/>
      <c r="AOC29" s="1266"/>
      <c r="AOD29" s="1266"/>
      <c r="AOE29" s="1266"/>
      <c r="AOF29" s="1266"/>
      <c r="AOG29" s="1266"/>
      <c r="AOH29" s="1266"/>
      <c r="AOI29" s="1266"/>
      <c r="AOJ29" s="1266"/>
      <c r="AOK29" s="1266"/>
      <c r="AOL29" s="1266"/>
      <c r="AOM29" s="1266"/>
      <c r="AON29" s="1266"/>
      <c r="AOO29" s="1266"/>
      <c r="AOP29" s="1266"/>
      <c r="AOQ29" s="1266"/>
      <c r="AOR29" s="1266"/>
      <c r="AOS29" s="1266"/>
      <c r="AOT29" s="1266"/>
      <c r="AOU29" s="1266"/>
      <c r="AOV29" s="1266"/>
      <c r="AOW29" s="1266"/>
      <c r="AOX29" s="1266"/>
      <c r="AOY29" s="1266"/>
      <c r="AOZ29" s="1266"/>
      <c r="APA29" s="1266"/>
      <c r="APB29" s="1266"/>
      <c r="APC29" s="1266"/>
      <c r="APD29" s="1266"/>
      <c r="APE29" s="1266"/>
      <c r="APF29" s="1266"/>
      <c r="APG29" s="1266"/>
      <c r="APH29" s="1266"/>
      <c r="API29" s="1266"/>
      <c r="APJ29" s="1266"/>
      <c r="APK29" s="1266"/>
      <c r="APL29" s="1266"/>
      <c r="APM29" s="1266"/>
      <c r="APN29" s="1266"/>
      <c r="APO29" s="1266"/>
      <c r="APP29" s="1266"/>
      <c r="APQ29" s="1266"/>
      <c r="APR29" s="1266"/>
      <c r="APS29" s="1266"/>
      <c r="APT29" s="1266"/>
      <c r="APU29" s="1266"/>
      <c r="APV29" s="1266"/>
      <c r="APW29" s="1266"/>
      <c r="APX29" s="1266"/>
      <c r="APY29" s="1266"/>
      <c r="APZ29" s="1266"/>
      <c r="AQA29" s="1266"/>
      <c r="AQB29" s="1266"/>
      <c r="AQC29" s="1266"/>
      <c r="AQD29" s="1266"/>
      <c r="AQE29" s="1266"/>
      <c r="AQF29" s="1266"/>
      <c r="AQG29" s="1266"/>
      <c r="AQH29" s="1266"/>
      <c r="AQI29" s="1266"/>
      <c r="AQJ29" s="1266"/>
      <c r="AQK29" s="1266"/>
      <c r="AQL29" s="1266"/>
      <c r="AQM29" s="1266"/>
      <c r="AQN29" s="1266"/>
      <c r="AQO29" s="1266"/>
      <c r="AQP29" s="1266"/>
      <c r="AQQ29" s="1266"/>
      <c r="AQR29" s="1266"/>
      <c r="AQS29" s="1266"/>
      <c r="AQT29" s="1266"/>
      <c r="AQU29" s="1266"/>
      <c r="AQV29" s="1266"/>
      <c r="AQW29" s="1266"/>
      <c r="AQX29" s="1266"/>
      <c r="AQY29" s="1266"/>
      <c r="AQZ29" s="1266"/>
      <c r="ARA29" s="1266"/>
      <c r="ARB29" s="1266"/>
      <c r="ARC29" s="1266"/>
      <c r="ARD29" s="1266"/>
      <c r="ARE29" s="1266"/>
      <c r="ARF29" s="1266"/>
      <c r="ARG29" s="1266"/>
      <c r="ARH29" s="1266"/>
      <c r="ARI29" s="1266"/>
      <c r="ARJ29" s="1266"/>
      <c r="ARK29" s="1266"/>
      <c r="ARL29" s="1266"/>
      <c r="ARM29" s="1266"/>
      <c r="ARN29" s="1266"/>
      <c r="ARO29" s="1266"/>
      <c r="ARP29" s="1266"/>
      <c r="ARQ29" s="1266"/>
      <c r="ARR29" s="1266"/>
      <c r="ARS29" s="1266"/>
      <c r="ART29" s="1266"/>
      <c r="ARU29" s="1266"/>
      <c r="ARV29" s="1266"/>
      <c r="ARW29" s="1266"/>
      <c r="ARX29" s="1266"/>
      <c r="ARY29" s="1266"/>
      <c r="ARZ29" s="1266"/>
      <c r="ASA29" s="1266"/>
      <c r="ASB29" s="1266"/>
      <c r="ASC29" s="1266"/>
      <c r="ASD29" s="1266"/>
      <c r="ASE29" s="1266"/>
      <c r="ASF29" s="1266"/>
      <c r="ASG29" s="1266"/>
      <c r="ASH29" s="1266"/>
      <c r="ASI29" s="1266"/>
      <c r="ASJ29" s="1266"/>
      <c r="ASK29" s="1266"/>
      <c r="ASL29" s="1266"/>
      <c r="ASM29" s="1266"/>
      <c r="ASN29" s="1266"/>
      <c r="ASO29" s="1266"/>
      <c r="ASP29" s="1266"/>
      <c r="ASQ29" s="1266"/>
      <c r="ASR29" s="1266"/>
      <c r="ASS29" s="1266"/>
      <c r="AST29" s="1266"/>
      <c r="ASU29" s="1266"/>
      <c r="ASV29" s="1266"/>
      <c r="ASW29" s="1266"/>
      <c r="ASX29" s="1266"/>
      <c r="ASY29" s="1266"/>
      <c r="ASZ29" s="1266"/>
      <c r="ATA29" s="1266"/>
      <c r="ATB29" s="1266"/>
      <c r="ATC29" s="1266"/>
      <c r="ATD29" s="1266"/>
      <c r="ATE29" s="1266"/>
      <c r="ATF29" s="1266"/>
      <c r="ATG29" s="1266"/>
      <c r="ATH29" s="1266"/>
      <c r="ATI29" s="1266"/>
      <c r="ATJ29" s="1266"/>
      <c r="ATK29" s="1266"/>
      <c r="ATL29" s="1266"/>
      <c r="ATM29" s="1266"/>
      <c r="ATN29" s="1266"/>
      <c r="ATO29" s="1266"/>
      <c r="ATP29" s="1266"/>
      <c r="ATQ29" s="1266"/>
      <c r="ATR29" s="1266"/>
      <c r="ATS29" s="1266"/>
      <c r="ATT29" s="1266"/>
      <c r="ATU29" s="1266"/>
      <c r="ATV29" s="1266"/>
      <c r="ATW29" s="1266"/>
      <c r="ATX29" s="1266"/>
      <c r="ATY29" s="1266"/>
      <c r="ATZ29" s="1266"/>
      <c r="AUA29" s="1266"/>
      <c r="AUB29" s="1266"/>
      <c r="AUC29" s="1266"/>
      <c r="AUD29" s="1266"/>
      <c r="AUE29" s="1266"/>
      <c r="AUF29" s="1266"/>
      <c r="AUG29" s="1266"/>
      <c r="AUH29" s="1266"/>
      <c r="AUI29" s="1266"/>
      <c r="AUJ29" s="1266"/>
      <c r="AUK29" s="1266"/>
      <c r="AUL29" s="1266"/>
      <c r="AUM29" s="1266"/>
      <c r="AUN29" s="1266"/>
      <c r="AUO29" s="1266"/>
      <c r="AUP29" s="1266"/>
      <c r="AUQ29" s="1266"/>
      <c r="AUR29" s="1266"/>
      <c r="AUS29" s="1266"/>
      <c r="AUT29" s="1266"/>
      <c r="AUU29" s="1266"/>
      <c r="AUV29" s="1266"/>
      <c r="AUW29" s="1266"/>
      <c r="AUX29" s="1266"/>
      <c r="AUY29" s="1266"/>
      <c r="AUZ29" s="1266"/>
      <c r="AVA29" s="1266"/>
      <c r="AVB29" s="1266"/>
      <c r="AVC29" s="1266"/>
      <c r="AVD29" s="1266"/>
      <c r="AVE29" s="1266"/>
      <c r="AVF29" s="1266"/>
      <c r="AVG29" s="1266"/>
      <c r="AVH29" s="1266"/>
      <c r="AVI29" s="1266"/>
      <c r="AVJ29" s="1266"/>
      <c r="AVK29" s="1266"/>
      <c r="AVL29" s="1266"/>
      <c r="AVM29" s="1266"/>
      <c r="AVN29" s="1266"/>
      <c r="AVO29" s="1266"/>
      <c r="AVP29" s="1266"/>
      <c r="AVQ29" s="1266"/>
      <c r="AVR29" s="1266"/>
      <c r="AVS29" s="1266"/>
      <c r="AVT29" s="1266"/>
      <c r="AVU29" s="1266"/>
      <c r="AVV29" s="1266"/>
      <c r="AVW29" s="1266"/>
      <c r="AVX29" s="1266"/>
      <c r="AVY29" s="1266"/>
      <c r="AVZ29" s="1266"/>
      <c r="AWA29" s="1266"/>
      <c r="AWB29" s="1266"/>
      <c r="AWC29" s="1266"/>
      <c r="AWD29" s="1266"/>
      <c r="AWE29" s="1266"/>
      <c r="AWF29" s="1266"/>
      <c r="AWG29" s="1266"/>
      <c r="AWH29" s="1266"/>
      <c r="AWI29" s="1266"/>
      <c r="AWJ29" s="1266"/>
      <c r="AWK29" s="1266"/>
      <c r="AWL29" s="1266"/>
      <c r="AWM29" s="1266"/>
      <c r="AWN29" s="1266"/>
      <c r="AWO29" s="1266"/>
      <c r="AWP29" s="1266"/>
      <c r="AWQ29" s="1266"/>
      <c r="AWR29" s="1266"/>
      <c r="AWS29" s="1266"/>
      <c r="AWT29" s="1266"/>
      <c r="AWU29" s="1266"/>
      <c r="AWV29" s="1266"/>
      <c r="AWW29" s="1266"/>
      <c r="AWX29" s="1266"/>
      <c r="AWY29" s="1266"/>
      <c r="AWZ29" s="1266"/>
      <c r="AXA29" s="1266"/>
      <c r="AXB29" s="1266"/>
      <c r="AXC29" s="1266"/>
      <c r="AXD29" s="1266"/>
      <c r="AXE29" s="1266"/>
      <c r="AXF29" s="1266"/>
      <c r="AXG29" s="1266"/>
      <c r="AXH29" s="1266"/>
      <c r="AXI29" s="1266"/>
      <c r="AXJ29" s="1266"/>
      <c r="AXK29" s="1266"/>
      <c r="AXL29" s="1266"/>
      <c r="AXM29" s="1266"/>
      <c r="AXN29" s="1266"/>
      <c r="AXO29" s="1266"/>
      <c r="AXP29" s="1266"/>
      <c r="AXQ29" s="1266"/>
      <c r="AXR29" s="1266"/>
      <c r="AXS29" s="1266"/>
      <c r="AXT29" s="1266"/>
      <c r="AXU29" s="1266"/>
      <c r="AXV29" s="1266"/>
      <c r="AXW29" s="1266"/>
      <c r="AXX29" s="1266"/>
      <c r="AXY29" s="1266"/>
      <c r="AXZ29" s="1266"/>
      <c r="AYA29" s="1266"/>
      <c r="AYB29" s="1266"/>
      <c r="AYC29" s="1266"/>
      <c r="AYD29" s="1266"/>
      <c r="AYE29" s="1266"/>
      <c r="AYF29" s="1266"/>
      <c r="AYG29" s="1266"/>
      <c r="AYH29" s="1266"/>
      <c r="AYI29" s="1266"/>
      <c r="AYJ29" s="1266"/>
      <c r="AYK29" s="1266"/>
      <c r="AYL29" s="1266"/>
      <c r="AYM29" s="1266"/>
      <c r="AYN29" s="1266"/>
      <c r="AYO29" s="1266"/>
      <c r="AYP29" s="1266"/>
      <c r="AYQ29" s="1266"/>
      <c r="AYR29" s="1266"/>
      <c r="AYS29" s="1266"/>
      <c r="AYT29" s="1266"/>
      <c r="AYU29" s="1266"/>
      <c r="AYV29" s="1266"/>
      <c r="AYW29" s="1266"/>
      <c r="AYX29" s="1266"/>
      <c r="AYY29" s="1266"/>
      <c r="AYZ29" s="1266"/>
      <c r="AZA29" s="1266"/>
      <c r="AZB29" s="1266"/>
      <c r="AZC29" s="1266"/>
      <c r="AZD29" s="1266"/>
      <c r="AZE29" s="1266"/>
      <c r="AZF29" s="1266"/>
      <c r="AZG29" s="1266"/>
      <c r="AZH29" s="1266"/>
      <c r="AZI29" s="1266"/>
      <c r="AZJ29" s="1266"/>
      <c r="AZK29" s="1266"/>
      <c r="AZL29" s="1266"/>
      <c r="AZM29" s="1266"/>
      <c r="AZN29" s="1266"/>
      <c r="AZO29" s="1266"/>
      <c r="AZP29" s="1266"/>
      <c r="AZQ29" s="1266"/>
      <c r="AZR29" s="1266"/>
      <c r="AZS29" s="1266"/>
      <c r="AZT29" s="1266"/>
      <c r="AZU29" s="1266"/>
      <c r="AZV29" s="1266"/>
      <c r="AZW29" s="1266"/>
      <c r="AZX29" s="1266"/>
      <c r="AZY29" s="1266"/>
      <c r="AZZ29" s="1266"/>
      <c r="BAA29" s="1266"/>
      <c r="BAB29" s="1266"/>
      <c r="BAC29" s="1266"/>
      <c r="BAD29" s="1266"/>
      <c r="BAE29" s="1266"/>
      <c r="BAF29" s="1266"/>
      <c r="BAG29" s="1266"/>
      <c r="BAH29" s="1266"/>
      <c r="BAI29" s="1266"/>
      <c r="BAJ29" s="1266"/>
      <c r="BAK29" s="1266"/>
      <c r="BAL29" s="1266"/>
      <c r="BAM29" s="1266"/>
      <c r="BAN29" s="1266"/>
      <c r="BAO29" s="1266"/>
      <c r="BAP29" s="1266"/>
      <c r="BAQ29" s="1266"/>
      <c r="BAR29" s="1266"/>
      <c r="BAS29" s="1266"/>
      <c r="BAT29" s="1266"/>
      <c r="BAU29" s="1266"/>
      <c r="BAV29" s="1266"/>
      <c r="BAW29" s="1266"/>
      <c r="BAX29" s="1266"/>
      <c r="BAY29" s="1266"/>
      <c r="BAZ29" s="1266"/>
      <c r="BBA29" s="1266"/>
      <c r="BBB29" s="1266"/>
      <c r="BBC29" s="1266"/>
      <c r="BBD29" s="1266"/>
      <c r="BBE29" s="1266"/>
      <c r="BBF29" s="1266"/>
      <c r="BBG29" s="1266"/>
      <c r="BBH29" s="1266"/>
      <c r="BBI29" s="1266"/>
      <c r="BBJ29" s="1266"/>
      <c r="BBK29" s="1266"/>
      <c r="BBL29" s="1266"/>
      <c r="BBM29" s="1266"/>
      <c r="BBN29" s="1266"/>
      <c r="BBO29" s="1266"/>
      <c r="BBP29" s="1266"/>
      <c r="BBQ29" s="1266"/>
      <c r="BBR29" s="1266"/>
      <c r="BBS29" s="1266"/>
      <c r="BBT29" s="1266"/>
      <c r="BBU29" s="1266"/>
      <c r="BBV29" s="1266"/>
      <c r="BBW29" s="1266"/>
      <c r="BBX29" s="1266"/>
      <c r="BBY29" s="1266"/>
      <c r="BBZ29" s="1266"/>
      <c r="BCA29" s="1266"/>
      <c r="BCB29" s="1266"/>
      <c r="BCC29" s="1266"/>
      <c r="BCD29" s="1266"/>
      <c r="BCE29" s="1266"/>
      <c r="BCF29" s="1266"/>
      <c r="BCG29" s="1266"/>
      <c r="BCH29" s="1266"/>
      <c r="BCI29" s="1266"/>
      <c r="BCJ29" s="1266"/>
      <c r="BCK29" s="1266"/>
      <c r="BCL29" s="1266"/>
      <c r="BCM29" s="1266"/>
      <c r="BCN29" s="1266"/>
      <c r="BCO29" s="1266"/>
      <c r="BCP29" s="1266"/>
      <c r="BCQ29" s="1266"/>
      <c r="BCR29" s="1266"/>
      <c r="BCS29" s="1266"/>
      <c r="BCT29" s="1266"/>
      <c r="BCU29" s="1266"/>
      <c r="BCV29" s="1266"/>
      <c r="BCW29" s="1266"/>
      <c r="BCX29" s="1266"/>
      <c r="BCY29" s="1266"/>
      <c r="BCZ29" s="1266"/>
      <c r="BDA29" s="1266"/>
      <c r="BDB29" s="1266"/>
      <c r="BDC29" s="1266"/>
      <c r="BDD29" s="1266"/>
      <c r="BDE29" s="1266"/>
      <c r="BDF29" s="1266"/>
      <c r="BDG29" s="1266"/>
      <c r="BDH29" s="1266"/>
      <c r="BDI29" s="1266"/>
      <c r="BDJ29" s="1266"/>
      <c r="BDK29" s="1266"/>
      <c r="BDL29" s="1266"/>
      <c r="BDM29" s="1266"/>
      <c r="BDN29" s="1266"/>
      <c r="BDO29" s="1266"/>
      <c r="BDP29" s="1266"/>
      <c r="BDQ29" s="1266"/>
      <c r="BDR29" s="1266"/>
      <c r="BDS29" s="1266"/>
      <c r="BDT29" s="1266"/>
      <c r="BDU29" s="1266"/>
      <c r="BDV29" s="1266"/>
      <c r="BDW29" s="1266"/>
      <c r="BDX29" s="1266"/>
      <c r="BDY29" s="1266"/>
      <c r="BDZ29" s="1266"/>
      <c r="BEA29" s="1266"/>
      <c r="BEB29" s="1266"/>
      <c r="BEC29" s="1266"/>
      <c r="BED29" s="1266"/>
      <c r="BEE29" s="1266"/>
      <c r="BEF29" s="1266"/>
      <c r="BEG29" s="1266"/>
      <c r="BEH29" s="1266"/>
      <c r="BEI29" s="1266"/>
      <c r="BEJ29" s="1266"/>
      <c r="BEK29" s="1266"/>
      <c r="BEL29" s="1266"/>
      <c r="BEM29" s="1266"/>
      <c r="BEN29" s="1266"/>
      <c r="BEO29" s="1266"/>
      <c r="BEP29" s="1266"/>
      <c r="BEQ29" s="1266"/>
      <c r="BER29" s="1266"/>
      <c r="BES29" s="1266"/>
      <c r="BET29" s="1266"/>
      <c r="BEU29" s="1266"/>
      <c r="BEV29" s="1266"/>
      <c r="BEW29" s="1266"/>
      <c r="BEX29" s="1266"/>
      <c r="BEY29" s="1266"/>
      <c r="BEZ29" s="1266"/>
      <c r="BFA29" s="1266"/>
      <c r="BFB29" s="1266"/>
      <c r="BFC29" s="1266"/>
      <c r="BFD29" s="1266"/>
      <c r="BFE29" s="1266"/>
      <c r="BFF29" s="1266"/>
      <c r="BFG29" s="1266"/>
      <c r="BFH29" s="1266"/>
      <c r="BFI29" s="1266"/>
      <c r="BFJ29" s="1266"/>
      <c r="BFK29" s="1266"/>
      <c r="BFL29" s="1266"/>
      <c r="BFM29" s="1266"/>
      <c r="BFN29" s="1266"/>
      <c r="BFO29" s="1266"/>
      <c r="BFP29" s="1266"/>
      <c r="BFQ29" s="1266"/>
      <c r="BFR29" s="1266"/>
      <c r="BFS29" s="1266"/>
      <c r="BFT29" s="1266"/>
      <c r="BFU29" s="1266"/>
      <c r="BFV29" s="1266"/>
      <c r="BFW29" s="1266"/>
      <c r="BFX29" s="1266"/>
      <c r="BFY29" s="1266"/>
      <c r="BFZ29" s="1266"/>
      <c r="BGA29" s="1266"/>
      <c r="BGB29" s="1266"/>
      <c r="BGC29" s="1266"/>
      <c r="BGD29" s="1266"/>
      <c r="BGE29" s="1266"/>
      <c r="BGF29" s="1266"/>
      <c r="BGG29" s="1266"/>
      <c r="BGH29" s="1266"/>
      <c r="BGI29" s="1266"/>
      <c r="BGJ29" s="1266"/>
      <c r="BGK29" s="1266"/>
      <c r="BGL29" s="1266"/>
      <c r="BGM29" s="1266"/>
      <c r="BGN29" s="1266"/>
      <c r="BGO29" s="1266"/>
      <c r="BGP29" s="1266"/>
      <c r="BGQ29" s="1266"/>
      <c r="BGR29" s="1266"/>
      <c r="BGS29" s="1266"/>
      <c r="BGT29" s="1266"/>
      <c r="BGU29" s="1266"/>
      <c r="BGV29" s="1266"/>
      <c r="BGW29" s="1266"/>
      <c r="BGX29" s="1266"/>
      <c r="BGY29" s="1266"/>
      <c r="BGZ29" s="1266"/>
      <c r="BHA29" s="1266"/>
      <c r="BHB29" s="1266"/>
      <c r="BHC29" s="1266"/>
      <c r="BHD29" s="1266"/>
      <c r="BHE29" s="1266"/>
      <c r="BHF29" s="1266"/>
      <c r="BHG29" s="1266"/>
      <c r="BHH29" s="1266"/>
      <c r="BHI29" s="1266"/>
      <c r="BHJ29" s="1266"/>
      <c r="BHK29" s="1266"/>
      <c r="BHL29" s="1266"/>
      <c r="BHM29" s="1266"/>
      <c r="BHN29" s="1266"/>
      <c r="BHO29" s="1266"/>
      <c r="BHP29" s="1266"/>
      <c r="BHQ29" s="1266"/>
      <c r="BHR29" s="1266"/>
      <c r="BHS29" s="1266"/>
      <c r="BHT29" s="1266"/>
      <c r="BHU29" s="1266"/>
      <c r="BHV29" s="1266"/>
      <c r="BHW29" s="1266"/>
      <c r="BHX29" s="1266"/>
      <c r="BHY29" s="1266"/>
      <c r="BHZ29" s="1266"/>
      <c r="BIA29" s="1266"/>
      <c r="BIB29" s="1266"/>
      <c r="BIC29" s="1266"/>
      <c r="BID29" s="1266"/>
      <c r="BIE29" s="1266"/>
      <c r="BIF29" s="1266"/>
      <c r="BIG29" s="1266"/>
      <c r="BIH29" s="1266"/>
      <c r="BII29" s="1266"/>
      <c r="BIJ29" s="1266"/>
      <c r="BIK29" s="1266"/>
      <c r="BIL29" s="1266"/>
      <c r="BIM29" s="1266"/>
      <c r="BIN29" s="1266"/>
      <c r="BIO29" s="1266"/>
      <c r="BIP29" s="1266"/>
      <c r="BIQ29" s="1266"/>
      <c r="BIR29" s="1266"/>
      <c r="BIS29" s="1266"/>
      <c r="BIT29" s="1266"/>
      <c r="BIU29" s="1266"/>
      <c r="BIV29" s="1266"/>
      <c r="BIW29" s="1266"/>
      <c r="BIX29" s="1266"/>
      <c r="BIY29" s="1266"/>
      <c r="BIZ29" s="1266"/>
      <c r="BJA29" s="1266"/>
      <c r="BJB29" s="1266"/>
      <c r="BJC29" s="1266"/>
      <c r="BJD29" s="1266"/>
      <c r="BJE29" s="1266"/>
      <c r="BJF29" s="1266"/>
      <c r="BJG29" s="1266"/>
      <c r="BJH29" s="1266"/>
      <c r="BJI29" s="1266"/>
      <c r="BJJ29" s="1266"/>
      <c r="BJK29" s="1266"/>
      <c r="BJL29" s="1266"/>
      <c r="BJM29" s="1266"/>
      <c r="BJN29" s="1266"/>
      <c r="BJO29" s="1266"/>
      <c r="BJP29" s="1266"/>
      <c r="BJQ29" s="1266"/>
      <c r="BJR29" s="1266"/>
      <c r="BJS29" s="1266"/>
      <c r="BJT29" s="1266"/>
      <c r="BJU29" s="1266"/>
      <c r="BJV29" s="1266"/>
      <c r="BJW29" s="1266"/>
      <c r="BJX29" s="1266"/>
      <c r="BJY29" s="1266"/>
      <c r="BJZ29" s="1266"/>
      <c r="BKA29" s="1266"/>
      <c r="BKB29" s="1266"/>
      <c r="BKC29" s="1266"/>
      <c r="BKD29" s="1266"/>
      <c r="BKE29" s="1266"/>
      <c r="BKF29" s="1266"/>
      <c r="BKG29" s="1266"/>
      <c r="BKH29" s="1266"/>
      <c r="BKI29" s="1266"/>
      <c r="BKJ29" s="1266"/>
      <c r="BKK29" s="1266"/>
      <c r="BKL29" s="1266"/>
      <c r="BKM29" s="1266"/>
      <c r="BKN29" s="1266"/>
      <c r="BKO29" s="1266"/>
      <c r="BKP29" s="1266"/>
      <c r="BKQ29" s="1266"/>
      <c r="BKR29" s="1266"/>
      <c r="BKS29" s="1266"/>
      <c r="BKT29" s="1266"/>
      <c r="BKU29" s="1266"/>
      <c r="BKV29" s="1266"/>
      <c r="BKW29" s="1266"/>
      <c r="BKX29" s="1266"/>
      <c r="BKY29" s="1266"/>
      <c r="BKZ29" s="1266"/>
      <c r="BLA29" s="1266"/>
      <c r="BLB29" s="1266"/>
      <c r="BLC29" s="1266"/>
      <c r="BLD29" s="1266"/>
      <c r="BLE29" s="1266"/>
      <c r="BLF29" s="1266"/>
      <c r="BLG29" s="1266"/>
      <c r="BLH29" s="1266"/>
      <c r="BLI29" s="1266"/>
      <c r="BLJ29" s="1266"/>
      <c r="BLK29" s="1266"/>
      <c r="BLL29" s="1266"/>
      <c r="BLM29" s="1266"/>
      <c r="BLN29" s="1266"/>
      <c r="BLO29" s="1266"/>
      <c r="BLP29" s="1266"/>
      <c r="BLQ29" s="1266"/>
      <c r="BLR29" s="1266"/>
      <c r="BLS29" s="1266"/>
      <c r="BLT29" s="1266"/>
      <c r="BLU29" s="1266"/>
      <c r="BLV29" s="1266"/>
      <c r="BLW29" s="1266"/>
      <c r="BLX29" s="1266"/>
      <c r="BLY29" s="1266"/>
      <c r="BLZ29" s="1266"/>
      <c r="BMA29" s="1266"/>
      <c r="BMB29" s="1266"/>
      <c r="BMC29" s="1266"/>
      <c r="BMD29" s="1266"/>
      <c r="BME29" s="1266"/>
      <c r="BMF29" s="1266"/>
      <c r="BMG29" s="1266"/>
      <c r="BMH29" s="1266"/>
      <c r="BMI29" s="1266"/>
      <c r="BMJ29" s="1266"/>
      <c r="BMK29" s="1266"/>
      <c r="BML29" s="1266"/>
      <c r="BMM29" s="1266"/>
      <c r="BMN29" s="1266"/>
      <c r="BMO29" s="1266"/>
      <c r="BMP29" s="1266"/>
      <c r="BMQ29" s="1266"/>
      <c r="BMR29" s="1266"/>
      <c r="BMS29" s="1266"/>
      <c r="BMT29" s="1266"/>
      <c r="BMU29" s="1266"/>
      <c r="BMV29" s="1266"/>
      <c r="BMW29" s="1266"/>
      <c r="BMX29" s="1266"/>
      <c r="BMY29" s="1266"/>
      <c r="BMZ29" s="1266"/>
      <c r="BNA29" s="1266"/>
      <c r="BNB29" s="1266"/>
      <c r="BNC29" s="1266"/>
      <c r="BND29" s="1266"/>
      <c r="BNE29" s="1266"/>
      <c r="BNF29" s="1266"/>
      <c r="BNG29" s="1266"/>
      <c r="BNH29" s="1266"/>
      <c r="BNI29" s="1266"/>
      <c r="BNJ29" s="1266"/>
      <c r="BNK29" s="1266"/>
      <c r="BNL29" s="1266"/>
      <c r="BNM29" s="1266"/>
      <c r="BNN29" s="1266"/>
      <c r="BNO29" s="1266"/>
      <c r="BNP29" s="1266"/>
      <c r="BNQ29" s="1266"/>
      <c r="BNR29" s="1266"/>
      <c r="BNS29" s="1266"/>
      <c r="BNT29" s="1266"/>
      <c r="BNU29" s="1266"/>
      <c r="BNV29" s="1266"/>
      <c r="BNW29" s="1266"/>
      <c r="BNX29" s="1266"/>
      <c r="BNY29" s="1266"/>
      <c r="BNZ29" s="1266"/>
      <c r="BOA29" s="1266"/>
      <c r="BOB29" s="1266"/>
      <c r="BOC29" s="1266"/>
      <c r="BOD29" s="1266"/>
      <c r="BOE29" s="1266"/>
      <c r="BOF29" s="1266"/>
      <c r="BOG29" s="1266"/>
      <c r="BOH29" s="1266"/>
      <c r="BOI29" s="1266"/>
      <c r="BOJ29" s="1266"/>
      <c r="BOK29" s="1266"/>
      <c r="BOL29" s="1266"/>
      <c r="BOM29" s="1266"/>
      <c r="BON29" s="1266"/>
      <c r="BOO29" s="1266"/>
      <c r="BOP29" s="1266"/>
      <c r="BOQ29" s="1266"/>
      <c r="BOR29" s="1266"/>
      <c r="BOS29" s="1266"/>
      <c r="BOT29" s="1266"/>
      <c r="BOU29" s="1266"/>
      <c r="BOV29" s="1266"/>
      <c r="BOW29" s="1266"/>
      <c r="BOX29" s="1266"/>
      <c r="BOY29" s="1266"/>
      <c r="BOZ29" s="1266"/>
      <c r="BPA29" s="1266"/>
      <c r="BPB29" s="1266"/>
      <c r="BPC29" s="1266"/>
      <c r="BPD29" s="1266"/>
      <c r="BPE29" s="1266"/>
      <c r="BPF29" s="1266"/>
      <c r="BPG29" s="1266"/>
      <c r="BPH29" s="1266"/>
      <c r="BPI29" s="1266"/>
      <c r="BPJ29" s="1266"/>
      <c r="BPK29" s="1266"/>
      <c r="BPL29" s="1266"/>
      <c r="BPM29" s="1266"/>
      <c r="BPN29" s="1266"/>
      <c r="BPO29" s="1266"/>
      <c r="BPP29" s="1266"/>
      <c r="BPQ29" s="1266"/>
      <c r="BPR29" s="1266"/>
      <c r="BPS29" s="1266"/>
      <c r="BPT29" s="1266"/>
      <c r="BPU29" s="1266"/>
      <c r="BPV29" s="1266"/>
      <c r="BPW29" s="1266"/>
      <c r="BPX29" s="1266"/>
      <c r="BPY29" s="1266"/>
      <c r="BPZ29" s="1266"/>
      <c r="BQA29" s="1266"/>
      <c r="BQB29" s="1266"/>
      <c r="BQC29" s="1266"/>
      <c r="BQD29" s="1266"/>
      <c r="BQE29" s="1266"/>
      <c r="BQF29" s="1266"/>
      <c r="BQG29" s="1266"/>
      <c r="BQH29" s="1266"/>
      <c r="BQI29" s="1266"/>
      <c r="BQJ29" s="1266"/>
      <c r="BQK29" s="1266"/>
      <c r="BQL29" s="1266"/>
      <c r="BQM29" s="1266"/>
      <c r="BQN29" s="1266"/>
      <c r="BQO29" s="1266"/>
      <c r="BQP29" s="1266"/>
      <c r="BQQ29" s="1266"/>
      <c r="BQR29" s="1266"/>
      <c r="BQS29" s="1266"/>
      <c r="BQT29" s="1266"/>
      <c r="BQU29" s="1266"/>
      <c r="BQV29" s="1266"/>
      <c r="BQW29" s="1266"/>
      <c r="BQX29" s="1266"/>
      <c r="BQY29" s="1266"/>
      <c r="BQZ29" s="1266"/>
      <c r="BRA29" s="1266"/>
      <c r="BRB29" s="1266"/>
      <c r="BRC29" s="1266"/>
      <c r="BRD29" s="1266"/>
      <c r="BRE29" s="1266"/>
      <c r="BRF29" s="1266"/>
      <c r="BRG29" s="1266"/>
      <c r="BRH29" s="1266"/>
      <c r="BRI29" s="1266"/>
      <c r="BRJ29" s="1266"/>
      <c r="BRK29" s="1266"/>
      <c r="BRL29" s="1266"/>
      <c r="BRM29" s="1266"/>
      <c r="BRN29" s="1266"/>
      <c r="BRO29" s="1266"/>
      <c r="BRP29" s="1266"/>
      <c r="BRQ29" s="1266"/>
      <c r="BRR29" s="1266"/>
      <c r="BRS29" s="1266"/>
      <c r="BRT29" s="1266"/>
      <c r="BRU29" s="1266"/>
      <c r="BRV29" s="1266"/>
      <c r="BRW29" s="1266"/>
      <c r="BRX29" s="1266"/>
      <c r="BRY29" s="1266"/>
      <c r="BRZ29" s="1266"/>
      <c r="BSA29" s="1266"/>
      <c r="BSB29" s="1266"/>
      <c r="BSC29" s="1266"/>
      <c r="BSD29" s="1266"/>
      <c r="BSE29" s="1266"/>
      <c r="BSF29" s="1266"/>
      <c r="BSG29" s="1266"/>
      <c r="BSH29" s="1266"/>
      <c r="BSI29" s="1266"/>
      <c r="BSJ29" s="1266"/>
      <c r="BSK29" s="1266"/>
      <c r="BSL29" s="1266"/>
      <c r="BSM29" s="1266"/>
      <c r="BSN29" s="1266"/>
      <c r="BSO29" s="1266"/>
      <c r="BSP29" s="1266"/>
      <c r="BSQ29" s="1266"/>
      <c r="BSR29" s="1266"/>
      <c r="BSS29" s="1266"/>
      <c r="BST29" s="1266"/>
      <c r="BSU29" s="1266"/>
      <c r="BSV29" s="1266"/>
      <c r="BSW29" s="1266"/>
      <c r="BSX29" s="1266"/>
      <c r="BSY29" s="1266"/>
      <c r="BSZ29" s="1266"/>
      <c r="BTA29" s="1266"/>
      <c r="BTB29" s="1266"/>
      <c r="BTC29" s="1266"/>
      <c r="BTD29" s="1266"/>
      <c r="BTE29" s="1266"/>
      <c r="BTF29" s="1266"/>
      <c r="BTG29" s="1266"/>
      <c r="BTH29" s="1266"/>
      <c r="BTI29" s="1266"/>
      <c r="BTJ29" s="1266"/>
      <c r="BTK29" s="1266"/>
      <c r="BTL29" s="1266"/>
      <c r="BTM29" s="1266"/>
      <c r="BTN29" s="1266"/>
      <c r="BTO29" s="1266"/>
      <c r="BTP29" s="1266"/>
      <c r="BTQ29" s="1266"/>
      <c r="BTR29" s="1266"/>
      <c r="BTS29" s="1266"/>
      <c r="BTT29" s="1266"/>
      <c r="BTU29" s="1266"/>
      <c r="BTV29" s="1266"/>
      <c r="BTW29" s="1266"/>
      <c r="BTX29" s="1266"/>
      <c r="BTY29" s="1266"/>
      <c r="BTZ29" s="1266"/>
      <c r="BUA29" s="1266"/>
      <c r="BUB29" s="1266"/>
      <c r="BUC29" s="1266"/>
      <c r="BUD29" s="1266"/>
      <c r="BUE29" s="1266"/>
      <c r="BUF29" s="1266"/>
      <c r="BUG29" s="1266"/>
      <c r="BUH29" s="1266"/>
      <c r="BUI29" s="1266"/>
      <c r="BUJ29" s="1266"/>
      <c r="BUK29" s="1266"/>
      <c r="BUL29" s="1266"/>
      <c r="BUM29" s="1266"/>
      <c r="BUN29" s="1266"/>
      <c r="BUO29" s="1266"/>
      <c r="BUP29" s="1266"/>
      <c r="BUQ29" s="1266"/>
      <c r="BUR29" s="1266"/>
      <c r="BUS29" s="1266"/>
      <c r="BUT29" s="1266"/>
      <c r="BUU29" s="1266"/>
      <c r="BUV29" s="1266"/>
      <c r="BUW29" s="1266"/>
      <c r="BUX29" s="1266"/>
      <c r="BUY29" s="1266"/>
      <c r="BUZ29" s="1266"/>
      <c r="BVA29" s="1266"/>
      <c r="BVB29" s="1266"/>
      <c r="BVC29" s="1266"/>
      <c r="BVD29" s="1266"/>
      <c r="BVE29" s="1266"/>
      <c r="BVF29" s="1266"/>
      <c r="BVG29" s="1266"/>
      <c r="BVH29" s="1266"/>
      <c r="BVI29" s="1266"/>
      <c r="BVJ29" s="1266"/>
      <c r="BVK29" s="1266"/>
      <c r="BVL29" s="1266"/>
      <c r="BVM29" s="1266"/>
      <c r="BVN29" s="1266"/>
      <c r="BVO29" s="1266"/>
      <c r="BVP29" s="1266"/>
      <c r="BVQ29" s="1266"/>
      <c r="BVR29" s="1266"/>
      <c r="BVS29" s="1266"/>
      <c r="BVT29" s="1266"/>
      <c r="BVU29" s="1266"/>
      <c r="BVV29" s="1266"/>
      <c r="BVW29" s="1266"/>
      <c r="BVX29" s="1266"/>
      <c r="BVY29" s="1266"/>
      <c r="BVZ29" s="1266"/>
      <c r="BWA29" s="1266"/>
      <c r="BWB29" s="1266"/>
      <c r="BWC29" s="1266"/>
      <c r="BWD29" s="1266"/>
      <c r="BWE29" s="1266"/>
      <c r="BWF29" s="1266"/>
      <c r="BWG29" s="1266"/>
      <c r="BWH29" s="1266"/>
      <c r="BWI29" s="1266"/>
      <c r="BWJ29" s="1266"/>
      <c r="BWK29" s="1266"/>
      <c r="BWL29" s="1266"/>
      <c r="BWM29" s="1266"/>
      <c r="BWN29" s="1266"/>
      <c r="BWO29" s="1266"/>
      <c r="BWP29" s="1266"/>
      <c r="BWQ29" s="1266"/>
      <c r="BWR29" s="1266"/>
      <c r="BWS29" s="1266"/>
      <c r="BWT29" s="1266"/>
      <c r="BWU29" s="1266"/>
      <c r="BWV29" s="1266"/>
      <c r="BWW29" s="1266"/>
      <c r="BWX29" s="1266"/>
      <c r="BWY29" s="1266"/>
      <c r="BWZ29" s="1266"/>
      <c r="BXA29" s="1266"/>
      <c r="BXB29" s="1266"/>
      <c r="BXC29" s="1266"/>
      <c r="BXD29" s="1266"/>
      <c r="BXE29" s="1266"/>
      <c r="BXF29" s="1266"/>
      <c r="BXG29" s="1266"/>
      <c r="BXH29" s="1266"/>
      <c r="BXI29" s="1266"/>
      <c r="BXJ29" s="1266"/>
      <c r="BXK29" s="1266"/>
      <c r="BXL29" s="1266"/>
      <c r="BXM29" s="1266"/>
      <c r="BXN29" s="1266"/>
      <c r="BXO29" s="1266"/>
      <c r="BXP29" s="1266"/>
      <c r="BXQ29" s="1266"/>
      <c r="BXR29" s="1266"/>
      <c r="BXS29" s="1266"/>
      <c r="BXT29" s="1266"/>
      <c r="BXU29" s="1266"/>
      <c r="BXV29" s="1266"/>
      <c r="BXW29" s="1266"/>
      <c r="BXX29" s="1266"/>
      <c r="BXY29" s="1266"/>
      <c r="BXZ29" s="1266"/>
      <c r="BYA29" s="1266"/>
      <c r="BYB29" s="1266"/>
      <c r="BYC29" s="1266"/>
      <c r="BYD29" s="1266"/>
      <c r="BYE29" s="1266"/>
      <c r="BYF29" s="1266"/>
      <c r="BYG29" s="1266"/>
      <c r="BYH29" s="1266"/>
      <c r="BYI29" s="1266"/>
      <c r="BYJ29" s="1266"/>
      <c r="BYK29" s="1266"/>
      <c r="BYL29" s="1266"/>
      <c r="BYM29" s="1266"/>
      <c r="BYN29" s="1266"/>
      <c r="BYO29" s="1266"/>
      <c r="BYP29" s="1266"/>
      <c r="BYQ29" s="1266"/>
      <c r="BYR29" s="1266"/>
      <c r="BYS29" s="1266"/>
      <c r="BYT29" s="1266"/>
      <c r="BYU29" s="1266"/>
      <c r="BYV29" s="1266"/>
      <c r="BYW29" s="1266"/>
      <c r="BYX29" s="1266"/>
      <c r="BYY29" s="1266"/>
      <c r="BYZ29" s="1266"/>
      <c r="BZA29" s="1266"/>
      <c r="BZB29" s="1266"/>
      <c r="BZC29" s="1266"/>
      <c r="BZD29" s="1266"/>
      <c r="BZE29" s="1266"/>
      <c r="BZF29" s="1266"/>
      <c r="BZG29" s="1266"/>
      <c r="BZH29" s="1266"/>
      <c r="BZI29" s="1266"/>
      <c r="BZJ29" s="1266"/>
      <c r="BZK29" s="1266"/>
      <c r="BZL29" s="1266"/>
      <c r="BZM29" s="1266"/>
      <c r="BZN29" s="1266"/>
      <c r="BZO29" s="1266"/>
      <c r="BZP29" s="1266"/>
      <c r="BZQ29" s="1266"/>
      <c r="BZR29" s="1266"/>
      <c r="BZS29" s="1266"/>
      <c r="BZT29" s="1266"/>
      <c r="BZU29" s="1266"/>
      <c r="BZV29" s="1266"/>
      <c r="BZW29" s="1266"/>
      <c r="BZX29" s="1266"/>
      <c r="BZY29" s="1266"/>
      <c r="BZZ29" s="1266"/>
      <c r="CAA29" s="1266"/>
      <c r="CAB29" s="1266"/>
      <c r="CAC29" s="1266"/>
      <c r="CAD29" s="1266"/>
      <c r="CAE29" s="1266"/>
      <c r="CAF29" s="1266"/>
      <c r="CAG29" s="1266"/>
      <c r="CAH29" s="1266"/>
      <c r="CAI29" s="1266"/>
      <c r="CAJ29" s="1266"/>
      <c r="CAK29" s="1266"/>
      <c r="CAL29" s="1266"/>
      <c r="CAM29" s="1266"/>
      <c r="CAN29" s="1266"/>
      <c r="CAO29" s="1266"/>
      <c r="CAP29" s="1266"/>
      <c r="CAQ29" s="1266"/>
      <c r="CAR29" s="1266"/>
      <c r="CAS29" s="1266"/>
      <c r="CAT29" s="1266"/>
      <c r="CAU29" s="1266"/>
      <c r="CAV29" s="1266"/>
      <c r="CAW29" s="1266"/>
      <c r="CAX29" s="1266"/>
      <c r="CAY29" s="1266"/>
      <c r="CAZ29" s="1266"/>
      <c r="CBA29" s="1266"/>
      <c r="CBB29" s="1266"/>
      <c r="CBC29" s="1266"/>
      <c r="CBD29" s="1266"/>
      <c r="CBE29" s="1266"/>
      <c r="CBF29" s="1266"/>
      <c r="CBG29" s="1266"/>
      <c r="CBH29" s="1266"/>
      <c r="CBI29" s="1266"/>
      <c r="CBJ29" s="1266"/>
      <c r="CBK29" s="1266"/>
      <c r="CBL29" s="1266"/>
      <c r="CBM29" s="1266"/>
      <c r="CBN29" s="1266"/>
      <c r="CBO29" s="1266"/>
      <c r="CBP29" s="1266"/>
      <c r="CBQ29" s="1266"/>
      <c r="CBR29" s="1266"/>
      <c r="CBS29" s="1266"/>
      <c r="CBT29" s="1266"/>
      <c r="CBU29" s="1266"/>
      <c r="CBV29" s="1266"/>
      <c r="CBW29" s="1266"/>
      <c r="CBX29" s="1266"/>
      <c r="CBY29" s="1266"/>
      <c r="CBZ29" s="1266"/>
      <c r="CCA29" s="1266"/>
      <c r="CCB29" s="1266"/>
      <c r="CCC29" s="1266"/>
      <c r="CCD29" s="1266"/>
      <c r="CCE29" s="1266"/>
      <c r="CCF29" s="1266"/>
      <c r="CCG29" s="1266"/>
      <c r="CCH29" s="1266"/>
      <c r="CCI29" s="1266"/>
      <c r="CCJ29" s="1266"/>
      <c r="CCK29" s="1266"/>
      <c r="CCL29" s="1266"/>
      <c r="CCM29" s="1266"/>
      <c r="CCN29" s="1266"/>
      <c r="CCO29" s="1266"/>
      <c r="CCP29" s="1266"/>
      <c r="CCQ29" s="1266"/>
      <c r="CCR29" s="1266"/>
      <c r="CCS29" s="1266"/>
      <c r="CCT29" s="1266"/>
      <c r="CCU29" s="1266"/>
      <c r="CCV29" s="1266"/>
      <c r="CCW29" s="1266"/>
      <c r="CCX29" s="1266"/>
      <c r="CCY29" s="1266"/>
      <c r="CCZ29" s="1266"/>
      <c r="CDA29" s="1266"/>
      <c r="CDB29" s="1266"/>
      <c r="CDC29" s="1266"/>
      <c r="CDD29" s="1266"/>
      <c r="CDE29" s="1266"/>
      <c r="CDF29" s="1266"/>
      <c r="CDG29" s="1266"/>
      <c r="CDH29" s="1266"/>
      <c r="CDI29" s="1266"/>
      <c r="CDJ29" s="1266"/>
      <c r="CDK29" s="1266"/>
      <c r="CDL29" s="1266"/>
      <c r="CDM29" s="1266"/>
      <c r="CDN29" s="1266"/>
      <c r="CDO29" s="1266"/>
      <c r="CDP29" s="1266"/>
      <c r="CDQ29" s="1266"/>
      <c r="CDR29" s="1266"/>
      <c r="CDS29" s="1266"/>
      <c r="CDT29" s="1266"/>
      <c r="CDU29" s="1266"/>
      <c r="CDV29" s="1266"/>
      <c r="CDW29" s="1266"/>
      <c r="CDX29" s="1266"/>
      <c r="CDY29" s="1266"/>
      <c r="CDZ29" s="1266"/>
      <c r="CEA29" s="1266"/>
      <c r="CEB29" s="1266"/>
      <c r="CEC29" s="1266"/>
      <c r="CED29" s="1266"/>
      <c r="CEE29" s="1266"/>
      <c r="CEF29" s="1266"/>
      <c r="CEG29" s="1266"/>
      <c r="CEH29" s="1266"/>
      <c r="CEI29" s="1266"/>
      <c r="CEJ29" s="1266"/>
      <c r="CEK29" s="1266"/>
      <c r="CEL29" s="1266"/>
      <c r="CEM29" s="1266"/>
      <c r="CEN29" s="1266"/>
      <c r="CEO29" s="1266"/>
      <c r="CEP29" s="1266"/>
      <c r="CEQ29" s="1266"/>
      <c r="CER29" s="1266"/>
      <c r="CES29" s="1266"/>
      <c r="CET29" s="1266"/>
      <c r="CEU29" s="1266"/>
      <c r="CEV29" s="1266"/>
      <c r="CEW29" s="1266"/>
      <c r="CEX29" s="1266"/>
      <c r="CEY29" s="1266"/>
      <c r="CEZ29" s="1266"/>
      <c r="CFA29" s="1266"/>
      <c r="CFB29" s="1266"/>
      <c r="CFC29" s="1266"/>
      <c r="CFD29" s="1266"/>
      <c r="CFE29" s="1266"/>
      <c r="CFF29" s="1266"/>
      <c r="CFG29" s="1266"/>
      <c r="CFH29" s="1266"/>
      <c r="CFI29" s="1266"/>
      <c r="CFJ29" s="1266"/>
      <c r="CFK29" s="1266"/>
      <c r="CFL29" s="1266"/>
      <c r="CFM29" s="1266"/>
      <c r="CFN29" s="1266"/>
      <c r="CFO29" s="1266"/>
      <c r="CFP29" s="1266"/>
      <c r="CFQ29" s="1266"/>
      <c r="CFR29" s="1266"/>
      <c r="CFS29" s="1266"/>
      <c r="CFT29" s="1266"/>
      <c r="CFU29" s="1266"/>
      <c r="CFV29" s="1266"/>
      <c r="CFW29" s="1266"/>
      <c r="CFX29" s="1266"/>
      <c r="CFY29" s="1266"/>
      <c r="CFZ29" s="1266"/>
      <c r="CGA29" s="1266"/>
      <c r="CGB29" s="1266"/>
      <c r="CGC29" s="1266"/>
      <c r="CGD29" s="1266"/>
      <c r="CGE29" s="1266"/>
      <c r="CGF29" s="1266"/>
      <c r="CGG29" s="1266"/>
      <c r="CGH29" s="1266"/>
      <c r="CGI29" s="1266"/>
      <c r="CGJ29" s="1266"/>
      <c r="CGK29" s="1266"/>
      <c r="CGL29" s="1266"/>
      <c r="CGM29" s="1266"/>
      <c r="CGN29" s="1266"/>
      <c r="CGO29" s="1266"/>
      <c r="CGP29" s="1266"/>
      <c r="CGQ29" s="1266"/>
      <c r="CGR29" s="1266"/>
      <c r="CGS29" s="1266"/>
      <c r="CGT29" s="1266"/>
      <c r="CGU29" s="1266"/>
      <c r="CGV29" s="1266"/>
      <c r="CGW29" s="1266"/>
      <c r="CGX29" s="1266"/>
      <c r="CGY29" s="1266"/>
      <c r="CGZ29" s="1266"/>
      <c r="CHA29" s="1266"/>
      <c r="CHB29" s="1266"/>
      <c r="CHC29" s="1266"/>
      <c r="CHD29" s="1266"/>
      <c r="CHE29" s="1266"/>
      <c r="CHF29" s="1266"/>
      <c r="CHG29" s="1266"/>
      <c r="CHH29" s="1266"/>
      <c r="CHI29" s="1266"/>
      <c r="CHJ29" s="1266"/>
      <c r="CHK29" s="1266"/>
      <c r="CHL29" s="1266"/>
      <c r="CHM29" s="1266"/>
      <c r="CHN29" s="1266"/>
      <c r="CHO29" s="1266"/>
      <c r="CHP29" s="1266"/>
      <c r="CHQ29" s="1266"/>
      <c r="CHR29" s="1266"/>
      <c r="CHS29" s="1266"/>
      <c r="CHT29" s="1266"/>
      <c r="CHU29" s="1266"/>
      <c r="CHV29" s="1266"/>
      <c r="CHW29" s="1266"/>
      <c r="CHX29" s="1266"/>
      <c r="CHY29" s="1266"/>
      <c r="CHZ29" s="1266"/>
      <c r="CIA29" s="1266"/>
      <c r="CIB29" s="1266"/>
      <c r="CIC29" s="1266"/>
      <c r="CID29" s="1266"/>
      <c r="CIE29" s="1266"/>
      <c r="CIF29" s="1266"/>
      <c r="CIG29" s="1266"/>
      <c r="CIH29" s="1266"/>
      <c r="CII29" s="1266"/>
      <c r="CIJ29" s="1266"/>
      <c r="CIK29" s="1266"/>
      <c r="CIL29" s="1266"/>
      <c r="CIM29" s="1266"/>
      <c r="CIN29" s="1266"/>
      <c r="CIO29" s="1266"/>
      <c r="CIP29" s="1266"/>
      <c r="CIQ29" s="1266"/>
      <c r="CIR29" s="1266"/>
      <c r="CIS29" s="1266"/>
      <c r="CIT29" s="1266"/>
      <c r="CIU29" s="1266"/>
      <c r="CIV29" s="1266"/>
      <c r="CIW29" s="1266"/>
      <c r="CIX29" s="1266"/>
      <c r="CIY29" s="1266"/>
      <c r="CIZ29" s="1266"/>
      <c r="CJA29" s="1266"/>
      <c r="CJB29" s="1266"/>
      <c r="CJC29" s="1266"/>
      <c r="CJD29" s="1266"/>
      <c r="CJE29" s="1266"/>
      <c r="CJF29" s="1266"/>
      <c r="CJG29" s="1266"/>
      <c r="CJH29" s="1266"/>
      <c r="CJI29" s="1266"/>
      <c r="CJJ29" s="1266"/>
      <c r="CJK29" s="1266"/>
      <c r="CJL29" s="1266"/>
      <c r="CJM29" s="1266"/>
      <c r="CJN29" s="1266"/>
      <c r="CJO29" s="1266"/>
      <c r="CJP29" s="1266"/>
      <c r="CJQ29" s="1266"/>
      <c r="CJR29" s="1266"/>
      <c r="CJS29" s="1266"/>
      <c r="CJT29" s="1266"/>
      <c r="CJU29" s="1266"/>
      <c r="CJV29" s="1266"/>
      <c r="CJW29" s="1266"/>
      <c r="CJX29" s="1266"/>
      <c r="CJY29" s="1266"/>
      <c r="CJZ29" s="1266"/>
      <c r="CKA29" s="1266"/>
      <c r="CKB29" s="1266"/>
      <c r="CKC29" s="1266"/>
      <c r="CKD29" s="1266"/>
      <c r="CKE29" s="1266"/>
      <c r="CKF29" s="1266"/>
      <c r="CKG29" s="1266"/>
      <c r="CKH29" s="1266"/>
      <c r="CKI29" s="1266"/>
      <c r="CKJ29" s="1266"/>
      <c r="CKK29" s="1266"/>
      <c r="CKL29" s="1266"/>
      <c r="CKM29" s="1266"/>
      <c r="CKN29" s="1266"/>
      <c r="CKO29" s="1266"/>
      <c r="CKP29" s="1266"/>
      <c r="CKQ29" s="1266"/>
      <c r="CKR29" s="1266"/>
      <c r="CKS29" s="1266"/>
      <c r="CKT29" s="1266"/>
      <c r="CKU29" s="1266"/>
      <c r="CKV29" s="1266"/>
      <c r="CKW29" s="1266"/>
      <c r="CKX29" s="1266"/>
      <c r="CKY29" s="1266"/>
      <c r="CKZ29" s="1266"/>
      <c r="CLA29" s="1266"/>
      <c r="CLB29" s="1266"/>
      <c r="CLC29" s="1266"/>
      <c r="CLD29" s="1266"/>
      <c r="CLE29" s="1266"/>
      <c r="CLF29" s="1266"/>
      <c r="CLG29" s="1266"/>
      <c r="CLH29" s="1266"/>
      <c r="CLI29" s="1266"/>
      <c r="CLJ29" s="1266"/>
      <c r="CLK29" s="1266"/>
      <c r="CLL29" s="1266"/>
      <c r="CLM29" s="1266"/>
      <c r="CLN29" s="1266"/>
      <c r="CLO29" s="1266"/>
      <c r="CLP29" s="1266"/>
      <c r="CLQ29" s="1266"/>
      <c r="CLR29" s="1266"/>
      <c r="CLS29" s="1266"/>
      <c r="CLT29" s="1266"/>
      <c r="CLU29" s="1266"/>
      <c r="CLV29" s="1266"/>
      <c r="CLW29" s="1266"/>
      <c r="CLX29" s="1266"/>
      <c r="CLY29" s="1266"/>
      <c r="CLZ29" s="1266"/>
      <c r="CMA29" s="1266"/>
      <c r="CMB29" s="1266"/>
      <c r="CMC29" s="1266"/>
      <c r="CMD29" s="1266"/>
      <c r="CME29" s="1266"/>
      <c r="CMF29" s="1266"/>
      <c r="CMG29" s="1266"/>
      <c r="CMH29" s="1266"/>
      <c r="CMI29" s="1266"/>
      <c r="CMJ29" s="1266"/>
      <c r="CMK29" s="1266"/>
      <c r="CML29" s="1266"/>
      <c r="CMM29" s="1266"/>
      <c r="CMN29" s="1266"/>
      <c r="CMO29" s="1266"/>
      <c r="CMP29" s="1266"/>
      <c r="CMQ29" s="1266"/>
      <c r="CMR29" s="1266"/>
      <c r="CMS29" s="1266"/>
      <c r="CMT29" s="1266"/>
      <c r="CMU29" s="1266"/>
      <c r="CMV29" s="1266"/>
      <c r="CMW29" s="1266"/>
      <c r="CMX29" s="1266"/>
      <c r="CMY29" s="1266"/>
      <c r="CMZ29" s="1266"/>
      <c r="CNA29" s="1266"/>
      <c r="CNB29" s="1266"/>
      <c r="CNC29" s="1266"/>
      <c r="CND29" s="1266"/>
      <c r="CNE29" s="1266"/>
      <c r="CNF29" s="1266"/>
      <c r="CNG29" s="1266"/>
      <c r="CNH29" s="1266"/>
      <c r="CNI29" s="1266"/>
      <c r="CNJ29" s="1266"/>
      <c r="CNK29" s="1266"/>
      <c r="CNL29" s="1266"/>
      <c r="CNM29" s="1266"/>
      <c r="CNN29" s="1266"/>
      <c r="CNO29" s="1266"/>
      <c r="CNP29" s="1266"/>
      <c r="CNQ29" s="1266"/>
      <c r="CNR29" s="1266"/>
      <c r="CNS29" s="1266"/>
      <c r="CNT29" s="1266"/>
      <c r="CNU29" s="1266"/>
      <c r="CNV29" s="1266"/>
      <c r="CNW29" s="1266"/>
      <c r="CNX29" s="1266"/>
      <c r="CNY29" s="1266"/>
      <c r="CNZ29" s="1266"/>
      <c r="COA29" s="1266"/>
      <c r="COB29" s="1266"/>
      <c r="COC29" s="1266"/>
      <c r="COD29" s="1266"/>
      <c r="COE29" s="1266"/>
      <c r="COF29" s="1266"/>
      <c r="COG29" s="1266"/>
      <c r="COH29" s="1266"/>
      <c r="COI29" s="1266"/>
      <c r="COJ29" s="1266"/>
      <c r="COK29" s="1266"/>
      <c r="COL29" s="1266"/>
      <c r="COM29" s="1266"/>
      <c r="CON29" s="1266"/>
      <c r="COO29" s="1266"/>
      <c r="COP29" s="1266"/>
      <c r="COQ29" s="1266"/>
      <c r="COR29" s="1266"/>
      <c r="COS29" s="1266"/>
      <c r="COT29" s="1266"/>
      <c r="COU29" s="1266"/>
      <c r="COV29" s="1266"/>
      <c r="COW29" s="1266"/>
      <c r="COX29" s="1266"/>
      <c r="COY29" s="1266"/>
      <c r="COZ29" s="1266"/>
      <c r="CPA29" s="1266"/>
      <c r="CPB29" s="1266"/>
      <c r="CPC29" s="1266"/>
      <c r="CPD29" s="1266"/>
      <c r="CPE29" s="1266"/>
      <c r="CPF29" s="1266"/>
      <c r="CPG29" s="1266"/>
      <c r="CPH29" s="1266"/>
      <c r="CPI29" s="1266"/>
      <c r="CPJ29" s="1266"/>
      <c r="CPK29" s="1266"/>
      <c r="CPL29" s="1266"/>
      <c r="CPM29" s="1266"/>
      <c r="CPN29" s="1266"/>
      <c r="CPO29" s="1266"/>
      <c r="CPP29" s="1266"/>
      <c r="CPQ29" s="1266"/>
      <c r="CPR29" s="1266"/>
      <c r="CPS29" s="1266"/>
      <c r="CPT29" s="1266"/>
      <c r="CPU29" s="1266"/>
      <c r="CPV29" s="1266"/>
      <c r="CPW29" s="1266"/>
      <c r="CPX29" s="1266"/>
      <c r="CPY29" s="1266"/>
      <c r="CPZ29" s="1266"/>
      <c r="CQA29" s="1266"/>
      <c r="CQB29" s="1266"/>
      <c r="CQC29" s="1266"/>
      <c r="CQD29" s="1266"/>
      <c r="CQE29" s="1266"/>
      <c r="CQF29" s="1266"/>
      <c r="CQG29" s="1266"/>
      <c r="CQH29" s="1266"/>
      <c r="CQI29" s="1266"/>
      <c r="CQJ29" s="1266"/>
      <c r="CQK29" s="1266"/>
      <c r="CQL29" s="1266"/>
      <c r="CQM29" s="1266"/>
      <c r="CQN29" s="1266"/>
      <c r="CQO29" s="1266"/>
      <c r="CQP29" s="1266"/>
      <c r="CQQ29" s="1266"/>
      <c r="CQR29" s="1266"/>
      <c r="CQS29" s="1266"/>
      <c r="CQT29" s="1266"/>
      <c r="CQU29" s="1266"/>
      <c r="CQV29" s="1266"/>
      <c r="CQW29" s="1266"/>
      <c r="CQX29" s="1266"/>
      <c r="CQY29" s="1266"/>
      <c r="CQZ29" s="1266"/>
      <c r="CRA29" s="1266"/>
      <c r="CRB29" s="1266"/>
      <c r="CRC29" s="1266"/>
      <c r="CRD29" s="1266"/>
      <c r="CRE29" s="1266"/>
      <c r="CRF29" s="1266"/>
      <c r="CRG29" s="1266"/>
      <c r="CRH29" s="1266"/>
      <c r="CRI29" s="1266"/>
      <c r="CRJ29" s="1266"/>
      <c r="CRK29" s="1266"/>
      <c r="CRL29" s="1266"/>
      <c r="CRM29" s="1266"/>
      <c r="CRN29" s="1266"/>
      <c r="CRO29" s="1266"/>
      <c r="CRP29" s="1266"/>
      <c r="CRQ29" s="1266"/>
      <c r="CRR29" s="1266"/>
      <c r="CRS29" s="1266"/>
      <c r="CRT29" s="1266"/>
      <c r="CRU29" s="1266"/>
      <c r="CRV29" s="1266"/>
      <c r="CRW29" s="1266"/>
      <c r="CRX29" s="1266"/>
      <c r="CRY29" s="1266"/>
      <c r="CRZ29" s="1266"/>
      <c r="CSA29" s="1266"/>
      <c r="CSB29" s="1266"/>
      <c r="CSC29" s="1266"/>
      <c r="CSD29" s="1266"/>
      <c r="CSE29" s="1266"/>
      <c r="CSF29" s="1266"/>
      <c r="CSG29" s="1266"/>
      <c r="CSH29" s="1266"/>
      <c r="CSI29" s="1266"/>
      <c r="CSJ29" s="1266"/>
      <c r="CSK29" s="1266"/>
      <c r="CSL29" s="1266"/>
      <c r="CSM29" s="1266"/>
      <c r="CSN29" s="1266"/>
      <c r="CSO29" s="1266"/>
      <c r="CSP29" s="1266"/>
      <c r="CSQ29" s="1266"/>
      <c r="CSR29" s="1266"/>
      <c r="CSS29" s="1266"/>
      <c r="CST29" s="1266"/>
      <c r="CSU29" s="1266"/>
      <c r="CSV29" s="1266"/>
      <c r="CSW29" s="1266"/>
      <c r="CSX29" s="1266"/>
      <c r="CSY29" s="1266"/>
      <c r="CSZ29" s="1266"/>
      <c r="CTA29" s="1266"/>
      <c r="CTB29" s="1266"/>
      <c r="CTC29" s="1266"/>
      <c r="CTD29" s="1266"/>
      <c r="CTE29" s="1266"/>
      <c r="CTF29" s="1266"/>
      <c r="CTG29" s="1266"/>
      <c r="CTH29" s="1266"/>
      <c r="CTI29" s="1266"/>
      <c r="CTJ29" s="1266"/>
      <c r="CTK29" s="1266"/>
      <c r="CTL29" s="1266"/>
      <c r="CTM29" s="1266"/>
      <c r="CTN29" s="1266"/>
      <c r="CTO29" s="1266"/>
      <c r="CTP29" s="1266"/>
      <c r="CTQ29" s="1266"/>
      <c r="CTR29" s="1266"/>
      <c r="CTS29" s="1266"/>
      <c r="CTT29" s="1266"/>
      <c r="CTU29" s="1266"/>
      <c r="CTV29" s="1266"/>
      <c r="CTW29" s="1266"/>
      <c r="CTX29" s="1266"/>
      <c r="CTY29" s="1266"/>
      <c r="CTZ29" s="1266"/>
      <c r="CUA29" s="1266"/>
      <c r="CUB29" s="1266"/>
      <c r="CUC29" s="1266"/>
      <c r="CUD29" s="1266"/>
      <c r="CUE29" s="1266"/>
      <c r="CUF29" s="1266"/>
      <c r="CUG29" s="1266"/>
      <c r="CUH29" s="1266"/>
      <c r="CUI29" s="1266"/>
      <c r="CUJ29" s="1266"/>
      <c r="CUK29" s="1266"/>
      <c r="CUL29" s="1266"/>
      <c r="CUM29" s="1266"/>
      <c r="CUN29" s="1266"/>
      <c r="CUO29" s="1266"/>
      <c r="CUP29" s="1266"/>
      <c r="CUQ29" s="1266"/>
      <c r="CUR29" s="1266"/>
      <c r="CUS29" s="1266"/>
      <c r="CUT29" s="1266"/>
      <c r="CUU29" s="1266"/>
      <c r="CUV29" s="1266"/>
      <c r="CUW29" s="1266"/>
      <c r="CUX29" s="1266"/>
      <c r="CUY29" s="1266"/>
      <c r="CUZ29" s="1266"/>
      <c r="CVA29" s="1266"/>
      <c r="CVB29" s="1266"/>
      <c r="CVC29" s="1266"/>
      <c r="CVD29" s="1266"/>
      <c r="CVE29" s="1266"/>
      <c r="CVF29" s="1266"/>
      <c r="CVG29" s="1266"/>
      <c r="CVH29" s="1266"/>
      <c r="CVI29" s="1266"/>
      <c r="CVJ29" s="1266"/>
      <c r="CVK29" s="1266"/>
      <c r="CVL29" s="1266"/>
      <c r="CVM29" s="1266"/>
      <c r="CVN29" s="1266"/>
      <c r="CVO29" s="1266"/>
      <c r="CVP29" s="1266"/>
      <c r="CVQ29" s="1266"/>
      <c r="CVR29" s="1266"/>
      <c r="CVS29" s="1266"/>
      <c r="CVT29" s="1266"/>
      <c r="CVU29" s="1266"/>
      <c r="CVV29" s="1266"/>
      <c r="CVW29" s="1266"/>
      <c r="CVX29" s="1266"/>
      <c r="CVY29" s="1266"/>
      <c r="CVZ29" s="1266"/>
      <c r="CWA29" s="1266"/>
      <c r="CWB29" s="1266"/>
      <c r="CWC29" s="1266"/>
      <c r="CWD29" s="1266"/>
      <c r="CWE29" s="1266"/>
      <c r="CWF29" s="1266"/>
      <c r="CWG29" s="1266"/>
      <c r="CWH29" s="1266"/>
      <c r="CWI29" s="1266"/>
      <c r="CWJ29" s="1266"/>
      <c r="CWK29" s="1266"/>
      <c r="CWL29" s="1266"/>
      <c r="CWM29" s="1266"/>
      <c r="CWN29" s="1266"/>
      <c r="CWO29" s="1266"/>
      <c r="CWP29" s="1266"/>
      <c r="CWQ29" s="1266"/>
      <c r="CWR29" s="1266"/>
      <c r="CWS29" s="1266"/>
      <c r="CWT29" s="1266"/>
      <c r="CWU29" s="1266"/>
      <c r="CWV29" s="1266"/>
      <c r="CWW29" s="1266"/>
      <c r="CWX29" s="1266"/>
      <c r="CWY29" s="1266"/>
      <c r="CWZ29" s="1266"/>
      <c r="CXA29" s="1266"/>
      <c r="CXB29" s="1266"/>
      <c r="CXC29" s="1266"/>
      <c r="CXD29" s="1266"/>
      <c r="CXE29" s="1266"/>
      <c r="CXF29" s="1266"/>
      <c r="CXG29" s="1266"/>
      <c r="CXH29" s="1266"/>
      <c r="CXI29" s="1266"/>
      <c r="CXJ29" s="1266"/>
      <c r="CXK29" s="1266"/>
      <c r="CXL29" s="1266"/>
      <c r="CXM29" s="1266"/>
      <c r="CXN29" s="1266"/>
      <c r="CXO29" s="1266"/>
      <c r="CXP29" s="1266"/>
      <c r="CXQ29" s="1266"/>
      <c r="CXR29" s="1266"/>
      <c r="CXS29" s="1266"/>
      <c r="CXT29" s="1266"/>
      <c r="CXU29" s="1266"/>
      <c r="CXV29" s="1266"/>
      <c r="CXW29" s="1266"/>
      <c r="CXX29" s="1266"/>
      <c r="CXY29" s="1266"/>
      <c r="CXZ29" s="1266"/>
      <c r="CYA29" s="1266"/>
      <c r="CYB29" s="1266"/>
      <c r="CYC29" s="1266"/>
      <c r="CYD29" s="1266"/>
      <c r="CYE29" s="1266"/>
      <c r="CYF29" s="1266"/>
      <c r="CYG29" s="1266"/>
      <c r="CYH29" s="1266"/>
      <c r="CYI29" s="1266"/>
      <c r="CYJ29" s="1266"/>
      <c r="CYK29" s="1266"/>
      <c r="CYL29" s="1266"/>
      <c r="CYM29" s="1266"/>
      <c r="CYN29" s="1266"/>
      <c r="CYO29" s="1266"/>
      <c r="CYP29" s="1266"/>
      <c r="CYQ29" s="1266"/>
      <c r="CYR29" s="1266"/>
      <c r="CYS29" s="1266"/>
      <c r="CYT29" s="1266"/>
      <c r="CYU29" s="1266"/>
      <c r="CYV29" s="1266"/>
      <c r="CYW29" s="1266"/>
      <c r="CYX29" s="1266"/>
      <c r="CYY29" s="1266"/>
      <c r="CYZ29" s="1266"/>
      <c r="CZA29" s="1266"/>
      <c r="CZB29" s="1266"/>
      <c r="CZC29" s="1266"/>
      <c r="CZD29" s="1266"/>
      <c r="CZE29" s="1266"/>
      <c r="CZF29" s="1266"/>
      <c r="CZG29" s="1266"/>
      <c r="CZH29" s="1266"/>
      <c r="CZI29" s="1266"/>
      <c r="CZJ29" s="1266"/>
      <c r="CZK29" s="1266"/>
      <c r="CZL29" s="1266"/>
      <c r="CZM29" s="1266"/>
      <c r="CZN29" s="1266"/>
      <c r="CZO29" s="1266"/>
      <c r="CZP29" s="1266"/>
      <c r="CZQ29" s="1266"/>
      <c r="CZR29" s="1266"/>
      <c r="CZS29" s="1266"/>
      <c r="CZT29" s="1266"/>
      <c r="CZU29" s="1266"/>
      <c r="CZV29" s="1266"/>
      <c r="CZW29" s="1266"/>
      <c r="CZX29" s="1266"/>
      <c r="CZY29" s="1266"/>
      <c r="CZZ29" s="1266"/>
      <c r="DAA29" s="1266"/>
      <c r="DAB29" s="1266"/>
      <c r="DAC29" s="1266"/>
      <c r="DAD29" s="1266"/>
      <c r="DAE29" s="1266"/>
      <c r="DAF29" s="1266"/>
      <c r="DAG29" s="1266"/>
      <c r="DAH29" s="1266"/>
      <c r="DAI29" s="1266"/>
      <c r="DAJ29" s="1266"/>
      <c r="DAK29" s="1266"/>
      <c r="DAL29" s="1266"/>
      <c r="DAM29" s="1266"/>
      <c r="DAN29" s="1266"/>
      <c r="DAO29" s="1266"/>
      <c r="DAP29" s="1266"/>
      <c r="DAQ29" s="1266"/>
      <c r="DAR29" s="1266"/>
      <c r="DAS29" s="1266"/>
      <c r="DAT29" s="1266"/>
      <c r="DAU29" s="1266"/>
      <c r="DAV29" s="1266"/>
      <c r="DAW29" s="1266"/>
      <c r="DAX29" s="1266"/>
      <c r="DAY29" s="1266"/>
      <c r="DAZ29" s="1266"/>
      <c r="DBA29" s="1266"/>
      <c r="DBB29" s="1266"/>
      <c r="DBC29" s="1266"/>
      <c r="DBD29" s="1266"/>
      <c r="DBE29" s="1266"/>
      <c r="DBF29" s="1266"/>
      <c r="DBG29" s="1266"/>
      <c r="DBH29" s="1266"/>
      <c r="DBI29" s="1266"/>
      <c r="DBJ29" s="1266"/>
      <c r="DBK29" s="1266"/>
      <c r="DBL29" s="1266"/>
      <c r="DBM29" s="1266"/>
      <c r="DBN29" s="1266"/>
      <c r="DBO29" s="1266"/>
      <c r="DBP29" s="1266"/>
      <c r="DBQ29" s="1266"/>
      <c r="DBR29" s="1266"/>
      <c r="DBS29" s="1266"/>
      <c r="DBT29" s="1266"/>
      <c r="DBU29" s="1266"/>
      <c r="DBV29" s="1266"/>
      <c r="DBW29" s="1266"/>
      <c r="DBX29" s="1266"/>
      <c r="DBY29" s="1266"/>
      <c r="DBZ29" s="1266"/>
      <c r="DCA29" s="1266"/>
      <c r="DCB29" s="1266"/>
      <c r="DCC29" s="1266"/>
      <c r="DCD29" s="1266"/>
      <c r="DCE29" s="1266"/>
      <c r="DCF29" s="1266"/>
      <c r="DCG29" s="1266"/>
      <c r="DCH29" s="1266"/>
      <c r="DCI29" s="1266"/>
      <c r="DCJ29" s="1266"/>
      <c r="DCK29" s="1266"/>
      <c r="DCL29" s="1266"/>
      <c r="DCM29" s="1266"/>
      <c r="DCN29" s="1266"/>
      <c r="DCO29" s="1266"/>
      <c r="DCP29" s="1266"/>
      <c r="DCQ29" s="1266"/>
      <c r="DCR29" s="1266"/>
      <c r="DCS29" s="1266"/>
      <c r="DCT29" s="1266"/>
      <c r="DCU29" s="1266"/>
      <c r="DCV29" s="1266"/>
      <c r="DCW29" s="1266"/>
      <c r="DCX29" s="1266"/>
      <c r="DCY29" s="1266"/>
      <c r="DCZ29" s="1266"/>
      <c r="DDA29" s="1266"/>
      <c r="DDB29" s="1266"/>
      <c r="DDC29" s="1266"/>
      <c r="DDD29" s="1266"/>
      <c r="DDE29" s="1266"/>
      <c r="DDF29" s="1266"/>
      <c r="DDG29" s="1266"/>
      <c r="DDH29" s="1266"/>
      <c r="DDI29" s="1266"/>
      <c r="DDJ29" s="1266"/>
      <c r="DDK29" s="1266"/>
      <c r="DDL29" s="1266"/>
      <c r="DDM29" s="1266"/>
      <c r="DDN29" s="1266"/>
      <c r="DDO29" s="1266"/>
      <c r="DDP29" s="1266"/>
      <c r="DDQ29" s="1266"/>
      <c r="DDR29" s="1266"/>
      <c r="DDS29" s="1266"/>
      <c r="DDT29" s="1266"/>
      <c r="DDU29" s="1266"/>
      <c r="DDV29" s="1266"/>
      <c r="DDW29" s="1266"/>
      <c r="DDX29" s="1266"/>
      <c r="DDY29" s="1266"/>
      <c r="DDZ29" s="1266"/>
      <c r="DEA29" s="1266"/>
      <c r="DEB29" s="1266"/>
      <c r="DEC29" s="1266"/>
      <c r="DED29" s="1266"/>
      <c r="DEE29" s="1266"/>
      <c r="DEF29" s="1266"/>
      <c r="DEG29" s="1266"/>
      <c r="DEH29" s="1266"/>
      <c r="DEI29" s="1266"/>
      <c r="DEJ29" s="1266"/>
      <c r="DEK29" s="1266"/>
      <c r="DEL29" s="1266"/>
      <c r="DEM29" s="1266"/>
      <c r="DEN29" s="1266"/>
      <c r="DEO29" s="1266"/>
      <c r="DEP29" s="1266"/>
      <c r="DEQ29" s="1266"/>
      <c r="DER29" s="1266"/>
      <c r="DES29" s="1266"/>
      <c r="DET29" s="1266"/>
      <c r="DEU29" s="1266"/>
      <c r="DEV29" s="1266"/>
      <c r="DEW29" s="1266"/>
      <c r="DEX29" s="1266"/>
      <c r="DEY29" s="1266"/>
      <c r="DEZ29" s="1266"/>
      <c r="DFA29" s="1266"/>
      <c r="DFB29" s="1266"/>
      <c r="DFC29" s="1266"/>
      <c r="DFD29" s="1266"/>
      <c r="DFE29" s="1266"/>
      <c r="DFF29" s="1266"/>
      <c r="DFG29" s="1266"/>
      <c r="DFH29" s="1266"/>
      <c r="DFI29" s="1266"/>
      <c r="DFJ29" s="1266"/>
      <c r="DFK29" s="1266"/>
      <c r="DFL29" s="1266"/>
      <c r="DFM29" s="1266"/>
      <c r="DFN29" s="1266"/>
      <c r="DFO29" s="1266"/>
      <c r="DFP29" s="1266"/>
      <c r="DFQ29" s="1266"/>
      <c r="DFR29" s="1266"/>
      <c r="DFS29" s="1266"/>
      <c r="DFT29" s="1266"/>
      <c r="DFU29" s="1266"/>
      <c r="DFV29" s="1266"/>
      <c r="DFW29" s="1266"/>
      <c r="DFX29" s="1266"/>
      <c r="DFY29" s="1266"/>
      <c r="DFZ29" s="1266"/>
      <c r="DGA29" s="1266"/>
      <c r="DGB29" s="1266"/>
      <c r="DGC29" s="1266"/>
      <c r="DGD29" s="1266"/>
      <c r="DGE29" s="1266"/>
      <c r="DGF29" s="1266"/>
      <c r="DGG29" s="1266"/>
      <c r="DGH29" s="1266"/>
      <c r="DGI29" s="1266"/>
      <c r="DGJ29" s="1266"/>
      <c r="DGK29" s="1266"/>
      <c r="DGL29" s="1266"/>
      <c r="DGM29" s="1266"/>
      <c r="DGN29" s="1266"/>
      <c r="DGO29" s="1266"/>
      <c r="DGP29" s="1266"/>
      <c r="DGQ29" s="1266"/>
      <c r="DGR29" s="1266"/>
      <c r="DGS29" s="1266"/>
      <c r="DGT29" s="1266"/>
      <c r="DGU29" s="1266"/>
      <c r="DGV29" s="1266"/>
      <c r="DGW29" s="1266"/>
      <c r="DGX29" s="1266"/>
      <c r="DGY29" s="1266"/>
      <c r="DGZ29" s="1266"/>
      <c r="DHA29" s="1266"/>
      <c r="DHB29" s="1266"/>
      <c r="DHC29" s="1266"/>
      <c r="DHD29" s="1266"/>
      <c r="DHE29" s="1266"/>
      <c r="DHF29" s="1266"/>
      <c r="DHG29" s="1266"/>
      <c r="DHH29" s="1266"/>
      <c r="DHI29" s="1266"/>
      <c r="DHJ29" s="1266"/>
      <c r="DHK29" s="1266"/>
      <c r="DHL29" s="1266"/>
      <c r="DHM29" s="1266"/>
      <c r="DHN29" s="1266"/>
      <c r="DHO29" s="1266"/>
      <c r="DHP29" s="1266"/>
      <c r="DHQ29" s="1266"/>
      <c r="DHR29" s="1266"/>
      <c r="DHS29" s="1266"/>
      <c r="DHT29" s="1266"/>
      <c r="DHU29" s="1266"/>
      <c r="DHV29" s="1266"/>
      <c r="DHW29" s="1266"/>
      <c r="DHX29" s="1266"/>
      <c r="DHY29" s="1266"/>
      <c r="DHZ29" s="1266"/>
      <c r="DIA29" s="1266"/>
      <c r="DIB29" s="1266"/>
      <c r="DIC29" s="1266"/>
      <c r="DID29" s="1266"/>
      <c r="DIE29" s="1266"/>
      <c r="DIF29" s="1266"/>
      <c r="DIG29" s="1266"/>
      <c r="DIH29" s="1266"/>
      <c r="DII29" s="1266"/>
      <c r="DIJ29" s="1266"/>
      <c r="DIK29" s="1266"/>
      <c r="DIL29" s="1266"/>
      <c r="DIM29" s="1266"/>
      <c r="DIN29" s="1266"/>
      <c r="DIO29" s="1266"/>
      <c r="DIP29" s="1266"/>
      <c r="DIQ29" s="1266"/>
      <c r="DIR29" s="1266"/>
      <c r="DIS29" s="1266"/>
      <c r="DIT29" s="1266"/>
      <c r="DIU29" s="1266"/>
      <c r="DIV29" s="1266"/>
      <c r="DIW29" s="1266"/>
      <c r="DIX29" s="1266"/>
      <c r="DIY29" s="1266"/>
      <c r="DIZ29" s="1266"/>
      <c r="DJA29" s="1266"/>
      <c r="DJB29" s="1266"/>
      <c r="DJC29" s="1266"/>
      <c r="DJD29" s="1266"/>
      <c r="DJE29" s="1266"/>
      <c r="DJF29" s="1266"/>
      <c r="DJG29" s="1266"/>
      <c r="DJH29" s="1266"/>
      <c r="DJI29" s="1266"/>
      <c r="DJJ29" s="1266"/>
      <c r="DJK29" s="1266"/>
      <c r="DJL29" s="1266"/>
      <c r="DJM29" s="1266"/>
      <c r="DJN29" s="1266"/>
      <c r="DJO29" s="1266"/>
      <c r="DJP29" s="1266"/>
      <c r="DJQ29" s="1266"/>
      <c r="DJR29" s="1266"/>
      <c r="DJS29" s="1266"/>
      <c r="DJT29" s="1266"/>
      <c r="DJU29" s="1266"/>
      <c r="DJV29" s="1266"/>
      <c r="DJW29" s="1266"/>
      <c r="DJX29" s="1266"/>
      <c r="DJY29" s="1266"/>
      <c r="DJZ29" s="1266"/>
      <c r="DKA29" s="1266"/>
      <c r="DKB29" s="1266"/>
      <c r="DKC29" s="1266"/>
      <c r="DKD29" s="1266"/>
      <c r="DKE29" s="1266"/>
      <c r="DKF29" s="1266"/>
      <c r="DKG29" s="1266"/>
      <c r="DKH29" s="1266"/>
      <c r="DKI29" s="1266"/>
      <c r="DKJ29" s="1266"/>
      <c r="DKK29" s="1266"/>
      <c r="DKL29" s="1266"/>
      <c r="DKM29" s="1266"/>
      <c r="DKN29" s="1266"/>
      <c r="DKO29" s="1266"/>
      <c r="DKP29" s="1266"/>
      <c r="DKQ29" s="1266"/>
      <c r="DKR29" s="1266"/>
      <c r="DKS29" s="1266"/>
      <c r="DKT29" s="1266"/>
      <c r="DKU29" s="1266"/>
      <c r="DKV29" s="1266"/>
      <c r="DKW29" s="1266"/>
      <c r="DKX29" s="1266"/>
      <c r="DKY29" s="1266"/>
      <c r="DKZ29" s="1266"/>
      <c r="DLA29" s="1266"/>
      <c r="DLB29" s="1266"/>
      <c r="DLC29" s="1266"/>
      <c r="DLD29" s="1266"/>
      <c r="DLE29" s="1266"/>
      <c r="DLF29" s="1266"/>
      <c r="DLG29" s="1266"/>
      <c r="DLH29" s="1266"/>
      <c r="DLI29" s="1266"/>
      <c r="DLJ29" s="1266"/>
      <c r="DLK29" s="1266"/>
      <c r="DLL29" s="1266"/>
      <c r="DLM29" s="1266"/>
      <c r="DLN29" s="1266"/>
      <c r="DLO29" s="1266"/>
      <c r="DLP29" s="1266"/>
      <c r="DLQ29" s="1266"/>
      <c r="DLR29" s="1266"/>
      <c r="DLS29" s="1266"/>
      <c r="DLT29" s="1266"/>
      <c r="DLU29" s="1266"/>
      <c r="DLV29" s="1266"/>
      <c r="DLW29" s="1266"/>
      <c r="DLX29" s="1266"/>
      <c r="DLY29" s="1266"/>
      <c r="DLZ29" s="1266"/>
      <c r="DMA29" s="1266"/>
      <c r="DMB29" s="1266"/>
      <c r="DMC29" s="1266"/>
      <c r="DMD29" s="1266"/>
      <c r="DME29" s="1266"/>
      <c r="DMF29" s="1266"/>
      <c r="DMG29" s="1266"/>
      <c r="DMH29" s="1266"/>
      <c r="DMI29" s="1266"/>
      <c r="DMJ29" s="1266"/>
      <c r="DMK29" s="1266"/>
      <c r="DML29" s="1266"/>
      <c r="DMM29" s="1266"/>
      <c r="DMN29" s="1266"/>
      <c r="DMO29" s="1266"/>
      <c r="DMP29" s="1266"/>
      <c r="DMQ29" s="1266"/>
      <c r="DMR29" s="1266"/>
      <c r="DMS29" s="1266"/>
      <c r="DMT29" s="1266"/>
      <c r="DMU29" s="1266"/>
      <c r="DMV29" s="1266"/>
      <c r="DMW29" s="1266"/>
      <c r="DMX29" s="1266"/>
      <c r="DMY29" s="1266"/>
      <c r="DMZ29" s="1266"/>
      <c r="DNA29" s="1266"/>
      <c r="DNB29" s="1266"/>
      <c r="DNC29" s="1266"/>
      <c r="DND29" s="1266"/>
      <c r="DNE29" s="1266"/>
      <c r="DNF29" s="1266"/>
      <c r="DNG29" s="1266"/>
      <c r="DNH29" s="1266"/>
      <c r="DNI29" s="1266"/>
      <c r="DNJ29" s="1266"/>
      <c r="DNK29" s="1266"/>
      <c r="DNL29" s="1266"/>
      <c r="DNM29" s="1266"/>
      <c r="DNN29" s="1266"/>
      <c r="DNO29" s="1266"/>
      <c r="DNP29" s="1266"/>
      <c r="DNQ29" s="1266"/>
      <c r="DNR29" s="1266"/>
      <c r="DNS29" s="1266"/>
      <c r="DNT29" s="1266"/>
      <c r="DNU29" s="1266"/>
      <c r="DNV29" s="1266"/>
      <c r="DNW29" s="1266"/>
      <c r="DNX29" s="1266"/>
      <c r="DNY29" s="1266"/>
      <c r="DNZ29" s="1266"/>
      <c r="DOA29" s="1266"/>
      <c r="DOB29" s="1266"/>
      <c r="DOC29" s="1266"/>
      <c r="DOD29" s="1266"/>
      <c r="DOE29" s="1266"/>
      <c r="DOF29" s="1266"/>
      <c r="DOG29" s="1266"/>
      <c r="DOH29" s="1266"/>
      <c r="DOI29" s="1266"/>
      <c r="DOJ29" s="1266"/>
      <c r="DOK29" s="1266"/>
      <c r="DOL29" s="1266"/>
      <c r="DOM29" s="1266"/>
      <c r="DON29" s="1266"/>
      <c r="DOO29" s="1266"/>
      <c r="DOP29" s="1266"/>
      <c r="DOQ29" s="1266"/>
      <c r="DOR29" s="1266"/>
      <c r="DOS29" s="1266"/>
      <c r="DOT29" s="1266"/>
      <c r="DOU29" s="1266"/>
      <c r="DOV29" s="1266"/>
      <c r="DOW29" s="1266"/>
      <c r="DOX29" s="1266"/>
      <c r="DOY29" s="1266"/>
      <c r="DOZ29" s="1266"/>
      <c r="DPA29" s="1266"/>
      <c r="DPB29" s="1266"/>
      <c r="DPC29" s="1266"/>
      <c r="DPD29" s="1266"/>
      <c r="DPE29" s="1266"/>
      <c r="DPF29" s="1266"/>
      <c r="DPG29" s="1266"/>
      <c r="DPH29" s="1266"/>
      <c r="DPI29" s="1266"/>
      <c r="DPJ29" s="1266"/>
      <c r="DPK29" s="1266"/>
      <c r="DPL29" s="1266"/>
      <c r="DPM29" s="1266"/>
      <c r="DPN29" s="1266"/>
      <c r="DPO29" s="1266"/>
      <c r="DPP29" s="1266"/>
      <c r="DPQ29" s="1266"/>
      <c r="DPR29" s="1266"/>
      <c r="DPS29" s="1266"/>
      <c r="DPT29" s="1266"/>
      <c r="DPU29" s="1266"/>
      <c r="DPV29" s="1266"/>
      <c r="DPW29" s="1266"/>
      <c r="DPX29" s="1266"/>
      <c r="DPY29" s="1266"/>
      <c r="DPZ29" s="1266"/>
      <c r="DQA29" s="1266"/>
      <c r="DQB29" s="1266"/>
      <c r="DQC29" s="1266"/>
      <c r="DQD29" s="1266"/>
      <c r="DQE29" s="1266"/>
      <c r="DQF29" s="1266"/>
      <c r="DQG29" s="1266"/>
      <c r="DQH29" s="1266"/>
      <c r="DQI29" s="1266"/>
      <c r="DQJ29" s="1266"/>
      <c r="DQK29" s="1266"/>
      <c r="DQL29" s="1266"/>
      <c r="DQM29" s="1266"/>
      <c r="DQN29" s="1266"/>
      <c r="DQO29" s="1266"/>
      <c r="DQP29" s="1266"/>
      <c r="DQQ29" s="1266"/>
      <c r="DQR29" s="1266"/>
      <c r="DQS29" s="1266"/>
      <c r="DQT29" s="1266"/>
      <c r="DQU29" s="1266"/>
      <c r="DQV29" s="1266"/>
      <c r="DQW29" s="1266"/>
      <c r="DQX29" s="1266"/>
      <c r="DQY29" s="1266"/>
      <c r="DQZ29" s="1266"/>
      <c r="DRA29" s="1266"/>
      <c r="DRB29" s="1266"/>
      <c r="DRC29" s="1266"/>
      <c r="DRD29" s="1266"/>
      <c r="DRE29" s="1266"/>
      <c r="DRF29" s="1266"/>
      <c r="DRG29" s="1266"/>
      <c r="DRH29" s="1266"/>
      <c r="DRI29" s="1266"/>
      <c r="DRJ29" s="1266"/>
      <c r="DRK29" s="1266"/>
      <c r="DRL29" s="1266"/>
      <c r="DRM29" s="1266"/>
      <c r="DRN29" s="1266"/>
      <c r="DRO29" s="1266"/>
      <c r="DRP29" s="1266"/>
      <c r="DRQ29" s="1266"/>
      <c r="DRR29" s="1266"/>
      <c r="DRS29" s="1266"/>
      <c r="DRT29" s="1266"/>
      <c r="DRU29" s="1266"/>
      <c r="DRV29" s="1266"/>
      <c r="DRW29" s="1266"/>
      <c r="DRX29" s="1266"/>
      <c r="DRY29" s="1266"/>
      <c r="DRZ29" s="1266"/>
      <c r="DSA29" s="1266"/>
      <c r="DSB29" s="1266"/>
      <c r="DSC29" s="1266"/>
      <c r="DSD29" s="1266"/>
      <c r="DSE29" s="1266"/>
      <c r="DSF29" s="1266"/>
      <c r="DSG29" s="1266"/>
      <c r="DSH29" s="1266"/>
      <c r="DSI29" s="1266"/>
      <c r="DSJ29" s="1266"/>
      <c r="DSK29" s="1266"/>
      <c r="DSL29" s="1266"/>
      <c r="DSM29" s="1266"/>
      <c r="DSN29" s="1266"/>
      <c r="DSO29" s="1266"/>
      <c r="DSP29" s="1266"/>
      <c r="DSQ29" s="1266"/>
      <c r="DSR29" s="1266"/>
      <c r="DSS29" s="1266"/>
      <c r="DST29" s="1266"/>
      <c r="DSU29" s="1266"/>
      <c r="DSV29" s="1266"/>
      <c r="DSW29" s="1266"/>
      <c r="DSX29" s="1266"/>
      <c r="DSY29" s="1266"/>
      <c r="DSZ29" s="1266"/>
      <c r="DTA29" s="1266"/>
      <c r="DTB29" s="1266"/>
      <c r="DTC29" s="1266"/>
      <c r="DTD29" s="1266"/>
      <c r="DTE29" s="1266"/>
      <c r="DTF29" s="1266"/>
      <c r="DTG29" s="1266"/>
      <c r="DTH29" s="1266"/>
      <c r="DTI29" s="1266"/>
      <c r="DTJ29" s="1266"/>
      <c r="DTK29" s="1266"/>
      <c r="DTL29" s="1266"/>
      <c r="DTM29" s="1266"/>
      <c r="DTN29" s="1266"/>
      <c r="DTO29" s="1266"/>
      <c r="DTP29" s="1266"/>
      <c r="DTQ29" s="1266"/>
      <c r="DTR29" s="1266"/>
      <c r="DTS29" s="1266"/>
      <c r="DTT29" s="1266"/>
      <c r="DTU29" s="1266"/>
      <c r="DTV29" s="1266"/>
      <c r="DTW29" s="1266"/>
      <c r="DTX29" s="1266"/>
      <c r="DTY29" s="1266"/>
      <c r="DTZ29" s="1266"/>
      <c r="DUA29" s="1266"/>
      <c r="DUB29" s="1266"/>
      <c r="DUC29" s="1266"/>
      <c r="DUD29" s="1266"/>
      <c r="DUE29" s="1266"/>
      <c r="DUF29" s="1266"/>
      <c r="DUG29" s="1266"/>
      <c r="DUH29" s="1266"/>
      <c r="DUI29" s="1266"/>
      <c r="DUJ29" s="1266"/>
      <c r="DUK29" s="1266"/>
      <c r="DUL29" s="1266"/>
      <c r="DUM29" s="1266"/>
      <c r="DUN29" s="1266"/>
      <c r="DUO29" s="1266"/>
      <c r="DUP29" s="1266"/>
      <c r="DUQ29" s="1266"/>
      <c r="DUR29" s="1266"/>
      <c r="DUS29" s="1266"/>
      <c r="DUT29" s="1266"/>
      <c r="DUU29" s="1266"/>
      <c r="DUV29" s="1266"/>
      <c r="DUW29" s="1266"/>
      <c r="DUX29" s="1266"/>
      <c r="DUY29" s="1266"/>
      <c r="DUZ29" s="1266"/>
      <c r="DVA29" s="1266"/>
      <c r="DVB29" s="1266"/>
      <c r="DVC29" s="1266"/>
      <c r="DVD29" s="1266"/>
      <c r="DVE29" s="1266"/>
      <c r="DVF29" s="1266"/>
      <c r="DVG29" s="1266"/>
      <c r="DVH29" s="1266"/>
      <c r="DVI29" s="1266"/>
      <c r="DVJ29" s="1266"/>
      <c r="DVK29" s="1266"/>
      <c r="DVL29" s="1266"/>
      <c r="DVM29" s="1266"/>
      <c r="DVN29" s="1266"/>
      <c r="DVO29" s="1266"/>
      <c r="DVP29" s="1266"/>
      <c r="DVQ29" s="1266"/>
      <c r="DVR29" s="1266"/>
      <c r="DVS29" s="1266"/>
      <c r="DVT29" s="1266"/>
      <c r="DVU29" s="1266"/>
      <c r="DVV29" s="1266"/>
      <c r="DVW29" s="1266"/>
      <c r="DVX29" s="1266"/>
      <c r="DVY29" s="1266"/>
      <c r="DVZ29" s="1266"/>
      <c r="DWA29" s="1266"/>
      <c r="DWB29" s="1266"/>
      <c r="DWC29" s="1266"/>
      <c r="DWD29" s="1266"/>
      <c r="DWE29" s="1266"/>
      <c r="DWF29" s="1266"/>
      <c r="DWG29" s="1266"/>
      <c r="DWH29" s="1266"/>
      <c r="DWI29" s="1266"/>
      <c r="DWJ29" s="1266"/>
      <c r="DWK29" s="1266"/>
      <c r="DWL29" s="1266"/>
      <c r="DWM29" s="1266"/>
      <c r="DWN29" s="1266"/>
      <c r="DWO29" s="1266"/>
      <c r="DWP29" s="1266"/>
      <c r="DWQ29" s="1266"/>
      <c r="DWR29" s="1266"/>
      <c r="DWS29" s="1266"/>
      <c r="DWT29" s="1266"/>
      <c r="DWU29" s="1266"/>
      <c r="DWV29" s="1266"/>
      <c r="DWW29" s="1266"/>
      <c r="DWX29" s="1266"/>
      <c r="DWY29" s="1266"/>
      <c r="DWZ29" s="1266"/>
      <c r="DXA29" s="1266"/>
      <c r="DXB29" s="1266"/>
      <c r="DXC29" s="1266"/>
      <c r="DXD29" s="1266"/>
      <c r="DXE29" s="1266"/>
      <c r="DXF29" s="1266"/>
      <c r="DXG29" s="1266"/>
      <c r="DXH29" s="1266"/>
      <c r="DXI29" s="1266"/>
      <c r="DXJ29" s="1266"/>
      <c r="DXK29" s="1266"/>
      <c r="DXL29" s="1266"/>
      <c r="DXM29" s="1266"/>
      <c r="DXN29" s="1266"/>
      <c r="DXO29" s="1266"/>
      <c r="DXP29" s="1266"/>
      <c r="DXQ29" s="1266"/>
      <c r="DXR29" s="1266"/>
      <c r="DXS29" s="1266"/>
      <c r="DXT29" s="1266"/>
      <c r="DXU29" s="1266"/>
      <c r="DXV29" s="1266"/>
      <c r="DXW29" s="1266"/>
      <c r="DXX29" s="1266"/>
      <c r="DXY29" s="1266"/>
      <c r="DXZ29" s="1266"/>
      <c r="DYA29" s="1266"/>
      <c r="DYB29" s="1266"/>
      <c r="DYC29" s="1266"/>
      <c r="DYD29" s="1266"/>
      <c r="DYE29" s="1266"/>
      <c r="DYF29" s="1266"/>
      <c r="DYG29" s="1266"/>
      <c r="DYH29" s="1266"/>
      <c r="DYI29" s="1266"/>
      <c r="DYJ29" s="1266"/>
      <c r="DYK29" s="1266"/>
      <c r="DYL29" s="1266"/>
      <c r="DYM29" s="1266"/>
      <c r="DYN29" s="1266"/>
      <c r="DYO29" s="1266"/>
      <c r="DYP29" s="1266"/>
      <c r="DYQ29" s="1266"/>
      <c r="DYR29" s="1266"/>
      <c r="DYS29" s="1266"/>
      <c r="DYT29" s="1266"/>
      <c r="DYU29" s="1266"/>
      <c r="DYV29" s="1266"/>
      <c r="DYW29" s="1266"/>
      <c r="DYX29" s="1266"/>
      <c r="DYY29" s="1266"/>
      <c r="DYZ29" s="1266"/>
      <c r="DZA29" s="1266"/>
      <c r="DZB29" s="1266"/>
      <c r="DZC29" s="1266"/>
      <c r="DZD29" s="1266"/>
      <c r="DZE29" s="1266"/>
      <c r="DZF29" s="1266"/>
      <c r="DZG29" s="1266"/>
      <c r="DZH29" s="1266"/>
      <c r="DZI29" s="1266"/>
      <c r="DZJ29" s="1266"/>
      <c r="DZK29" s="1266"/>
      <c r="DZL29" s="1266"/>
      <c r="DZM29" s="1266"/>
      <c r="DZN29" s="1266"/>
      <c r="DZO29" s="1266"/>
      <c r="DZP29" s="1266"/>
      <c r="DZQ29" s="1266"/>
      <c r="DZR29" s="1266"/>
      <c r="DZS29" s="1266"/>
      <c r="DZT29" s="1266"/>
      <c r="DZU29" s="1266"/>
      <c r="DZV29" s="1266"/>
      <c r="DZW29" s="1266"/>
      <c r="DZX29" s="1266"/>
      <c r="DZY29" s="1266"/>
      <c r="DZZ29" s="1266"/>
      <c r="EAA29" s="1266"/>
      <c r="EAB29" s="1266"/>
      <c r="EAC29" s="1266"/>
      <c r="EAD29" s="1266"/>
      <c r="EAE29" s="1266"/>
      <c r="EAF29" s="1266"/>
      <c r="EAG29" s="1266"/>
      <c r="EAH29" s="1266"/>
      <c r="EAI29" s="1266"/>
      <c r="EAJ29" s="1266"/>
      <c r="EAK29" s="1266"/>
      <c r="EAL29" s="1266"/>
      <c r="EAM29" s="1266"/>
      <c r="EAN29" s="1266"/>
      <c r="EAO29" s="1266"/>
      <c r="EAP29" s="1266"/>
      <c r="EAQ29" s="1266"/>
      <c r="EAR29" s="1266"/>
      <c r="EAS29" s="1266"/>
      <c r="EAT29" s="1266"/>
      <c r="EAU29" s="1266"/>
      <c r="EAV29" s="1266"/>
      <c r="EAW29" s="1266"/>
      <c r="EAX29" s="1266"/>
      <c r="EAY29" s="1266"/>
      <c r="EAZ29" s="1266"/>
      <c r="EBA29" s="1266"/>
      <c r="EBB29" s="1266"/>
      <c r="EBC29" s="1266"/>
      <c r="EBD29" s="1266"/>
      <c r="EBE29" s="1266"/>
      <c r="EBF29" s="1266"/>
      <c r="EBG29" s="1266"/>
      <c r="EBH29" s="1266"/>
      <c r="EBI29" s="1266"/>
      <c r="EBJ29" s="1266"/>
      <c r="EBK29" s="1266"/>
      <c r="EBL29" s="1266"/>
      <c r="EBM29" s="1266"/>
      <c r="EBN29" s="1266"/>
      <c r="EBO29" s="1266"/>
      <c r="EBP29" s="1266"/>
      <c r="EBQ29" s="1266"/>
      <c r="EBR29" s="1266"/>
      <c r="EBS29" s="1266"/>
      <c r="EBT29" s="1266"/>
      <c r="EBU29" s="1266"/>
      <c r="EBV29" s="1266"/>
      <c r="EBW29" s="1266"/>
      <c r="EBX29" s="1266"/>
      <c r="EBY29" s="1266"/>
      <c r="EBZ29" s="1266"/>
      <c r="ECA29" s="1266"/>
      <c r="ECB29" s="1266"/>
      <c r="ECC29" s="1266"/>
      <c r="ECD29" s="1266"/>
      <c r="ECE29" s="1266"/>
      <c r="ECF29" s="1266"/>
      <c r="ECG29" s="1266"/>
      <c r="ECH29" s="1266"/>
      <c r="ECI29" s="1266"/>
      <c r="ECJ29" s="1266"/>
      <c r="ECK29" s="1266"/>
      <c r="ECL29" s="1266"/>
      <c r="ECM29" s="1266"/>
      <c r="ECN29" s="1266"/>
      <c r="ECO29" s="1266"/>
      <c r="ECP29" s="1266"/>
      <c r="ECQ29" s="1266"/>
      <c r="ECR29" s="1266"/>
      <c r="ECS29" s="1266"/>
      <c r="ECT29" s="1266"/>
      <c r="ECU29" s="1266"/>
      <c r="ECV29" s="1266"/>
      <c r="ECW29" s="1266"/>
      <c r="ECX29" s="1266"/>
      <c r="ECY29" s="1266"/>
      <c r="ECZ29" s="1266"/>
      <c r="EDA29" s="1266"/>
      <c r="EDB29" s="1266"/>
      <c r="EDC29" s="1266"/>
      <c r="EDD29" s="1266"/>
      <c r="EDE29" s="1266"/>
      <c r="EDF29" s="1266"/>
      <c r="EDG29" s="1266"/>
      <c r="EDH29" s="1266"/>
      <c r="EDI29" s="1266"/>
      <c r="EDJ29" s="1266"/>
      <c r="EDK29" s="1266"/>
      <c r="EDL29" s="1266"/>
      <c r="EDM29" s="1266"/>
      <c r="EDN29" s="1266"/>
      <c r="EDO29" s="1266"/>
      <c r="EDP29" s="1266"/>
      <c r="EDQ29" s="1266"/>
      <c r="EDR29" s="1266"/>
      <c r="EDS29" s="1266"/>
      <c r="EDT29" s="1266"/>
      <c r="EDU29" s="1266"/>
      <c r="EDV29" s="1266"/>
      <c r="EDW29" s="1266"/>
      <c r="EDX29" s="1266"/>
      <c r="EDY29" s="1266"/>
      <c r="EDZ29" s="1266"/>
      <c r="EEA29" s="1266"/>
      <c r="EEB29" s="1266"/>
      <c r="EEC29" s="1266"/>
      <c r="EED29" s="1266"/>
      <c r="EEE29" s="1266"/>
      <c r="EEF29" s="1266"/>
      <c r="EEG29" s="1266"/>
      <c r="EEH29" s="1266"/>
      <c r="EEI29" s="1266"/>
      <c r="EEJ29" s="1266"/>
      <c r="EEK29" s="1266"/>
      <c r="EEL29" s="1266"/>
      <c r="EEM29" s="1266"/>
      <c r="EEN29" s="1266"/>
      <c r="EEO29" s="1266"/>
      <c r="EEP29" s="1266"/>
      <c r="EEQ29" s="1266"/>
      <c r="EER29" s="1266"/>
      <c r="EES29" s="1266"/>
      <c r="EET29" s="1266"/>
      <c r="EEU29" s="1266"/>
      <c r="EEV29" s="1266"/>
      <c r="EEW29" s="1266"/>
      <c r="EEX29" s="1266"/>
      <c r="EEY29" s="1266"/>
      <c r="EEZ29" s="1266"/>
      <c r="EFA29" s="1266"/>
      <c r="EFB29" s="1266"/>
      <c r="EFC29" s="1266"/>
      <c r="EFD29" s="1266"/>
      <c r="EFE29" s="1266"/>
      <c r="EFF29" s="1266"/>
      <c r="EFG29" s="1266"/>
      <c r="EFH29" s="1266"/>
      <c r="EFI29" s="1266"/>
      <c r="EFJ29" s="1266"/>
      <c r="EFK29" s="1266"/>
      <c r="EFL29" s="1266"/>
      <c r="EFM29" s="1266"/>
      <c r="EFN29" s="1266"/>
      <c r="EFO29" s="1266"/>
      <c r="EFP29" s="1266"/>
      <c r="EFQ29" s="1266"/>
      <c r="EFR29" s="1266"/>
      <c r="EFS29" s="1266"/>
      <c r="EFT29" s="1266"/>
      <c r="EFU29" s="1266"/>
      <c r="EFV29" s="1266"/>
      <c r="EFW29" s="1266"/>
      <c r="EFX29" s="1266"/>
      <c r="EFY29" s="1266"/>
      <c r="EFZ29" s="1266"/>
      <c r="EGA29" s="1266"/>
      <c r="EGB29" s="1266"/>
      <c r="EGC29" s="1266"/>
      <c r="EGD29" s="1266"/>
      <c r="EGE29" s="1266"/>
      <c r="EGF29" s="1266"/>
      <c r="EGG29" s="1266"/>
      <c r="EGH29" s="1266"/>
      <c r="EGI29" s="1266"/>
      <c r="EGJ29" s="1266"/>
      <c r="EGK29" s="1266"/>
      <c r="EGL29" s="1266"/>
      <c r="EGM29" s="1266"/>
      <c r="EGN29" s="1266"/>
      <c r="EGO29" s="1266"/>
      <c r="EGP29" s="1266"/>
      <c r="EGQ29" s="1266"/>
      <c r="EGR29" s="1266"/>
      <c r="EGS29" s="1266"/>
      <c r="EGT29" s="1266"/>
      <c r="EGU29" s="1266"/>
      <c r="EGV29" s="1266"/>
      <c r="EGW29" s="1266"/>
      <c r="EGX29" s="1266"/>
      <c r="EGY29" s="1266"/>
      <c r="EGZ29" s="1266"/>
      <c r="EHA29" s="1266"/>
      <c r="EHB29" s="1266"/>
      <c r="EHC29" s="1266"/>
      <c r="EHD29" s="1266"/>
      <c r="EHE29" s="1266"/>
      <c r="EHF29" s="1266"/>
      <c r="EHG29" s="1266"/>
      <c r="EHH29" s="1266"/>
      <c r="EHI29" s="1266"/>
      <c r="EHJ29" s="1266"/>
      <c r="EHK29" s="1266"/>
      <c r="EHL29" s="1266"/>
      <c r="EHM29" s="1266"/>
      <c r="EHN29" s="1266"/>
      <c r="EHO29" s="1266"/>
      <c r="EHP29" s="1266"/>
      <c r="EHQ29" s="1266"/>
      <c r="EHR29" s="1266"/>
      <c r="EHS29" s="1266"/>
      <c r="EHT29" s="1266"/>
      <c r="EHU29" s="1266"/>
      <c r="EHV29" s="1266"/>
      <c r="EHW29" s="1266"/>
      <c r="EHX29" s="1266"/>
      <c r="EHY29" s="1266"/>
      <c r="EHZ29" s="1266"/>
      <c r="EIA29" s="1266"/>
      <c r="EIB29" s="1266"/>
      <c r="EIC29" s="1266"/>
      <c r="EID29" s="1266"/>
      <c r="EIE29" s="1266"/>
      <c r="EIF29" s="1266"/>
      <c r="EIG29" s="1266"/>
      <c r="EIH29" s="1266"/>
      <c r="EII29" s="1266"/>
      <c r="EIJ29" s="1266"/>
      <c r="EIK29" s="1266"/>
      <c r="EIL29" s="1266"/>
      <c r="EIM29" s="1266"/>
      <c r="EIN29" s="1266"/>
      <c r="EIO29" s="1266"/>
      <c r="EIP29" s="1266"/>
      <c r="EIQ29" s="1266"/>
      <c r="EIR29" s="1266"/>
      <c r="EIS29" s="1266"/>
      <c r="EIT29" s="1266"/>
      <c r="EIU29" s="1266"/>
      <c r="EIV29" s="1266"/>
      <c r="EIW29" s="1266"/>
      <c r="EIX29" s="1266"/>
      <c r="EIY29" s="1266"/>
      <c r="EIZ29" s="1266"/>
      <c r="EJA29" s="1266"/>
      <c r="EJB29" s="1266"/>
      <c r="EJC29" s="1266"/>
      <c r="EJD29" s="1266"/>
      <c r="EJE29" s="1266"/>
      <c r="EJF29" s="1266"/>
      <c r="EJG29" s="1266"/>
      <c r="EJH29" s="1266"/>
      <c r="EJI29" s="1266"/>
      <c r="EJJ29" s="1266"/>
      <c r="EJK29" s="1266"/>
      <c r="EJL29" s="1266"/>
      <c r="EJM29" s="1266"/>
      <c r="EJN29" s="1266"/>
      <c r="EJO29" s="1266"/>
      <c r="EJP29" s="1266"/>
      <c r="EJQ29" s="1266"/>
      <c r="EJR29" s="1266"/>
      <c r="EJS29" s="1266"/>
      <c r="EJT29" s="1266"/>
      <c r="EJU29" s="1266"/>
      <c r="EJV29" s="1266"/>
      <c r="EJW29" s="1266"/>
      <c r="EJX29" s="1266"/>
      <c r="EJY29" s="1266"/>
      <c r="EJZ29" s="1266"/>
      <c r="EKA29" s="1266"/>
      <c r="EKB29" s="1266"/>
      <c r="EKC29" s="1266"/>
      <c r="EKD29" s="1266"/>
      <c r="EKE29" s="1266"/>
      <c r="EKF29" s="1266"/>
      <c r="EKG29" s="1266"/>
      <c r="EKH29" s="1266"/>
      <c r="EKI29" s="1266"/>
      <c r="EKJ29" s="1266"/>
      <c r="EKK29" s="1266"/>
      <c r="EKL29" s="1266"/>
      <c r="EKM29" s="1266"/>
      <c r="EKN29" s="1266"/>
      <c r="EKO29" s="1266"/>
      <c r="EKP29" s="1266"/>
      <c r="EKQ29" s="1266"/>
      <c r="EKR29" s="1266"/>
      <c r="EKS29" s="1266"/>
      <c r="EKT29" s="1266"/>
      <c r="EKU29" s="1266"/>
      <c r="EKV29" s="1266"/>
      <c r="EKW29" s="1266"/>
      <c r="EKX29" s="1266"/>
      <c r="EKY29" s="1266"/>
      <c r="EKZ29" s="1266"/>
      <c r="ELA29" s="1266"/>
      <c r="ELB29" s="1266"/>
      <c r="ELC29" s="1266"/>
      <c r="ELD29" s="1266"/>
      <c r="ELE29" s="1266"/>
      <c r="ELF29" s="1266"/>
      <c r="ELG29" s="1266"/>
      <c r="ELH29" s="1266"/>
      <c r="ELI29" s="1266"/>
      <c r="ELJ29" s="1266"/>
      <c r="ELK29" s="1266"/>
      <c r="ELL29" s="1266"/>
      <c r="ELM29" s="1266"/>
      <c r="ELN29" s="1266"/>
      <c r="ELO29" s="1266"/>
      <c r="ELP29" s="1266"/>
      <c r="ELQ29" s="1266"/>
      <c r="ELR29" s="1266"/>
      <c r="ELS29" s="1266"/>
      <c r="ELT29" s="1266"/>
      <c r="ELU29" s="1266"/>
      <c r="ELV29" s="1266"/>
      <c r="ELW29" s="1266"/>
      <c r="ELX29" s="1266"/>
      <c r="ELY29" s="1266"/>
      <c r="ELZ29" s="1266"/>
      <c r="EMA29" s="1266"/>
      <c r="EMB29" s="1266"/>
      <c r="EMC29" s="1266"/>
      <c r="EMD29" s="1266"/>
      <c r="EME29" s="1266"/>
      <c r="EMF29" s="1266"/>
      <c r="EMG29" s="1266"/>
      <c r="EMH29" s="1266"/>
      <c r="EMI29" s="1266"/>
      <c r="EMJ29" s="1266"/>
      <c r="EMK29" s="1266"/>
      <c r="EML29" s="1266"/>
      <c r="EMM29" s="1266"/>
      <c r="EMN29" s="1266"/>
      <c r="EMO29" s="1266"/>
      <c r="EMP29" s="1266"/>
      <c r="EMQ29" s="1266"/>
      <c r="EMR29" s="1266"/>
      <c r="EMS29" s="1266"/>
      <c r="EMT29" s="1266"/>
      <c r="EMU29" s="1266"/>
      <c r="EMV29" s="1266"/>
      <c r="EMW29" s="1266"/>
      <c r="EMX29" s="1266"/>
      <c r="EMY29" s="1266"/>
      <c r="EMZ29" s="1266"/>
      <c r="ENA29" s="1266"/>
      <c r="ENB29" s="1266"/>
      <c r="ENC29" s="1266"/>
      <c r="END29" s="1266"/>
      <c r="ENE29" s="1266"/>
      <c r="ENF29" s="1266"/>
      <c r="ENG29" s="1266"/>
      <c r="ENH29" s="1266"/>
      <c r="ENI29" s="1266"/>
      <c r="ENJ29" s="1266"/>
      <c r="ENK29" s="1266"/>
      <c r="ENL29" s="1266"/>
      <c r="ENM29" s="1266"/>
      <c r="ENN29" s="1266"/>
      <c r="ENO29" s="1266"/>
      <c r="ENP29" s="1266"/>
      <c r="ENQ29" s="1266"/>
      <c r="ENR29" s="1266"/>
      <c r="ENS29" s="1266"/>
      <c r="ENT29" s="1266"/>
      <c r="ENU29" s="1266"/>
      <c r="ENV29" s="1266"/>
      <c r="ENW29" s="1266"/>
      <c r="ENX29" s="1266"/>
      <c r="ENY29" s="1266"/>
      <c r="ENZ29" s="1266"/>
      <c r="EOA29" s="1266"/>
      <c r="EOB29" s="1266"/>
      <c r="EOC29" s="1266"/>
      <c r="EOD29" s="1266"/>
      <c r="EOE29" s="1266"/>
      <c r="EOF29" s="1266"/>
      <c r="EOG29" s="1266"/>
      <c r="EOH29" s="1266"/>
      <c r="EOI29" s="1266"/>
      <c r="EOJ29" s="1266"/>
      <c r="EOK29" s="1266"/>
      <c r="EOL29" s="1266"/>
      <c r="EOM29" s="1266"/>
      <c r="EON29" s="1266"/>
      <c r="EOO29" s="1266"/>
      <c r="EOP29" s="1266"/>
      <c r="EOQ29" s="1266"/>
      <c r="EOR29" s="1266"/>
      <c r="EOS29" s="1266"/>
      <c r="EOT29" s="1266"/>
      <c r="EOU29" s="1266"/>
      <c r="EOV29" s="1266"/>
      <c r="EOW29" s="1266"/>
      <c r="EOX29" s="1266"/>
      <c r="EOY29" s="1266"/>
      <c r="EOZ29" s="1266"/>
      <c r="EPA29" s="1266"/>
      <c r="EPB29" s="1266"/>
      <c r="EPC29" s="1266"/>
      <c r="EPD29" s="1266"/>
      <c r="EPE29" s="1266"/>
      <c r="EPF29" s="1266"/>
      <c r="EPG29" s="1266"/>
      <c r="EPH29" s="1266"/>
      <c r="EPI29" s="1266"/>
      <c r="EPJ29" s="1266"/>
      <c r="EPK29" s="1266"/>
      <c r="EPL29" s="1266"/>
      <c r="EPM29" s="1266"/>
      <c r="EPN29" s="1266"/>
      <c r="EPO29" s="1266"/>
      <c r="EPP29" s="1266"/>
      <c r="EPQ29" s="1266"/>
      <c r="EPR29" s="1266"/>
      <c r="EPS29" s="1266"/>
      <c r="EPT29" s="1266"/>
      <c r="EPU29" s="1266"/>
      <c r="EPV29" s="1266"/>
      <c r="EPW29" s="1266"/>
      <c r="EPX29" s="1266"/>
      <c r="EPY29" s="1266"/>
      <c r="EPZ29" s="1266"/>
      <c r="EQA29" s="1266"/>
      <c r="EQB29" s="1266"/>
      <c r="EQC29" s="1266"/>
      <c r="EQD29" s="1266"/>
      <c r="EQE29" s="1266"/>
      <c r="EQF29" s="1266"/>
      <c r="EQG29" s="1266"/>
      <c r="EQH29" s="1266"/>
      <c r="EQI29" s="1266"/>
      <c r="EQJ29" s="1266"/>
      <c r="EQK29" s="1266"/>
      <c r="EQL29" s="1266"/>
      <c r="EQM29" s="1266"/>
      <c r="EQN29" s="1266"/>
      <c r="EQO29" s="1266"/>
      <c r="EQP29" s="1266"/>
      <c r="EQQ29" s="1266"/>
      <c r="EQR29" s="1266"/>
      <c r="EQS29" s="1266"/>
      <c r="EQT29" s="1266"/>
      <c r="EQU29" s="1266"/>
      <c r="EQV29" s="1266"/>
      <c r="EQW29" s="1266"/>
      <c r="EQX29" s="1266"/>
      <c r="EQY29" s="1266"/>
      <c r="EQZ29" s="1266"/>
      <c r="ERA29" s="1266"/>
      <c r="ERB29" s="1266"/>
      <c r="ERC29" s="1266"/>
      <c r="ERD29" s="1266"/>
      <c r="ERE29" s="1266"/>
      <c r="ERF29" s="1266"/>
      <c r="ERG29" s="1266"/>
      <c r="ERH29" s="1266"/>
      <c r="ERI29" s="1266"/>
      <c r="ERJ29" s="1266"/>
      <c r="ERK29" s="1266"/>
      <c r="ERL29" s="1266"/>
      <c r="ERM29" s="1266"/>
      <c r="ERN29" s="1266"/>
      <c r="ERO29" s="1266"/>
      <c r="ERP29" s="1266"/>
      <c r="ERQ29" s="1266"/>
      <c r="ERR29" s="1266"/>
      <c r="ERS29" s="1266"/>
      <c r="ERT29" s="1266"/>
      <c r="ERU29" s="1266"/>
      <c r="ERV29" s="1266"/>
      <c r="ERW29" s="1266"/>
      <c r="ERX29" s="1266"/>
      <c r="ERY29" s="1266"/>
      <c r="ERZ29" s="1266"/>
      <c r="ESA29" s="1266"/>
      <c r="ESB29" s="1266"/>
      <c r="ESC29" s="1266"/>
      <c r="ESD29" s="1266"/>
      <c r="ESE29" s="1266"/>
      <c r="ESF29" s="1266"/>
      <c r="ESG29" s="1266"/>
      <c r="ESH29" s="1266"/>
      <c r="ESI29" s="1266"/>
      <c r="ESJ29" s="1266"/>
      <c r="ESK29" s="1266"/>
      <c r="ESL29" s="1266"/>
      <c r="ESM29" s="1266"/>
      <c r="ESN29" s="1266"/>
      <c r="ESO29" s="1266"/>
      <c r="ESP29" s="1266"/>
      <c r="ESQ29" s="1266"/>
      <c r="ESR29" s="1266"/>
      <c r="ESS29" s="1266"/>
      <c r="EST29" s="1266"/>
      <c r="ESU29" s="1266"/>
      <c r="ESV29" s="1266"/>
      <c r="ESW29" s="1266"/>
      <c r="ESX29" s="1266"/>
      <c r="ESY29" s="1266"/>
      <c r="ESZ29" s="1266"/>
      <c r="ETA29" s="1266"/>
      <c r="ETB29" s="1266"/>
      <c r="ETC29" s="1266"/>
      <c r="ETD29" s="1266"/>
      <c r="ETE29" s="1266"/>
      <c r="ETF29" s="1266"/>
      <c r="ETG29" s="1266"/>
      <c r="ETH29" s="1266"/>
      <c r="ETI29" s="1266"/>
      <c r="ETJ29" s="1266"/>
      <c r="ETK29" s="1266"/>
      <c r="ETL29" s="1266"/>
      <c r="ETM29" s="1266"/>
      <c r="ETN29" s="1266"/>
      <c r="ETO29" s="1266"/>
      <c r="ETP29" s="1266"/>
      <c r="ETQ29" s="1266"/>
      <c r="ETR29" s="1266"/>
      <c r="ETS29" s="1266"/>
      <c r="ETT29" s="1266"/>
      <c r="ETU29" s="1266"/>
      <c r="ETV29" s="1266"/>
      <c r="ETW29" s="1266"/>
      <c r="ETX29" s="1266"/>
      <c r="ETY29" s="1266"/>
      <c r="ETZ29" s="1266"/>
      <c r="EUA29" s="1266"/>
      <c r="EUB29" s="1266"/>
      <c r="EUC29" s="1266"/>
      <c r="EUD29" s="1266"/>
      <c r="EUE29" s="1266"/>
      <c r="EUF29" s="1266"/>
      <c r="EUG29" s="1266"/>
      <c r="EUH29" s="1266"/>
      <c r="EUI29" s="1266"/>
      <c r="EUJ29" s="1266"/>
      <c r="EUK29" s="1266"/>
      <c r="EUL29" s="1266"/>
      <c r="EUM29" s="1266"/>
      <c r="EUN29" s="1266"/>
      <c r="EUO29" s="1266"/>
      <c r="EUP29" s="1266"/>
      <c r="EUQ29" s="1266"/>
      <c r="EUR29" s="1266"/>
      <c r="EUS29" s="1266"/>
      <c r="EUT29" s="1266"/>
      <c r="EUU29" s="1266"/>
      <c r="EUV29" s="1266"/>
      <c r="EUW29" s="1266"/>
      <c r="EUX29" s="1266"/>
      <c r="EUY29" s="1266"/>
      <c r="EUZ29" s="1266"/>
      <c r="EVA29" s="1266"/>
      <c r="EVB29" s="1266"/>
      <c r="EVC29" s="1266"/>
      <c r="EVD29" s="1266"/>
      <c r="EVE29" s="1266"/>
      <c r="EVF29" s="1266"/>
      <c r="EVG29" s="1266"/>
      <c r="EVH29" s="1266"/>
      <c r="EVI29" s="1266"/>
      <c r="EVJ29" s="1266"/>
      <c r="EVK29" s="1266"/>
      <c r="EVL29" s="1266"/>
      <c r="EVM29" s="1266"/>
      <c r="EVN29" s="1266"/>
      <c r="EVO29" s="1266"/>
      <c r="EVP29" s="1266"/>
      <c r="EVQ29" s="1266"/>
      <c r="EVR29" s="1266"/>
      <c r="EVS29" s="1266"/>
      <c r="EVT29" s="1266"/>
      <c r="EVU29" s="1266"/>
      <c r="EVV29" s="1266"/>
      <c r="EVW29" s="1266"/>
      <c r="EVX29" s="1266"/>
      <c r="EVY29" s="1266"/>
      <c r="EVZ29" s="1266"/>
      <c r="EWA29" s="1266"/>
      <c r="EWB29" s="1266"/>
      <c r="EWC29" s="1266"/>
      <c r="EWD29" s="1266"/>
      <c r="EWE29" s="1266"/>
      <c r="EWF29" s="1266"/>
      <c r="EWG29" s="1266"/>
      <c r="EWH29" s="1266"/>
      <c r="EWI29" s="1266"/>
      <c r="EWJ29" s="1266"/>
      <c r="EWK29" s="1266"/>
      <c r="EWL29" s="1266"/>
      <c r="EWM29" s="1266"/>
      <c r="EWN29" s="1266"/>
      <c r="EWO29" s="1266"/>
      <c r="EWP29" s="1266"/>
      <c r="EWQ29" s="1266"/>
      <c r="EWR29" s="1266"/>
      <c r="EWS29" s="1266"/>
      <c r="EWT29" s="1266"/>
      <c r="EWU29" s="1266"/>
      <c r="EWV29" s="1266"/>
      <c r="EWW29" s="1266"/>
      <c r="EWX29" s="1266"/>
      <c r="EWY29" s="1266"/>
      <c r="EWZ29" s="1266"/>
      <c r="EXA29" s="1266"/>
      <c r="EXB29" s="1266"/>
      <c r="EXC29" s="1266"/>
      <c r="EXD29" s="1266"/>
      <c r="EXE29" s="1266"/>
      <c r="EXF29" s="1266"/>
      <c r="EXG29" s="1266"/>
      <c r="EXH29" s="1266"/>
      <c r="EXI29" s="1266"/>
      <c r="EXJ29" s="1266"/>
      <c r="EXK29" s="1266"/>
      <c r="EXL29" s="1266"/>
      <c r="EXM29" s="1266"/>
      <c r="EXN29" s="1266"/>
      <c r="EXO29" s="1266"/>
      <c r="EXP29" s="1266"/>
      <c r="EXQ29" s="1266"/>
      <c r="EXR29" s="1266"/>
      <c r="EXS29" s="1266"/>
      <c r="EXT29" s="1266"/>
      <c r="EXU29" s="1266"/>
      <c r="EXV29" s="1266"/>
      <c r="EXW29" s="1266"/>
      <c r="EXX29" s="1266"/>
      <c r="EXY29" s="1266"/>
      <c r="EXZ29" s="1266"/>
      <c r="EYA29" s="1266"/>
      <c r="EYB29" s="1266"/>
      <c r="EYC29" s="1266"/>
      <c r="EYD29" s="1266"/>
      <c r="EYE29" s="1266"/>
      <c r="EYF29" s="1266"/>
      <c r="EYG29" s="1266"/>
      <c r="EYH29" s="1266"/>
      <c r="EYI29" s="1266"/>
      <c r="EYJ29" s="1266"/>
      <c r="EYK29" s="1266"/>
      <c r="EYL29" s="1266"/>
      <c r="EYM29" s="1266"/>
      <c r="EYN29" s="1266"/>
      <c r="EYO29" s="1266"/>
      <c r="EYP29" s="1266"/>
      <c r="EYQ29" s="1266"/>
      <c r="EYR29" s="1266"/>
      <c r="EYS29" s="1266"/>
      <c r="EYT29" s="1266"/>
      <c r="EYU29" s="1266"/>
      <c r="EYV29" s="1266"/>
      <c r="EYW29" s="1266"/>
      <c r="EYX29" s="1266"/>
      <c r="EYY29" s="1266"/>
      <c r="EYZ29" s="1266"/>
      <c r="EZA29" s="1266"/>
      <c r="EZB29" s="1266"/>
      <c r="EZC29" s="1266"/>
      <c r="EZD29" s="1266"/>
      <c r="EZE29" s="1266"/>
      <c r="EZF29" s="1266"/>
      <c r="EZG29" s="1266"/>
      <c r="EZH29" s="1266"/>
      <c r="EZI29" s="1266"/>
      <c r="EZJ29" s="1266"/>
      <c r="EZK29" s="1266"/>
      <c r="EZL29" s="1266"/>
      <c r="EZM29" s="1266"/>
      <c r="EZN29" s="1266"/>
      <c r="EZO29" s="1266"/>
      <c r="EZP29" s="1266"/>
      <c r="EZQ29" s="1266"/>
      <c r="EZR29" s="1266"/>
      <c r="EZS29" s="1266"/>
      <c r="EZT29" s="1266"/>
      <c r="EZU29" s="1266"/>
      <c r="EZV29" s="1266"/>
      <c r="EZW29" s="1266"/>
      <c r="EZX29" s="1266"/>
      <c r="EZY29" s="1266"/>
      <c r="EZZ29" s="1266"/>
      <c r="FAA29" s="1266"/>
      <c r="FAB29" s="1266"/>
      <c r="FAC29" s="1266"/>
      <c r="FAD29" s="1266"/>
      <c r="FAE29" s="1266"/>
      <c r="FAF29" s="1266"/>
      <c r="FAG29" s="1266"/>
      <c r="FAH29" s="1266"/>
      <c r="FAI29" s="1266"/>
      <c r="FAJ29" s="1266"/>
      <c r="FAK29" s="1266"/>
      <c r="FAL29" s="1266"/>
      <c r="FAM29" s="1266"/>
      <c r="FAN29" s="1266"/>
      <c r="FAO29" s="1266"/>
      <c r="FAP29" s="1266"/>
      <c r="FAQ29" s="1266"/>
      <c r="FAR29" s="1266"/>
      <c r="FAS29" s="1266"/>
      <c r="FAT29" s="1266"/>
      <c r="FAU29" s="1266"/>
      <c r="FAV29" s="1266"/>
      <c r="FAW29" s="1266"/>
      <c r="FAX29" s="1266"/>
      <c r="FAY29" s="1266"/>
      <c r="FAZ29" s="1266"/>
      <c r="FBA29" s="1266"/>
      <c r="FBB29" s="1266"/>
      <c r="FBC29" s="1266"/>
      <c r="FBD29" s="1266"/>
      <c r="FBE29" s="1266"/>
      <c r="FBF29" s="1266"/>
      <c r="FBG29" s="1266"/>
      <c r="FBH29" s="1266"/>
      <c r="FBI29" s="1266"/>
      <c r="FBJ29" s="1266"/>
      <c r="FBK29" s="1266"/>
      <c r="FBL29" s="1266"/>
      <c r="FBM29" s="1266"/>
      <c r="FBN29" s="1266"/>
      <c r="FBO29" s="1266"/>
      <c r="FBP29" s="1266"/>
      <c r="FBQ29" s="1266"/>
      <c r="FBR29" s="1266"/>
      <c r="FBS29" s="1266"/>
      <c r="FBT29" s="1266"/>
      <c r="FBU29" s="1266"/>
      <c r="FBV29" s="1266"/>
      <c r="FBW29" s="1266"/>
      <c r="FBX29" s="1266"/>
      <c r="FBY29" s="1266"/>
      <c r="FBZ29" s="1266"/>
      <c r="FCA29" s="1266"/>
      <c r="FCB29" s="1266"/>
      <c r="FCC29" s="1266"/>
      <c r="FCD29" s="1266"/>
      <c r="FCE29" s="1266"/>
      <c r="FCF29" s="1266"/>
      <c r="FCG29" s="1266"/>
      <c r="FCH29" s="1266"/>
      <c r="FCI29" s="1266"/>
      <c r="FCJ29" s="1266"/>
      <c r="FCK29" s="1266"/>
      <c r="FCL29" s="1266"/>
      <c r="FCM29" s="1266"/>
      <c r="FCN29" s="1266"/>
      <c r="FCO29" s="1266"/>
      <c r="FCP29" s="1266"/>
      <c r="FCQ29" s="1266"/>
      <c r="FCR29" s="1266"/>
      <c r="FCS29" s="1266"/>
      <c r="FCT29" s="1266"/>
      <c r="FCU29" s="1266"/>
      <c r="FCV29" s="1266"/>
      <c r="FCW29" s="1266"/>
      <c r="FCX29" s="1266"/>
      <c r="FCY29" s="1266"/>
      <c r="FCZ29" s="1266"/>
      <c r="FDA29" s="1266"/>
      <c r="FDB29" s="1266"/>
      <c r="FDC29" s="1266"/>
      <c r="FDD29" s="1266"/>
      <c r="FDE29" s="1266"/>
      <c r="FDF29" s="1266"/>
      <c r="FDG29" s="1266"/>
      <c r="FDH29" s="1266"/>
      <c r="FDI29" s="1266"/>
      <c r="FDJ29" s="1266"/>
      <c r="FDK29" s="1266"/>
      <c r="FDL29" s="1266"/>
      <c r="FDM29" s="1266"/>
      <c r="FDN29" s="1266"/>
      <c r="FDO29" s="1266"/>
      <c r="FDP29" s="1266"/>
      <c r="FDQ29" s="1266"/>
      <c r="FDR29" s="1266"/>
      <c r="FDS29" s="1266"/>
      <c r="FDT29" s="1266"/>
      <c r="FDU29" s="1266"/>
      <c r="FDV29" s="1266"/>
      <c r="FDW29" s="1266"/>
      <c r="FDX29" s="1266"/>
      <c r="FDY29" s="1266"/>
      <c r="FDZ29" s="1266"/>
      <c r="FEA29" s="1266"/>
      <c r="FEB29" s="1266"/>
      <c r="FEC29" s="1266"/>
      <c r="FED29" s="1266"/>
      <c r="FEE29" s="1266"/>
      <c r="FEF29" s="1266"/>
      <c r="FEG29" s="1266"/>
      <c r="FEH29" s="1266"/>
      <c r="FEI29" s="1266"/>
      <c r="FEJ29" s="1266"/>
      <c r="FEK29" s="1266"/>
      <c r="FEL29" s="1266"/>
      <c r="FEM29" s="1266"/>
      <c r="FEN29" s="1266"/>
      <c r="FEO29" s="1266"/>
      <c r="FEP29" s="1266"/>
      <c r="FEQ29" s="1266"/>
      <c r="FER29" s="1266"/>
      <c r="FES29" s="1266"/>
      <c r="FET29" s="1266"/>
      <c r="FEU29" s="1266"/>
      <c r="FEV29" s="1266"/>
      <c r="FEW29" s="1266"/>
      <c r="FEX29" s="1266"/>
      <c r="FEY29" s="1266"/>
      <c r="FEZ29" s="1266"/>
      <c r="FFA29" s="1266"/>
      <c r="FFB29" s="1266"/>
      <c r="FFC29" s="1266"/>
      <c r="FFD29" s="1266"/>
      <c r="FFE29" s="1266"/>
      <c r="FFF29" s="1266"/>
      <c r="FFG29" s="1266"/>
      <c r="FFH29" s="1266"/>
      <c r="FFI29" s="1266"/>
      <c r="FFJ29" s="1266"/>
      <c r="FFK29" s="1266"/>
      <c r="FFL29" s="1266"/>
      <c r="FFM29" s="1266"/>
      <c r="FFN29" s="1266"/>
      <c r="FFO29" s="1266"/>
      <c r="FFP29" s="1266"/>
      <c r="FFQ29" s="1266"/>
      <c r="FFR29" s="1266"/>
      <c r="FFS29" s="1266"/>
      <c r="FFT29" s="1266"/>
      <c r="FFU29" s="1266"/>
      <c r="FFV29" s="1266"/>
      <c r="FFW29" s="1266"/>
      <c r="FFX29" s="1266"/>
      <c r="FFY29" s="1266"/>
      <c r="FFZ29" s="1266"/>
      <c r="FGA29" s="1266"/>
      <c r="FGB29" s="1266"/>
      <c r="FGC29" s="1266"/>
      <c r="FGD29" s="1266"/>
      <c r="FGE29" s="1266"/>
      <c r="FGF29" s="1266"/>
      <c r="FGG29" s="1266"/>
      <c r="FGH29" s="1266"/>
      <c r="FGI29" s="1266"/>
      <c r="FGJ29" s="1266"/>
      <c r="FGK29" s="1266"/>
      <c r="FGL29" s="1266"/>
      <c r="FGM29" s="1266"/>
      <c r="FGN29" s="1266"/>
      <c r="FGO29" s="1266"/>
      <c r="FGP29" s="1266"/>
      <c r="FGQ29" s="1266"/>
      <c r="FGR29" s="1266"/>
      <c r="FGS29" s="1266"/>
      <c r="FGT29" s="1266"/>
      <c r="FGU29" s="1266"/>
      <c r="FGV29" s="1266"/>
      <c r="FGW29" s="1266"/>
      <c r="FGX29" s="1266"/>
      <c r="FGY29" s="1266"/>
      <c r="FGZ29" s="1266"/>
      <c r="FHA29" s="1266"/>
      <c r="FHB29" s="1266"/>
      <c r="FHC29" s="1266"/>
      <c r="FHD29" s="1266"/>
      <c r="FHE29" s="1266"/>
      <c r="FHF29" s="1266"/>
      <c r="FHG29" s="1266"/>
      <c r="FHH29" s="1266"/>
      <c r="FHI29" s="1266"/>
      <c r="FHJ29" s="1266"/>
      <c r="FHK29" s="1266"/>
      <c r="FHL29" s="1266"/>
      <c r="FHM29" s="1266"/>
      <c r="FHN29" s="1266"/>
      <c r="FHO29" s="1266"/>
      <c r="FHP29" s="1266"/>
      <c r="FHQ29" s="1266"/>
      <c r="FHR29" s="1266"/>
      <c r="FHS29" s="1266"/>
      <c r="FHT29" s="1266"/>
      <c r="FHU29" s="1266"/>
      <c r="FHV29" s="1266"/>
      <c r="FHW29" s="1266"/>
      <c r="FHX29" s="1266"/>
      <c r="FHY29" s="1266"/>
      <c r="FHZ29" s="1266"/>
      <c r="FIA29" s="1266"/>
      <c r="FIB29" s="1266"/>
      <c r="FIC29" s="1266"/>
      <c r="FID29" s="1266"/>
      <c r="FIE29" s="1266"/>
      <c r="FIF29" s="1266"/>
      <c r="FIG29" s="1266"/>
      <c r="FIH29" s="1266"/>
      <c r="FII29" s="1266"/>
      <c r="FIJ29" s="1266"/>
      <c r="FIK29" s="1266"/>
      <c r="FIL29" s="1266"/>
      <c r="FIM29" s="1266"/>
      <c r="FIN29" s="1266"/>
      <c r="FIO29" s="1266"/>
      <c r="FIP29" s="1266"/>
      <c r="FIQ29" s="1266"/>
      <c r="FIR29" s="1266"/>
      <c r="FIS29" s="1266"/>
      <c r="FIT29" s="1266"/>
      <c r="FIU29" s="1266"/>
      <c r="FIV29" s="1266"/>
      <c r="FIW29" s="1266"/>
      <c r="FIX29" s="1266"/>
      <c r="FIY29" s="1266"/>
      <c r="FIZ29" s="1266"/>
      <c r="FJA29" s="1266"/>
      <c r="FJB29" s="1266"/>
      <c r="FJC29" s="1266"/>
      <c r="FJD29" s="1266"/>
      <c r="FJE29" s="1266"/>
      <c r="FJF29" s="1266"/>
      <c r="FJG29" s="1266"/>
      <c r="FJH29" s="1266"/>
      <c r="FJI29" s="1266"/>
      <c r="FJJ29" s="1266"/>
      <c r="FJK29" s="1266"/>
      <c r="FJL29" s="1266"/>
      <c r="FJM29" s="1266"/>
      <c r="FJN29" s="1266"/>
      <c r="FJO29" s="1266"/>
      <c r="FJP29" s="1266"/>
      <c r="FJQ29" s="1266"/>
      <c r="FJR29" s="1266"/>
      <c r="FJS29" s="1266"/>
      <c r="FJT29" s="1266"/>
      <c r="FJU29" s="1266"/>
      <c r="FJV29" s="1266"/>
      <c r="FJW29" s="1266"/>
      <c r="FJX29" s="1266"/>
      <c r="FJY29" s="1266"/>
      <c r="FJZ29" s="1266"/>
      <c r="FKA29" s="1266"/>
      <c r="FKB29" s="1266"/>
      <c r="FKC29" s="1266"/>
      <c r="FKD29" s="1266"/>
      <c r="FKE29" s="1266"/>
      <c r="FKF29" s="1266"/>
      <c r="FKG29" s="1266"/>
      <c r="FKH29" s="1266"/>
      <c r="FKI29" s="1266"/>
      <c r="FKJ29" s="1266"/>
      <c r="FKK29" s="1266"/>
      <c r="FKL29" s="1266"/>
      <c r="FKM29" s="1266"/>
      <c r="FKN29" s="1266"/>
      <c r="FKO29" s="1266"/>
      <c r="FKP29" s="1266"/>
      <c r="FKQ29" s="1266"/>
      <c r="FKR29" s="1266"/>
      <c r="FKS29" s="1266"/>
      <c r="FKT29" s="1266"/>
      <c r="FKU29" s="1266"/>
      <c r="FKV29" s="1266"/>
      <c r="FKW29" s="1266"/>
      <c r="FKX29" s="1266"/>
      <c r="FKY29" s="1266"/>
      <c r="FKZ29" s="1266"/>
      <c r="FLA29" s="1266"/>
      <c r="FLB29" s="1266"/>
      <c r="FLC29" s="1266"/>
      <c r="FLD29" s="1266"/>
      <c r="FLE29" s="1266"/>
      <c r="FLF29" s="1266"/>
      <c r="FLG29" s="1266"/>
      <c r="FLH29" s="1266"/>
      <c r="FLI29" s="1266"/>
      <c r="FLJ29" s="1266"/>
      <c r="FLK29" s="1266"/>
      <c r="FLL29" s="1266"/>
      <c r="FLM29" s="1266"/>
      <c r="FLN29" s="1266"/>
      <c r="FLO29" s="1266"/>
      <c r="FLP29" s="1266"/>
      <c r="FLQ29" s="1266"/>
      <c r="FLR29" s="1266"/>
      <c r="FLS29" s="1266"/>
      <c r="FLT29" s="1266"/>
      <c r="FLU29" s="1266"/>
      <c r="FLV29" s="1266"/>
      <c r="FLW29" s="1266"/>
      <c r="FLX29" s="1266"/>
      <c r="FLY29" s="1266"/>
      <c r="FLZ29" s="1266"/>
      <c r="FMA29" s="1266"/>
      <c r="FMB29" s="1266"/>
      <c r="FMC29" s="1266"/>
      <c r="FMD29" s="1266"/>
      <c r="FME29" s="1266"/>
      <c r="FMF29" s="1266"/>
      <c r="FMG29" s="1266"/>
      <c r="FMH29" s="1266"/>
      <c r="FMI29" s="1266"/>
      <c r="FMJ29" s="1266"/>
      <c r="FMK29" s="1266"/>
      <c r="FML29" s="1266"/>
      <c r="FMM29" s="1266"/>
      <c r="FMN29" s="1266"/>
      <c r="FMO29" s="1266"/>
      <c r="FMP29" s="1266"/>
      <c r="FMQ29" s="1266"/>
      <c r="FMR29" s="1266"/>
      <c r="FMS29" s="1266"/>
      <c r="FMT29" s="1266"/>
      <c r="FMU29" s="1266"/>
      <c r="FMV29" s="1266"/>
      <c r="FMW29" s="1266"/>
      <c r="FMX29" s="1266"/>
      <c r="FMY29" s="1266"/>
      <c r="FMZ29" s="1266"/>
      <c r="FNA29" s="1266"/>
      <c r="FNB29" s="1266"/>
      <c r="FNC29" s="1266"/>
      <c r="FND29" s="1266"/>
      <c r="FNE29" s="1266"/>
      <c r="FNF29" s="1266"/>
      <c r="FNG29" s="1266"/>
      <c r="FNH29" s="1266"/>
      <c r="FNI29" s="1266"/>
      <c r="FNJ29" s="1266"/>
      <c r="FNK29" s="1266"/>
      <c r="FNL29" s="1266"/>
      <c r="FNM29" s="1266"/>
      <c r="FNN29" s="1266"/>
      <c r="FNO29" s="1266"/>
      <c r="FNP29" s="1266"/>
      <c r="FNQ29" s="1266"/>
      <c r="FNR29" s="1266"/>
      <c r="FNS29" s="1266"/>
      <c r="FNT29" s="1266"/>
      <c r="FNU29" s="1266"/>
      <c r="FNV29" s="1266"/>
      <c r="FNW29" s="1266"/>
      <c r="FNX29" s="1266"/>
      <c r="FNY29" s="1266"/>
      <c r="FNZ29" s="1266"/>
      <c r="FOA29" s="1266"/>
      <c r="FOB29" s="1266"/>
      <c r="FOC29" s="1266"/>
      <c r="FOD29" s="1266"/>
      <c r="FOE29" s="1266"/>
      <c r="FOF29" s="1266"/>
      <c r="FOG29" s="1266"/>
      <c r="FOH29" s="1266"/>
      <c r="FOI29" s="1266"/>
      <c r="FOJ29" s="1266"/>
      <c r="FOK29" s="1266"/>
      <c r="FOL29" s="1266"/>
      <c r="FOM29" s="1266"/>
      <c r="FON29" s="1266"/>
      <c r="FOO29" s="1266"/>
      <c r="FOP29" s="1266"/>
      <c r="FOQ29" s="1266"/>
      <c r="FOR29" s="1266"/>
      <c r="FOS29" s="1266"/>
      <c r="FOT29" s="1266"/>
      <c r="FOU29" s="1266"/>
      <c r="FOV29" s="1266"/>
      <c r="FOW29" s="1266"/>
      <c r="FOX29" s="1266"/>
      <c r="FOY29" s="1266"/>
      <c r="FOZ29" s="1266"/>
      <c r="FPA29" s="1266"/>
      <c r="FPB29" s="1266"/>
      <c r="FPC29" s="1266"/>
      <c r="FPD29" s="1266"/>
      <c r="FPE29" s="1266"/>
      <c r="FPF29" s="1266"/>
      <c r="FPG29" s="1266"/>
      <c r="FPH29" s="1266"/>
      <c r="FPI29" s="1266"/>
      <c r="FPJ29" s="1266"/>
      <c r="FPK29" s="1266"/>
      <c r="FPL29" s="1266"/>
      <c r="FPM29" s="1266"/>
      <c r="FPN29" s="1266"/>
      <c r="FPO29" s="1266"/>
      <c r="FPP29" s="1266"/>
      <c r="FPQ29" s="1266"/>
      <c r="FPR29" s="1266"/>
      <c r="FPS29" s="1266"/>
      <c r="FPT29" s="1266"/>
      <c r="FPU29" s="1266"/>
      <c r="FPV29" s="1266"/>
      <c r="FPW29" s="1266"/>
      <c r="FPX29" s="1266"/>
      <c r="FPY29" s="1266"/>
      <c r="FPZ29" s="1266"/>
      <c r="FQA29" s="1266"/>
      <c r="FQB29" s="1266"/>
      <c r="FQC29" s="1266"/>
      <c r="FQD29" s="1266"/>
      <c r="FQE29" s="1266"/>
      <c r="FQF29" s="1266"/>
      <c r="FQG29" s="1266"/>
      <c r="FQH29" s="1266"/>
      <c r="FQI29" s="1266"/>
      <c r="FQJ29" s="1266"/>
      <c r="FQK29" s="1266"/>
      <c r="FQL29" s="1266"/>
      <c r="FQM29" s="1266"/>
      <c r="FQN29" s="1266"/>
      <c r="FQO29" s="1266"/>
      <c r="FQP29" s="1266"/>
      <c r="FQQ29" s="1266"/>
      <c r="FQR29" s="1266"/>
      <c r="FQS29" s="1266"/>
      <c r="FQT29" s="1266"/>
      <c r="FQU29" s="1266"/>
      <c r="FQV29" s="1266"/>
      <c r="FQW29" s="1266"/>
      <c r="FQX29" s="1266"/>
      <c r="FQY29" s="1266"/>
      <c r="FQZ29" s="1266"/>
      <c r="FRA29" s="1266"/>
      <c r="FRB29" s="1266"/>
      <c r="FRC29" s="1266"/>
      <c r="FRD29" s="1266"/>
      <c r="FRE29" s="1266"/>
      <c r="FRF29" s="1266"/>
      <c r="FRG29" s="1266"/>
      <c r="FRH29" s="1266"/>
      <c r="FRI29" s="1266"/>
      <c r="FRJ29" s="1266"/>
      <c r="FRK29" s="1266"/>
      <c r="FRL29" s="1266"/>
      <c r="FRM29" s="1266"/>
      <c r="FRN29" s="1266"/>
      <c r="FRO29" s="1266"/>
      <c r="FRP29" s="1266"/>
      <c r="FRQ29" s="1266"/>
      <c r="FRR29" s="1266"/>
      <c r="FRS29" s="1266"/>
      <c r="FRT29" s="1266"/>
      <c r="FRU29" s="1266"/>
      <c r="FRV29" s="1266"/>
      <c r="FRW29" s="1266"/>
      <c r="FRX29" s="1266"/>
      <c r="FRY29" s="1266"/>
      <c r="FRZ29" s="1266"/>
      <c r="FSA29" s="1266"/>
      <c r="FSB29" s="1266"/>
      <c r="FSC29" s="1266"/>
      <c r="FSD29" s="1266"/>
      <c r="FSE29" s="1266"/>
      <c r="FSF29" s="1266"/>
      <c r="FSG29" s="1266"/>
      <c r="FSH29" s="1266"/>
      <c r="FSI29" s="1266"/>
      <c r="FSJ29" s="1266"/>
      <c r="FSK29" s="1266"/>
      <c r="FSL29" s="1266"/>
      <c r="FSM29" s="1266"/>
      <c r="FSN29" s="1266"/>
      <c r="FSO29" s="1266"/>
      <c r="FSP29" s="1266"/>
      <c r="FSQ29" s="1266"/>
      <c r="FSR29" s="1266"/>
      <c r="FSS29" s="1266"/>
      <c r="FST29" s="1266"/>
      <c r="FSU29" s="1266"/>
      <c r="FSV29" s="1266"/>
      <c r="FSW29" s="1266"/>
      <c r="FSX29" s="1266"/>
      <c r="FSY29" s="1266"/>
      <c r="FSZ29" s="1266"/>
      <c r="FTA29" s="1266"/>
      <c r="FTB29" s="1266"/>
      <c r="FTC29" s="1266"/>
      <c r="FTD29" s="1266"/>
      <c r="FTE29" s="1266"/>
      <c r="FTF29" s="1266"/>
      <c r="FTG29" s="1266"/>
      <c r="FTH29" s="1266"/>
      <c r="FTI29" s="1266"/>
      <c r="FTJ29" s="1266"/>
      <c r="FTK29" s="1266"/>
      <c r="FTL29" s="1266"/>
      <c r="FTM29" s="1266"/>
      <c r="FTN29" s="1266"/>
      <c r="FTO29" s="1266"/>
      <c r="FTP29" s="1266"/>
      <c r="FTQ29" s="1266"/>
      <c r="FTR29" s="1266"/>
      <c r="FTS29" s="1266"/>
      <c r="FTT29" s="1266"/>
      <c r="FTU29" s="1266"/>
      <c r="FTV29" s="1266"/>
      <c r="FTW29" s="1266"/>
      <c r="FTX29" s="1266"/>
      <c r="FTY29" s="1266"/>
      <c r="FTZ29" s="1266"/>
      <c r="FUA29" s="1266"/>
      <c r="FUB29" s="1266"/>
      <c r="FUC29" s="1266"/>
      <c r="FUD29" s="1266"/>
      <c r="FUE29" s="1266"/>
      <c r="FUF29" s="1266"/>
      <c r="FUG29" s="1266"/>
      <c r="FUH29" s="1266"/>
      <c r="FUI29" s="1266"/>
      <c r="FUJ29" s="1266"/>
      <c r="FUK29" s="1266"/>
      <c r="FUL29" s="1266"/>
      <c r="FUM29" s="1266"/>
      <c r="FUN29" s="1266"/>
      <c r="FUO29" s="1266"/>
      <c r="FUP29" s="1266"/>
      <c r="FUQ29" s="1266"/>
      <c r="FUR29" s="1266"/>
      <c r="FUS29" s="1266"/>
      <c r="FUT29" s="1266"/>
      <c r="FUU29" s="1266"/>
      <c r="FUV29" s="1266"/>
      <c r="FUW29" s="1266"/>
      <c r="FUX29" s="1266"/>
      <c r="FUY29" s="1266"/>
      <c r="FUZ29" s="1266"/>
      <c r="FVA29" s="1266"/>
      <c r="FVB29" s="1266"/>
      <c r="FVC29" s="1266"/>
      <c r="FVD29" s="1266"/>
      <c r="FVE29" s="1266"/>
      <c r="FVF29" s="1266"/>
      <c r="FVG29" s="1266"/>
      <c r="FVH29" s="1266"/>
      <c r="FVI29" s="1266"/>
      <c r="FVJ29" s="1266"/>
      <c r="FVK29" s="1266"/>
      <c r="FVL29" s="1266"/>
      <c r="FVM29" s="1266"/>
      <c r="FVN29" s="1266"/>
      <c r="FVO29" s="1266"/>
      <c r="FVP29" s="1266"/>
      <c r="FVQ29" s="1266"/>
      <c r="FVR29" s="1266"/>
      <c r="FVS29" s="1266"/>
      <c r="FVT29" s="1266"/>
      <c r="FVU29" s="1266"/>
      <c r="FVV29" s="1266"/>
      <c r="FVW29" s="1266"/>
      <c r="FVX29" s="1266"/>
      <c r="FVY29" s="1266"/>
      <c r="FVZ29" s="1266"/>
      <c r="FWA29" s="1266"/>
      <c r="FWB29" s="1266"/>
      <c r="FWC29" s="1266"/>
      <c r="FWD29" s="1266"/>
      <c r="FWE29" s="1266"/>
      <c r="FWF29" s="1266"/>
      <c r="FWG29" s="1266"/>
      <c r="FWH29" s="1266"/>
      <c r="FWI29" s="1266"/>
      <c r="FWJ29" s="1266"/>
      <c r="FWK29" s="1266"/>
      <c r="FWL29" s="1266"/>
      <c r="FWM29" s="1266"/>
      <c r="FWN29" s="1266"/>
      <c r="FWO29" s="1266"/>
      <c r="FWP29" s="1266"/>
      <c r="FWQ29" s="1266"/>
      <c r="FWR29" s="1266"/>
      <c r="FWS29" s="1266"/>
      <c r="FWT29" s="1266"/>
      <c r="FWU29" s="1266"/>
      <c r="FWV29" s="1266"/>
      <c r="FWW29" s="1266"/>
      <c r="FWX29" s="1266"/>
      <c r="FWY29" s="1266"/>
      <c r="FWZ29" s="1266"/>
      <c r="FXA29" s="1266"/>
      <c r="FXB29" s="1266"/>
      <c r="FXC29" s="1266"/>
      <c r="FXD29" s="1266"/>
      <c r="FXE29" s="1266"/>
      <c r="FXF29" s="1266"/>
      <c r="FXG29" s="1266"/>
      <c r="FXH29" s="1266"/>
      <c r="FXI29" s="1266"/>
      <c r="FXJ29" s="1266"/>
      <c r="FXK29" s="1266"/>
      <c r="FXL29" s="1266"/>
      <c r="FXM29" s="1266"/>
      <c r="FXN29" s="1266"/>
      <c r="FXO29" s="1266"/>
      <c r="FXP29" s="1266"/>
      <c r="FXQ29" s="1266"/>
      <c r="FXR29" s="1266"/>
      <c r="FXS29" s="1266"/>
      <c r="FXT29" s="1266"/>
      <c r="FXU29" s="1266"/>
      <c r="FXV29" s="1266"/>
      <c r="FXW29" s="1266"/>
      <c r="FXX29" s="1266"/>
      <c r="FXY29" s="1266"/>
      <c r="FXZ29" s="1266"/>
      <c r="FYA29" s="1266"/>
      <c r="FYB29" s="1266"/>
      <c r="FYC29" s="1266"/>
      <c r="FYD29" s="1266"/>
      <c r="FYE29" s="1266"/>
      <c r="FYF29" s="1266"/>
      <c r="FYG29" s="1266"/>
      <c r="FYH29" s="1266"/>
      <c r="FYI29" s="1266"/>
      <c r="FYJ29" s="1266"/>
      <c r="FYK29" s="1266"/>
      <c r="FYL29" s="1266"/>
      <c r="FYM29" s="1266"/>
      <c r="FYN29" s="1266"/>
      <c r="FYO29" s="1266"/>
      <c r="FYP29" s="1266"/>
      <c r="FYQ29" s="1266"/>
      <c r="FYR29" s="1266"/>
      <c r="FYS29" s="1266"/>
      <c r="FYT29" s="1266"/>
      <c r="FYU29" s="1266"/>
      <c r="FYV29" s="1266"/>
      <c r="FYW29" s="1266"/>
      <c r="FYX29" s="1266"/>
      <c r="FYY29" s="1266"/>
      <c r="FYZ29" s="1266"/>
      <c r="FZA29" s="1266"/>
      <c r="FZB29" s="1266"/>
      <c r="FZC29" s="1266"/>
      <c r="FZD29" s="1266"/>
      <c r="FZE29" s="1266"/>
      <c r="FZF29" s="1266"/>
      <c r="FZG29" s="1266"/>
      <c r="FZH29" s="1266"/>
      <c r="FZI29" s="1266"/>
      <c r="FZJ29" s="1266"/>
      <c r="FZK29" s="1266"/>
      <c r="FZL29" s="1266"/>
      <c r="FZM29" s="1266"/>
      <c r="FZN29" s="1266"/>
      <c r="FZO29" s="1266"/>
      <c r="FZP29" s="1266"/>
      <c r="FZQ29" s="1266"/>
      <c r="FZR29" s="1266"/>
      <c r="FZS29" s="1266"/>
      <c r="FZT29" s="1266"/>
      <c r="FZU29" s="1266"/>
      <c r="FZV29" s="1266"/>
      <c r="FZW29" s="1266"/>
      <c r="FZX29" s="1266"/>
      <c r="FZY29" s="1266"/>
      <c r="FZZ29" s="1266"/>
      <c r="GAA29" s="1266"/>
      <c r="GAB29" s="1266"/>
      <c r="GAC29" s="1266"/>
      <c r="GAD29" s="1266"/>
      <c r="GAE29" s="1266"/>
      <c r="GAF29" s="1266"/>
      <c r="GAG29" s="1266"/>
      <c r="GAH29" s="1266"/>
      <c r="GAI29" s="1266"/>
      <c r="GAJ29" s="1266"/>
      <c r="GAK29" s="1266"/>
      <c r="GAL29" s="1266"/>
      <c r="GAM29" s="1266"/>
      <c r="GAN29" s="1266"/>
      <c r="GAO29" s="1266"/>
      <c r="GAP29" s="1266"/>
      <c r="GAQ29" s="1266"/>
      <c r="GAR29" s="1266"/>
      <c r="GAS29" s="1266"/>
      <c r="GAT29" s="1266"/>
      <c r="GAU29" s="1266"/>
      <c r="GAV29" s="1266"/>
      <c r="GAW29" s="1266"/>
      <c r="GAX29" s="1266"/>
      <c r="GAY29" s="1266"/>
      <c r="GAZ29" s="1266"/>
      <c r="GBA29" s="1266"/>
      <c r="GBB29" s="1266"/>
      <c r="GBC29" s="1266"/>
      <c r="GBD29" s="1266"/>
      <c r="GBE29" s="1266"/>
      <c r="GBF29" s="1266"/>
      <c r="GBG29" s="1266"/>
      <c r="GBH29" s="1266"/>
      <c r="GBI29" s="1266"/>
      <c r="GBJ29" s="1266"/>
      <c r="GBK29" s="1266"/>
      <c r="GBL29" s="1266"/>
      <c r="GBM29" s="1266"/>
      <c r="GBN29" s="1266"/>
      <c r="GBO29" s="1266"/>
      <c r="GBP29" s="1266"/>
      <c r="GBQ29" s="1266"/>
      <c r="GBR29" s="1266"/>
      <c r="GBS29" s="1266"/>
      <c r="GBT29" s="1266"/>
      <c r="GBU29" s="1266"/>
      <c r="GBV29" s="1266"/>
      <c r="GBW29" s="1266"/>
      <c r="GBX29" s="1266"/>
      <c r="GBY29" s="1266"/>
      <c r="GBZ29" s="1266"/>
      <c r="GCA29" s="1266"/>
      <c r="GCB29" s="1266"/>
      <c r="GCC29" s="1266"/>
      <c r="GCD29" s="1266"/>
      <c r="GCE29" s="1266"/>
      <c r="GCF29" s="1266"/>
      <c r="GCG29" s="1266"/>
      <c r="GCH29" s="1266"/>
      <c r="GCI29" s="1266"/>
      <c r="GCJ29" s="1266"/>
      <c r="GCK29" s="1266"/>
      <c r="GCL29" s="1266"/>
      <c r="GCM29" s="1266"/>
      <c r="GCN29" s="1266"/>
      <c r="GCO29" s="1266"/>
      <c r="GCP29" s="1266"/>
      <c r="GCQ29" s="1266"/>
      <c r="GCR29" s="1266"/>
      <c r="GCS29" s="1266"/>
      <c r="GCT29" s="1266"/>
      <c r="GCU29" s="1266"/>
      <c r="GCV29" s="1266"/>
      <c r="GCW29" s="1266"/>
      <c r="GCX29" s="1266"/>
      <c r="GCY29" s="1266"/>
      <c r="GCZ29" s="1266"/>
      <c r="GDA29" s="1266"/>
      <c r="GDB29" s="1266"/>
      <c r="GDC29" s="1266"/>
      <c r="GDD29" s="1266"/>
      <c r="GDE29" s="1266"/>
      <c r="GDF29" s="1266"/>
      <c r="GDG29" s="1266"/>
      <c r="GDH29" s="1266"/>
      <c r="GDI29" s="1266"/>
      <c r="GDJ29" s="1266"/>
      <c r="GDK29" s="1266"/>
      <c r="GDL29" s="1266"/>
      <c r="GDM29" s="1266"/>
      <c r="GDN29" s="1266"/>
      <c r="GDO29" s="1266"/>
      <c r="GDP29" s="1266"/>
      <c r="GDQ29" s="1266"/>
      <c r="GDR29" s="1266"/>
      <c r="GDS29" s="1266"/>
      <c r="GDT29" s="1266"/>
      <c r="GDU29" s="1266"/>
      <c r="GDV29" s="1266"/>
      <c r="GDW29" s="1266"/>
      <c r="GDX29" s="1266"/>
      <c r="GDY29" s="1266"/>
      <c r="GDZ29" s="1266"/>
      <c r="GEA29" s="1266"/>
      <c r="GEB29" s="1266"/>
      <c r="GEC29" s="1266"/>
      <c r="GED29" s="1266"/>
      <c r="GEE29" s="1266"/>
      <c r="GEF29" s="1266"/>
      <c r="GEG29" s="1266"/>
      <c r="GEH29" s="1266"/>
      <c r="GEI29" s="1266"/>
      <c r="GEJ29" s="1266"/>
      <c r="GEK29" s="1266"/>
      <c r="GEL29" s="1266"/>
      <c r="GEM29" s="1266"/>
      <c r="GEN29" s="1266"/>
      <c r="GEO29" s="1266"/>
      <c r="GEP29" s="1266"/>
      <c r="GEQ29" s="1266"/>
      <c r="GER29" s="1266"/>
      <c r="GES29" s="1266"/>
      <c r="GET29" s="1266"/>
      <c r="GEU29" s="1266"/>
      <c r="GEV29" s="1266"/>
      <c r="GEW29" s="1266"/>
      <c r="GEX29" s="1266"/>
      <c r="GEY29" s="1266"/>
      <c r="GEZ29" s="1266"/>
      <c r="GFA29" s="1266"/>
      <c r="GFB29" s="1266"/>
      <c r="GFC29" s="1266"/>
      <c r="GFD29" s="1266"/>
      <c r="GFE29" s="1266"/>
      <c r="GFF29" s="1266"/>
      <c r="GFG29" s="1266"/>
      <c r="GFH29" s="1266"/>
      <c r="GFI29" s="1266"/>
      <c r="GFJ29" s="1266"/>
      <c r="GFK29" s="1266"/>
      <c r="GFL29" s="1266"/>
      <c r="GFM29" s="1266"/>
      <c r="GFN29" s="1266"/>
      <c r="GFO29" s="1266"/>
      <c r="GFP29" s="1266"/>
      <c r="GFQ29" s="1266"/>
      <c r="GFR29" s="1266"/>
      <c r="GFS29" s="1266"/>
      <c r="GFT29" s="1266"/>
      <c r="GFU29" s="1266"/>
      <c r="GFV29" s="1266"/>
      <c r="GFW29" s="1266"/>
      <c r="GFX29" s="1266"/>
      <c r="GFY29" s="1266"/>
      <c r="GFZ29" s="1266"/>
      <c r="GGA29" s="1266"/>
      <c r="GGB29" s="1266"/>
      <c r="GGC29" s="1266"/>
      <c r="GGD29" s="1266"/>
      <c r="GGE29" s="1266"/>
      <c r="GGF29" s="1266"/>
      <c r="GGG29" s="1266"/>
      <c r="GGH29" s="1266"/>
      <c r="GGI29" s="1266"/>
      <c r="GGJ29" s="1266"/>
      <c r="GGK29" s="1266"/>
      <c r="GGL29" s="1266"/>
      <c r="GGM29" s="1266"/>
      <c r="GGN29" s="1266"/>
      <c r="GGO29" s="1266"/>
      <c r="GGP29" s="1266"/>
      <c r="GGQ29" s="1266"/>
      <c r="GGR29" s="1266"/>
      <c r="GGS29" s="1266"/>
      <c r="GGT29" s="1266"/>
      <c r="GGU29" s="1266"/>
      <c r="GGV29" s="1266"/>
      <c r="GGW29" s="1266"/>
      <c r="GGX29" s="1266"/>
      <c r="GGY29" s="1266"/>
      <c r="GGZ29" s="1266"/>
      <c r="GHA29" s="1266"/>
      <c r="GHB29" s="1266"/>
      <c r="GHC29" s="1266"/>
      <c r="GHD29" s="1266"/>
      <c r="GHE29" s="1266"/>
      <c r="GHF29" s="1266"/>
      <c r="GHG29" s="1266"/>
      <c r="GHH29" s="1266"/>
      <c r="GHI29" s="1266"/>
      <c r="GHJ29" s="1266"/>
      <c r="GHK29" s="1266"/>
      <c r="GHL29" s="1266"/>
      <c r="GHM29" s="1266"/>
      <c r="GHN29" s="1266"/>
      <c r="GHO29" s="1266"/>
      <c r="GHP29" s="1266"/>
      <c r="GHQ29" s="1266"/>
      <c r="GHR29" s="1266"/>
      <c r="GHS29" s="1266"/>
      <c r="GHT29" s="1266"/>
      <c r="GHU29" s="1266"/>
      <c r="GHV29" s="1266"/>
      <c r="GHW29" s="1266"/>
      <c r="GHX29" s="1266"/>
      <c r="GHY29" s="1266"/>
      <c r="GHZ29" s="1266"/>
      <c r="GIA29" s="1266"/>
      <c r="GIB29" s="1266"/>
      <c r="GIC29" s="1266"/>
      <c r="GID29" s="1266"/>
      <c r="GIE29" s="1266"/>
      <c r="GIF29" s="1266"/>
      <c r="GIG29" s="1266"/>
      <c r="GIH29" s="1266"/>
      <c r="GII29" s="1266"/>
      <c r="GIJ29" s="1266"/>
      <c r="GIK29" s="1266"/>
      <c r="GIL29" s="1266"/>
      <c r="GIM29" s="1266"/>
      <c r="GIN29" s="1266"/>
      <c r="GIO29" s="1266"/>
      <c r="GIP29" s="1266"/>
      <c r="GIQ29" s="1266"/>
      <c r="GIR29" s="1266"/>
      <c r="GIS29" s="1266"/>
      <c r="GIT29" s="1266"/>
      <c r="GIU29" s="1266"/>
      <c r="GIV29" s="1266"/>
      <c r="GIW29" s="1266"/>
      <c r="GIX29" s="1266"/>
      <c r="GIY29" s="1266"/>
      <c r="GIZ29" s="1266"/>
      <c r="GJA29" s="1266"/>
      <c r="GJB29" s="1266"/>
      <c r="GJC29" s="1266"/>
      <c r="GJD29" s="1266"/>
      <c r="GJE29" s="1266"/>
      <c r="GJF29" s="1266"/>
      <c r="GJG29" s="1266"/>
      <c r="GJH29" s="1266"/>
      <c r="GJI29" s="1266"/>
      <c r="GJJ29" s="1266"/>
      <c r="GJK29" s="1266"/>
      <c r="GJL29" s="1266"/>
      <c r="GJM29" s="1266"/>
      <c r="GJN29" s="1266"/>
      <c r="GJO29" s="1266"/>
      <c r="GJP29" s="1266"/>
      <c r="GJQ29" s="1266"/>
      <c r="GJR29" s="1266"/>
      <c r="GJS29" s="1266"/>
      <c r="GJT29" s="1266"/>
      <c r="GJU29" s="1266"/>
      <c r="GJV29" s="1266"/>
      <c r="GJW29" s="1266"/>
      <c r="GJX29" s="1266"/>
      <c r="GJY29" s="1266"/>
      <c r="GJZ29" s="1266"/>
      <c r="GKA29" s="1266"/>
      <c r="GKB29" s="1266"/>
      <c r="GKC29" s="1266"/>
      <c r="GKD29" s="1266"/>
      <c r="GKE29" s="1266"/>
      <c r="GKF29" s="1266"/>
      <c r="GKG29" s="1266"/>
      <c r="GKH29" s="1266"/>
      <c r="GKI29" s="1266"/>
      <c r="GKJ29" s="1266"/>
      <c r="GKK29" s="1266"/>
      <c r="GKL29" s="1266"/>
      <c r="GKM29" s="1266"/>
      <c r="GKN29" s="1266"/>
      <c r="GKO29" s="1266"/>
      <c r="GKP29" s="1266"/>
      <c r="GKQ29" s="1266"/>
      <c r="GKR29" s="1266"/>
      <c r="GKS29" s="1266"/>
      <c r="GKT29" s="1266"/>
      <c r="GKU29" s="1266"/>
      <c r="GKV29" s="1266"/>
      <c r="GKW29" s="1266"/>
      <c r="GKX29" s="1266"/>
      <c r="GKY29" s="1266"/>
      <c r="GKZ29" s="1266"/>
      <c r="GLA29" s="1266"/>
      <c r="GLB29" s="1266"/>
      <c r="GLC29" s="1266"/>
      <c r="GLD29" s="1266"/>
      <c r="GLE29" s="1266"/>
      <c r="GLF29" s="1266"/>
      <c r="GLG29" s="1266"/>
      <c r="GLH29" s="1266"/>
      <c r="GLI29" s="1266"/>
      <c r="GLJ29" s="1266"/>
      <c r="GLK29" s="1266"/>
      <c r="GLL29" s="1266"/>
      <c r="GLM29" s="1266"/>
      <c r="GLN29" s="1266"/>
      <c r="GLO29" s="1266"/>
      <c r="GLP29" s="1266"/>
      <c r="GLQ29" s="1266"/>
      <c r="GLR29" s="1266"/>
      <c r="GLS29" s="1266"/>
      <c r="GLT29" s="1266"/>
      <c r="GLU29" s="1266"/>
      <c r="GLV29" s="1266"/>
      <c r="GLW29" s="1266"/>
      <c r="GLX29" s="1266"/>
      <c r="GLY29" s="1266"/>
      <c r="GLZ29" s="1266"/>
      <c r="GMA29" s="1266"/>
      <c r="GMB29" s="1266"/>
      <c r="GMC29" s="1266"/>
      <c r="GMD29" s="1266"/>
      <c r="GME29" s="1266"/>
      <c r="GMF29" s="1266"/>
      <c r="GMG29" s="1266"/>
      <c r="GMH29" s="1266"/>
      <c r="GMI29" s="1266"/>
      <c r="GMJ29" s="1266"/>
      <c r="GMK29" s="1266"/>
      <c r="GML29" s="1266"/>
      <c r="GMM29" s="1266"/>
      <c r="GMN29" s="1266"/>
      <c r="GMO29" s="1266"/>
      <c r="GMP29" s="1266"/>
      <c r="GMQ29" s="1266"/>
      <c r="GMR29" s="1266"/>
      <c r="GMS29" s="1266"/>
      <c r="GMT29" s="1266"/>
      <c r="GMU29" s="1266"/>
      <c r="GMV29" s="1266"/>
      <c r="GMW29" s="1266"/>
      <c r="GMX29" s="1266"/>
      <c r="GMY29" s="1266"/>
      <c r="GMZ29" s="1266"/>
      <c r="GNA29" s="1266"/>
      <c r="GNB29" s="1266"/>
      <c r="GNC29" s="1266"/>
      <c r="GND29" s="1266"/>
      <c r="GNE29" s="1266"/>
      <c r="GNF29" s="1266"/>
      <c r="GNG29" s="1266"/>
      <c r="GNH29" s="1266"/>
      <c r="GNI29" s="1266"/>
      <c r="GNJ29" s="1266"/>
      <c r="GNK29" s="1266"/>
      <c r="GNL29" s="1266"/>
      <c r="GNM29" s="1266"/>
      <c r="GNN29" s="1266"/>
      <c r="GNO29" s="1266"/>
      <c r="GNP29" s="1266"/>
      <c r="GNQ29" s="1266"/>
      <c r="GNR29" s="1266"/>
      <c r="GNS29" s="1266"/>
      <c r="GNT29" s="1266"/>
      <c r="GNU29" s="1266"/>
      <c r="GNV29" s="1266"/>
      <c r="GNW29" s="1266"/>
      <c r="GNX29" s="1266"/>
      <c r="GNY29" s="1266"/>
      <c r="GNZ29" s="1266"/>
      <c r="GOA29" s="1266"/>
      <c r="GOB29" s="1266"/>
      <c r="GOC29" s="1266"/>
      <c r="GOD29" s="1266"/>
      <c r="GOE29" s="1266"/>
      <c r="GOF29" s="1266"/>
      <c r="GOG29" s="1266"/>
      <c r="GOH29" s="1266"/>
      <c r="GOI29" s="1266"/>
      <c r="GOJ29" s="1266"/>
      <c r="GOK29" s="1266"/>
      <c r="GOL29" s="1266"/>
      <c r="GOM29" s="1266"/>
      <c r="GON29" s="1266"/>
      <c r="GOO29" s="1266"/>
      <c r="GOP29" s="1266"/>
      <c r="GOQ29" s="1266"/>
      <c r="GOR29" s="1266"/>
      <c r="GOS29" s="1266"/>
      <c r="GOT29" s="1266"/>
      <c r="GOU29" s="1266"/>
      <c r="GOV29" s="1266"/>
      <c r="GOW29" s="1266"/>
      <c r="GOX29" s="1266"/>
      <c r="GOY29" s="1266"/>
      <c r="GOZ29" s="1266"/>
      <c r="GPA29" s="1266"/>
      <c r="GPB29" s="1266"/>
      <c r="GPC29" s="1266"/>
      <c r="GPD29" s="1266"/>
      <c r="GPE29" s="1266"/>
      <c r="GPF29" s="1266"/>
      <c r="GPG29" s="1266"/>
      <c r="GPH29" s="1266"/>
      <c r="GPI29" s="1266"/>
      <c r="GPJ29" s="1266"/>
      <c r="GPK29" s="1266"/>
      <c r="GPL29" s="1266"/>
      <c r="GPM29" s="1266"/>
      <c r="GPN29" s="1266"/>
      <c r="GPO29" s="1266"/>
      <c r="GPP29" s="1266"/>
      <c r="GPQ29" s="1266"/>
      <c r="GPR29" s="1266"/>
      <c r="GPS29" s="1266"/>
      <c r="GPT29" s="1266"/>
      <c r="GPU29" s="1266"/>
      <c r="GPV29" s="1266"/>
      <c r="GPW29" s="1266"/>
      <c r="GPX29" s="1266"/>
      <c r="GPY29" s="1266"/>
      <c r="GPZ29" s="1266"/>
      <c r="GQA29" s="1266"/>
      <c r="GQB29" s="1266"/>
      <c r="GQC29" s="1266"/>
      <c r="GQD29" s="1266"/>
      <c r="GQE29" s="1266"/>
      <c r="GQF29" s="1266"/>
      <c r="GQG29" s="1266"/>
      <c r="GQH29" s="1266"/>
      <c r="GQI29" s="1266"/>
      <c r="GQJ29" s="1266"/>
      <c r="GQK29" s="1266"/>
      <c r="GQL29" s="1266"/>
      <c r="GQM29" s="1266"/>
      <c r="GQN29" s="1266"/>
      <c r="GQO29" s="1266"/>
      <c r="GQP29" s="1266"/>
      <c r="GQQ29" s="1266"/>
      <c r="GQR29" s="1266"/>
      <c r="GQS29" s="1266"/>
      <c r="GQT29" s="1266"/>
      <c r="GQU29" s="1266"/>
      <c r="GQV29" s="1266"/>
      <c r="GQW29" s="1266"/>
      <c r="GQX29" s="1266"/>
      <c r="GQY29" s="1266"/>
      <c r="GQZ29" s="1266"/>
      <c r="GRA29" s="1266"/>
      <c r="GRB29" s="1266"/>
      <c r="GRC29" s="1266"/>
      <c r="GRD29" s="1266"/>
      <c r="GRE29" s="1266"/>
      <c r="GRF29" s="1266"/>
      <c r="GRG29" s="1266"/>
      <c r="GRH29" s="1266"/>
      <c r="GRI29" s="1266"/>
      <c r="GRJ29" s="1266"/>
      <c r="GRK29" s="1266"/>
      <c r="GRL29" s="1266"/>
      <c r="GRM29" s="1266"/>
      <c r="GRN29" s="1266"/>
      <c r="GRO29" s="1266"/>
      <c r="GRP29" s="1266"/>
      <c r="GRQ29" s="1266"/>
      <c r="GRR29" s="1266"/>
      <c r="GRS29" s="1266"/>
      <c r="GRT29" s="1266"/>
      <c r="GRU29" s="1266"/>
      <c r="GRV29" s="1266"/>
      <c r="GRW29" s="1266"/>
      <c r="GRX29" s="1266"/>
      <c r="GRY29" s="1266"/>
      <c r="GRZ29" s="1266"/>
      <c r="GSA29" s="1266"/>
      <c r="GSB29" s="1266"/>
      <c r="GSC29" s="1266"/>
      <c r="GSD29" s="1266"/>
      <c r="GSE29" s="1266"/>
      <c r="GSF29" s="1266"/>
      <c r="GSG29" s="1266"/>
      <c r="GSH29" s="1266"/>
      <c r="GSI29" s="1266"/>
      <c r="GSJ29" s="1266"/>
      <c r="GSK29" s="1266"/>
      <c r="GSL29" s="1266"/>
      <c r="GSM29" s="1266"/>
      <c r="GSN29" s="1266"/>
      <c r="GSO29" s="1266"/>
      <c r="GSP29" s="1266"/>
      <c r="GSQ29" s="1266"/>
      <c r="GSR29" s="1266"/>
      <c r="GSS29" s="1266"/>
      <c r="GST29" s="1266"/>
      <c r="GSU29" s="1266"/>
      <c r="GSV29" s="1266"/>
      <c r="GSW29" s="1266"/>
      <c r="GSX29" s="1266"/>
      <c r="GSY29" s="1266"/>
      <c r="GSZ29" s="1266"/>
      <c r="GTA29" s="1266"/>
      <c r="GTB29" s="1266"/>
      <c r="GTC29" s="1266"/>
      <c r="GTD29" s="1266"/>
      <c r="GTE29" s="1266"/>
      <c r="GTF29" s="1266"/>
      <c r="GTG29" s="1266"/>
      <c r="GTH29" s="1266"/>
      <c r="GTI29" s="1266"/>
      <c r="GTJ29" s="1266"/>
      <c r="GTK29" s="1266"/>
      <c r="GTL29" s="1266"/>
      <c r="GTM29" s="1266"/>
      <c r="GTN29" s="1266"/>
      <c r="GTO29" s="1266"/>
      <c r="GTP29" s="1266"/>
      <c r="GTQ29" s="1266"/>
      <c r="GTR29" s="1266"/>
      <c r="GTS29" s="1266"/>
      <c r="GTT29" s="1266"/>
      <c r="GTU29" s="1266"/>
      <c r="GTV29" s="1266"/>
      <c r="GTW29" s="1266"/>
      <c r="GTX29" s="1266"/>
      <c r="GTY29" s="1266"/>
      <c r="GTZ29" s="1266"/>
      <c r="GUA29" s="1266"/>
      <c r="GUB29" s="1266"/>
      <c r="GUC29" s="1266"/>
      <c r="GUD29" s="1266"/>
      <c r="GUE29" s="1266"/>
      <c r="GUF29" s="1266"/>
      <c r="GUG29" s="1266"/>
      <c r="GUH29" s="1266"/>
      <c r="GUI29" s="1266"/>
      <c r="GUJ29" s="1266"/>
      <c r="GUK29" s="1266"/>
      <c r="GUL29" s="1266"/>
      <c r="GUM29" s="1266"/>
      <c r="GUN29" s="1266"/>
      <c r="GUO29" s="1266"/>
      <c r="GUP29" s="1266"/>
      <c r="GUQ29" s="1266"/>
      <c r="GUR29" s="1266"/>
      <c r="GUS29" s="1266"/>
      <c r="GUT29" s="1266"/>
      <c r="GUU29" s="1266"/>
      <c r="GUV29" s="1266"/>
      <c r="GUW29" s="1266"/>
      <c r="GUX29" s="1266"/>
      <c r="GUY29" s="1266"/>
      <c r="GUZ29" s="1266"/>
      <c r="GVA29" s="1266"/>
      <c r="GVB29" s="1266"/>
      <c r="GVC29" s="1266"/>
      <c r="GVD29" s="1266"/>
      <c r="GVE29" s="1266"/>
      <c r="GVF29" s="1266"/>
      <c r="GVG29" s="1266"/>
      <c r="GVH29" s="1266"/>
      <c r="GVI29" s="1266"/>
      <c r="GVJ29" s="1266"/>
      <c r="GVK29" s="1266"/>
      <c r="GVL29" s="1266"/>
      <c r="GVM29" s="1266"/>
      <c r="GVN29" s="1266"/>
      <c r="GVO29" s="1266"/>
      <c r="GVP29" s="1266"/>
      <c r="GVQ29" s="1266"/>
      <c r="GVR29" s="1266"/>
      <c r="GVS29" s="1266"/>
      <c r="GVT29" s="1266"/>
      <c r="GVU29" s="1266"/>
      <c r="GVV29" s="1266"/>
      <c r="GVW29" s="1266"/>
      <c r="GVX29" s="1266"/>
      <c r="GVY29" s="1266"/>
      <c r="GVZ29" s="1266"/>
      <c r="GWA29" s="1266"/>
      <c r="GWB29" s="1266"/>
      <c r="GWC29" s="1266"/>
      <c r="GWD29" s="1266"/>
      <c r="GWE29" s="1266"/>
      <c r="GWF29" s="1266"/>
      <c r="GWG29" s="1266"/>
      <c r="GWH29" s="1266"/>
      <c r="GWI29" s="1266"/>
      <c r="GWJ29" s="1266"/>
      <c r="GWK29" s="1266"/>
      <c r="GWL29" s="1266"/>
      <c r="GWM29" s="1266"/>
      <c r="GWN29" s="1266"/>
      <c r="GWO29" s="1266"/>
      <c r="GWP29" s="1266"/>
      <c r="GWQ29" s="1266"/>
      <c r="GWR29" s="1266"/>
      <c r="GWS29" s="1266"/>
      <c r="GWT29" s="1266"/>
      <c r="GWU29" s="1266"/>
      <c r="GWV29" s="1266"/>
      <c r="GWW29" s="1266"/>
      <c r="GWX29" s="1266"/>
      <c r="GWY29" s="1266"/>
      <c r="GWZ29" s="1266"/>
      <c r="GXA29" s="1266"/>
      <c r="GXB29" s="1266"/>
      <c r="GXC29" s="1266"/>
      <c r="GXD29" s="1266"/>
      <c r="GXE29" s="1266"/>
      <c r="GXF29" s="1266"/>
      <c r="GXG29" s="1266"/>
      <c r="GXH29" s="1266"/>
      <c r="GXI29" s="1266"/>
      <c r="GXJ29" s="1266"/>
      <c r="GXK29" s="1266"/>
      <c r="GXL29" s="1266"/>
      <c r="GXM29" s="1266"/>
      <c r="GXN29" s="1266"/>
      <c r="GXO29" s="1266"/>
      <c r="GXP29" s="1266"/>
      <c r="GXQ29" s="1266"/>
      <c r="GXR29" s="1266"/>
      <c r="GXS29" s="1266"/>
      <c r="GXT29" s="1266"/>
      <c r="GXU29" s="1266"/>
      <c r="GXV29" s="1266"/>
      <c r="GXW29" s="1266"/>
      <c r="GXX29" s="1266"/>
      <c r="GXY29" s="1266"/>
      <c r="GXZ29" s="1266"/>
      <c r="GYA29" s="1266"/>
      <c r="GYB29" s="1266"/>
      <c r="GYC29" s="1266"/>
      <c r="GYD29" s="1266"/>
      <c r="GYE29" s="1266"/>
      <c r="GYF29" s="1266"/>
      <c r="GYG29" s="1266"/>
      <c r="GYH29" s="1266"/>
      <c r="GYI29" s="1266"/>
      <c r="GYJ29" s="1266"/>
      <c r="GYK29" s="1266"/>
      <c r="GYL29" s="1266"/>
      <c r="GYM29" s="1266"/>
      <c r="GYN29" s="1266"/>
      <c r="GYO29" s="1266"/>
      <c r="GYP29" s="1266"/>
      <c r="GYQ29" s="1266"/>
      <c r="GYR29" s="1266"/>
      <c r="GYS29" s="1266"/>
      <c r="GYT29" s="1266"/>
      <c r="GYU29" s="1266"/>
      <c r="GYV29" s="1266"/>
      <c r="GYW29" s="1266"/>
      <c r="GYX29" s="1266"/>
      <c r="GYY29" s="1266"/>
      <c r="GYZ29" s="1266"/>
      <c r="GZA29" s="1266"/>
      <c r="GZB29" s="1266"/>
      <c r="GZC29" s="1266"/>
      <c r="GZD29" s="1266"/>
      <c r="GZE29" s="1266"/>
      <c r="GZF29" s="1266"/>
      <c r="GZG29" s="1266"/>
      <c r="GZH29" s="1266"/>
      <c r="GZI29" s="1266"/>
      <c r="GZJ29" s="1266"/>
      <c r="GZK29" s="1266"/>
      <c r="GZL29" s="1266"/>
      <c r="GZM29" s="1266"/>
      <c r="GZN29" s="1266"/>
      <c r="GZO29" s="1266"/>
      <c r="GZP29" s="1266"/>
      <c r="GZQ29" s="1266"/>
      <c r="GZR29" s="1266"/>
      <c r="GZS29" s="1266"/>
      <c r="GZT29" s="1266"/>
      <c r="GZU29" s="1266"/>
      <c r="GZV29" s="1266"/>
      <c r="GZW29" s="1266"/>
      <c r="GZX29" s="1266"/>
      <c r="GZY29" s="1266"/>
      <c r="GZZ29" s="1266"/>
      <c r="HAA29" s="1266"/>
      <c r="HAB29" s="1266"/>
      <c r="HAC29" s="1266"/>
      <c r="HAD29" s="1266"/>
      <c r="HAE29" s="1266"/>
      <c r="HAF29" s="1266"/>
      <c r="HAG29" s="1266"/>
      <c r="HAH29" s="1266"/>
      <c r="HAI29" s="1266"/>
      <c r="HAJ29" s="1266"/>
      <c r="HAK29" s="1266"/>
      <c r="HAL29" s="1266"/>
      <c r="HAM29" s="1266"/>
      <c r="HAN29" s="1266"/>
      <c r="HAO29" s="1266"/>
      <c r="HAP29" s="1266"/>
      <c r="HAQ29" s="1266"/>
      <c r="HAR29" s="1266"/>
      <c r="HAS29" s="1266"/>
      <c r="HAT29" s="1266"/>
      <c r="HAU29" s="1266"/>
      <c r="HAV29" s="1266"/>
      <c r="HAW29" s="1266"/>
      <c r="HAX29" s="1266"/>
      <c r="HAY29" s="1266"/>
      <c r="HAZ29" s="1266"/>
      <c r="HBA29" s="1266"/>
      <c r="HBB29" s="1266"/>
      <c r="HBC29" s="1266"/>
      <c r="HBD29" s="1266"/>
      <c r="HBE29" s="1266"/>
      <c r="HBF29" s="1266"/>
      <c r="HBG29" s="1266"/>
      <c r="HBH29" s="1266"/>
      <c r="HBI29" s="1266"/>
      <c r="HBJ29" s="1266"/>
      <c r="HBK29" s="1266"/>
      <c r="HBL29" s="1266"/>
      <c r="HBM29" s="1266"/>
      <c r="HBN29" s="1266"/>
      <c r="HBO29" s="1266"/>
      <c r="HBP29" s="1266"/>
      <c r="HBQ29" s="1266"/>
      <c r="HBR29" s="1266"/>
      <c r="HBS29" s="1266"/>
      <c r="HBT29" s="1266"/>
      <c r="HBU29" s="1266"/>
      <c r="HBV29" s="1266"/>
      <c r="HBW29" s="1266"/>
      <c r="HBX29" s="1266"/>
      <c r="HBY29" s="1266"/>
      <c r="HBZ29" s="1266"/>
      <c r="HCA29" s="1266"/>
      <c r="HCB29" s="1266"/>
      <c r="HCC29" s="1266"/>
      <c r="HCD29" s="1266"/>
      <c r="HCE29" s="1266"/>
      <c r="HCF29" s="1266"/>
      <c r="HCG29" s="1266"/>
      <c r="HCH29" s="1266"/>
      <c r="HCI29" s="1266"/>
      <c r="HCJ29" s="1266"/>
      <c r="HCK29" s="1266"/>
      <c r="HCL29" s="1266"/>
      <c r="HCM29" s="1266"/>
      <c r="HCN29" s="1266"/>
      <c r="HCO29" s="1266"/>
      <c r="HCP29" s="1266"/>
      <c r="HCQ29" s="1266"/>
      <c r="HCR29" s="1266"/>
      <c r="HCS29" s="1266"/>
      <c r="HCT29" s="1266"/>
      <c r="HCU29" s="1266"/>
      <c r="HCV29" s="1266"/>
      <c r="HCW29" s="1266"/>
      <c r="HCX29" s="1266"/>
      <c r="HCY29" s="1266"/>
      <c r="HCZ29" s="1266"/>
      <c r="HDA29" s="1266"/>
      <c r="HDB29" s="1266"/>
      <c r="HDC29" s="1266"/>
      <c r="HDD29" s="1266"/>
      <c r="HDE29" s="1266"/>
      <c r="HDF29" s="1266"/>
      <c r="HDG29" s="1266"/>
      <c r="HDH29" s="1266"/>
      <c r="HDI29" s="1266"/>
      <c r="HDJ29" s="1266"/>
      <c r="HDK29" s="1266"/>
      <c r="HDL29" s="1266"/>
      <c r="HDM29" s="1266"/>
      <c r="HDN29" s="1266"/>
      <c r="HDO29" s="1266"/>
      <c r="HDP29" s="1266"/>
      <c r="HDQ29" s="1266"/>
      <c r="HDR29" s="1266"/>
      <c r="HDS29" s="1266"/>
      <c r="HDT29" s="1266"/>
      <c r="HDU29" s="1266"/>
      <c r="HDV29" s="1266"/>
      <c r="HDW29" s="1266"/>
      <c r="HDX29" s="1266"/>
      <c r="HDY29" s="1266"/>
      <c r="HDZ29" s="1266"/>
      <c r="HEA29" s="1266"/>
      <c r="HEB29" s="1266"/>
      <c r="HEC29" s="1266"/>
      <c r="HED29" s="1266"/>
      <c r="HEE29" s="1266"/>
      <c r="HEF29" s="1266"/>
      <c r="HEG29" s="1266"/>
      <c r="HEH29" s="1266"/>
      <c r="HEI29" s="1266"/>
      <c r="HEJ29" s="1266"/>
      <c r="HEK29" s="1266"/>
      <c r="HEL29" s="1266"/>
      <c r="HEM29" s="1266"/>
      <c r="HEN29" s="1266"/>
      <c r="HEO29" s="1266"/>
      <c r="HEP29" s="1266"/>
      <c r="HEQ29" s="1266"/>
      <c r="HER29" s="1266"/>
      <c r="HES29" s="1266"/>
      <c r="HET29" s="1266"/>
      <c r="HEU29" s="1266"/>
      <c r="HEV29" s="1266"/>
      <c r="HEW29" s="1266"/>
      <c r="HEX29" s="1266"/>
      <c r="HEY29" s="1266"/>
      <c r="HEZ29" s="1266"/>
      <c r="HFA29" s="1266"/>
      <c r="HFB29" s="1266"/>
      <c r="HFC29" s="1266"/>
      <c r="HFD29" s="1266"/>
      <c r="HFE29" s="1266"/>
      <c r="HFF29" s="1266"/>
      <c r="HFG29" s="1266"/>
      <c r="HFH29" s="1266"/>
      <c r="HFI29" s="1266"/>
      <c r="HFJ29" s="1266"/>
      <c r="HFK29" s="1266"/>
      <c r="HFL29" s="1266"/>
      <c r="HFM29" s="1266"/>
      <c r="HFN29" s="1266"/>
      <c r="HFO29" s="1266"/>
      <c r="HFP29" s="1266"/>
      <c r="HFQ29" s="1266"/>
      <c r="HFR29" s="1266"/>
      <c r="HFS29" s="1266"/>
      <c r="HFT29" s="1266"/>
      <c r="HFU29" s="1266"/>
      <c r="HFV29" s="1266"/>
      <c r="HFW29" s="1266"/>
      <c r="HFX29" s="1266"/>
      <c r="HFY29" s="1266"/>
      <c r="HFZ29" s="1266"/>
      <c r="HGA29" s="1266"/>
      <c r="HGB29" s="1266"/>
      <c r="HGC29" s="1266"/>
      <c r="HGD29" s="1266"/>
      <c r="HGE29" s="1266"/>
      <c r="HGF29" s="1266"/>
      <c r="HGG29" s="1266"/>
      <c r="HGH29" s="1266"/>
      <c r="HGI29" s="1266"/>
      <c r="HGJ29" s="1266"/>
      <c r="HGK29" s="1266"/>
      <c r="HGL29" s="1266"/>
      <c r="HGM29" s="1266"/>
      <c r="HGN29" s="1266"/>
      <c r="HGO29" s="1266"/>
      <c r="HGP29" s="1266"/>
      <c r="HGQ29" s="1266"/>
      <c r="HGR29" s="1266"/>
      <c r="HGS29" s="1266"/>
      <c r="HGT29" s="1266"/>
      <c r="HGU29" s="1266"/>
      <c r="HGV29" s="1266"/>
      <c r="HGW29" s="1266"/>
      <c r="HGX29" s="1266"/>
      <c r="HGY29" s="1266"/>
      <c r="HGZ29" s="1266"/>
      <c r="HHA29" s="1266"/>
      <c r="HHB29" s="1266"/>
      <c r="HHC29" s="1266"/>
      <c r="HHD29" s="1266"/>
      <c r="HHE29" s="1266"/>
      <c r="HHF29" s="1266"/>
      <c r="HHG29" s="1266"/>
      <c r="HHH29" s="1266"/>
      <c r="HHI29" s="1266"/>
      <c r="HHJ29" s="1266"/>
      <c r="HHK29" s="1266"/>
      <c r="HHL29" s="1266"/>
      <c r="HHM29" s="1266"/>
      <c r="HHN29" s="1266"/>
      <c r="HHO29" s="1266"/>
      <c r="HHP29" s="1266"/>
      <c r="HHQ29" s="1266"/>
      <c r="HHR29" s="1266"/>
      <c r="HHS29" s="1266"/>
      <c r="HHT29" s="1266"/>
      <c r="HHU29" s="1266"/>
      <c r="HHV29" s="1266"/>
      <c r="HHW29" s="1266"/>
      <c r="HHX29" s="1266"/>
      <c r="HHY29" s="1266"/>
      <c r="HHZ29" s="1266"/>
      <c r="HIA29" s="1266"/>
      <c r="HIB29" s="1266"/>
      <c r="HIC29" s="1266"/>
      <c r="HID29" s="1266"/>
      <c r="HIE29" s="1266"/>
      <c r="HIF29" s="1266"/>
      <c r="HIG29" s="1266"/>
      <c r="HIH29" s="1266"/>
      <c r="HII29" s="1266"/>
      <c r="HIJ29" s="1266"/>
      <c r="HIK29" s="1266"/>
      <c r="HIL29" s="1266"/>
      <c r="HIM29" s="1266"/>
      <c r="HIN29" s="1266"/>
      <c r="HIO29" s="1266"/>
      <c r="HIP29" s="1266"/>
      <c r="HIQ29" s="1266"/>
      <c r="HIR29" s="1266"/>
      <c r="HIS29" s="1266"/>
      <c r="HIT29" s="1266"/>
      <c r="HIU29" s="1266"/>
      <c r="HIV29" s="1266"/>
      <c r="HIW29" s="1266"/>
      <c r="HIX29" s="1266"/>
      <c r="HIY29" s="1266"/>
      <c r="HIZ29" s="1266"/>
      <c r="HJA29" s="1266"/>
      <c r="HJB29" s="1266"/>
      <c r="HJC29" s="1266"/>
      <c r="HJD29" s="1266"/>
      <c r="HJE29" s="1266"/>
      <c r="HJF29" s="1266"/>
      <c r="HJG29" s="1266"/>
      <c r="HJH29" s="1266"/>
      <c r="HJI29" s="1266"/>
      <c r="HJJ29" s="1266"/>
      <c r="HJK29" s="1266"/>
      <c r="HJL29" s="1266"/>
      <c r="HJM29" s="1266"/>
      <c r="HJN29" s="1266"/>
      <c r="HJO29" s="1266"/>
      <c r="HJP29" s="1266"/>
      <c r="HJQ29" s="1266"/>
      <c r="HJR29" s="1266"/>
      <c r="HJS29" s="1266"/>
      <c r="HJT29" s="1266"/>
      <c r="HJU29" s="1266"/>
      <c r="HJV29" s="1266"/>
      <c r="HJW29" s="1266"/>
      <c r="HJX29" s="1266"/>
      <c r="HJY29" s="1266"/>
      <c r="HJZ29" s="1266"/>
      <c r="HKA29" s="1266"/>
      <c r="HKB29" s="1266"/>
      <c r="HKC29" s="1266"/>
      <c r="HKD29" s="1266"/>
      <c r="HKE29" s="1266"/>
      <c r="HKF29" s="1266"/>
      <c r="HKG29" s="1266"/>
      <c r="HKH29" s="1266"/>
      <c r="HKI29" s="1266"/>
      <c r="HKJ29" s="1266"/>
      <c r="HKK29" s="1266"/>
      <c r="HKL29" s="1266"/>
      <c r="HKM29" s="1266"/>
      <c r="HKN29" s="1266"/>
      <c r="HKO29" s="1266"/>
      <c r="HKP29" s="1266"/>
      <c r="HKQ29" s="1266"/>
      <c r="HKR29" s="1266"/>
      <c r="HKS29" s="1266"/>
      <c r="HKT29" s="1266"/>
      <c r="HKU29" s="1266"/>
      <c r="HKV29" s="1266"/>
      <c r="HKW29" s="1266"/>
      <c r="HKX29" s="1266"/>
      <c r="HKY29" s="1266"/>
      <c r="HKZ29" s="1266"/>
      <c r="HLA29" s="1266"/>
      <c r="HLB29" s="1266"/>
      <c r="HLC29" s="1266"/>
      <c r="HLD29" s="1266"/>
      <c r="HLE29" s="1266"/>
      <c r="HLF29" s="1266"/>
      <c r="HLG29" s="1266"/>
      <c r="HLH29" s="1266"/>
      <c r="HLI29" s="1266"/>
      <c r="HLJ29" s="1266"/>
      <c r="HLK29" s="1266"/>
      <c r="HLL29" s="1266"/>
      <c r="HLM29" s="1266"/>
      <c r="HLN29" s="1266"/>
      <c r="HLO29" s="1266"/>
      <c r="HLP29" s="1266"/>
      <c r="HLQ29" s="1266"/>
      <c r="HLR29" s="1266"/>
      <c r="HLS29" s="1266"/>
      <c r="HLT29" s="1266"/>
      <c r="HLU29" s="1266"/>
      <c r="HLV29" s="1266"/>
      <c r="HLW29" s="1266"/>
      <c r="HLX29" s="1266"/>
      <c r="HLY29" s="1266"/>
      <c r="HLZ29" s="1266"/>
      <c r="HMA29" s="1266"/>
      <c r="HMB29" s="1266"/>
      <c r="HMC29" s="1266"/>
      <c r="HMD29" s="1266"/>
      <c r="HME29" s="1266"/>
      <c r="HMF29" s="1266"/>
      <c r="HMG29" s="1266"/>
      <c r="HMH29" s="1266"/>
      <c r="HMI29" s="1266"/>
      <c r="HMJ29" s="1266"/>
      <c r="HMK29" s="1266"/>
      <c r="HML29" s="1266"/>
      <c r="HMM29" s="1266"/>
      <c r="HMN29" s="1266"/>
      <c r="HMO29" s="1266"/>
      <c r="HMP29" s="1266"/>
      <c r="HMQ29" s="1266"/>
      <c r="HMR29" s="1266"/>
      <c r="HMS29" s="1266"/>
      <c r="HMT29" s="1266"/>
      <c r="HMU29" s="1266"/>
      <c r="HMV29" s="1266"/>
      <c r="HMW29" s="1266"/>
      <c r="HMX29" s="1266"/>
      <c r="HMY29" s="1266"/>
      <c r="HMZ29" s="1266"/>
      <c r="HNA29" s="1266"/>
      <c r="HNB29" s="1266"/>
      <c r="HNC29" s="1266"/>
      <c r="HND29" s="1266"/>
      <c r="HNE29" s="1266"/>
      <c r="HNF29" s="1266"/>
      <c r="HNG29" s="1266"/>
      <c r="HNH29" s="1266"/>
      <c r="HNI29" s="1266"/>
      <c r="HNJ29" s="1266"/>
      <c r="HNK29" s="1266"/>
      <c r="HNL29" s="1266"/>
      <c r="HNM29" s="1266"/>
      <c r="HNN29" s="1266"/>
      <c r="HNO29" s="1266"/>
      <c r="HNP29" s="1266"/>
      <c r="HNQ29" s="1266"/>
      <c r="HNR29" s="1266"/>
      <c r="HNS29" s="1266"/>
      <c r="HNT29" s="1266"/>
      <c r="HNU29" s="1266"/>
      <c r="HNV29" s="1266"/>
      <c r="HNW29" s="1266"/>
      <c r="HNX29" s="1266"/>
      <c r="HNY29" s="1266"/>
      <c r="HNZ29" s="1266"/>
      <c r="HOA29" s="1266"/>
      <c r="HOB29" s="1266"/>
      <c r="HOC29" s="1266"/>
      <c r="HOD29" s="1266"/>
      <c r="HOE29" s="1266"/>
      <c r="HOF29" s="1266"/>
      <c r="HOG29" s="1266"/>
      <c r="HOH29" s="1266"/>
      <c r="HOI29" s="1266"/>
      <c r="HOJ29" s="1266"/>
      <c r="HOK29" s="1266"/>
      <c r="HOL29" s="1266"/>
      <c r="HOM29" s="1266"/>
      <c r="HON29" s="1266"/>
      <c r="HOO29" s="1266"/>
      <c r="HOP29" s="1266"/>
      <c r="HOQ29" s="1266"/>
      <c r="HOR29" s="1266"/>
      <c r="HOS29" s="1266"/>
      <c r="HOT29" s="1266"/>
      <c r="HOU29" s="1266"/>
      <c r="HOV29" s="1266"/>
      <c r="HOW29" s="1266"/>
      <c r="HOX29" s="1266"/>
      <c r="HOY29" s="1266"/>
      <c r="HOZ29" s="1266"/>
      <c r="HPA29" s="1266"/>
      <c r="HPB29" s="1266"/>
      <c r="HPC29" s="1266"/>
      <c r="HPD29" s="1266"/>
      <c r="HPE29" s="1266"/>
      <c r="HPF29" s="1266"/>
      <c r="HPG29" s="1266"/>
      <c r="HPH29" s="1266"/>
      <c r="HPI29" s="1266"/>
      <c r="HPJ29" s="1266"/>
      <c r="HPK29" s="1266"/>
      <c r="HPL29" s="1266"/>
      <c r="HPM29" s="1266"/>
      <c r="HPN29" s="1266"/>
      <c r="HPO29" s="1266"/>
      <c r="HPP29" s="1266"/>
      <c r="HPQ29" s="1266"/>
      <c r="HPR29" s="1266"/>
      <c r="HPS29" s="1266"/>
      <c r="HPT29" s="1266"/>
      <c r="HPU29" s="1266"/>
      <c r="HPV29" s="1266"/>
      <c r="HPW29" s="1266"/>
      <c r="HPX29" s="1266"/>
      <c r="HPY29" s="1266"/>
      <c r="HPZ29" s="1266"/>
      <c r="HQA29" s="1266"/>
      <c r="HQB29" s="1266"/>
      <c r="HQC29" s="1266"/>
      <c r="HQD29" s="1266"/>
      <c r="HQE29" s="1266"/>
      <c r="HQF29" s="1266"/>
      <c r="HQG29" s="1266"/>
      <c r="HQH29" s="1266"/>
      <c r="HQI29" s="1266"/>
      <c r="HQJ29" s="1266"/>
      <c r="HQK29" s="1266"/>
      <c r="HQL29" s="1266"/>
      <c r="HQM29" s="1266"/>
      <c r="HQN29" s="1266"/>
      <c r="HQO29" s="1266"/>
      <c r="HQP29" s="1266"/>
      <c r="HQQ29" s="1266"/>
      <c r="HQR29" s="1266"/>
      <c r="HQS29" s="1266"/>
      <c r="HQT29" s="1266"/>
      <c r="HQU29" s="1266"/>
      <c r="HQV29" s="1266"/>
      <c r="HQW29" s="1266"/>
      <c r="HQX29" s="1266"/>
      <c r="HQY29" s="1266"/>
      <c r="HQZ29" s="1266"/>
      <c r="HRA29" s="1266"/>
      <c r="HRB29" s="1266"/>
      <c r="HRC29" s="1266"/>
      <c r="HRD29" s="1266"/>
      <c r="HRE29" s="1266"/>
      <c r="HRF29" s="1266"/>
      <c r="HRG29" s="1266"/>
      <c r="HRH29" s="1266"/>
      <c r="HRI29" s="1266"/>
      <c r="HRJ29" s="1266"/>
      <c r="HRK29" s="1266"/>
      <c r="HRL29" s="1266"/>
      <c r="HRM29" s="1266"/>
      <c r="HRN29" s="1266"/>
      <c r="HRO29" s="1266"/>
      <c r="HRP29" s="1266"/>
      <c r="HRQ29" s="1266"/>
      <c r="HRR29" s="1266"/>
      <c r="HRS29" s="1266"/>
      <c r="HRT29" s="1266"/>
      <c r="HRU29" s="1266"/>
      <c r="HRV29" s="1266"/>
      <c r="HRW29" s="1266"/>
      <c r="HRX29" s="1266"/>
      <c r="HRY29" s="1266"/>
      <c r="HRZ29" s="1266"/>
      <c r="HSA29" s="1266"/>
      <c r="HSB29" s="1266"/>
      <c r="HSC29" s="1266"/>
      <c r="HSD29" s="1266"/>
      <c r="HSE29" s="1266"/>
      <c r="HSF29" s="1266"/>
      <c r="HSG29" s="1266"/>
      <c r="HSH29" s="1266"/>
      <c r="HSI29" s="1266"/>
      <c r="HSJ29" s="1266"/>
      <c r="HSK29" s="1266"/>
      <c r="HSL29" s="1266"/>
      <c r="HSM29" s="1266"/>
      <c r="HSN29" s="1266"/>
      <c r="HSO29" s="1266"/>
      <c r="HSP29" s="1266"/>
      <c r="HSQ29" s="1266"/>
      <c r="HSR29" s="1266"/>
      <c r="HSS29" s="1266"/>
      <c r="HST29" s="1266"/>
      <c r="HSU29" s="1266"/>
      <c r="HSV29" s="1266"/>
      <c r="HSW29" s="1266"/>
      <c r="HSX29" s="1266"/>
      <c r="HSY29" s="1266"/>
      <c r="HSZ29" s="1266"/>
      <c r="HTA29" s="1266"/>
      <c r="HTB29" s="1266"/>
      <c r="HTC29" s="1266"/>
      <c r="HTD29" s="1266"/>
      <c r="HTE29" s="1266"/>
      <c r="HTF29" s="1266"/>
      <c r="HTG29" s="1266"/>
      <c r="HTH29" s="1266"/>
      <c r="HTI29" s="1266"/>
      <c r="HTJ29" s="1266"/>
      <c r="HTK29" s="1266"/>
      <c r="HTL29" s="1266"/>
      <c r="HTM29" s="1266"/>
      <c r="HTN29" s="1266"/>
      <c r="HTO29" s="1266"/>
      <c r="HTP29" s="1266"/>
      <c r="HTQ29" s="1266"/>
      <c r="HTR29" s="1266"/>
      <c r="HTS29" s="1266"/>
      <c r="HTT29" s="1266"/>
      <c r="HTU29" s="1266"/>
      <c r="HTV29" s="1266"/>
      <c r="HTW29" s="1266"/>
      <c r="HTX29" s="1266"/>
      <c r="HTY29" s="1266"/>
      <c r="HTZ29" s="1266"/>
      <c r="HUA29" s="1266"/>
      <c r="HUB29" s="1266"/>
      <c r="HUC29" s="1266"/>
      <c r="HUD29" s="1266"/>
      <c r="HUE29" s="1266"/>
      <c r="HUF29" s="1266"/>
      <c r="HUG29" s="1266"/>
      <c r="HUH29" s="1266"/>
      <c r="HUI29" s="1266"/>
      <c r="HUJ29" s="1266"/>
      <c r="HUK29" s="1266"/>
      <c r="HUL29" s="1266"/>
      <c r="HUM29" s="1266"/>
      <c r="HUN29" s="1266"/>
      <c r="HUO29" s="1266"/>
      <c r="HUP29" s="1266"/>
      <c r="HUQ29" s="1266"/>
      <c r="HUR29" s="1266"/>
      <c r="HUS29" s="1266"/>
      <c r="HUT29" s="1266"/>
      <c r="HUU29" s="1266"/>
      <c r="HUV29" s="1266"/>
      <c r="HUW29" s="1266"/>
      <c r="HUX29" s="1266"/>
      <c r="HUY29" s="1266"/>
      <c r="HUZ29" s="1266"/>
      <c r="HVA29" s="1266"/>
      <c r="HVB29" s="1266"/>
      <c r="HVC29" s="1266"/>
      <c r="HVD29" s="1266"/>
      <c r="HVE29" s="1266"/>
      <c r="HVF29" s="1266"/>
      <c r="HVG29" s="1266"/>
      <c r="HVH29" s="1266"/>
      <c r="HVI29" s="1266"/>
      <c r="HVJ29" s="1266"/>
      <c r="HVK29" s="1266"/>
      <c r="HVL29" s="1266"/>
      <c r="HVM29" s="1266"/>
      <c r="HVN29" s="1266"/>
      <c r="HVO29" s="1266"/>
      <c r="HVP29" s="1266"/>
      <c r="HVQ29" s="1266"/>
      <c r="HVR29" s="1266"/>
      <c r="HVS29" s="1266"/>
      <c r="HVT29" s="1266"/>
      <c r="HVU29" s="1266"/>
      <c r="HVV29" s="1266"/>
      <c r="HVW29" s="1266"/>
      <c r="HVX29" s="1266"/>
      <c r="HVY29" s="1266"/>
      <c r="HVZ29" s="1266"/>
      <c r="HWA29" s="1266"/>
      <c r="HWB29" s="1266"/>
      <c r="HWC29" s="1266"/>
      <c r="HWD29" s="1266"/>
      <c r="HWE29" s="1266"/>
      <c r="HWF29" s="1266"/>
      <c r="HWG29" s="1266"/>
      <c r="HWH29" s="1266"/>
      <c r="HWI29" s="1266"/>
      <c r="HWJ29" s="1266"/>
      <c r="HWK29" s="1266"/>
      <c r="HWL29" s="1266"/>
      <c r="HWM29" s="1266"/>
      <c r="HWN29" s="1266"/>
      <c r="HWO29" s="1266"/>
      <c r="HWP29" s="1266"/>
      <c r="HWQ29" s="1266"/>
      <c r="HWR29" s="1266"/>
      <c r="HWS29" s="1266"/>
      <c r="HWT29" s="1266"/>
      <c r="HWU29" s="1266"/>
      <c r="HWV29" s="1266"/>
      <c r="HWW29" s="1266"/>
      <c r="HWX29" s="1266"/>
      <c r="HWY29" s="1266"/>
      <c r="HWZ29" s="1266"/>
      <c r="HXA29" s="1266"/>
      <c r="HXB29" s="1266"/>
      <c r="HXC29" s="1266"/>
      <c r="HXD29" s="1266"/>
      <c r="HXE29" s="1266"/>
      <c r="HXF29" s="1266"/>
      <c r="HXG29" s="1266"/>
      <c r="HXH29" s="1266"/>
      <c r="HXI29" s="1266"/>
      <c r="HXJ29" s="1266"/>
      <c r="HXK29" s="1266"/>
      <c r="HXL29" s="1266"/>
      <c r="HXM29" s="1266"/>
      <c r="HXN29" s="1266"/>
      <c r="HXO29" s="1266"/>
      <c r="HXP29" s="1266"/>
      <c r="HXQ29" s="1266"/>
      <c r="HXR29" s="1266"/>
      <c r="HXS29" s="1266"/>
      <c r="HXT29" s="1266"/>
      <c r="HXU29" s="1266"/>
      <c r="HXV29" s="1266"/>
      <c r="HXW29" s="1266"/>
      <c r="HXX29" s="1266"/>
      <c r="HXY29" s="1266"/>
      <c r="HXZ29" s="1266"/>
      <c r="HYA29" s="1266"/>
      <c r="HYB29" s="1266"/>
      <c r="HYC29" s="1266"/>
      <c r="HYD29" s="1266"/>
      <c r="HYE29" s="1266"/>
      <c r="HYF29" s="1266"/>
      <c r="HYG29" s="1266"/>
      <c r="HYH29" s="1266"/>
      <c r="HYI29" s="1266"/>
      <c r="HYJ29" s="1266"/>
      <c r="HYK29" s="1266"/>
      <c r="HYL29" s="1266"/>
      <c r="HYM29" s="1266"/>
      <c r="HYN29" s="1266"/>
      <c r="HYO29" s="1266"/>
      <c r="HYP29" s="1266"/>
      <c r="HYQ29" s="1266"/>
      <c r="HYR29" s="1266"/>
      <c r="HYS29" s="1266"/>
      <c r="HYT29" s="1266"/>
      <c r="HYU29" s="1266"/>
      <c r="HYV29" s="1266"/>
      <c r="HYW29" s="1266"/>
      <c r="HYX29" s="1266"/>
      <c r="HYY29" s="1266"/>
      <c r="HYZ29" s="1266"/>
      <c r="HZA29" s="1266"/>
      <c r="HZB29" s="1266"/>
      <c r="HZC29" s="1266"/>
      <c r="HZD29" s="1266"/>
      <c r="HZE29" s="1266"/>
      <c r="HZF29" s="1266"/>
      <c r="HZG29" s="1266"/>
      <c r="HZH29" s="1266"/>
      <c r="HZI29" s="1266"/>
      <c r="HZJ29" s="1266"/>
      <c r="HZK29" s="1266"/>
      <c r="HZL29" s="1266"/>
      <c r="HZM29" s="1266"/>
      <c r="HZN29" s="1266"/>
      <c r="HZO29" s="1266"/>
      <c r="HZP29" s="1266"/>
      <c r="HZQ29" s="1266"/>
      <c r="HZR29" s="1266"/>
      <c r="HZS29" s="1266"/>
      <c r="HZT29" s="1266"/>
      <c r="HZU29" s="1266"/>
      <c r="HZV29" s="1266"/>
      <c r="HZW29" s="1266"/>
      <c r="HZX29" s="1266"/>
      <c r="HZY29" s="1266"/>
      <c r="HZZ29" s="1266"/>
      <c r="IAA29" s="1266"/>
      <c r="IAB29" s="1266"/>
      <c r="IAC29" s="1266"/>
      <c r="IAD29" s="1266"/>
      <c r="IAE29" s="1266"/>
      <c r="IAF29" s="1266"/>
      <c r="IAG29" s="1266"/>
      <c r="IAH29" s="1266"/>
      <c r="IAI29" s="1266"/>
      <c r="IAJ29" s="1266"/>
      <c r="IAK29" s="1266"/>
      <c r="IAL29" s="1266"/>
      <c r="IAM29" s="1266"/>
      <c r="IAN29" s="1266"/>
      <c r="IAO29" s="1266"/>
      <c r="IAP29" s="1266"/>
      <c r="IAQ29" s="1266"/>
      <c r="IAR29" s="1266"/>
      <c r="IAS29" s="1266"/>
      <c r="IAT29" s="1266"/>
      <c r="IAU29" s="1266"/>
      <c r="IAV29" s="1266"/>
      <c r="IAW29" s="1266"/>
      <c r="IAX29" s="1266"/>
      <c r="IAY29" s="1266"/>
      <c r="IAZ29" s="1266"/>
      <c r="IBA29" s="1266"/>
      <c r="IBB29" s="1266"/>
      <c r="IBC29" s="1266"/>
      <c r="IBD29" s="1266"/>
      <c r="IBE29" s="1266"/>
      <c r="IBF29" s="1266"/>
      <c r="IBG29" s="1266"/>
      <c r="IBH29" s="1266"/>
      <c r="IBI29" s="1266"/>
      <c r="IBJ29" s="1266"/>
      <c r="IBK29" s="1266"/>
      <c r="IBL29" s="1266"/>
      <c r="IBM29" s="1266"/>
      <c r="IBN29" s="1266"/>
      <c r="IBO29" s="1266"/>
      <c r="IBP29" s="1266"/>
      <c r="IBQ29" s="1266"/>
      <c r="IBR29" s="1266"/>
      <c r="IBS29" s="1266"/>
      <c r="IBT29" s="1266"/>
      <c r="IBU29" s="1266"/>
      <c r="IBV29" s="1266"/>
      <c r="IBW29" s="1266"/>
      <c r="IBX29" s="1266"/>
      <c r="IBY29" s="1266"/>
      <c r="IBZ29" s="1266"/>
      <c r="ICA29" s="1266"/>
      <c r="ICB29" s="1266"/>
      <c r="ICC29" s="1266"/>
      <c r="ICD29" s="1266"/>
      <c r="ICE29" s="1266"/>
      <c r="ICF29" s="1266"/>
      <c r="ICG29" s="1266"/>
      <c r="ICH29" s="1266"/>
      <c r="ICI29" s="1266"/>
      <c r="ICJ29" s="1266"/>
      <c r="ICK29" s="1266"/>
      <c r="ICL29" s="1266"/>
      <c r="ICM29" s="1266"/>
      <c r="ICN29" s="1266"/>
      <c r="ICO29" s="1266"/>
      <c r="ICP29" s="1266"/>
      <c r="ICQ29" s="1266"/>
      <c r="ICR29" s="1266"/>
      <c r="ICS29" s="1266"/>
      <c r="ICT29" s="1266"/>
      <c r="ICU29" s="1266"/>
      <c r="ICV29" s="1266"/>
      <c r="ICW29" s="1266"/>
      <c r="ICX29" s="1266"/>
      <c r="ICY29" s="1266"/>
      <c r="ICZ29" s="1266"/>
      <c r="IDA29" s="1266"/>
      <c r="IDB29" s="1266"/>
      <c r="IDC29" s="1266"/>
      <c r="IDD29" s="1266"/>
      <c r="IDE29" s="1266"/>
      <c r="IDF29" s="1266"/>
      <c r="IDG29" s="1266"/>
      <c r="IDH29" s="1266"/>
      <c r="IDI29" s="1266"/>
      <c r="IDJ29" s="1266"/>
      <c r="IDK29" s="1266"/>
      <c r="IDL29" s="1266"/>
      <c r="IDM29" s="1266"/>
      <c r="IDN29" s="1266"/>
      <c r="IDO29" s="1266"/>
      <c r="IDP29" s="1266"/>
      <c r="IDQ29" s="1266"/>
      <c r="IDR29" s="1266"/>
      <c r="IDS29" s="1266"/>
      <c r="IDT29" s="1266"/>
      <c r="IDU29" s="1266"/>
      <c r="IDV29" s="1266"/>
      <c r="IDW29" s="1266"/>
      <c r="IDX29" s="1266"/>
      <c r="IDY29" s="1266"/>
      <c r="IDZ29" s="1266"/>
      <c r="IEA29" s="1266"/>
      <c r="IEB29" s="1266"/>
      <c r="IEC29" s="1266"/>
      <c r="IED29" s="1266"/>
      <c r="IEE29" s="1266"/>
      <c r="IEF29" s="1266"/>
      <c r="IEG29" s="1266"/>
      <c r="IEH29" s="1266"/>
      <c r="IEI29" s="1266"/>
      <c r="IEJ29" s="1266"/>
      <c r="IEK29" s="1266"/>
      <c r="IEL29" s="1266"/>
      <c r="IEM29" s="1266"/>
      <c r="IEN29" s="1266"/>
      <c r="IEO29" s="1266"/>
      <c r="IEP29" s="1266"/>
      <c r="IEQ29" s="1266"/>
      <c r="IER29" s="1266"/>
      <c r="IES29" s="1266"/>
      <c r="IET29" s="1266"/>
      <c r="IEU29" s="1266"/>
      <c r="IEV29" s="1266"/>
      <c r="IEW29" s="1266"/>
      <c r="IEX29" s="1266"/>
      <c r="IEY29" s="1266"/>
      <c r="IEZ29" s="1266"/>
      <c r="IFA29" s="1266"/>
      <c r="IFB29" s="1266"/>
      <c r="IFC29" s="1266"/>
      <c r="IFD29" s="1266"/>
      <c r="IFE29" s="1266"/>
      <c r="IFF29" s="1266"/>
      <c r="IFG29" s="1266"/>
      <c r="IFH29" s="1266"/>
      <c r="IFI29" s="1266"/>
      <c r="IFJ29" s="1266"/>
      <c r="IFK29" s="1266"/>
      <c r="IFL29" s="1266"/>
      <c r="IFM29" s="1266"/>
      <c r="IFN29" s="1266"/>
      <c r="IFO29" s="1266"/>
      <c r="IFP29" s="1266"/>
      <c r="IFQ29" s="1266"/>
      <c r="IFR29" s="1266"/>
      <c r="IFS29" s="1266"/>
      <c r="IFT29" s="1266"/>
      <c r="IFU29" s="1266"/>
      <c r="IFV29" s="1266"/>
      <c r="IFW29" s="1266"/>
      <c r="IFX29" s="1266"/>
      <c r="IFY29" s="1266"/>
      <c r="IFZ29" s="1266"/>
      <c r="IGA29" s="1266"/>
      <c r="IGB29" s="1266"/>
      <c r="IGC29" s="1266"/>
      <c r="IGD29" s="1266"/>
      <c r="IGE29" s="1266"/>
      <c r="IGF29" s="1266"/>
      <c r="IGG29" s="1266"/>
      <c r="IGH29" s="1266"/>
      <c r="IGI29" s="1266"/>
      <c r="IGJ29" s="1266"/>
      <c r="IGK29" s="1266"/>
      <c r="IGL29" s="1266"/>
      <c r="IGM29" s="1266"/>
      <c r="IGN29" s="1266"/>
      <c r="IGO29" s="1266"/>
      <c r="IGP29" s="1266"/>
      <c r="IGQ29" s="1266"/>
      <c r="IGR29" s="1266"/>
      <c r="IGS29" s="1266"/>
      <c r="IGT29" s="1266"/>
      <c r="IGU29" s="1266"/>
      <c r="IGV29" s="1266"/>
      <c r="IGW29" s="1266"/>
      <c r="IGX29" s="1266"/>
      <c r="IGY29" s="1266"/>
      <c r="IGZ29" s="1266"/>
      <c r="IHA29" s="1266"/>
      <c r="IHB29" s="1266"/>
      <c r="IHC29" s="1266"/>
      <c r="IHD29" s="1266"/>
      <c r="IHE29" s="1266"/>
      <c r="IHF29" s="1266"/>
      <c r="IHG29" s="1266"/>
      <c r="IHH29" s="1266"/>
      <c r="IHI29" s="1266"/>
      <c r="IHJ29" s="1266"/>
      <c r="IHK29" s="1266"/>
      <c r="IHL29" s="1266"/>
      <c r="IHM29" s="1266"/>
      <c r="IHN29" s="1266"/>
      <c r="IHO29" s="1266"/>
      <c r="IHP29" s="1266"/>
      <c r="IHQ29" s="1266"/>
      <c r="IHR29" s="1266"/>
      <c r="IHS29" s="1266"/>
      <c r="IHT29" s="1266"/>
      <c r="IHU29" s="1266"/>
      <c r="IHV29" s="1266"/>
      <c r="IHW29" s="1266"/>
      <c r="IHX29" s="1266"/>
      <c r="IHY29" s="1266"/>
      <c r="IHZ29" s="1266"/>
      <c r="IIA29" s="1266"/>
      <c r="IIB29" s="1266"/>
      <c r="IIC29" s="1266"/>
      <c r="IID29" s="1266"/>
      <c r="IIE29" s="1266"/>
      <c r="IIF29" s="1266"/>
      <c r="IIG29" s="1266"/>
      <c r="IIH29" s="1266"/>
      <c r="III29" s="1266"/>
      <c r="IIJ29" s="1266"/>
      <c r="IIK29" s="1266"/>
      <c r="IIL29" s="1266"/>
      <c r="IIM29" s="1266"/>
      <c r="IIN29" s="1266"/>
      <c r="IIO29" s="1266"/>
      <c r="IIP29" s="1266"/>
      <c r="IIQ29" s="1266"/>
      <c r="IIR29" s="1266"/>
      <c r="IIS29" s="1266"/>
      <c r="IIT29" s="1266"/>
      <c r="IIU29" s="1266"/>
      <c r="IIV29" s="1266"/>
      <c r="IIW29" s="1266"/>
      <c r="IIX29" s="1266"/>
      <c r="IIY29" s="1266"/>
      <c r="IIZ29" s="1266"/>
      <c r="IJA29" s="1266"/>
      <c r="IJB29" s="1266"/>
      <c r="IJC29" s="1266"/>
      <c r="IJD29" s="1266"/>
      <c r="IJE29" s="1266"/>
      <c r="IJF29" s="1266"/>
      <c r="IJG29" s="1266"/>
      <c r="IJH29" s="1266"/>
      <c r="IJI29" s="1266"/>
      <c r="IJJ29" s="1266"/>
      <c r="IJK29" s="1266"/>
      <c r="IJL29" s="1266"/>
      <c r="IJM29" s="1266"/>
      <c r="IJN29" s="1266"/>
      <c r="IJO29" s="1266"/>
      <c r="IJP29" s="1266"/>
      <c r="IJQ29" s="1266"/>
      <c r="IJR29" s="1266"/>
      <c r="IJS29" s="1266"/>
      <c r="IJT29" s="1266"/>
      <c r="IJU29" s="1266"/>
      <c r="IJV29" s="1266"/>
      <c r="IJW29" s="1266"/>
      <c r="IJX29" s="1266"/>
      <c r="IJY29" s="1266"/>
      <c r="IJZ29" s="1266"/>
      <c r="IKA29" s="1266"/>
      <c r="IKB29" s="1266"/>
      <c r="IKC29" s="1266"/>
      <c r="IKD29" s="1266"/>
      <c r="IKE29" s="1266"/>
      <c r="IKF29" s="1266"/>
      <c r="IKG29" s="1266"/>
      <c r="IKH29" s="1266"/>
      <c r="IKI29" s="1266"/>
      <c r="IKJ29" s="1266"/>
      <c r="IKK29" s="1266"/>
      <c r="IKL29" s="1266"/>
      <c r="IKM29" s="1266"/>
      <c r="IKN29" s="1266"/>
      <c r="IKO29" s="1266"/>
      <c r="IKP29" s="1266"/>
      <c r="IKQ29" s="1266"/>
      <c r="IKR29" s="1266"/>
      <c r="IKS29" s="1266"/>
      <c r="IKT29" s="1266"/>
      <c r="IKU29" s="1266"/>
      <c r="IKV29" s="1266"/>
      <c r="IKW29" s="1266"/>
      <c r="IKX29" s="1266"/>
      <c r="IKY29" s="1266"/>
      <c r="IKZ29" s="1266"/>
      <c r="ILA29" s="1266"/>
      <c r="ILB29" s="1266"/>
      <c r="ILC29" s="1266"/>
      <c r="ILD29" s="1266"/>
      <c r="ILE29" s="1266"/>
      <c r="ILF29" s="1266"/>
      <c r="ILG29" s="1266"/>
      <c r="ILH29" s="1266"/>
      <c r="ILI29" s="1266"/>
      <c r="ILJ29" s="1266"/>
      <c r="ILK29" s="1266"/>
      <c r="ILL29" s="1266"/>
      <c r="ILM29" s="1266"/>
      <c r="ILN29" s="1266"/>
      <c r="ILO29" s="1266"/>
      <c r="ILP29" s="1266"/>
      <c r="ILQ29" s="1266"/>
      <c r="ILR29" s="1266"/>
      <c r="ILS29" s="1266"/>
      <c r="ILT29" s="1266"/>
      <c r="ILU29" s="1266"/>
      <c r="ILV29" s="1266"/>
      <c r="ILW29" s="1266"/>
      <c r="ILX29" s="1266"/>
      <c r="ILY29" s="1266"/>
      <c r="ILZ29" s="1266"/>
      <c r="IMA29" s="1266"/>
      <c r="IMB29" s="1266"/>
      <c r="IMC29" s="1266"/>
      <c r="IMD29" s="1266"/>
      <c r="IME29" s="1266"/>
      <c r="IMF29" s="1266"/>
      <c r="IMG29" s="1266"/>
      <c r="IMH29" s="1266"/>
      <c r="IMI29" s="1266"/>
      <c r="IMJ29" s="1266"/>
      <c r="IMK29" s="1266"/>
      <c r="IML29" s="1266"/>
      <c r="IMM29" s="1266"/>
      <c r="IMN29" s="1266"/>
      <c r="IMO29" s="1266"/>
      <c r="IMP29" s="1266"/>
      <c r="IMQ29" s="1266"/>
      <c r="IMR29" s="1266"/>
      <c r="IMS29" s="1266"/>
      <c r="IMT29" s="1266"/>
      <c r="IMU29" s="1266"/>
      <c r="IMV29" s="1266"/>
      <c r="IMW29" s="1266"/>
      <c r="IMX29" s="1266"/>
      <c r="IMY29" s="1266"/>
      <c r="IMZ29" s="1266"/>
      <c r="INA29" s="1266"/>
      <c r="INB29" s="1266"/>
      <c r="INC29" s="1266"/>
      <c r="IND29" s="1266"/>
      <c r="INE29" s="1266"/>
      <c r="INF29" s="1266"/>
      <c r="ING29" s="1266"/>
      <c r="INH29" s="1266"/>
      <c r="INI29" s="1266"/>
      <c r="INJ29" s="1266"/>
      <c r="INK29" s="1266"/>
      <c r="INL29" s="1266"/>
      <c r="INM29" s="1266"/>
      <c r="INN29" s="1266"/>
      <c r="INO29" s="1266"/>
      <c r="INP29" s="1266"/>
      <c r="INQ29" s="1266"/>
      <c r="INR29" s="1266"/>
      <c r="INS29" s="1266"/>
      <c r="INT29" s="1266"/>
      <c r="INU29" s="1266"/>
      <c r="INV29" s="1266"/>
      <c r="INW29" s="1266"/>
      <c r="INX29" s="1266"/>
      <c r="INY29" s="1266"/>
      <c r="INZ29" s="1266"/>
      <c r="IOA29" s="1266"/>
      <c r="IOB29" s="1266"/>
      <c r="IOC29" s="1266"/>
      <c r="IOD29" s="1266"/>
      <c r="IOE29" s="1266"/>
      <c r="IOF29" s="1266"/>
      <c r="IOG29" s="1266"/>
      <c r="IOH29" s="1266"/>
      <c r="IOI29" s="1266"/>
      <c r="IOJ29" s="1266"/>
      <c r="IOK29" s="1266"/>
      <c r="IOL29" s="1266"/>
      <c r="IOM29" s="1266"/>
      <c r="ION29" s="1266"/>
      <c r="IOO29" s="1266"/>
      <c r="IOP29" s="1266"/>
      <c r="IOQ29" s="1266"/>
      <c r="IOR29" s="1266"/>
      <c r="IOS29" s="1266"/>
      <c r="IOT29" s="1266"/>
      <c r="IOU29" s="1266"/>
      <c r="IOV29" s="1266"/>
      <c r="IOW29" s="1266"/>
      <c r="IOX29" s="1266"/>
      <c r="IOY29" s="1266"/>
      <c r="IOZ29" s="1266"/>
      <c r="IPA29" s="1266"/>
      <c r="IPB29" s="1266"/>
      <c r="IPC29" s="1266"/>
      <c r="IPD29" s="1266"/>
      <c r="IPE29" s="1266"/>
      <c r="IPF29" s="1266"/>
      <c r="IPG29" s="1266"/>
      <c r="IPH29" s="1266"/>
      <c r="IPI29" s="1266"/>
      <c r="IPJ29" s="1266"/>
      <c r="IPK29" s="1266"/>
      <c r="IPL29" s="1266"/>
      <c r="IPM29" s="1266"/>
      <c r="IPN29" s="1266"/>
      <c r="IPO29" s="1266"/>
      <c r="IPP29" s="1266"/>
      <c r="IPQ29" s="1266"/>
      <c r="IPR29" s="1266"/>
      <c r="IPS29" s="1266"/>
      <c r="IPT29" s="1266"/>
      <c r="IPU29" s="1266"/>
      <c r="IPV29" s="1266"/>
      <c r="IPW29" s="1266"/>
      <c r="IPX29" s="1266"/>
      <c r="IPY29" s="1266"/>
      <c r="IPZ29" s="1266"/>
      <c r="IQA29" s="1266"/>
      <c r="IQB29" s="1266"/>
      <c r="IQC29" s="1266"/>
      <c r="IQD29" s="1266"/>
      <c r="IQE29" s="1266"/>
      <c r="IQF29" s="1266"/>
      <c r="IQG29" s="1266"/>
      <c r="IQH29" s="1266"/>
      <c r="IQI29" s="1266"/>
      <c r="IQJ29" s="1266"/>
      <c r="IQK29" s="1266"/>
      <c r="IQL29" s="1266"/>
      <c r="IQM29" s="1266"/>
      <c r="IQN29" s="1266"/>
      <c r="IQO29" s="1266"/>
      <c r="IQP29" s="1266"/>
      <c r="IQQ29" s="1266"/>
      <c r="IQR29" s="1266"/>
      <c r="IQS29" s="1266"/>
      <c r="IQT29" s="1266"/>
      <c r="IQU29" s="1266"/>
      <c r="IQV29" s="1266"/>
      <c r="IQW29" s="1266"/>
      <c r="IQX29" s="1266"/>
      <c r="IQY29" s="1266"/>
      <c r="IQZ29" s="1266"/>
      <c r="IRA29" s="1266"/>
      <c r="IRB29" s="1266"/>
      <c r="IRC29" s="1266"/>
      <c r="IRD29" s="1266"/>
      <c r="IRE29" s="1266"/>
      <c r="IRF29" s="1266"/>
      <c r="IRG29" s="1266"/>
      <c r="IRH29" s="1266"/>
      <c r="IRI29" s="1266"/>
      <c r="IRJ29" s="1266"/>
      <c r="IRK29" s="1266"/>
      <c r="IRL29" s="1266"/>
      <c r="IRM29" s="1266"/>
      <c r="IRN29" s="1266"/>
      <c r="IRO29" s="1266"/>
      <c r="IRP29" s="1266"/>
      <c r="IRQ29" s="1266"/>
      <c r="IRR29" s="1266"/>
      <c r="IRS29" s="1266"/>
      <c r="IRT29" s="1266"/>
      <c r="IRU29" s="1266"/>
      <c r="IRV29" s="1266"/>
      <c r="IRW29" s="1266"/>
      <c r="IRX29" s="1266"/>
      <c r="IRY29" s="1266"/>
      <c r="IRZ29" s="1266"/>
      <c r="ISA29" s="1266"/>
      <c r="ISB29" s="1266"/>
      <c r="ISC29" s="1266"/>
      <c r="ISD29" s="1266"/>
      <c r="ISE29" s="1266"/>
      <c r="ISF29" s="1266"/>
      <c r="ISG29" s="1266"/>
      <c r="ISH29" s="1266"/>
      <c r="ISI29" s="1266"/>
      <c r="ISJ29" s="1266"/>
      <c r="ISK29" s="1266"/>
      <c r="ISL29" s="1266"/>
      <c r="ISM29" s="1266"/>
      <c r="ISN29" s="1266"/>
      <c r="ISO29" s="1266"/>
      <c r="ISP29" s="1266"/>
      <c r="ISQ29" s="1266"/>
      <c r="ISR29" s="1266"/>
      <c r="ISS29" s="1266"/>
      <c r="IST29" s="1266"/>
      <c r="ISU29" s="1266"/>
      <c r="ISV29" s="1266"/>
      <c r="ISW29" s="1266"/>
      <c r="ISX29" s="1266"/>
      <c r="ISY29" s="1266"/>
      <c r="ISZ29" s="1266"/>
      <c r="ITA29" s="1266"/>
      <c r="ITB29" s="1266"/>
      <c r="ITC29" s="1266"/>
      <c r="ITD29" s="1266"/>
      <c r="ITE29" s="1266"/>
      <c r="ITF29" s="1266"/>
      <c r="ITG29" s="1266"/>
      <c r="ITH29" s="1266"/>
      <c r="ITI29" s="1266"/>
      <c r="ITJ29" s="1266"/>
      <c r="ITK29" s="1266"/>
      <c r="ITL29" s="1266"/>
      <c r="ITM29" s="1266"/>
      <c r="ITN29" s="1266"/>
      <c r="ITO29" s="1266"/>
      <c r="ITP29" s="1266"/>
      <c r="ITQ29" s="1266"/>
      <c r="ITR29" s="1266"/>
      <c r="ITS29" s="1266"/>
      <c r="ITT29" s="1266"/>
      <c r="ITU29" s="1266"/>
      <c r="ITV29" s="1266"/>
      <c r="ITW29" s="1266"/>
      <c r="ITX29" s="1266"/>
      <c r="ITY29" s="1266"/>
      <c r="ITZ29" s="1266"/>
      <c r="IUA29" s="1266"/>
      <c r="IUB29" s="1266"/>
      <c r="IUC29" s="1266"/>
      <c r="IUD29" s="1266"/>
      <c r="IUE29" s="1266"/>
      <c r="IUF29" s="1266"/>
      <c r="IUG29" s="1266"/>
      <c r="IUH29" s="1266"/>
      <c r="IUI29" s="1266"/>
      <c r="IUJ29" s="1266"/>
      <c r="IUK29" s="1266"/>
      <c r="IUL29" s="1266"/>
      <c r="IUM29" s="1266"/>
      <c r="IUN29" s="1266"/>
      <c r="IUO29" s="1266"/>
      <c r="IUP29" s="1266"/>
      <c r="IUQ29" s="1266"/>
      <c r="IUR29" s="1266"/>
      <c r="IUS29" s="1266"/>
      <c r="IUT29" s="1266"/>
      <c r="IUU29" s="1266"/>
      <c r="IUV29" s="1266"/>
      <c r="IUW29" s="1266"/>
      <c r="IUX29" s="1266"/>
      <c r="IUY29" s="1266"/>
      <c r="IUZ29" s="1266"/>
      <c r="IVA29" s="1266"/>
      <c r="IVB29" s="1266"/>
      <c r="IVC29" s="1266"/>
      <c r="IVD29" s="1266"/>
      <c r="IVE29" s="1266"/>
      <c r="IVF29" s="1266"/>
      <c r="IVG29" s="1266"/>
      <c r="IVH29" s="1266"/>
      <c r="IVI29" s="1266"/>
      <c r="IVJ29" s="1266"/>
      <c r="IVK29" s="1266"/>
      <c r="IVL29" s="1266"/>
      <c r="IVM29" s="1266"/>
      <c r="IVN29" s="1266"/>
      <c r="IVO29" s="1266"/>
      <c r="IVP29" s="1266"/>
      <c r="IVQ29" s="1266"/>
      <c r="IVR29" s="1266"/>
      <c r="IVS29" s="1266"/>
      <c r="IVT29" s="1266"/>
      <c r="IVU29" s="1266"/>
      <c r="IVV29" s="1266"/>
      <c r="IVW29" s="1266"/>
      <c r="IVX29" s="1266"/>
      <c r="IVY29" s="1266"/>
      <c r="IVZ29" s="1266"/>
      <c r="IWA29" s="1266"/>
      <c r="IWB29" s="1266"/>
      <c r="IWC29" s="1266"/>
      <c r="IWD29" s="1266"/>
      <c r="IWE29" s="1266"/>
      <c r="IWF29" s="1266"/>
      <c r="IWG29" s="1266"/>
      <c r="IWH29" s="1266"/>
      <c r="IWI29" s="1266"/>
      <c r="IWJ29" s="1266"/>
      <c r="IWK29" s="1266"/>
      <c r="IWL29" s="1266"/>
      <c r="IWM29" s="1266"/>
      <c r="IWN29" s="1266"/>
      <c r="IWO29" s="1266"/>
      <c r="IWP29" s="1266"/>
      <c r="IWQ29" s="1266"/>
      <c r="IWR29" s="1266"/>
      <c r="IWS29" s="1266"/>
      <c r="IWT29" s="1266"/>
      <c r="IWU29" s="1266"/>
      <c r="IWV29" s="1266"/>
      <c r="IWW29" s="1266"/>
      <c r="IWX29" s="1266"/>
      <c r="IWY29" s="1266"/>
      <c r="IWZ29" s="1266"/>
      <c r="IXA29" s="1266"/>
      <c r="IXB29" s="1266"/>
      <c r="IXC29" s="1266"/>
      <c r="IXD29" s="1266"/>
      <c r="IXE29" s="1266"/>
      <c r="IXF29" s="1266"/>
      <c r="IXG29" s="1266"/>
      <c r="IXH29" s="1266"/>
      <c r="IXI29" s="1266"/>
      <c r="IXJ29" s="1266"/>
      <c r="IXK29" s="1266"/>
      <c r="IXL29" s="1266"/>
      <c r="IXM29" s="1266"/>
      <c r="IXN29" s="1266"/>
      <c r="IXO29" s="1266"/>
      <c r="IXP29" s="1266"/>
      <c r="IXQ29" s="1266"/>
      <c r="IXR29" s="1266"/>
      <c r="IXS29" s="1266"/>
      <c r="IXT29" s="1266"/>
      <c r="IXU29" s="1266"/>
      <c r="IXV29" s="1266"/>
      <c r="IXW29" s="1266"/>
      <c r="IXX29" s="1266"/>
      <c r="IXY29" s="1266"/>
      <c r="IXZ29" s="1266"/>
      <c r="IYA29" s="1266"/>
      <c r="IYB29" s="1266"/>
      <c r="IYC29" s="1266"/>
      <c r="IYD29" s="1266"/>
      <c r="IYE29" s="1266"/>
      <c r="IYF29" s="1266"/>
      <c r="IYG29" s="1266"/>
      <c r="IYH29" s="1266"/>
      <c r="IYI29" s="1266"/>
      <c r="IYJ29" s="1266"/>
      <c r="IYK29" s="1266"/>
      <c r="IYL29" s="1266"/>
      <c r="IYM29" s="1266"/>
      <c r="IYN29" s="1266"/>
      <c r="IYO29" s="1266"/>
      <c r="IYP29" s="1266"/>
      <c r="IYQ29" s="1266"/>
      <c r="IYR29" s="1266"/>
      <c r="IYS29" s="1266"/>
      <c r="IYT29" s="1266"/>
      <c r="IYU29" s="1266"/>
      <c r="IYV29" s="1266"/>
      <c r="IYW29" s="1266"/>
      <c r="IYX29" s="1266"/>
      <c r="IYY29" s="1266"/>
      <c r="IYZ29" s="1266"/>
      <c r="IZA29" s="1266"/>
      <c r="IZB29" s="1266"/>
      <c r="IZC29" s="1266"/>
      <c r="IZD29" s="1266"/>
      <c r="IZE29" s="1266"/>
      <c r="IZF29" s="1266"/>
      <c r="IZG29" s="1266"/>
      <c r="IZH29" s="1266"/>
      <c r="IZI29" s="1266"/>
      <c r="IZJ29" s="1266"/>
      <c r="IZK29" s="1266"/>
      <c r="IZL29" s="1266"/>
      <c r="IZM29" s="1266"/>
      <c r="IZN29" s="1266"/>
      <c r="IZO29" s="1266"/>
      <c r="IZP29" s="1266"/>
      <c r="IZQ29" s="1266"/>
      <c r="IZR29" s="1266"/>
      <c r="IZS29" s="1266"/>
      <c r="IZT29" s="1266"/>
      <c r="IZU29" s="1266"/>
      <c r="IZV29" s="1266"/>
      <c r="IZW29" s="1266"/>
      <c r="IZX29" s="1266"/>
      <c r="IZY29" s="1266"/>
      <c r="IZZ29" s="1266"/>
      <c r="JAA29" s="1266"/>
      <c r="JAB29" s="1266"/>
      <c r="JAC29" s="1266"/>
      <c r="JAD29" s="1266"/>
      <c r="JAE29" s="1266"/>
      <c r="JAF29" s="1266"/>
      <c r="JAG29" s="1266"/>
      <c r="JAH29" s="1266"/>
      <c r="JAI29" s="1266"/>
      <c r="JAJ29" s="1266"/>
      <c r="JAK29" s="1266"/>
      <c r="JAL29" s="1266"/>
      <c r="JAM29" s="1266"/>
      <c r="JAN29" s="1266"/>
      <c r="JAO29" s="1266"/>
      <c r="JAP29" s="1266"/>
      <c r="JAQ29" s="1266"/>
      <c r="JAR29" s="1266"/>
      <c r="JAS29" s="1266"/>
      <c r="JAT29" s="1266"/>
      <c r="JAU29" s="1266"/>
      <c r="JAV29" s="1266"/>
      <c r="JAW29" s="1266"/>
      <c r="JAX29" s="1266"/>
      <c r="JAY29" s="1266"/>
      <c r="JAZ29" s="1266"/>
      <c r="JBA29" s="1266"/>
      <c r="JBB29" s="1266"/>
      <c r="JBC29" s="1266"/>
      <c r="JBD29" s="1266"/>
      <c r="JBE29" s="1266"/>
      <c r="JBF29" s="1266"/>
      <c r="JBG29" s="1266"/>
      <c r="JBH29" s="1266"/>
      <c r="JBI29" s="1266"/>
      <c r="JBJ29" s="1266"/>
      <c r="JBK29" s="1266"/>
      <c r="JBL29" s="1266"/>
      <c r="JBM29" s="1266"/>
      <c r="JBN29" s="1266"/>
      <c r="JBO29" s="1266"/>
      <c r="JBP29" s="1266"/>
      <c r="JBQ29" s="1266"/>
      <c r="JBR29" s="1266"/>
      <c r="JBS29" s="1266"/>
      <c r="JBT29" s="1266"/>
      <c r="JBU29" s="1266"/>
      <c r="JBV29" s="1266"/>
      <c r="JBW29" s="1266"/>
      <c r="JBX29" s="1266"/>
      <c r="JBY29" s="1266"/>
      <c r="JBZ29" s="1266"/>
      <c r="JCA29" s="1266"/>
      <c r="JCB29" s="1266"/>
      <c r="JCC29" s="1266"/>
      <c r="JCD29" s="1266"/>
      <c r="JCE29" s="1266"/>
      <c r="JCF29" s="1266"/>
      <c r="JCG29" s="1266"/>
      <c r="JCH29" s="1266"/>
      <c r="JCI29" s="1266"/>
      <c r="JCJ29" s="1266"/>
      <c r="JCK29" s="1266"/>
      <c r="JCL29" s="1266"/>
      <c r="JCM29" s="1266"/>
      <c r="JCN29" s="1266"/>
      <c r="JCO29" s="1266"/>
      <c r="JCP29" s="1266"/>
      <c r="JCQ29" s="1266"/>
      <c r="JCR29" s="1266"/>
      <c r="JCS29" s="1266"/>
      <c r="JCT29" s="1266"/>
      <c r="JCU29" s="1266"/>
      <c r="JCV29" s="1266"/>
      <c r="JCW29" s="1266"/>
      <c r="JCX29" s="1266"/>
      <c r="JCY29" s="1266"/>
      <c r="JCZ29" s="1266"/>
      <c r="JDA29" s="1266"/>
      <c r="JDB29" s="1266"/>
      <c r="JDC29" s="1266"/>
      <c r="JDD29" s="1266"/>
      <c r="JDE29" s="1266"/>
      <c r="JDF29" s="1266"/>
      <c r="JDG29" s="1266"/>
      <c r="JDH29" s="1266"/>
      <c r="JDI29" s="1266"/>
      <c r="JDJ29" s="1266"/>
      <c r="JDK29" s="1266"/>
      <c r="JDL29" s="1266"/>
      <c r="JDM29" s="1266"/>
      <c r="JDN29" s="1266"/>
      <c r="JDO29" s="1266"/>
      <c r="JDP29" s="1266"/>
      <c r="JDQ29" s="1266"/>
      <c r="JDR29" s="1266"/>
      <c r="JDS29" s="1266"/>
      <c r="JDT29" s="1266"/>
      <c r="JDU29" s="1266"/>
      <c r="JDV29" s="1266"/>
      <c r="JDW29" s="1266"/>
      <c r="JDX29" s="1266"/>
      <c r="JDY29" s="1266"/>
      <c r="JDZ29" s="1266"/>
      <c r="JEA29" s="1266"/>
      <c r="JEB29" s="1266"/>
      <c r="JEC29" s="1266"/>
      <c r="JED29" s="1266"/>
      <c r="JEE29" s="1266"/>
      <c r="JEF29" s="1266"/>
      <c r="JEG29" s="1266"/>
      <c r="JEH29" s="1266"/>
      <c r="JEI29" s="1266"/>
      <c r="JEJ29" s="1266"/>
      <c r="JEK29" s="1266"/>
      <c r="JEL29" s="1266"/>
      <c r="JEM29" s="1266"/>
      <c r="JEN29" s="1266"/>
      <c r="JEO29" s="1266"/>
      <c r="JEP29" s="1266"/>
      <c r="JEQ29" s="1266"/>
      <c r="JER29" s="1266"/>
      <c r="JES29" s="1266"/>
      <c r="JET29" s="1266"/>
      <c r="JEU29" s="1266"/>
      <c r="JEV29" s="1266"/>
      <c r="JEW29" s="1266"/>
      <c r="JEX29" s="1266"/>
      <c r="JEY29" s="1266"/>
      <c r="JEZ29" s="1266"/>
      <c r="JFA29" s="1266"/>
      <c r="JFB29" s="1266"/>
      <c r="JFC29" s="1266"/>
      <c r="JFD29" s="1266"/>
      <c r="JFE29" s="1266"/>
      <c r="JFF29" s="1266"/>
      <c r="JFG29" s="1266"/>
      <c r="JFH29" s="1266"/>
      <c r="JFI29" s="1266"/>
      <c r="JFJ29" s="1266"/>
      <c r="JFK29" s="1266"/>
      <c r="JFL29" s="1266"/>
      <c r="JFM29" s="1266"/>
      <c r="JFN29" s="1266"/>
      <c r="JFO29" s="1266"/>
      <c r="JFP29" s="1266"/>
      <c r="JFQ29" s="1266"/>
      <c r="JFR29" s="1266"/>
      <c r="JFS29" s="1266"/>
      <c r="JFT29" s="1266"/>
      <c r="JFU29" s="1266"/>
      <c r="JFV29" s="1266"/>
      <c r="JFW29" s="1266"/>
      <c r="JFX29" s="1266"/>
      <c r="JFY29" s="1266"/>
      <c r="JFZ29" s="1266"/>
      <c r="JGA29" s="1266"/>
      <c r="JGB29" s="1266"/>
      <c r="JGC29" s="1266"/>
      <c r="JGD29" s="1266"/>
      <c r="JGE29" s="1266"/>
      <c r="JGF29" s="1266"/>
      <c r="JGG29" s="1266"/>
      <c r="JGH29" s="1266"/>
      <c r="JGI29" s="1266"/>
      <c r="JGJ29" s="1266"/>
      <c r="JGK29" s="1266"/>
      <c r="JGL29" s="1266"/>
      <c r="JGM29" s="1266"/>
      <c r="JGN29" s="1266"/>
      <c r="JGO29" s="1266"/>
      <c r="JGP29" s="1266"/>
      <c r="JGQ29" s="1266"/>
      <c r="JGR29" s="1266"/>
      <c r="JGS29" s="1266"/>
      <c r="JGT29" s="1266"/>
      <c r="JGU29" s="1266"/>
      <c r="JGV29" s="1266"/>
      <c r="JGW29" s="1266"/>
      <c r="JGX29" s="1266"/>
      <c r="JGY29" s="1266"/>
      <c r="JGZ29" s="1266"/>
      <c r="JHA29" s="1266"/>
      <c r="JHB29" s="1266"/>
      <c r="JHC29" s="1266"/>
      <c r="JHD29" s="1266"/>
      <c r="JHE29" s="1266"/>
      <c r="JHF29" s="1266"/>
      <c r="JHG29" s="1266"/>
      <c r="JHH29" s="1266"/>
      <c r="JHI29" s="1266"/>
      <c r="JHJ29" s="1266"/>
      <c r="JHK29" s="1266"/>
      <c r="JHL29" s="1266"/>
      <c r="JHM29" s="1266"/>
      <c r="JHN29" s="1266"/>
      <c r="JHO29" s="1266"/>
      <c r="JHP29" s="1266"/>
      <c r="JHQ29" s="1266"/>
      <c r="JHR29" s="1266"/>
      <c r="JHS29" s="1266"/>
      <c r="JHT29" s="1266"/>
      <c r="JHU29" s="1266"/>
      <c r="JHV29" s="1266"/>
      <c r="JHW29" s="1266"/>
      <c r="JHX29" s="1266"/>
      <c r="JHY29" s="1266"/>
      <c r="JHZ29" s="1266"/>
      <c r="JIA29" s="1266"/>
      <c r="JIB29" s="1266"/>
      <c r="JIC29" s="1266"/>
      <c r="JID29" s="1266"/>
      <c r="JIE29" s="1266"/>
      <c r="JIF29" s="1266"/>
      <c r="JIG29" s="1266"/>
      <c r="JIH29" s="1266"/>
      <c r="JII29" s="1266"/>
      <c r="JIJ29" s="1266"/>
      <c r="JIK29" s="1266"/>
      <c r="JIL29" s="1266"/>
      <c r="JIM29" s="1266"/>
      <c r="JIN29" s="1266"/>
      <c r="JIO29" s="1266"/>
      <c r="JIP29" s="1266"/>
      <c r="JIQ29" s="1266"/>
      <c r="JIR29" s="1266"/>
      <c r="JIS29" s="1266"/>
      <c r="JIT29" s="1266"/>
      <c r="JIU29" s="1266"/>
      <c r="JIV29" s="1266"/>
      <c r="JIW29" s="1266"/>
      <c r="JIX29" s="1266"/>
      <c r="JIY29" s="1266"/>
      <c r="JIZ29" s="1266"/>
      <c r="JJA29" s="1266"/>
      <c r="JJB29" s="1266"/>
      <c r="JJC29" s="1266"/>
      <c r="JJD29" s="1266"/>
      <c r="JJE29" s="1266"/>
      <c r="JJF29" s="1266"/>
      <c r="JJG29" s="1266"/>
      <c r="JJH29" s="1266"/>
      <c r="JJI29" s="1266"/>
      <c r="JJJ29" s="1266"/>
      <c r="JJK29" s="1266"/>
      <c r="JJL29" s="1266"/>
      <c r="JJM29" s="1266"/>
      <c r="JJN29" s="1266"/>
      <c r="JJO29" s="1266"/>
      <c r="JJP29" s="1266"/>
      <c r="JJQ29" s="1266"/>
      <c r="JJR29" s="1266"/>
      <c r="JJS29" s="1266"/>
      <c r="JJT29" s="1266"/>
      <c r="JJU29" s="1266"/>
      <c r="JJV29" s="1266"/>
      <c r="JJW29" s="1266"/>
      <c r="JJX29" s="1266"/>
      <c r="JJY29" s="1266"/>
      <c r="JJZ29" s="1266"/>
      <c r="JKA29" s="1266"/>
      <c r="JKB29" s="1266"/>
      <c r="JKC29" s="1266"/>
      <c r="JKD29" s="1266"/>
      <c r="JKE29" s="1266"/>
      <c r="JKF29" s="1266"/>
      <c r="JKG29" s="1266"/>
      <c r="JKH29" s="1266"/>
      <c r="JKI29" s="1266"/>
      <c r="JKJ29" s="1266"/>
      <c r="JKK29" s="1266"/>
      <c r="JKL29" s="1266"/>
      <c r="JKM29" s="1266"/>
      <c r="JKN29" s="1266"/>
      <c r="JKO29" s="1266"/>
      <c r="JKP29" s="1266"/>
      <c r="JKQ29" s="1266"/>
      <c r="JKR29" s="1266"/>
      <c r="JKS29" s="1266"/>
      <c r="JKT29" s="1266"/>
      <c r="JKU29" s="1266"/>
      <c r="JKV29" s="1266"/>
      <c r="JKW29" s="1266"/>
      <c r="JKX29" s="1266"/>
      <c r="JKY29" s="1266"/>
      <c r="JKZ29" s="1266"/>
      <c r="JLA29" s="1266"/>
      <c r="JLB29" s="1266"/>
      <c r="JLC29" s="1266"/>
      <c r="JLD29" s="1266"/>
      <c r="JLE29" s="1266"/>
      <c r="JLF29" s="1266"/>
      <c r="JLG29" s="1266"/>
      <c r="JLH29" s="1266"/>
      <c r="JLI29" s="1266"/>
      <c r="JLJ29" s="1266"/>
      <c r="JLK29" s="1266"/>
      <c r="JLL29" s="1266"/>
      <c r="JLM29" s="1266"/>
      <c r="JLN29" s="1266"/>
      <c r="JLO29" s="1266"/>
      <c r="JLP29" s="1266"/>
      <c r="JLQ29" s="1266"/>
      <c r="JLR29" s="1266"/>
      <c r="JLS29" s="1266"/>
      <c r="JLT29" s="1266"/>
      <c r="JLU29" s="1266"/>
      <c r="JLV29" s="1266"/>
      <c r="JLW29" s="1266"/>
      <c r="JLX29" s="1266"/>
      <c r="JLY29" s="1266"/>
      <c r="JLZ29" s="1266"/>
      <c r="JMA29" s="1266"/>
      <c r="JMB29" s="1266"/>
      <c r="JMC29" s="1266"/>
      <c r="JMD29" s="1266"/>
      <c r="JME29" s="1266"/>
      <c r="JMF29" s="1266"/>
      <c r="JMG29" s="1266"/>
      <c r="JMH29" s="1266"/>
      <c r="JMI29" s="1266"/>
      <c r="JMJ29" s="1266"/>
      <c r="JMK29" s="1266"/>
      <c r="JML29" s="1266"/>
      <c r="JMM29" s="1266"/>
      <c r="JMN29" s="1266"/>
      <c r="JMO29" s="1266"/>
      <c r="JMP29" s="1266"/>
      <c r="JMQ29" s="1266"/>
      <c r="JMR29" s="1266"/>
      <c r="JMS29" s="1266"/>
      <c r="JMT29" s="1266"/>
      <c r="JMU29" s="1266"/>
      <c r="JMV29" s="1266"/>
      <c r="JMW29" s="1266"/>
      <c r="JMX29" s="1266"/>
      <c r="JMY29" s="1266"/>
      <c r="JMZ29" s="1266"/>
      <c r="JNA29" s="1266"/>
      <c r="JNB29" s="1266"/>
      <c r="JNC29" s="1266"/>
      <c r="JND29" s="1266"/>
      <c r="JNE29" s="1266"/>
      <c r="JNF29" s="1266"/>
      <c r="JNG29" s="1266"/>
      <c r="JNH29" s="1266"/>
      <c r="JNI29" s="1266"/>
      <c r="JNJ29" s="1266"/>
      <c r="JNK29" s="1266"/>
      <c r="JNL29" s="1266"/>
      <c r="JNM29" s="1266"/>
      <c r="JNN29" s="1266"/>
      <c r="JNO29" s="1266"/>
      <c r="JNP29" s="1266"/>
      <c r="JNQ29" s="1266"/>
      <c r="JNR29" s="1266"/>
      <c r="JNS29" s="1266"/>
      <c r="JNT29" s="1266"/>
      <c r="JNU29" s="1266"/>
      <c r="JNV29" s="1266"/>
      <c r="JNW29" s="1266"/>
      <c r="JNX29" s="1266"/>
      <c r="JNY29" s="1266"/>
      <c r="JNZ29" s="1266"/>
      <c r="JOA29" s="1266"/>
      <c r="JOB29" s="1266"/>
      <c r="JOC29" s="1266"/>
      <c r="JOD29" s="1266"/>
      <c r="JOE29" s="1266"/>
      <c r="JOF29" s="1266"/>
      <c r="JOG29" s="1266"/>
      <c r="JOH29" s="1266"/>
      <c r="JOI29" s="1266"/>
      <c r="JOJ29" s="1266"/>
      <c r="JOK29" s="1266"/>
      <c r="JOL29" s="1266"/>
      <c r="JOM29" s="1266"/>
      <c r="JON29" s="1266"/>
      <c r="JOO29" s="1266"/>
      <c r="JOP29" s="1266"/>
      <c r="JOQ29" s="1266"/>
      <c r="JOR29" s="1266"/>
      <c r="JOS29" s="1266"/>
      <c r="JOT29" s="1266"/>
      <c r="JOU29" s="1266"/>
      <c r="JOV29" s="1266"/>
      <c r="JOW29" s="1266"/>
      <c r="JOX29" s="1266"/>
      <c r="JOY29" s="1266"/>
      <c r="JOZ29" s="1266"/>
      <c r="JPA29" s="1266"/>
      <c r="JPB29" s="1266"/>
      <c r="JPC29" s="1266"/>
      <c r="JPD29" s="1266"/>
      <c r="JPE29" s="1266"/>
      <c r="JPF29" s="1266"/>
      <c r="JPG29" s="1266"/>
      <c r="JPH29" s="1266"/>
      <c r="JPI29" s="1266"/>
      <c r="JPJ29" s="1266"/>
      <c r="JPK29" s="1266"/>
      <c r="JPL29" s="1266"/>
      <c r="JPM29" s="1266"/>
      <c r="JPN29" s="1266"/>
      <c r="JPO29" s="1266"/>
      <c r="JPP29" s="1266"/>
      <c r="JPQ29" s="1266"/>
      <c r="JPR29" s="1266"/>
      <c r="JPS29" s="1266"/>
      <c r="JPT29" s="1266"/>
      <c r="JPU29" s="1266"/>
      <c r="JPV29" s="1266"/>
      <c r="JPW29" s="1266"/>
      <c r="JPX29" s="1266"/>
      <c r="JPY29" s="1266"/>
      <c r="JPZ29" s="1266"/>
      <c r="JQA29" s="1266"/>
      <c r="JQB29" s="1266"/>
      <c r="JQC29" s="1266"/>
      <c r="JQD29" s="1266"/>
      <c r="JQE29" s="1266"/>
      <c r="JQF29" s="1266"/>
      <c r="JQG29" s="1266"/>
      <c r="JQH29" s="1266"/>
      <c r="JQI29" s="1266"/>
      <c r="JQJ29" s="1266"/>
      <c r="JQK29" s="1266"/>
      <c r="JQL29" s="1266"/>
      <c r="JQM29" s="1266"/>
      <c r="JQN29" s="1266"/>
      <c r="JQO29" s="1266"/>
      <c r="JQP29" s="1266"/>
      <c r="JQQ29" s="1266"/>
      <c r="JQR29" s="1266"/>
      <c r="JQS29" s="1266"/>
      <c r="JQT29" s="1266"/>
      <c r="JQU29" s="1266"/>
      <c r="JQV29" s="1266"/>
      <c r="JQW29" s="1266"/>
      <c r="JQX29" s="1266"/>
      <c r="JQY29" s="1266"/>
      <c r="JQZ29" s="1266"/>
      <c r="JRA29" s="1266"/>
      <c r="JRB29" s="1266"/>
      <c r="JRC29" s="1266"/>
      <c r="JRD29" s="1266"/>
      <c r="JRE29" s="1266"/>
      <c r="JRF29" s="1266"/>
      <c r="JRG29" s="1266"/>
      <c r="JRH29" s="1266"/>
      <c r="JRI29" s="1266"/>
      <c r="JRJ29" s="1266"/>
      <c r="JRK29" s="1266"/>
      <c r="JRL29" s="1266"/>
      <c r="JRM29" s="1266"/>
      <c r="JRN29" s="1266"/>
      <c r="JRO29" s="1266"/>
      <c r="JRP29" s="1266"/>
      <c r="JRQ29" s="1266"/>
      <c r="JRR29" s="1266"/>
      <c r="JRS29" s="1266"/>
      <c r="JRT29" s="1266"/>
      <c r="JRU29" s="1266"/>
      <c r="JRV29" s="1266"/>
      <c r="JRW29" s="1266"/>
      <c r="JRX29" s="1266"/>
      <c r="JRY29" s="1266"/>
      <c r="JRZ29" s="1266"/>
      <c r="JSA29" s="1266"/>
      <c r="JSB29" s="1266"/>
      <c r="JSC29" s="1266"/>
      <c r="JSD29" s="1266"/>
      <c r="JSE29" s="1266"/>
      <c r="JSF29" s="1266"/>
      <c r="JSG29" s="1266"/>
      <c r="JSH29" s="1266"/>
      <c r="JSI29" s="1266"/>
      <c r="JSJ29" s="1266"/>
      <c r="JSK29" s="1266"/>
      <c r="JSL29" s="1266"/>
      <c r="JSM29" s="1266"/>
      <c r="JSN29" s="1266"/>
      <c r="JSO29" s="1266"/>
      <c r="JSP29" s="1266"/>
      <c r="JSQ29" s="1266"/>
      <c r="JSR29" s="1266"/>
      <c r="JSS29" s="1266"/>
      <c r="JST29" s="1266"/>
      <c r="JSU29" s="1266"/>
      <c r="JSV29" s="1266"/>
      <c r="JSW29" s="1266"/>
      <c r="JSX29" s="1266"/>
      <c r="JSY29" s="1266"/>
      <c r="JSZ29" s="1266"/>
      <c r="JTA29" s="1266"/>
      <c r="JTB29" s="1266"/>
      <c r="JTC29" s="1266"/>
      <c r="JTD29" s="1266"/>
      <c r="JTE29" s="1266"/>
      <c r="JTF29" s="1266"/>
      <c r="JTG29" s="1266"/>
      <c r="JTH29" s="1266"/>
      <c r="JTI29" s="1266"/>
      <c r="JTJ29" s="1266"/>
      <c r="JTK29" s="1266"/>
      <c r="JTL29" s="1266"/>
      <c r="JTM29" s="1266"/>
      <c r="JTN29" s="1266"/>
      <c r="JTO29" s="1266"/>
      <c r="JTP29" s="1266"/>
      <c r="JTQ29" s="1266"/>
      <c r="JTR29" s="1266"/>
      <c r="JTS29" s="1266"/>
      <c r="JTT29" s="1266"/>
      <c r="JTU29" s="1266"/>
      <c r="JTV29" s="1266"/>
      <c r="JTW29" s="1266"/>
      <c r="JTX29" s="1266"/>
      <c r="JTY29" s="1266"/>
      <c r="JTZ29" s="1266"/>
      <c r="JUA29" s="1266"/>
      <c r="JUB29" s="1266"/>
      <c r="JUC29" s="1266"/>
      <c r="JUD29" s="1266"/>
      <c r="JUE29" s="1266"/>
      <c r="JUF29" s="1266"/>
      <c r="JUG29" s="1266"/>
      <c r="JUH29" s="1266"/>
      <c r="JUI29" s="1266"/>
      <c r="JUJ29" s="1266"/>
      <c r="JUK29" s="1266"/>
      <c r="JUL29" s="1266"/>
      <c r="JUM29" s="1266"/>
      <c r="JUN29" s="1266"/>
      <c r="JUO29" s="1266"/>
      <c r="JUP29" s="1266"/>
      <c r="JUQ29" s="1266"/>
      <c r="JUR29" s="1266"/>
      <c r="JUS29" s="1266"/>
      <c r="JUT29" s="1266"/>
      <c r="JUU29" s="1266"/>
      <c r="JUV29" s="1266"/>
      <c r="JUW29" s="1266"/>
      <c r="JUX29" s="1266"/>
      <c r="JUY29" s="1266"/>
      <c r="JUZ29" s="1266"/>
      <c r="JVA29" s="1266"/>
      <c r="JVB29" s="1266"/>
      <c r="JVC29" s="1266"/>
      <c r="JVD29" s="1266"/>
      <c r="JVE29" s="1266"/>
      <c r="JVF29" s="1266"/>
      <c r="JVG29" s="1266"/>
      <c r="JVH29" s="1266"/>
      <c r="JVI29" s="1266"/>
      <c r="JVJ29" s="1266"/>
      <c r="JVK29" s="1266"/>
      <c r="JVL29" s="1266"/>
      <c r="JVM29" s="1266"/>
      <c r="JVN29" s="1266"/>
      <c r="JVO29" s="1266"/>
      <c r="JVP29" s="1266"/>
      <c r="JVQ29" s="1266"/>
      <c r="JVR29" s="1266"/>
      <c r="JVS29" s="1266"/>
      <c r="JVT29" s="1266"/>
      <c r="JVU29" s="1266"/>
      <c r="JVV29" s="1266"/>
      <c r="JVW29" s="1266"/>
      <c r="JVX29" s="1266"/>
      <c r="JVY29" s="1266"/>
      <c r="JVZ29" s="1266"/>
      <c r="JWA29" s="1266"/>
      <c r="JWB29" s="1266"/>
      <c r="JWC29" s="1266"/>
      <c r="JWD29" s="1266"/>
      <c r="JWE29" s="1266"/>
      <c r="JWF29" s="1266"/>
      <c r="JWG29" s="1266"/>
      <c r="JWH29" s="1266"/>
      <c r="JWI29" s="1266"/>
      <c r="JWJ29" s="1266"/>
      <c r="JWK29" s="1266"/>
      <c r="JWL29" s="1266"/>
      <c r="JWM29" s="1266"/>
      <c r="JWN29" s="1266"/>
      <c r="JWO29" s="1266"/>
      <c r="JWP29" s="1266"/>
      <c r="JWQ29" s="1266"/>
      <c r="JWR29" s="1266"/>
      <c r="JWS29" s="1266"/>
      <c r="JWT29" s="1266"/>
      <c r="JWU29" s="1266"/>
      <c r="JWV29" s="1266"/>
      <c r="JWW29" s="1266"/>
      <c r="JWX29" s="1266"/>
      <c r="JWY29" s="1266"/>
      <c r="JWZ29" s="1266"/>
      <c r="JXA29" s="1266"/>
      <c r="JXB29" s="1266"/>
      <c r="JXC29" s="1266"/>
      <c r="JXD29" s="1266"/>
      <c r="JXE29" s="1266"/>
      <c r="JXF29" s="1266"/>
      <c r="JXG29" s="1266"/>
      <c r="JXH29" s="1266"/>
      <c r="JXI29" s="1266"/>
      <c r="JXJ29" s="1266"/>
      <c r="JXK29" s="1266"/>
      <c r="JXL29" s="1266"/>
      <c r="JXM29" s="1266"/>
      <c r="JXN29" s="1266"/>
      <c r="JXO29" s="1266"/>
      <c r="JXP29" s="1266"/>
      <c r="JXQ29" s="1266"/>
      <c r="JXR29" s="1266"/>
      <c r="JXS29" s="1266"/>
      <c r="JXT29" s="1266"/>
      <c r="JXU29" s="1266"/>
      <c r="JXV29" s="1266"/>
      <c r="JXW29" s="1266"/>
      <c r="JXX29" s="1266"/>
      <c r="JXY29" s="1266"/>
      <c r="JXZ29" s="1266"/>
      <c r="JYA29" s="1266"/>
      <c r="JYB29" s="1266"/>
      <c r="JYC29" s="1266"/>
      <c r="JYD29" s="1266"/>
      <c r="JYE29" s="1266"/>
      <c r="JYF29" s="1266"/>
      <c r="JYG29" s="1266"/>
      <c r="JYH29" s="1266"/>
      <c r="JYI29" s="1266"/>
      <c r="JYJ29" s="1266"/>
      <c r="JYK29" s="1266"/>
      <c r="JYL29" s="1266"/>
      <c r="JYM29" s="1266"/>
      <c r="JYN29" s="1266"/>
      <c r="JYO29" s="1266"/>
      <c r="JYP29" s="1266"/>
      <c r="JYQ29" s="1266"/>
      <c r="JYR29" s="1266"/>
      <c r="JYS29" s="1266"/>
      <c r="JYT29" s="1266"/>
      <c r="JYU29" s="1266"/>
      <c r="JYV29" s="1266"/>
      <c r="JYW29" s="1266"/>
      <c r="JYX29" s="1266"/>
      <c r="JYY29" s="1266"/>
      <c r="JYZ29" s="1266"/>
      <c r="JZA29" s="1266"/>
      <c r="JZB29" s="1266"/>
      <c r="JZC29" s="1266"/>
      <c r="JZD29" s="1266"/>
      <c r="JZE29" s="1266"/>
      <c r="JZF29" s="1266"/>
      <c r="JZG29" s="1266"/>
      <c r="JZH29" s="1266"/>
      <c r="JZI29" s="1266"/>
      <c r="JZJ29" s="1266"/>
      <c r="JZK29" s="1266"/>
      <c r="JZL29" s="1266"/>
      <c r="JZM29" s="1266"/>
      <c r="JZN29" s="1266"/>
      <c r="JZO29" s="1266"/>
      <c r="JZP29" s="1266"/>
      <c r="JZQ29" s="1266"/>
      <c r="JZR29" s="1266"/>
      <c r="JZS29" s="1266"/>
      <c r="JZT29" s="1266"/>
      <c r="JZU29" s="1266"/>
      <c r="JZV29" s="1266"/>
      <c r="JZW29" s="1266"/>
      <c r="JZX29" s="1266"/>
      <c r="JZY29" s="1266"/>
      <c r="JZZ29" s="1266"/>
      <c r="KAA29" s="1266"/>
      <c r="KAB29" s="1266"/>
      <c r="KAC29" s="1266"/>
      <c r="KAD29" s="1266"/>
      <c r="KAE29" s="1266"/>
      <c r="KAF29" s="1266"/>
      <c r="KAG29" s="1266"/>
      <c r="KAH29" s="1266"/>
      <c r="KAI29" s="1266"/>
      <c r="KAJ29" s="1266"/>
      <c r="KAK29" s="1266"/>
      <c r="KAL29" s="1266"/>
      <c r="KAM29" s="1266"/>
      <c r="KAN29" s="1266"/>
      <c r="KAO29" s="1266"/>
      <c r="KAP29" s="1266"/>
      <c r="KAQ29" s="1266"/>
      <c r="KAR29" s="1266"/>
      <c r="KAS29" s="1266"/>
      <c r="KAT29" s="1266"/>
      <c r="KAU29" s="1266"/>
      <c r="KAV29" s="1266"/>
      <c r="KAW29" s="1266"/>
      <c r="KAX29" s="1266"/>
      <c r="KAY29" s="1266"/>
      <c r="KAZ29" s="1266"/>
      <c r="KBA29" s="1266"/>
      <c r="KBB29" s="1266"/>
      <c r="KBC29" s="1266"/>
      <c r="KBD29" s="1266"/>
      <c r="KBE29" s="1266"/>
      <c r="KBF29" s="1266"/>
      <c r="KBG29" s="1266"/>
      <c r="KBH29" s="1266"/>
      <c r="KBI29" s="1266"/>
      <c r="KBJ29" s="1266"/>
      <c r="KBK29" s="1266"/>
      <c r="KBL29" s="1266"/>
      <c r="KBM29" s="1266"/>
      <c r="KBN29" s="1266"/>
      <c r="KBO29" s="1266"/>
      <c r="KBP29" s="1266"/>
      <c r="KBQ29" s="1266"/>
      <c r="KBR29" s="1266"/>
      <c r="KBS29" s="1266"/>
      <c r="KBT29" s="1266"/>
      <c r="KBU29" s="1266"/>
      <c r="KBV29" s="1266"/>
      <c r="KBW29" s="1266"/>
      <c r="KBX29" s="1266"/>
      <c r="KBY29" s="1266"/>
      <c r="KBZ29" s="1266"/>
      <c r="KCA29" s="1266"/>
      <c r="KCB29" s="1266"/>
      <c r="KCC29" s="1266"/>
      <c r="KCD29" s="1266"/>
      <c r="KCE29" s="1266"/>
      <c r="KCF29" s="1266"/>
      <c r="KCG29" s="1266"/>
      <c r="KCH29" s="1266"/>
      <c r="KCI29" s="1266"/>
      <c r="KCJ29" s="1266"/>
      <c r="KCK29" s="1266"/>
      <c r="KCL29" s="1266"/>
      <c r="KCM29" s="1266"/>
      <c r="KCN29" s="1266"/>
      <c r="KCO29" s="1266"/>
      <c r="KCP29" s="1266"/>
      <c r="KCQ29" s="1266"/>
      <c r="KCR29" s="1266"/>
      <c r="KCS29" s="1266"/>
      <c r="KCT29" s="1266"/>
      <c r="KCU29" s="1266"/>
      <c r="KCV29" s="1266"/>
      <c r="KCW29" s="1266"/>
      <c r="KCX29" s="1266"/>
      <c r="KCY29" s="1266"/>
      <c r="KCZ29" s="1266"/>
      <c r="KDA29" s="1266"/>
      <c r="KDB29" s="1266"/>
      <c r="KDC29" s="1266"/>
      <c r="KDD29" s="1266"/>
      <c r="KDE29" s="1266"/>
      <c r="KDF29" s="1266"/>
      <c r="KDG29" s="1266"/>
      <c r="KDH29" s="1266"/>
      <c r="KDI29" s="1266"/>
      <c r="KDJ29" s="1266"/>
      <c r="KDK29" s="1266"/>
      <c r="KDL29" s="1266"/>
      <c r="KDM29" s="1266"/>
      <c r="KDN29" s="1266"/>
      <c r="KDO29" s="1266"/>
      <c r="KDP29" s="1266"/>
      <c r="KDQ29" s="1266"/>
      <c r="KDR29" s="1266"/>
      <c r="KDS29" s="1266"/>
      <c r="KDT29" s="1266"/>
      <c r="KDU29" s="1266"/>
      <c r="KDV29" s="1266"/>
      <c r="KDW29" s="1266"/>
      <c r="KDX29" s="1266"/>
      <c r="KDY29" s="1266"/>
      <c r="KDZ29" s="1266"/>
      <c r="KEA29" s="1266"/>
      <c r="KEB29" s="1266"/>
      <c r="KEC29" s="1266"/>
      <c r="KED29" s="1266"/>
      <c r="KEE29" s="1266"/>
      <c r="KEF29" s="1266"/>
      <c r="KEG29" s="1266"/>
      <c r="KEH29" s="1266"/>
      <c r="KEI29" s="1266"/>
      <c r="KEJ29" s="1266"/>
      <c r="KEK29" s="1266"/>
      <c r="KEL29" s="1266"/>
      <c r="KEM29" s="1266"/>
      <c r="KEN29" s="1266"/>
      <c r="KEO29" s="1266"/>
      <c r="KEP29" s="1266"/>
      <c r="KEQ29" s="1266"/>
      <c r="KER29" s="1266"/>
      <c r="KES29" s="1266"/>
      <c r="KET29" s="1266"/>
      <c r="KEU29" s="1266"/>
      <c r="KEV29" s="1266"/>
      <c r="KEW29" s="1266"/>
      <c r="KEX29" s="1266"/>
      <c r="KEY29" s="1266"/>
      <c r="KEZ29" s="1266"/>
      <c r="KFA29" s="1266"/>
      <c r="KFB29" s="1266"/>
      <c r="KFC29" s="1266"/>
      <c r="KFD29" s="1266"/>
      <c r="KFE29" s="1266"/>
      <c r="KFF29" s="1266"/>
      <c r="KFG29" s="1266"/>
      <c r="KFH29" s="1266"/>
      <c r="KFI29" s="1266"/>
      <c r="KFJ29" s="1266"/>
      <c r="KFK29" s="1266"/>
      <c r="KFL29" s="1266"/>
      <c r="KFM29" s="1266"/>
      <c r="KFN29" s="1266"/>
      <c r="KFO29" s="1266"/>
      <c r="KFP29" s="1266"/>
      <c r="KFQ29" s="1266"/>
      <c r="KFR29" s="1266"/>
      <c r="KFS29" s="1266"/>
      <c r="KFT29" s="1266"/>
      <c r="KFU29" s="1266"/>
      <c r="KFV29" s="1266"/>
      <c r="KFW29" s="1266"/>
      <c r="KFX29" s="1266"/>
      <c r="KFY29" s="1266"/>
      <c r="KFZ29" s="1266"/>
      <c r="KGA29" s="1266"/>
      <c r="KGB29" s="1266"/>
      <c r="KGC29" s="1266"/>
      <c r="KGD29" s="1266"/>
      <c r="KGE29" s="1266"/>
      <c r="KGF29" s="1266"/>
      <c r="KGG29" s="1266"/>
      <c r="KGH29" s="1266"/>
      <c r="KGI29" s="1266"/>
      <c r="KGJ29" s="1266"/>
      <c r="KGK29" s="1266"/>
      <c r="KGL29" s="1266"/>
      <c r="KGM29" s="1266"/>
      <c r="KGN29" s="1266"/>
      <c r="KGO29" s="1266"/>
      <c r="KGP29" s="1266"/>
      <c r="KGQ29" s="1266"/>
      <c r="KGR29" s="1266"/>
      <c r="KGS29" s="1266"/>
      <c r="KGT29" s="1266"/>
      <c r="KGU29" s="1266"/>
      <c r="KGV29" s="1266"/>
      <c r="KGW29" s="1266"/>
      <c r="KGX29" s="1266"/>
      <c r="KGY29" s="1266"/>
      <c r="KGZ29" s="1266"/>
      <c r="KHA29" s="1266"/>
      <c r="KHB29" s="1266"/>
      <c r="KHC29" s="1266"/>
      <c r="KHD29" s="1266"/>
      <c r="KHE29" s="1266"/>
      <c r="KHF29" s="1266"/>
      <c r="KHG29" s="1266"/>
      <c r="KHH29" s="1266"/>
      <c r="KHI29" s="1266"/>
      <c r="KHJ29" s="1266"/>
      <c r="KHK29" s="1266"/>
      <c r="KHL29" s="1266"/>
      <c r="KHM29" s="1266"/>
      <c r="KHN29" s="1266"/>
      <c r="KHO29" s="1266"/>
      <c r="KHP29" s="1266"/>
      <c r="KHQ29" s="1266"/>
      <c r="KHR29" s="1266"/>
      <c r="KHS29" s="1266"/>
      <c r="KHT29" s="1266"/>
      <c r="KHU29" s="1266"/>
      <c r="KHV29" s="1266"/>
      <c r="KHW29" s="1266"/>
      <c r="KHX29" s="1266"/>
      <c r="KHY29" s="1266"/>
      <c r="KHZ29" s="1266"/>
      <c r="KIA29" s="1266"/>
      <c r="KIB29" s="1266"/>
      <c r="KIC29" s="1266"/>
      <c r="KID29" s="1266"/>
      <c r="KIE29" s="1266"/>
      <c r="KIF29" s="1266"/>
      <c r="KIG29" s="1266"/>
      <c r="KIH29" s="1266"/>
      <c r="KII29" s="1266"/>
      <c r="KIJ29" s="1266"/>
      <c r="KIK29" s="1266"/>
      <c r="KIL29" s="1266"/>
      <c r="KIM29" s="1266"/>
      <c r="KIN29" s="1266"/>
      <c r="KIO29" s="1266"/>
      <c r="KIP29" s="1266"/>
      <c r="KIQ29" s="1266"/>
      <c r="KIR29" s="1266"/>
      <c r="KIS29" s="1266"/>
      <c r="KIT29" s="1266"/>
      <c r="KIU29" s="1266"/>
      <c r="KIV29" s="1266"/>
      <c r="KIW29" s="1266"/>
      <c r="KIX29" s="1266"/>
      <c r="KIY29" s="1266"/>
      <c r="KIZ29" s="1266"/>
      <c r="KJA29" s="1266"/>
      <c r="KJB29" s="1266"/>
      <c r="KJC29" s="1266"/>
      <c r="KJD29" s="1266"/>
      <c r="KJE29" s="1266"/>
      <c r="KJF29" s="1266"/>
      <c r="KJG29" s="1266"/>
      <c r="KJH29" s="1266"/>
      <c r="KJI29" s="1266"/>
      <c r="KJJ29" s="1266"/>
      <c r="KJK29" s="1266"/>
      <c r="KJL29" s="1266"/>
      <c r="KJM29" s="1266"/>
      <c r="KJN29" s="1266"/>
      <c r="KJO29" s="1266"/>
      <c r="KJP29" s="1266"/>
      <c r="KJQ29" s="1266"/>
      <c r="KJR29" s="1266"/>
      <c r="KJS29" s="1266"/>
      <c r="KJT29" s="1266"/>
      <c r="KJU29" s="1266"/>
      <c r="KJV29" s="1266"/>
      <c r="KJW29" s="1266"/>
      <c r="KJX29" s="1266"/>
      <c r="KJY29" s="1266"/>
      <c r="KJZ29" s="1266"/>
      <c r="KKA29" s="1266"/>
      <c r="KKB29" s="1266"/>
      <c r="KKC29" s="1266"/>
      <c r="KKD29" s="1266"/>
      <c r="KKE29" s="1266"/>
      <c r="KKF29" s="1266"/>
      <c r="KKG29" s="1266"/>
      <c r="KKH29" s="1266"/>
      <c r="KKI29" s="1266"/>
      <c r="KKJ29" s="1266"/>
      <c r="KKK29" s="1266"/>
      <c r="KKL29" s="1266"/>
      <c r="KKM29" s="1266"/>
      <c r="KKN29" s="1266"/>
      <c r="KKO29" s="1266"/>
      <c r="KKP29" s="1266"/>
      <c r="KKQ29" s="1266"/>
      <c r="KKR29" s="1266"/>
      <c r="KKS29" s="1266"/>
      <c r="KKT29" s="1266"/>
      <c r="KKU29" s="1266"/>
      <c r="KKV29" s="1266"/>
      <c r="KKW29" s="1266"/>
      <c r="KKX29" s="1266"/>
      <c r="KKY29" s="1266"/>
      <c r="KKZ29" s="1266"/>
      <c r="KLA29" s="1266"/>
      <c r="KLB29" s="1266"/>
      <c r="KLC29" s="1266"/>
      <c r="KLD29" s="1266"/>
      <c r="KLE29" s="1266"/>
      <c r="KLF29" s="1266"/>
      <c r="KLG29" s="1266"/>
      <c r="KLH29" s="1266"/>
      <c r="KLI29" s="1266"/>
      <c r="KLJ29" s="1266"/>
      <c r="KLK29" s="1266"/>
      <c r="KLL29" s="1266"/>
      <c r="KLM29" s="1266"/>
      <c r="KLN29" s="1266"/>
      <c r="KLO29" s="1266"/>
      <c r="KLP29" s="1266"/>
      <c r="KLQ29" s="1266"/>
      <c r="KLR29" s="1266"/>
      <c r="KLS29" s="1266"/>
      <c r="KLT29" s="1266"/>
      <c r="KLU29" s="1266"/>
      <c r="KLV29" s="1266"/>
      <c r="KLW29" s="1266"/>
      <c r="KLX29" s="1266"/>
      <c r="KLY29" s="1266"/>
      <c r="KLZ29" s="1266"/>
      <c r="KMA29" s="1266"/>
      <c r="KMB29" s="1266"/>
      <c r="KMC29" s="1266"/>
      <c r="KMD29" s="1266"/>
      <c r="KME29" s="1266"/>
      <c r="KMF29" s="1266"/>
      <c r="KMG29" s="1266"/>
      <c r="KMH29" s="1266"/>
      <c r="KMI29" s="1266"/>
      <c r="KMJ29" s="1266"/>
      <c r="KMK29" s="1266"/>
      <c r="KML29" s="1266"/>
      <c r="KMM29" s="1266"/>
      <c r="KMN29" s="1266"/>
      <c r="KMO29" s="1266"/>
      <c r="KMP29" s="1266"/>
      <c r="KMQ29" s="1266"/>
      <c r="KMR29" s="1266"/>
      <c r="KMS29" s="1266"/>
      <c r="KMT29" s="1266"/>
      <c r="KMU29" s="1266"/>
      <c r="KMV29" s="1266"/>
      <c r="KMW29" s="1266"/>
      <c r="KMX29" s="1266"/>
      <c r="KMY29" s="1266"/>
      <c r="KMZ29" s="1266"/>
      <c r="KNA29" s="1266"/>
      <c r="KNB29" s="1266"/>
      <c r="KNC29" s="1266"/>
      <c r="KND29" s="1266"/>
      <c r="KNE29" s="1266"/>
      <c r="KNF29" s="1266"/>
      <c r="KNG29" s="1266"/>
      <c r="KNH29" s="1266"/>
      <c r="KNI29" s="1266"/>
      <c r="KNJ29" s="1266"/>
      <c r="KNK29" s="1266"/>
      <c r="KNL29" s="1266"/>
      <c r="KNM29" s="1266"/>
      <c r="KNN29" s="1266"/>
      <c r="KNO29" s="1266"/>
      <c r="KNP29" s="1266"/>
      <c r="KNQ29" s="1266"/>
      <c r="KNR29" s="1266"/>
      <c r="KNS29" s="1266"/>
      <c r="KNT29" s="1266"/>
      <c r="KNU29" s="1266"/>
      <c r="KNV29" s="1266"/>
      <c r="KNW29" s="1266"/>
      <c r="KNX29" s="1266"/>
      <c r="KNY29" s="1266"/>
      <c r="KNZ29" s="1266"/>
      <c r="KOA29" s="1266"/>
      <c r="KOB29" s="1266"/>
      <c r="KOC29" s="1266"/>
      <c r="KOD29" s="1266"/>
      <c r="KOE29" s="1266"/>
      <c r="KOF29" s="1266"/>
      <c r="KOG29" s="1266"/>
      <c r="KOH29" s="1266"/>
      <c r="KOI29" s="1266"/>
      <c r="KOJ29" s="1266"/>
      <c r="KOK29" s="1266"/>
      <c r="KOL29" s="1266"/>
      <c r="KOM29" s="1266"/>
      <c r="KON29" s="1266"/>
      <c r="KOO29" s="1266"/>
      <c r="KOP29" s="1266"/>
      <c r="KOQ29" s="1266"/>
      <c r="KOR29" s="1266"/>
      <c r="KOS29" s="1266"/>
      <c r="KOT29" s="1266"/>
      <c r="KOU29" s="1266"/>
      <c r="KOV29" s="1266"/>
      <c r="KOW29" s="1266"/>
      <c r="KOX29" s="1266"/>
      <c r="KOY29" s="1266"/>
      <c r="KOZ29" s="1266"/>
      <c r="KPA29" s="1266"/>
      <c r="KPB29" s="1266"/>
      <c r="KPC29" s="1266"/>
      <c r="KPD29" s="1266"/>
      <c r="KPE29" s="1266"/>
      <c r="KPF29" s="1266"/>
      <c r="KPG29" s="1266"/>
      <c r="KPH29" s="1266"/>
      <c r="KPI29" s="1266"/>
      <c r="KPJ29" s="1266"/>
      <c r="KPK29" s="1266"/>
      <c r="KPL29" s="1266"/>
      <c r="KPM29" s="1266"/>
      <c r="KPN29" s="1266"/>
      <c r="KPO29" s="1266"/>
      <c r="KPP29" s="1266"/>
      <c r="KPQ29" s="1266"/>
      <c r="KPR29" s="1266"/>
      <c r="KPS29" s="1266"/>
      <c r="KPT29" s="1266"/>
      <c r="KPU29" s="1266"/>
      <c r="KPV29" s="1266"/>
      <c r="KPW29" s="1266"/>
      <c r="KPX29" s="1266"/>
      <c r="KPY29" s="1266"/>
      <c r="KPZ29" s="1266"/>
      <c r="KQA29" s="1266"/>
      <c r="KQB29" s="1266"/>
      <c r="KQC29" s="1266"/>
      <c r="KQD29" s="1266"/>
      <c r="KQE29" s="1266"/>
      <c r="KQF29" s="1266"/>
      <c r="KQG29" s="1266"/>
      <c r="KQH29" s="1266"/>
      <c r="KQI29" s="1266"/>
      <c r="KQJ29" s="1266"/>
      <c r="KQK29" s="1266"/>
      <c r="KQL29" s="1266"/>
      <c r="KQM29" s="1266"/>
      <c r="KQN29" s="1266"/>
      <c r="KQO29" s="1266"/>
      <c r="KQP29" s="1266"/>
      <c r="KQQ29" s="1266"/>
      <c r="KQR29" s="1266"/>
      <c r="KQS29" s="1266"/>
      <c r="KQT29" s="1266"/>
      <c r="KQU29" s="1266"/>
      <c r="KQV29" s="1266"/>
      <c r="KQW29" s="1266"/>
      <c r="KQX29" s="1266"/>
      <c r="KQY29" s="1266"/>
      <c r="KQZ29" s="1266"/>
      <c r="KRA29" s="1266"/>
      <c r="KRB29" s="1266"/>
      <c r="KRC29" s="1266"/>
      <c r="KRD29" s="1266"/>
      <c r="KRE29" s="1266"/>
      <c r="KRF29" s="1266"/>
      <c r="KRG29" s="1266"/>
      <c r="KRH29" s="1266"/>
      <c r="KRI29" s="1266"/>
      <c r="KRJ29" s="1266"/>
      <c r="KRK29" s="1266"/>
      <c r="KRL29" s="1266"/>
      <c r="KRM29" s="1266"/>
      <c r="KRN29" s="1266"/>
      <c r="KRO29" s="1266"/>
      <c r="KRP29" s="1266"/>
      <c r="KRQ29" s="1266"/>
      <c r="KRR29" s="1266"/>
      <c r="KRS29" s="1266"/>
      <c r="KRT29" s="1266"/>
      <c r="KRU29" s="1266"/>
      <c r="KRV29" s="1266"/>
      <c r="KRW29" s="1266"/>
      <c r="KRX29" s="1266"/>
      <c r="KRY29" s="1266"/>
      <c r="KRZ29" s="1266"/>
      <c r="KSA29" s="1266"/>
      <c r="KSB29" s="1266"/>
      <c r="KSC29" s="1266"/>
      <c r="KSD29" s="1266"/>
      <c r="KSE29" s="1266"/>
      <c r="KSF29" s="1266"/>
      <c r="KSG29" s="1266"/>
      <c r="KSH29" s="1266"/>
      <c r="KSI29" s="1266"/>
      <c r="KSJ29" s="1266"/>
      <c r="KSK29" s="1266"/>
      <c r="KSL29" s="1266"/>
      <c r="KSM29" s="1266"/>
      <c r="KSN29" s="1266"/>
      <c r="KSO29" s="1266"/>
      <c r="KSP29" s="1266"/>
      <c r="KSQ29" s="1266"/>
      <c r="KSR29" s="1266"/>
      <c r="KSS29" s="1266"/>
      <c r="KST29" s="1266"/>
      <c r="KSU29" s="1266"/>
      <c r="KSV29" s="1266"/>
      <c r="KSW29" s="1266"/>
      <c r="KSX29" s="1266"/>
      <c r="KSY29" s="1266"/>
      <c r="KSZ29" s="1266"/>
      <c r="KTA29" s="1266"/>
      <c r="KTB29" s="1266"/>
      <c r="KTC29" s="1266"/>
      <c r="KTD29" s="1266"/>
      <c r="KTE29" s="1266"/>
      <c r="KTF29" s="1266"/>
      <c r="KTG29" s="1266"/>
      <c r="KTH29" s="1266"/>
      <c r="KTI29" s="1266"/>
      <c r="KTJ29" s="1266"/>
      <c r="KTK29" s="1266"/>
      <c r="KTL29" s="1266"/>
      <c r="KTM29" s="1266"/>
      <c r="KTN29" s="1266"/>
      <c r="KTO29" s="1266"/>
      <c r="KTP29" s="1266"/>
      <c r="KTQ29" s="1266"/>
      <c r="KTR29" s="1266"/>
      <c r="KTS29" s="1266"/>
      <c r="KTT29" s="1266"/>
      <c r="KTU29" s="1266"/>
      <c r="KTV29" s="1266"/>
      <c r="KTW29" s="1266"/>
      <c r="KTX29" s="1266"/>
      <c r="KTY29" s="1266"/>
      <c r="KTZ29" s="1266"/>
      <c r="KUA29" s="1266"/>
      <c r="KUB29" s="1266"/>
      <c r="KUC29" s="1266"/>
      <c r="KUD29" s="1266"/>
      <c r="KUE29" s="1266"/>
      <c r="KUF29" s="1266"/>
      <c r="KUG29" s="1266"/>
      <c r="KUH29" s="1266"/>
      <c r="KUI29" s="1266"/>
      <c r="KUJ29" s="1266"/>
      <c r="KUK29" s="1266"/>
      <c r="KUL29" s="1266"/>
      <c r="KUM29" s="1266"/>
      <c r="KUN29" s="1266"/>
      <c r="KUO29" s="1266"/>
      <c r="KUP29" s="1266"/>
      <c r="KUQ29" s="1266"/>
      <c r="KUR29" s="1266"/>
      <c r="KUS29" s="1266"/>
      <c r="KUT29" s="1266"/>
      <c r="KUU29" s="1266"/>
      <c r="KUV29" s="1266"/>
      <c r="KUW29" s="1266"/>
      <c r="KUX29" s="1266"/>
      <c r="KUY29" s="1266"/>
      <c r="KUZ29" s="1266"/>
      <c r="KVA29" s="1266"/>
      <c r="KVB29" s="1266"/>
      <c r="KVC29" s="1266"/>
      <c r="KVD29" s="1266"/>
      <c r="KVE29" s="1266"/>
      <c r="KVF29" s="1266"/>
      <c r="KVG29" s="1266"/>
      <c r="KVH29" s="1266"/>
      <c r="KVI29" s="1266"/>
      <c r="KVJ29" s="1266"/>
      <c r="KVK29" s="1266"/>
      <c r="KVL29" s="1266"/>
      <c r="KVM29" s="1266"/>
      <c r="KVN29" s="1266"/>
      <c r="KVO29" s="1266"/>
      <c r="KVP29" s="1266"/>
      <c r="KVQ29" s="1266"/>
      <c r="KVR29" s="1266"/>
      <c r="KVS29" s="1266"/>
      <c r="KVT29" s="1266"/>
      <c r="KVU29" s="1266"/>
      <c r="KVV29" s="1266"/>
      <c r="KVW29" s="1266"/>
      <c r="KVX29" s="1266"/>
      <c r="KVY29" s="1266"/>
      <c r="KVZ29" s="1266"/>
      <c r="KWA29" s="1266"/>
      <c r="KWB29" s="1266"/>
      <c r="KWC29" s="1266"/>
      <c r="KWD29" s="1266"/>
      <c r="KWE29" s="1266"/>
      <c r="KWF29" s="1266"/>
      <c r="KWG29" s="1266"/>
      <c r="KWH29" s="1266"/>
      <c r="KWI29" s="1266"/>
      <c r="KWJ29" s="1266"/>
      <c r="KWK29" s="1266"/>
      <c r="KWL29" s="1266"/>
      <c r="KWM29" s="1266"/>
      <c r="KWN29" s="1266"/>
      <c r="KWO29" s="1266"/>
      <c r="KWP29" s="1266"/>
      <c r="KWQ29" s="1266"/>
      <c r="KWR29" s="1266"/>
      <c r="KWS29" s="1266"/>
      <c r="KWT29" s="1266"/>
      <c r="KWU29" s="1266"/>
      <c r="KWV29" s="1266"/>
      <c r="KWW29" s="1266"/>
      <c r="KWX29" s="1266"/>
      <c r="KWY29" s="1266"/>
      <c r="KWZ29" s="1266"/>
      <c r="KXA29" s="1266"/>
      <c r="KXB29" s="1266"/>
      <c r="KXC29" s="1266"/>
      <c r="KXD29" s="1266"/>
      <c r="KXE29" s="1266"/>
      <c r="KXF29" s="1266"/>
      <c r="KXG29" s="1266"/>
      <c r="KXH29" s="1266"/>
      <c r="KXI29" s="1266"/>
      <c r="KXJ29" s="1266"/>
      <c r="KXK29" s="1266"/>
      <c r="KXL29" s="1266"/>
      <c r="KXM29" s="1266"/>
      <c r="KXN29" s="1266"/>
      <c r="KXO29" s="1266"/>
      <c r="KXP29" s="1266"/>
      <c r="KXQ29" s="1266"/>
      <c r="KXR29" s="1266"/>
      <c r="KXS29" s="1266"/>
      <c r="KXT29" s="1266"/>
      <c r="KXU29" s="1266"/>
      <c r="KXV29" s="1266"/>
      <c r="KXW29" s="1266"/>
      <c r="KXX29" s="1266"/>
      <c r="KXY29" s="1266"/>
      <c r="KXZ29" s="1266"/>
      <c r="KYA29" s="1266"/>
      <c r="KYB29" s="1266"/>
      <c r="KYC29" s="1266"/>
      <c r="KYD29" s="1266"/>
      <c r="KYE29" s="1266"/>
      <c r="KYF29" s="1266"/>
      <c r="KYG29" s="1266"/>
      <c r="KYH29" s="1266"/>
      <c r="KYI29" s="1266"/>
      <c r="KYJ29" s="1266"/>
      <c r="KYK29" s="1266"/>
      <c r="KYL29" s="1266"/>
      <c r="KYM29" s="1266"/>
      <c r="KYN29" s="1266"/>
      <c r="KYO29" s="1266"/>
      <c r="KYP29" s="1266"/>
      <c r="KYQ29" s="1266"/>
      <c r="KYR29" s="1266"/>
      <c r="KYS29" s="1266"/>
      <c r="KYT29" s="1266"/>
      <c r="KYU29" s="1266"/>
      <c r="KYV29" s="1266"/>
      <c r="KYW29" s="1266"/>
      <c r="KYX29" s="1266"/>
      <c r="KYY29" s="1266"/>
      <c r="KYZ29" s="1266"/>
      <c r="KZA29" s="1266"/>
      <c r="KZB29" s="1266"/>
      <c r="KZC29" s="1266"/>
      <c r="KZD29" s="1266"/>
      <c r="KZE29" s="1266"/>
      <c r="KZF29" s="1266"/>
      <c r="KZG29" s="1266"/>
      <c r="KZH29" s="1266"/>
      <c r="KZI29" s="1266"/>
      <c r="KZJ29" s="1266"/>
      <c r="KZK29" s="1266"/>
      <c r="KZL29" s="1266"/>
      <c r="KZM29" s="1266"/>
      <c r="KZN29" s="1266"/>
      <c r="KZO29" s="1266"/>
      <c r="KZP29" s="1266"/>
      <c r="KZQ29" s="1266"/>
      <c r="KZR29" s="1266"/>
      <c r="KZS29" s="1266"/>
      <c r="KZT29" s="1266"/>
      <c r="KZU29" s="1266"/>
      <c r="KZV29" s="1266"/>
      <c r="KZW29" s="1266"/>
      <c r="KZX29" s="1266"/>
      <c r="KZY29" s="1266"/>
      <c r="KZZ29" s="1266"/>
      <c r="LAA29" s="1266"/>
      <c r="LAB29" s="1266"/>
      <c r="LAC29" s="1266"/>
      <c r="LAD29" s="1266"/>
      <c r="LAE29" s="1266"/>
      <c r="LAF29" s="1266"/>
      <c r="LAG29" s="1266"/>
      <c r="LAH29" s="1266"/>
      <c r="LAI29" s="1266"/>
      <c r="LAJ29" s="1266"/>
      <c r="LAK29" s="1266"/>
      <c r="LAL29" s="1266"/>
      <c r="LAM29" s="1266"/>
      <c r="LAN29" s="1266"/>
      <c r="LAO29" s="1266"/>
      <c r="LAP29" s="1266"/>
      <c r="LAQ29" s="1266"/>
      <c r="LAR29" s="1266"/>
      <c r="LAS29" s="1266"/>
      <c r="LAT29" s="1266"/>
      <c r="LAU29" s="1266"/>
      <c r="LAV29" s="1266"/>
      <c r="LAW29" s="1266"/>
      <c r="LAX29" s="1266"/>
      <c r="LAY29" s="1266"/>
      <c r="LAZ29" s="1266"/>
      <c r="LBA29" s="1266"/>
      <c r="LBB29" s="1266"/>
      <c r="LBC29" s="1266"/>
      <c r="LBD29" s="1266"/>
      <c r="LBE29" s="1266"/>
      <c r="LBF29" s="1266"/>
      <c r="LBG29" s="1266"/>
      <c r="LBH29" s="1266"/>
      <c r="LBI29" s="1266"/>
      <c r="LBJ29" s="1266"/>
      <c r="LBK29" s="1266"/>
      <c r="LBL29" s="1266"/>
      <c r="LBM29" s="1266"/>
      <c r="LBN29" s="1266"/>
      <c r="LBO29" s="1266"/>
      <c r="LBP29" s="1266"/>
      <c r="LBQ29" s="1266"/>
      <c r="LBR29" s="1266"/>
      <c r="LBS29" s="1266"/>
      <c r="LBT29" s="1266"/>
      <c r="LBU29" s="1266"/>
      <c r="LBV29" s="1266"/>
      <c r="LBW29" s="1266"/>
      <c r="LBX29" s="1266"/>
      <c r="LBY29" s="1266"/>
      <c r="LBZ29" s="1266"/>
      <c r="LCA29" s="1266"/>
      <c r="LCB29" s="1266"/>
      <c r="LCC29" s="1266"/>
      <c r="LCD29" s="1266"/>
      <c r="LCE29" s="1266"/>
      <c r="LCF29" s="1266"/>
      <c r="LCG29" s="1266"/>
      <c r="LCH29" s="1266"/>
      <c r="LCI29" s="1266"/>
      <c r="LCJ29" s="1266"/>
      <c r="LCK29" s="1266"/>
      <c r="LCL29" s="1266"/>
      <c r="LCM29" s="1266"/>
      <c r="LCN29" s="1266"/>
      <c r="LCO29" s="1266"/>
      <c r="LCP29" s="1266"/>
      <c r="LCQ29" s="1266"/>
      <c r="LCR29" s="1266"/>
      <c r="LCS29" s="1266"/>
      <c r="LCT29" s="1266"/>
      <c r="LCU29" s="1266"/>
      <c r="LCV29" s="1266"/>
      <c r="LCW29" s="1266"/>
      <c r="LCX29" s="1266"/>
      <c r="LCY29" s="1266"/>
      <c r="LCZ29" s="1266"/>
      <c r="LDA29" s="1266"/>
      <c r="LDB29" s="1266"/>
      <c r="LDC29" s="1266"/>
      <c r="LDD29" s="1266"/>
      <c r="LDE29" s="1266"/>
      <c r="LDF29" s="1266"/>
      <c r="LDG29" s="1266"/>
      <c r="LDH29" s="1266"/>
      <c r="LDI29" s="1266"/>
      <c r="LDJ29" s="1266"/>
      <c r="LDK29" s="1266"/>
      <c r="LDL29" s="1266"/>
      <c r="LDM29" s="1266"/>
      <c r="LDN29" s="1266"/>
      <c r="LDO29" s="1266"/>
      <c r="LDP29" s="1266"/>
      <c r="LDQ29" s="1266"/>
      <c r="LDR29" s="1266"/>
      <c r="LDS29" s="1266"/>
      <c r="LDT29" s="1266"/>
      <c r="LDU29" s="1266"/>
      <c r="LDV29" s="1266"/>
      <c r="LDW29" s="1266"/>
      <c r="LDX29" s="1266"/>
      <c r="LDY29" s="1266"/>
      <c r="LDZ29" s="1266"/>
      <c r="LEA29" s="1266"/>
      <c r="LEB29" s="1266"/>
      <c r="LEC29" s="1266"/>
      <c r="LED29" s="1266"/>
      <c r="LEE29" s="1266"/>
      <c r="LEF29" s="1266"/>
      <c r="LEG29" s="1266"/>
      <c r="LEH29" s="1266"/>
      <c r="LEI29" s="1266"/>
      <c r="LEJ29" s="1266"/>
      <c r="LEK29" s="1266"/>
      <c r="LEL29" s="1266"/>
      <c r="LEM29" s="1266"/>
      <c r="LEN29" s="1266"/>
      <c r="LEO29" s="1266"/>
      <c r="LEP29" s="1266"/>
      <c r="LEQ29" s="1266"/>
      <c r="LER29" s="1266"/>
      <c r="LES29" s="1266"/>
      <c r="LET29" s="1266"/>
      <c r="LEU29" s="1266"/>
      <c r="LEV29" s="1266"/>
      <c r="LEW29" s="1266"/>
      <c r="LEX29" s="1266"/>
      <c r="LEY29" s="1266"/>
      <c r="LEZ29" s="1266"/>
      <c r="LFA29" s="1266"/>
      <c r="LFB29" s="1266"/>
      <c r="LFC29" s="1266"/>
      <c r="LFD29" s="1266"/>
      <c r="LFE29" s="1266"/>
      <c r="LFF29" s="1266"/>
      <c r="LFG29" s="1266"/>
      <c r="LFH29" s="1266"/>
      <c r="LFI29" s="1266"/>
      <c r="LFJ29" s="1266"/>
      <c r="LFK29" s="1266"/>
      <c r="LFL29" s="1266"/>
      <c r="LFM29" s="1266"/>
      <c r="LFN29" s="1266"/>
      <c r="LFO29" s="1266"/>
      <c r="LFP29" s="1266"/>
      <c r="LFQ29" s="1266"/>
      <c r="LFR29" s="1266"/>
      <c r="LFS29" s="1266"/>
      <c r="LFT29" s="1266"/>
      <c r="LFU29" s="1266"/>
      <c r="LFV29" s="1266"/>
      <c r="LFW29" s="1266"/>
      <c r="LFX29" s="1266"/>
      <c r="LFY29" s="1266"/>
      <c r="LFZ29" s="1266"/>
      <c r="LGA29" s="1266"/>
      <c r="LGB29" s="1266"/>
      <c r="LGC29" s="1266"/>
      <c r="LGD29" s="1266"/>
      <c r="LGE29" s="1266"/>
      <c r="LGF29" s="1266"/>
      <c r="LGG29" s="1266"/>
      <c r="LGH29" s="1266"/>
      <c r="LGI29" s="1266"/>
      <c r="LGJ29" s="1266"/>
      <c r="LGK29" s="1266"/>
      <c r="LGL29" s="1266"/>
      <c r="LGM29" s="1266"/>
      <c r="LGN29" s="1266"/>
      <c r="LGO29" s="1266"/>
      <c r="LGP29" s="1266"/>
      <c r="LGQ29" s="1266"/>
      <c r="LGR29" s="1266"/>
      <c r="LGS29" s="1266"/>
      <c r="LGT29" s="1266"/>
      <c r="LGU29" s="1266"/>
      <c r="LGV29" s="1266"/>
      <c r="LGW29" s="1266"/>
      <c r="LGX29" s="1266"/>
      <c r="LGY29" s="1266"/>
      <c r="LGZ29" s="1266"/>
      <c r="LHA29" s="1266"/>
      <c r="LHB29" s="1266"/>
      <c r="LHC29" s="1266"/>
      <c r="LHD29" s="1266"/>
      <c r="LHE29" s="1266"/>
      <c r="LHF29" s="1266"/>
      <c r="LHG29" s="1266"/>
      <c r="LHH29" s="1266"/>
      <c r="LHI29" s="1266"/>
      <c r="LHJ29" s="1266"/>
      <c r="LHK29" s="1266"/>
      <c r="LHL29" s="1266"/>
      <c r="LHM29" s="1266"/>
      <c r="LHN29" s="1266"/>
      <c r="LHO29" s="1266"/>
      <c r="LHP29" s="1266"/>
      <c r="LHQ29" s="1266"/>
      <c r="LHR29" s="1266"/>
      <c r="LHS29" s="1266"/>
      <c r="LHT29" s="1266"/>
      <c r="LHU29" s="1266"/>
      <c r="LHV29" s="1266"/>
      <c r="LHW29" s="1266"/>
      <c r="LHX29" s="1266"/>
      <c r="LHY29" s="1266"/>
      <c r="LHZ29" s="1266"/>
      <c r="LIA29" s="1266"/>
      <c r="LIB29" s="1266"/>
      <c r="LIC29" s="1266"/>
      <c r="LID29" s="1266"/>
      <c r="LIE29" s="1266"/>
      <c r="LIF29" s="1266"/>
      <c r="LIG29" s="1266"/>
      <c r="LIH29" s="1266"/>
      <c r="LII29" s="1266"/>
      <c r="LIJ29" s="1266"/>
      <c r="LIK29" s="1266"/>
      <c r="LIL29" s="1266"/>
      <c r="LIM29" s="1266"/>
      <c r="LIN29" s="1266"/>
      <c r="LIO29" s="1266"/>
      <c r="LIP29" s="1266"/>
      <c r="LIQ29" s="1266"/>
      <c r="LIR29" s="1266"/>
      <c r="LIS29" s="1266"/>
      <c r="LIT29" s="1266"/>
      <c r="LIU29" s="1266"/>
      <c r="LIV29" s="1266"/>
      <c r="LIW29" s="1266"/>
      <c r="LIX29" s="1266"/>
      <c r="LIY29" s="1266"/>
      <c r="LIZ29" s="1266"/>
      <c r="LJA29" s="1266"/>
      <c r="LJB29" s="1266"/>
      <c r="LJC29" s="1266"/>
      <c r="LJD29" s="1266"/>
      <c r="LJE29" s="1266"/>
      <c r="LJF29" s="1266"/>
      <c r="LJG29" s="1266"/>
      <c r="LJH29" s="1266"/>
      <c r="LJI29" s="1266"/>
      <c r="LJJ29" s="1266"/>
      <c r="LJK29" s="1266"/>
      <c r="LJL29" s="1266"/>
      <c r="LJM29" s="1266"/>
      <c r="LJN29" s="1266"/>
      <c r="LJO29" s="1266"/>
      <c r="LJP29" s="1266"/>
      <c r="LJQ29" s="1266"/>
      <c r="LJR29" s="1266"/>
      <c r="LJS29" s="1266"/>
      <c r="LJT29" s="1266"/>
      <c r="LJU29" s="1266"/>
      <c r="LJV29" s="1266"/>
      <c r="LJW29" s="1266"/>
      <c r="LJX29" s="1266"/>
      <c r="LJY29" s="1266"/>
      <c r="LJZ29" s="1266"/>
      <c r="LKA29" s="1266"/>
      <c r="LKB29" s="1266"/>
      <c r="LKC29" s="1266"/>
      <c r="LKD29" s="1266"/>
      <c r="LKE29" s="1266"/>
      <c r="LKF29" s="1266"/>
      <c r="LKG29" s="1266"/>
      <c r="LKH29" s="1266"/>
      <c r="LKI29" s="1266"/>
      <c r="LKJ29" s="1266"/>
      <c r="LKK29" s="1266"/>
      <c r="LKL29" s="1266"/>
      <c r="LKM29" s="1266"/>
      <c r="LKN29" s="1266"/>
      <c r="LKO29" s="1266"/>
      <c r="LKP29" s="1266"/>
      <c r="LKQ29" s="1266"/>
      <c r="LKR29" s="1266"/>
      <c r="LKS29" s="1266"/>
      <c r="LKT29" s="1266"/>
      <c r="LKU29" s="1266"/>
      <c r="LKV29" s="1266"/>
      <c r="LKW29" s="1266"/>
      <c r="LKX29" s="1266"/>
      <c r="LKY29" s="1266"/>
      <c r="LKZ29" s="1266"/>
      <c r="LLA29" s="1266"/>
      <c r="LLB29" s="1266"/>
      <c r="LLC29" s="1266"/>
      <c r="LLD29" s="1266"/>
      <c r="LLE29" s="1266"/>
      <c r="LLF29" s="1266"/>
      <c r="LLG29" s="1266"/>
      <c r="LLH29" s="1266"/>
      <c r="LLI29" s="1266"/>
      <c r="LLJ29" s="1266"/>
      <c r="LLK29" s="1266"/>
      <c r="LLL29" s="1266"/>
      <c r="LLM29" s="1266"/>
      <c r="LLN29" s="1266"/>
      <c r="LLO29" s="1266"/>
      <c r="LLP29" s="1266"/>
      <c r="LLQ29" s="1266"/>
      <c r="LLR29" s="1266"/>
      <c r="LLS29" s="1266"/>
      <c r="LLT29" s="1266"/>
      <c r="LLU29" s="1266"/>
      <c r="LLV29" s="1266"/>
      <c r="LLW29" s="1266"/>
      <c r="LLX29" s="1266"/>
      <c r="LLY29" s="1266"/>
      <c r="LLZ29" s="1266"/>
      <c r="LMA29" s="1266"/>
      <c r="LMB29" s="1266"/>
      <c r="LMC29" s="1266"/>
      <c r="LMD29" s="1266"/>
      <c r="LME29" s="1266"/>
      <c r="LMF29" s="1266"/>
      <c r="LMG29" s="1266"/>
      <c r="LMH29" s="1266"/>
      <c r="LMI29" s="1266"/>
      <c r="LMJ29" s="1266"/>
      <c r="LMK29" s="1266"/>
      <c r="LML29" s="1266"/>
      <c r="LMM29" s="1266"/>
      <c r="LMN29" s="1266"/>
      <c r="LMO29" s="1266"/>
      <c r="LMP29" s="1266"/>
      <c r="LMQ29" s="1266"/>
      <c r="LMR29" s="1266"/>
      <c r="LMS29" s="1266"/>
      <c r="LMT29" s="1266"/>
      <c r="LMU29" s="1266"/>
      <c r="LMV29" s="1266"/>
      <c r="LMW29" s="1266"/>
      <c r="LMX29" s="1266"/>
      <c r="LMY29" s="1266"/>
      <c r="LMZ29" s="1266"/>
      <c r="LNA29" s="1266"/>
      <c r="LNB29" s="1266"/>
      <c r="LNC29" s="1266"/>
      <c r="LND29" s="1266"/>
      <c r="LNE29" s="1266"/>
      <c r="LNF29" s="1266"/>
      <c r="LNG29" s="1266"/>
      <c r="LNH29" s="1266"/>
      <c r="LNI29" s="1266"/>
      <c r="LNJ29" s="1266"/>
      <c r="LNK29" s="1266"/>
      <c r="LNL29" s="1266"/>
      <c r="LNM29" s="1266"/>
      <c r="LNN29" s="1266"/>
      <c r="LNO29" s="1266"/>
      <c r="LNP29" s="1266"/>
      <c r="LNQ29" s="1266"/>
      <c r="LNR29" s="1266"/>
      <c r="LNS29" s="1266"/>
      <c r="LNT29" s="1266"/>
      <c r="LNU29" s="1266"/>
      <c r="LNV29" s="1266"/>
      <c r="LNW29" s="1266"/>
      <c r="LNX29" s="1266"/>
      <c r="LNY29" s="1266"/>
      <c r="LNZ29" s="1266"/>
      <c r="LOA29" s="1266"/>
      <c r="LOB29" s="1266"/>
      <c r="LOC29" s="1266"/>
      <c r="LOD29" s="1266"/>
      <c r="LOE29" s="1266"/>
      <c r="LOF29" s="1266"/>
      <c r="LOG29" s="1266"/>
      <c r="LOH29" s="1266"/>
      <c r="LOI29" s="1266"/>
      <c r="LOJ29" s="1266"/>
      <c r="LOK29" s="1266"/>
      <c r="LOL29" s="1266"/>
      <c r="LOM29" s="1266"/>
      <c r="LON29" s="1266"/>
      <c r="LOO29" s="1266"/>
      <c r="LOP29" s="1266"/>
      <c r="LOQ29" s="1266"/>
      <c r="LOR29" s="1266"/>
      <c r="LOS29" s="1266"/>
      <c r="LOT29" s="1266"/>
      <c r="LOU29" s="1266"/>
      <c r="LOV29" s="1266"/>
      <c r="LOW29" s="1266"/>
      <c r="LOX29" s="1266"/>
      <c r="LOY29" s="1266"/>
      <c r="LOZ29" s="1266"/>
      <c r="LPA29" s="1266"/>
      <c r="LPB29" s="1266"/>
      <c r="LPC29" s="1266"/>
      <c r="LPD29" s="1266"/>
      <c r="LPE29" s="1266"/>
      <c r="LPF29" s="1266"/>
      <c r="LPG29" s="1266"/>
      <c r="LPH29" s="1266"/>
      <c r="LPI29" s="1266"/>
      <c r="LPJ29" s="1266"/>
      <c r="LPK29" s="1266"/>
      <c r="LPL29" s="1266"/>
      <c r="LPM29" s="1266"/>
      <c r="LPN29" s="1266"/>
      <c r="LPO29" s="1266"/>
      <c r="LPP29" s="1266"/>
      <c r="LPQ29" s="1266"/>
      <c r="LPR29" s="1266"/>
      <c r="LPS29" s="1266"/>
      <c r="LPT29" s="1266"/>
      <c r="LPU29" s="1266"/>
      <c r="LPV29" s="1266"/>
      <c r="LPW29" s="1266"/>
      <c r="LPX29" s="1266"/>
      <c r="LPY29" s="1266"/>
      <c r="LPZ29" s="1266"/>
      <c r="LQA29" s="1266"/>
      <c r="LQB29" s="1266"/>
      <c r="LQC29" s="1266"/>
      <c r="LQD29" s="1266"/>
      <c r="LQE29" s="1266"/>
      <c r="LQF29" s="1266"/>
      <c r="LQG29" s="1266"/>
      <c r="LQH29" s="1266"/>
      <c r="LQI29" s="1266"/>
      <c r="LQJ29" s="1266"/>
      <c r="LQK29" s="1266"/>
      <c r="LQL29" s="1266"/>
      <c r="LQM29" s="1266"/>
      <c r="LQN29" s="1266"/>
      <c r="LQO29" s="1266"/>
      <c r="LQP29" s="1266"/>
      <c r="LQQ29" s="1266"/>
      <c r="LQR29" s="1266"/>
      <c r="LQS29" s="1266"/>
      <c r="LQT29" s="1266"/>
      <c r="LQU29" s="1266"/>
      <c r="LQV29" s="1266"/>
      <c r="LQW29" s="1266"/>
      <c r="LQX29" s="1266"/>
      <c r="LQY29" s="1266"/>
      <c r="LQZ29" s="1266"/>
      <c r="LRA29" s="1266"/>
      <c r="LRB29" s="1266"/>
      <c r="LRC29" s="1266"/>
      <c r="LRD29" s="1266"/>
      <c r="LRE29" s="1266"/>
      <c r="LRF29" s="1266"/>
      <c r="LRG29" s="1266"/>
      <c r="LRH29" s="1266"/>
      <c r="LRI29" s="1266"/>
      <c r="LRJ29" s="1266"/>
      <c r="LRK29" s="1266"/>
      <c r="LRL29" s="1266"/>
      <c r="LRM29" s="1266"/>
      <c r="LRN29" s="1266"/>
      <c r="LRO29" s="1266"/>
      <c r="LRP29" s="1266"/>
      <c r="LRQ29" s="1266"/>
      <c r="LRR29" s="1266"/>
      <c r="LRS29" s="1266"/>
      <c r="LRT29" s="1266"/>
      <c r="LRU29" s="1266"/>
      <c r="LRV29" s="1266"/>
      <c r="LRW29" s="1266"/>
      <c r="LRX29" s="1266"/>
      <c r="LRY29" s="1266"/>
      <c r="LRZ29" s="1266"/>
      <c r="LSA29" s="1266"/>
      <c r="LSB29" s="1266"/>
      <c r="LSC29" s="1266"/>
      <c r="LSD29" s="1266"/>
      <c r="LSE29" s="1266"/>
      <c r="LSF29" s="1266"/>
      <c r="LSG29" s="1266"/>
      <c r="LSH29" s="1266"/>
      <c r="LSI29" s="1266"/>
      <c r="LSJ29" s="1266"/>
      <c r="LSK29" s="1266"/>
      <c r="LSL29" s="1266"/>
      <c r="LSM29" s="1266"/>
      <c r="LSN29" s="1266"/>
      <c r="LSO29" s="1266"/>
      <c r="LSP29" s="1266"/>
      <c r="LSQ29" s="1266"/>
      <c r="LSR29" s="1266"/>
      <c r="LSS29" s="1266"/>
      <c r="LST29" s="1266"/>
      <c r="LSU29" s="1266"/>
      <c r="LSV29" s="1266"/>
      <c r="LSW29" s="1266"/>
      <c r="LSX29" s="1266"/>
      <c r="LSY29" s="1266"/>
      <c r="LSZ29" s="1266"/>
      <c r="LTA29" s="1266"/>
      <c r="LTB29" s="1266"/>
      <c r="LTC29" s="1266"/>
      <c r="LTD29" s="1266"/>
      <c r="LTE29" s="1266"/>
      <c r="LTF29" s="1266"/>
      <c r="LTG29" s="1266"/>
      <c r="LTH29" s="1266"/>
      <c r="LTI29" s="1266"/>
      <c r="LTJ29" s="1266"/>
      <c r="LTK29" s="1266"/>
      <c r="LTL29" s="1266"/>
      <c r="LTM29" s="1266"/>
      <c r="LTN29" s="1266"/>
      <c r="LTO29" s="1266"/>
      <c r="LTP29" s="1266"/>
      <c r="LTQ29" s="1266"/>
      <c r="LTR29" s="1266"/>
      <c r="LTS29" s="1266"/>
      <c r="LTT29" s="1266"/>
      <c r="LTU29" s="1266"/>
      <c r="LTV29" s="1266"/>
      <c r="LTW29" s="1266"/>
      <c r="LTX29" s="1266"/>
      <c r="LTY29" s="1266"/>
      <c r="LTZ29" s="1266"/>
      <c r="LUA29" s="1266"/>
      <c r="LUB29" s="1266"/>
      <c r="LUC29" s="1266"/>
      <c r="LUD29" s="1266"/>
      <c r="LUE29" s="1266"/>
      <c r="LUF29" s="1266"/>
      <c r="LUG29" s="1266"/>
      <c r="LUH29" s="1266"/>
      <c r="LUI29" s="1266"/>
      <c r="LUJ29" s="1266"/>
      <c r="LUK29" s="1266"/>
      <c r="LUL29" s="1266"/>
      <c r="LUM29" s="1266"/>
      <c r="LUN29" s="1266"/>
      <c r="LUO29" s="1266"/>
      <c r="LUP29" s="1266"/>
      <c r="LUQ29" s="1266"/>
      <c r="LUR29" s="1266"/>
      <c r="LUS29" s="1266"/>
      <c r="LUT29" s="1266"/>
      <c r="LUU29" s="1266"/>
      <c r="LUV29" s="1266"/>
      <c r="LUW29" s="1266"/>
      <c r="LUX29" s="1266"/>
      <c r="LUY29" s="1266"/>
      <c r="LUZ29" s="1266"/>
      <c r="LVA29" s="1266"/>
      <c r="LVB29" s="1266"/>
      <c r="LVC29" s="1266"/>
      <c r="LVD29" s="1266"/>
      <c r="LVE29" s="1266"/>
      <c r="LVF29" s="1266"/>
      <c r="LVG29" s="1266"/>
      <c r="LVH29" s="1266"/>
      <c r="LVI29" s="1266"/>
      <c r="LVJ29" s="1266"/>
      <c r="LVK29" s="1266"/>
      <c r="LVL29" s="1266"/>
      <c r="LVM29" s="1266"/>
      <c r="LVN29" s="1266"/>
      <c r="LVO29" s="1266"/>
      <c r="LVP29" s="1266"/>
      <c r="LVQ29" s="1266"/>
      <c r="LVR29" s="1266"/>
      <c r="LVS29" s="1266"/>
      <c r="LVT29" s="1266"/>
      <c r="LVU29" s="1266"/>
      <c r="LVV29" s="1266"/>
      <c r="LVW29" s="1266"/>
      <c r="LVX29" s="1266"/>
      <c r="LVY29" s="1266"/>
      <c r="LVZ29" s="1266"/>
      <c r="LWA29" s="1266"/>
      <c r="LWB29" s="1266"/>
      <c r="LWC29" s="1266"/>
      <c r="LWD29" s="1266"/>
      <c r="LWE29" s="1266"/>
      <c r="LWF29" s="1266"/>
      <c r="LWG29" s="1266"/>
      <c r="LWH29" s="1266"/>
      <c r="LWI29" s="1266"/>
      <c r="LWJ29" s="1266"/>
      <c r="LWK29" s="1266"/>
      <c r="LWL29" s="1266"/>
      <c r="LWM29" s="1266"/>
      <c r="LWN29" s="1266"/>
      <c r="LWO29" s="1266"/>
      <c r="LWP29" s="1266"/>
      <c r="LWQ29" s="1266"/>
      <c r="LWR29" s="1266"/>
      <c r="LWS29" s="1266"/>
      <c r="LWT29" s="1266"/>
      <c r="LWU29" s="1266"/>
      <c r="LWV29" s="1266"/>
      <c r="LWW29" s="1266"/>
      <c r="LWX29" s="1266"/>
      <c r="LWY29" s="1266"/>
      <c r="LWZ29" s="1266"/>
      <c r="LXA29" s="1266"/>
      <c r="LXB29" s="1266"/>
      <c r="LXC29" s="1266"/>
      <c r="LXD29" s="1266"/>
      <c r="LXE29" s="1266"/>
      <c r="LXF29" s="1266"/>
      <c r="LXG29" s="1266"/>
      <c r="LXH29" s="1266"/>
      <c r="LXI29" s="1266"/>
      <c r="LXJ29" s="1266"/>
      <c r="LXK29" s="1266"/>
      <c r="LXL29" s="1266"/>
      <c r="LXM29" s="1266"/>
      <c r="LXN29" s="1266"/>
      <c r="LXO29" s="1266"/>
      <c r="LXP29" s="1266"/>
      <c r="LXQ29" s="1266"/>
      <c r="LXR29" s="1266"/>
      <c r="LXS29" s="1266"/>
      <c r="LXT29" s="1266"/>
      <c r="LXU29" s="1266"/>
      <c r="LXV29" s="1266"/>
      <c r="LXW29" s="1266"/>
      <c r="LXX29" s="1266"/>
      <c r="LXY29" s="1266"/>
      <c r="LXZ29" s="1266"/>
      <c r="LYA29" s="1266"/>
      <c r="LYB29" s="1266"/>
      <c r="LYC29" s="1266"/>
      <c r="LYD29" s="1266"/>
      <c r="LYE29" s="1266"/>
      <c r="LYF29" s="1266"/>
      <c r="LYG29" s="1266"/>
      <c r="LYH29" s="1266"/>
      <c r="LYI29" s="1266"/>
      <c r="LYJ29" s="1266"/>
      <c r="LYK29" s="1266"/>
      <c r="LYL29" s="1266"/>
      <c r="LYM29" s="1266"/>
      <c r="LYN29" s="1266"/>
      <c r="LYO29" s="1266"/>
      <c r="LYP29" s="1266"/>
      <c r="LYQ29" s="1266"/>
      <c r="LYR29" s="1266"/>
      <c r="LYS29" s="1266"/>
      <c r="LYT29" s="1266"/>
      <c r="LYU29" s="1266"/>
      <c r="LYV29" s="1266"/>
      <c r="LYW29" s="1266"/>
      <c r="LYX29" s="1266"/>
      <c r="LYY29" s="1266"/>
      <c r="LYZ29" s="1266"/>
      <c r="LZA29" s="1266"/>
      <c r="LZB29" s="1266"/>
      <c r="LZC29" s="1266"/>
      <c r="LZD29" s="1266"/>
      <c r="LZE29" s="1266"/>
      <c r="LZF29" s="1266"/>
      <c r="LZG29" s="1266"/>
      <c r="LZH29" s="1266"/>
      <c r="LZI29" s="1266"/>
      <c r="LZJ29" s="1266"/>
      <c r="LZK29" s="1266"/>
      <c r="LZL29" s="1266"/>
      <c r="LZM29" s="1266"/>
      <c r="LZN29" s="1266"/>
      <c r="LZO29" s="1266"/>
      <c r="LZP29" s="1266"/>
      <c r="LZQ29" s="1266"/>
      <c r="LZR29" s="1266"/>
      <c r="LZS29" s="1266"/>
      <c r="LZT29" s="1266"/>
      <c r="LZU29" s="1266"/>
      <c r="LZV29" s="1266"/>
      <c r="LZW29" s="1266"/>
      <c r="LZX29" s="1266"/>
      <c r="LZY29" s="1266"/>
      <c r="LZZ29" s="1266"/>
      <c r="MAA29" s="1266"/>
      <c r="MAB29" s="1266"/>
      <c r="MAC29" s="1266"/>
      <c r="MAD29" s="1266"/>
      <c r="MAE29" s="1266"/>
      <c r="MAF29" s="1266"/>
      <c r="MAG29" s="1266"/>
      <c r="MAH29" s="1266"/>
      <c r="MAI29" s="1266"/>
      <c r="MAJ29" s="1266"/>
      <c r="MAK29" s="1266"/>
      <c r="MAL29" s="1266"/>
      <c r="MAM29" s="1266"/>
      <c r="MAN29" s="1266"/>
      <c r="MAO29" s="1266"/>
      <c r="MAP29" s="1266"/>
      <c r="MAQ29" s="1266"/>
      <c r="MAR29" s="1266"/>
      <c r="MAS29" s="1266"/>
      <c r="MAT29" s="1266"/>
      <c r="MAU29" s="1266"/>
      <c r="MAV29" s="1266"/>
      <c r="MAW29" s="1266"/>
      <c r="MAX29" s="1266"/>
      <c r="MAY29" s="1266"/>
      <c r="MAZ29" s="1266"/>
      <c r="MBA29" s="1266"/>
      <c r="MBB29" s="1266"/>
      <c r="MBC29" s="1266"/>
      <c r="MBD29" s="1266"/>
      <c r="MBE29" s="1266"/>
      <c r="MBF29" s="1266"/>
      <c r="MBG29" s="1266"/>
      <c r="MBH29" s="1266"/>
      <c r="MBI29" s="1266"/>
      <c r="MBJ29" s="1266"/>
      <c r="MBK29" s="1266"/>
      <c r="MBL29" s="1266"/>
      <c r="MBM29" s="1266"/>
      <c r="MBN29" s="1266"/>
      <c r="MBO29" s="1266"/>
      <c r="MBP29" s="1266"/>
      <c r="MBQ29" s="1266"/>
      <c r="MBR29" s="1266"/>
      <c r="MBS29" s="1266"/>
      <c r="MBT29" s="1266"/>
      <c r="MBU29" s="1266"/>
      <c r="MBV29" s="1266"/>
      <c r="MBW29" s="1266"/>
      <c r="MBX29" s="1266"/>
      <c r="MBY29" s="1266"/>
      <c r="MBZ29" s="1266"/>
      <c r="MCA29" s="1266"/>
      <c r="MCB29" s="1266"/>
      <c r="MCC29" s="1266"/>
      <c r="MCD29" s="1266"/>
      <c r="MCE29" s="1266"/>
      <c r="MCF29" s="1266"/>
      <c r="MCG29" s="1266"/>
      <c r="MCH29" s="1266"/>
      <c r="MCI29" s="1266"/>
      <c r="MCJ29" s="1266"/>
      <c r="MCK29" s="1266"/>
      <c r="MCL29" s="1266"/>
      <c r="MCM29" s="1266"/>
      <c r="MCN29" s="1266"/>
      <c r="MCO29" s="1266"/>
      <c r="MCP29" s="1266"/>
      <c r="MCQ29" s="1266"/>
      <c r="MCR29" s="1266"/>
      <c r="MCS29" s="1266"/>
      <c r="MCT29" s="1266"/>
      <c r="MCU29" s="1266"/>
      <c r="MCV29" s="1266"/>
      <c r="MCW29" s="1266"/>
      <c r="MCX29" s="1266"/>
      <c r="MCY29" s="1266"/>
      <c r="MCZ29" s="1266"/>
      <c r="MDA29" s="1266"/>
      <c r="MDB29" s="1266"/>
      <c r="MDC29" s="1266"/>
      <c r="MDD29" s="1266"/>
      <c r="MDE29" s="1266"/>
      <c r="MDF29" s="1266"/>
      <c r="MDG29" s="1266"/>
      <c r="MDH29" s="1266"/>
      <c r="MDI29" s="1266"/>
      <c r="MDJ29" s="1266"/>
      <c r="MDK29" s="1266"/>
      <c r="MDL29" s="1266"/>
      <c r="MDM29" s="1266"/>
      <c r="MDN29" s="1266"/>
      <c r="MDO29" s="1266"/>
      <c r="MDP29" s="1266"/>
      <c r="MDQ29" s="1266"/>
      <c r="MDR29" s="1266"/>
      <c r="MDS29" s="1266"/>
      <c r="MDT29" s="1266"/>
      <c r="MDU29" s="1266"/>
      <c r="MDV29" s="1266"/>
      <c r="MDW29" s="1266"/>
      <c r="MDX29" s="1266"/>
      <c r="MDY29" s="1266"/>
      <c r="MDZ29" s="1266"/>
      <c r="MEA29" s="1266"/>
      <c r="MEB29" s="1266"/>
      <c r="MEC29" s="1266"/>
      <c r="MED29" s="1266"/>
      <c r="MEE29" s="1266"/>
      <c r="MEF29" s="1266"/>
      <c r="MEG29" s="1266"/>
      <c r="MEH29" s="1266"/>
      <c r="MEI29" s="1266"/>
      <c r="MEJ29" s="1266"/>
      <c r="MEK29" s="1266"/>
      <c r="MEL29" s="1266"/>
      <c r="MEM29" s="1266"/>
      <c r="MEN29" s="1266"/>
      <c r="MEO29" s="1266"/>
      <c r="MEP29" s="1266"/>
      <c r="MEQ29" s="1266"/>
      <c r="MER29" s="1266"/>
      <c r="MES29" s="1266"/>
      <c r="MET29" s="1266"/>
      <c r="MEU29" s="1266"/>
      <c r="MEV29" s="1266"/>
      <c r="MEW29" s="1266"/>
      <c r="MEX29" s="1266"/>
      <c r="MEY29" s="1266"/>
      <c r="MEZ29" s="1266"/>
      <c r="MFA29" s="1266"/>
      <c r="MFB29" s="1266"/>
      <c r="MFC29" s="1266"/>
      <c r="MFD29" s="1266"/>
      <c r="MFE29" s="1266"/>
      <c r="MFF29" s="1266"/>
      <c r="MFG29" s="1266"/>
      <c r="MFH29" s="1266"/>
      <c r="MFI29" s="1266"/>
      <c r="MFJ29" s="1266"/>
      <c r="MFK29" s="1266"/>
      <c r="MFL29" s="1266"/>
      <c r="MFM29" s="1266"/>
      <c r="MFN29" s="1266"/>
      <c r="MFO29" s="1266"/>
      <c r="MFP29" s="1266"/>
      <c r="MFQ29" s="1266"/>
      <c r="MFR29" s="1266"/>
      <c r="MFS29" s="1266"/>
      <c r="MFT29" s="1266"/>
      <c r="MFU29" s="1266"/>
      <c r="MFV29" s="1266"/>
      <c r="MFW29" s="1266"/>
      <c r="MFX29" s="1266"/>
      <c r="MFY29" s="1266"/>
      <c r="MFZ29" s="1266"/>
      <c r="MGA29" s="1266"/>
      <c r="MGB29" s="1266"/>
      <c r="MGC29" s="1266"/>
      <c r="MGD29" s="1266"/>
      <c r="MGE29" s="1266"/>
      <c r="MGF29" s="1266"/>
      <c r="MGG29" s="1266"/>
      <c r="MGH29" s="1266"/>
      <c r="MGI29" s="1266"/>
      <c r="MGJ29" s="1266"/>
      <c r="MGK29" s="1266"/>
      <c r="MGL29" s="1266"/>
      <c r="MGM29" s="1266"/>
      <c r="MGN29" s="1266"/>
      <c r="MGO29" s="1266"/>
      <c r="MGP29" s="1266"/>
      <c r="MGQ29" s="1266"/>
      <c r="MGR29" s="1266"/>
      <c r="MGS29" s="1266"/>
      <c r="MGT29" s="1266"/>
      <c r="MGU29" s="1266"/>
      <c r="MGV29" s="1266"/>
      <c r="MGW29" s="1266"/>
      <c r="MGX29" s="1266"/>
      <c r="MGY29" s="1266"/>
      <c r="MGZ29" s="1266"/>
      <c r="MHA29" s="1266"/>
      <c r="MHB29" s="1266"/>
      <c r="MHC29" s="1266"/>
      <c r="MHD29" s="1266"/>
      <c r="MHE29" s="1266"/>
      <c r="MHF29" s="1266"/>
      <c r="MHG29" s="1266"/>
      <c r="MHH29" s="1266"/>
      <c r="MHI29" s="1266"/>
      <c r="MHJ29" s="1266"/>
      <c r="MHK29" s="1266"/>
      <c r="MHL29" s="1266"/>
      <c r="MHM29" s="1266"/>
      <c r="MHN29" s="1266"/>
      <c r="MHO29" s="1266"/>
      <c r="MHP29" s="1266"/>
      <c r="MHQ29" s="1266"/>
      <c r="MHR29" s="1266"/>
      <c r="MHS29" s="1266"/>
      <c r="MHT29" s="1266"/>
      <c r="MHU29" s="1266"/>
      <c r="MHV29" s="1266"/>
      <c r="MHW29" s="1266"/>
      <c r="MHX29" s="1266"/>
      <c r="MHY29" s="1266"/>
      <c r="MHZ29" s="1266"/>
      <c r="MIA29" s="1266"/>
      <c r="MIB29" s="1266"/>
      <c r="MIC29" s="1266"/>
      <c r="MID29" s="1266"/>
      <c r="MIE29" s="1266"/>
      <c r="MIF29" s="1266"/>
      <c r="MIG29" s="1266"/>
      <c r="MIH29" s="1266"/>
      <c r="MII29" s="1266"/>
      <c r="MIJ29" s="1266"/>
      <c r="MIK29" s="1266"/>
      <c r="MIL29" s="1266"/>
      <c r="MIM29" s="1266"/>
      <c r="MIN29" s="1266"/>
      <c r="MIO29" s="1266"/>
      <c r="MIP29" s="1266"/>
      <c r="MIQ29" s="1266"/>
      <c r="MIR29" s="1266"/>
      <c r="MIS29" s="1266"/>
      <c r="MIT29" s="1266"/>
      <c r="MIU29" s="1266"/>
      <c r="MIV29" s="1266"/>
      <c r="MIW29" s="1266"/>
      <c r="MIX29" s="1266"/>
      <c r="MIY29" s="1266"/>
      <c r="MIZ29" s="1266"/>
      <c r="MJA29" s="1266"/>
      <c r="MJB29" s="1266"/>
      <c r="MJC29" s="1266"/>
      <c r="MJD29" s="1266"/>
      <c r="MJE29" s="1266"/>
      <c r="MJF29" s="1266"/>
      <c r="MJG29" s="1266"/>
      <c r="MJH29" s="1266"/>
      <c r="MJI29" s="1266"/>
      <c r="MJJ29" s="1266"/>
      <c r="MJK29" s="1266"/>
      <c r="MJL29" s="1266"/>
      <c r="MJM29" s="1266"/>
      <c r="MJN29" s="1266"/>
      <c r="MJO29" s="1266"/>
      <c r="MJP29" s="1266"/>
      <c r="MJQ29" s="1266"/>
      <c r="MJR29" s="1266"/>
      <c r="MJS29" s="1266"/>
      <c r="MJT29" s="1266"/>
      <c r="MJU29" s="1266"/>
      <c r="MJV29" s="1266"/>
      <c r="MJW29" s="1266"/>
      <c r="MJX29" s="1266"/>
      <c r="MJY29" s="1266"/>
      <c r="MJZ29" s="1266"/>
      <c r="MKA29" s="1266"/>
      <c r="MKB29" s="1266"/>
      <c r="MKC29" s="1266"/>
      <c r="MKD29" s="1266"/>
      <c r="MKE29" s="1266"/>
      <c r="MKF29" s="1266"/>
      <c r="MKG29" s="1266"/>
      <c r="MKH29" s="1266"/>
      <c r="MKI29" s="1266"/>
      <c r="MKJ29" s="1266"/>
      <c r="MKK29" s="1266"/>
      <c r="MKL29" s="1266"/>
      <c r="MKM29" s="1266"/>
      <c r="MKN29" s="1266"/>
      <c r="MKO29" s="1266"/>
      <c r="MKP29" s="1266"/>
      <c r="MKQ29" s="1266"/>
      <c r="MKR29" s="1266"/>
      <c r="MKS29" s="1266"/>
      <c r="MKT29" s="1266"/>
      <c r="MKU29" s="1266"/>
      <c r="MKV29" s="1266"/>
      <c r="MKW29" s="1266"/>
      <c r="MKX29" s="1266"/>
      <c r="MKY29" s="1266"/>
      <c r="MKZ29" s="1266"/>
      <c r="MLA29" s="1266"/>
      <c r="MLB29" s="1266"/>
      <c r="MLC29" s="1266"/>
      <c r="MLD29" s="1266"/>
      <c r="MLE29" s="1266"/>
      <c r="MLF29" s="1266"/>
      <c r="MLG29" s="1266"/>
      <c r="MLH29" s="1266"/>
      <c r="MLI29" s="1266"/>
      <c r="MLJ29" s="1266"/>
      <c r="MLK29" s="1266"/>
      <c r="MLL29" s="1266"/>
      <c r="MLM29" s="1266"/>
      <c r="MLN29" s="1266"/>
      <c r="MLO29" s="1266"/>
      <c r="MLP29" s="1266"/>
      <c r="MLQ29" s="1266"/>
      <c r="MLR29" s="1266"/>
      <c r="MLS29" s="1266"/>
      <c r="MLT29" s="1266"/>
      <c r="MLU29" s="1266"/>
      <c r="MLV29" s="1266"/>
      <c r="MLW29" s="1266"/>
      <c r="MLX29" s="1266"/>
      <c r="MLY29" s="1266"/>
      <c r="MLZ29" s="1266"/>
      <c r="MMA29" s="1266"/>
      <c r="MMB29" s="1266"/>
      <c r="MMC29" s="1266"/>
      <c r="MMD29" s="1266"/>
      <c r="MME29" s="1266"/>
      <c r="MMF29" s="1266"/>
      <c r="MMG29" s="1266"/>
      <c r="MMH29" s="1266"/>
      <c r="MMI29" s="1266"/>
      <c r="MMJ29" s="1266"/>
      <c r="MMK29" s="1266"/>
      <c r="MML29" s="1266"/>
      <c r="MMM29" s="1266"/>
      <c r="MMN29" s="1266"/>
      <c r="MMO29" s="1266"/>
      <c r="MMP29" s="1266"/>
      <c r="MMQ29" s="1266"/>
      <c r="MMR29" s="1266"/>
      <c r="MMS29" s="1266"/>
      <c r="MMT29" s="1266"/>
      <c r="MMU29" s="1266"/>
      <c r="MMV29" s="1266"/>
      <c r="MMW29" s="1266"/>
      <c r="MMX29" s="1266"/>
      <c r="MMY29" s="1266"/>
      <c r="MMZ29" s="1266"/>
      <c r="MNA29" s="1266"/>
      <c r="MNB29" s="1266"/>
      <c r="MNC29" s="1266"/>
      <c r="MND29" s="1266"/>
      <c r="MNE29" s="1266"/>
      <c r="MNF29" s="1266"/>
      <c r="MNG29" s="1266"/>
      <c r="MNH29" s="1266"/>
      <c r="MNI29" s="1266"/>
      <c r="MNJ29" s="1266"/>
      <c r="MNK29" s="1266"/>
      <c r="MNL29" s="1266"/>
      <c r="MNM29" s="1266"/>
      <c r="MNN29" s="1266"/>
      <c r="MNO29" s="1266"/>
      <c r="MNP29" s="1266"/>
      <c r="MNQ29" s="1266"/>
      <c r="MNR29" s="1266"/>
      <c r="MNS29" s="1266"/>
      <c r="MNT29" s="1266"/>
      <c r="MNU29" s="1266"/>
      <c r="MNV29" s="1266"/>
      <c r="MNW29" s="1266"/>
      <c r="MNX29" s="1266"/>
      <c r="MNY29" s="1266"/>
      <c r="MNZ29" s="1266"/>
      <c r="MOA29" s="1266"/>
      <c r="MOB29" s="1266"/>
      <c r="MOC29" s="1266"/>
      <c r="MOD29" s="1266"/>
      <c r="MOE29" s="1266"/>
      <c r="MOF29" s="1266"/>
      <c r="MOG29" s="1266"/>
      <c r="MOH29" s="1266"/>
      <c r="MOI29" s="1266"/>
      <c r="MOJ29" s="1266"/>
      <c r="MOK29" s="1266"/>
      <c r="MOL29" s="1266"/>
      <c r="MOM29" s="1266"/>
      <c r="MON29" s="1266"/>
      <c r="MOO29" s="1266"/>
      <c r="MOP29" s="1266"/>
      <c r="MOQ29" s="1266"/>
      <c r="MOR29" s="1266"/>
      <c r="MOS29" s="1266"/>
      <c r="MOT29" s="1266"/>
      <c r="MOU29" s="1266"/>
      <c r="MOV29" s="1266"/>
      <c r="MOW29" s="1266"/>
      <c r="MOX29" s="1266"/>
      <c r="MOY29" s="1266"/>
      <c r="MOZ29" s="1266"/>
      <c r="MPA29" s="1266"/>
      <c r="MPB29" s="1266"/>
      <c r="MPC29" s="1266"/>
      <c r="MPD29" s="1266"/>
      <c r="MPE29" s="1266"/>
      <c r="MPF29" s="1266"/>
      <c r="MPG29" s="1266"/>
      <c r="MPH29" s="1266"/>
      <c r="MPI29" s="1266"/>
      <c r="MPJ29" s="1266"/>
      <c r="MPK29" s="1266"/>
      <c r="MPL29" s="1266"/>
      <c r="MPM29" s="1266"/>
      <c r="MPN29" s="1266"/>
      <c r="MPO29" s="1266"/>
      <c r="MPP29" s="1266"/>
      <c r="MPQ29" s="1266"/>
      <c r="MPR29" s="1266"/>
      <c r="MPS29" s="1266"/>
      <c r="MPT29" s="1266"/>
      <c r="MPU29" s="1266"/>
      <c r="MPV29" s="1266"/>
      <c r="MPW29" s="1266"/>
      <c r="MPX29" s="1266"/>
      <c r="MPY29" s="1266"/>
      <c r="MPZ29" s="1266"/>
      <c r="MQA29" s="1266"/>
      <c r="MQB29" s="1266"/>
      <c r="MQC29" s="1266"/>
      <c r="MQD29" s="1266"/>
      <c r="MQE29" s="1266"/>
      <c r="MQF29" s="1266"/>
      <c r="MQG29" s="1266"/>
      <c r="MQH29" s="1266"/>
      <c r="MQI29" s="1266"/>
      <c r="MQJ29" s="1266"/>
      <c r="MQK29" s="1266"/>
      <c r="MQL29" s="1266"/>
      <c r="MQM29" s="1266"/>
      <c r="MQN29" s="1266"/>
      <c r="MQO29" s="1266"/>
      <c r="MQP29" s="1266"/>
      <c r="MQQ29" s="1266"/>
      <c r="MQR29" s="1266"/>
      <c r="MQS29" s="1266"/>
      <c r="MQT29" s="1266"/>
      <c r="MQU29" s="1266"/>
      <c r="MQV29" s="1266"/>
      <c r="MQW29" s="1266"/>
      <c r="MQX29" s="1266"/>
      <c r="MQY29" s="1266"/>
      <c r="MQZ29" s="1266"/>
      <c r="MRA29" s="1266"/>
      <c r="MRB29" s="1266"/>
      <c r="MRC29" s="1266"/>
      <c r="MRD29" s="1266"/>
      <c r="MRE29" s="1266"/>
      <c r="MRF29" s="1266"/>
      <c r="MRG29" s="1266"/>
      <c r="MRH29" s="1266"/>
      <c r="MRI29" s="1266"/>
      <c r="MRJ29" s="1266"/>
      <c r="MRK29" s="1266"/>
      <c r="MRL29" s="1266"/>
      <c r="MRM29" s="1266"/>
      <c r="MRN29" s="1266"/>
      <c r="MRO29" s="1266"/>
      <c r="MRP29" s="1266"/>
      <c r="MRQ29" s="1266"/>
      <c r="MRR29" s="1266"/>
      <c r="MRS29" s="1266"/>
      <c r="MRT29" s="1266"/>
      <c r="MRU29" s="1266"/>
      <c r="MRV29" s="1266"/>
      <c r="MRW29" s="1266"/>
      <c r="MRX29" s="1266"/>
      <c r="MRY29" s="1266"/>
      <c r="MRZ29" s="1266"/>
      <c r="MSA29" s="1266"/>
      <c r="MSB29" s="1266"/>
      <c r="MSC29" s="1266"/>
      <c r="MSD29" s="1266"/>
      <c r="MSE29" s="1266"/>
      <c r="MSF29" s="1266"/>
      <c r="MSG29" s="1266"/>
      <c r="MSH29" s="1266"/>
      <c r="MSI29" s="1266"/>
      <c r="MSJ29" s="1266"/>
      <c r="MSK29" s="1266"/>
      <c r="MSL29" s="1266"/>
      <c r="MSM29" s="1266"/>
      <c r="MSN29" s="1266"/>
      <c r="MSO29" s="1266"/>
      <c r="MSP29" s="1266"/>
      <c r="MSQ29" s="1266"/>
      <c r="MSR29" s="1266"/>
      <c r="MSS29" s="1266"/>
      <c r="MST29" s="1266"/>
      <c r="MSU29" s="1266"/>
      <c r="MSV29" s="1266"/>
      <c r="MSW29" s="1266"/>
      <c r="MSX29" s="1266"/>
      <c r="MSY29" s="1266"/>
      <c r="MSZ29" s="1266"/>
      <c r="MTA29" s="1266"/>
      <c r="MTB29" s="1266"/>
      <c r="MTC29" s="1266"/>
      <c r="MTD29" s="1266"/>
      <c r="MTE29" s="1266"/>
      <c r="MTF29" s="1266"/>
      <c r="MTG29" s="1266"/>
      <c r="MTH29" s="1266"/>
      <c r="MTI29" s="1266"/>
      <c r="MTJ29" s="1266"/>
      <c r="MTK29" s="1266"/>
      <c r="MTL29" s="1266"/>
      <c r="MTM29" s="1266"/>
      <c r="MTN29" s="1266"/>
      <c r="MTO29" s="1266"/>
      <c r="MTP29" s="1266"/>
      <c r="MTQ29" s="1266"/>
      <c r="MTR29" s="1266"/>
      <c r="MTS29" s="1266"/>
      <c r="MTT29" s="1266"/>
      <c r="MTU29" s="1266"/>
      <c r="MTV29" s="1266"/>
      <c r="MTW29" s="1266"/>
      <c r="MTX29" s="1266"/>
      <c r="MTY29" s="1266"/>
      <c r="MTZ29" s="1266"/>
      <c r="MUA29" s="1266"/>
      <c r="MUB29" s="1266"/>
      <c r="MUC29" s="1266"/>
      <c r="MUD29" s="1266"/>
      <c r="MUE29" s="1266"/>
      <c r="MUF29" s="1266"/>
      <c r="MUG29" s="1266"/>
      <c r="MUH29" s="1266"/>
      <c r="MUI29" s="1266"/>
      <c r="MUJ29" s="1266"/>
      <c r="MUK29" s="1266"/>
      <c r="MUL29" s="1266"/>
      <c r="MUM29" s="1266"/>
      <c r="MUN29" s="1266"/>
      <c r="MUO29" s="1266"/>
      <c r="MUP29" s="1266"/>
      <c r="MUQ29" s="1266"/>
      <c r="MUR29" s="1266"/>
      <c r="MUS29" s="1266"/>
      <c r="MUT29" s="1266"/>
      <c r="MUU29" s="1266"/>
      <c r="MUV29" s="1266"/>
      <c r="MUW29" s="1266"/>
      <c r="MUX29" s="1266"/>
      <c r="MUY29" s="1266"/>
      <c r="MUZ29" s="1266"/>
      <c r="MVA29" s="1266"/>
      <c r="MVB29" s="1266"/>
      <c r="MVC29" s="1266"/>
      <c r="MVD29" s="1266"/>
      <c r="MVE29" s="1266"/>
      <c r="MVF29" s="1266"/>
      <c r="MVG29" s="1266"/>
      <c r="MVH29" s="1266"/>
      <c r="MVI29" s="1266"/>
      <c r="MVJ29" s="1266"/>
      <c r="MVK29" s="1266"/>
      <c r="MVL29" s="1266"/>
      <c r="MVM29" s="1266"/>
      <c r="MVN29" s="1266"/>
      <c r="MVO29" s="1266"/>
      <c r="MVP29" s="1266"/>
      <c r="MVQ29" s="1266"/>
      <c r="MVR29" s="1266"/>
      <c r="MVS29" s="1266"/>
      <c r="MVT29" s="1266"/>
      <c r="MVU29" s="1266"/>
      <c r="MVV29" s="1266"/>
      <c r="MVW29" s="1266"/>
      <c r="MVX29" s="1266"/>
      <c r="MVY29" s="1266"/>
      <c r="MVZ29" s="1266"/>
      <c r="MWA29" s="1266"/>
      <c r="MWB29" s="1266"/>
      <c r="MWC29" s="1266"/>
      <c r="MWD29" s="1266"/>
      <c r="MWE29" s="1266"/>
      <c r="MWF29" s="1266"/>
      <c r="MWG29" s="1266"/>
      <c r="MWH29" s="1266"/>
      <c r="MWI29" s="1266"/>
      <c r="MWJ29" s="1266"/>
      <c r="MWK29" s="1266"/>
      <c r="MWL29" s="1266"/>
      <c r="MWM29" s="1266"/>
      <c r="MWN29" s="1266"/>
      <c r="MWO29" s="1266"/>
      <c r="MWP29" s="1266"/>
      <c r="MWQ29" s="1266"/>
      <c r="MWR29" s="1266"/>
      <c r="MWS29" s="1266"/>
      <c r="MWT29" s="1266"/>
      <c r="MWU29" s="1266"/>
      <c r="MWV29" s="1266"/>
      <c r="MWW29" s="1266"/>
      <c r="MWX29" s="1266"/>
      <c r="MWY29" s="1266"/>
      <c r="MWZ29" s="1266"/>
      <c r="MXA29" s="1266"/>
      <c r="MXB29" s="1266"/>
      <c r="MXC29" s="1266"/>
      <c r="MXD29" s="1266"/>
      <c r="MXE29" s="1266"/>
      <c r="MXF29" s="1266"/>
      <c r="MXG29" s="1266"/>
      <c r="MXH29" s="1266"/>
      <c r="MXI29" s="1266"/>
      <c r="MXJ29" s="1266"/>
      <c r="MXK29" s="1266"/>
      <c r="MXL29" s="1266"/>
      <c r="MXM29" s="1266"/>
      <c r="MXN29" s="1266"/>
      <c r="MXO29" s="1266"/>
      <c r="MXP29" s="1266"/>
      <c r="MXQ29" s="1266"/>
      <c r="MXR29" s="1266"/>
      <c r="MXS29" s="1266"/>
      <c r="MXT29" s="1266"/>
      <c r="MXU29" s="1266"/>
      <c r="MXV29" s="1266"/>
      <c r="MXW29" s="1266"/>
      <c r="MXX29" s="1266"/>
      <c r="MXY29" s="1266"/>
      <c r="MXZ29" s="1266"/>
      <c r="MYA29" s="1266"/>
      <c r="MYB29" s="1266"/>
      <c r="MYC29" s="1266"/>
      <c r="MYD29" s="1266"/>
      <c r="MYE29" s="1266"/>
      <c r="MYF29" s="1266"/>
      <c r="MYG29" s="1266"/>
      <c r="MYH29" s="1266"/>
      <c r="MYI29" s="1266"/>
      <c r="MYJ29" s="1266"/>
      <c r="MYK29" s="1266"/>
      <c r="MYL29" s="1266"/>
      <c r="MYM29" s="1266"/>
      <c r="MYN29" s="1266"/>
      <c r="MYO29" s="1266"/>
      <c r="MYP29" s="1266"/>
      <c r="MYQ29" s="1266"/>
      <c r="MYR29" s="1266"/>
      <c r="MYS29" s="1266"/>
      <c r="MYT29" s="1266"/>
      <c r="MYU29" s="1266"/>
      <c r="MYV29" s="1266"/>
      <c r="MYW29" s="1266"/>
      <c r="MYX29" s="1266"/>
      <c r="MYY29" s="1266"/>
      <c r="MYZ29" s="1266"/>
      <c r="MZA29" s="1266"/>
      <c r="MZB29" s="1266"/>
      <c r="MZC29" s="1266"/>
      <c r="MZD29" s="1266"/>
      <c r="MZE29" s="1266"/>
      <c r="MZF29" s="1266"/>
      <c r="MZG29" s="1266"/>
      <c r="MZH29" s="1266"/>
      <c r="MZI29" s="1266"/>
      <c r="MZJ29" s="1266"/>
      <c r="MZK29" s="1266"/>
      <c r="MZL29" s="1266"/>
      <c r="MZM29" s="1266"/>
      <c r="MZN29" s="1266"/>
      <c r="MZO29" s="1266"/>
      <c r="MZP29" s="1266"/>
      <c r="MZQ29" s="1266"/>
      <c r="MZR29" s="1266"/>
      <c r="MZS29" s="1266"/>
      <c r="MZT29" s="1266"/>
      <c r="MZU29" s="1266"/>
      <c r="MZV29" s="1266"/>
      <c r="MZW29" s="1266"/>
      <c r="MZX29" s="1266"/>
      <c r="MZY29" s="1266"/>
      <c r="MZZ29" s="1266"/>
      <c r="NAA29" s="1266"/>
      <c r="NAB29" s="1266"/>
      <c r="NAC29" s="1266"/>
      <c r="NAD29" s="1266"/>
      <c r="NAE29" s="1266"/>
      <c r="NAF29" s="1266"/>
      <c r="NAG29" s="1266"/>
      <c r="NAH29" s="1266"/>
      <c r="NAI29" s="1266"/>
      <c r="NAJ29" s="1266"/>
      <c r="NAK29" s="1266"/>
      <c r="NAL29" s="1266"/>
      <c r="NAM29" s="1266"/>
      <c r="NAN29" s="1266"/>
      <c r="NAO29" s="1266"/>
      <c r="NAP29" s="1266"/>
      <c r="NAQ29" s="1266"/>
      <c r="NAR29" s="1266"/>
      <c r="NAS29" s="1266"/>
      <c r="NAT29" s="1266"/>
      <c r="NAU29" s="1266"/>
      <c r="NAV29" s="1266"/>
      <c r="NAW29" s="1266"/>
      <c r="NAX29" s="1266"/>
      <c r="NAY29" s="1266"/>
      <c r="NAZ29" s="1266"/>
      <c r="NBA29" s="1266"/>
      <c r="NBB29" s="1266"/>
      <c r="NBC29" s="1266"/>
      <c r="NBD29" s="1266"/>
      <c r="NBE29" s="1266"/>
      <c r="NBF29" s="1266"/>
      <c r="NBG29" s="1266"/>
      <c r="NBH29" s="1266"/>
      <c r="NBI29" s="1266"/>
      <c r="NBJ29" s="1266"/>
      <c r="NBK29" s="1266"/>
      <c r="NBL29" s="1266"/>
      <c r="NBM29" s="1266"/>
      <c r="NBN29" s="1266"/>
      <c r="NBO29" s="1266"/>
      <c r="NBP29" s="1266"/>
      <c r="NBQ29" s="1266"/>
      <c r="NBR29" s="1266"/>
      <c r="NBS29" s="1266"/>
      <c r="NBT29" s="1266"/>
      <c r="NBU29" s="1266"/>
      <c r="NBV29" s="1266"/>
      <c r="NBW29" s="1266"/>
      <c r="NBX29" s="1266"/>
      <c r="NBY29" s="1266"/>
      <c r="NBZ29" s="1266"/>
      <c r="NCA29" s="1266"/>
      <c r="NCB29" s="1266"/>
      <c r="NCC29" s="1266"/>
      <c r="NCD29" s="1266"/>
      <c r="NCE29" s="1266"/>
      <c r="NCF29" s="1266"/>
      <c r="NCG29" s="1266"/>
      <c r="NCH29" s="1266"/>
      <c r="NCI29" s="1266"/>
      <c r="NCJ29" s="1266"/>
      <c r="NCK29" s="1266"/>
      <c r="NCL29" s="1266"/>
      <c r="NCM29" s="1266"/>
      <c r="NCN29" s="1266"/>
      <c r="NCO29" s="1266"/>
      <c r="NCP29" s="1266"/>
      <c r="NCQ29" s="1266"/>
      <c r="NCR29" s="1266"/>
      <c r="NCS29" s="1266"/>
      <c r="NCT29" s="1266"/>
      <c r="NCU29" s="1266"/>
      <c r="NCV29" s="1266"/>
      <c r="NCW29" s="1266"/>
      <c r="NCX29" s="1266"/>
      <c r="NCY29" s="1266"/>
      <c r="NCZ29" s="1266"/>
      <c r="NDA29" s="1266"/>
      <c r="NDB29" s="1266"/>
      <c r="NDC29" s="1266"/>
      <c r="NDD29" s="1266"/>
      <c r="NDE29" s="1266"/>
      <c r="NDF29" s="1266"/>
      <c r="NDG29" s="1266"/>
      <c r="NDH29" s="1266"/>
      <c r="NDI29" s="1266"/>
      <c r="NDJ29" s="1266"/>
      <c r="NDK29" s="1266"/>
      <c r="NDL29" s="1266"/>
      <c r="NDM29" s="1266"/>
      <c r="NDN29" s="1266"/>
      <c r="NDO29" s="1266"/>
      <c r="NDP29" s="1266"/>
      <c r="NDQ29" s="1266"/>
      <c r="NDR29" s="1266"/>
      <c r="NDS29" s="1266"/>
      <c r="NDT29" s="1266"/>
      <c r="NDU29" s="1266"/>
      <c r="NDV29" s="1266"/>
      <c r="NDW29" s="1266"/>
      <c r="NDX29" s="1266"/>
      <c r="NDY29" s="1266"/>
      <c r="NDZ29" s="1266"/>
      <c r="NEA29" s="1266"/>
      <c r="NEB29" s="1266"/>
      <c r="NEC29" s="1266"/>
      <c r="NED29" s="1266"/>
      <c r="NEE29" s="1266"/>
      <c r="NEF29" s="1266"/>
      <c r="NEG29" s="1266"/>
      <c r="NEH29" s="1266"/>
      <c r="NEI29" s="1266"/>
      <c r="NEJ29" s="1266"/>
      <c r="NEK29" s="1266"/>
      <c r="NEL29" s="1266"/>
      <c r="NEM29" s="1266"/>
      <c r="NEN29" s="1266"/>
      <c r="NEO29" s="1266"/>
      <c r="NEP29" s="1266"/>
      <c r="NEQ29" s="1266"/>
      <c r="NER29" s="1266"/>
      <c r="NES29" s="1266"/>
      <c r="NET29" s="1266"/>
      <c r="NEU29" s="1266"/>
      <c r="NEV29" s="1266"/>
      <c r="NEW29" s="1266"/>
      <c r="NEX29" s="1266"/>
      <c r="NEY29" s="1266"/>
      <c r="NEZ29" s="1266"/>
      <c r="NFA29" s="1266"/>
      <c r="NFB29" s="1266"/>
      <c r="NFC29" s="1266"/>
      <c r="NFD29" s="1266"/>
      <c r="NFE29" s="1266"/>
      <c r="NFF29" s="1266"/>
      <c r="NFG29" s="1266"/>
      <c r="NFH29" s="1266"/>
      <c r="NFI29" s="1266"/>
      <c r="NFJ29" s="1266"/>
      <c r="NFK29" s="1266"/>
      <c r="NFL29" s="1266"/>
      <c r="NFM29" s="1266"/>
      <c r="NFN29" s="1266"/>
      <c r="NFO29" s="1266"/>
      <c r="NFP29" s="1266"/>
      <c r="NFQ29" s="1266"/>
      <c r="NFR29" s="1266"/>
      <c r="NFS29" s="1266"/>
      <c r="NFT29" s="1266"/>
      <c r="NFU29" s="1266"/>
      <c r="NFV29" s="1266"/>
      <c r="NFW29" s="1266"/>
      <c r="NFX29" s="1266"/>
      <c r="NFY29" s="1266"/>
      <c r="NFZ29" s="1266"/>
      <c r="NGA29" s="1266"/>
      <c r="NGB29" s="1266"/>
      <c r="NGC29" s="1266"/>
      <c r="NGD29" s="1266"/>
      <c r="NGE29" s="1266"/>
      <c r="NGF29" s="1266"/>
      <c r="NGG29" s="1266"/>
      <c r="NGH29" s="1266"/>
      <c r="NGI29" s="1266"/>
      <c r="NGJ29" s="1266"/>
      <c r="NGK29" s="1266"/>
      <c r="NGL29" s="1266"/>
      <c r="NGM29" s="1266"/>
      <c r="NGN29" s="1266"/>
      <c r="NGO29" s="1266"/>
      <c r="NGP29" s="1266"/>
      <c r="NGQ29" s="1266"/>
      <c r="NGR29" s="1266"/>
      <c r="NGS29" s="1266"/>
      <c r="NGT29" s="1266"/>
      <c r="NGU29" s="1266"/>
      <c r="NGV29" s="1266"/>
      <c r="NGW29" s="1266"/>
      <c r="NGX29" s="1266"/>
      <c r="NGY29" s="1266"/>
      <c r="NGZ29" s="1266"/>
      <c r="NHA29" s="1266"/>
      <c r="NHB29" s="1266"/>
      <c r="NHC29" s="1266"/>
      <c r="NHD29" s="1266"/>
      <c r="NHE29" s="1266"/>
      <c r="NHF29" s="1266"/>
      <c r="NHG29" s="1266"/>
      <c r="NHH29" s="1266"/>
      <c r="NHI29" s="1266"/>
      <c r="NHJ29" s="1266"/>
      <c r="NHK29" s="1266"/>
      <c r="NHL29" s="1266"/>
      <c r="NHM29" s="1266"/>
      <c r="NHN29" s="1266"/>
      <c r="NHO29" s="1266"/>
      <c r="NHP29" s="1266"/>
      <c r="NHQ29" s="1266"/>
      <c r="NHR29" s="1266"/>
      <c r="NHS29" s="1266"/>
      <c r="NHT29" s="1266"/>
      <c r="NHU29" s="1266"/>
      <c r="NHV29" s="1266"/>
      <c r="NHW29" s="1266"/>
      <c r="NHX29" s="1266"/>
      <c r="NHY29" s="1266"/>
      <c r="NHZ29" s="1266"/>
      <c r="NIA29" s="1266"/>
      <c r="NIB29" s="1266"/>
      <c r="NIC29" s="1266"/>
      <c r="NID29" s="1266"/>
      <c r="NIE29" s="1266"/>
      <c r="NIF29" s="1266"/>
      <c r="NIG29" s="1266"/>
      <c r="NIH29" s="1266"/>
      <c r="NII29" s="1266"/>
      <c r="NIJ29" s="1266"/>
      <c r="NIK29" s="1266"/>
      <c r="NIL29" s="1266"/>
      <c r="NIM29" s="1266"/>
      <c r="NIN29" s="1266"/>
      <c r="NIO29" s="1266"/>
      <c r="NIP29" s="1266"/>
      <c r="NIQ29" s="1266"/>
      <c r="NIR29" s="1266"/>
      <c r="NIS29" s="1266"/>
      <c r="NIT29" s="1266"/>
      <c r="NIU29" s="1266"/>
      <c r="NIV29" s="1266"/>
      <c r="NIW29" s="1266"/>
      <c r="NIX29" s="1266"/>
      <c r="NIY29" s="1266"/>
      <c r="NIZ29" s="1266"/>
      <c r="NJA29" s="1266"/>
      <c r="NJB29" s="1266"/>
      <c r="NJC29" s="1266"/>
      <c r="NJD29" s="1266"/>
      <c r="NJE29" s="1266"/>
      <c r="NJF29" s="1266"/>
      <c r="NJG29" s="1266"/>
      <c r="NJH29" s="1266"/>
      <c r="NJI29" s="1266"/>
      <c r="NJJ29" s="1266"/>
      <c r="NJK29" s="1266"/>
      <c r="NJL29" s="1266"/>
      <c r="NJM29" s="1266"/>
      <c r="NJN29" s="1266"/>
      <c r="NJO29" s="1266"/>
      <c r="NJP29" s="1266"/>
      <c r="NJQ29" s="1266"/>
      <c r="NJR29" s="1266"/>
      <c r="NJS29" s="1266"/>
      <c r="NJT29" s="1266"/>
      <c r="NJU29" s="1266"/>
      <c r="NJV29" s="1266"/>
      <c r="NJW29" s="1266"/>
      <c r="NJX29" s="1266"/>
      <c r="NJY29" s="1266"/>
      <c r="NJZ29" s="1266"/>
      <c r="NKA29" s="1266"/>
      <c r="NKB29" s="1266"/>
      <c r="NKC29" s="1266"/>
      <c r="NKD29" s="1266"/>
      <c r="NKE29" s="1266"/>
      <c r="NKF29" s="1266"/>
      <c r="NKG29" s="1266"/>
      <c r="NKH29" s="1266"/>
      <c r="NKI29" s="1266"/>
      <c r="NKJ29" s="1266"/>
      <c r="NKK29" s="1266"/>
      <c r="NKL29" s="1266"/>
      <c r="NKM29" s="1266"/>
      <c r="NKN29" s="1266"/>
      <c r="NKO29" s="1266"/>
      <c r="NKP29" s="1266"/>
      <c r="NKQ29" s="1266"/>
      <c r="NKR29" s="1266"/>
      <c r="NKS29" s="1266"/>
      <c r="NKT29" s="1266"/>
      <c r="NKU29" s="1266"/>
      <c r="NKV29" s="1266"/>
      <c r="NKW29" s="1266"/>
      <c r="NKX29" s="1266"/>
      <c r="NKY29" s="1266"/>
      <c r="NKZ29" s="1266"/>
      <c r="NLA29" s="1266"/>
      <c r="NLB29" s="1266"/>
      <c r="NLC29" s="1266"/>
      <c r="NLD29" s="1266"/>
      <c r="NLE29" s="1266"/>
      <c r="NLF29" s="1266"/>
      <c r="NLG29" s="1266"/>
      <c r="NLH29" s="1266"/>
      <c r="NLI29" s="1266"/>
      <c r="NLJ29" s="1266"/>
      <c r="NLK29" s="1266"/>
      <c r="NLL29" s="1266"/>
      <c r="NLM29" s="1266"/>
      <c r="NLN29" s="1266"/>
      <c r="NLO29" s="1266"/>
      <c r="NLP29" s="1266"/>
      <c r="NLQ29" s="1266"/>
      <c r="NLR29" s="1266"/>
      <c r="NLS29" s="1266"/>
      <c r="NLT29" s="1266"/>
      <c r="NLU29" s="1266"/>
      <c r="NLV29" s="1266"/>
      <c r="NLW29" s="1266"/>
      <c r="NLX29" s="1266"/>
      <c r="NLY29" s="1266"/>
      <c r="NLZ29" s="1266"/>
      <c r="NMA29" s="1266"/>
      <c r="NMB29" s="1266"/>
      <c r="NMC29" s="1266"/>
      <c r="NMD29" s="1266"/>
      <c r="NME29" s="1266"/>
      <c r="NMF29" s="1266"/>
      <c r="NMG29" s="1266"/>
      <c r="NMH29" s="1266"/>
      <c r="NMI29" s="1266"/>
      <c r="NMJ29" s="1266"/>
      <c r="NMK29" s="1266"/>
      <c r="NML29" s="1266"/>
      <c r="NMM29" s="1266"/>
      <c r="NMN29" s="1266"/>
      <c r="NMO29" s="1266"/>
      <c r="NMP29" s="1266"/>
      <c r="NMQ29" s="1266"/>
      <c r="NMR29" s="1266"/>
      <c r="NMS29" s="1266"/>
      <c r="NMT29" s="1266"/>
      <c r="NMU29" s="1266"/>
      <c r="NMV29" s="1266"/>
      <c r="NMW29" s="1266"/>
      <c r="NMX29" s="1266"/>
      <c r="NMY29" s="1266"/>
      <c r="NMZ29" s="1266"/>
      <c r="NNA29" s="1266"/>
      <c r="NNB29" s="1266"/>
      <c r="NNC29" s="1266"/>
      <c r="NND29" s="1266"/>
      <c r="NNE29" s="1266"/>
      <c r="NNF29" s="1266"/>
      <c r="NNG29" s="1266"/>
      <c r="NNH29" s="1266"/>
      <c r="NNI29" s="1266"/>
      <c r="NNJ29" s="1266"/>
      <c r="NNK29" s="1266"/>
      <c r="NNL29" s="1266"/>
      <c r="NNM29" s="1266"/>
      <c r="NNN29" s="1266"/>
      <c r="NNO29" s="1266"/>
      <c r="NNP29" s="1266"/>
      <c r="NNQ29" s="1266"/>
      <c r="NNR29" s="1266"/>
      <c r="NNS29" s="1266"/>
      <c r="NNT29" s="1266"/>
      <c r="NNU29" s="1266"/>
      <c r="NNV29" s="1266"/>
      <c r="NNW29" s="1266"/>
      <c r="NNX29" s="1266"/>
      <c r="NNY29" s="1266"/>
      <c r="NNZ29" s="1266"/>
      <c r="NOA29" s="1266"/>
      <c r="NOB29" s="1266"/>
      <c r="NOC29" s="1266"/>
      <c r="NOD29" s="1266"/>
      <c r="NOE29" s="1266"/>
      <c r="NOF29" s="1266"/>
      <c r="NOG29" s="1266"/>
      <c r="NOH29" s="1266"/>
      <c r="NOI29" s="1266"/>
      <c r="NOJ29" s="1266"/>
      <c r="NOK29" s="1266"/>
      <c r="NOL29" s="1266"/>
      <c r="NOM29" s="1266"/>
      <c r="NON29" s="1266"/>
      <c r="NOO29" s="1266"/>
      <c r="NOP29" s="1266"/>
      <c r="NOQ29" s="1266"/>
      <c r="NOR29" s="1266"/>
      <c r="NOS29" s="1266"/>
      <c r="NOT29" s="1266"/>
      <c r="NOU29" s="1266"/>
      <c r="NOV29" s="1266"/>
      <c r="NOW29" s="1266"/>
      <c r="NOX29" s="1266"/>
      <c r="NOY29" s="1266"/>
      <c r="NOZ29" s="1266"/>
      <c r="NPA29" s="1266"/>
      <c r="NPB29" s="1266"/>
      <c r="NPC29" s="1266"/>
      <c r="NPD29" s="1266"/>
      <c r="NPE29" s="1266"/>
      <c r="NPF29" s="1266"/>
      <c r="NPG29" s="1266"/>
      <c r="NPH29" s="1266"/>
      <c r="NPI29" s="1266"/>
      <c r="NPJ29" s="1266"/>
      <c r="NPK29" s="1266"/>
      <c r="NPL29" s="1266"/>
      <c r="NPM29" s="1266"/>
      <c r="NPN29" s="1266"/>
      <c r="NPO29" s="1266"/>
      <c r="NPP29" s="1266"/>
      <c r="NPQ29" s="1266"/>
      <c r="NPR29" s="1266"/>
      <c r="NPS29" s="1266"/>
      <c r="NPT29" s="1266"/>
      <c r="NPU29" s="1266"/>
      <c r="NPV29" s="1266"/>
      <c r="NPW29" s="1266"/>
      <c r="NPX29" s="1266"/>
      <c r="NPY29" s="1266"/>
      <c r="NPZ29" s="1266"/>
      <c r="NQA29" s="1266"/>
      <c r="NQB29" s="1266"/>
      <c r="NQC29" s="1266"/>
      <c r="NQD29" s="1266"/>
      <c r="NQE29" s="1266"/>
      <c r="NQF29" s="1266"/>
      <c r="NQG29" s="1266"/>
      <c r="NQH29" s="1266"/>
      <c r="NQI29" s="1266"/>
      <c r="NQJ29" s="1266"/>
      <c r="NQK29" s="1266"/>
      <c r="NQL29" s="1266"/>
      <c r="NQM29" s="1266"/>
      <c r="NQN29" s="1266"/>
      <c r="NQO29" s="1266"/>
      <c r="NQP29" s="1266"/>
      <c r="NQQ29" s="1266"/>
      <c r="NQR29" s="1266"/>
      <c r="NQS29" s="1266"/>
      <c r="NQT29" s="1266"/>
      <c r="NQU29" s="1266"/>
      <c r="NQV29" s="1266"/>
      <c r="NQW29" s="1266"/>
      <c r="NQX29" s="1266"/>
      <c r="NQY29" s="1266"/>
      <c r="NQZ29" s="1266"/>
      <c r="NRA29" s="1266"/>
      <c r="NRB29" s="1266"/>
      <c r="NRC29" s="1266"/>
      <c r="NRD29" s="1266"/>
      <c r="NRE29" s="1266"/>
      <c r="NRF29" s="1266"/>
      <c r="NRG29" s="1266"/>
      <c r="NRH29" s="1266"/>
      <c r="NRI29" s="1266"/>
      <c r="NRJ29" s="1266"/>
      <c r="NRK29" s="1266"/>
      <c r="NRL29" s="1266"/>
      <c r="NRM29" s="1266"/>
      <c r="NRN29" s="1266"/>
      <c r="NRO29" s="1266"/>
      <c r="NRP29" s="1266"/>
      <c r="NRQ29" s="1266"/>
      <c r="NRR29" s="1266"/>
      <c r="NRS29" s="1266"/>
      <c r="NRT29" s="1266"/>
      <c r="NRU29" s="1266"/>
      <c r="NRV29" s="1266"/>
      <c r="NRW29" s="1266"/>
      <c r="NRX29" s="1266"/>
      <c r="NRY29" s="1266"/>
      <c r="NRZ29" s="1266"/>
      <c r="NSA29" s="1266"/>
      <c r="NSB29" s="1266"/>
      <c r="NSC29" s="1266"/>
      <c r="NSD29" s="1266"/>
      <c r="NSE29" s="1266"/>
      <c r="NSF29" s="1266"/>
      <c r="NSG29" s="1266"/>
      <c r="NSH29" s="1266"/>
      <c r="NSI29" s="1266"/>
      <c r="NSJ29" s="1266"/>
      <c r="NSK29" s="1266"/>
      <c r="NSL29" s="1266"/>
      <c r="NSM29" s="1266"/>
      <c r="NSN29" s="1266"/>
      <c r="NSO29" s="1266"/>
      <c r="NSP29" s="1266"/>
      <c r="NSQ29" s="1266"/>
      <c r="NSR29" s="1266"/>
      <c r="NSS29" s="1266"/>
      <c r="NST29" s="1266"/>
      <c r="NSU29" s="1266"/>
      <c r="NSV29" s="1266"/>
      <c r="NSW29" s="1266"/>
      <c r="NSX29" s="1266"/>
      <c r="NSY29" s="1266"/>
      <c r="NSZ29" s="1266"/>
      <c r="NTA29" s="1266"/>
      <c r="NTB29" s="1266"/>
      <c r="NTC29" s="1266"/>
      <c r="NTD29" s="1266"/>
      <c r="NTE29" s="1266"/>
      <c r="NTF29" s="1266"/>
      <c r="NTG29" s="1266"/>
      <c r="NTH29" s="1266"/>
      <c r="NTI29" s="1266"/>
      <c r="NTJ29" s="1266"/>
      <c r="NTK29" s="1266"/>
      <c r="NTL29" s="1266"/>
      <c r="NTM29" s="1266"/>
      <c r="NTN29" s="1266"/>
      <c r="NTO29" s="1266"/>
      <c r="NTP29" s="1266"/>
      <c r="NTQ29" s="1266"/>
      <c r="NTR29" s="1266"/>
      <c r="NTS29" s="1266"/>
      <c r="NTT29" s="1266"/>
      <c r="NTU29" s="1266"/>
      <c r="NTV29" s="1266"/>
      <c r="NTW29" s="1266"/>
      <c r="NTX29" s="1266"/>
      <c r="NTY29" s="1266"/>
      <c r="NTZ29" s="1266"/>
      <c r="NUA29" s="1266"/>
      <c r="NUB29" s="1266"/>
      <c r="NUC29" s="1266"/>
      <c r="NUD29" s="1266"/>
      <c r="NUE29" s="1266"/>
      <c r="NUF29" s="1266"/>
      <c r="NUG29" s="1266"/>
      <c r="NUH29" s="1266"/>
      <c r="NUI29" s="1266"/>
      <c r="NUJ29" s="1266"/>
      <c r="NUK29" s="1266"/>
      <c r="NUL29" s="1266"/>
      <c r="NUM29" s="1266"/>
      <c r="NUN29" s="1266"/>
      <c r="NUO29" s="1266"/>
      <c r="NUP29" s="1266"/>
      <c r="NUQ29" s="1266"/>
      <c r="NUR29" s="1266"/>
      <c r="NUS29" s="1266"/>
      <c r="NUT29" s="1266"/>
      <c r="NUU29" s="1266"/>
      <c r="NUV29" s="1266"/>
      <c r="NUW29" s="1266"/>
      <c r="NUX29" s="1266"/>
      <c r="NUY29" s="1266"/>
      <c r="NUZ29" s="1266"/>
      <c r="NVA29" s="1266"/>
      <c r="NVB29" s="1266"/>
      <c r="NVC29" s="1266"/>
      <c r="NVD29" s="1266"/>
      <c r="NVE29" s="1266"/>
      <c r="NVF29" s="1266"/>
      <c r="NVG29" s="1266"/>
      <c r="NVH29" s="1266"/>
      <c r="NVI29" s="1266"/>
      <c r="NVJ29" s="1266"/>
      <c r="NVK29" s="1266"/>
      <c r="NVL29" s="1266"/>
      <c r="NVM29" s="1266"/>
      <c r="NVN29" s="1266"/>
      <c r="NVO29" s="1266"/>
      <c r="NVP29" s="1266"/>
      <c r="NVQ29" s="1266"/>
      <c r="NVR29" s="1266"/>
      <c r="NVS29" s="1266"/>
      <c r="NVT29" s="1266"/>
      <c r="NVU29" s="1266"/>
      <c r="NVV29" s="1266"/>
      <c r="NVW29" s="1266"/>
      <c r="NVX29" s="1266"/>
      <c r="NVY29" s="1266"/>
      <c r="NVZ29" s="1266"/>
      <c r="NWA29" s="1266"/>
      <c r="NWB29" s="1266"/>
      <c r="NWC29" s="1266"/>
      <c r="NWD29" s="1266"/>
      <c r="NWE29" s="1266"/>
      <c r="NWF29" s="1266"/>
      <c r="NWG29" s="1266"/>
      <c r="NWH29" s="1266"/>
      <c r="NWI29" s="1266"/>
      <c r="NWJ29" s="1266"/>
      <c r="NWK29" s="1266"/>
      <c r="NWL29" s="1266"/>
      <c r="NWM29" s="1266"/>
      <c r="NWN29" s="1266"/>
      <c r="NWO29" s="1266"/>
      <c r="NWP29" s="1266"/>
      <c r="NWQ29" s="1266"/>
      <c r="NWR29" s="1266"/>
      <c r="NWS29" s="1266"/>
      <c r="NWT29" s="1266"/>
      <c r="NWU29" s="1266"/>
      <c r="NWV29" s="1266"/>
      <c r="NWW29" s="1266"/>
      <c r="NWX29" s="1266"/>
      <c r="NWY29" s="1266"/>
      <c r="NWZ29" s="1266"/>
      <c r="NXA29" s="1266"/>
      <c r="NXB29" s="1266"/>
      <c r="NXC29" s="1266"/>
      <c r="NXD29" s="1266"/>
      <c r="NXE29" s="1266"/>
      <c r="NXF29" s="1266"/>
      <c r="NXG29" s="1266"/>
      <c r="NXH29" s="1266"/>
      <c r="NXI29" s="1266"/>
      <c r="NXJ29" s="1266"/>
      <c r="NXK29" s="1266"/>
      <c r="NXL29" s="1266"/>
      <c r="NXM29" s="1266"/>
      <c r="NXN29" s="1266"/>
      <c r="NXO29" s="1266"/>
      <c r="NXP29" s="1266"/>
      <c r="NXQ29" s="1266"/>
      <c r="NXR29" s="1266"/>
      <c r="NXS29" s="1266"/>
      <c r="NXT29" s="1266"/>
      <c r="NXU29" s="1266"/>
      <c r="NXV29" s="1266"/>
      <c r="NXW29" s="1266"/>
      <c r="NXX29" s="1266"/>
      <c r="NXY29" s="1266"/>
      <c r="NXZ29" s="1266"/>
      <c r="NYA29" s="1266"/>
      <c r="NYB29" s="1266"/>
      <c r="NYC29" s="1266"/>
      <c r="NYD29" s="1266"/>
      <c r="NYE29" s="1266"/>
      <c r="NYF29" s="1266"/>
      <c r="NYG29" s="1266"/>
      <c r="NYH29" s="1266"/>
      <c r="NYI29" s="1266"/>
      <c r="NYJ29" s="1266"/>
      <c r="NYK29" s="1266"/>
      <c r="NYL29" s="1266"/>
      <c r="NYM29" s="1266"/>
      <c r="NYN29" s="1266"/>
      <c r="NYO29" s="1266"/>
      <c r="NYP29" s="1266"/>
      <c r="NYQ29" s="1266"/>
      <c r="NYR29" s="1266"/>
      <c r="NYS29" s="1266"/>
      <c r="NYT29" s="1266"/>
      <c r="NYU29" s="1266"/>
      <c r="NYV29" s="1266"/>
      <c r="NYW29" s="1266"/>
      <c r="NYX29" s="1266"/>
      <c r="NYY29" s="1266"/>
      <c r="NYZ29" s="1266"/>
      <c r="NZA29" s="1266"/>
      <c r="NZB29" s="1266"/>
      <c r="NZC29" s="1266"/>
      <c r="NZD29" s="1266"/>
      <c r="NZE29" s="1266"/>
      <c r="NZF29" s="1266"/>
      <c r="NZG29" s="1266"/>
      <c r="NZH29" s="1266"/>
      <c r="NZI29" s="1266"/>
      <c r="NZJ29" s="1266"/>
      <c r="NZK29" s="1266"/>
      <c r="NZL29" s="1266"/>
      <c r="NZM29" s="1266"/>
      <c r="NZN29" s="1266"/>
      <c r="NZO29" s="1266"/>
      <c r="NZP29" s="1266"/>
      <c r="NZQ29" s="1266"/>
      <c r="NZR29" s="1266"/>
      <c r="NZS29" s="1266"/>
      <c r="NZT29" s="1266"/>
      <c r="NZU29" s="1266"/>
      <c r="NZV29" s="1266"/>
      <c r="NZW29" s="1266"/>
      <c r="NZX29" s="1266"/>
      <c r="NZY29" s="1266"/>
      <c r="NZZ29" s="1266"/>
      <c r="OAA29" s="1266"/>
      <c r="OAB29" s="1266"/>
      <c r="OAC29" s="1266"/>
      <c r="OAD29" s="1266"/>
      <c r="OAE29" s="1266"/>
      <c r="OAF29" s="1266"/>
      <c r="OAG29" s="1266"/>
      <c r="OAH29" s="1266"/>
      <c r="OAI29" s="1266"/>
      <c r="OAJ29" s="1266"/>
      <c r="OAK29" s="1266"/>
      <c r="OAL29" s="1266"/>
      <c r="OAM29" s="1266"/>
      <c r="OAN29" s="1266"/>
      <c r="OAO29" s="1266"/>
      <c r="OAP29" s="1266"/>
      <c r="OAQ29" s="1266"/>
      <c r="OAR29" s="1266"/>
      <c r="OAS29" s="1266"/>
      <c r="OAT29" s="1266"/>
      <c r="OAU29" s="1266"/>
      <c r="OAV29" s="1266"/>
      <c r="OAW29" s="1266"/>
      <c r="OAX29" s="1266"/>
      <c r="OAY29" s="1266"/>
      <c r="OAZ29" s="1266"/>
      <c r="OBA29" s="1266"/>
      <c r="OBB29" s="1266"/>
      <c r="OBC29" s="1266"/>
      <c r="OBD29" s="1266"/>
      <c r="OBE29" s="1266"/>
      <c r="OBF29" s="1266"/>
      <c r="OBG29" s="1266"/>
      <c r="OBH29" s="1266"/>
      <c r="OBI29" s="1266"/>
      <c r="OBJ29" s="1266"/>
      <c r="OBK29" s="1266"/>
      <c r="OBL29" s="1266"/>
      <c r="OBM29" s="1266"/>
      <c r="OBN29" s="1266"/>
      <c r="OBO29" s="1266"/>
      <c r="OBP29" s="1266"/>
      <c r="OBQ29" s="1266"/>
      <c r="OBR29" s="1266"/>
      <c r="OBS29" s="1266"/>
      <c r="OBT29" s="1266"/>
      <c r="OBU29" s="1266"/>
      <c r="OBV29" s="1266"/>
      <c r="OBW29" s="1266"/>
      <c r="OBX29" s="1266"/>
      <c r="OBY29" s="1266"/>
      <c r="OBZ29" s="1266"/>
      <c r="OCA29" s="1266"/>
      <c r="OCB29" s="1266"/>
      <c r="OCC29" s="1266"/>
      <c r="OCD29" s="1266"/>
      <c r="OCE29" s="1266"/>
      <c r="OCF29" s="1266"/>
      <c r="OCG29" s="1266"/>
      <c r="OCH29" s="1266"/>
      <c r="OCI29" s="1266"/>
      <c r="OCJ29" s="1266"/>
      <c r="OCK29" s="1266"/>
      <c r="OCL29" s="1266"/>
      <c r="OCM29" s="1266"/>
      <c r="OCN29" s="1266"/>
      <c r="OCO29" s="1266"/>
      <c r="OCP29" s="1266"/>
      <c r="OCQ29" s="1266"/>
      <c r="OCR29" s="1266"/>
      <c r="OCS29" s="1266"/>
      <c r="OCT29" s="1266"/>
      <c r="OCU29" s="1266"/>
      <c r="OCV29" s="1266"/>
      <c r="OCW29" s="1266"/>
      <c r="OCX29" s="1266"/>
      <c r="OCY29" s="1266"/>
      <c r="OCZ29" s="1266"/>
      <c r="ODA29" s="1266"/>
      <c r="ODB29" s="1266"/>
      <c r="ODC29" s="1266"/>
      <c r="ODD29" s="1266"/>
      <c r="ODE29" s="1266"/>
      <c r="ODF29" s="1266"/>
      <c r="ODG29" s="1266"/>
      <c r="ODH29" s="1266"/>
      <c r="ODI29" s="1266"/>
      <c r="ODJ29" s="1266"/>
      <c r="ODK29" s="1266"/>
      <c r="ODL29" s="1266"/>
      <c r="ODM29" s="1266"/>
      <c r="ODN29" s="1266"/>
      <c r="ODO29" s="1266"/>
      <c r="ODP29" s="1266"/>
      <c r="ODQ29" s="1266"/>
      <c r="ODR29" s="1266"/>
      <c r="ODS29" s="1266"/>
      <c r="ODT29" s="1266"/>
      <c r="ODU29" s="1266"/>
      <c r="ODV29" s="1266"/>
      <c r="ODW29" s="1266"/>
      <c r="ODX29" s="1266"/>
      <c r="ODY29" s="1266"/>
      <c r="ODZ29" s="1266"/>
      <c r="OEA29" s="1266"/>
      <c r="OEB29" s="1266"/>
      <c r="OEC29" s="1266"/>
      <c r="OED29" s="1266"/>
      <c r="OEE29" s="1266"/>
      <c r="OEF29" s="1266"/>
      <c r="OEG29" s="1266"/>
      <c r="OEH29" s="1266"/>
      <c r="OEI29" s="1266"/>
      <c r="OEJ29" s="1266"/>
      <c r="OEK29" s="1266"/>
      <c r="OEL29" s="1266"/>
      <c r="OEM29" s="1266"/>
      <c r="OEN29" s="1266"/>
      <c r="OEO29" s="1266"/>
      <c r="OEP29" s="1266"/>
      <c r="OEQ29" s="1266"/>
      <c r="OER29" s="1266"/>
      <c r="OES29" s="1266"/>
      <c r="OET29" s="1266"/>
      <c r="OEU29" s="1266"/>
      <c r="OEV29" s="1266"/>
      <c r="OEW29" s="1266"/>
      <c r="OEX29" s="1266"/>
      <c r="OEY29" s="1266"/>
      <c r="OEZ29" s="1266"/>
      <c r="OFA29" s="1266"/>
      <c r="OFB29" s="1266"/>
      <c r="OFC29" s="1266"/>
      <c r="OFD29" s="1266"/>
      <c r="OFE29" s="1266"/>
      <c r="OFF29" s="1266"/>
      <c r="OFG29" s="1266"/>
      <c r="OFH29" s="1266"/>
      <c r="OFI29" s="1266"/>
      <c r="OFJ29" s="1266"/>
      <c r="OFK29" s="1266"/>
      <c r="OFL29" s="1266"/>
      <c r="OFM29" s="1266"/>
      <c r="OFN29" s="1266"/>
      <c r="OFO29" s="1266"/>
      <c r="OFP29" s="1266"/>
      <c r="OFQ29" s="1266"/>
      <c r="OFR29" s="1266"/>
      <c r="OFS29" s="1266"/>
      <c r="OFT29" s="1266"/>
      <c r="OFU29" s="1266"/>
      <c r="OFV29" s="1266"/>
      <c r="OFW29" s="1266"/>
      <c r="OFX29" s="1266"/>
      <c r="OFY29" s="1266"/>
      <c r="OFZ29" s="1266"/>
      <c r="OGA29" s="1266"/>
      <c r="OGB29" s="1266"/>
      <c r="OGC29" s="1266"/>
      <c r="OGD29" s="1266"/>
      <c r="OGE29" s="1266"/>
      <c r="OGF29" s="1266"/>
      <c r="OGG29" s="1266"/>
      <c r="OGH29" s="1266"/>
      <c r="OGI29" s="1266"/>
      <c r="OGJ29" s="1266"/>
      <c r="OGK29" s="1266"/>
      <c r="OGL29" s="1266"/>
      <c r="OGM29" s="1266"/>
      <c r="OGN29" s="1266"/>
      <c r="OGO29" s="1266"/>
      <c r="OGP29" s="1266"/>
      <c r="OGQ29" s="1266"/>
      <c r="OGR29" s="1266"/>
      <c r="OGS29" s="1266"/>
      <c r="OGT29" s="1266"/>
      <c r="OGU29" s="1266"/>
      <c r="OGV29" s="1266"/>
      <c r="OGW29" s="1266"/>
      <c r="OGX29" s="1266"/>
      <c r="OGY29" s="1266"/>
      <c r="OGZ29" s="1266"/>
      <c r="OHA29" s="1266"/>
      <c r="OHB29" s="1266"/>
      <c r="OHC29" s="1266"/>
      <c r="OHD29" s="1266"/>
      <c r="OHE29" s="1266"/>
      <c r="OHF29" s="1266"/>
      <c r="OHG29" s="1266"/>
      <c r="OHH29" s="1266"/>
      <c r="OHI29" s="1266"/>
      <c r="OHJ29" s="1266"/>
      <c r="OHK29" s="1266"/>
      <c r="OHL29" s="1266"/>
      <c r="OHM29" s="1266"/>
      <c r="OHN29" s="1266"/>
      <c r="OHO29" s="1266"/>
      <c r="OHP29" s="1266"/>
      <c r="OHQ29" s="1266"/>
      <c r="OHR29" s="1266"/>
      <c r="OHS29" s="1266"/>
      <c r="OHT29" s="1266"/>
      <c r="OHU29" s="1266"/>
      <c r="OHV29" s="1266"/>
      <c r="OHW29" s="1266"/>
      <c r="OHX29" s="1266"/>
      <c r="OHY29" s="1266"/>
      <c r="OHZ29" s="1266"/>
      <c r="OIA29" s="1266"/>
      <c r="OIB29" s="1266"/>
      <c r="OIC29" s="1266"/>
      <c r="OID29" s="1266"/>
      <c r="OIE29" s="1266"/>
      <c r="OIF29" s="1266"/>
      <c r="OIG29" s="1266"/>
      <c r="OIH29" s="1266"/>
      <c r="OII29" s="1266"/>
      <c r="OIJ29" s="1266"/>
      <c r="OIK29" s="1266"/>
      <c r="OIL29" s="1266"/>
      <c r="OIM29" s="1266"/>
      <c r="OIN29" s="1266"/>
      <c r="OIO29" s="1266"/>
      <c r="OIP29" s="1266"/>
      <c r="OIQ29" s="1266"/>
      <c r="OIR29" s="1266"/>
      <c r="OIS29" s="1266"/>
      <c r="OIT29" s="1266"/>
      <c r="OIU29" s="1266"/>
      <c r="OIV29" s="1266"/>
      <c r="OIW29" s="1266"/>
      <c r="OIX29" s="1266"/>
      <c r="OIY29" s="1266"/>
      <c r="OIZ29" s="1266"/>
      <c r="OJA29" s="1266"/>
      <c r="OJB29" s="1266"/>
      <c r="OJC29" s="1266"/>
      <c r="OJD29" s="1266"/>
      <c r="OJE29" s="1266"/>
      <c r="OJF29" s="1266"/>
      <c r="OJG29" s="1266"/>
      <c r="OJH29" s="1266"/>
      <c r="OJI29" s="1266"/>
      <c r="OJJ29" s="1266"/>
      <c r="OJK29" s="1266"/>
      <c r="OJL29" s="1266"/>
      <c r="OJM29" s="1266"/>
      <c r="OJN29" s="1266"/>
      <c r="OJO29" s="1266"/>
      <c r="OJP29" s="1266"/>
      <c r="OJQ29" s="1266"/>
      <c r="OJR29" s="1266"/>
      <c r="OJS29" s="1266"/>
      <c r="OJT29" s="1266"/>
      <c r="OJU29" s="1266"/>
      <c r="OJV29" s="1266"/>
      <c r="OJW29" s="1266"/>
      <c r="OJX29" s="1266"/>
      <c r="OJY29" s="1266"/>
      <c r="OJZ29" s="1266"/>
      <c r="OKA29" s="1266"/>
      <c r="OKB29" s="1266"/>
      <c r="OKC29" s="1266"/>
      <c r="OKD29" s="1266"/>
      <c r="OKE29" s="1266"/>
      <c r="OKF29" s="1266"/>
      <c r="OKG29" s="1266"/>
      <c r="OKH29" s="1266"/>
      <c r="OKI29" s="1266"/>
      <c r="OKJ29" s="1266"/>
      <c r="OKK29" s="1266"/>
      <c r="OKL29" s="1266"/>
      <c r="OKM29" s="1266"/>
      <c r="OKN29" s="1266"/>
      <c r="OKO29" s="1266"/>
      <c r="OKP29" s="1266"/>
      <c r="OKQ29" s="1266"/>
      <c r="OKR29" s="1266"/>
      <c r="OKS29" s="1266"/>
      <c r="OKT29" s="1266"/>
      <c r="OKU29" s="1266"/>
      <c r="OKV29" s="1266"/>
      <c r="OKW29" s="1266"/>
      <c r="OKX29" s="1266"/>
      <c r="OKY29" s="1266"/>
      <c r="OKZ29" s="1266"/>
      <c r="OLA29" s="1266"/>
      <c r="OLB29" s="1266"/>
      <c r="OLC29" s="1266"/>
      <c r="OLD29" s="1266"/>
      <c r="OLE29" s="1266"/>
      <c r="OLF29" s="1266"/>
      <c r="OLG29" s="1266"/>
      <c r="OLH29" s="1266"/>
      <c r="OLI29" s="1266"/>
      <c r="OLJ29" s="1266"/>
      <c r="OLK29" s="1266"/>
      <c r="OLL29" s="1266"/>
      <c r="OLM29" s="1266"/>
      <c r="OLN29" s="1266"/>
      <c r="OLO29" s="1266"/>
      <c r="OLP29" s="1266"/>
      <c r="OLQ29" s="1266"/>
      <c r="OLR29" s="1266"/>
      <c r="OLS29" s="1266"/>
      <c r="OLT29" s="1266"/>
      <c r="OLU29" s="1266"/>
      <c r="OLV29" s="1266"/>
      <c r="OLW29" s="1266"/>
      <c r="OLX29" s="1266"/>
      <c r="OLY29" s="1266"/>
      <c r="OLZ29" s="1266"/>
      <c r="OMA29" s="1266"/>
      <c r="OMB29" s="1266"/>
      <c r="OMC29" s="1266"/>
      <c r="OMD29" s="1266"/>
      <c r="OME29" s="1266"/>
      <c r="OMF29" s="1266"/>
      <c r="OMG29" s="1266"/>
      <c r="OMH29" s="1266"/>
      <c r="OMI29" s="1266"/>
      <c r="OMJ29" s="1266"/>
      <c r="OMK29" s="1266"/>
      <c r="OML29" s="1266"/>
      <c r="OMM29" s="1266"/>
      <c r="OMN29" s="1266"/>
      <c r="OMO29" s="1266"/>
      <c r="OMP29" s="1266"/>
      <c r="OMQ29" s="1266"/>
      <c r="OMR29" s="1266"/>
      <c r="OMS29" s="1266"/>
      <c r="OMT29" s="1266"/>
      <c r="OMU29" s="1266"/>
      <c r="OMV29" s="1266"/>
      <c r="OMW29" s="1266"/>
      <c r="OMX29" s="1266"/>
      <c r="OMY29" s="1266"/>
      <c r="OMZ29" s="1266"/>
      <c r="ONA29" s="1266"/>
      <c r="ONB29" s="1266"/>
      <c r="ONC29" s="1266"/>
      <c r="OND29" s="1266"/>
      <c r="ONE29" s="1266"/>
      <c r="ONF29" s="1266"/>
      <c r="ONG29" s="1266"/>
      <c r="ONH29" s="1266"/>
      <c r="ONI29" s="1266"/>
      <c r="ONJ29" s="1266"/>
      <c r="ONK29" s="1266"/>
      <c r="ONL29" s="1266"/>
      <c r="ONM29" s="1266"/>
      <c r="ONN29" s="1266"/>
      <c r="ONO29" s="1266"/>
      <c r="ONP29" s="1266"/>
      <c r="ONQ29" s="1266"/>
      <c r="ONR29" s="1266"/>
      <c r="ONS29" s="1266"/>
      <c r="ONT29" s="1266"/>
      <c r="ONU29" s="1266"/>
      <c r="ONV29" s="1266"/>
      <c r="ONW29" s="1266"/>
      <c r="ONX29" s="1266"/>
      <c r="ONY29" s="1266"/>
      <c r="ONZ29" s="1266"/>
      <c r="OOA29" s="1266"/>
      <c r="OOB29" s="1266"/>
      <c r="OOC29" s="1266"/>
      <c r="OOD29" s="1266"/>
      <c r="OOE29" s="1266"/>
      <c r="OOF29" s="1266"/>
      <c r="OOG29" s="1266"/>
      <c r="OOH29" s="1266"/>
      <c r="OOI29" s="1266"/>
      <c r="OOJ29" s="1266"/>
      <c r="OOK29" s="1266"/>
      <c r="OOL29" s="1266"/>
      <c r="OOM29" s="1266"/>
      <c r="OON29" s="1266"/>
      <c r="OOO29" s="1266"/>
      <c r="OOP29" s="1266"/>
      <c r="OOQ29" s="1266"/>
      <c r="OOR29" s="1266"/>
      <c r="OOS29" s="1266"/>
      <c r="OOT29" s="1266"/>
      <c r="OOU29" s="1266"/>
      <c r="OOV29" s="1266"/>
      <c r="OOW29" s="1266"/>
      <c r="OOX29" s="1266"/>
      <c r="OOY29" s="1266"/>
      <c r="OOZ29" s="1266"/>
      <c r="OPA29" s="1266"/>
      <c r="OPB29" s="1266"/>
      <c r="OPC29" s="1266"/>
      <c r="OPD29" s="1266"/>
      <c r="OPE29" s="1266"/>
      <c r="OPF29" s="1266"/>
      <c r="OPG29" s="1266"/>
      <c r="OPH29" s="1266"/>
      <c r="OPI29" s="1266"/>
      <c r="OPJ29" s="1266"/>
      <c r="OPK29" s="1266"/>
      <c r="OPL29" s="1266"/>
      <c r="OPM29" s="1266"/>
      <c r="OPN29" s="1266"/>
      <c r="OPO29" s="1266"/>
      <c r="OPP29" s="1266"/>
      <c r="OPQ29" s="1266"/>
      <c r="OPR29" s="1266"/>
      <c r="OPS29" s="1266"/>
      <c r="OPT29" s="1266"/>
      <c r="OPU29" s="1266"/>
      <c r="OPV29" s="1266"/>
      <c r="OPW29" s="1266"/>
      <c r="OPX29" s="1266"/>
      <c r="OPY29" s="1266"/>
      <c r="OPZ29" s="1266"/>
      <c r="OQA29" s="1266"/>
      <c r="OQB29" s="1266"/>
      <c r="OQC29" s="1266"/>
      <c r="OQD29" s="1266"/>
      <c r="OQE29" s="1266"/>
      <c r="OQF29" s="1266"/>
      <c r="OQG29" s="1266"/>
      <c r="OQH29" s="1266"/>
      <c r="OQI29" s="1266"/>
      <c r="OQJ29" s="1266"/>
      <c r="OQK29" s="1266"/>
      <c r="OQL29" s="1266"/>
      <c r="OQM29" s="1266"/>
      <c r="OQN29" s="1266"/>
      <c r="OQO29" s="1266"/>
      <c r="OQP29" s="1266"/>
      <c r="OQQ29" s="1266"/>
      <c r="OQR29" s="1266"/>
      <c r="OQS29" s="1266"/>
      <c r="OQT29" s="1266"/>
      <c r="OQU29" s="1266"/>
      <c r="OQV29" s="1266"/>
      <c r="OQW29" s="1266"/>
      <c r="OQX29" s="1266"/>
      <c r="OQY29" s="1266"/>
      <c r="OQZ29" s="1266"/>
      <c r="ORA29" s="1266"/>
      <c r="ORB29" s="1266"/>
      <c r="ORC29" s="1266"/>
      <c r="ORD29" s="1266"/>
      <c r="ORE29" s="1266"/>
      <c r="ORF29" s="1266"/>
      <c r="ORG29" s="1266"/>
      <c r="ORH29" s="1266"/>
      <c r="ORI29" s="1266"/>
      <c r="ORJ29" s="1266"/>
      <c r="ORK29" s="1266"/>
      <c r="ORL29" s="1266"/>
      <c r="ORM29" s="1266"/>
      <c r="ORN29" s="1266"/>
      <c r="ORO29" s="1266"/>
      <c r="ORP29" s="1266"/>
      <c r="ORQ29" s="1266"/>
      <c r="ORR29" s="1266"/>
      <c r="ORS29" s="1266"/>
      <c r="ORT29" s="1266"/>
      <c r="ORU29" s="1266"/>
      <c r="ORV29" s="1266"/>
      <c r="ORW29" s="1266"/>
      <c r="ORX29" s="1266"/>
      <c r="ORY29" s="1266"/>
      <c r="ORZ29" s="1266"/>
      <c r="OSA29" s="1266"/>
      <c r="OSB29" s="1266"/>
      <c r="OSC29" s="1266"/>
      <c r="OSD29" s="1266"/>
      <c r="OSE29" s="1266"/>
      <c r="OSF29" s="1266"/>
      <c r="OSG29" s="1266"/>
      <c r="OSH29" s="1266"/>
      <c r="OSI29" s="1266"/>
      <c r="OSJ29" s="1266"/>
      <c r="OSK29" s="1266"/>
      <c r="OSL29" s="1266"/>
      <c r="OSM29" s="1266"/>
      <c r="OSN29" s="1266"/>
      <c r="OSO29" s="1266"/>
      <c r="OSP29" s="1266"/>
      <c r="OSQ29" s="1266"/>
      <c r="OSR29" s="1266"/>
      <c r="OSS29" s="1266"/>
      <c r="OST29" s="1266"/>
      <c r="OSU29" s="1266"/>
      <c r="OSV29" s="1266"/>
      <c r="OSW29" s="1266"/>
      <c r="OSX29" s="1266"/>
      <c r="OSY29" s="1266"/>
      <c r="OSZ29" s="1266"/>
      <c r="OTA29" s="1266"/>
      <c r="OTB29" s="1266"/>
      <c r="OTC29" s="1266"/>
      <c r="OTD29" s="1266"/>
      <c r="OTE29" s="1266"/>
      <c r="OTF29" s="1266"/>
      <c r="OTG29" s="1266"/>
      <c r="OTH29" s="1266"/>
      <c r="OTI29" s="1266"/>
      <c r="OTJ29" s="1266"/>
      <c r="OTK29" s="1266"/>
      <c r="OTL29" s="1266"/>
      <c r="OTM29" s="1266"/>
      <c r="OTN29" s="1266"/>
      <c r="OTO29" s="1266"/>
      <c r="OTP29" s="1266"/>
      <c r="OTQ29" s="1266"/>
      <c r="OTR29" s="1266"/>
      <c r="OTS29" s="1266"/>
      <c r="OTT29" s="1266"/>
      <c r="OTU29" s="1266"/>
      <c r="OTV29" s="1266"/>
      <c r="OTW29" s="1266"/>
      <c r="OTX29" s="1266"/>
      <c r="OTY29" s="1266"/>
      <c r="OTZ29" s="1266"/>
      <c r="OUA29" s="1266"/>
      <c r="OUB29" s="1266"/>
      <c r="OUC29" s="1266"/>
      <c r="OUD29" s="1266"/>
      <c r="OUE29" s="1266"/>
      <c r="OUF29" s="1266"/>
      <c r="OUG29" s="1266"/>
      <c r="OUH29" s="1266"/>
      <c r="OUI29" s="1266"/>
      <c r="OUJ29" s="1266"/>
      <c r="OUK29" s="1266"/>
      <c r="OUL29" s="1266"/>
      <c r="OUM29" s="1266"/>
      <c r="OUN29" s="1266"/>
      <c r="OUO29" s="1266"/>
      <c r="OUP29" s="1266"/>
      <c r="OUQ29" s="1266"/>
      <c r="OUR29" s="1266"/>
      <c r="OUS29" s="1266"/>
      <c r="OUT29" s="1266"/>
      <c r="OUU29" s="1266"/>
      <c r="OUV29" s="1266"/>
      <c r="OUW29" s="1266"/>
      <c r="OUX29" s="1266"/>
      <c r="OUY29" s="1266"/>
      <c r="OUZ29" s="1266"/>
      <c r="OVA29" s="1266"/>
      <c r="OVB29" s="1266"/>
      <c r="OVC29" s="1266"/>
      <c r="OVD29" s="1266"/>
      <c r="OVE29" s="1266"/>
      <c r="OVF29" s="1266"/>
      <c r="OVG29" s="1266"/>
      <c r="OVH29" s="1266"/>
      <c r="OVI29" s="1266"/>
      <c r="OVJ29" s="1266"/>
      <c r="OVK29" s="1266"/>
      <c r="OVL29" s="1266"/>
      <c r="OVM29" s="1266"/>
      <c r="OVN29" s="1266"/>
      <c r="OVO29" s="1266"/>
      <c r="OVP29" s="1266"/>
      <c r="OVQ29" s="1266"/>
      <c r="OVR29" s="1266"/>
      <c r="OVS29" s="1266"/>
      <c r="OVT29" s="1266"/>
      <c r="OVU29" s="1266"/>
      <c r="OVV29" s="1266"/>
      <c r="OVW29" s="1266"/>
      <c r="OVX29" s="1266"/>
      <c r="OVY29" s="1266"/>
      <c r="OVZ29" s="1266"/>
      <c r="OWA29" s="1266"/>
      <c r="OWB29" s="1266"/>
      <c r="OWC29" s="1266"/>
      <c r="OWD29" s="1266"/>
      <c r="OWE29" s="1266"/>
      <c r="OWF29" s="1266"/>
      <c r="OWG29" s="1266"/>
      <c r="OWH29" s="1266"/>
      <c r="OWI29" s="1266"/>
      <c r="OWJ29" s="1266"/>
      <c r="OWK29" s="1266"/>
      <c r="OWL29" s="1266"/>
      <c r="OWM29" s="1266"/>
      <c r="OWN29" s="1266"/>
      <c r="OWO29" s="1266"/>
      <c r="OWP29" s="1266"/>
      <c r="OWQ29" s="1266"/>
      <c r="OWR29" s="1266"/>
      <c r="OWS29" s="1266"/>
      <c r="OWT29" s="1266"/>
      <c r="OWU29" s="1266"/>
      <c r="OWV29" s="1266"/>
      <c r="OWW29" s="1266"/>
      <c r="OWX29" s="1266"/>
      <c r="OWY29" s="1266"/>
      <c r="OWZ29" s="1266"/>
      <c r="OXA29" s="1266"/>
      <c r="OXB29" s="1266"/>
      <c r="OXC29" s="1266"/>
      <c r="OXD29" s="1266"/>
      <c r="OXE29" s="1266"/>
      <c r="OXF29" s="1266"/>
      <c r="OXG29" s="1266"/>
      <c r="OXH29" s="1266"/>
      <c r="OXI29" s="1266"/>
      <c r="OXJ29" s="1266"/>
      <c r="OXK29" s="1266"/>
      <c r="OXL29" s="1266"/>
      <c r="OXM29" s="1266"/>
      <c r="OXN29" s="1266"/>
      <c r="OXO29" s="1266"/>
      <c r="OXP29" s="1266"/>
      <c r="OXQ29" s="1266"/>
      <c r="OXR29" s="1266"/>
      <c r="OXS29" s="1266"/>
      <c r="OXT29" s="1266"/>
      <c r="OXU29" s="1266"/>
      <c r="OXV29" s="1266"/>
      <c r="OXW29" s="1266"/>
      <c r="OXX29" s="1266"/>
      <c r="OXY29" s="1266"/>
      <c r="OXZ29" s="1266"/>
      <c r="OYA29" s="1266"/>
      <c r="OYB29" s="1266"/>
      <c r="OYC29" s="1266"/>
      <c r="OYD29" s="1266"/>
      <c r="OYE29" s="1266"/>
      <c r="OYF29" s="1266"/>
      <c r="OYG29" s="1266"/>
      <c r="OYH29" s="1266"/>
      <c r="OYI29" s="1266"/>
      <c r="OYJ29" s="1266"/>
      <c r="OYK29" s="1266"/>
      <c r="OYL29" s="1266"/>
      <c r="OYM29" s="1266"/>
      <c r="OYN29" s="1266"/>
      <c r="OYO29" s="1266"/>
      <c r="OYP29" s="1266"/>
      <c r="OYQ29" s="1266"/>
      <c r="OYR29" s="1266"/>
      <c r="OYS29" s="1266"/>
      <c r="OYT29" s="1266"/>
      <c r="OYU29" s="1266"/>
      <c r="OYV29" s="1266"/>
      <c r="OYW29" s="1266"/>
      <c r="OYX29" s="1266"/>
      <c r="OYY29" s="1266"/>
      <c r="OYZ29" s="1266"/>
      <c r="OZA29" s="1266"/>
      <c r="OZB29" s="1266"/>
      <c r="OZC29" s="1266"/>
      <c r="OZD29" s="1266"/>
      <c r="OZE29" s="1266"/>
      <c r="OZF29" s="1266"/>
      <c r="OZG29" s="1266"/>
      <c r="OZH29" s="1266"/>
      <c r="OZI29" s="1266"/>
      <c r="OZJ29" s="1266"/>
      <c r="OZK29" s="1266"/>
      <c r="OZL29" s="1266"/>
      <c r="OZM29" s="1266"/>
      <c r="OZN29" s="1266"/>
      <c r="OZO29" s="1266"/>
      <c r="OZP29" s="1266"/>
      <c r="OZQ29" s="1266"/>
      <c r="OZR29" s="1266"/>
      <c r="OZS29" s="1266"/>
      <c r="OZT29" s="1266"/>
      <c r="OZU29" s="1266"/>
      <c r="OZV29" s="1266"/>
      <c r="OZW29" s="1266"/>
      <c r="OZX29" s="1266"/>
      <c r="OZY29" s="1266"/>
      <c r="OZZ29" s="1266"/>
      <c r="PAA29" s="1266"/>
      <c r="PAB29" s="1266"/>
      <c r="PAC29" s="1266"/>
      <c r="PAD29" s="1266"/>
      <c r="PAE29" s="1266"/>
      <c r="PAF29" s="1266"/>
      <c r="PAG29" s="1266"/>
      <c r="PAH29" s="1266"/>
      <c r="PAI29" s="1266"/>
      <c r="PAJ29" s="1266"/>
      <c r="PAK29" s="1266"/>
      <c r="PAL29" s="1266"/>
      <c r="PAM29" s="1266"/>
      <c r="PAN29" s="1266"/>
      <c r="PAO29" s="1266"/>
      <c r="PAP29" s="1266"/>
      <c r="PAQ29" s="1266"/>
      <c r="PAR29" s="1266"/>
      <c r="PAS29" s="1266"/>
      <c r="PAT29" s="1266"/>
      <c r="PAU29" s="1266"/>
      <c r="PAV29" s="1266"/>
      <c r="PAW29" s="1266"/>
      <c r="PAX29" s="1266"/>
      <c r="PAY29" s="1266"/>
      <c r="PAZ29" s="1266"/>
      <c r="PBA29" s="1266"/>
      <c r="PBB29" s="1266"/>
      <c r="PBC29" s="1266"/>
      <c r="PBD29" s="1266"/>
      <c r="PBE29" s="1266"/>
      <c r="PBF29" s="1266"/>
      <c r="PBG29" s="1266"/>
      <c r="PBH29" s="1266"/>
      <c r="PBI29" s="1266"/>
      <c r="PBJ29" s="1266"/>
      <c r="PBK29" s="1266"/>
      <c r="PBL29" s="1266"/>
      <c r="PBM29" s="1266"/>
      <c r="PBN29" s="1266"/>
      <c r="PBO29" s="1266"/>
      <c r="PBP29" s="1266"/>
      <c r="PBQ29" s="1266"/>
      <c r="PBR29" s="1266"/>
      <c r="PBS29" s="1266"/>
      <c r="PBT29" s="1266"/>
      <c r="PBU29" s="1266"/>
      <c r="PBV29" s="1266"/>
      <c r="PBW29" s="1266"/>
      <c r="PBX29" s="1266"/>
      <c r="PBY29" s="1266"/>
      <c r="PBZ29" s="1266"/>
      <c r="PCA29" s="1266"/>
      <c r="PCB29" s="1266"/>
      <c r="PCC29" s="1266"/>
      <c r="PCD29" s="1266"/>
      <c r="PCE29" s="1266"/>
      <c r="PCF29" s="1266"/>
      <c r="PCG29" s="1266"/>
      <c r="PCH29" s="1266"/>
      <c r="PCI29" s="1266"/>
      <c r="PCJ29" s="1266"/>
      <c r="PCK29" s="1266"/>
      <c r="PCL29" s="1266"/>
      <c r="PCM29" s="1266"/>
      <c r="PCN29" s="1266"/>
      <c r="PCO29" s="1266"/>
      <c r="PCP29" s="1266"/>
      <c r="PCQ29" s="1266"/>
      <c r="PCR29" s="1266"/>
      <c r="PCS29" s="1266"/>
      <c r="PCT29" s="1266"/>
      <c r="PCU29" s="1266"/>
      <c r="PCV29" s="1266"/>
      <c r="PCW29" s="1266"/>
      <c r="PCX29" s="1266"/>
      <c r="PCY29" s="1266"/>
      <c r="PCZ29" s="1266"/>
      <c r="PDA29" s="1266"/>
      <c r="PDB29" s="1266"/>
      <c r="PDC29" s="1266"/>
      <c r="PDD29" s="1266"/>
      <c r="PDE29" s="1266"/>
      <c r="PDF29" s="1266"/>
      <c r="PDG29" s="1266"/>
      <c r="PDH29" s="1266"/>
      <c r="PDI29" s="1266"/>
      <c r="PDJ29" s="1266"/>
      <c r="PDK29" s="1266"/>
      <c r="PDL29" s="1266"/>
      <c r="PDM29" s="1266"/>
      <c r="PDN29" s="1266"/>
      <c r="PDO29" s="1266"/>
      <c r="PDP29" s="1266"/>
      <c r="PDQ29" s="1266"/>
      <c r="PDR29" s="1266"/>
      <c r="PDS29" s="1266"/>
      <c r="PDT29" s="1266"/>
      <c r="PDU29" s="1266"/>
      <c r="PDV29" s="1266"/>
      <c r="PDW29" s="1266"/>
      <c r="PDX29" s="1266"/>
      <c r="PDY29" s="1266"/>
      <c r="PDZ29" s="1266"/>
      <c r="PEA29" s="1266"/>
      <c r="PEB29" s="1266"/>
      <c r="PEC29" s="1266"/>
      <c r="PED29" s="1266"/>
      <c r="PEE29" s="1266"/>
      <c r="PEF29" s="1266"/>
      <c r="PEG29" s="1266"/>
      <c r="PEH29" s="1266"/>
      <c r="PEI29" s="1266"/>
      <c r="PEJ29" s="1266"/>
      <c r="PEK29" s="1266"/>
      <c r="PEL29" s="1266"/>
      <c r="PEM29" s="1266"/>
      <c r="PEN29" s="1266"/>
      <c r="PEO29" s="1266"/>
      <c r="PEP29" s="1266"/>
      <c r="PEQ29" s="1266"/>
      <c r="PER29" s="1266"/>
      <c r="PES29" s="1266"/>
      <c r="PET29" s="1266"/>
      <c r="PEU29" s="1266"/>
      <c r="PEV29" s="1266"/>
      <c r="PEW29" s="1266"/>
      <c r="PEX29" s="1266"/>
      <c r="PEY29" s="1266"/>
      <c r="PEZ29" s="1266"/>
      <c r="PFA29" s="1266"/>
      <c r="PFB29" s="1266"/>
      <c r="PFC29" s="1266"/>
      <c r="PFD29" s="1266"/>
      <c r="PFE29" s="1266"/>
      <c r="PFF29" s="1266"/>
      <c r="PFG29" s="1266"/>
      <c r="PFH29" s="1266"/>
      <c r="PFI29" s="1266"/>
      <c r="PFJ29" s="1266"/>
      <c r="PFK29" s="1266"/>
      <c r="PFL29" s="1266"/>
      <c r="PFM29" s="1266"/>
      <c r="PFN29" s="1266"/>
      <c r="PFO29" s="1266"/>
      <c r="PFP29" s="1266"/>
      <c r="PFQ29" s="1266"/>
      <c r="PFR29" s="1266"/>
      <c r="PFS29" s="1266"/>
      <c r="PFT29" s="1266"/>
      <c r="PFU29" s="1266"/>
      <c r="PFV29" s="1266"/>
      <c r="PFW29" s="1266"/>
      <c r="PFX29" s="1266"/>
      <c r="PFY29" s="1266"/>
      <c r="PFZ29" s="1266"/>
      <c r="PGA29" s="1266"/>
      <c r="PGB29" s="1266"/>
      <c r="PGC29" s="1266"/>
      <c r="PGD29" s="1266"/>
      <c r="PGE29" s="1266"/>
      <c r="PGF29" s="1266"/>
      <c r="PGG29" s="1266"/>
      <c r="PGH29" s="1266"/>
      <c r="PGI29" s="1266"/>
      <c r="PGJ29" s="1266"/>
      <c r="PGK29" s="1266"/>
      <c r="PGL29" s="1266"/>
      <c r="PGM29" s="1266"/>
      <c r="PGN29" s="1266"/>
      <c r="PGO29" s="1266"/>
      <c r="PGP29" s="1266"/>
      <c r="PGQ29" s="1266"/>
      <c r="PGR29" s="1266"/>
      <c r="PGS29" s="1266"/>
      <c r="PGT29" s="1266"/>
      <c r="PGU29" s="1266"/>
      <c r="PGV29" s="1266"/>
      <c r="PGW29" s="1266"/>
      <c r="PGX29" s="1266"/>
      <c r="PGY29" s="1266"/>
      <c r="PGZ29" s="1266"/>
      <c r="PHA29" s="1266"/>
      <c r="PHB29" s="1266"/>
      <c r="PHC29" s="1266"/>
      <c r="PHD29" s="1266"/>
      <c r="PHE29" s="1266"/>
      <c r="PHF29" s="1266"/>
      <c r="PHG29" s="1266"/>
      <c r="PHH29" s="1266"/>
      <c r="PHI29" s="1266"/>
      <c r="PHJ29" s="1266"/>
      <c r="PHK29" s="1266"/>
      <c r="PHL29" s="1266"/>
      <c r="PHM29" s="1266"/>
      <c r="PHN29" s="1266"/>
      <c r="PHO29" s="1266"/>
      <c r="PHP29" s="1266"/>
      <c r="PHQ29" s="1266"/>
      <c r="PHR29" s="1266"/>
      <c r="PHS29" s="1266"/>
      <c r="PHT29" s="1266"/>
      <c r="PHU29" s="1266"/>
      <c r="PHV29" s="1266"/>
      <c r="PHW29" s="1266"/>
      <c r="PHX29" s="1266"/>
      <c r="PHY29" s="1266"/>
      <c r="PHZ29" s="1266"/>
      <c r="PIA29" s="1266"/>
      <c r="PIB29" s="1266"/>
      <c r="PIC29" s="1266"/>
      <c r="PID29" s="1266"/>
      <c r="PIE29" s="1266"/>
      <c r="PIF29" s="1266"/>
      <c r="PIG29" s="1266"/>
      <c r="PIH29" s="1266"/>
      <c r="PII29" s="1266"/>
      <c r="PIJ29" s="1266"/>
      <c r="PIK29" s="1266"/>
      <c r="PIL29" s="1266"/>
      <c r="PIM29" s="1266"/>
      <c r="PIN29" s="1266"/>
      <c r="PIO29" s="1266"/>
      <c r="PIP29" s="1266"/>
      <c r="PIQ29" s="1266"/>
      <c r="PIR29" s="1266"/>
      <c r="PIS29" s="1266"/>
      <c r="PIT29" s="1266"/>
      <c r="PIU29" s="1266"/>
      <c r="PIV29" s="1266"/>
      <c r="PIW29" s="1266"/>
      <c r="PIX29" s="1266"/>
      <c r="PIY29" s="1266"/>
      <c r="PIZ29" s="1266"/>
      <c r="PJA29" s="1266"/>
      <c r="PJB29" s="1266"/>
      <c r="PJC29" s="1266"/>
      <c r="PJD29" s="1266"/>
      <c r="PJE29" s="1266"/>
      <c r="PJF29" s="1266"/>
      <c r="PJG29" s="1266"/>
      <c r="PJH29" s="1266"/>
      <c r="PJI29" s="1266"/>
      <c r="PJJ29" s="1266"/>
      <c r="PJK29" s="1266"/>
      <c r="PJL29" s="1266"/>
      <c r="PJM29" s="1266"/>
      <c r="PJN29" s="1266"/>
      <c r="PJO29" s="1266"/>
      <c r="PJP29" s="1266"/>
      <c r="PJQ29" s="1266"/>
      <c r="PJR29" s="1266"/>
      <c r="PJS29" s="1266"/>
      <c r="PJT29" s="1266"/>
      <c r="PJU29" s="1266"/>
      <c r="PJV29" s="1266"/>
      <c r="PJW29" s="1266"/>
      <c r="PJX29" s="1266"/>
      <c r="PJY29" s="1266"/>
      <c r="PJZ29" s="1266"/>
      <c r="PKA29" s="1266"/>
      <c r="PKB29" s="1266"/>
      <c r="PKC29" s="1266"/>
      <c r="PKD29" s="1266"/>
      <c r="PKE29" s="1266"/>
      <c r="PKF29" s="1266"/>
      <c r="PKG29" s="1266"/>
      <c r="PKH29" s="1266"/>
      <c r="PKI29" s="1266"/>
      <c r="PKJ29" s="1266"/>
      <c r="PKK29" s="1266"/>
      <c r="PKL29" s="1266"/>
      <c r="PKM29" s="1266"/>
      <c r="PKN29" s="1266"/>
      <c r="PKO29" s="1266"/>
      <c r="PKP29" s="1266"/>
      <c r="PKQ29" s="1266"/>
      <c r="PKR29" s="1266"/>
      <c r="PKS29" s="1266"/>
      <c r="PKT29" s="1266"/>
      <c r="PKU29" s="1266"/>
      <c r="PKV29" s="1266"/>
      <c r="PKW29" s="1266"/>
      <c r="PKX29" s="1266"/>
      <c r="PKY29" s="1266"/>
      <c r="PKZ29" s="1266"/>
      <c r="PLA29" s="1266"/>
      <c r="PLB29" s="1266"/>
      <c r="PLC29" s="1266"/>
      <c r="PLD29" s="1266"/>
      <c r="PLE29" s="1266"/>
      <c r="PLF29" s="1266"/>
      <c r="PLG29" s="1266"/>
      <c r="PLH29" s="1266"/>
      <c r="PLI29" s="1266"/>
      <c r="PLJ29" s="1266"/>
      <c r="PLK29" s="1266"/>
      <c r="PLL29" s="1266"/>
      <c r="PLM29" s="1266"/>
      <c r="PLN29" s="1266"/>
      <c r="PLO29" s="1266"/>
      <c r="PLP29" s="1266"/>
      <c r="PLQ29" s="1266"/>
      <c r="PLR29" s="1266"/>
      <c r="PLS29" s="1266"/>
      <c r="PLT29" s="1266"/>
      <c r="PLU29" s="1266"/>
      <c r="PLV29" s="1266"/>
      <c r="PLW29" s="1266"/>
      <c r="PLX29" s="1266"/>
      <c r="PLY29" s="1266"/>
      <c r="PLZ29" s="1266"/>
      <c r="PMA29" s="1266"/>
      <c r="PMB29" s="1266"/>
      <c r="PMC29" s="1266"/>
      <c r="PMD29" s="1266"/>
      <c r="PME29" s="1266"/>
      <c r="PMF29" s="1266"/>
      <c r="PMG29" s="1266"/>
      <c r="PMH29" s="1266"/>
      <c r="PMI29" s="1266"/>
      <c r="PMJ29" s="1266"/>
      <c r="PMK29" s="1266"/>
      <c r="PML29" s="1266"/>
      <c r="PMM29" s="1266"/>
      <c r="PMN29" s="1266"/>
      <c r="PMO29" s="1266"/>
      <c r="PMP29" s="1266"/>
      <c r="PMQ29" s="1266"/>
      <c r="PMR29" s="1266"/>
      <c r="PMS29" s="1266"/>
      <c r="PMT29" s="1266"/>
      <c r="PMU29" s="1266"/>
      <c r="PMV29" s="1266"/>
      <c r="PMW29" s="1266"/>
      <c r="PMX29" s="1266"/>
      <c r="PMY29" s="1266"/>
      <c r="PMZ29" s="1266"/>
      <c r="PNA29" s="1266"/>
      <c r="PNB29" s="1266"/>
      <c r="PNC29" s="1266"/>
      <c r="PND29" s="1266"/>
      <c r="PNE29" s="1266"/>
      <c r="PNF29" s="1266"/>
      <c r="PNG29" s="1266"/>
      <c r="PNH29" s="1266"/>
      <c r="PNI29" s="1266"/>
      <c r="PNJ29" s="1266"/>
      <c r="PNK29" s="1266"/>
      <c r="PNL29" s="1266"/>
      <c r="PNM29" s="1266"/>
      <c r="PNN29" s="1266"/>
      <c r="PNO29" s="1266"/>
      <c r="PNP29" s="1266"/>
      <c r="PNQ29" s="1266"/>
      <c r="PNR29" s="1266"/>
      <c r="PNS29" s="1266"/>
      <c r="PNT29" s="1266"/>
      <c r="PNU29" s="1266"/>
      <c r="PNV29" s="1266"/>
      <c r="PNW29" s="1266"/>
      <c r="PNX29" s="1266"/>
      <c r="PNY29" s="1266"/>
      <c r="PNZ29" s="1266"/>
      <c r="POA29" s="1266"/>
      <c r="POB29" s="1266"/>
      <c r="POC29" s="1266"/>
      <c r="POD29" s="1266"/>
      <c r="POE29" s="1266"/>
      <c r="POF29" s="1266"/>
      <c r="POG29" s="1266"/>
      <c r="POH29" s="1266"/>
      <c r="POI29" s="1266"/>
      <c r="POJ29" s="1266"/>
      <c r="POK29" s="1266"/>
      <c r="POL29" s="1266"/>
      <c r="POM29" s="1266"/>
      <c r="PON29" s="1266"/>
      <c r="POO29" s="1266"/>
      <c r="POP29" s="1266"/>
      <c r="POQ29" s="1266"/>
      <c r="POR29" s="1266"/>
      <c r="POS29" s="1266"/>
      <c r="POT29" s="1266"/>
      <c r="POU29" s="1266"/>
      <c r="POV29" s="1266"/>
      <c r="POW29" s="1266"/>
      <c r="POX29" s="1266"/>
      <c r="POY29" s="1266"/>
      <c r="POZ29" s="1266"/>
      <c r="PPA29" s="1266"/>
      <c r="PPB29" s="1266"/>
      <c r="PPC29" s="1266"/>
      <c r="PPD29" s="1266"/>
      <c r="PPE29" s="1266"/>
      <c r="PPF29" s="1266"/>
      <c r="PPG29" s="1266"/>
      <c r="PPH29" s="1266"/>
      <c r="PPI29" s="1266"/>
      <c r="PPJ29" s="1266"/>
      <c r="PPK29" s="1266"/>
      <c r="PPL29" s="1266"/>
      <c r="PPM29" s="1266"/>
      <c r="PPN29" s="1266"/>
      <c r="PPO29" s="1266"/>
      <c r="PPP29" s="1266"/>
      <c r="PPQ29" s="1266"/>
      <c r="PPR29" s="1266"/>
      <c r="PPS29" s="1266"/>
      <c r="PPT29" s="1266"/>
      <c r="PPU29" s="1266"/>
      <c r="PPV29" s="1266"/>
      <c r="PPW29" s="1266"/>
      <c r="PPX29" s="1266"/>
      <c r="PPY29" s="1266"/>
      <c r="PPZ29" s="1266"/>
      <c r="PQA29" s="1266"/>
      <c r="PQB29" s="1266"/>
      <c r="PQC29" s="1266"/>
      <c r="PQD29" s="1266"/>
      <c r="PQE29" s="1266"/>
      <c r="PQF29" s="1266"/>
      <c r="PQG29" s="1266"/>
      <c r="PQH29" s="1266"/>
      <c r="PQI29" s="1266"/>
      <c r="PQJ29" s="1266"/>
      <c r="PQK29" s="1266"/>
      <c r="PQL29" s="1266"/>
      <c r="PQM29" s="1266"/>
      <c r="PQN29" s="1266"/>
      <c r="PQO29" s="1266"/>
      <c r="PQP29" s="1266"/>
      <c r="PQQ29" s="1266"/>
      <c r="PQR29" s="1266"/>
      <c r="PQS29" s="1266"/>
      <c r="PQT29" s="1266"/>
      <c r="PQU29" s="1266"/>
      <c r="PQV29" s="1266"/>
      <c r="PQW29" s="1266"/>
      <c r="PQX29" s="1266"/>
      <c r="PQY29" s="1266"/>
      <c r="PQZ29" s="1266"/>
      <c r="PRA29" s="1266"/>
      <c r="PRB29" s="1266"/>
      <c r="PRC29" s="1266"/>
      <c r="PRD29" s="1266"/>
      <c r="PRE29" s="1266"/>
      <c r="PRF29" s="1266"/>
      <c r="PRG29" s="1266"/>
      <c r="PRH29" s="1266"/>
      <c r="PRI29" s="1266"/>
      <c r="PRJ29" s="1266"/>
      <c r="PRK29" s="1266"/>
      <c r="PRL29" s="1266"/>
      <c r="PRM29" s="1266"/>
      <c r="PRN29" s="1266"/>
      <c r="PRO29" s="1266"/>
      <c r="PRP29" s="1266"/>
      <c r="PRQ29" s="1266"/>
      <c r="PRR29" s="1266"/>
      <c r="PRS29" s="1266"/>
      <c r="PRT29" s="1266"/>
      <c r="PRU29" s="1266"/>
      <c r="PRV29" s="1266"/>
      <c r="PRW29" s="1266"/>
      <c r="PRX29" s="1266"/>
      <c r="PRY29" s="1266"/>
      <c r="PRZ29" s="1266"/>
      <c r="PSA29" s="1266"/>
      <c r="PSB29" s="1266"/>
      <c r="PSC29" s="1266"/>
      <c r="PSD29" s="1266"/>
      <c r="PSE29" s="1266"/>
      <c r="PSF29" s="1266"/>
      <c r="PSG29" s="1266"/>
      <c r="PSH29" s="1266"/>
      <c r="PSI29" s="1266"/>
      <c r="PSJ29" s="1266"/>
      <c r="PSK29" s="1266"/>
      <c r="PSL29" s="1266"/>
      <c r="PSM29" s="1266"/>
      <c r="PSN29" s="1266"/>
      <c r="PSO29" s="1266"/>
      <c r="PSP29" s="1266"/>
      <c r="PSQ29" s="1266"/>
      <c r="PSR29" s="1266"/>
      <c r="PSS29" s="1266"/>
      <c r="PST29" s="1266"/>
      <c r="PSU29" s="1266"/>
      <c r="PSV29" s="1266"/>
      <c r="PSW29" s="1266"/>
      <c r="PSX29" s="1266"/>
      <c r="PSY29" s="1266"/>
      <c r="PSZ29" s="1266"/>
      <c r="PTA29" s="1266"/>
      <c r="PTB29" s="1266"/>
      <c r="PTC29" s="1266"/>
      <c r="PTD29" s="1266"/>
      <c r="PTE29" s="1266"/>
      <c r="PTF29" s="1266"/>
      <c r="PTG29" s="1266"/>
      <c r="PTH29" s="1266"/>
      <c r="PTI29" s="1266"/>
      <c r="PTJ29" s="1266"/>
      <c r="PTK29" s="1266"/>
      <c r="PTL29" s="1266"/>
      <c r="PTM29" s="1266"/>
      <c r="PTN29" s="1266"/>
      <c r="PTO29" s="1266"/>
      <c r="PTP29" s="1266"/>
      <c r="PTQ29" s="1266"/>
      <c r="PTR29" s="1266"/>
      <c r="PTS29" s="1266"/>
      <c r="PTT29" s="1266"/>
      <c r="PTU29" s="1266"/>
      <c r="PTV29" s="1266"/>
      <c r="PTW29" s="1266"/>
      <c r="PTX29" s="1266"/>
      <c r="PTY29" s="1266"/>
      <c r="PTZ29" s="1266"/>
      <c r="PUA29" s="1266"/>
      <c r="PUB29" s="1266"/>
      <c r="PUC29" s="1266"/>
      <c r="PUD29" s="1266"/>
      <c r="PUE29" s="1266"/>
      <c r="PUF29" s="1266"/>
      <c r="PUG29" s="1266"/>
      <c r="PUH29" s="1266"/>
      <c r="PUI29" s="1266"/>
      <c r="PUJ29" s="1266"/>
      <c r="PUK29" s="1266"/>
      <c r="PUL29" s="1266"/>
      <c r="PUM29" s="1266"/>
      <c r="PUN29" s="1266"/>
      <c r="PUO29" s="1266"/>
      <c r="PUP29" s="1266"/>
      <c r="PUQ29" s="1266"/>
      <c r="PUR29" s="1266"/>
      <c r="PUS29" s="1266"/>
      <c r="PUT29" s="1266"/>
      <c r="PUU29" s="1266"/>
      <c r="PUV29" s="1266"/>
      <c r="PUW29" s="1266"/>
      <c r="PUX29" s="1266"/>
      <c r="PUY29" s="1266"/>
      <c r="PUZ29" s="1266"/>
      <c r="PVA29" s="1266"/>
      <c r="PVB29" s="1266"/>
      <c r="PVC29" s="1266"/>
      <c r="PVD29" s="1266"/>
      <c r="PVE29" s="1266"/>
      <c r="PVF29" s="1266"/>
      <c r="PVG29" s="1266"/>
      <c r="PVH29" s="1266"/>
      <c r="PVI29" s="1266"/>
      <c r="PVJ29" s="1266"/>
      <c r="PVK29" s="1266"/>
      <c r="PVL29" s="1266"/>
      <c r="PVM29" s="1266"/>
      <c r="PVN29" s="1266"/>
      <c r="PVO29" s="1266"/>
      <c r="PVP29" s="1266"/>
      <c r="PVQ29" s="1266"/>
      <c r="PVR29" s="1266"/>
      <c r="PVS29" s="1266"/>
      <c r="PVT29" s="1266"/>
      <c r="PVU29" s="1266"/>
      <c r="PVV29" s="1266"/>
      <c r="PVW29" s="1266"/>
      <c r="PVX29" s="1266"/>
      <c r="PVY29" s="1266"/>
      <c r="PVZ29" s="1266"/>
      <c r="PWA29" s="1266"/>
      <c r="PWB29" s="1266"/>
      <c r="PWC29" s="1266"/>
      <c r="PWD29" s="1266"/>
      <c r="PWE29" s="1266"/>
      <c r="PWF29" s="1266"/>
      <c r="PWG29" s="1266"/>
      <c r="PWH29" s="1266"/>
      <c r="PWI29" s="1266"/>
      <c r="PWJ29" s="1266"/>
      <c r="PWK29" s="1266"/>
      <c r="PWL29" s="1266"/>
      <c r="PWM29" s="1266"/>
      <c r="PWN29" s="1266"/>
      <c r="PWO29" s="1266"/>
      <c r="PWP29" s="1266"/>
      <c r="PWQ29" s="1266"/>
      <c r="PWR29" s="1266"/>
      <c r="PWS29" s="1266"/>
      <c r="PWT29" s="1266"/>
      <c r="PWU29" s="1266"/>
      <c r="PWV29" s="1266"/>
      <c r="PWW29" s="1266"/>
      <c r="PWX29" s="1266"/>
      <c r="PWY29" s="1266"/>
      <c r="PWZ29" s="1266"/>
      <c r="PXA29" s="1266"/>
      <c r="PXB29" s="1266"/>
      <c r="PXC29" s="1266"/>
      <c r="PXD29" s="1266"/>
      <c r="PXE29" s="1266"/>
      <c r="PXF29" s="1266"/>
      <c r="PXG29" s="1266"/>
      <c r="PXH29" s="1266"/>
      <c r="PXI29" s="1266"/>
      <c r="PXJ29" s="1266"/>
      <c r="PXK29" s="1266"/>
      <c r="PXL29" s="1266"/>
      <c r="PXM29" s="1266"/>
      <c r="PXN29" s="1266"/>
      <c r="PXO29" s="1266"/>
      <c r="PXP29" s="1266"/>
      <c r="PXQ29" s="1266"/>
      <c r="PXR29" s="1266"/>
      <c r="PXS29" s="1266"/>
      <c r="PXT29" s="1266"/>
      <c r="PXU29" s="1266"/>
      <c r="PXV29" s="1266"/>
      <c r="PXW29" s="1266"/>
      <c r="PXX29" s="1266"/>
      <c r="PXY29" s="1266"/>
      <c r="PXZ29" s="1266"/>
      <c r="PYA29" s="1266"/>
      <c r="PYB29" s="1266"/>
      <c r="PYC29" s="1266"/>
      <c r="PYD29" s="1266"/>
      <c r="PYE29" s="1266"/>
      <c r="PYF29" s="1266"/>
      <c r="PYG29" s="1266"/>
      <c r="PYH29" s="1266"/>
      <c r="PYI29" s="1266"/>
      <c r="PYJ29" s="1266"/>
      <c r="PYK29" s="1266"/>
      <c r="PYL29" s="1266"/>
      <c r="PYM29" s="1266"/>
      <c r="PYN29" s="1266"/>
      <c r="PYO29" s="1266"/>
      <c r="PYP29" s="1266"/>
      <c r="PYQ29" s="1266"/>
      <c r="PYR29" s="1266"/>
      <c r="PYS29" s="1266"/>
      <c r="PYT29" s="1266"/>
      <c r="PYU29" s="1266"/>
      <c r="PYV29" s="1266"/>
      <c r="PYW29" s="1266"/>
      <c r="PYX29" s="1266"/>
      <c r="PYY29" s="1266"/>
      <c r="PYZ29" s="1266"/>
      <c r="PZA29" s="1266"/>
      <c r="PZB29" s="1266"/>
      <c r="PZC29" s="1266"/>
      <c r="PZD29" s="1266"/>
      <c r="PZE29" s="1266"/>
      <c r="PZF29" s="1266"/>
      <c r="PZG29" s="1266"/>
      <c r="PZH29" s="1266"/>
      <c r="PZI29" s="1266"/>
      <c r="PZJ29" s="1266"/>
      <c r="PZK29" s="1266"/>
      <c r="PZL29" s="1266"/>
      <c r="PZM29" s="1266"/>
      <c r="PZN29" s="1266"/>
      <c r="PZO29" s="1266"/>
      <c r="PZP29" s="1266"/>
      <c r="PZQ29" s="1266"/>
      <c r="PZR29" s="1266"/>
      <c r="PZS29" s="1266"/>
      <c r="PZT29" s="1266"/>
      <c r="PZU29" s="1266"/>
      <c r="PZV29" s="1266"/>
      <c r="PZW29" s="1266"/>
      <c r="PZX29" s="1266"/>
      <c r="PZY29" s="1266"/>
      <c r="PZZ29" s="1266"/>
      <c r="QAA29" s="1266"/>
      <c r="QAB29" s="1266"/>
      <c r="QAC29" s="1266"/>
      <c r="QAD29" s="1266"/>
      <c r="QAE29" s="1266"/>
      <c r="QAF29" s="1266"/>
      <c r="QAG29" s="1266"/>
      <c r="QAH29" s="1266"/>
      <c r="QAI29" s="1266"/>
      <c r="QAJ29" s="1266"/>
      <c r="QAK29" s="1266"/>
      <c r="QAL29" s="1266"/>
      <c r="QAM29" s="1266"/>
      <c r="QAN29" s="1266"/>
      <c r="QAO29" s="1266"/>
      <c r="QAP29" s="1266"/>
      <c r="QAQ29" s="1266"/>
      <c r="QAR29" s="1266"/>
      <c r="QAS29" s="1266"/>
      <c r="QAT29" s="1266"/>
      <c r="QAU29" s="1266"/>
      <c r="QAV29" s="1266"/>
      <c r="QAW29" s="1266"/>
      <c r="QAX29" s="1266"/>
      <c r="QAY29" s="1266"/>
      <c r="QAZ29" s="1266"/>
      <c r="QBA29" s="1266"/>
      <c r="QBB29" s="1266"/>
      <c r="QBC29" s="1266"/>
      <c r="QBD29" s="1266"/>
      <c r="QBE29" s="1266"/>
      <c r="QBF29" s="1266"/>
      <c r="QBG29" s="1266"/>
      <c r="QBH29" s="1266"/>
      <c r="QBI29" s="1266"/>
      <c r="QBJ29" s="1266"/>
      <c r="QBK29" s="1266"/>
      <c r="QBL29" s="1266"/>
      <c r="QBM29" s="1266"/>
      <c r="QBN29" s="1266"/>
      <c r="QBO29" s="1266"/>
      <c r="QBP29" s="1266"/>
      <c r="QBQ29" s="1266"/>
      <c r="QBR29" s="1266"/>
      <c r="QBS29" s="1266"/>
      <c r="QBT29" s="1266"/>
      <c r="QBU29" s="1266"/>
      <c r="QBV29" s="1266"/>
      <c r="QBW29" s="1266"/>
      <c r="QBX29" s="1266"/>
      <c r="QBY29" s="1266"/>
      <c r="QBZ29" s="1266"/>
      <c r="QCA29" s="1266"/>
      <c r="QCB29" s="1266"/>
      <c r="QCC29" s="1266"/>
      <c r="QCD29" s="1266"/>
      <c r="QCE29" s="1266"/>
      <c r="QCF29" s="1266"/>
      <c r="QCG29" s="1266"/>
      <c r="QCH29" s="1266"/>
      <c r="QCI29" s="1266"/>
      <c r="QCJ29" s="1266"/>
      <c r="QCK29" s="1266"/>
      <c r="QCL29" s="1266"/>
      <c r="QCM29" s="1266"/>
      <c r="QCN29" s="1266"/>
      <c r="QCO29" s="1266"/>
      <c r="QCP29" s="1266"/>
      <c r="QCQ29" s="1266"/>
      <c r="QCR29" s="1266"/>
      <c r="QCS29" s="1266"/>
      <c r="QCT29" s="1266"/>
      <c r="QCU29" s="1266"/>
      <c r="QCV29" s="1266"/>
      <c r="QCW29" s="1266"/>
      <c r="QCX29" s="1266"/>
      <c r="QCY29" s="1266"/>
      <c r="QCZ29" s="1266"/>
      <c r="QDA29" s="1266"/>
      <c r="QDB29" s="1266"/>
      <c r="QDC29" s="1266"/>
      <c r="QDD29" s="1266"/>
      <c r="QDE29" s="1266"/>
      <c r="QDF29" s="1266"/>
      <c r="QDG29" s="1266"/>
      <c r="QDH29" s="1266"/>
      <c r="QDI29" s="1266"/>
      <c r="QDJ29" s="1266"/>
      <c r="QDK29" s="1266"/>
      <c r="QDL29" s="1266"/>
      <c r="QDM29" s="1266"/>
      <c r="QDN29" s="1266"/>
      <c r="QDO29" s="1266"/>
      <c r="QDP29" s="1266"/>
      <c r="QDQ29" s="1266"/>
      <c r="QDR29" s="1266"/>
      <c r="QDS29" s="1266"/>
      <c r="QDT29" s="1266"/>
      <c r="QDU29" s="1266"/>
      <c r="QDV29" s="1266"/>
      <c r="QDW29" s="1266"/>
      <c r="QDX29" s="1266"/>
      <c r="QDY29" s="1266"/>
      <c r="QDZ29" s="1266"/>
      <c r="QEA29" s="1266"/>
      <c r="QEB29" s="1266"/>
      <c r="QEC29" s="1266"/>
      <c r="QED29" s="1266"/>
      <c r="QEE29" s="1266"/>
      <c r="QEF29" s="1266"/>
      <c r="QEG29" s="1266"/>
      <c r="QEH29" s="1266"/>
      <c r="QEI29" s="1266"/>
      <c r="QEJ29" s="1266"/>
      <c r="QEK29" s="1266"/>
      <c r="QEL29" s="1266"/>
      <c r="QEM29" s="1266"/>
      <c r="QEN29" s="1266"/>
      <c r="QEO29" s="1266"/>
      <c r="QEP29" s="1266"/>
      <c r="QEQ29" s="1266"/>
      <c r="QER29" s="1266"/>
      <c r="QES29" s="1266"/>
      <c r="QET29" s="1266"/>
      <c r="QEU29" s="1266"/>
      <c r="QEV29" s="1266"/>
      <c r="QEW29" s="1266"/>
      <c r="QEX29" s="1266"/>
      <c r="QEY29" s="1266"/>
      <c r="QEZ29" s="1266"/>
      <c r="QFA29" s="1266"/>
      <c r="QFB29" s="1266"/>
      <c r="QFC29" s="1266"/>
      <c r="QFD29" s="1266"/>
      <c r="QFE29" s="1266"/>
      <c r="QFF29" s="1266"/>
      <c r="QFG29" s="1266"/>
      <c r="QFH29" s="1266"/>
      <c r="QFI29" s="1266"/>
      <c r="QFJ29" s="1266"/>
      <c r="QFK29" s="1266"/>
      <c r="QFL29" s="1266"/>
      <c r="QFM29" s="1266"/>
      <c r="QFN29" s="1266"/>
      <c r="QFO29" s="1266"/>
      <c r="QFP29" s="1266"/>
      <c r="QFQ29" s="1266"/>
      <c r="QFR29" s="1266"/>
      <c r="QFS29" s="1266"/>
      <c r="QFT29" s="1266"/>
      <c r="QFU29" s="1266"/>
      <c r="QFV29" s="1266"/>
      <c r="QFW29" s="1266"/>
      <c r="QFX29" s="1266"/>
      <c r="QFY29" s="1266"/>
      <c r="QFZ29" s="1266"/>
      <c r="QGA29" s="1266"/>
      <c r="QGB29" s="1266"/>
      <c r="QGC29" s="1266"/>
      <c r="QGD29" s="1266"/>
      <c r="QGE29" s="1266"/>
      <c r="QGF29" s="1266"/>
      <c r="QGG29" s="1266"/>
      <c r="QGH29" s="1266"/>
      <c r="QGI29" s="1266"/>
      <c r="QGJ29" s="1266"/>
      <c r="QGK29" s="1266"/>
      <c r="QGL29" s="1266"/>
      <c r="QGM29" s="1266"/>
      <c r="QGN29" s="1266"/>
      <c r="QGO29" s="1266"/>
      <c r="QGP29" s="1266"/>
      <c r="QGQ29" s="1266"/>
      <c r="QGR29" s="1266"/>
      <c r="QGS29" s="1266"/>
      <c r="QGT29" s="1266"/>
      <c r="QGU29" s="1266"/>
      <c r="QGV29" s="1266"/>
      <c r="QGW29" s="1266"/>
      <c r="QGX29" s="1266"/>
      <c r="QGY29" s="1266"/>
      <c r="QGZ29" s="1266"/>
      <c r="QHA29" s="1266"/>
      <c r="QHB29" s="1266"/>
      <c r="QHC29" s="1266"/>
      <c r="QHD29" s="1266"/>
      <c r="QHE29" s="1266"/>
      <c r="QHF29" s="1266"/>
      <c r="QHG29" s="1266"/>
      <c r="QHH29" s="1266"/>
      <c r="QHI29" s="1266"/>
      <c r="QHJ29" s="1266"/>
      <c r="QHK29" s="1266"/>
      <c r="QHL29" s="1266"/>
      <c r="QHM29" s="1266"/>
      <c r="QHN29" s="1266"/>
      <c r="QHO29" s="1266"/>
      <c r="QHP29" s="1266"/>
      <c r="QHQ29" s="1266"/>
      <c r="QHR29" s="1266"/>
      <c r="QHS29" s="1266"/>
      <c r="QHT29" s="1266"/>
      <c r="QHU29" s="1266"/>
      <c r="QHV29" s="1266"/>
      <c r="QHW29" s="1266"/>
      <c r="QHX29" s="1266"/>
      <c r="QHY29" s="1266"/>
      <c r="QHZ29" s="1266"/>
      <c r="QIA29" s="1266"/>
      <c r="QIB29" s="1266"/>
      <c r="QIC29" s="1266"/>
      <c r="QID29" s="1266"/>
      <c r="QIE29" s="1266"/>
      <c r="QIF29" s="1266"/>
      <c r="QIG29" s="1266"/>
      <c r="QIH29" s="1266"/>
      <c r="QII29" s="1266"/>
      <c r="QIJ29" s="1266"/>
      <c r="QIK29" s="1266"/>
      <c r="QIL29" s="1266"/>
      <c r="QIM29" s="1266"/>
      <c r="QIN29" s="1266"/>
      <c r="QIO29" s="1266"/>
      <c r="QIP29" s="1266"/>
      <c r="QIQ29" s="1266"/>
      <c r="QIR29" s="1266"/>
      <c r="QIS29" s="1266"/>
      <c r="QIT29" s="1266"/>
      <c r="QIU29" s="1266"/>
      <c r="QIV29" s="1266"/>
      <c r="QIW29" s="1266"/>
      <c r="QIX29" s="1266"/>
      <c r="QIY29" s="1266"/>
      <c r="QIZ29" s="1266"/>
      <c r="QJA29" s="1266"/>
      <c r="QJB29" s="1266"/>
      <c r="QJC29" s="1266"/>
      <c r="QJD29" s="1266"/>
      <c r="QJE29" s="1266"/>
      <c r="QJF29" s="1266"/>
      <c r="QJG29" s="1266"/>
      <c r="QJH29" s="1266"/>
      <c r="QJI29" s="1266"/>
      <c r="QJJ29" s="1266"/>
      <c r="QJK29" s="1266"/>
      <c r="QJL29" s="1266"/>
      <c r="QJM29" s="1266"/>
      <c r="QJN29" s="1266"/>
      <c r="QJO29" s="1266"/>
      <c r="QJP29" s="1266"/>
      <c r="QJQ29" s="1266"/>
      <c r="QJR29" s="1266"/>
      <c r="QJS29" s="1266"/>
      <c r="QJT29" s="1266"/>
      <c r="QJU29" s="1266"/>
      <c r="QJV29" s="1266"/>
      <c r="QJW29" s="1266"/>
      <c r="QJX29" s="1266"/>
      <c r="QJY29" s="1266"/>
      <c r="QJZ29" s="1266"/>
      <c r="QKA29" s="1266"/>
      <c r="QKB29" s="1266"/>
      <c r="QKC29" s="1266"/>
      <c r="QKD29" s="1266"/>
      <c r="QKE29" s="1266"/>
      <c r="QKF29" s="1266"/>
      <c r="QKG29" s="1266"/>
      <c r="QKH29" s="1266"/>
      <c r="QKI29" s="1266"/>
      <c r="QKJ29" s="1266"/>
      <c r="QKK29" s="1266"/>
      <c r="QKL29" s="1266"/>
      <c r="QKM29" s="1266"/>
      <c r="QKN29" s="1266"/>
      <c r="QKO29" s="1266"/>
      <c r="QKP29" s="1266"/>
      <c r="QKQ29" s="1266"/>
      <c r="QKR29" s="1266"/>
      <c r="QKS29" s="1266"/>
      <c r="QKT29" s="1266"/>
      <c r="QKU29" s="1266"/>
      <c r="QKV29" s="1266"/>
      <c r="QKW29" s="1266"/>
      <c r="QKX29" s="1266"/>
      <c r="QKY29" s="1266"/>
      <c r="QKZ29" s="1266"/>
      <c r="QLA29" s="1266"/>
      <c r="QLB29" s="1266"/>
      <c r="QLC29" s="1266"/>
      <c r="QLD29" s="1266"/>
      <c r="QLE29" s="1266"/>
      <c r="QLF29" s="1266"/>
      <c r="QLG29" s="1266"/>
      <c r="QLH29" s="1266"/>
      <c r="QLI29" s="1266"/>
      <c r="QLJ29" s="1266"/>
      <c r="QLK29" s="1266"/>
      <c r="QLL29" s="1266"/>
      <c r="QLM29" s="1266"/>
      <c r="QLN29" s="1266"/>
      <c r="QLO29" s="1266"/>
      <c r="QLP29" s="1266"/>
      <c r="QLQ29" s="1266"/>
      <c r="QLR29" s="1266"/>
      <c r="QLS29" s="1266"/>
      <c r="QLT29" s="1266"/>
      <c r="QLU29" s="1266"/>
      <c r="QLV29" s="1266"/>
      <c r="QLW29" s="1266"/>
      <c r="QLX29" s="1266"/>
      <c r="QLY29" s="1266"/>
      <c r="QLZ29" s="1266"/>
      <c r="QMA29" s="1266"/>
      <c r="QMB29" s="1266"/>
      <c r="QMC29" s="1266"/>
      <c r="QMD29" s="1266"/>
      <c r="QME29" s="1266"/>
      <c r="QMF29" s="1266"/>
      <c r="QMG29" s="1266"/>
      <c r="QMH29" s="1266"/>
      <c r="QMI29" s="1266"/>
      <c r="QMJ29" s="1266"/>
      <c r="QMK29" s="1266"/>
      <c r="QML29" s="1266"/>
      <c r="QMM29" s="1266"/>
      <c r="QMN29" s="1266"/>
      <c r="QMO29" s="1266"/>
      <c r="QMP29" s="1266"/>
      <c r="QMQ29" s="1266"/>
      <c r="QMR29" s="1266"/>
      <c r="QMS29" s="1266"/>
      <c r="QMT29" s="1266"/>
      <c r="QMU29" s="1266"/>
      <c r="QMV29" s="1266"/>
      <c r="QMW29" s="1266"/>
      <c r="QMX29" s="1266"/>
      <c r="QMY29" s="1266"/>
      <c r="QMZ29" s="1266"/>
      <c r="QNA29" s="1266"/>
      <c r="QNB29" s="1266"/>
      <c r="QNC29" s="1266"/>
      <c r="QND29" s="1266"/>
      <c r="QNE29" s="1266"/>
      <c r="QNF29" s="1266"/>
      <c r="QNG29" s="1266"/>
      <c r="QNH29" s="1266"/>
      <c r="QNI29" s="1266"/>
      <c r="QNJ29" s="1266"/>
      <c r="QNK29" s="1266"/>
      <c r="QNL29" s="1266"/>
      <c r="QNM29" s="1266"/>
      <c r="QNN29" s="1266"/>
      <c r="QNO29" s="1266"/>
      <c r="QNP29" s="1266"/>
      <c r="QNQ29" s="1266"/>
      <c r="QNR29" s="1266"/>
      <c r="QNS29" s="1266"/>
      <c r="QNT29" s="1266"/>
      <c r="QNU29" s="1266"/>
      <c r="QNV29" s="1266"/>
      <c r="QNW29" s="1266"/>
      <c r="QNX29" s="1266"/>
      <c r="QNY29" s="1266"/>
      <c r="QNZ29" s="1266"/>
      <c r="QOA29" s="1266"/>
      <c r="QOB29" s="1266"/>
      <c r="QOC29" s="1266"/>
      <c r="QOD29" s="1266"/>
      <c r="QOE29" s="1266"/>
      <c r="QOF29" s="1266"/>
      <c r="QOG29" s="1266"/>
      <c r="QOH29" s="1266"/>
      <c r="QOI29" s="1266"/>
      <c r="QOJ29" s="1266"/>
      <c r="QOK29" s="1266"/>
      <c r="QOL29" s="1266"/>
      <c r="QOM29" s="1266"/>
      <c r="QON29" s="1266"/>
      <c r="QOO29" s="1266"/>
      <c r="QOP29" s="1266"/>
      <c r="QOQ29" s="1266"/>
      <c r="QOR29" s="1266"/>
      <c r="QOS29" s="1266"/>
      <c r="QOT29" s="1266"/>
      <c r="QOU29" s="1266"/>
      <c r="QOV29" s="1266"/>
      <c r="QOW29" s="1266"/>
      <c r="QOX29" s="1266"/>
      <c r="QOY29" s="1266"/>
      <c r="QOZ29" s="1266"/>
      <c r="QPA29" s="1266"/>
      <c r="QPB29" s="1266"/>
      <c r="QPC29" s="1266"/>
      <c r="QPD29" s="1266"/>
      <c r="QPE29" s="1266"/>
      <c r="QPF29" s="1266"/>
      <c r="QPG29" s="1266"/>
      <c r="QPH29" s="1266"/>
      <c r="QPI29" s="1266"/>
      <c r="QPJ29" s="1266"/>
      <c r="QPK29" s="1266"/>
      <c r="QPL29" s="1266"/>
      <c r="QPM29" s="1266"/>
      <c r="QPN29" s="1266"/>
      <c r="QPO29" s="1266"/>
      <c r="QPP29" s="1266"/>
      <c r="QPQ29" s="1266"/>
      <c r="QPR29" s="1266"/>
      <c r="QPS29" s="1266"/>
      <c r="QPT29" s="1266"/>
      <c r="QPU29" s="1266"/>
      <c r="QPV29" s="1266"/>
      <c r="QPW29" s="1266"/>
      <c r="QPX29" s="1266"/>
      <c r="QPY29" s="1266"/>
      <c r="QPZ29" s="1266"/>
      <c r="QQA29" s="1266"/>
      <c r="QQB29" s="1266"/>
      <c r="QQC29" s="1266"/>
      <c r="QQD29" s="1266"/>
      <c r="QQE29" s="1266"/>
      <c r="QQF29" s="1266"/>
      <c r="QQG29" s="1266"/>
      <c r="QQH29" s="1266"/>
      <c r="QQI29" s="1266"/>
      <c r="QQJ29" s="1266"/>
      <c r="QQK29" s="1266"/>
      <c r="QQL29" s="1266"/>
      <c r="QQM29" s="1266"/>
      <c r="QQN29" s="1266"/>
      <c r="QQO29" s="1266"/>
      <c r="QQP29" s="1266"/>
      <c r="QQQ29" s="1266"/>
      <c r="QQR29" s="1266"/>
      <c r="QQS29" s="1266"/>
      <c r="QQT29" s="1266"/>
      <c r="QQU29" s="1266"/>
      <c r="QQV29" s="1266"/>
      <c r="QQW29" s="1266"/>
      <c r="QQX29" s="1266"/>
      <c r="QQY29" s="1266"/>
      <c r="QQZ29" s="1266"/>
      <c r="QRA29" s="1266"/>
      <c r="QRB29" s="1266"/>
      <c r="QRC29" s="1266"/>
      <c r="QRD29" s="1266"/>
      <c r="QRE29" s="1266"/>
      <c r="QRF29" s="1266"/>
      <c r="QRG29" s="1266"/>
      <c r="QRH29" s="1266"/>
      <c r="QRI29" s="1266"/>
      <c r="QRJ29" s="1266"/>
      <c r="QRK29" s="1266"/>
      <c r="QRL29" s="1266"/>
      <c r="QRM29" s="1266"/>
      <c r="QRN29" s="1266"/>
      <c r="QRO29" s="1266"/>
      <c r="QRP29" s="1266"/>
      <c r="QRQ29" s="1266"/>
      <c r="QRR29" s="1266"/>
      <c r="QRS29" s="1266"/>
      <c r="QRT29" s="1266"/>
      <c r="QRU29" s="1266"/>
      <c r="QRV29" s="1266"/>
      <c r="QRW29" s="1266"/>
      <c r="QRX29" s="1266"/>
      <c r="QRY29" s="1266"/>
      <c r="QRZ29" s="1266"/>
      <c r="QSA29" s="1266"/>
      <c r="QSB29" s="1266"/>
      <c r="QSC29" s="1266"/>
      <c r="QSD29" s="1266"/>
      <c r="QSE29" s="1266"/>
      <c r="QSF29" s="1266"/>
      <c r="QSG29" s="1266"/>
      <c r="QSH29" s="1266"/>
      <c r="QSI29" s="1266"/>
      <c r="QSJ29" s="1266"/>
      <c r="QSK29" s="1266"/>
      <c r="QSL29" s="1266"/>
      <c r="QSM29" s="1266"/>
      <c r="QSN29" s="1266"/>
      <c r="QSO29" s="1266"/>
      <c r="QSP29" s="1266"/>
      <c r="QSQ29" s="1266"/>
      <c r="QSR29" s="1266"/>
      <c r="QSS29" s="1266"/>
      <c r="QST29" s="1266"/>
      <c r="QSU29" s="1266"/>
      <c r="QSV29" s="1266"/>
      <c r="QSW29" s="1266"/>
      <c r="QSX29" s="1266"/>
      <c r="QSY29" s="1266"/>
      <c r="QSZ29" s="1266"/>
      <c r="QTA29" s="1266"/>
      <c r="QTB29" s="1266"/>
      <c r="QTC29" s="1266"/>
      <c r="QTD29" s="1266"/>
      <c r="QTE29" s="1266"/>
      <c r="QTF29" s="1266"/>
      <c r="QTG29" s="1266"/>
      <c r="QTH29" s="1266"/>
      <c r="QTI29" s="1266"/>
      <c r="QTJ29" s="1266"/>
      <c r="QTK29" s="1266"/>
      <c r="QTL29" s="1266"/>
      <c r="QTM29" s="1266"/>
      <c r="QTN29" s="1266"/>
      <c r="QTO29" s="1266"/>
      <c r="QTP29" s="1266"/>
      <c r="QTQ29" s="1266"/>
      <c r="QTR29" s="1266"/>
      <c r="QTS29" s="1266"/>
      <c r="QTT29" s="1266"/>
      <c r="QTU29" s="1266"/>
      <c r="QTV29" s="1266"/>
      <c r="QTW29" s="1266"/>
      <c r="QTX29" s="1266"/>
      <c r="QTY29" s="1266"/>
      <c r="QTZ29" s="1266"/>
      <c r="QUA29" s="1266"/>
      <c r="QUB29" s="1266"/>
      <c r="QUC29" s="1266"/>
      <c r="QUD29" s="1266"/>
      <c r="QUE29" s="1266"/>
      <c r="QUF29" s="1266"/>
      <c r="QUG29" s="1266"/>
      <c r="QUH29" s="1266"/>
      <c r="QUI29" s="1266"/>
      <c r="QUJ29" s="1266"/>
      <c r="QUK29" s="1266"/>
      <c r="QUL29" s="1266"/>
      <c r="QUM29" s="1266"/>
      <c r="QUN29" s="1266"/>
      <c r="QUO29" s="1266"/>
      <c r="QUP29" s="1266"/>
      <c r="QUQ29" s="1266"/>
      <c r="QUR29" s="1266"/>
      <c r="QUS29" s="1266"/>
      <c r="QUT29" s="1266"/>
      <c r="QUU29" s="1266"/>
      <c r="QUV29" s="1266"/>
      <c r="QUW29" s="1266"/>
      <c r="QUX29" s="1266"/>
      <c r="QUY29" s="1266"/>
      <c r="QUZ29" s="1266"/>
      <c r="QVA29" s="1266"/>
      <c r="QVB29" s="1266"/>
      <c r="QVC29" s="1266"/>
      <c r="QVD29" s="1266"/>
      <c r="QVE29" s="1266"/>
      <c r="QVF29" s="1266"/>
      <c r="QVG29" s="1266"/>
      <c r="QVH29" s="1266"/>
      <c r="QVI29" s="1266"/>
      <c r="QVJ29" s="1266"/>
      <c r="QVK29" s="1266"/>
      <c r="QVL29" s="1266"/>
      <c r="QVM29" s="1266"/>
      <c r="QVN29" s="1266"/>
      <c r="QVO29" s="1266"/>
      <c r="QVP29" s="1266"/>
      <c r="QVQ29" s="1266"/>
      <c r="QVR29" s="1266"/>
      <c r="QVS29" s="1266"/>
      <c r="QVT29" s="1266"/>
      <c r="QVU29" s="1266"/>
      <c r="QVV29" s="1266"/>
      <c r="QVW29" s="1266"/>
      <c r="QVX29" s="1266"/>
      <c r="QVY29" s="1266"/>
      <c r="QVZ29" s="1266"/>
      <c r="QWA29" s="1266"/>
      <c r="QWB29" s="1266"/>
      <c r="QWC29" s="1266"/>
      <c r="QWD29" s="1266"/>
      <c r="QWE29" s="1266"/>
      <c r="QWF29" s="1266"/>
      <c r="QWG29" s="1266"/>
      <c r="QWH29" s="1266"/>
      <c r="QWI29" s="1266"/>
      <c r="QWJ29" s="1266"/>
      <c r="QWK29" s="1266"/>
      <c r="QWL29" s="1266"/>
      <c r="QWM29" s="1266"/>
      <c r="QWN29" s="1266"/>
      <c r="QWO29" s="1266"/>
      <c r="QWP29" s="1266"/>
      <c r="QWQ29" s="1266"/>
      <c r="QWR29" s="1266"/>
      <c r="QWS29" s="1266"/>
      <c r="QWT29" s="1266"/>
      <c r="QWU29" s="1266"/>
      <c r="QWV29" s="1266"/>
      <c r="QWW29" s="1266"/>
      <c r="QWX29" s="1266"/>
      <c r="QWY29" s="1266"/>
      <c r="QWZ29" s="1266"/>
      <c r="QXA29" s="1266"/>
      <c r="QXB29" s="1266"/>
      <c r="QXC29" s="1266"/>
      <c r="QXD29" s="1266"/>
      <c r="QXE29" s="1266"/>
      <c r="QXF29" s="1266"/>
      <c r="QXG29" s="1266"/>
      <c r="QXH29" s="1266"/>
      <c r="QXI29" s="1266"/>
      <c r="QXJ29" s="1266"/>
      <c r="QXK29" s="1266"/>
      <c r="QXL29" s="1266"/>
      <c r="QXM29" s="1266"/>
      <c r="QXN29" s="1266"/>
      <c r="QXO29" s="1266"/>
      <c r="QXP29" s="1266"/>
      <c r="QXQ29" s="1266"/>
      <c r="QXR29" s="1266"/>
      <c r="QXS29" s="1266"/>
      <c r="QXT29" s="1266"/>
      <c r="QXU29" s="1266"/>
      <c r="QXV29" s="1266"/>
      <c r="QXW29" s="1266"/>
      <c r="QXX29" s="1266"/>
      <c r="QXY29" s="1266"/>
      <c r="QXZ29" s="1266"/>
      <c r="QYA29" s="1266"/>
      <c r="QYB29" s="1266"/>
      <c r="QYC29" s="1266"/>
      <c r="QYD29" s="1266"/>
      <c r="QYE29" s="1266"/>
      <c r="QYF29" s="1266"/>
      <c r="QYG29" s="1266"/>
      <c r="QYH29" s="1266"/>
      <c r="QYI29" s="1266"/>
      <c r="QYJ29" s="1266"/>
      <c r="QYK29" s="1266"/>
      <c r="QYL29" s="1266"/>
      <c r="QYM29" s="1266"/>
      <c r="QYN29" s="1266"/>
      <c r="QYO29" s="1266"/>
      <c r="QYP29" s="1266"/>
      <c r="QYQ29" s="1266"/>
      <c r="QYR29" s="1266"/>
      <c r="QYS29" s="1266"/>
      <c r="QYT29" s="1266"/>
      <c r="QYU29" s="1266"/>
      <c r="QYV29" s="1266"/>
      <c r="QYW29" s="1266"/>
      <c r="QYX29" s="1266"/>
      <c r="QYY29" s="1266"/>
      <c r="QYZ29" s="1266"/>
      <c r="QZA29" s="1266"/>
      <c r="QZB29" s="1266"/>
      <c r="QZC29" s="1266"/>
      <c r="QZD29" s="1266"/>
      <c r="QZE29" s="1266"/>
      <c r="QZF29" s="1266"/>
      <c r="QZG29" s="1266"/>
      <c r="QZH29" s="1266"/>
      <c r="QZI29" s="1266"/>
      <c r="QZJ29" s="1266"/>
      <c r="QZK29" s="1266"/>
      <c r="QZL29" s="1266"/>
      <c r="QZM29" s="1266"/>
      <c r="QZN29" s="1266"/>
      <c r="QZO29" s="1266"/>
      <c r="QZP29" s="1266"/>
      <c r="QZQ29" s="1266"/>
      <c r="QZR29" s="1266"/>
      <c r="QZS29" s="1266"/>
      <c r="QZT29" s="1266"/>
      <c r="QZU29" s="1266"/>
      <c r="QZV29" s="1266"/>
      <c r="QZW29" s="1266"/>
      <c r="QZX29" s="1266"/>
      <c r="QZY29" s="1266"/>
      <c r="QZZ29" s="1266"/>
      <c r="RAA29" s="1266"/>
      <c r="RAB29" s="1266"/>
      <c r="RAC29" s="1266"/>
      <c r="RAD29" s="1266"/>
      <c r="RAE29" s="1266"/>
      <c r="RAF29" s="1266"/>
      <c r="RAG29" s="1266"/>
      <c r="RAH29" s="1266"/>
      <c r="RAI29" s="1266"/>
      <c r="RAJ29" s="1266"/>
      <c r="RAK29" s="1266"/>
      <c r="RAL29" s="1266"/>
      <c r="RAM29" s="1266"/>
      <c r="RAN29" s="1266"/>
      <c r="RAO29" s="1266"/>
      <c r="RAP29" s="1266"/>
      <c r="RAQ29" s="1266"/>
      <c r="RAR29" s="1266"/>
      <c r="RAS29" s="1266"/>
      <c r="RAT29" s="1266"/>
      <c r="RAU29" s="1266"/>
      <c r="RAV29" s="1266"/>
      <c r="RAW29" s="1266"/>
      <c r="RAX29" s="1266"/>
      <c r="RAY29" s="1266"/>
      <c r="RAZ29" s="1266"/>
      <c r="RBA29" s="1266"/>
      <c r="RBB29" s="1266"/>
      <c r="RBC29" s="1266"/>
      <c r="RBD29" s="1266"/>
      <c r="RBE29" s="1266"/>
      <c r="RBF29" s="1266"/>
      <c r="RBG29" s="1266"/>
      <c r="RBH29" s="1266"/>
      <c r="RBI29" s="1266"/>
      <c r="RBJ29" s="1266"/>
      <c r="RBK29" s="1266"/>
      <c r="RBL29" s="1266"/>
      <c r="RBM29" s="1266"/>
      <c r="RBN29" s="1266"/>
      <c r="RBO29" s="1266"/>
      <c r="RBP29" s="1266"/>
      <c r="RBQ29" s="1266"/>
      <c r="RBR29" s="1266"/>
      <c r="RBS29" s="1266"/>
      <c r="RBT29" s="1266"/>
      <c r="RBU29" s="1266"/>
      <c r="RBV29" s="1266"/>
      <c r="RBW29" s="1266"/>
      <c r="RBX29" s="1266"/>
      <c r="RBY29" s="1266"/>
      <c r="RBZ29" s="1266"/>
      <c r="RCA29" s="1266"/>
      <c r="RCB29" s="1266"/>
      <c r="RCC29" s="1266"/>
      <c r="RCD29" s="1266"/>
      <c r="RCE29" s="1266"/>
      <c r="RCF29" s="1266"/>
      <c r="RCG29" s="1266"/>
      <c r="RCH29" s="1266"/>
      <c r="RCI29" s="1266"/>
      <c r="RCJ29" s="1266"/>
      <c r="RCK29" s="1266"/>
      <c r="RCL29" s="1266"/>
      <c r="RCM29" s="1266"/>
      <c r="RCN29" s="1266"/>
      <c r="RCO29" s="1266"/>
      <c r="RCP29" s="1266"/>
      <c r="RCQ29" s="1266"/>
      <c r="RCR29" s="1266"/>
      <c r="RCS29" s="1266"/>
      <c r="RCT29" s="1266"/>
      <c r="RCU29" s="1266"/>
      <c r="RCV29" s="1266"/>
      <c r="RCW29" s="1266"/>
      <c r="RCX29" s="1266"/>
      <c r="RCY29" s="1266"/>
      <c r="RCZ29" s="1266"/>
      <c r="RDA29" s="1266"/>
      <c r="RDB29" s="1266"/>
      <c r="RDC29" s="1266"/>
      <c r="RDD29" s="1266"/>
      <c r="RDE29" s="1266"/>
      <c r="RDF29" s="1266"/>
      <c r="RDG29" s="1266"/>
      <c r="RDH29" s="1266"/>
      <c r="RDI29" s="1266"/>
      <c r="RDJ29" s="1266"/>
      <c r="RDK29" s="1266"/>
      <c r="RDL29" s="1266"/>
      <c r="RDM29" s="1266"/>
      <c r="RDN29" s="1266"/>
      <c r="RDO29" s="1266"/>
      <c r="RDP29" s="1266"/>
      <c r="RDQ29" s="1266"/>
      <c r="RDR29" s="1266"/>
      <c r="RDS29" s="1266"/>
      <c r="RDT29" s="1266"/>
      <c r="RDU29" s="1266"/>
      <c r="RDV29" s="1266"/>
      <c r="RDW29" s="1266"/>
      <c r="RDX29" s="1266"/>
      <c r="RDY29" s="1266"/>
      <c r="RDZ29" s="1266"/>
      <c r="REA29" s="1266"/>
      <c r="REB29" s="1266"/>
      <c r="REC29" s="1266"/>
      <c r="RED29" s="1266"/>
      <c r="REE29" s="1266"/>
      <c r="REF29" s="1266"/>
      <c r="REG29" s="1266"/>
      <c r="REH29" s="1266"/>
      <c r="REI29" s="1266"/>
      <c r="REJ29" s="1266"/>
      <c r="REK29" s="1266"/>
      <c r="REL29" s="1266"/>
      <c r="REM29" s="1266"/>
      <c r="REN29" s="1266"/>
      <c r="REO29" s="1266"/>
      <c r="REP29" s="1266"/>
      <c r="REQ29" s="1266"/>
      <c r="RER29" s="1266"/>
      <c r="RES29" s="1266"/>
      <c r="RET29" s="1266"/>
      <c r="REU29" s="1266"/>
      <c r="REV29" s="1266"/>
      <c r="REW29" s="1266"/>
      <c r="REX29" s="1266"/>
      <c r="REY29" s="1266"/>
      <c r="REZ29" s="1266"/>
      <c r="RFA29" s="1266"/>
      <c r="RFB29" s="1266"/>
      <c r="RFC29" s="1266"/>
      <c r="RFD29" s="1266"/>
      <c r="RFE29" s="1266"/>
      <c r="RFF29" s="1266"/>
      <c r="RFG29" s="1266"/>
      <c r="RFH29" s="1266"/>
      <c r="RFI29" s="1266"/>
      <c r="RFJ29" s="1266"/>
      <c r="RFK29" s="1266"/>
      <c r="RFL29" s="1266"/>
      <c r="RFM29" s="1266"/>
      <c r="RFN29" s="1266"/>
      <c r="RFO29" s="1266"/>
      <c r="RFP29" s="1266"/>
      <c r="RFQ29" s="1266"/>
      <c r="RFR29" s="1266"/>
      <c r="RFS29" s="1266"/>
      <c r="RFT29" s="1266"/>
      <c r="RFU29" s="1266"/>
      <c r="RFV29" s="1266"/>
      <c r="RFW29" s="1266"/>
      <c r="RFX29" s="1266"/>
      <c r="RFY29" s="1266"/>
      <c r="RFZ29" s="1266"/>
      <c r="RGA29" s="1266"/>
      <c r="RGB29" s="1266"/>
      <c r="RGC29" s="1266"/>
      <c r="RGD29" s="1266"/>
      <c r="RGE29" s="1266"/>
      <c r="RGF29" s="1266"/>
      <c r="RGG29" s="1266"/>
      <c r="RGH29" s="1266"/>
      <c r="RGI29" s="1266"/>
      <c r="RGJ29" s="1266"/>
      <c r="RGK29" s="1266"/>
      <c r="RGL29" s="1266"/>
      <c r="RGM29" s="1266"/>
      <c r="RGN29" s="1266"/>
      <c r="RGO29" s="1266"/>
      <c r="RGP29" s="1266"/>
      <c r="RGQ29" s="1266"/>
      <c r="RGR29" s="1266"/>
      <c r="RGS29" s="1266"/>
      <c r="RGT29" s="1266"/>
      <c r="RGU29" s="1266"/>
      <c r="RGV29" s="1266"/>
      <c r="RGW29" s="1266"/>
      <c r="RGX29" s="1266"/>
      <c r="RGY29" s="1266"/>
      <c r="RGZ29" s="1266"/>
      <c r="RHA29" s="1266"/>
      <c r="RHB29" s="1266"/>
      <c r="RHC29" s="1266"/>
      <c r="RHD29" s="1266"/>
      <c r="RHE29" s="1266"/>
      <c r="RHF29" s="1266"/>
      <c r="RHG29" s="1266"/>
      <c r="RHH29" s="1266"/>
      <c r="RHI29" s="1266"/>
      <c r="RHJ29" s="1266"/>
      <c r="RHK29" s="1266"/>
      <c r="RHL29" s="1266"/>
      <c r="RHM29" s="1266"/>
      <c r="RHN29" s="1266"/>
      <c r="RHO29" s="1266"/>
      <c r="RHP29" s="1266"/>
      <c r="RHQ29" s="1266"/>
      <c r="RHR29" s="1266"/>
      <c r="RHS29" s="1266"/>
      <c r="RHT29" s="1266"/>
      <c r="RHU29" s="1266"/>
      <c r="RHV29" s="1266"/>
      <c r="RHW29" s="1266"/>
      <c r="RHX29" s="1266"/>
      <c r="RHY29" s="1266"/>
      <c r="RHZ29" s="1266"/>
      <c r="RIA29" s="1266"/>
      <c r="RIB29" s="1266"/>
      <c r="RIC29" s="1266"/>
      <c r="RID29" s="1266"/>
      <c r="RIE29" s="1266"/>
      <c r="RIF29" s="1266"/>
      <c r="RIG29" s="1266"/>
      <c r="RIH29" s="1266"/>
      <c r="RII29" s="1266"/>
      <c r="RIJ29" s="1266"/>
      <c r="RIK29" s="1266"/>
      <c r="RIL29" s="1266"/>
      <c r="RIM29" s="1266"/>
      <c r="RIN29" s="1266"/>
      <c r="RIO29" s="1266"/>
      <c r="RIP29" s="1266"/>
      <c r="RIQ29" s="1266"/>
      <c r="RIR29" s="1266"/>
      <c r="RIS29" s="1266"/>
      <c r="RIT29" s="1266"/>
      <c r="RIU29" s="1266"/>
      <c r="RIV29" s="1266"/>
      <c r="RIW29" s="1266"/>
      <c r="RIX29" s="1266"/>
      <c r="RIY29" s="1266"/>
      <c r="RIZ29" s="1266"/>
      <c r="RJA29" s="1266"/>
      <c r="RJB29" s="1266"/>
      <c r="RJC29" s="1266"/>
      <c r="RJD29" s="1266"/>
      <c r="RJE29" s="1266"/>
      <c r="RJF29" s="1266"/>
      <c r="RJG29" s="1266"/>
      <c r="RJH29" s="1266"/>
      <c r="RJI29" s="1266"/>
      <c r="RJJ29" s="1266"/>
      <c r="RJK29" s="1266"/>
      <c r="RJL29" s="1266"/>
      <c r="RJM29" s="1266"/>
      <c r="RJN29" s="1266"/>
      <c r="RJO29" s="1266"/>
      <c r="RJP29" s="1266"/>
      <c r="RJQ29" s="1266"/>
      <c r="RJR29" s="1266"/>
      <c r="RJS29" s="1266"/>
      <c r="RJT29" s="1266"/>
      <c r="RJU29" s="1266"/>
      <c r="RJV29" s="1266"/>
      <c r="RJW29" s="1266"/>
      <c r="RJX29" s="1266"/>
      <c r="RJY29" s="1266"/>
      <c r="RJZ29" s="1266"/>
      <c r="RKA29" s="1266"/>
      <c r="RKB29" s="1266"/>
      <c r="RKC29" s="1266"/>
      <c r="RKD29" s="1266"/>
      <c r="RKE29" s="1266"/>
      <c r="RKF29" s="1266"/>
      <c r="RKG29" s="1266"/>
      <c r="RKH29" s="1266"/>
      <c r="RKI29" s="1266"/>
      <c r="RKJ29" s="1266"/>
      <c r="RKK29" s="1266"/>
      <c r="RKL29" s="1266"/>
      <c r="RKM29" s="1266"/>
      <c r="RKN29" s="1266"/>
      <c r="RKO29" s="1266"/>
      <c r="RKP29" s="1266"/>
      <c r="RKQ29" s="1266"/>
      <c r="RKR29" s="1266"/>
      <c r="RKS29" s="1266"/>
      <c r="RKT29" s="1266"/>
      <c r="RKU29" s="1266"/>
      <c r="RKV29" s="1266"/>
      <c r="RKW29" s="1266"/>
      <c r="RKX29" s="1266"/>
      <c r="RKY29" s="1266"/>
      <c r="RKZ29" s="1266"/>
      <c r="RLA29" s="1266"/>
      <c r="RLB29" s="1266"/>
      <c r="RLC29" s="1266"/>
      <c r="RLD29" s="1266"/>
      <c r="RLE29" s="1266"/>
      <c r="RLF29" s="1266"/>
      <c r="RLG29" s="1266"/>
      <c r="RLH29" s="1266"/>
      <c r="RLI29" s="1266"/>
      <c r="RLJ29" s="1266"/>
      <c r="RLK29" s="1266"/>
      <c r="RLL29" s="1266"/>
      <c r="RLM29" s="1266"/>
      <c r="RLN29" s="1266"/>
      <c r="RLO29" s="1266"/>
      <c r="RLP29" s="1266"/>
      <c r="RLQ29" s="1266"/>
      <c r="RLR29" s="1266"/>
      <c r="RLS29" s="1266"/>
      <c r="RLT29" s="1266"/>
      <c r="RLU29" s="1266"/>
      <c r="RLV29" s="1266"/>
      <c r="RLW29" s="1266"/>
      <c r="RLX29" s="1266"/>
      <c r="RLY29" s="1266"/>
      <c r="RLZ29" s="1266"/>
      <c r="RMA29" s="1266"/>
      <c r="RMB29" s="1266"/>
      <c r="RMC29" s="1266"/>
      <c r="RMD29" s="1266"/>
      <c r="RME29" s="1266"/>
      <c r="RMF29" s="1266"/>
      <c r="RMG29" s="1266"/>
      <c r="RMH29" s="1266"/>
      <c r="RMI29" s="1266"/>
      <c r="RMJ29" s="1266"/>
      <c r="RMK29" s="1266"/>
      <c r="RML29" s="1266"/>
      <c r="RMM29" s="1266"/>
      <c r="RMN29" s="1266"/>
      <c r="RMO29" s="1266"/>
      <c r="RMP29" s="1266"/>
      <c r="RMQ29" s="1266"/>
      <c r="RMR29" s="1266"/>
      <c r="RMS29" s="1266"/>
      <c r="RMT29" s="1266"/>
      <c r="RMU29" s="1266"/>
      <c r="RMV29" s="1266"/>
      <c r="RMW29" s="1266"/>
      <c r="RMX29" s="1266"/>
      <c r="RMY29" s="1266"/>
      <c r="RMZ29" s="1266"/>
      <c r="RNA29" s="1266"/>
      <c r="RNB29" s="1266"/>
      <c r="RNC29" s="1266"/>
      <c r="RND29" s="1266"/>
      <c r="RNE29" s="1266"/>
      <c r="RNF29" s="1266"/>
      <c r="RNG29" s="1266"/>
      <c r="RNH29" s="1266"/>
      <c r="RNI29" s="1266"/>
      <c r="RNJ29" s="1266"/>
      <c r="RNK29" s="1266"/>
      <c r="RNL29" s="1266"/>
      <c r="RNM29" s="1266"/>
      <c r="RNN29" s="1266"/>
      <c r="RNO29" s="1266"/>
      <c r="RNP29" s="1266"/>
      <c r="RNQ29" s="1266"/>
      <c r="RNR29" s="1266"/>
      <c r="RNS29" s="1266"/>
      <c r="RNT29" s="1266"/>
      <c r="RNU29" s="1266"/>
      <c r="RNV29" s="1266"/>
      <c r="RNW29" s="1266"/>
      <c r="RNX29" s="1266"/>
      <c r="RNY29" s="1266"/>
      <c r="RNZ29" s="1266"/>
      <c r="ROA29" s="1266"/>
      <c r="ROB29" s="1266"/>
      <c r="ROC29" s="1266"/>
      <c r="ROD29" s="1266"/>
      <c r="ROE29" s="1266"/>
      <c r="ROF29" s="1266"/>
      <c r="ROG29" s="1266"/>
      <c r="ROH29" s="1266"/>
      <c r="ROI29" s="1266"/>
      <c r="ROJ29" s="1266"/>
      <c r="ROK29" s="1266"/>
      <c r="ROL29" s="1266"/>
      <c r="ROM29" s="1266"/>
      <c r="RON29" s="1266"/>
      <c r="ROO29" s="1266"/>
      <c r="ROP29" s="1266"/>
      <c r="ROQ29" s="1266"/>
      <c r="ROR29" s="1266"/>
      <c r="ROS29" s="1266"/>
      <c r="ROT29" s="1266"/>
      <c r="ROU29" s="1266"/>
      <c r="ROV29" s="1266"/>
      <c r="ROW29" s="1266"/>
      <c r="ROX29" s="1266"/>
      <c r="ROY29" s="1266"/>
      <c r="ROZ29" s="1266"/>
      <c r="RPA29" s="1266"/>
      <c r="RPB29" s="1266"/>
      <c r="RPC29" s="1266"/>
      <c r="RPD29" s="1266"/>
      <c r="RPE29" s="1266"/>
      <c r="RPF29" s="1266"/>
      <c r="RPG29" s="1266"/>
      <c r="RPH29" s="1266"/>
      <c r="RPI29" s="1266"/>
      <c r="RPJ29" s="1266"/>
      <c r="RPK29" s="1266"/>
      <c r="RPL29" s="1266"/>
      <c r="RPM29" s="1266"/>
      <c r="RPN29" s="1266"/>
      <c r="RPO29" s="1266"/>
      <c r="RPP29" s="1266"/>
      <c r="RPQ29" s="1266"/>
      <c r="RPR29" s="1266"/>
      <c r="RPS29" s="1266"/>
      <c r="RPT29" s="1266"/>
      <c r="RPU29" s="1266"/>
      <c r="RPV29" s="1266"/>
      <c r="RPW29" s="1266"/>
      <c r="RPX29" s="1266"/>
      <c r="RPY29" s="1266"/>
      <c r="RPZ29" s="1266"/>
      <c r="RQA29" s="1266"/>
      <c r="RQB29" s="1266"/>
      <c r="RQC29" s="1266"/>
      <c r="RQD29" s="1266"/>
      <c r="RQE29" s="1266"/>
      <c r="RQF29" s="1266"/>
      <c r="RQG29" s="1266"/>
      <c r="RQH29" s="1266"/>
      <c r="RQI29" s="1266"/>
      <c r="RQJ29" s="1266"/>
      <c r="RQK29" s="1266"/>
      <c r="RQL29" s="1266"/>
      <c r="RQM29" s="1266"/>
      <c r="RQN29" s="1266"/>
      <c r="RQO29" s="1266"/>
      <c r="RQP29" s="1266"/>
      <c r="RQQ29" s="1266"/>
      <c r="RQR29" s="1266"/>
      <c r="RQS29" s="1266"/>
      <c r="RQT29" s="1266"/>
      <c r="RQU29" s="1266"/>
      <c r="RQV29" s="1266"/>
      <c r="RQW29" s="1266"/>
      <c r="RQX29" s="1266"/>
      <c r="RQY29" s="1266"/>
      <c r="RQZ29" s="1266"/>
      <c r="RRA29" s="1266"/>
      <c r="RRB29" s="1266"/>
      <c r="RRC29" s="1266"/>
      <c r="RRD29" s="1266"/>
      <c r="RRE29" s="1266"/>
      <c r="RRF29" s="1266"/>
      <c r="RRG29" s="1266"/>
      <c r="RRH29" s="1266"/>
      <c r="RRI29" s="1266"/>
      <c r="RRJ29" s="1266"/>
      <c r="RRK29" s="1266"/>
      <c r="RRL29" s="1266"/>
      <c r="RRM29" s="1266"/>
      <c r="RRN29" s="1266"/>
      <c r="RRO29" s="1266"/>
      <c r="RRP29" s="1266"/>
      <c r="RRQ29" s="1266"/>
      <c r="RRR29" s="1266"/>
      <c r="RRS29" s="1266"/>
      <c r="RRT29" s="1266"/>
      <c r="RRU29" s="1266"/>
      <c r="RRV29" s="1266"/>
      <c r="RRW29" s="1266"/>
      <c r="RRX29" s="1266"/>
      <c r="RRY29" s="1266"/>
      <c r="RRZ29" s="1266"/>
      <c r="RSA29" s="1266"/>
      <c r="RSB29" s="1266"/>
      <c r="RSC29" s="1266"/>
      <c r="RSD29" s="1266"/>
      <c r="RSE29" s="1266"/>
      <c r="RSF29" s="1266"/>
      <c r="RSG29" s="1266"/>
      <c r="RSH29" s="1266"/>
      <c r="RSI29" s="1266"/>
      <c r="RSJ29" s="1266"/>
      <c r="RSK29" s="1266"/>
      <c r="RSL29" s="1266"/>
      <c r="RSM29" s="1266"/>
      <c r="RSN29" s="1266"/>
      <c r="RSO29" s="1266"/>
      <c r="RSP29" s="1266"/>
      <c r="RSQ29" s="1266"/>
      <c r="RSR29" s="1266"/>
      <c r="RSS29" s="1266"/>
      <c r="RST29" s="1266"/>
      <c r="RSU29" s="1266"/>
      <c r="RSV29" s="1266"/>
      <c r="RSW29" s="1266"/>
      <c r="RSX29" s="1266"/>
      <c r="RSY29" s="1266"/>
      <c r="RSZ29" s="1266"/>
      <c r="RTA29" s="1266"/>
      <c r="RTB29" s="1266"/>
      <c r="RTC29" s="1266"/>
      <c r="RTD29" s="1266"/>
      <c r="RTE29" s="1266"/>
      <c r="RTF29" s="1266"/>
      <c r="RTG29" s="1266"/>
      <c r="RTH29" s="1266"/>
      <c r="RTI29" s="1266"/>
      <c r="RTJ29" s="1266"/>
      <c r="RTK29" s="1266"/>
      <c r="RTL29" s="1266"/>
      <c r="RTM29" s="1266"/>
      <c r="RTN29" s="1266"/>
      <c r="RTO29" s="1266"/>
      <c r="RTP29" s="1266"/>
      <c r="RTQ29" s="1266"/>
      <c r="RTR29" s="1266"/>
      <c r="RTS29" s="1266"/>
      <c r="RTT29" s="1266"/>
      <c r="RTU29" s="1266"/>
      <c r="RTV29" s="1266"/>
      <c r="RTW29" s="1266"/>
      <c r="RTX29" s="1266"/>
      <c r="RTY29" s="1266"/>
      <c r="RTZ29" s="1266"/>
      <c r="RUA29" s="1266"/>
      <c r="RUB29" s="1266"/>
      <c r="RUC29" s="1266"/>
      <c r="RUD29" s="1266"/>
      <c r="RUE29" s="1266"/>
      <c r="RUF29" s="1266"/>
      <c r="RUG29" s="1266"/>
      <c r="RUH29" s="1266"/>
      <c r="RUI29" s="1266"/>
      <c r="RUJ29" s="1266"/>
      <c r="RUK29" s="1266"/>
      <c r="RUL29" s="1266"/>
      <c r="RUM29" s="1266"/>
      <c r="RUN29" s="1266"/>
      <c r="RUO29" s="1266"/>
      <c r="RUP29" s="1266"/>
      <c r="RUQ29" s="1266"/>
      <c r="RUR29" s="1266"/>
      <c r="RUS29" s="1266"/>
      <c r="RUT29" s="1266"/>
      <c r="RUU29" s="1266"/>
      <c r="RUV29" s="1266"/>
      <c r="RUW29" s="1266"/>
      <c r="RUX29" s="1266"/>
      <c r="RUY29" s="1266"/>
      <c r="RUZ29" s="1266"/>
      <c r="RVA29" s="1266"/>
      <c r="RVB29" s="1266"/>
      <c r="RVC29" s="1266"/>
      <c r="RVD29" s="1266"/>
      <c r="RVE29" s="1266"/>
      <c r="RVF29" s="1266"/>
      <c r="RVG29" s="1266"/>
      <c r="RVH29" s="1266"/>
      <c r="RVI29" s="1266"/>
      <c r="RVJ29" s="1266"/>
      <c r="RVK29" s="1266"/>
      <c r="RVL29" s="1266"/>
      <c r="RVM29" s="1266"/>
      <c r="RVN29" s="1266"/>
      <c r="RVO29" s="1266"/>
      <c r="RVP29" s="1266"/>
      <c r="RVQ29" s="1266"/>
      <c r="RVR29" s="1266"/>
      <c r="RVS29" s="1266"/>
      <c r="RVT29" s="1266"/>
      <c r="RVU29" s="1266"/>
      <c r="RVV29" s="1266"/>
      <c r="RVW29" s="1266"/>
      <c r="RVX29" s="1266"/>
      <c r="RVY29" s="1266"/>
      <c r="RVZ29" s="1266"/>
      <c r="RWA29" s="1266"/>
      <c r="RWB29" s="1266"/>
      <c r="RWC29" s="1266"/>
      <c r="RWD29" s="1266"/>
      <c r="RWE29" s="1266"/>
      <c r="RWF29" s="1266"/>
      <c r="RWG29" s="1266"/>
      <c r="RWH29" s="1266"/>
      <c r="RWI29" s="1266"/>
      <c r="RWJ29" s="1266"/>
      <c r="RWK29" s="1266"/>
      <c r="RWL29" s="1266"/>
      <c r="RWM29" s="1266"/>
      <c r="RWN29" s="1266"/>
      <c r="RWO29" s="1266"/>
      <c r="RWP29" s="1266"/>
      <c r="RWQ29" s="1266"/>
      <c r="RWR29" s="1266"/>
      <c r="RWS29" s="1266"/>
      <c r="RWT29" s="1266"/>
      <c r="RWU29" s="1266"/>
      <c r="RWV29" s="1266"/>
      <c r="RWW29" s="1266"/>
      <c r="RWX29" s="1266"/>
      <c r="RWY29" s="1266"/>
      <c r="RWZ29" s="1266"/>
      <c r="RXA29" s="1266"/>
      <c r="RXB29" s="1266"/>
      <c r="RXC29" s="1266"/>
      <c r="RXD29" s="1266"/>
      <c r="RXE29" s="1266"/>
      <c r="RXF29" s="1266"/>
      <c r="RXG29" s="1266"/>
      <c r="RXH29" s="1266"/>
      <c r="RXI29" s="1266"/>
      <c r="RXJ29" s="1266"/>
      <c r="RXK29" s="1266"/>
      <c r="RXL29" s="1266"/>
      <c r="RXM29" s="1266"/>
      <c r="RXN29" s="1266"/>
      <c r="RXO29" s="1266"/>
      <c r="RXP29" s="1266"/>
      <c r="RXQ29" s="1266"/>
      <c r="RXR29" s="1266"/>
      <c r="RXS29" s="1266"/>
      <c r="RXT29" s="1266"/>
      <c r="RXU29" s="1266"/>
      <c r="RXV29" s="1266"/>
      <c r="RXW29" s="1266"/>
      <c r="RXX29" s="1266"/>
      <c r="RXY29" s="1266"/>
      <c r="RXZ29" s="1266"/>
      <c r="RYA29" s="1266"/>
      <c r="RYB29" s="1266"/>
      <c r="RYC29" s="1266"/>
      <c r="RYD29" s="1266"/>
      <c r="RYE29" s="1266"/>
      <c r="RYF29" s="1266"/>
      <c r="RYG29" s="1266"/>
      <c r="RYH29" s="1266"/>
      <c r="RYI29" s="1266"/>
      <c r="RYJ29" s="1266"/>
      <c r="RYK29" s="1266"/>
      <c r="RYL29" s="1266"/>
      <c r="RYM29" s="1266"/>
      <c r="RYN29" s="1266"/>
      <c r="RYO29" s="1266"/>
      <c r="RYP29" s="1266"/>
      <c r="RYQ29" s="1266"/>
      <c r="RYR29" s="1266"/>
      <c r="RYS29" s="1266"/>
      <c r="RYT29" s="1266"/>
      <c r="RYU29" s="1266"/>
      <c r="RYV29" s="1266"/>
      <c r="RYW29" s="1266"/>
      <c r="RYX29" s="1266"/>
      <c r="RYY29" s="1266"/>
      <c r="RYZ29" s="1266"/>
      <c r="RZA29" s="1266"/>
      <c r="RZB29" s="1266"/>
      <c r="RZC29" s="1266"/>
      <c r="RZD29" s="1266"/>
      <c r="RZE29" s="1266"/>
      <c r="RZF29" s="1266"/>
      <c r="RZG29" s="1266"/>
      <c r="RZH29" s="1266"/>
      <c r="RZI29" s="1266"/>
      <c r="RZJ29" s="1266"/>
      <c r="RZK29" s="1266"/>
      <c r="RZL29" s="1266"/>
      <c r="RZM29" s="1266"/>
      <c r="RZN29" s="1266"/>
      <c r="RZO29" s="1266"/>
      <c r="RZP29" s="1266"/>
      <c r="RZQ29" s="1266"/>
      <c r="RZR29" s="1266"/>
      <c r="RZS29" s="1266"/>
      <c r="RZT29" s="1266"/>
      <c r="RZU29" s="1266"/>
      <c r="RZV29" s="1266"/>
      <c r="RZW29" s="1266"/>
      <c r="RZX29" s="1266"/>
      <c r="RZY29" s="1266"/>
      <c r="RZZ29" s="1266"/>
      <c r="SAA29" s="1266"/>
      <c r="SAB29" s="1266"/>
      <c r="SAC29" s="1266"/>
      <c r="SAD29" s="1266"/>
      <c r="SAE29" s="1266"/>
      <c r="SAF29" s="1266"/>
      <c r="SAG29" s="1266"/>
      <c r="SAH29" s="1266"/>
      <c r="SAI29" s="1266"/>
      <c r="SAJ29" s="1266"/>
      <c r="SAK29" s="1266"/>
      <c r="SAL29" s="1266"/>
      <c r="SAM29" s="1266"/>
      <c r="SAN29" s="1266"/>
      <c r="SAO29" s="1266"/>
      <c r="SAP29" s="1266"/>
      <c r="SAQ29" s="1266"/>
      <c r="SAR29" s="1266"/>
      <c r="SAS29" s="1266"/>
      <c r="SAT29" s="1266"/>
      <c r="SAU29" s="1266"/>
      <c r="SAV29" s="1266"/>
      <c r="SAW29" s="1266"/>
      <c r="SAX29" s="1266"/>
      <c r="SAY29" s="1266"/>
      <c r="SAZ29" s="1266"/>
      <c r="SBA29" s="1266"/>
      <c r="SBB29" s="1266"/>
      <c r="SBC29" s="1266"/>
      <c r="SBD29" s="1266"/>
      <c r="SBE29" s="1266"/>
      <c r="SBF29" s="1266"/>
      <c r="SBG29" s="1266"/>
      <c r="SBH29" s="1266"/>
      <c r="SBI29" s="1266"/>
      <c r="SBJ29" s="1266"/>
      <c r="SBK29" s="1266"/>
      <c r="SBL29" s="1266"/>
      <c r="SBM29" s="1266"/>
      <c r="SBN29" s="1266"/>
      <c r="SBO29" s="1266"/>
      <c r="SBP29" s="1266"/>
      <c r="SBQ29" s="1266"/>
      <c r="SBR29" s="1266"/>
      <c r="SBS29" s="1266"/>
      <c r="SBT29" s="1266"/>
      <c r="SBU29" s="1266"/>
      <c r="SBV29" s="1266"/>
      <c r="SBW29" s="1266"/>
      <c r="SBX29" s="1266"/>
      <c r="SBY29" s="1266"/>
      <c r="SBZ29" s="1266"/>
      <c r="SCA29" s="1266"/>
      <c r="SCB29" s="1266"/>
      <c r="SCC29" s="1266"/>
      <c r="SCD29" s="1266"/>
      <c r="SCE29" s="1266"/>
      <c r="SCF29" s="1266"/>
      <c r="SCG29" s="1266"/>
      <c r="SCH29" s="1266"/>
      <c r="SCI29" s="1266"/>
      <c r="SCJ29" s="1266"/>
      <c r="SCK29" s="1266"/>
      <c r="SCL29" s="1266"/>
      <c r="SCM29" s="1266"/>
      <c r="SCN29" s="1266"/>
      <c r="SCO29" s="1266"/>
      <c r="SCP29" s="1266"/>
      <c r="SCQ29" s="1266"/>
      <c r="SCR29" s="1266"/>
      <c r="SCS29" s="1266"/>
      <c r="SCT29" s="1266"/>
      <c r="SCU29" s="1266"/>
      <c r="SCV29" s="1266"/>
      <c r="SCW29" s="1266"/>
      <c r="SCX29" s="1266"/>
      <c r="SCY29" s="1266"/>
      <c r="SCZ29" s="1266"/>
      <c r="SDA29" s="1266"/>
      <c r="SDB29" s="1266"/>
      <c r="SDC29" s="1266"/>
      <c r="SDD29" s="1266"/>
      <c r="SDE29" s="1266"/>
      <c r="SDF29" s="1266"/>
      <c r="SDG29" s="1266"/>
      <c r="SDH29" s="1266"/>
      <c r="SDI29" s="1266"/>
      <c r="SDJ29" s="1266"/>
      <c r="SDK29" s="1266"/>
      <c r="SDL29" s="1266"/>
      <c r="SDM29" s="1266"/>
      <c r="SDN29" s="1266"/>
      <c r="SDO29" s="1266"/>
      <c r="SDP29" s="1266"/>
      <c r="SDQ29" s="1266"/>
      <c r="SDR29" s="1266"/>
      <c r="SDS29" s="1266"/>
      <c r="SDT29" s="1266"/>
      <c r="SDU29" s="1266"/>
      <c r="SDV29" s="1266"/>
      <c r="SDW29" s="1266"/>
      <c r="SDX29" s="1266"/>
      <c r="SDY29" s="1266"/>
      <c r="SDZ29" s="1266"/>
      <c r="SEA29" s="1266"/>
      <c r="SEB29" s="1266"/>
      <c r="SEC29" s="1266"/>
      <c r="SED29" s="1266"/>
      <c r="SEE29" s="1266"/>
      <c r="SEF29" s="1266"/>
      <c r="SEG29" s="1266"/>
      <c r="SEH29" s="1266"/>
      <c r="SEI29" s="1266"/>
      <c r="SEJ29" s="1266"/>
      <c r="SEK29" s="1266"/>
      <c r="SEL29" s="1266"/>
      <c r="SEM29" s="1266"/>
      <c r="SEN29" s="1266"/>
      <c r="SEO29" s="1266"/>
      <c r="SEP29" s="1266"/>
      <c r="SEQ29" s="1266"/>
      <c r="SER29" s="1266"/>
      <c r="SES29" s="1266"/>
      <c r="SET29" s="1266"/>
      <c r="SEU29" s="1266"/>
      <c r="SEV29" s="1266"/>
      <c r="SEW29" s="1266"/>
      <c r="SEX29" s="1266"/>
      <c r="SEY29" s="1266"/>
      <c r="SEZ29" s="1266"/>
      <c r="SFA29" s="1266"/>
      <c r="SFB29" s="1266"/>
      <c r="SFC29" s="1266"/>
      <c r="SFD29" s="1266"/>
      <c r="SFE29" s="1266"/>
      <c r="SFF29" s="1266"/>
      <c r="SFG29" s="1266"/>
      <c r="SFH29" s="1266"/>
      <c r="SFI29" s="1266"/>
      <c r="SFJ29" s="1266"/>
      <c r="SFK29" s="1266"/>
      <c r="SFL29" s="1266"/>
      <c r="SFM29" s="1266"/>
      <c r="SFN29" s="1266"/>
      <c r="SFO29" s="1266"/>
      <c r="SFP29" s="1266"/>
      <c r="SFQ29" s="1266"/>
      <c r="SFR29" s="1266"/>
      <c r="SFS29" s="1266"/>
      <c r="SFT29" s="1266"/>
      <c r="SFU29" s="1266"/>
      <c r="SFV29" s="1266"/>
      <c r="SFW29" s="1266"/>
      <c r="SFX29" s="1266"/>
      <c r="SFY29" s="1266"/>
      <c r="SFZ29" s="1266"/>
      <c r="SGA29" s="1266"/>
      <c r="SGB29" s="1266"/>
      <c r="SGC29" s="1266"/>
      <c r="SGD29" s="1266"/>
      <c r="SGE29" s="1266"/>
      <c r="SGF29" s="1266"/>
      <c r="SGG29" s="1266"/>
      <c r="SGH29" s="1266"/>
      <c r="SGI29" s="1266"/>
      <c r="SGJ29" s="1266"/>
      <c r="SGK29" s="1266"/>
      <c r="SGL29" s="1266"/>
      <c r="SGM29" s="1266"/>
      <c r="SGN29" s="1266"/>
      <c r="SGO29" s="1266"/>
      <c r="SGP29" s="1266"/>
      <c r="SGQ29" s="1266"/>
      <c r="SGR29" s="1266"/>
      <c r="SGS29" s="1266"/>
      <c r="SGT29" s="1266"/>
      <c r="SGU29" s="1266"/>
      <c r="SGV29" s="1266"/>
      <c r="SGW29" s="1266"/>
      <c r="SGX29" s="1266"/>
      <c r="SGY29" s="1266"/>
      <c r="SGZ29" s="1266"/>
      <c r="SHA29" s="1266"/>
      <c r="SHB29" s="1266"/>
      <c r="SHC29" s="1266"/>
      <c r="SHD29" s="1266"/>
      <c r="SHE29" s="1266"/>
      <c r="SHF29" s="1266"/>
      <c r="SHG29" s="1266"/>
      <c r="SHH29" s="1266"/>
      <c r="SHI29" s="1266"/>
      <c r="SHJ29" s="1266"/>
      <c r="SHK29" s="1266"/>
      <c r="SHL29" s="1266"/>
      <c r="SHM29" s="1266"/>
      <c r="SHN29" s="1266"/>
      <c r="SHO29" s="1266"/>
      <c r="SHP29" s="1266"/>
      <c r="SHQ29" s="1266"/>
      <c r="SHR29" s="1266"/>
      <c r="SHS29" s="1266"/>
      <c r="SHT29" s="1266"/>
      <c r="SHU29" s="1266"/>
      <c r="SHV29" s="1266"/>
      <c r="SHW29" s="1266"/>
      <c r="SHX29" s="1266"/>
      <c r="SHY29" s="1266"/>
      <c r="SHZ29" s="1266"/>
      <c r="SIA29" s="1266"/>
      <c r="SIB29" s="1266"/>
      <c r="SIC29" s="1266"/>
      <c r="SID29" s="1266"/>
      <c r="SIE29" s="1266"/>
      <c r="SIF29" s="1266"/>
      <c r="SIG29" s="1266"/>
      <c r="SIH29" s="1266"/>
      <c r="SII29" s="1266"/>
      <c r="SIJ29" s="1266"/>
      <c r="SIK29" s="1266"/>
      <c r="SIL29" s="1266"/>
      <c r="SIM29" s="1266"/>
      <c r="SIN29" s="1266"/>
      <c r="SIO29" s="1266"/>
      <c r="SIP29" s="1266"/>
      <c r="SIQ29" s="1266"/>
      <c r="SIR29" s="1266"/>
      <c r="SIS29" s="1266"/>
      <c r="SIT29" s="1266"/>
      <c r="SIU29" s="1266"/>
      <c r="SIV29" s="1266"/>
      <c r="SIW29" s="1266"/>
      <c r="SIX29" s="1266"/>
      <c r="SIY29" s="1266"/>
      <c r="SIZ29" s="1266"/>
      <c r="SJA29" s="1266"/>
      <c r="SJB29" s="1266"/>
      <c r="SJC29" s="1266"/>
      <c r="SJD29" s="1266"/>
      <c r="SJE29" s="1266"/>
      <c r="SJF29" s="1266"/>
      <c r="SJG29" s="1266"/>
      <c r="SJH29" s="1266"/>
      <c r="SJI29" s="1266"/>
      <c r="SJJ29" s="1266"/>
      <c r="SJK29" s="1266"/>
      <c r="SJL29" s="1266"/>
      <c r="SJM29" s="1266"/>
      <c r="SJN29" s="1266"/>
      <c r="SJO29" s="1266"/>
      <c r="SJP29" s="1266"/>
      <c r="SJQ29" s="1266"/>
      <c r="SJR29" s="1266"/>
      <c r="SJS29" s="1266"/>
      <c r="SJT29" s="1266"/>
      <c r="SJU29" s="1266"/>
      <c r="SJV29" s="1266"/>
      <c r="SJW29" s="1266"/>
      <c r="SJX29" s="1266"/>
      <c r="SJY29" s="1266"/>
      <c r="SJZ29" s="1266"/>
      <c r="SKA29" s="1266"/>
      <c r="SKB29" s="1266"/>
      <c r="SKC29" s="1266"/>
      <c r="SKD29" s="1266"/>
      <c r="SKE29" s="1266"/>
      <c r="SKF29" s="1266"/>
      <c r="SKG29" s="1266"/>
      <c r="SKH29" s="1266"/>
      <c r="SKI29" s="1266"/>
      <c r="SKJ29" s="1266"/>
      <c r="SKK29" s="1266"/>
      <c r="SKL29" s="1266"/>
      <c r="SKM29" s="1266"/>
      <c r="SKN29" s="1266"/>
      <c r="SKO29" s="1266"/>
      <c r="SKP29" s="1266"/>
      <c r="SKQ29" s="1266"/>
      <c r="SKR29" s="1266"/>
      <c r="SKS29" s="1266"/>
      <c r="SKT29" s="1266"/>
      <c r="SKU29" s="1266"/>
      <c r="SKV29" s="1266"/>
      <c r="SKW29" s="1266"/>
      <c r="SKX29" s="1266"/>
      <c r="SKY29" s="1266"/>
      <c r="SKZ29" s="1266"/>
      <c r="SLA29" s="1266"/>
      <c r="SLB29" s="1266"/>
      <c r="SLC29" s="1266"/>
      <c r="SLD29" s="1266"/>
      <c r="SLE29" s="1266"/>
      <c r="SLF29" s="1266"/>
      <c r="SLG29" s="1266"/>
      <c r="SLH29" s="1266"/>
      <c r="SLI29" s="1266"/>
      <c r="SLJ29" s="1266"/>
      <c r="SLK29" s="1266"/>
      <c r="SLL29" s="1266"/>
      <c r="SLM29" s="1266"/>
      <c r="SLN29" s="1266"/>
      <c r="SLO29" s="1266"/>
      <c r="SLP29" s="1266"/>
      <c r="SLQ29" s="1266"/>
      <c r="SLR29" s="1266"/>
      <c r="SLS29" s="1266"/>
      <c r="SLT29" s="1266"/>
      <c r="SLU29" s="1266"/>
      <c r="SLV29" s="1266"/>
      <c r="SLW29" s="1266"/>
      <c r="SLX29" s="1266"/>
      <c r="SLY29" s="1266"/>
      <c r="SLZ29" s="1266"/>
      <c r="SMA29" s="1266"/>
      <c r="SMB29" s="1266"/>
      <c r="SMC29" s="1266"/>
      <c r="SMD29" s="1266"/>
      <c r="SME29" s="1266"/>
      <c r="SMF29" s="1266"/>
      <c r="SMG29" s="1266"/>
      <c r="SMH29" s="1266"/>
      <c r="SMI29" s="1266"/>
      <c r="SMJ29" s="1266"/>
      <c r="SMK29" s="1266"/>
      <c r="SML29" s="1266"/>
      <c r="SMM29" s="1266"/>
      <c r="SMN29" s="1266"/>
      <c r="SMO29" s="1266"/>
      <c r="SMP29" s="1266"/>
      <c r="SMQ29" s="1266"/>
      <c r="SMR29" s="1266"/>
      <c r="SMS29" s="1266"/>
      <c r="SMT29" s="1266"/>
      <c r="SMU29" s="1266"/>
      <c r="SMV29" s="1266"/>
      <c r="SMW29" s="1266"/>
      <c r="SMX29" s="1266"/>
      <c r="SMY29" s="1266"/>
      <c r="SMZ29" s="1266"/>
      <c r="SNA29" s="1266"/>
      <c r="SNB29" s="1266"/>
      <c r="SNC29" s="1266"/>
      <c r="SND29" s="1266"/>
      <c r="SNE29" s="1266"/>
      <c r="SNF29" s="1266"/>
      <c r="SNG29" s="1266"/>
      <c r="SNH29" s="1266"/>
      <c r="SNI29" s="1266"/>
      <c r="SNJ29" s="1266"/>
      <c r="SNK29" s="1266"/>
      <c r="SNL29" s="1266"/>
      <c r="SNM29" s="1266"/>
      <c r="SNN29" s="1266"/>
      <c r="SNO29" s="1266"/>
      <c r="SNP29" s="1266"/>
      <c r="SNQ29" s="1266"/>
      <c r="SNR29" s="1266"/>
      <c r="SNS29" s="1266"/>
      <c r="SNT29" s="1266"/>
      <c r="SNU29" s="1266"/>
      <c r="SNV29" s="1266"/>
      <c r="SNW29" s="1266"/>
      <c r="SNX29" s="1266"/>
      <c r="SNY29" s="1266"/>
      <c r="SNZ29" s="1266"/>
      <c r="SOA29" s="1266"/>
      <c r="SOB29" s="1266"/>
      <c r="SOC29" s="1266"/>
      <c r="SOD29" s="1266"/>
      <c r="SOE29" s="1266"/>
      <c r="SOF29" s="1266"/>
      <c r="SOG29" s="1266"/>
      <c r="SOH29" s="1266"/>
      <c r="SOI29" s="1266"/>
      <c r="SOJ29" s="1266"/>
      <c r="SOK29" s="1266"/>
      <c r="SOL29" s="1266"/>
      <c r="SOM29" s="1266"/>
      <c r="SON29" s="1266"/>
      <c r="SOO29" s="1266"/>
      <c r="SOP29" s="1266"/>
      <c r="SOQ29" s="1266"/>
      <c r="SOR29" s="1266"/>
      <c r="SOS29" s="1266"/>
      <c r="SOT29" s="1266"/>
      <c r="SOU29" s="1266"/>
      <c r="SOV29" s="1266"/>
      <c r="SOW29" s="1266"/>
      <c r="SOX29" s="1266"/>
      <c r="SOY29" s="1266"/>
      <c r="SOZ29" s="1266"/>
      <c r="SPA29" s="1266"/>
      <c r="SPB29" s="1266"/>
      <c r="SPC29" s="1266"/>
      <c r="SPD29" s="1266"/>
      <c r="SPE29" s="1266"/>
      <c r="SPF29" s="1266"/>
      <c r="SPG29" s="1266"/>
      <c r="SPH29" s="1266"/>
      <c r="SPI29" s="1266"/>
      <c r="SPJ29" s="1266"/>
      <c r="SPK29" s="1266"/>
      <c r="SPL29" s="1266"/>
      <c r="SPM29" s="1266"/>
      <c r="SPN29" s="1266"/>
      <c r="SPO29" s="1266"/>
      <c r="SPP29" s="1266"/>
      <c r="SPQ29" s="1266"/>
      <c r="SPR29" s="1266"/>
      <c r="SPS29" s="1266"/>
      <c r="SPT29" s="1266"/>
      <c r="SPU29" s="1266"/>
      <c r="SPV29" s="1266"/>
      <c r="SPW29" s="1266"/>
      <c r="SPX29" s="1266"/>
      <c r="SPY29" s="1266"/>
      <c r="SPZ29" s="1266"/>
      <c r="SQA29" s="1266"/>
      <c r="SQB29" s="1266"/>
      <c r="SQC29" s="1266"/>
      <c r="SQD29" s="1266"/>
      <c r="SQE29" s="1266"/>
      <c r="SQF29" s="1266"/>
      <c r="SQG29" s="1266"/>
      <c r="SQH29" s="1266"/>
      <c r="SQI29" s="1266"/>
      <c r="SQJ29" s="1266"/>
      <c r="SQK29" s="1266"/>
      <c r="SQL29" s="1266"/>
      <c r="SQM29" s="1266"/>
      <c r="SQN29" s="1266"/>
      <c r="SQO29" s="1266"/>
      <c r="SQP29" s="1266"/>
      <c r="SQQ29" s="1266"/>
      <c r="SQR29" s="1266"/>
      <c r="SQS29" s="1266"/>
      <c r="SQT29" s="1266"/>
      <c r="SQU29" s="1266"/>
      <c r="SQV29" s="1266"/>
      <c r="SQW29" s="1266"/>
      <c r="SQX29" s="1266"/>
      <c r="SQY29" s="1266"/>
      <c r="SQZ29" s="1266"/>
      <c r="SRA29" s="1266"/>
      <c r="SRB29" s="1266"/>
      <c r="SRC29" s="1266"/>
      <c r="SRD29" s="1266"/>
      <c r="SRE29" s="1266"/>
      <c r="SRF29" s="1266"/>
      <c r="SRG29" s="1266"/>
      <c r="SRH29" s="1266"/>
      <c r="SRI29" s="1266"/>
      <c r="SRJ29" s="1266"/>
      <c r="SRK29" s="1266"/>
      <c r="SRL29" s="1266"/>
      <c r="SRM29" s="1266"/>
      <c r="SRN29" s="1266"/>
      <c r="SRO29" s="1266"/>
      <c r="SRP29" s="1266"/>
      <c r="SRQ29" s="1266"/>
      <c r="SRR29" s="1266"/>
      <c r="SRS29" s="1266"/>
      <c r="SRT29" s="1266"/>
      <c r="SRU29" s="1266"/>
      <c r="SRV29" s="1266"/>
      <c r="SRW29" s="1266"/>
      <c r="SRX29" s="1266"/>
      <c r="SRY29" s="1266"/>
      <c r="SRZ29" s="1266"/>
      <c r="SSA29" s="1266"/>
      <c r="SSB29" s="1266"/>
      <c r="SSC29" s="1266"/>
      <c r="SSD29" s="1266"/>
      <c r="SSE29" s="1266"/>
      <c r="SSF29" s="1266"/>
      <c r="SSG29" s="1266"/>
      <c r="SSH29" s="1266"/>
      <c r="SSI29" s="1266"/>
      <c r="SSJ29" s="1266"/>
      <c r="SSK29" s="1266"/>
      <c r="SSL29" s="1266"/>
      <c r="SSM29" s="1266"/>
      <c r="SSN29" s="1266"/>
      <c r="SSO29" s="1266"/>
      <c r="SSP29" s="1266"/>
      <c r="SSQ29" s="1266"/>
      <c r="SSR29" s="1266"/>
      <c r="SSS29" s="1266"/>
      <c r="SST29" s="1266"/>
      <c r="SSU29" s="1266"/>
      <c r="SSV29" s="1266"/>
      <c r="SSW29" s="1266"/>
      <c r="SSX29" s="1266"/>
      <c r="SSY29" s="1266"/>
      <c r="SSZ29" s="1266"/>
      <c r="STA29" s="1266"/>
      <c r="STB29" s="1266"/>
      <c r="STC29" s="1266"/>
      <c r="STD29" s="1266"/>
      <c r="STE29" s="1266"/>
      <c r="STF29" s="1266"/>
      <c r="STG29" s="1266"/>
      <c r="STH29" s="1266"/>
      <c r="STI29" s="1266"/>
      <c r="STJ29" s="1266"/>
      <c r="STK29" s="1266"/>
      <c r="STL29" s="1266"/>
      <c r="STM29" s="1266"/>
      <c r="STN29" s="1266"/>
      <c r="STO29" s="1266"/>
      <c r="STP29" s="1266"/>
      <c r="STQ29" s="1266"/>
      <c r="STR29" s="1266"/>
      <c r="STS29" s="1266"/>
      <c r="STT29" s="1266"/>
      <c r="STU29" s="1266"/>
      <c r="STV29" s="1266"/>
      <c r="STW29" s="1266"/>
      <c r="STX29" s="1266"/>
      <c r="STY29" s="1266"/>
      <c r="STZ29" s="1266"/>
      <c r="SUA29" s="1266"/>
      <c r="SUB29" s="1266"/>
      <c r="SUC29" s="1266"/>
      <c r="SUD29" s="1266"/>
      <c r="SUE29" s="1266"/>
      <c r="SUF29" s="1266"/>
      <c r="SUG29" s="1266"/>
      <c r="SUH29" s="1266"/>
      <c r="SUI29" s="1266"/>
      <c r="SUJ29" s="1266"/>
      <c r="SUK29" s="1266"/>
      <c r="SUL29" s="1266"/>
      <c r="SUM29" s="1266"/>
      <c r="SUN29" s="1266"/>
      <c r="SUO29" s="1266"/>
      <c r="SUP29" s="1266"/>
      <c r="SUQ29" s="1266"/>
      <c r="SUR29" s="1266"/>
      <c r="SUS29" s="1266"/>
      <c r="SUT29" s="1266"/>
      <c r="SUU29" s="1266"/>
      <c r="SUV29" s="1266"/>
      <c r="SUW29" s="1266"/>
      <c r="SUX29" s="1266"/>
      <c r="SUY29" s="1266"/>
      <c r="SUZ29" s="1266"/>
      <c r="SVA29" s="1266"/>
      <c r="SVB29" s="1266"/>
      <c r="SVC29" s="1266"/>
      <c r="SVD29" s="1266"/>
      <c r="SVE29" s="1266"/>
      <c r="SVF29" s="1266"/>
      <c r="SVG29" s="1266"/>
      <c r="SVH29" s="1266"/>
      <c r="SVI29" s="1266"/>
      <c r="SVJ29" s="1266"/>
      <c r="SVK29" s="1266"/>
      <c r="SVL29" s="1266"/>
      <c r="SVM29" s="1266"/>
      <c r="SVN29" s="1266"/>
      <c r="SVO29" s="1266"/>
      <c r="SVP29" s="1266"/>
      <c r="SVQ29" s="1266"/>
      <c r="SVR29" s="1266"/>
      <c r="SVS29" s="1266"/>
      <c r="SVT29" s="1266"/>
      <c r="SVU29" s="1266"/>
      <c r="SVV29" s="1266"/>
      <c r="SVW29" s="1266"/>
      <c r="SVX29" s="1266"/>
      <c r="SVY29" s="1266"/>
      <c r="SVZ29" s="1266"/>
      <c r="SWA29" s="1266"/>
      <c r="SWB29" s="1266"/>
      <c r="SWC29" s="1266"/>
      <c r="SWD29" s="1266"/>
      <c r="SWE29" s="1266"/>
      <c r="SWF29" s="1266"/>
      <c r="SWG29" s="1266"/>
      <c r="SWH29" s="1266"/>
      <c r="SWI29" s="1266"/>
      <c r="SWJ29" s="1266"/>
      <c r="SWK29" s="1266"/>
      <c r="SWL29" s="1266"/>
      <c r="SWM29" s="1266"/>
      <c r="SWN29" s="1266"/>
      <c r="SWO29" s="1266"/>
      <c r="SWP29" s="1266"/>
      <c r="SWQ29" s="1266"/>
      <c r="SWR29" s="1266"/>
      <c r="SWS29" s="1266"/>
      <c r="SWT29" s="1266"/>
      <c r="SWU29" s="1266"/>
      <c r="SWV29" s="1266"/>
      <c r="SWW29" s="1266"/>
      <c r="SWX29" s="1266"/>
      <c r="SWY29" s="1266"/>
      <c r="SWZ29" s="1266"/>
      <c r="SXA29" s="1266"/>
      <c r="SXB29" s="1266"/>
      <c r="SXC29" s="1266"/>
      <c r="SXD29" s="1266"/>
      <c r="SXE29" s="1266"/>
      <c r="SXF29" s="1266"/>
      <c r="SXG29" s="1266"/>
      <c r="SXH29" s="1266"/>
      <c r="SXI29" s="1266"/>
      <c r="SXJ29" s="1266"/>
      <c r="SXK29" s="1266"/>
      <c r="SXL29" s="1266"/>
      <c r="SXM29" s="1266"/>
      <c r="SXN29" s="1266"/>
      <c r="SXO29" s="1266"/>
      <c r="SXP29" s="1266"/>
      <c r="SXQ29" s="1266"/>
      <c r="SXR29" s="1266"/>
      <c r="SXS29" s="1266"/>
      <c r="SXT29" s="1266"/>
      <c r="SXU29" s="1266"/>
      <c r="SXV29" s="1266"/>
      <c r="SXW29" s="1266"/>
      <c r="SXX29" s="1266"/>
      <c r="SXY29" s="1266"/>
      <c r="SXZ29" s="1266"/>
      <c r="SYA29" s="1266"/>
      <c r="SYB29" s="1266"/>
      <c r="SYC29" s="1266"/>
      <c r="SYD29" s="1266"/>
      <c r="SYE29" s="1266"/>
      <c r="SYF29" s="1266"/>
      <c r="SYG29" s="1266"/>
      <c r="SYH29" s="1266"/>
      <c r="SYI29" s="1266"/>
      <c r="SYJ29" s="1266"/>
      <c r="SYK29" s="1266"/>
      <c r="SYL29" s="1266"/>
      <c r="SYM29" s="1266"/>
      <c r="SYN29" s="1266"/>
      <c r="SYO29" s="1266"/>
      <c r="SYP29" s="1266"/>
      <c r="SYQ29" s="1266"/>
      <c r="SYR29" s="1266"/>
      <c r="SYS29" s="1266"/>
      <c r="SYT29" s="1266"/>
      <c r="SYU29" s="1266"/>
      <c r="SYV29" s="1266"/>
      <c r="SYW29" s="1266"/>
      <c r="SYX29" s="1266"/>
      <c r="SYY29" s="1266"/>
      <c r="SYZ29" s="1266"/>
      <c r="SZA29" s="1266"/>
      <c r="SZB29" s="1266"/>
      <c r="SZC29" s="1266"/>
      <c r="SZD29" s="1266"/>
      <c r="SZE29" s="1266"/>
      <c r="SZF29" s="1266"/>
      <c r="SZG29" s="1266"/>
      <c r="SZH29" s="1266"/>
      <c r="SZI29" s="1266"/>
      <c r="SZJ29" s="1266"/>
      <c r="SZK29" s="1266"/>
      <c r="SZL29" s="1266"/>
      <c r="SZM29" s="1266"/>
      <c r="SZN29" s="1266"/>
      <c r="SZO29" s="1266"/>
      <c r="SZP29" s="1266"/>
      <c r="SZQ29" s="1266"/>
      <c r="SZR29" s="1266"/>
      <c r="SZS29" s="1266"/>
      <c r="SZT29" s="1266"/>
      <c r="SZU29" s="1266"/>
      <c r="SZV29" s="1266"/>
      <c r="SZW29" s="1266"/>
      <c r="SZX29" s="1266"/>
      <c r="SZY29" s="1266"/>
      <c r="SZZ29" s="1266"/>
      <c r="TAA29" s="1266"/>
      <c r="TAB29" s="1266"/>
      <c r="TAC29" s="1266"/>
      <c r="TAD29" s="1266"/>
      <c r="TAE29" s="1266"/>
      <c r="TAF29" s="1266"/>
      <c r="TAG29" s="1266"/>
      <c r="TAH29" s="1266"/>
      <c r="TAI29" s="1266"/>
      <c r="TAJ29" s="1266"/>
      <c r="TAK29" s="1266"/>
      <c r="TAL29" s="1266"/>
      <c r="TAM29" s="1266"/>
      <c r="TAN29" s="1266"/>
      <c r="TAO29" s="1266"/>
      <c r="TAP29" s="1266"/>
      <c r="TAQ29" s="1266"/>
      <c r="TAR29" s="1266"/>
      <c r="TAS29" s="1266"/>
      <c r="TAT29" s="1266"/>
      <c r="TAU29" s="1266"/>
      <c r="TAV29" s="1266"/>
      <c r="TAW29" s="1266"/>
      <c r="TAX29" s="1266"/>
      <c r="TAY29" s="1266"/>
      <c r="TAZ29" s="1266"/>
      <c r="TBA29" s="1266"/>
      <c r="TBB29" s="1266"/>
      <c r="TBC29" s="1266"/>
      <c r="TBD29" s="1266"/>
      <c r="TBE29" s="1266"/>
      <c r="TBF29" s="1266"/>
      <c r="TBG29" s="1266"/>
      <c r="TBH29" s="1266"/>
      <c r="TBI29" s="1266"/>
      <c r="TBJ29" s="1266"/>
      <c r="TBK29" s="1266"/>
      <c r="TBL29" s="1266"/>
      <c r="TBM29" s="1266"/>
      <c r="TBN29" s="1266"/>
      <c r="TBO29" s="1266"/>
      <c r="TBP29" s="1266"/>
      <c r="TBQ29" s="1266"/>
      <c r="TBR29" s="1266"/>
      <c r="TBS29" s="1266"/>
      <c r="TBT29" s="1266"/>
      <c r="TBU29" s="1266"/>
      <c r="TBV29" s="1266"/>
      <c r="TBW29" s="1266"/>
      <c r="TBX29" s="1266"/>
      <c r="TBY29" s="1266"/>
      <c r="TBZ29" s="1266"/>
      <c r="TCA29" s="1266"/>
      <c r="TCB29" s="1266"/>
      <c r="TCC29" s="1266"/>
      <c r="TCD29" s="1266"/>
      <c r="TCE29" s="1266"/>
      <c r="TCF29" s="1266"/>
      <c r="TCG29" s="1266"/>
      <c r="TCH29" s="1266"/>
      <c r="TCI29" s="1266"/>
      <c r="TCJ29" s="1266"/>
      <c r="TCK29" s="1266"/>
      <c r="TCL29" s="1266"/>
      <c r="TCM29" s="1266"/>
      <c r="TCN29" s="1266"/>
      <c r="TCO29" s="1266"/>
      <c r="TCP29" s="1266"/>
      <c r="TCQ29" s="1266"/>
      <c r="TCR29" s="1266"/>
      <c r="TCS29" s="1266"/>
      <c r="TCT29" s="1266"/>
      <c r="TCU29" s="1266"/>
      <c r="TCV29" s="1266"/>
      <c r="TCW29" s="1266"/>
      <c r="TCX29" s="1266"/>
      <c r="TCY29" s="1266"/>
      <c r="TCZ29" s="1266"/>
      <c r="TDA29" s="1266"/>
      <c r="TDB29" s="1266"/>
      <c r="TDC29" s="1266"/>
      <c r="TDD29" s="1266"/>
      <c r="TDE29" s="1266"/>
      <c r="TDF29" s="1266"/>
      <c r="TDG29" s="1266"/>
      <c r="TDH29" s="1266"/>
      <c r="TDI29" s="1266"/>
      <c r="TDJ29" s="1266"/>
      <c r="TDK29" s="1266"/>
      <c r="TDL29" s="1266"/>
      <c r="TDM29" s="1266"/>
      <c r="TDN29" s="1266"/>
      <c r="TDO29" s="1266"/>
      <c r="TDP29" s="1266"/>
      <c r="TDQ29" s="1266"/>
      <c r="TDR29" s="1266"/>
      <c r="TDS29" s="1266"/>
      <c r="TDT29" s="1266"/>
      <c r="TDU29" s="1266"/>
      <c r="TDV29" s="1266"/>
      <c r="TDW29" s="1266"/>
      <c r="TDX29" s="1266"/>
      <c r="TDY29" s="1266"/>
      <c r="TDZ29" s="1266"/>
      <c r="TEA29" s="1266"/>
      <c r="TEB29" s="1266"/>
      <c r="TEC29" s="1266"/>
      <c r="TED29" s="1266"/>
      <c r="TEE29" s="1266"/>
      <c r="TEF29" s="1266"/>
      <c r="TEG29" s="1266"/>
      <c r="TEH29" s="1266"/>
      <c r="TEI29" s="1266"/>
      <c r="TEJ29" s="1266"/>
      <c r="TEK29" s="1266"/>
      <c r="TEL29" s="1266"/>
      <c r="TEM29" s="1266"/>
      <c r="TEN29" s="1266"/>
      <c r="TEO29" s="1266"/>
      <c r="TEP29" s="1266"/>
      <c r="TEQ29" s="1266"/>
      <c r="TER29" s="1266"/>
      <c r="TES29" s="1266"/>
      <c r="TET29" s="1266"/>
      <c r="TEU29" s="1266"/>
      <c r="TEV29" s="1266"/>
      <c r="TEW29" s="1266"/>
      <c r="TEX29" s="1266"/>
      <c r="TEY29" s="1266"/>
      <c r="TEZ29" s="1266"/>
      <c r="TFA29" s="1266"/>
      <c r="TFB29" s="1266"/>
      <c r="TFC29" s="1266"/>
      <c r="TFD29" s="1266"/>
      <c r="TFE29" s="1266"/>
      <c r="TFF29" s="1266"/>
      <c r="TFG29" s="1266"/>
      <c r="TFH29" s="1266"/>
      <c r="TFI29" s="1266"/>
      <c r="TFJ29" s="1266"/>
      <c r="TFK29" s="1266"/>
      <c r="TFL29" s="1266"/>
      <c r="TFM29" s="1266"/>
      <c r="TFN29" s="1266"/>
      <c r="TFO29" s="1266"/>
      <c r="TFP29" s="1266"/>
      <c r="TFQ29" s="1266"/>
      <c r="TFR29" s="1266"/>
      <c r="TFS29" s="1266"/>
      <c r="TFT29" s="1266"/>
      <c r="TFU29" s="1266"/>
      <c r="TFV29" s="1266"/>
      <c r="TFW29" s="1266"/>
      <c r="TFX29" s="1266"/>
      <c r="TFY29" s="1266"/>
      <c r="TFZ29" s="1266"/>
      <c r="TGA29" s="1266"/>
      <c r="TGB29" s="1266"/>
      <c r="TGC29" s="1266"/>
      <c r="TGD29" s="1266"/>
      <c r="TGE29" s="1266"/>
      <c r="TGF29" s="1266"/>
      <c r="TGG29" s="1266"/>
      <c r="TGH29" s="1266"/>
      <c r="TGI29" s="1266"/>
      <c r="TGJ29" s="1266"/>
      <c r="TGK29" s="1266"/>
      <c r="TGL29" s="1266"/>
      <c r="TGM29" s="1266"/>
      <c r="TGN29" s="1266"/>
      <c r="TGO29" s="1266"/>
      <c r="TGP29" s="1266"/>
      <c r="TGQ29" s="1266"/>
      <c r="TGR29" s="1266"/>
      <c r="TGS29" s="1266"/>
      <c r="TGT29" s="1266"/>
      <c r="TGU29" s="1266"/>
      <c r="TGV29" s="1266"/>
      <c r="TGW29" s="1266"/>
      <c r="TGX29" s="1266"/>
      <c r="TGY29" s="1266"/>
      <c r="TGZ29" s="1266"/>
      <c r="THA29" s="1266"/>
      <c r="THB29" s="1266"/>
      <c r="THC29" s="1266"/>
      <c r="THD29" s="1266"/>
      <c r="THE29" s="1266"/>
      <c r="THF29" s="1266"/>
      <c r="THG29" s="1266"/>
      <c r="THH29" s="1266"/>
      <c r="THI29" s="1266"/>
      <c r="THJ29" s="1266"/>
      <c r="THK29" s="1266"/>
      <c r="THL29" s="1266"/>
      <c r="THM29" s="1266"/>
      <c r="THN29" s="1266"/>
      <c r="THO29" s="1266"/>
      <c r="THP29" s="1266"/>
      <c r="THQ29" s="1266"/>
      <c r="THR29" s="1266"/>
      <c r="THS29" s="1266"/>
      <c r="THT29" s="1266"/>
      <c r="THU29" s="1266"/>
      <c r="THV29" s="1266"/>
      <c r="THW29" s="1266"/>
      <c r="THX29" s="1266"/>
      <c r="THY29" s="1266"/>
      <c r="THZ29" s="1266"/>
      <c r="TIA29" s="1266"/>
      <c r="TIB29" s="1266"/>
      <c r="TIC29" s="1266"/>
      <c r="TID29" s="1266"/>
      <c r="TIE29" s="1266"/>
      <c r="TIF29" s="1266"/>
      <c r="TIG29" s="1266"/>
      <c r="TIH29" s="1266"/>
      <c r="TII29" s="1266"/>
      <c r="TIJ29" s="1266"/>
      <c r="TIK29" s="1266"/>
      <c r="TIL29" s="1266"/>
      <c r="TIM29" s="1266"/>
      <c r="TIN29" s="1266"/>
      <c r="TIO29" s="1266"/>
      <c r="TIP29" s="1266"/>
      <c r="TIQ29" s="1266"/>
      <c r="TIR29" s="1266"/>
      <c r="TIS29" s="1266"/>
      <c r="TIT29" s="1266"/>
      <c r="TIU29" s="1266"/>
      <c r="TIV29" s="1266"/>
      <c r="TIW29" s="1266"/>
      <c r="TIX29" s="1266"/>
      <c r="TIY29" s="1266"/>
      <c r="TIZ29" s="1266"/>
      <c r="TJA29" s="1266"/>
      <c r="TJB29" s="1266"/>
      <c r="TJC29" s="1266"/>
      <c r="TJD29" s="1266"/>
      <c r="TJE29" s="1266"/>
      <c r="TJF29" s="1266"/>
      <c r="TJG29" s="1266"/>
      <c r="TJH29" s="1266"/>
      <c r="TJI29" s="1266"/>
      <c r="TJJ29" s="1266"/>
      <c r="TJK29" s="1266"/>
      <c r="TJL29" s="1266"/>
      <c r="TJM29" s="1266"/>
      <c r="TJN29" s="1266"/>
      <c r="TJO29" s="1266"/>
      <c r="TJP29" s="1266"/>
      <c r="TJQ29" s="1266"/>
      <c r="TJR29" s="1266"/>
      <c r="TJS29" s="1266"/>
      <c r="TJT29" s="1266"/>
      <c r="TJU29" s="1266"/>
      <c r="TJV29" s="1266"/>
      <c r="TJW29" s="1266"/>
      <c r="TJX29" s="1266"/>
      <c r="TJY29" s="1266"/>
      <c r="TJZ29" s="1266"/>
      <c r="TKA29" s="1266"/>
      <c r="TKB29" s="1266"/>
      <c r="TKC29" s="1266"/>
      <c r="TKD29" s="1266"/>
      <c r="TKE29" s="1266"/>
      <c r="TKF29" s="1266"/>
      <c r="TKG29" s="1266"/>
      <c r="TKH29" s="1266"/>
      <c r="TKI29" s="1266"/>
      <c r="TKJ29" s="1266"/>
      <c r="TKK29" s="1266"/>
      <c r="TKL29" s="1266"/>
      <c r="TKM29" s="1266"/>
      <c r="TKN29" s="1266"/>
      <c r="TKO29" s="1266"/>
      <c r="TKP29" s="1266"/>
      <c r="TKQ29" s="1266"/>
      <c r="TKR29" s="1266"/>
      <c r="TKS29" s="1266"/>
      <c r="TKT29" s="1266"/>
      <c r="TKU29" s="1266"/>
      <c r="TKV29" s="1266"/>
      <c r="TKW29" s="1266"/>
      <c r="TKX29" s="1266"/>
      <c r="TKY29" s="1266"/>
      <c r="TKZ29" s="1266"/>
      <c r="TLA29" s="1266"/>
      <c r="TLB29" s="1266"/>
      <c r="TLC29" s="1266"/>
      <c r="TLD29" s="1266"/>
      <c r="TLE29" s="1266"/>
      <c r="TLF29" s="1266"/>
      <c r="TLG29" s="1266"/>
      <c r="TLH29" s="1266"/>
      <c r="TLI29" s="1266"/>
      <c r="TLJ29" s="1266"/>
      <c r="TLK29" s="1266"/>
      <c r="TLL29" s="1266"/>
      <c r="TLM29" s="1266"/>
      <c r="TLN29" s="1266"/>
      <c r="TLO29" s="1266"/>
      <c r="TLP29" s="1266"/>
      <c r="TLQ29" s="1266"/>
      <c r="TLR29" s="1266"/>
      <c r="TLS29" s="1266"/>
      <c r="TLT29" s="1266"/>
      <c r="TLU29" s="1266"/>
      <c r="TLV29" s="1266"/>
      <c r="TLW29" s="1266"/>
      <c r="TLX29" s="1266"/>
      <c r="TLY29" s="1266"/>
      <c r="TLZ29" s="1266"/>
      <c r="TMA29" s="1266"/>
      <c r="TMB29" s="1266"/>
      <c r="TMC29" s="1266"/>
      <c r="TMD29" s="1266"/>
      <c r="TME29" s="1266"/>
      <c r="TMF29" s="1266"/>
      <c r="TMG29" s="1266"/>
      <c r="TMH29" s="1266"/>
      <c r="TMI29" s="1266"/>
      <c r="TMJ29" s="1266"/>
      <c r="TMK29" s="1266"/>
      <c r="TML29" s="1266"/>
      <c r="TMM29" s="1266"/>
      <c r="TMN29" s="1266"/>
      <c r="TMO29" s="1266"/>
      <c r="TMP29" s="1266"/>
      <c r="TMQ29" s="1266"/>
      <c r="TMR29" s="1266"/>
      <c r="TMS29" s="1266"/>
      <c r="TMT29" s="1266"/>
      <c r="TMU29" s="1266"/>
      <c r="TMV29" s="1266"/>
      <c r="TMW29" s="1266"/>
      <c r="TMX29" s="1266"/>
      <c r="TMY29" s="1266"/>
      <c r="TMZ29" s="1266"/>
      <c r="TNA29" s="1266"/>
      <c r="TNB29" s="1266"/>
      <c r="TNC29" s="1266"/>
      <c r="TND29" s="1266"/>
      <c r="TNE29" s="1266"/>
      <c r="TNF29" s="1266"/>
      <c r="TNG29" s="1266"/>
      <c r="TNH29" s="1266"/>
      <c r="TNI29" s="1266"/>
      <c r="TNJ29" s="1266"/>
      <c r="TNK29" s="1266"/>
      <c r="TNL29" s="1266"/>
      <c r="TNM29" s="1266"/>
      <c r="TNN29" s="1266"/>
      <c r="TNO29" s="1266"/>
      <c r="TNP29" s="1266"/>
      <c r="TNQ29" s="1266"/>
      <c r="TNR29" s="1266"/>
      <c r="TNS29" s="1266"/>
      <c r="TNT29" s="1266"/>
      <c r="TNU29" s="1266"/>
      <c r="TNV29" s="1266"/>
      <c r="TNW29" s="1266"/>
      <c r="TNX29" s="1266"/>
      <c r="TNY29" s="1266"/>
      <c r="TNZ29" s="1266"/>
      <c r="TOA29" s="1266"/>
      <c r="TOB29" s="1266"/>
      <c r="TOC29" s="1266"/>
      <c r="TOD29" s="1266"/>
      <c r="TOE29" s="1266"/>
      <c r="TOF29" s="1266"/>
      <c r="TOG29" s="1266"/>
      <c r="TOH29" s="1266"/>
      <c r="TOI29" s="1266"/>
      <c r="TOJ29" s="1266"/>
      <c r="TOK29" s="1266"/>
      <c r="TOL29" s="1266"/>
      <c r="TOM29" s="1266"/>
      <c r="TON29" s="1266"/>
      <c r="TOO29" s="1266"/>
      <c r="TOP29" s="1266"/>
      <c r="TOQ29" s="1266"/>
      <c r="TOR29" s="1266"/>
      <c r="TOS29" s="1266"/>
      <c r="TOT29" s="1266"/>
      <c r="TOU29" s="1266"/>
      <c r="TOV29" s="1266"/>
      <c r="TOW29" s="1266"/>
      <c r="TOX29" s="1266"/>
      <c r="TOY29" s="1266"/>
      <c r="TOZ29" s="1266"/>
      <c r="TPA29" s="1266"/>
      <c r="TPB29" s="1266"/>
      <c r="TPC29" s="1266"/>
      <c r="TPD29" s="1266"/>
      <c r="TPE29" s="1266"/>
      <c r="TPF29" s="1266"/>
      <c r="TPG29" s="1266"/>
      <c r="TPH29" s="1266"/>
      <c r="TPI29" s="1266"/>
      <c r="TPJ29" s="1266"/>
      <c r="TPK29" s="1266"/>
      <c r="TPL29" s="1266"/>
      <c r="TPM29" s="1266"/>
      <c r="TPN29" s="1266"/>
      <c r="TPO29" s="1266"/>
      <c r="TPP29" s="1266"/>
      <c r="TPQ29" s="1266"/>
      <c r="TPR29" s="1266"/>
      <c r="TPS29" s="1266"/>
      <c r="TPT29" s="1266"/>
      <c r="TPU29" s="1266"/>
      <c r="TPV29" s="1266"/>
      <c r="TPW29" s="1266"/>
      <c r="TPX29" s="1266"/>
      <c r="TPY29" s="1266"/>
      <c r="TPZ29" s="1266"/>
      <c r="TQA29" s="1266"/>
      <c r="TQB29" s="1266"/>
      <c r="TQC29" s="1266"/>
      <c r="TQD29" s="1266"/>
      <c r="TQE29" s="1266"/>
      <c r="TQF29" s="1266"/>
      <c r="TQG29" s="1266"/>
      <c r="TQH29" s="1266"/>
      <c r="TQI29" s="1266"/>
      <c r="TQJ29" s="1266"/>
      <c r="TQK29" s="1266"/>
      <c r="TQL29" s="1266"/>
      <c r="TQM29" s="1266"/>
      <c r="TQN29" s="1266"/>
      <c r="TQO29" s="1266"/>
      <c r="TQP29" s="1266"/>
      <c r="TQQ29" s="1266"/>
      <c r="TQR29" s="1266"/>
      <c r="TQS29" s="1266"/>
      <c r="TQT29" s="1266"/>
      <c r="TQU29" s="1266"/>
      <c r="TQV29" s="1266"/>
      <c r="TQW29" s="1266"/>
      <c r="TQX29" s="1266"/>
      <c r="TQY29" s="1266"/>
      <c r="TQZ29" s="1266"/>
      <c r="TRA29" s="1266"/>
      <c r="TRB29" s="1266"/>
      <c r="TRC29" s="1266"/>
      <c r="TRD29" s="1266"/>
      <c r="TRE29" s="1266"/>
      <c r="TRF29" s="1266"/>
      <c r="TRG29" s="1266"/>
      <c r="TRH29" s="1266"/>
      <c r="TRI29" s="1266"/>
      <c r="TRJ29" s="1266"/>
      <c r="TRK29" s="1266"/>
      <c r="TRL29" s="1266"/>
      <c r="TRM29" s="1266"/>
      <c r="TRN29" s="1266"/>
      <c r="TRO29" s="1266"/>
      <c r="TRP29" s="1266"/>
      <c r="TRQ29" s="1266"/>
      <c r="TRR29" s="1266"/>
      <c r="TRS29" s="1266"/>
      <c r="TRT29" s="1266"/>
      <c r="TRU29" s="1266"/>
      <c r="TRV29" s="1266"/>
      <c r="TRW29" s="1266"/>
      <c r="TRX29" s="1266"/>
      <c r="TRY29" s="1266"/>
      <c r="TRZ29" s="1266"/>
      <c r="TSA29" s="1266"/>
      <c r="TSB29" s="1266"/>
      <c r="TSC29" s="1266"/>
      <c r="TSD29" s="1266"/>
      <c r="TSE29" s="1266"/>
      <c r="TSF29" s="1266"/>
      <c r="TSG29" s="1266"/>
      <c r="TSH29" s="1266"/>
      <c r="TSI29" s="1266"/>
      <c r="TSJ29" s="1266"/>
      <c r="TSK29" s="1266"/>
      <c r="TSL29" s="1266"/>
      <c r="TSM29" s="1266"/>
      <c r="TSN29" s="1266"/>
      <c r="TSO29" s="1266"/>
      <c r="TSP29" s="1266"/>
      <c r="TSQ29" s="1266"/>
      <c r="TSR29" s="1266"/>
      <c r="TSS29" s="1266"/>
      <c r="TST29" s="1266"/>
      <c r="TSU29" s="1266"/>
      <c r="TSV29" s="1266"/>
      <c r="TSW29" s="1266"/>
      <c r="TSX29" s="1266"/>
      <c r="TSY29" s="1266"/>
      <c r="TSZ29" s="1266"/>
      <c r="TTA29" s="1266"/>
      <c r="TTB29" s="1266"/>
      <c r="TTC29" s="1266"/>
      <c r="TTD29" s="1266"/>
      <c r="TTE29" s="1266"/>
      <c r="TTF29" s="1266"/>
      <c r="TTG29" s="1266"/>
      <c r="TTH29" s="1266"/>
      <c r="TTI29" s="1266"/>
      <c r="TTJ29" s="1266"/>
      <c r="TTK29" s="1266"/>
      <c r="TTL29" s="1266"/>
      <c r="TTM29" s="1266"/>
      <c r="TTN29" s="1266"/>
      <c r="TTO29" s="1266"/>
      <c r="TTP29" s="1266"/>
      <c r="TTQ29" s="1266"/>
      <c r="TTR29" s="1266"/>
      <c r="TTS29" s="1266"/>
      <c r="TTT29" s="1266"/>
      <c r="TTU29" s="1266"/>
      <c r="TTV29" s="1266"/>
      <c r="TTW29" s="1266"/>
      <c r="TTX29" s="1266"/>
      <c r="TTY29" s="1266"/>
      <c r="TTZ29" s="1266"/>
      <c r="TUA29" s="1266"/>
      <c r="TUB29" s="1266"/>
      <c r="TUC29" s="1266"/>
      <c r="TUD29" s="1266"/>
      <c r="TUE29" s="1266"/>
      <c r="TUF29" s="1266"/>
      <c r="TUG29" s="1266"/>
      <c r="TUH29" s="1266"/>
      <c r="TUI29" s="1266"/>
      <c r="TUJ29" s="1266"/>
      <c r="TUK29" s="1266"/>
      <c r="TUL29" s="1266"/>
      <c r="TUM29" s="1266"/>
      <c r="TUN29" s="1266"/>
      <c r="TUO29" s="1266"/>
      <c r="TUP29" s="1266"/>
      <c r="TUQ29" s="1266"/>
      <c r="TUR29" s="1266"/>
      <c r="TUS29" s="1266"/>
      <c r="TUT29" s="1266"/>
      <c r="TUU29" s="1266"/>
      <c r="TUV29" s="1266"/>
      <c r="TUW29" s="1266"/>
      <c r="TUX29" s="1266"/>
      <c r="TUY29" s="1266"/>
      <c r="TUZ29" s="1266"/>
      <c r="TVA29" s="1266"/>
      <c r="TVB29" s="1266"/>
      <c r="TVC29" s="1266"/>
      <c r="TVD29" s="1266"/>
      <c r="TVE29" s="1266"/>
      <c r="TVF29" s="1266"/>
      <c r="TVG29" s="1266"/>
      <c r="TVH29" s="1266"/>
      <c r="TVI29" s="1266"/>
      <c r="TVJ29" s="1266"/>
      <c r="TVK29" s="1266"/>
      <c r="TVL29" s="1266"/>
      <c r="TVM29" s="1266"/>
      <c r="TVN29" s="1266"/>
      <c r="TVO29" s="1266"/>
      <c r="TVP29" s="1266"/>
      <c r="TVQ29" s="1266"/>
      <c r="TVR29" s="1266"/>
      <c r="TVS29" s="1266"/>
      <c r="TVT29" s="1266"/>
      <c r="TVU29" s="1266"/>
      <c r="TVV29" s="1266"/>
      <c r="TVW29" s="1266"/>
      <c r="TVX29" s="1266"/>
      <c r="TVY29" s="1266"/>
      <c r="TVZ29" s="1266"/>
      <c r="TWA29" s="1266"/>
      <c r="TWB29" s="1266"/>
      <c r="TWC29" s="1266"/>
      <c r="TWD29" s="1266"/>
      <c r="TWE29" s="1266"/>
      <c r="TWF29" s="1266"/>
      <c r="TWG29" s="1266"/>
      <c r="TWH29" s="1266"/>
      <c r="TWI29" s="1266"/>
      <c r="TWJ29" s="1266"/>
      <c r="TWK29" s="1266"/>
      <c r="TWL29" s="1266"/>
      <c r="TWM29" s="1266"/>
      <c r="TWN29" s="1266"/>
      <c r="TWO29" s="1266"/>
      <c r="TWP29" s="1266"/>
      <c r="TWQ29" s="1266"/>
      <c r="TWR29" s="1266"/>
      <c r="TWS29" s="1266"/>
      <c r="TWT29" s="1266"/>
      <c r="TWU29" s="1266"/>
      <c r="TWV29" s="1266"/>
      <c r="TWW29" s="1266"/>
      <c r="TWX29" s="1266"/>
      <c r="TWY29" s="1266"/>
      <c r="TWZ29" s="1266"/>
      <c r="TXA29" s="1266"/>
      <c r="TXB29" s="1266"/>
      <c r="TXC29" s="1266"/>
      <c r="TXD29" s="1266"/>
      <c r="TXE29" s="1266"/>
      <c r="TXF29" s="1266"/>
      <c r="TXG29" s="1266"/>
      <c r="TXH29" s="1266"/>
      <c r="TXI29" s="1266"/>
      <c r="TXJ29" s="1266"/>
      <c r="TXK29" s="1266"/>
      <c r="TXL29" s="1266"/>
      <c r="TXM29" s="1266"/>
      <c r="TXN29" s="1266"/>
      <c r="TXO29" s="1266"/>
      <c r="TXP29" s="1266"/>
      <c r="TXQ29" s="1266"/>
      <c r="TXR29" s="1266"/>
      <c r="TXS29" s="1266"/>
      <c r="TXT29" s="1266"/>
      <c r="TXU29" s="1266"/>
      <c r="TXV29" s="1266"/>
      <c r="TXW29" s="1266"/>
      <c r="TXX29" s="1266"/>
      <c r="TXY29" s="1266"/>
      <c r="TXZ29" s="1266"/>
      <c r="TYA29" s="1266"/>
      <c r="TYB29" s="1266"/>
      <c r="TYC29" s="1266"/>
      <c r="TYD29" s="1266"/>
      <c r="TYE29" s="1266"/>
      <c r="TYF29" s="1266"/>
      <c r="TYG29" s="1266"/>
      <c r="TYH29" s="1266"/>
      <c r="TYI29" s="1266"/>
      <c r="TYJ29" s="1266"/>
      <c r="TYK29" s="1266"/>
      <c r="TYL29" s="1266"/>
      <c r="TYM29" s="1266"/>
      <c r="TYN29" s="1266"/>
      <c r="TYO29" s="1266"/>
      <c r="TYP29" s="1266"/>
      <c r="TYQ29" s="1266"/>
      <c r="TYR29" s="1266"/>
      <c r="TYS29" s="1266"/>
      <c r="TYT29" s="1266"/>
      <c r="TYU29" s="1266"/>
      <c r="TYV29" s="1266"/>
      <c r="TYW29" s="1266"/>
      <c r="TYX29" s="1266"/>
      <c r="TYY29" s="1266"/>
      <c r="TYZ29" s="1266"/>
      <c r="TZA29" s="1266"/>
      <c r="TZB29" s="1266"/>
      <c r="TZC29" s="1266"/>
      <c r="TZD29" s="1266"/>
      <c r="TZE29" s="1266"/>
      <c r="TZF29" s="1266"/>
      <c r="TZG29" s="1266"/>
      <c r="TZH29" s="1266"/>
      <c r="TZI29" s="1266"/>
      <c r="TZJ29" s="1266"/>
      <c r="TZK29" s="1266"/>
      <c r="TZL29" s="1266"/>
      <c r="TZM29" s="1266"/>
      <c r="TZN29" s="1266"/>
      <c r="TZO29" s="1266"/>
      <c r="TZP29" s="1266"/>
      <c r="TZQ29" s="1266"/>
      <c r="TZR29" s="1266"/>
      <c r="TZS29" s="1266"/>
      <c r="TZT29" s="1266"/>
      <c r="TZU29" s="1266"/>
      <c r="TZV29" s="1266"/>
      <c r="TZW29" s="1266"/>
      <c r="TZX29" s="1266"/>
      <c r="TZY29" s="1266"/>
      <c r="TZZ29" s="1266"/>
      <c r="UAA29" s="1266"/>
      <c r="UAB29" s="1266"/>
      <c r="UAC29" s="1266"/>
      <c r="UAD29" s="1266"/>
      <c r="UAE29" s="1266"/>
      <c r="UAF29" s="1266"/>
      <c r="UAG29" s="1266"/>
      <c r="UAH29" s="1266"/>
      <c r="UAI29" s="1266"/>
      <c r="UAJ29" s="1266"/>
      <c r="UAK29" s="1266"/>
      <c r="UAL29" s="1266"/>
      <c r="UAM29" s="1266"/>
      <c r="UAN29" s="1266"/>
      <c r="UAO29" s="1266"/>
      <c r="UAP29" s="1266"/>
      <c r="UAQ29" s="1266"/>
      <c r="UAR29" s="1266"/>
      <c r="UAS29" s="1266"/>
      <c r="UAT29" s="1266"/>
      <c r="UAU29" s="1266"/>
      <c r="UAV29" s="1266"/>
      <c r="UAW29" s="1266"/>
      <c r="UAX29" s="1266"/>
      <c r="UAY29" s="1266"/>
      <c r="UAZ29" s="1266"/>
      <c r="UBA29" s="1266"/>
      <c r="UBB29" s="1266"/>
      <c r="UBC29" s="1266"/>
      <c r="UBD29" s="1266"/>
      <c r="UBE29" s="1266"/>
      <c r="UBF29" s="1266"/>
      <c r="UBG29" s="1266"/>
      <c r="UBH29" s="1266"/>
      <c r="UBI29" s="1266"/>
      <c r="UBJ29" s="1266"/>
      <c r="UBK29" s="1266"/>
      <c r="UBL29" s="1266"/>
      <c r="UBM29" s="1266"/>
      <c r="UBN29" s="1266"/>
      <c r="UBO29" s="1266"/>
      <c r="UBP29" s="1266"/>
      <c r="UBQ29" s="1266"/>
      <c r="UBR29" s="1266"/>
      <c r="UBS29" s="1266"/>
      <c r="UBT29" s="1266"/>
      <c r="UBU29" s="1266"/>
      <c r="UBV29" s="1266"/>
      <c r="UBW29" s="1266"/>
      <c r="UBX29" s="1266"/>
      <c r="UBY29" s="1266"/>
      <c r="UBZ29" s="1266"/>
      <c r="UCA29" s="1266"/>
      <c r="UCB29" s="1266"/>
      <c r="UCC29" s="1266"/>
      <c r="UCD29" s="1266"/>
      <c r="UCE29" s="1266"/>
      <c r="UCF29" s="1266"/>
      <c r="UCG29" s="1266"/>
      <c r="UCH29" s="1266"/>
      <c r="UCI29" s="1266"/>
      <c r="UCJ29" s="1266"/>
      <c r="UCK29" s="1266"/>
      <c r="UCL29" s="1266"/>
      <c r="UCM29" s="1266"/>
      <c r="UCN29" s="1266"/>
      <c r="UCO29" s="1266"/>
      <c r="UCP29" s="1266"/>
      <c r="UCQ29" s="1266"/>
      <c r="UCR29" s="1266"/>
      <c r="UCS29" s="1266"/>
      <c r="UCT29" s="1266"/>
      <c r="UCU29" s="1266"/>
      <c r="UCV29" s="1266"/>
      <c r="UCW29" s="1266"/>
      <c r="UCX29" s="1266"/>
      <c r="UCY29" s="1266"/>
      <c r="UCZ29" s="1266"/>
      <c r="UDA29" s="1266"/>
      <c r="UDB29" s="1266"/>
      <c r="UDC29" s="1266"/>
      <c r="UDD29" s="1266"/>
      <c r="UDE29" s="1266"/>
      <c r="UDF29" s="1266"/>
      <c r="UDG29" s="1266"/>
      <c r="UDH29" s="1266"/>
      <c r="UDI29" s="1266"/>
      <c r="UDJ29" s="1266"/>
      <c r="UDK29" s="1266"/>
      <c r="UDL29" s="1266"/>
      <c r="UDM29" s="1266"/>
      <c r="UDN29" s="1266"/>
      <c r="UDO29" s="1266"/>
      <c r="UDP29" s="1266"/>
      <c r="UDQ29" s="1266"/>
      <c r="UDR29" s="1266"/>
      <c r="UDS29" s="1266"/>
      <c r="UDT29" s="1266"/>
      <c r="UDU29" s="1266"/>
      <c r="UDV29" s="1266"/>
      <c r="UDW29" s="1266"/>
      <c r="UDX29" s="1266"/>
      <c r="UDY29" s="1266"/>
      <c r="UDZ29" s="1266"/>
      <c r="UEA29" s="1266"/>
      <c r="UEB29" s="1266"/>
      <c r="UEC29" s="1266"/>
      <c r="UED29" s="1266"/>
      <c r="UEE29" s="1266"/>
      <c r="UEF29" s="1266"/>
      <c r="UEG29" s="1266"/>
      <c r="UEH29" s="1266"/>
      <c r="UEI29" s="1266"/>
      <c r="UEJ29" s="1266"/>
      <c r="UEK29" s="1266"/>
      <c r="UEL29" s="1266"/>
      <c r="UEM29" s="1266"/>
      <c r="UEN29" s="1266"/>
      <c r="UEO29" s="1266"/>
      <c r="UEP29" s="1266"/>
      <c r="UEQ29" s="1266"/>
      <c r="UER29" s="1266"/>
      <c r="UES29" s="1266"/>
      <c r="UET29" s="1266"/>
      <c r="UEU29" s="1266"/>
      <c r="UEV29" s="1266"/>
      <c r="UEW29" s="1266"/>
      <c r="UEX29" s="1266"/>
      <c r="UEY29" s="1266"/>
      <c r="UEZ29" s="1266"/>
      <c r="UFA29" s="1266"/>
      <c r="UFB29" s="1266"/>
      <c r="UFC29" s="1266"/>
      <c r="UFD29" s="1266"/>
      <c r="UFE29" s="1266"/>
      <c r="UFF29" s="1266"/>
      <c r="UFG29" s="1266"/>
      <c r="UFH29" s="1266"/>
      <c r="UFI29" s="1266"/>
      <c r="UFJ29" s="1266"/>
      <c r="UFK29" s="1266"/>
      <c r="UFL29" s="1266"/>
      <c r="UFM29" s="1266"/>
      <c r="UFN29" s="1266"/>
      <c r="UFO29" s="1266"/>
      <c r="UFP29" s="1266"/>
      <c r="UFQ29" s="1266"/>
      <c r="UFR29" s="1266"/>
      <c r="UFS29" s="1266"/>
      <c r="UFT29" s="1266"/>
      <c r="UFU29" s="1266"/>
      <c r="UFV29" s="1266"/>
      <c r="UFW29" s="1266"/>
      <c r="UFX29" s="1266"/>
      <c r="UFY29" s="1266"/>
      <c r="UFZ29" s="1266"/>
      <c r="UGA29" s="1266"/>
      <c r="UGB29" s="1266"/>
      <c r="UGC29" s="1266"/>
      <c r="UGD29" s="1266"/>
      <c r="UGE29" s="1266"/>
      <c r="UGF29" s="1266"/>
      <c r="UGG29" s="1266"/>
      <c r="UGH29" s="1266"/>
      <c r="UGI29" s="1266"/>
      <c r="UGJ29" s="1266"/>
      <c r="UGK29" s="1266"/>
      <c r="UGL29" s="1266"/>
      <c r="UGM29" s="1266"/>
      <c r="UGN29" s="1266"/>
      <c r="UGO29" s="1266"/>
      <c r="UGP29" s="1266"/>
      <c r="UGQ29" s="1266"/>
      <c r="UGR29" s="1266"/>
      <c r="UGS29" s="1266"/>
      <c r="UGT29" s="1266"/>
      <c r="UGU29" s="1266"/>
      <c r="UGV29" s="1266"/>
      <c r="UGW29" s="1266"/>
      <c r="UGX29" s="1266"/>
      <c r="UGY29" s="1266"/>
      <c r="UGZ29" s="1266"/>
      <c r="UHA29" s="1266"/>
      <c r="UHB29" s="1266"/>
      <c r="UHC29" s="1266"/>
      <c r="UHD29" s="1266"/>
      <c r="UHE29" s="1266"/>
      <c r="UHF29" s="1266"/>
      <c r="UHG29" s="1266"/>
      <c r="UHH29" s="1266"/>
      <c r="UHI29" s="1266"/>
      <c r="UHJ29" s="1266"/>
      <c r="UHK29" s="1266"/>
      <c r="UHL29" s="1266"/>
      <c r="UHM29" s="1266"/>
      <c r="UHN29" s="1266"/>
      <c r="UHO29" s="1266"/>
      <c r="UHP29" s="1266"/>
      <c r="UHQ29" s="1266"/>
      <c r="UHR29" s="1266"/>
      <c r="UHS29" s="1266"/>
      <c r="UHT29" s="1266"/>
      <c r="UHU29" s="1266"/>
      <c r="UHV29" s="1266"/>
      <c r="UHW29" s="1266"/>
      <c r="UHX29" s="1266"/>
      <c r="UHY29" s="1266"/>
      <c r="UHZ29" s="1266"/>
      <c r="UIA29" s="1266"/>
      <c r="UIB29" s="1266"/>
      <c r="UIC29" s="1266"/>
      <c r="UID29" s="1266"/>
      <c r="UIE29" s="1266"/>
      <c r="UIF29" s="1266"/>
      <c r="UIG29" s="1266"/>
      <c r="UIH29" s="1266"/>
      <c r="UII29" s="1266"/>
      <c r="UIJ29" s="1266"/>
      <c r="UIK29" s="1266"/>
      <c r="UIL29" s="1266"/>
      <c r="UIM29" s="1266"/>
      <c r="UIN29" s="1266"/>
      <c r="UIO29" s="1266"/>
      <c r="UIP29" s="1266"/>
      <c r="UIQ29" s="1266"/>
      <c r="UIR29" s="1266"/>
      <c r="UIS29" s="1266"/>
      <c r="UIT29" s="1266"/>
      <c r="UIU29" s="1266"/>
      <c r="UIV29" s="1266"/>
      <c r="UIW29" s="1266"/>
      <c r="UIX29" s="1266"/>
      <c r="UIY29" s="1266"/>
      <c r="UIZ29" s="1266"/>
      <c r="UJA29" s="1266"/>
      <c r="UJB29" s="1266"/>
      <c r="UJC29" s="1266"/>
      <c r="UJD29" s="1266"/>
      <c r="UJE29" s="1266"/>
      <c r="UJF29" s="1266"/>
      <c r="UJG29" s="1266"/>
      <c r="UJH29" s="1266"/>
      <c r="UJI29" s="1266"/>
      <c r="UJJ29" s="1266"/>
      <c r="UJK29" s="1266"/>
      <c r="UJL29" s="1266"/>
      <c r="UJM29" s="1266"/>
      <c r="UJN29" s="1266"/>
      <c r="UJO29" s="1266"/>
      <c r="UJP29" s="1266"/>
      <c r="UJQ29" s="1266"/>
      <c r="UJR29" s="1266"/>
      <c r="UJS29" s="1266"/>
      <c r="UJT29" s="1266"/>
      <c r="UJU29" s="1266"/>
      <c r="UJV29" s="1266"/>
      <c r="UJW29" s="1266"/>
      <c r="UJX29" s="1266"/>
      <c r="UJY29" s="1266"/>
      <c r="UJZ29" s="1266"/>
      <c r="UKA29" s="1266"/>
      <c r="UKB29" s="1266"/>
      <c r="UKC29" s="1266"/>
      <c r="UKD29" s="1266"/>
      <c r="UKE29" s="1266"/>
      <c r="UKF29" s="1266"/>
      <c r="UKG29" s="1266"/>
      <c r="UKH29" s="1266"/>
      <c r="UKI29" s="1266"/>
      <c r="UKJ29" s="1266"/>
      <c r="UKK29" s="1266"/>
      <c r="UKL29" s="1266"/>
      <c r="UKM29" s="1266"/>
      <c r="UKN29" s="1266"/>
      <c r="UKO29" s="1266"/>
      <c r="UKP29" s="1266"/>
      <c r="UKQ29" s="1266"/>
      <c r="UKR29" s="1266"/>
      <c r="UKS29" s="1266"/>
      <c r="UKT29" s="1266"/>
      <c r="UKU29" s="1266"/>
      <c r="UKV29" s="1266"/>
      <c r="UKW29" s="1266"/>
      <c r="UKX29" s="1266"/>
      <c r="UKY29" s="1266"/>
      <c r="UKZ29" s="1266"/>
      <c r="ULA29" s="1266"/>
      <c r="ULB29" s="1266"/>
      <c r="ULC29" s="1266"/>
      <c r="ULD29" s="1266"/>
      <c r="ULE29" s="1266"/>
      <c r="ULF29" s="1266"/>
      <c r="ULG29" s="1266"/>
      <c r="ULH29" s="1266"/>
      <c r="ULI29" s="1266"/>
      <c r="ULJ29" s="1266"/>
      <c r="ULK29" s="1266"/>
      <c r="ULL29" s="1266"/>
      <c r="ULM29" s="1266"/>
      <c r="ULN29" s="1266"/>
      <c r="ULO29" s="1266"/>
      <c r="ULP29" s="1266"/>
      <c r="ULQ29" s="1266"/>
      <c r="ULR29" s="1266"/>
      <c r="ULS29" s="1266"/>
      <c r="ULT29" s="1266"/>
      <c r="ULU29" s="1266"/>
      <c r="ULV29" s="1266"/>
      <c r="ULW29" s="1266"/>
      <c r="ULX29" s="1266"/>
      <c r="ULY29" s="1266"/>
      <c r="ULZ29" s="1266"/>
      <c r="UMA29" s="1266"/>
      <c r="UMB29" s="1266"/>
      <c r="UMC29" s="1266"/>
      <c r="UMD29" s="1266"/>
      <c r="UME29" s="1266"/>
      <c r="UMF29" s="1266"/>
      <c r="UMG29" s="1266"/>
      <c r="UMH29" s="1266"/>
      <c r="UMI29" s="1266"/>
      <c r="UMJ29" s="1266"/>
      <c r="UMK29" s="1266"/>
      <c r="UML29" s="1266"/>
      <c r="UMM29" s="1266"/>
      <c r="UMN29" s="1266"/>
      <c r="UMO29" s="1266"/>
      <c r="UMP29" s="1266"/>
      <c r="UMQ29" s="1266"/>
      <c r="UMR29" s="1266"/>
      <c r="UMS29" s="1266"/>
      <c r="UMT29" s="1266"/>
      <c r="UMU29" s="1266"/>
      <c r="UMV29" s="1266"/>
      <c r="UMW29" s="1266"/>
      <c r="UMX29" s="1266"/>
      <c r="UMY29" s="1266"/>
      <c r="UMZ29" s="1266"/>
      <c r="UNA29" s="1266"/>
      <c r="UNB29" s="1266"/>
      <c r="UNC29" s="1266"/>
      <c r="UND29" s="1266"/>
      <c r="UNE29" s="1266"/>
      <c r="UNF29" s="1266"/>
      <c r="UNG29" s="1266"/>
      <c r="UNH29" s="1266"/>
      <c r="UNI29" s="1266"/>
      <c r="UNJ29" s="1266"/>
      <c r="UNK29" s="1266"/>
      <c r="UNL29" s="1266"/>
      <c r="UNM29" s="1266"/>
      <c r="UNN29" s="1266"/>
      <c r="UNO29" s="1266"/>
      <c r="UNP29" s="1266"/>
      <c r="UNQ29" s="1266"/>
      <c r="UNR29" s="1266"/>
      <c r="UNS29" s="1266"/>
      <c r="UNT29" s="1266"/>
      <c r="UNU29" s="1266"/>
      <c r="UNV29" s="1266"/>
      <c r="UNW29" s="1266"/>
      <c r="UNX29" s="1266"/>
      <c r="UNY29" s="1266"/>
      <c r="UNZ29" s="1266"/>
      <c r="UOA29" s="1266"/>
      <c r="UOB29" s="1266"/>
      <c r="UOC29" s="1266"/>
      <c r="UOD29" s="1266"/>
      <c r="UOE29" s="1266"/>
      <c r="UOF29" s="1266"/>
      <c r="UOG29" s="1266"/>
      <c r="UOH29" s="1266"/>
      <c r="UOI29" s="1266"/>
      <c r="UOJ29" s="1266"/>
      <c r="UOK29" s="1266"/>
      <c r="UOL29" s="1266"/>
      <c r="UOM29" s="1266"/>
      <c r="UON29" s="1266"/>
      <c r="UOO29" s="1266"/>
      <c r="UOP29" s="1266"/>
      <c r="UOQ29" s="1266"/>
      <c r="UOR29" s="1266"/>
      <c r="UOS29" s="1266"/>
      <c r="UOT29" s="1266"/>
      <c r="UOU29" s="1266"/>
      <c r="UOV29" s="1266"/>
      <c r="UOW29" s="1266"/>
      <c r="UOX29" s="1266"/>
      <c r="UOY29" s="1266"/>
      <c r="UOZ29" s="1266"/>
      <c r="UPA29" s="1266"/>
      <c r="UPB29" s="1266"/>
      <c r="UPC29" s="1266"/>
      <c r="UPD29" s="1266"/>
      <c r="UPE29" s="1266"/>
      <c r="UPF29" s="1266"/>
      <c r="UPG29" s="1266"/>
      <c r="UPH29" s="1266"/>
      <c r="UPI29" s="1266"/>
      <c r="UPJ29" s="1266"/>
      <c r="UPK29" s="1266"/>
      <c r="UPL29" s="1266"/>
      <c r="UPM29" s="1266"/>
      <c r="UPN29" s="1266"/>
      <c r="UPO29" s="1266"/>
      <c r="UPP29" s="1266"/>
      <c r="UPQ29" s="1266"/>
      <c r="UPR29" s="1266"/>
      <c r="UPS29" s="1266"/>
      <c r="UPT29" s="1266"/>
      <c r="UPU29" s="1266"/>
      <c r="UPV29" s="1266"/>
      <c r="UPW29" s="1266"/>
      <c r="UPX29" s="1266"/>
      <c r="UPY29" s="1266"/>
      <c r="UPZ29" s="1266"/>
      <c r="UQA29" s="1266"/>
      <c r="UQB29" s="1266"/>
      <c r="UQC29" s="1266"/>
      <c r="UQD29" s="1266"/>
      <c r="UQE29" s="1266"/>
      <c r="UQF29" s="1266"/>
      <c r="UQG29" s="1266"/>
      <c r="UQH29" s="1266"/>
      <c r="UQI29" s="1266"/>
      <c r="UQJ29" s="1266"/>
      <c r="UQK29" s="1266"/>
      <c r="UQL29" s="1266"/>
      <c r="UQM29" s="1266"/>
      <c r="UQN29" s="1266"/>
      <c r="UQO29" s="1266"/>
      <c r="UQP29" s="1266"/>
      <c r="UQQ29" s="1266"/>
      <c r="UQR29" s="1266"/>
      <c r="UQS29" s="1266"/>
      <c r="UQT29" s="1266"/>
      <c r="UQU29" s="1266"/>
      <c r="UQV29" s="1266"/>
      <c r="UQW29" s="1266"/>
      <c r="UQX29" s="1266"/>
      <c r="UQY29" s="1266"/>
      <c r="UQZ29" s="1266"/>
      <c r="URA29" s="1266"/>
      <c r="URB29" s="1266"/>
      <c r="URC29" s="1266"/>
      <c r="URD29" s="1266"/>
      <c r="URE29" s="1266"/>
      <c r="URF29" s="1266"/>
      <c r="URG29" s="1266"/>
      <c r="URH29" s="1266"/>
      <c r="URI29" s="1266"/>
      <c r="URJ29" s="1266"/>
      <c r="URK29" s="1266"/>
      <c r="URL29" s="1266"/>
      <c r="URM29" s="1266"/>
      <c r="URN29" s="1266"/>
      <c r="URO29" s="1266"/>
      <c r="URP29" s="1266"/>
      <c r="URQ29" s="1266"/>
      <c r="URR29" s="1266"/>
      <c r="URS29" s="1266"/>
      <c r="URT29" s="1266"/>
      <c r="URU29" s="1266"/>
      <c r="URV29" s="1266"/>
      <c r="URW29" s="1266"/>
      <c r="URX29" s="1266"/>
      <c r="URY29" s="1266"/>
      <c r="URZ29" s="1266"/>
      <c r="USA29" s="1266"/>
      <c r="USB29" s="1266"/>
      <c r="USC29" s="1266"/>
      <c r="USD29" s="1266"/>
      <c r="USE29" s="1266"/>
      <c r="USF29" s="1266"/>
      <c r="USG29" s="1266"/>
      <c r="USH29" s="1266"/>
      <c r="USI29" s="1266"/>
      <c r="USJ29" s="1266"/>
      <c r="USK29" s="1266"/>
      <c r="USL29" s="1266"/>
      <c r="USM29" s="1266"/>
      <c r="USN29" s="1266"/>
      <c r="USO29" s="1266"/>
      <c r="USP29" s="1266"/>
      <c r="USQ29" s="1266"/>
      <c r="USR29" s="1266"/>
      <c r="USS29" s="1266"/>
      <c r="UST29" s="1266"/>
      <c r="USU29" s="1266"/>
      <c r="USV29" s="1266"/>
      <c r="USW29" s="1266"/>
      <c r="USX29" s="1266"/>
      <c r="USY29" s="1266"/>
      <c r="USZ29" s="1266"/>
      <c r="UTA29" s="1266"/>
      <c r="UTB29" s="1266"/>
      <c r="UTC29" s="1266"/>
      <c r="UTD29" s="1266"/>
      <c r="UTE29" s="1266"/>
      <c r="UTF29" s="1266"/>
      <c r="UTG29" s="1266"/>
      <c r="UTH29" s="1266"/>
      <c r="UTI29" s="1266"/>
      <c r="UTJ29" s="1266"/>
      <c r="UTK29" s="1266"/>
      <c r="UTL29" s="1266"/>
      <c r="UTM29" s="1266"/>
      <c r="UTN29" s="1266"/>
      <c r="UTO29" s="1266"/>
      <c r="UTP29" s="1266"/>
      <c r="UTQ29" s="1266"/>
      <c r="UTR29" s="1266"/>
      <c r="UTS29" s="1266"/>
      <c r="UTT29" s="1266"/>
      <c r="UTU29" s="1266"/>
      <c r="UTV29" s="1266"/>
      <c r="UTW29" s="1266"/>
      <c r="UTX29" s="1266"/>
      <c r="UTY29" s="1266"/>
      <c r="UTZ29" s="1266"/>
      <c r="UUA29" s="1266"/>
      <c r="UUB29" s="1266"/>
      <c r="UUC29" s="1266"/>
      <c r="UUD29" s="1266"/>
      <c r="UUE29" s="1266"/>
      <c r="UUF29" s="1266"/>
      <c r="UUG29" s="1266"/>
      <c r="UUH29" s="1266"/>
      <c r="UUI29" s="1266"/>
      <c r="UUJ29" s="1266"/>
      <c r="UUK29" s="1266"/>
      <c r="UUL29" s="1266"/>
      <c r="UUM29" s="1266"/>
      <c r="UUN29" s="1266"/>
      <c r="UUO29" s="1266"/>
      <c r="UUP29" s="1266"/>
      <c r="UUQ29" s="1266"/>
      <c r="UUR29" s="1266"/>
      <c r="UUS29" s="1266"/>
      <c r="UUT29" s="1266"/>
      <c r="UUU29" s="1266"/>
      <c r="UUV29" s="1266"/>
      <c r="UUW29" s="1266"/>
      <c r="UUX29" s="1266"/>
      <c r="UUY29" s="1266"/>
      <c r="UUZ29" s="1266"/>
      <c r="UVA29" s="1266"/>
      <c r="UVB29" s="1266"/>
      <c r="UVC29" s="1266"/>
      <c r="UVD29" s="1266"/>
      <c r="UVE29" s="1266"/>
      <c r="UVF29" s="1266"/>
      <c r="UVG29" s="1266"/>
      <c r="UVH29" s="1266"/>
      <c r="UVI29" s="1266"/>
      <c r="UVJ29" s="1266"/>
      <c r="UVK29" s="1266"/>
      <c r="UVL29" s="1266"/>
      <c r="UVM29" s="1266"/>
      <c r="UVN29" s="1266"/>
      <c r="UVO29" s="1266"/>
      <c r="UVP29" s="1266"/>
      <c r="UVQ29" s="1266"/>
      <c r="UVR29" s="1266"/>
      <c r="UVS29" s="1266"/>
      <c r="UVT29" s="1266"/>
      <c r="UVU29" s="1266"/>
      <c r="UVV29" s="1266"/>
      <c r="UVW29" s="1266"/>
      <c r="UVX29" s="1266"/>
      <c r="UVY29" s="1266"/>
      <c r="UVZ29" s="1266"/>
      <c r="UWA29" s="1266"/>
      <c r="UWB29" s="1266"/>
      <c r="UWC29" s="1266"/>
      <c r="UWD29" s="1266"/>
      <c r="UWE29" s="1266"/>
      <c r="UWF29" s="1266"/>
      <c r="UWG29" s="1266"/>
      <c r="UWH29" s="1266"/>
      <c r="UWI29" s="1266"/>
      <c r="UWJ29" s="1266"/>
      <c r="UWK29" s="1266"/>
      <c r="UWL29" s="1266"/>
      <c r="UWM29" s="1266"/>
      <c r="UWN29" s="1266"/>
      <c r="UWO29" s="1266"/>
      <c r="UWP29" s="1266"/>
      <c r="UWQ29" s="1266"/>
      <c r="UWR29" s="1266"/>
      <c r="UWS29" s="1266"/>
      <c r="UWT29" s="1266"/>
      <c r="UWU29" s="1266"/>
      <c r="UWV29" s="1266"/>
      <c r="UWW29" s="1266"/>
      <c r="UWX29" s="1266"/>
      <c r="UWY29" s="1266"/>
      <c r="UWZ29" s="1266"/>
      <c r="UXA29" s="1266"/>
      <c r="UXB29" s="1266"/>
      <c r="UXC29" s="1266"/>
      <c r="UXD29" s="1266"/>
      <c r="UXE29" s="1266"/>
      <c r="UXF29" s="1266"/>
      <c r="UXG29" s="1266"/>
      <c r="UXH29" s="1266"/>
      <c r="UXI29" s="1266"/>
      <c r="UXJ29" s="1266"/>
      <c r="UXK29" s="1266"/>
      <c r="UXL29" s="1266"/>
      <c r="UXM29" s="1266"/>
      <c r="UXN29" s="1266"/>
      <c r="UXO29" s="1266"/>
      <c r="UXP29" s="1266"/>
      <c r="UXQ29" s="1266"/>
      <c r="UXR29" s="1266"/>
      <c r="UXS29" s="1266"/>
      <c r="UXT29" s="1266"/>
      <c r="UXU29" s="1266"/>
      <c r="UXV29" s="1266"/>
      <c r="UXW29" s="1266"/>
      <c r="UXX29" s="1266"/>
      <c r="UXY29" s="1266"/>
      <c r="UXZ29" s="1266"/>
      <c r="UYA29" s="1266"/>
      <c r="UYB29" s="1266"/>
      <c r="UYC29" s="1266"/>
      <c r="UYD29" s="1266"/>
      <c r="UYE29" s="1266"/>
      <c r="UYF29" s="1266"/>
      <c r="UYG29" s="1266"/>
      <c r="UYH29" s="1266"/>
      <c r="UYI29" s="1266"/>
      <c r="UYJ29" s="1266"/>
      <c r="UYK29" s="1266"/>
      <c r="UYL29" s="1266"/>
      <c r="UYM29" s="1266"/>
      <c r="UYN29" s="1266"/>
      <c r="UYO29" s="1266"/>
      <c r="UYP29" s="1266"/>
      <c r="UYQ29" s="1266"/>
      <c r="UYR29" s="1266"/>
      <c r="UYS29" s="1266"/>
      <c r="UYT29" s="1266"/>
      <c r="UYU29" s="1266"/>
      <c r="UYV29" s="1266"/>
      <c r="UYW29" s="1266"/>
      <c r="UYX29" s="1266"/>
      <c r="UYY29" s="1266"/>
      <c r="UYZ29" s="1266"/>
      <c r="UZA29" s="1266"/>
      <c r="UZB29" s="1266"/>
      <c r="UZC29" s="1266"/>
      <c r="UZD29" s="1266"/>
      <c r="UZE29" s="1266"/>
      <c r="UZF29" s="1266"/>
      <c r="UZG29" s="1266"/>
      <c r="UZH29" s="1266"/>
      <c r="UZI29" s="1266"/>
      <c r="UZJ29" s="1266"/>
      <c r="UZK29" s="1266"/>
      <c r="UZL29" s="1266"/>
      <c r="UZM29" s="1266"/>
      <c r="UZN29" s="1266"/>
      <c r="UZO29" s="1266"/>
      <c r="UZP29" s="1266"/>
      <c r="UZQ29" s="1266"/>
      <c r="UZR29" s="1266"/>
      <c r="UZS29" s="1266"/>
      <c r="UZT29" s="1266"/>
      <c r="UZU29" s="1266"/>
      <c r="UZV29" s="1266"/>
      <c r="UZW29" s="1266"/>
      <c r="UZX29" s="1266"/>
      <c r="UZY29" s="1266"/>
      <c r="UZZ29" s="1266"/>
      <c r="VAA29" s="1266"/>
      <c r="VAB29" s="1266"/>
      <c r="VAC29" s="1266"/>
      <c r="VAD29" s="1266"/>
      <c r="VAE29" s="1266"/>
      <c r="VAF29" s="1266"/>
      <c r="VAG29" s="1266"/>
      <c r="VAH29" s="1266"/>
      <c r="VAI29" s="1266"/>
      <c r="VAJ29" s="1266"/>
      <c r="VAK29" s="1266"/>
      <c r="VAL29" s="1266"/>
      <c r="VAM29" s="1266"/>
      <c r="VAN29" s="1266"/>
      <c r="VAO29" s="1266"/>
      <c r="VAP29" s="1266"/>
      <c r="VAQ29" s="1266"/>
      <c r="VAR29" s="1266"/>
      <c r="VAS29" s="1266"/>
      <c r="VAT29" s="1266"/>
      <c r="VAU29" s="1266"/>
      <c r="VAV29" s="1266"/>
      <c r="VAW29" s="1266"/>
      <c r="VAX29" s="1266"/>
      <c r="VAY29" s="1266"/>
      <c r="VAZ29" s="1266"/>
      <c r="VBA29" s="1266"/>
      <c r="VBB29" s="1266"/>
      <c r="VBC29" s="1266"/>
      <c r="VBD29" s="1266"/>
      <c r="VBE29" s="1266"/>
      <c r="VBF29" s="1266"/>
      <c r="VBG29" s="1266"/>
      <c r="VBH29" s="1266"/>
      <c r="VBI29" s="1266"/>
      <c r="VBJ29" s="1266"/>
      <c r="VBK29" s="1266"/>
      <c r="VBL29" s="1266"/>
      <c r="VBM29" s="1266"/>
      <c r="VBN29" s="1266"/>
      <c r="VBO29" s="1266"/>
      <c r="VBP29" s="1266"/>
      <c r="VBQ29" s="1266"/>
      <c r="VBR29" s="1266"/>
      <c r="VBS29" s="1266"/>
      <c r="VBT29" s="1266"/>
      <c r="VBU29" s="1266"/>
      <c r="VBV29" s="1266"/>
      <c r="VBW29" s="1266"/>
      <c r="VBX29" s="1266"/>
      <c r="VBY29" s="1266"/>
      <c r="VBZ29" s="1266"/>
      <c r="VCA29" s="1266"/>
      <c r="VCB29" s="1266"/>
      <c r="VCC29" s="1266"/>
      <c r="VCD29" s="1266"/>
      <c r="VCE29" s="1266"/>
      <c r="VCF29" s="1266"/>
      <c r="VCG29" s="1266"/>
      <c r="VCH29" s="1266"/>
      <c r="VCI29" s="1266"/>
      <c r="VCJ29" s="1266"/>
      <c r="VCK29" s="1266"/>
      <c r="VCL29" s="1266"/>
      <c r="VCM29" s="1266"/>
      <c r="VCN29" s="1266"/>
      <c r="VCO29" s="1266"/>
      <c r="VCP29" s="1266"/>
      <c r="VCQ29" s="1266"/>
      <c r="VCR29" s="1266"/>
      <c r="VCS29" s="1266"/>
      <c r="VCT29" s="1266"/>
      <c r="VCU29" s="1266"/>
      <c r="VCV29" s="1266"/>
      <c r="VCW29" s="1266"/>
      <c r="VCX29" s="1266"/>
      <c r="VCY29" s="1266"/>
      <c r="VCZ29" s="1266"/>
      <c r="VDA29" s="1266"/>
      <c r="VDB29" s="1266"/>
      <c r="VDC29" s="1266"/>
      <c r="VDD29" s="1266"/>
      <c r="VDE29" s="1266"/>
      <c r="VDF29" s="1266"/>
      <c r="VDG29" s="1266"/>
      <c r="VDH29" s="1266"/>
      <c r="VDI29" s="1266"/>
      <c r="VDJ29" s="1266"/>
      <c r="VDK29" s="1266"/>
      <c r="VDL29" s="1266"/>
      <c r="VDM29" s="1266"/>
      <c r="VDN29" s="1266"/>
      <c r="VDO29" s="1266"/>
      <c r="VDP29" s="1266"/>
      <c r="VDQ29" s="1266"/>
      <c r="VDR29" s="1266"/>
      <c r="VDS29" s="1266"/>
      <c r="VDT29" s="1266"/>
      <c r="VDU29" s="1266"/>
      <c r="VDV29" s="1266"/>
      <c r="VDW29" s="1266"/>
      <c r="VDX29" s="1266"/>
      <c r="VDY29" s="1266"/>
      <c r="VDZ29" s="1266"/>
      <c r="VEA29" s="1266"/>
      <c r="VEB29" s="1266"/>
      <c r="VEC29" s="1266"/>
      <c r="VED29" s="1266"/>
      <c r="VEE29" s="1266"/>
      <c r="VEF29" s="1266"/>
      <c r="VEG29" s="1266"/>
      <c r="VEH29" s="1266"/>
      <c r="VEI29" s="1266"/>
      <c r="VEJ29" s="1266"/>
      <c r="VEK29" s="1266"/>
      <c r="VEL29" s="1266"/>
      <c r="VEM29" s="1266"/>
      <c r="VEN29" s="1266"/>
      <c r="VEO29" s="1266"/>
      <c r="VEP29" s="1266"/>
      <c r="VEQ29" s="1266"/>
      <c r="VER29" s="1266"/>
      <c r="VES29" s="1266"/>
      <c r="VET29" s="1266"/>
      <c r="VEU29" s="1266"/>
      <c r="VEV29" s="1266"/>
      <c r="VEW29" s="1266"/>
      <c r="VEX29" s="1266"/>
      <c r="VEY29" s="1266"/>
      <c r="VEZ29" s="1266"/>
      <c r="VFA29" s="1266"/>
      <c r="VFB29" s="1266"/>
      <c r="VFC29" s="1266"/>
      <c r="VFD29" s="1266"/>
      <c r="VFE29" s="1266"/>
      <c r="VFF29" s="1266"/>
      <c r="VFG29" s="1266"/>
      <c r="VFH29" s="1266"/>
      <c r="VFI29" s="1266"/>
      <c r="VFJ29" s="1266"/>
      <c r="VFK29" s="1266"/>
      <c r="VFL29" s="1266"/>
      <c r="VFM29" s="1266"/>
      <c r="VFN29" s="1266"/>
      <c r="VFO29" s="1266"/>
      <c r="VFP29" s="1266"/>
      <c r="VFQ29" s="1266"/>
      <c r="VFR29" s="1266"/>
      <c r="VFS29" s="1266"/>
      <c r="VFT29" s="1266"/>
      <c r="VFU29" s="1266"/>
      <c r="VFV29" s="1266"/>
      <c r="VFW29" s="1266"/>
      <c r="VFX29" s="1266"/>
      <c r="VFY29" s="1266"/>
      <c r="VFZ29" s="1266"/>
      <c r="VGA29" s="1266"/>
      <c r="VGB29" s="1266"/>
      <c r="VGC29" s="1266"/>
      <c r="VGD29" s="1266"/>
      <c r="VGE29" s="1266"/>
      <c r="VGF29" s="1266"/>
      <c r="VGG29" s="1266"/>
      <c r="VGH29" s="1266"/>
      <c r="VGI29" s="1266"/>
      <c r="VGJ29" s="1266"/>
      <c r="VGK29" s="1266"/>
      <c r="VGL29" s="1266"/>
      <c r="VGM29" s="1266"/>
      <c r="VGN29" s="1266"/>
      <c r="VGO29" s="1266"/>
      <c r="VGP29" s="1266"/>
      <c r="VGQ29" s="1266"/>
      <c r="VGR29" s="1266"/>
      <c r="VGS29" s="1266"/>
      <c r="VGT29" s="1266"/>
      <c r="VGU29" s="1266"/>
      <c r="VGV29" s="1266"/>
      <c r="VGW29" s="1266"/>
      <c r="VGX29" s="1266"/>
      <c r="VGY29" s="1266"/>
      <c r="VGZ29" s="1266"/>
      <c r="VHA29" s="1266"/>
      <c r="VHB29" s="1266"/>
      <c r="VHC29" s="1266"/>
      <c r="VHD29" s="1266"/>
      <c r="VHE29" s="1266"/>
      <c r="VHF29" s="1266"/>
      <c r="VHG29" s="1266"/>
      <c r="VHH29" s="1266"/>
      <c r="VHI29" s="1266"/>
      <c r="VHJ29" s="1266"/>
      <c r="VHK29" s="1266"/>
      <c r="VHL29" s="1266"/>
      <c r="VHM29" s="1266"/>
      <c r="VHN29" s="1266"/>
      <c r="VHO29" s="1266"/>
      <c r="VHP29" s="1266"/>
      <c r="VHQ29" s="1266"/>
      <c r="VHR29" s="1266"/>
      <c r="VHS29" s="1266"/>
      <c r="VHT29" s="1266"/>
      <c r="VHU29" s="1266"/>
      <c r="VHV29" s="1266"/>
      <c r="VHW29" s="1266"/>
      <c r="VHX29" s="1266"/>
      <c r="VHY29" s="1266"/>
      <c r="VHZ29" s="1266"/>
      <c r="VIA29" s="1266"/>
      <c r="VIB29" s="1266"/>
      <c r="VIC29" s="1266"/>
      <c r="VID29" s="1266"/>
      <c r="VIE29" s="1266"/>
      <c r="VIF29" s="1266"/>
      <c r="VIG29" s="1266"/>
      <c r="VIH29" s="1266"/>
      <c r="VII29" s="1266"/>
      <c r="VIJ29" s="1266"/>
      <c r="VIK29" s="1266"/>
      <c r="VIL29" s="1266"/>
      <c r="VIM29" s="1266"/>
      <c r="VIN29" s="1266"/>
      <c r="VIO29" s="1266"/>
      <c r="VIP29" s="1266"/>
      <c r="VIQ29" s="1266"/>
      <c r="VIR29" s="1266"/>
      <c r="VIS29" s="1266"/>
      <c r="VIT29" s="1266"/>
      <c r="VIU29" s="1266"/>
      <c r="VIV29" s="1266"/>
      <c r="VIW29" s="1266"/>
      <c r="VIX29" s="1266"/>
      <c r="VIY29" s="1266"/>
      <c r="VIZ29" s="1266"/>
      <c r="VJA29" s="1266"/>
      <c r="VJB29" s="1266"/>
      <c r="VJC29" s="1266"/>
      <c r="VJD29" s="1266"/>
      <c r="VJE29" s="1266"/>
      <c r="VJF29" s="1266"/>
      <c r="VJG29" s="1266"/>
      <c r="VJH29" s="1266"/>
      <c r="VJI29" s="1266"/>
      <c r="VJJ29" s="1266"/>
      <c r="VJK29" s="1266"/>
      <c r="VJL29" s="1266"/>
      <c r="VJM29" s="1266"/>
      <c r="VJN29" s="1266"/>
      <c r="VJO29" s="1266"/>
      <c r="VJP29" s="1266"/>
      <c r="VJQ29" s="1266"/>
      <c r="VJR29" s="1266"/>
      <c r="VJS29" s="1266"/>
      <c r="VJT29" s="1266"/>
      <c r="VJU29" s="1266"/>
      <c r="VJV29" s="1266"/>
      <c r="VJW29" s="1266"/>
      <c r="VJX29" s="1266"/>
      <c r="VJY29" s="1266"/>
      <c r="VJZ29" s="1266"/>
      <c r="VKA29" s="1266"/>
      <c r="VKB29" s="1266"/>
      <c r="VKC29" s="1266"/>
      <c r="VKD29" s="1266"/>
      <c r="VKE29" s="1266"/>
      <c r="VKF29" s="1266"/>
      <c r="VKG29" s="1266"/>
      <c r="VKH29" s="1266"/>
      <c r="VKI29" s="1266"/>
      <c r="VKJ29" s="1266"/>
      <c r="VKK29" s="1266"/>
      <c r="VKL29" s="1266"/>
      <c r="VKM29" s="1266"/>
      <c r="VKN29" s="1266"/>
      <c r="VKO29" s="1266"/>
      <c r="VKP29" s="1266"/>
      <c r="VKQ29" s="1266"/>
      <c r="VKR29" s="1266"/>
      <c r="VKS29" s="1266"/>
      <c r="VKT29" s="1266"/>
      <c r="VKU29" s="1266"/>
      <c r="VKV29" s="1266"/>
      <c r="VKW29" s="1266"/>
      <c r="VKX29" s="1266"/>
      <c r="VKY29" s="1266"/>
      <c r="VKZ29" s="1266"/>
      <c r="VLA29" s="1266"/>
      <c r="VLB29" s="1266"/>
      <c r="VLC29" s="1266"/>
      <c r="VLD29" s="1266"/>
      <c r="VLE29" s="1266"/>
      <c r="VLF29" s="1266"/>
      <c r="VLG29" s="1266"/>
      <c r="VLH29" s="1266"/>
      <c r="VLI29" s="1266"/>
      <c r="VLJ29" s="1266"/>
      <c r="VLK29" s="1266"/>
      <c r="VLL29" s="1266"/>
      <c r="VLM29" s="1266"/>
      <c r="VLN29" s="1266"/>
      <c r="VLO29" s="1266"/>
      <c r="VLP29" s="1266"/>
      <c r="VLQ29" s="1266"/>
      <c r="VLR29" s="1266"/>
      <c r="VLS29" s="1266"/>
      <c r="VLT29" s="1266"/>
      <c r="VLU29" s="1266"/>
      <c r="VLV29" s="1266"/>
      <c r="VLW29" s="1266"/>
      <c r="VLX29" s="1266"/>
      <c r="VLY29" s="1266"/>
      <c r="VLZ29" s="1266"/>
      <c r="VMA29" s="1266"/>
      <c r="VMB29" s="1266"/>
      <c r="VMC29" s="1266"/>
      <c r="VMD29" s="1266"/>
      <c r="VME29" s="1266"/>
      <c r="VMF29" s="1266"/>
      <c r="VMG29" s="1266"/>
      <c r="VMH29" s="1266"/>
      <c r="VMI29" s="1266"/>
      <c r="VMJ29" s="1266"/>
      <c r="VMK29" s="1266"/>
      <c r="VML29" s="1266"/>
      <c r="VMM29" s="1266"/>
      <c r="VMN29" s="1266"/>
      <c r="VMO29" s="1266"/>
      <c r="VMP29" s="1266"/>
      <c r="VMQ29" s="1266"/>
      <c r="VMR29" s="1266"/>
      <c r="VMS29" s="1266"/>
      <c r="VMT29" s="1266"/>
      <c r="VMU29" s="1266"/>
      <c r="VMV29" s="1266"/>
      <c r="VMW29" s="1266"/>
      <c r="VMX29" s="1266"/>
      <c r="VMY29" s="1266"/>
      <c r="VMZ29" s="1266"/>
      <c r="VNA29" s="1266"/>
      <c r="VNB29" s="1266"/>
      <c r="VNC29" s="1266"/>
      <c r="VND29" s="1266"/>
      <c r="VNE29" s="1266"/>
      <c r="VNF29" s="1266"/>
      <c r="VNG29" s="1266"/>
      <c r="VNH29" s="1266"/>
      <c r="VNI29" s="1266"/>
      <c r="VNJ29" s="1266"/>
      <c r="VNK29" s="1266"/>
      <c r="VNL29" s="1266"/>
      <c r="VNM29" s="1266"/>
      <c r="VNN29" s="1266"/>
      <c r="VNO29" s="1266"/>
      <c r="VNP29" s="1266"/>
      <c r="VNQ29" s="1266"/>
      <c r="VNR29" s="1266"/>
      <c r="VNS29" s="1266"/>
      <c r="VNT29" s="1266"/>
      <c r="VNU29" s="1266"/>
      <c r="VNV29" s="1266"/>
      <c r="VNW29" s="1266"/>
      <c r="VNX29" s="1266"/>
      <c r="VNY29" s="1266"/>
      <c r="VNZ29" s="1266"/>
      <c r="VOA29" s="1266"/>
      <c r="VOB29" s="1266"/>
      <c r="VOC29" s="1266"/>
      <c r="VOD29" s="1266"/>
      <c r="VOE29" s="1266"/>
      <c r="VOF29" s="1266"/>
      <c r="VOG29" s="1266"/>
      <c r="VOH29" s="1266"/>
      <c r="VOI29" s="1266"/>
      <c r="VOJ29" s="1266"/>
      <c r="VOK29" s="1266"/>
      <c r="VOL29" s="1266"/>
      <c r="VOM29" s="1266"/>
      <c r="VON29" s="1266"/>
      <c r="VOO29" s="1266"/>
      <c r="VOP29" s="1266"/>
      <c r="VOQ29" s="1266"/>
      <c r="VOR29" s="1266"/>
      <c r="VOS29" s="1266"/>
      <c r="VOT29" s="1266"/>
      <c r="VOU29" s="1266"/>
      <c r="VOV29" s="1266"/>
      <c r="VOW29" s="1266"/>
      <c r="VOX29" s="1266"/>
      <c r="VOY29" s="1266"/>
      <c r="VOZ29" s="1266"/>
      <c r="VPA29" s="1266"/>
      <c r="VPB29" s="1266"/>
      <c r="VPC29" s="1266"/>
      <c r="VPD29" s="1266"/>
      <c r="VPE29" s="1266"/>
      <c r="VPF29" s="1266"/>
      <c r="VPG29" s="1266"/>
      <c r="VPH29" s="1266"/>
      <c r="VPI29" s="1266"/>
      <c r="VPJ29" s="1266"/>
      <c r="VPK29" s="1266"/>
      <c r="VPL29" s="1266"/>
      <c r="VPM29" s="1266"/>
      <c r="VPN29" s="1266"/>
      <c r="VPO29" s="1266"/>
      <c r="VPP29" s="1266"/>
      <c r="VPQ29" s="1266"/>
      <c r="VPR29" s="1266"/>
      <c r="VPS29" s="1266"/>
      <c r="VPT29" s="1266"/>
      <c r="VPU29" s="1266"/>
      <c r="VPV29" s="1266"/>
      <c r="VPW29" s="1266"/>
      <c r="VPX29" s="1266"/>
      <c r="VPY29" s="1266"/>
      <c r="VPZ29" s="1266"/>
      <c r="VQA29" s="1266"/>
      <c r="VQB29" s="1266"/>
      <c r="VQC29" s="1266"/>
      <c r="VQD29" s="1266"/>
      <c r="VQE29" s="1266"/>
      <c r="VQF29" s="1266"/>
      <c r="VQG29" s="1266"/>
      <c r="VQH29" s="1266"/>
      <c r="VQI29" s="1266"/>
      <c r="VQJ29" s="1266"/>
      <c r="VQK29" s="1266"/>
      <c r="VQL29" s="1266"/>
      <c r="VQM29" s="1266"/>
      <c r="VQN29" s="1266"/>
      <c r="VQO29" s="1266"/>
      <c r="VQP29" s="1266"/>
      <c r="VQQ29" s="1266"/>
      <c r="VQR29" s="1266"/>
      <c r="VQS29" s="1266"/>
      <c r="VQT29" s="1266"/>
      <c r="VQU29" s="1266"/>
      <c r="VQV29" s="1266"/>
      <c r="VQW29" s="1266"/>
      <c r="VQX29" s="1266"/>
      <c r="VQY29" s="1266"/>
      <c r="VQZ29" s="1266"/>
      <c r="VRA29" s="1266"/>
      <c r="VRB29" s="1266"/>
      <c r="VRC29" s="1266"/>
      <c r="VRD29" s="1266"/>
      <c r="VRE29" s="1266"/>
      <c r="VRF29" s="1266"/>
      <c r="VRG29" s="1266"/>
      <c r="VRH29" s="1266"/>
      <c r="VRI29" s="1266"/>
      <c r="VRJ29" s="1266"/>
      <c r="VRK29" s="1266"/>
      <c r="VRL29" s="1266"/>
      <c r="VRM29" s="1266"/>
      <c r="VRN29" s="1266"/>
      <c r="VRO29" s="1266"/>
      <c r="VRP29" s="1266"/>
      <c r="VRQ29" s="1266"/>
      <c r="VRR29" s="1266"/>
      <c r="VRS29" s="1266"/>
      <c r="VRT29" s="1266"/>
      <c r="VRU29" s="1266"/>
      <c r="VRV29" s="1266"/>
      <c r="VRW29" s="1266"/>
      <c r="VRX29" s="1266"/>
      <c r="VRY29" s="1266"/>
      <c r="VRZ29" s="1266"/>
      <c r="VSA29" s="1266"/>
      <c r="VSB29" s="1266"/>
      <c r="VSC29" s="1266"/>
      <c r="VSD29" s="1266"/>
      <c r="VSE29" s="1266"/>
      <c r="VSF29" s="1266"/>
      <c r="VSG29" s="1266"/>
      <c r="VSH29" s="1266"/>
      <c r="VSI29" s="1266"/>
      <c r="VSJ29" s="1266"/>
      <c r="VSK29" s="1266"/>
      <c r="VSL29" s="1266"/>
      <c r="VSM29" s="1266"/>
      <c r="VSN29" s="1266"/>
      <c r="VSO29" s="1266"/>
      <c r="VSP29" s="1266"/>
      <c r="VSQ29" s="1266"/>
      <c r="VSR29" s="1266"/>
      <c r="VSS29" s="1266"/>
      <c r="VST29" s="1266"/>
      <c r="VSU29" s="1266"/>
      <c r="VSV29" s="1266"/>
      <c r="VSW29" s="1266"/>
      <c r="VSX29" s="1266"/>
      <c r="VSY29" s="1266"/>
      <c r="VSZ29" s="1266"/>
      <c r="VTA29" s="1266"/>
      <c r="VTB29" s="1266"/>
      <c r="VTC29" s="1266"/>
      <c r="VTD29" s="1266"/>
      <c r="VTE29" s="1266"/>
      <c r="VTF29" s="1266"/>
      <c r="VTG29" s="1266"/>
      <c r="VTH29" s="1266"/>
      <c r="VTI29" s="1266"/>
      <c r="VTJ29" s="1266"/>
      <c r="VTK29" s="1266"/>
      <c r="VTL29" s="1266"/>
      <c r="VTM29" s="1266"/>
      <c r="VTN29" s="1266"/>
      <c r="VTO29" s="1266"/>
      <c r="VTP29" s="1266"/>
      <c r="VTQ29" s="1266"/>
      <c r="VTR29" s="1266"/>
      <c r="VTS29" s="1266"/>
      <c r="VTT29" s="1266"/>
      <c r="VTU29" s="1266"/>
      <c r="VTV29" s="1266"/>
      <c r="VTW29" s="1266"/>
      <c r="VTX29" s="1266"/>
      <c r="VTY29" s="1266"/>
      <c r="VTZ29" s="1266"/>
      <c r="VUA29" s="1266"/>
      <c r="VUB29" s="1266"/>
      <c r="VUC29" s="1266"/>
      <c r="VUD29" s="1266"/>
      <c r="VUE29" s="1266"/>
      <c r="VUF29" s="1266"/>
      <c r="VUG29" s="1266"/>
      <c r="VUH29" s="1266"/>
      <c r="VUI29" s="1266"/>
      <c r="VUJ29" s="1266"/>
      <c r="VUK29" s="1266"/>
      <c r="VUL29" s="1266"/>
      <c r="VUM29" s="1266"/>
      <c r="VUN29" s="1266"/>
      <c r="VUO29" s="1266"/>
      <c r="VUP29" s="1266"/>
      <c r="VUQ29" s="1266"/>
      <c r="VUR29" s="1266"/>
      <c r="VUS29" s="1266"/>
      <c r="VUT29" s="1266"/>
      <c r="VUU29" s="1266"/>
      <c r="VUV29" s="1266"/>
      <c r="VUW29" s="1266"/>
      <c r="VUX29" s="1266"/>
      <c r="VUY29" s="1266"/>
      <c r="VUZ29" s="1266"/>
      <c r="VVA29" s="1266"/>
      <c r="VVB29" s="1266"/>
      <c r="VVC29" s="1266"/>
      <c r="VVD29" s="1266"/>
      <c r="VVE29" s="1266"/>
      <c r="VVF29" s="1266"/>
      <c r="VVG29" s="1266"/>
      <c r="VVH29" s="1266"/>
      <c r="VVI29" s="1266"/>
      <c r="VVJ29" s="1266"/>
      <c r="VVK29" s="1266"/>
      <c r="VVL29" s="1266"/>
      <c r="VVM29" s="1266"/>
      <c r="VVN29" s="1266"/>
      <c r="VVO29" s="1266"/>
      <c r="VVP29" s="1266"/>
      <c r="VVQ29" s="1266"/>
      <c r="VVR29" s="1266"/>
      <c r="VVS29" s="1266"/>
      <c r="VVT29" s="1266"/>
      <c r="VVU29" s="1266"/>
      <c r="VVV29" s="1266"/>
      <c r="VVW29" s="1266"/>
      <c r="VVX29" s="1266"/>
      <c r="VVY29" s="1266"/>
      <c r="VVZ29" s="1266"/>
      <c r="VWA29" s="1266"/>
      <c r="VWB29" s="1266"/>
      <c r="VWC29" s="1266"/>
      <c r="VWD29" s="1266"/>
      <c r="VWE29" s="1266"/>
      <c r="VWF29" s="1266"/>
      <c r="VWG29" s="1266"/>
      <c r="VWH29" s="1266"/>
      <c r="VWI29" s="1266"/>
      <c r="VWJ29" s="1266"/>
      <c r="VWK29" s="1266"/>
      <c r="VWL29" s="1266"/>
      <c r="VWM29" s="1266"/>
      <c r="VWN29" s="1266"/>
      <c r="VWO29" s="1266"/>
      <c r="VWP29" s="1266"/>
      <c r="VWQ29" s="1266"/>
      <c r="VWR29" s="1266"/>
      <c r="VWS29" s="1266"/>
      <c r="VWT29" s="1266"/>
      <c r="VWU29" s="1266"/>
      <c r="VWV29" s="1266"/>
      <c r="VWW29" s="1266"/>
      <c r="VWX29" s="1266"/>
      <c r="VWY29" s="1266"/>
      <c r="VWZ29" s="1266"/>
      <c r="VXA29" s="1266"/>
      <c r="VXB29" s="1266"/>
      <c r="VXC29" s="1266"/>
      <c r="VXD29" s="1266"/>
      <c r="VXE29" s="1266"/>
      <c r="VXF29" s="1266"/>
      <c r="VXG29" s="1266"/>
      <c r="VXH29" s="1266"/>
      <c r="VXI29" s="1266"/>
      <c r="VXJ29" s="1266"/>
      <c r="VXK29" s="1266"/>
      <c r="VXL29" s="1266"/>
      <c r="VXM29" s="1266"/>
      <c r="VXN29" s="1266"/>
      <c r="VXO29" s="1266"/>
      <c r="VXP29" s="1266"/>
      <c r="VXQ29" s="1266"/>
      <c r="VXR29" s="1266"/>
      <c r="VXS29" s="1266"/>
      <c r="VXT29" s="1266"/>
      <c r="VXU29" s="1266"/>
      <c r="VXV29" s="1266"/>
      <c r="VXW29" s="1266"/>
      <c r="VXX29" s="1266"/>
      <c r="VXY29" s="1266"/>
      <c r="VXZ29" s="1266"/>
      <c r="VYA29" s="1266"/>
      <c r="VYB29" s="1266"/>
      <c r="VYC29" s="1266"/>
      <c r="VYD29" s="1266"/>
      <c r="VYE29" s="1266"/>
      <c r="VYF29" s="1266"/>
      <c r="VYG29" s="1266"/>
      <c r="VYH29" s="1266"/>
      <c r="VYI29" s="1266"/>
      <c r="VYJ29" s="1266"/>
      <c r="VYK29" s="1266"/>
      <c r="VYL29" s="1266"/>
      <c r="VYM29" s="1266"/>
      <c r="VYN29" s="1266"/>
      <c r="VYO29" s="1266"/>
      <c r="VYP29" s="1266"/>
      <c r="VYQ29" s="1266"/>
      <c r="VYR29" s="1266"/>
      <c r="VYS29" s="1266"/>
      <c r="VYT29" s="1266"/>
      <c r="VYU29" s="1266"/>
      <c r="VYV29" s="1266"/>
      <c r="VYW29" s="1266"/>
      <c r="VYX29" s="1266"/>
      <c r="VYY29" s="1266"/>
      <c r="VYZ29" s="1266"/>
      <c r="VZA29" s="1266"/>
      <c r="VZB29" s="1266"/>
      <c r="VZC29" s="1266"/>
      <c r="VZD29" s="1266"/>
      <c r="VZE29" s="1266"/>
      <c r="VZF29" s="1266"/>
      <c r="VZG29" s="1266"/>
      <c r="VZH29" s="1266"/>
      <c r="VZI29" s="1266"/>
      <c r="VZJ29" s="1266"/>
      <c r="VZK29" s="1266"/>
      <c r="VZL29" s="1266"/>
      <c r="VZM29" s="1266"/>
      <c r="VZN29" s="1266"/>
      <c r="VZO29" s="1266"/>
      <c r="VZP29" s="1266"/>
      <c r="VZQ29" s="1266"/>
      <c r="VZR29" s="1266"/>
      <c r="VZS29" s="1266"/>
      <c r="VZT29" s="1266"/>
      <c r="VZU29" s="1266"/>
      <c r="VZV29" s="1266"/>
      <c r="VZW29" s="1266"/>
      <c r="VZX29" s="1266"/>
      <c r="VZY29" s="1266"/>
      <c r="VZZ29" s="1266"/>
      <c r="WAA29" s="1266"/>
      <c r="WAB29" s="1266"/>
      <c r="WAC29" s="1266"/>
      <c r="WAD29" s="1266"/>
      <c r="WAE29" s="1266"/>
      <c r="WAF29" s="1266"/>
      <c r="WAG29" s="1266"/>
      <c r="WAH29" s="1266"/>
      <c r="WAI29" s="1266"/>
      <c r="WAJ29" s="1266"/>
      <c r="WAK29" s="1266"/>
      <c r="WAL29" s="1266"/>
      <c r="WAM29" s="1266"/>
      <c r="WAN29" s="1266"/>
      <c r="WAO29" s="1266"/>
      <c r="WAP29" s="1266"/>
      <c r="WAQ29" s="1266"/>
      <c r="WAR29" s="1266"/>
      <c r="WAS29" s="1266"/>
      <c r="WAT29" s="1266"/>
      <c r="WAU29" s="1266"/>
      <c r="WAV29" s="1266"/>
      <c r="WAW29" s="1266"/>
      <c r="WAX29" s="1266"/>
      <c r="WAY29" s="1266"/>
      <c r="WAZ29" s="1266"/>
      <c r="WBA29" s="1266"/>
      <c r="WBB29" s="1266"/>
      <c r="WBC29" s="1266"/>
      <c r="WBD29" s="1266"/>
      <c r="WBE29" s="1266"/>
      <c r="WBF29" s="1266"/>
      <c r="WBG29" s="1266"/>
      <c r="WBH29" s="1266"/>
      <c r="WBI29" s="1266"/>
      <c r="WBJ29" s="1266"/>
      <c r="WBK29" s="1266"/>
      <c r="WBL29" s="1266"/>
      <c r="WBM29" s="1266"/>
      <c r="WBN29" s="1266"/>
      <c r="WBO29" s="1266"/>
      <c r="WBP29" s="1266"/>
      <c r="WBQ29" s="1266"/>
      <c r="WBR29" s="1266"/>
      <c r="WBS29" s="1266"/>
      <c r="WBT29" s="1266"/>
      <c r="WBU29" s="1266"/>
      <c r="WBV29" s="1266"/>
      <c r="WBW29" s="1266"/>
      <c r="WBX29" s="1266"/>
      <c r="WBY29" s="1266"/>
      <c r="WBZ29" s="1266"/>
      <c r="WCA29" s="1266"/>
      <c r="WCB29" s="1266"/>
      <c r="WCC29" s="1266"/>
      <c r="WCD29" s="1266"/>
      <c r="WCE29" s="1266"/>
      <c r="WCF29" s="1266"/>
      <c r="WCG29" s="1266"/>
      <c r="WCH29" s="1266"/>
      <c r="WCI29" s="1266"/>
      <c r="WCJ29" s="1266"/>
      <c r="WCK29" s="1266"/>
      <c r="WCL29" s="1266"/>
      <c r="WCM29" s="1266"/>
      <c r="WCN29" s="1266"/>
      <c r="WCO29" s="1266"/>
      <c r="WCP29" s="1266"/>
      <c r="WCQ29" s="1266"/>
      <c r="WCR29" s="1266"/>
      <c r="WCS29" s="1266"/>
      <c r="WCT29" s="1266"/>
      <c r="WCU29" s="1266"/>
      <c r="WCV29" s="1266"/>
      <c r="WCW29" s="1266"/>
      <c r="WCX29" s="1266"/>
      <c r="WCY29" s="1266"/>
      <c r="WCZ29" s="1266"/>
      <c r="WDA29" s="1266"/>
      <c r="WDB29" s="1266"/>
      <c r="WDC29" s="1266"/>
      <c r="WDD29" s="1266"/>
      <c r="WDE29" s="1266"/>
      <c r="WDF29" s="1266"/>
      <c r="WDG29" s="1266"/>
      <c r="WDH29" s="1266"/>
      <c r="WDI29" s="1266"/>
      <c r="WDJ29" s="1266"/>
      <c r="WDK29" s="1266"/>
      <c r="WDL29" s="1266"/>
      <c r="WDM29" s="1266"/>
      <c r="WDN29" s="1266"/>
      <c r="WDO29" s="1266"/>
      <c r="WDP29" s="1266"/>
      <c r="WDQ29" s="1266"/>
      <c r="WDR29" s="1266"/>
      <c r="WDS29" s="1266"/>
      <c r="WDT29" s="1266"/>
      <c r="WDU29" s="1266"/>
      <c r="WDV29" s="1266"/>
      <c r="WDW29" s="1266"/>
      <c r="WDX29" s="1266"/>
      <c r="WDY29" s="1266"/>
      <c r="WDZ29" s="1266"/>
      <c r="WEA29" s="1266"/>
      <c r="WEB29" s="1266"/>
      <c r="WEC29" s="1266"/>
      <c r="WED29" s="1266"/>
      <c r="WEE29" s="1266"/>
      <c r="WEF29" s="1266"/>
      <c r="WEG29" s="1266"/>
      <c r="WEH29" s="1266"/>
      <c r="WEI29" s="1266"/>
      <c r="WEJ29" s="1266"/>
      <c r="WEK29" s="1266"/>
      <c r="WEL29" s="1266"/>
      <c r="WEM29" s="1266"/>
      <c r="WEN29" s="1266"/>
      <c r="WEO29" s="1266"/>
      <c r="WEP29" s="1266"/>
      <c r="WEQ29" s="1266"/>
      <c r="WER29" s="1266"/>
      <c r="WES29" s="1266"/>
      <c r="WET29" s="1266"/>
      <c r="WEU29" s="1266"/>
      <c r="WEV29" s="1266"/>
      <c r="WEW29" s="1266"/>
      <c r="WEX29" s="1266"/>
      <c r="WEY29" s="1266"/>
      <c r="WEZ29" s="1266"/>
      <c r="WFA29" s="1266"/>
      <c r="WFB29" s="1266"/>
      <c r="WFC29" s="1266"/>
      <c r="WFD29" s="1266"/>
      <c r="WFE29" s="1266"/>
      <c r="WFF29" s="1266"/>
      <c r="WFG29" s="1266"/>
      <c r="WFH29" s="1266"/>
      <c r="WFI29" s="1266"/>
      <c r="WFJ29" s="1266"/>
      <c r="WFK29" s="1266"/>
      <c r="WFL29" s="1266"/>
      <c r="WFM29" s="1266"/>
      <c r="WFN29" s="1266"/>
      <c r="WFO29" s="1266"/>
      <c r="WFP29" s="1266"/>
      <c r="WFQ29" s="1266"/>
      <c r="WFR29" s="1266"/>
      <c r="WFS29" s="1266"/>
      <c r="WFT29" s="1266"/>
      <c r="WFU29" s="1266"/>
      <c r="WFV29" s="1266"/>
      <c r="WFW29" s="1266"/>
      <c r="WFX29" s="1266"/>
      <c r="WFY29" s="1266"/>
      <c r="WFZ29" s="1266"/>
      <c r="WGA29" s="1266"/>
      <c r="WGB29" s="1266"/>
      <c r="WGC29" s="1266"/>
      <c r="WGD29" s="1266"/>
      <c r="WGE29" s="1266"/>
      <c r="WGF29" s="1266"/>
      <c r="WGG29" s="1266"/>
      <c r="WGH29" s="1266"/>
      <c r="WGI29" s="1266"/>
      <c r="WGJ29" s="1266"/>
      <c r="WGK29" s="1266"/>
      <c r="WGL29" s="1266"/>
      <c r="WGM29" s="1266"/>
      <c r="WGN29" s="1266"/>
      <c r="WGO29" s="1266"/>
      <c r="WGP29" s="1266"/>
      <c r="WGQ29" s="1266"/>
      <c r="WGR29" s="1266"/>
      <c r="WGS29" s="1266"/>
      <c r="WGT29" s="1266"/>
      <c r="WGU29" s="1266"/>
      <c r="WGV29" s="1266"/>
      <c r="WGW29" s="1266"/>
      <c r="WGX29" s="1266"/>
      <c r="WGY29" s="1266"/>
      <c r="WGZ29" s="1266"/>
      <c r="WHA29" s="1266"/>
      <c r="WHB29" s="1266"/>
      <c r="WHC29" s="1266"/>
      <c r="WHD29" s="1266"/>
      <c r="WHE29" s="1266"/>
      <c r="WHF29" s="1266"/>
      <c r="WHG29" s="1266"/>
      <c r="WHH29" s="1266"/>
      <c r="WHI29" s="1266"/>
      <c r="WHJ29" s="1266"/>
      <c r="WHK29" s="1266"/>
      <c r="WHL29" s="1266"/>
      <c r="WHM29" s="1266"/>
      <c r="WHN29" s="1266"/>
      <c r="WHO29" s="1266"/>
      <c r="WHP29" s="1266"/>
      <c r="WHQ29" s="1266"/>
      <c r="WHR29" s="1266"/>
      <c r="WHS29" s="1266"/>
      <c r="WHT29" s="1266"/>
      <c r="WHU29" s="1266"/>
      <c r="WHV29" s="1266"/>
      <c r="WHW29" s="1266"/>
      <c r="WHX29" s="1266"/>
      <c r="WHY29" s="1266"/>
      <c r="WHZ29" s="1266"/>
      <c r="WIA29" s="1266"/>
      <c r="WIB29" s="1266"/>
      <c r="WIC29" s="1266"/>
      <c r="WID29" s="1266"/>
      <c r="WIE29" s="1266"/>
      <c r="WIF29" s="1266"/>
      <c r="WIG29" s="1266"/>
      <c r="WIH29" s="1266"/>
      <c r="WII29" s="1266"/>
      <c r="WIJ29" s="1266"/>
      <c r="WIK29" s="1266"/>
      <c r="WIL29" s="1266"/>
      <c r="WIM29" s="1266"/>
      <c r="WIN29" s="1266"/>
      <c r="WIO29" s="1266"/>
      <c r="WIP29" s="1266"/>
      <c r="WIQ29" s="1266"/>
      <c r="WIR29" s="1266"/>
      <c r="WIS29" s="1266"/>
      <c r="WIT29" s="1266"/>
      <c r="WIU29" s="1266"/>
      <c r="WIV29" s="1266"/>
      <c r="WIW29" s="1266"/>
      <c r="WIX29" s="1266"/>
      <c r="WIY29" s="1266"/>
      <c r="WIZ29" s="1266"/>
      <c r="WJA29" s="1266"/>
      <c r="WJB29" s="1266"/>
      <c r="WJC29" s="1266"/>
      <c r="WJD29" s="1266"/>
      <c r="WJE29" s="1266"/>
      <c r="WJF29" s="1266"/>
      <c r="WJG29" s="1266"/>
      <c r="WJH29" s="1266"/>
      <c r="WJI29" s="1266"/>
      <c r="WJJ29" s="1266"/>
      <c r="WJK29" s="1266"/>
      <c r="WJL29" s="1266"/>
      <c r="WJM29" s="1266"/>
      <c r="WJN29" s="1266"/>
      <c r="WJO29" s="1266"/>
      <c r="WJP29" s="1266"/>
      <c r="WJQ29" s="1266"/>
      <c r="WJR29" s="1266"/>
      <c r="WJS29" s="1266"/>
      <c r="WJT29" s="1266"/>
      <c r="WJU29" s="1266"/>
      <c r="WJV29" s="1266"/>
      <c r="WJW29" s="1266"/>
      <c r="WJX29" s="1266"/>
      <c r="WJY29" s="1266"/>
      <c r="WJZ29" s="1266"/>
      <c r="WKA29" s="1266"/>
      <c r="WKB29" s="1266"/>
      <c r="WKC29" s="1266"/>
      <c r="WKD29" s="1266"/>
      <c r="WKE29" s="1266"/>
      <c r="WKF29" s="1266"/>
      <c r="WKG29" s="1266"/>
      <c r="WKH29" s="1266"/>
      <c r="WKI29" s="1266"/>
      <c r="WKJ29" s="1266"/>
      <c r="WKK29" s="1266"/>
      <c r="WKL29" s="1266"/>
      <c r="WKM29" s="1266"/>
      <c r="WKN29" s="1266"/>
      <c r="WKO29" s="1266"/>
      <c r="WKP29" s="1266"/>
      <c r="WKQ29" s="1266"/>
      <c r="WKR29" s="1266"/>
      <c r="WKS29" s="1266"/>
      <c r="WKT29" s="1266"/>
      <c r="WKU29" s="1266"/>
      <c r="WKV29" s="1266"/>
      <c r="WKW29" s="1266"/>
      <c r="WKX29" s="1266"/>
      <c r="WKY29" s="1266"/>
      <c r="WKZ29" s="1266"/>
      <c r="WLA29" s="1266"/>
      <c r="WLB29" s="1266"/>
      <c r="WLC29" s="1266"/>
      <c r="WLD29" s="1266"/>
      <c r="WLE29" s="1266"/>
      <c r="WLF29" s="1266"/>
      <c r="WLG29" s="1266"/>
      <c r="WLH29" s="1266"/>
      <c r="WLI29" s="1266"/>
      <c r="WLJ29" s="1266"/>
      <c r="WLK29" s="1266"/>
      <c r="WLL29" s="1266"/>
      <c r="WLM29" s="1266"/>
      <c r="WLN29" s="1266"/>
      <c r="WLO29" s="1266"/>
      <c r="WLP29" s="1266"/>
      <c r="WLQ29" s="1266"/>
      <c r="WLR29" s="1266"/>
      <c r="WLS29" s="1266"/>
      <c r="WLT29" s="1266"/>
      <c r="WLU29" s="1266"/>
      <c r="WLV29" s="1266"/>
      <c r="WLW29" s="1266"/>
      <c r="WLX29" s="1266"/>
      <c r="WLY29" s="1266"/>
      <c r="WLZ29" s="1266"/>
      <c r="WMA29" s="1266"/>
      <c r="WMB29" s="1266"/>
      <c r="WMC29" s="1266"/>
      <c r="WMD29" s="1266"/>
      <c r="WME29" s="1266"/>
      <c r="WMF29" s="1266"/>
      <c r="WMG29" s="1266"/>
      <c r="WMH29" s="1266"/>
      <c r="WMI29" s="1266"/>
      <c r="WMJ29" s="1266"/>
      <c r="WMK29" s="1266"/>
      <c r="WML29" s="1266"/>
      <c r="WMM29" s="1266"/>
      <c r="WMN29" s="1266"/>
      <c r="WMO29" s="1266"/>
      <c r="WMP29" s="1266"/>
      <c r="WMQ29" s="1266"/>
      <c r="WMR29" s="1266"/>
      <c r="WMS29" s="1266"/>
      <c r="WMT29" s="1266"/>
      <c r="WMU29" s="1266"/>
      <c r="WMV29" s="1266"/>
      <c r="WMW29" s="1266"/>
      <c r="WMX29" s="1266"/>
      <c r="WMY29" s="1266"/>
      <c r="WMZ29" s="1266"/>
      <c r="WNA29" s="1266"/>
      <c r="WNB29" s="1266"/>
      <c r="WNC29" s="1266"/>
      <c r="WND29" s="1266"/>
      <c r="WNE29" s="1266"/>
      <c r="WNF29" s="1266"/>
      <c r="WNG29" s="1266"/>
      <c r="WNH29" s="1266"/>
      <c r="WNI29" s="1266"/>
      <c r="WNJ29" s="1266"/>
      <c r="WNK29" s="1266"/>
      <c r="WNL29" s="1266"/>
      <c r="WNM29" s="1266"/>
      <c r="WNN29" s="1266"/>
      <c r="WNO29" s="1266"/>
      <c r="WNP29" s="1266"/>
      <c r="WNQ29" s="1266"/>
      <c r="WNR29" s="1266"/>
      <c r="WNS29" s="1266"/>
      <c r="WNT29" s="1266"/>
      <c r="WNU29" s="1266"/>
      <c r="WNV29" s="1266"/>
      <c r="WNW29" s="1266"/>
      <c r="WNX29" s="1266"/>
      <c r="WNY29" s="1266"/>
      <c r="WNZ29" s="1266"/>
      <c r="WOA29" s="1266"/>
      <c r="WOB29" s="1266"/>
      <c r="WOC29" s="1266"/>
      <c r="WOD29" s="1266"/>
      <c r="WOE29" s="1266"/>
      <c r="WOF29" s="1266"/>
      <c r="WOG29" s="1266"/>
      <c r="WOH29" s="1266"/>
      <c r="WOI29" s="1266"/>
      <c r="WOJ29" s="1266"/>
      <c r="WOK29" s="1266"/>
      <c r="WOL29" s="1266"/>
      <c r="WOM29" s="1266"/>
      <c r="WON29" s="1266"/>
      <c r="WOO29" s="1266"/>
      <c r="WOP29" s="1266"/>
      <c r="WOQ29" s="1266"/>
      <c r="WOR29" s="1266"/>
      <c r="WOS29" s="1266"/>
      <c r="WOT29" s="1266"/>
      <c r="WOU29" s="1266"/>
      <c r="WOV29" s="1266"/>
      <c r="WOW29" s="1266"/>
      <c r="WOX29" s="1266"/>
      <c r="WOY29" s="1266"/>
      <c r="WOZ29" s="1266"/>
      <c r="WPA29" s="1266"/>
      <c r="WPB29" s="1266"/>
      <c r="WPC29" s="1266"/>
      <c r="WPD29" s="1266"/>
      <c r="WPE29" s="1266"/>
      <c r="WPF29" s="1266"/>
      <c r="WPG29" s="1266"/>
      <c r="WPH29" s="1266"/>
      <c r="WPI29" s="1266"/>
      <c r="WPJ29" s="1266"/>
      <c r="WPK29" s="1266"/>
      <c r="WPL29" s="1266"/>
      <c r="WPM29" s="1266"/>
      <c r="WPN29" s="1266"/>
      <c r="WPO29" s="1266"/>
      <c r="WPP29" s="1266"/>
      <c r="WPQ29" s="1266"/>
      <c r="WPR29" s="1266"/>
      <c r="WPS29" s="1266"/>
      <c r="WPT29" s="1266"/>
      <c r="WPU29" s="1266"/>
      <c r="WPV29" s="1266"/>
      <c r="WPW29" s="1266"/>
      <c r="WPX29" s="1266"/>
      <c r="WPY29" s="1266"/>
      <c r="WPZ29" s="1266"/>
      <c r="WQA29" s="1266"/>
      <c r="WQB29" s="1266"/>
      <c r="WQC29" s="1266"/>
      <c r="WQD29" s="1266"/>
      <c r="WQE29" s="1266"/>
      <c r="WQF29" s="1266"/>
      <c r="WQG29" s="1266"/>
      <c r="WQH29" s="1266"/>
      <c r="WQI29" s="1266"/>
      <c r="WQJ29" s="1266"/>
      <c r="WQK29" s="1266"/>
      <c r="WQL29" s="1266"/>
      <c r="WQM29" s="1266"/>
      <c r="WQN29" s="1266"/>
      <c r="WQO29" s="1266"/>
      <c r="WQP29" s="1266"/>
      <c r="WQQ29" s="1266"/>
      <c r="WQR29" s="1266"/>
      <c r="WQS29" s="1266"/>
      <c r="WQT29" s="1266"/>
      <c r="WQU29" s="1266"/>
      <c r="WQV29" s="1266"/>
      <c r="WQW29" s="1266"/>
      <c r="WQX29" s="1266"/>
      <c r="WQY29" s="1266"/>
      <c r="WQZ29" s="1266"/>
      <c r="WRA29" s="1266"/>
      <c r="WRB29" s="1266"/>
      <c r="WRC29" s="1266"/>
      <c r="WRD29" s="1266"/>
      <c r="WRE29" s="1266"/>
      <c r="WRF29" s="1266"/>
      <c r="WRG29" s="1266"/>
      <c r="WRH29" s="1266"/>
      <c r="WRI29" s="1266"/>
      <c r="WRJ29" s="1266"/>
      <c r="WRK29" s="1266"/>
      <c r="WRL29" s="1266"/>
      <c r="WRM29" s="1266"/>
      <c r="WRN29" s="1266"/>
      <c r="WRO29" s="1266"/>
      <c r="WRP29" s="1266"/>
      <c r="WRQ29" s="1266"/>
      <c r="WRR29" s="1266"/>
      <c r="WRS29" s="1266"/>
      <c r="WRT29" s="1266"/>
      <c r="WRU29" s="1266"/>
      <c r="WRV29" s="1266"/>
      <c r="WRW29" s="1266"/>
      <c r="WRX29" s="1266"/>
      <c r="WRY29" s="1266"/>
      <c r="WRZ29" s="1266"/>
      <c r="WSA29" s="1266"/>
      <c r="WSB29" s="1266"/>
      <c r="WSC29" s="1266"/>
      <c r="WSD29" s="1266"/>
      <c r="WSE29" s="1266"/>
      <c r="WSF29" s="1266"/>
      <c r="WSG29" s="1266"/>
      <c r="WSH29" s="1266"/>
      <c r="WSI29" s="1266"/>
      <c r="WSJ29" s="1266"/>
      <c r="WSK29" s="1266"/>
      <c r="WSL29" s="1266"/>
      <c r="WSM29" s="1266"/>
      <c r="WSN29" s="1266"/>
      <c r="WSO29" s="1266"/>
      <c r="WSP29" s="1266"/>
      <c r="WSQ29" s="1266"/>
      <c r="WSR29" s="1266"/>
      <c r="WSS29" s="1266"/>
      <c r="WST29" s="1266"/>
      <c r="WSU29" s="1266"/>
      <c r="WSV29" s="1266"/>
      <c r="WSW29" s="1266"/>
      <c r="WSX29" s="1266"/>
      <c r="WSY29" s="1266"/>
      <c r="WSZ29" s="1266"/>
      <c r="WTA29" s="1266"/>
      <c r="WTB29" s="1266"/>
      <c r="WTC29" s="1266"/>
      <c r="WTD29" s="1266"/>
      <c r="WTE29" s="1266"/>
      <c r="WTF29" s="1266"/>
      <c r="WTG29" s="1266"/>
      <c r="WTH29" s="1266"/>
      <c r="WTI29" s="1266"/>
      <c r="WTJ29" s="1266"/>
      <c r="WTK29" s="1266"/>
      <c r="WTL29" s="1266"/>
      <c r="WTM29" s="1266"/>
      <c r="WTN29" s="1266"/>
      <c r="WTO29" s="1266"/>
      <c r="WTP29" s="1266"/>
      <c r="WTQ29" s="1266"/>
      <c r="WTR29" s="1266"/>
      <c r="WTS29" s="1266"/>
      <c r="WTT29" s="1266"/>
      <c r="WTU29" s="1266"/>
      <c r="WTV29" s="1266"/>
      <c r="WTW29" s="1266"/>
      <c r="WTX29" s="1266"/>
      <c r="WTY29" s="1266"/>
      <c r="WTZ29" s="1266"/>
      <c r="WUA29" s="1266"/>
      <c r="WUB29" s="1266"/>
      <c r="WUC29" s="1266"/>
      <c r="WUD29" s="1266"/>
      <c r="WUE29" s="1266"/>
      <c r="WUF29" s="1266"/>
      <c r="WUG29" s="1266"/>
      <c r="WUH29" s="1266"/>
      <c r="WUI29" s="1266"/>
      <c r="WUJ29" s="1266"/>
      <c r="WUK29" s="1266"/>
      <c r="WUL29" s="1266"/>
      <c r="WUM29" s="1266"/>
      <c r="WUN29" s="1266"/>
      <c r="WUO29" s="1266"/>
      <c r="WUP29" s="1266"/>
      <c r="WUQ29" s="1266"/>
      <c r="WUR29" s="1266"/>
      <c r="WUS29" s="1266"/>
      <c r="WUT29" s="1266"/>
      <c r="WUU29" s="1266"/>
      <c r="WUV29" s="1266"/>
      <c r="WUW29" s="1266"/>
      <c r="WUX29" s="1266"/>
      <c r="WUY29" s="1266"/>
      <c r="WUZ29" s="1266"/>
      <c r="WVA29" s="1266"/>
      <c r="WVB29" s="1266"/>
      <c r="WVC29" s="1266"/>
      <c r="WVD29" s="1266"/>
      <c r="WVE29" s="1266"/>
      <c r="WVF29" s="1266"/>
      <c r="WVG29" s="1266"/>
      <c r="WVH29" s="1266"/>
      <c r="WVI29" s="1266"/>
      <c r="WVJ29" s="1266"/>
      <c r="WVK29" s="1266"/>
      <c r="WVL29" s="1266"/>
      <c r="WVM29" s="1266"/>
      <c r="WVN29" s="1266"/>
      <c r="WVO29" s="1266"/>
      <c r="WVP29" s="1266"/>
      <c r="WVQ29" s="1266"/>
      <c r="WVR29" s="1266"/>
      <c r="WVS29" s="1266"/>
      <c r="WVT29" s="1266"/>
      <c r="WVU29" s="1266"/>
      <c r="WVV29" s="1266"/>
      <c r="WVW29" s="1266"/>
      <c r="WVX29" s="1266"/>
      <c r="WVY29" s="1266"/>
      <c r="WVZ29" s="1266"/>
      <c r="WWA29" s="1266"/>
      <c r="WWB29" s="1266"/>
      <c r="WWC29" s="1266"/>
      <c r="WWD29" s="1266"/>
      <c r="WWE29" s="1266"/>
      <c r="WWF29" s="1266"/>
      <c r="WWG29" s="1266"/>
      <c r="WWH29" s="1266"/>
      <c r="WWI29" s="1266"/>
      <c r="WWJ29" s="1266"/>
      <c r="WWK29" s="1266"/>
      <c r="WWL29" s="1266"/>
      <c r="WWM29" s="1266"/>
      <c r="WWN29" s="1266"/>
      <c r="WWO29" s="1266"/>
      <c r="WWP29" s="1266"/>
      <c r="WWQ29" s="1266"/>
      <c r="WWR29" s="1266"/>
      <c r="WWS29" s="1266"/>
      <c r="WWT29" s="1266"/>
      <c r="WWU29" s="1266"/>
      <c r="WWV29" s="1266"/>
      <c r="WWW29" s="1266"/>
      <c r="WWX29" s="1266"/>
      <c r="WWY29" s="1266"/>
      <c r="WWZ29" s="1266"/>
      <c r="WXA29" s="1266"/>
      <c r="WXB29" s="1266"/>
      <c r="WXC29" s="1266"/>
      <c r="WXD29" s="1266"/>
      <c r="WXE29" s="1266"/>
      <c r="WXF29" s="1266"/>
      <c r="WXG29" s="1266"/>
      <c r="WXH29" s="1266"/>
      <c r="WXI29" s="1266"/>
      <c r="WXJ29" s="1266"/>
      <c r="WXK29" s="1266"/>
      <c r="WXL29" s="1266"/>
      <c r="WXM29" s="1266"/>
      <c r="WXN29" s="1266"/>
      <c r="WXO29" s="1266"/>
      <c r="WXP29" s="1266"/>
      <c r="WXQ29" s="1266"/>
      <c r="WXR29" s="1266"/>
      <c r="WXS29" s="1266"/>
      <c r="WXT29" s="1266"/>
      <c r="WXU29" s="1266"/>
      <c r="WXV29" s="1266"/>
      <c r="WXW29" s="1266"/>
      <c r="WXX29" s="1266"/>
      <c r="WXY29" s="1266"/>
      <c r="WXZ29" s="1266"/>
      <c r="WYA29" s="1266"/>
      <c r="WYB29" s="1266"/>
      <c r="WYC29" s="1266"/>
      <c r="WYD29" s="1266"/>
      <c r="WYE29" s="1266"/>
      <c r="WYF29" s="1266"/>
      <c r="WYG29" s="1266"/>
      <c r="WYH29" s="1266"/>
      <c r="WYI29" s="1266"/>
      <c r="WYJ29" s="1266"/>
      <c r="WYK29" s="1266"/>
      <c r="WYL29" s="1266"/>
      <c r="WYM29" s="1266"/>
      <c r="WYN29" s="1266"/>
      <c r="WYO29" s="1266"/>
      <c r="WYP29" s="1266"/>
      <c r="WYQ29" s="1266"/>
      <c r="WYR29" s="1266"/>
      <c r="WYS29" s="1266"/>
      <c r="WYT29" s="1266"/>
      <c r="WYU29" s="1266"/>
      <c r="WYV29" s="1266"/>
      <c r="WYW29" s="1266"/>
      <c r="WYX29" s="1266"/>
      <c r="WYY29" s="1266"/>
      <c r="WYZ29" s="1266"/>
      <c r="WZA29" s="1266"/>
      <c r="WZB29" s="1266"/>
      <c r="WZC29" s="1266"/>
      <c r="WZD29" s="1266"/>
      <c r="WZE29" s="1266"/>
      <c r="WZF29" s="1266"/>
      <c r="WZG29" s="1266"/>
      <c r="WZH29" s="1266"/>
      <c r="WZI29" s="1266"/>
      <c r="WZJ29" s="1266"/>
      <c r="WZK29" s="1266"/>
      <c r="WZL29" s="1266"/>
      <c r="WZM29" s="1266"/>
      <c r="WZN29" s="1266"/>
      <c r="WZO29" s="1266"/>
      <c r="WZP29" s="1266"/>
      <c r="WZQ29" s="1266"/>
      <c r="WZR29" s="1266"/>
      <c r="WZS29" s="1266"/>
      <c r="WZT29" s="1266"/>
      <c r="WZU29" s="1266"/>
      <c r="WZV29" s="1266"/>
      <c r="WZW29" s="1266"/>
      <c r="WZX29" s="1266"/>
      <c r="WZY29" s="1266"/>
      <c r="WZZ29" s="1266"/>
      <c r="XAA29" s="1266"/>
      <c r="XAB29" s="1266"/>
      <c r="XAC29" s="1266"/>
      <c r="XAD29" s="1266"/>
      <c r="XAE29" s="1266"/>
      <c r="XAF29" s="1266"/>
      <c r="XAG29" s="1266"/>
      <c r="XAH29" s="1266"/>
      <c r="XAI29" s="1266"/>
      <c r="XAJ29" s="1266"/>
      <c r="XAK29" s="1266"/>
      <c r="XAL29" s="1266"/>
      <c r="XAM29" s="1266"/>
      <c r="XAN29" s="1266"/>
      <c r="XAO29" s="1266"/>
      <c r="XAP29" s="1266"/>
      <c r="XAQ29" s="1266"/>
      <c r="XAR29" s="1266"/>
      <c r="XAS29" s="1266"/>
      <c r="XAT29" s="1266"/>
      <c r="XAU29" s="1266"/>
      <c r="XAV29" s="1266"/>
      <c r="XAW29" s="1266"/>
      <c r="XAX29" s="1266"/>
      <c r="XAY29" s="1266"/>
      <c r="XAZ29" s="1266"/>
      <c r="XBA29" s="1266"/>
      <c r="XBB29" s="1266"/>
      <c r="XBC29" s="1266"/>
      <c r="XBD29" s="1266"/>
      <c r="XBE29" s="1266"/>
      <c r="XBF29" s="1266"/>
      <c r="XBG29" s="1266"/>
      <c r="XBH29" s="1266"/>
      <c r="XBI29" s="1266"/>
      <c r="XBJ29" s="1266"/>
      <c r="XBK29" s="1266"/>
      <c r="XBL29" s="1266"/>
      <c r="XBM29" s="1266"/>
      <c r="XBN29" s="1266"/>
      <c r="XBO29" s="1266"/>
      <c r="XBP29" s="1266"/>
      <c r="XBQ29" s="1266"/>
      <c r="XBR29" s="1266"/>
      <c r="XBS29" s="1266"/>
      <c r="XBT29" s="1266"/>
      <c r="XBU29" s="1266"/>
      <c r="XBV29" s="1266"/>
      <c r="XBW29" s="1266"/>
      <c r="XBX29" s="1266"/>
      <c r="XBY29" s="1266"/>
      <c r="XBZ29" s="1266"/>
      <c r="XCA29" s="1266"/>
      <c r="XCB29" s="1266"/>
      <c r="XCC29" s="1266"/>
      <c r="XCD29" s="1266"/>
      <c r="XCE29" s="1266"/>
      <c r="XCF29" s="1266"/>
      <c r="XCG29" s="1266"/>
      <c r="XCH29" s="1266"/>
      <c r="XCI29" s="1266"/>
      <c r="XCJ29" s="1266"/>
      <c r="XCK29" s="1266"/>
      <c r="XCL29" s="1266"/>
      <c r="XCM29" s="1266"/>
      <c r="XCN29" s="1266"/>
      <c r="XCO29" s="1266"/>
      <c r="XCP29" s="1266"/>
      <c r="XCQ29" s="1266"/>
      <c r="XCR29" s="1266"/>
      <c r="XCS29" s="1266"/>
      <c r="XCT29" s="1266"/>
      <c r="XCU29" s="1266"/>
      <c r="XCV29" s="1266"/>
      <c r="XCW29" s="1266"/>
      <c r="XCX29" s="1266"/>
      <c r="XCY29" s="1266"/>
      <c r="XCZ29" s="1266"/>
      <c r="XDA29" s="1266"/>
      <c r="XDB29" s="1266"/>
      <c r="XDC29" s="1266"/>
      <c r="XDD29" s="1266"/>
      <c r="XDE29" s="1266"/>
      <c r="XDF29" s="1266"/>
      <c r="XDG29" s="1266"/>
      <c r="XDH29" s="1266"/>
      <c r="XDI29" s="1266"/>
      <c r="XDJ29" s="1266"/>
      <c r="XDK29" s="1266"/>
      <c r="XDL29" s="1266"/>
      <c r="XDM29" s="1266"/>
      <c r="XDN29" s="1266"/>
      <c r="XDO29" s="1266"/>
      <c r="XDP29" s="1266"/>
      <c r="XDQ29" s="1266"/>
      <c r="XDR29" s="1266"/>
      <c r="XDS29" s="1266"/>
      <c r="XDT29" s="1266"/>
      <c r="XDU29" s="1266"/>
      <c r="XDV29" s="1266"/>
      <c r="XDW29" s="1266"/>
      <c r="XDX29" s="1266"/>
      <c r="XDY29" s="1266"/>
      <c r="XDZ29" s="1266"/>
      <c r="XEA29" s="1266"/>
      <c r="XEB29" s="1266"/>
      <c r="XEC29" s="1266"/>
      <c r="XED29" s="1266"/>
      <c r="XEE29" s="1266"/>
      <c r="XEF29" s="1266"/>
      <c r="XEG29" s="1266"/>
      <c r="XEH29" s="1266"/>
      <c r="XEI29" s="1266"/>
      <c r="XEJ29" s="1266"/>
      <c r="XEK29" s="1266"/>
      <c r="XEL29" s="1266"/>
      <c r="XEM29" s="1266"/>
      <c r="XEN29" s="1266"/>
      <c r="XEO29" s="1266"/>
      <c r="XEP29" s="1266"/>
      <c r="XEQ29" s="1266"/>
      <c r="XER29" s="1266"/>
      <c r="XES29" s="1266"/>
      <c r="XET29" s="1266"/>
      <c r="XEU29" s="1266"/>
      <c r="XEV29" s="1266"/>
      <c r="XEW29" s="1266"/>
      <c r="XEX29" s="1266"/>
      <c r="XEY29" s="1266"/>
      <c r="XEZ29" s="1266"/>
      <c r="XFA29" s="1266"/>
      <c r="XFB29" s="1266"/>
      <c r="XFC29" s="1266"/>
      <c r="XFD29" s="1266"/>
    </row>
    <row r="30" spans="1:16384" s="972" customFormat="1" ht="42.75" customHeight="1">
      <c r="A30" s="1267" t="s">
        <v>701</v>
      </c>
      <c r="B30" s="1267"/>
      <c r="C30" s="1268" t="e">
        <f>+cuadro!L5</f>
        <v>#REF!</v>
      </c>
      <c r="D30" s="1268"/>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c r="CB30" s="1266"/>
      <c r="CC30" s="1266"/>
      <c r="CD30" s="1266"/>
      <c r="CE30" s="1266"/>
      <c r="CF30" s="1266"/>
      <c r="CG30" s="1266"/>
      <c r="CH30" s="1266"/>
      <c r="CI30" s="1266"/>
      <c r="CJ30" s="1266"/>
      <c r="CK30" s="1266"/>
      <c r="CL30" s="1266"/>
      <c r="CM30" s="1266"/>
      <c r="CN30" s="1266"/>
      <c r="CO30" s="1266"/>
      <c r="CP30" s="1266"/>
      <c r="CQ30" s="1266"/>
      <c r="CR30" s="1266"/>
      <c r="CS30" s="1266"/>
      <c r="CT30" s="1266"/>
      <c r="CU30" s="1266"/>
      <c r="CV30" s="1266"/>
      <c r="CW30" s="1266"/>
      <c r="CX30" s="1266"/>
      <c r="CY30" s="1266"/>
      <c r="CZ30" s="1266"/>
      <c r="DA30" s="1266"/>
      <c r="DB30" s="1266"/>
      <c r="DC30" s="1266"/>
      <c r="DD30" s="1266"/>
      <c r="DE30" s="1266"/>
      <c r="DF30" s="1266"/>
      <c r="DG30" s="1266"/>
      <c r="DH30" s="1266"/>
      <c r="DI30" s="1266"/>
      <c r="DJ30" s="1266"/>
      <c r="DK30" s="1266"/>
      <c r="DL30" s="1266"/>
      <c r="DM30" s="1266"/>
      <c r="DN30" s="1266"/>
      <c r="DO30" s="1266"/>
      <c r="DP30" s="1266"/>
      <c r="DQ30" s="1266"/>
      <c r="DR30" s="1266"/>
      <c r="DS30" s="1266"/>
      <c r="DT30" s="1266"/>
      <c r="DU30" s="1266"/>
      <c r="DV30" s="1266"/>
      <c r="DW30" s="1266"/>
      <c r="DX30" s="1266"/>
      <c r="DY30" s="1266"/>
      <c r="DZ30" s="1266"/>
      <c r="EA30" s="1266"/>
      <c r="EB30" s="1266"/>
      <c r="EC30" s="1266"/>
      <c r="ED30" s="1266"/>
      <c r="EE30" s="1266"/>
      <c r="EF30" s="1266"/>
      <c r="EG30" s="1266"/>
      <c r="EH30" s="1266"/>
      <c r="EI30" s="1266"/>
      <c r="EJ30" s="1266"/>
      <c r="EK30" s="1266"/>
      <c r="EL30" s="1266"/>
      <c r="EM30" s="1266"/>
      <c r="EN30" s="1266"/>
      <c r="EO30" s="1266"/>
      <c r="EP30" s="1266"/>
      <c r="EQ30" s="1266"/>
      <c r="ER30" s="1266"/>
      <c r="ES30" s="1266"/>
      <c r="ET30" s="1266"/>
      <c r="EU30" s="1266"/>
      <c r="EV30" s="1266"/>
      <c r="EW30" s="1266"/>
      <c r="EX30" s="1266"/>
      <c r="EY30" s="1266"/>
      <c r="EZ30" s="1266"/>
      <c r="FA30" s="1266"/>
      <c r="FB30" s="1266"/>
      <c r="FC30" s="1266"/>
      <c r="FD30" s="1266"/>
      <c r="FE30" s="1266"/>
      <c r="FF30" s="1266"/>
      <c r="FG30" s="1266"/>
      <c r="FH30" s="1266"/>
      <c r="FI30" s="1266"/>
      <c r="FJ30" s="1266"/>
      <c r="FK30" s="1266"/>
      <c r="FL30" s="1266"/>
      <c r="FM30" s="1266"/>
      <c r="FN30" s="1266"/>
      <c r="FO30" s="1266"/>
      <c r="FP30" s="1266"/>
      <c r="FQ30" s="1266"/>
      <c r="FR30" s="1266"/>
      <c r="FS30" s="1266"/>
      <c r="FT30" s="1266"/>
      <c r="FU30" s="1266"/>
      <c r="FV30" s="1266"/>
      <c r="FW30" s="1266"/>
      <c r="FX30" s="1266"/>
      <c r="FY30" s="1266"/>
      <c r="FZ30" s="1266"/>
      <c r="GA30" s="1266"/>
      <c r="GB30" s="1266"/>
      <c r="GC30" s="1266"/>
      <c r="GD30" s="1266"/>
      <c r="GE30" s="1266"/>
      <c r="GF30" s="1266"/>
      <c r="GG30" s="1266"/>
      <c r="GH30" s="1266"/>
      <c r="GI30" s="1266"/>
      <c r="GJ30" s="1266"/>
      <c r="GK30" s="1266"/>
      <c r="GL30" s="1266"/>
      <c r="GM30" s="1266"/>
      <c r="GN30" s="1266"/>
      <c r="GO30" s="1266"/>
      <c r="GP30" s="1266"/>
      <c r="GQ30" s="1266"/>
      <c r="GR30" s="1266"/>
      <c r="GS30" s="1266"/>
      <c r="GT30" s="1266"/>
      <c r="GU30" s="1266"/>
      <c r="GV30" s="1266"/>
      <c r="GW30" s="1266"/>
      <c r="GX30" s="1266"/>
      <c r="GY30" s="1266"/>
      <c r="GZ30" s="1266"/>
      <c r="HA30" s="1266"/>
      <c r="HB30" s="1266"/>
      <c r="HC30" s="1266"/>
      <c r="HD30" s="1266"/>
      <c r="HE30" s="1266"/>
      <c r="HF30" s="1266"/>
      <c r="HG30" s="1266"/>
      <c r="HH30" s="1266"/>
      <c r="HI30" s="1266"/>
      <c r="HJ30" s="1266"/>
      <c r="HK30" s="1266"/>
      <c r="HL30" s="1266"/>
      <c r="HM30" s="1266"/>
      <c r="HN30" s="1266"/>
      <c r="HO30" s="1266"/>
      <c r="HP30" s="1266"/>
      <c r="HQ30" s="1266"/>
      <c r="HR30" s="1266"/>
      <c r="HS30" s="1266"/>
      <c r="HT30" s="1266"/>
      <c r="HU30" s="1266"/>
      <c r="HV30" s="1266"/>
      <c r="HW30" s="1266"/>
      <c r="HX30" s="1266"/>
      <c r="HY30" s="1266"/>
      <c r="HZ30" s="1266"/>
      <c r="IA30" s="1266"/>
      <c r="IB30" s="1266"/>
      <c r="IC30" s="1266"/>
      <c r="ID30" s="1266"/>
      <c r="IE30" s="1266"/>
      <c r="IF30" s="1266"/>
      <c r="IG30" s="1266"/>
      <c r="IH30" s="1266"/>
      <c r="II30" s="1266"/>
      <c r="IJ30" s="1266"/>
      <c r="IK30" s="1266"/>
      <c r="IL30" s="1266"/>
      <c r="IM30" s="1266"/>
      <c r="IN30" s="1266"/>
      <c r="IO30" s="1266"/>
      <c r="IP30" s="1266"/>
      <c r="IQ30" s="1266"/>
      <c r="IR30" s="1266"/>
      <c r="IS30" s="1266"/>
      <c r="IT30" s="1266"/>
      <c r="IU30" s="1266"/>
      <c r="IV30" s="1266"/>
      <c r="IW30" s="1266"/>
      <c r="IX30" s="1266"/>
      <c r="IY30" s="1266"/>
      <c r="IZ30" s="1266"/>
      <c r="JA30" s="1266"/>
      <c r="JB30" s="1266"/>
      <c r="JC30" s="1266"/>
      <c r="JD30" s="1266"/>
      <c r="JE30" s="1266"/>
      <c r="JF30" s="1266"/>
      <c r="JG30" s="1266"/>
      <c r="JH30" s="1266"/>
      <c r="JI30" s="1266"/>
      <c r="JJ30" s="1266"/>
      <c r="JK30" s="1266"/>
      <c r="JL30" s="1266"/>
      <c r="JM30" s="1266"/>
      <c r="JN30" s="1266"/>
      <c r="JO30" s="1266"/>
      <c r="JP30" s="1266"/>
      <c r="JQ30" s="1266"/>
      <c r="JR30" s="1266"/>
      <c r="JS30" s="1266"/>
      <c r="JT30" s="1266"/>
      <c r="JU30" s="1266"/>
      <c r="JV30" s="1266"/>
      <c r="JW30" s="1266"/>
      <c r="JX30" s="1266"/>
      <c r="JY30" s="1266"/>
      <c r="JZ30" s="1266"/>
      <c r="KA30" s="1266"/>
      <c r="KB30" s="1266"/>
      <c r="KC30" s="1266"/>
      <c r="KD30" s="1266"/>
      <c r="KE30" s="1266"/>
      <c r="KF30" s="1266"/>
      <c r="KG30" s="1266"/>
      <c r="KH30" s="1266"/>
      <c r="KI30" s="1266"/>
      <c r="KJ30" s="1266"/>
      <c r="KK30" s="1266"/>
      <c r="KL30" s="1266"/>
      <c r="KM30" s="1266"/>
      <c r="KN30" s="1266"/>
      <c r="KO30" s="1266"/>
      <c r="KP30" s="1266"/>
      <c r="KQ30" s="1266"/>
      <c r="KR30" s="1266"/>
      <c r="KS30" s="1266"/>
      <c r="KT30" s="1266"/>
      <c r="KU30" s="1266"/>
      <c r="KV30" s="1266"/>
      <c r="KW30" s="1266"/>
      <c r="KX30" s="1266"/>
      <c r="KY30" s="1266"/>
      <c r="KZ30" s="1266"/>
      <c r="LA30" s="1266"/>
      <c r="LB30" s="1266"/>
      <c r="LC30" s="1266"/>
      <c r="LD30" s="1266"/>
      <c r="LE30" s="1266"/>
      <c r="LF30" s="1266"/>
      <c r="LG30" s="1266"/>
      <c r="LH30" s="1266"/>
      <c r="LI30" s="1266"/>
      <c r="LJ30" s="1266"/>
      <c r="LK30" s="1266"/>
      <c r="LL30" s="1266"/>
      <c r="LM30" s="1266"/>
      <c r="LN30" s="1266"/>
      <c r="LO30" s="1266"/>
      <c r="LP30" s="1266"/>
      <c r="LQ30" s="1266"/>
      <c r="LR30" s="1266"/>
      <c r="LS30" s="1266"/>
      <c r="LT30" s="1266"/>
      <c r="LU30" s="1266"/>
      <c r="LV30" s="1266"/>
      <c r="LW30" s="1266"/>
      <c r="LX30" s="1266"/>
      <c r="LY30" s="1266"/>
      <c r="LZ30" s="1266"/>
      <c r="MA30" s="1266"/>
      <c r="MB30" s="1266"/>
      <c r="MC30" s="1266"/>
      <c r="MD30" s="1266"/>
      <c r="ME30" s="1266"/>
      <c r="MF30" s="1266"/>
      <c r="MG30" s="1266"/>
      <c r="MH30" s="1266"/>
      <c r="MI30" s="1266"/>
      <c r="MJ30" s="1266"/>
      <c r="MK30" s="1266"/>
      <c r="ML30" s="1266"/>
      <c r="MM30" s="1266"/>
      <c r="MN30" s="1266"/>
      <c r="MO30" s="1266"/>
      <c r="MP30" s="1266"/>
      <c r="MQ30" s="1266"/>
      <c r="MR30" s="1266"/>
      <c r="MS30" s="1266"/>
      <c r="MT30" s="1266"/>
      <c r="MU30" s="1266"/>
      <c r="MV30" s="1266"/>
      <c r="MW30" s="1266"/>
      <c r="MX30" s="1266"/>
      <c r="MY30" s="1266"/>
      <c r="MZ30" s="1266"/>
      <c r="NA30" s="1266"/>
      <c r="NB30" s="1266"/>
      <c r="NC30" s="1266"/>
      <c r="ND30" s="1266"/>
      <c r="NE30" s="1266"/>
      <c r="NF30" s="1266"/>
      <c r="NG30" s="1266"/>
      <c r="NH30" s="1266"/>
      <c r="NI30" s="1266"/>
      <c r="NJ30" s="1266"/>
      <c r="NK30" s="1266"/>
      <c r="NL30" s="1266"/>
      <c r="NM30" s="1266"/>
      <c r="NN30" s="1266"/>
      <c r="NO30" s="1266"/>
      <c r="NP30" s="1266"/>
      <c r="NQ30" s="1266"/>
      <c r="NR30" s="1266"/>
      <c r="NS30" s="1266"/>
      <c r="NT30" s="1266"/>
      <c r="NU30" s="1266"/>
      <c r="NV30" s="1266"/>
      <c r="NW30" s="1266"/>
      <c r="NX30" s="1266"/>
      <c r="NY30" s="1266"/>
      <c r="NZ30" s="1266"/>
      <c r="OA30" s="1266"/>
      <c r="OB30" s="1266"/>
      <c r="OC30" s="1266"/>
      <c r="OD30" s="1266"/>
      <c r="OE30" s="1266"/>
      <c r="OF30" s="1266"/>
      <c r="OG30" s="1266"/>
      <c r="OH30" s="1266"/>
      <c r="OI30" s="1266"/>
      <c r="OJ30" s="1266"/>
      <c r="OK30" s="1266"/>
      <c r="OL30" s="1266"/>
      <c r="OM30" s="1266"/>
      <c r="ON30" s="1266"/>
      <c r="OO30" s="1266"/>
      <c r="OP30" s="1266"/>
      <c r="OQ30" s="1266"/>
      <c r="OR30" s="1266"/>
      <c r="OS30" s="1266"/>
      <c r="OT30" s="1266"/>
      <c r="OU30" s="1266"/>
      <c r="OV30" s="1266"/>
      <c r="OW30" s="1266"/>
      <c r="OX30" s="1266"/>
      <c r="OY30" s="1266"/>
      <c r="OZ30" s="1266"/>
      <c r="PA30" s="1266"/>
      <c r="PB30" s="1266"/>
      <c r="PC30" s="1266"/>
      <c r="PD30" s="1266"/>
      <c r="PE30" s="1266"/>
      <c r="PF30" s="1266"/>
      <c r="PG30" s="1266"/>
      <c r="PH30" s="1266"/>
      <c r="PI30" s="1266"/>
      <c r="PJ30" s="1266"/>
      <c r="PK30" s="1266"/>
      <c r="PL30" s="1266"/>
      <c r="PM30" s="1266"/>
      <c r="PN30" s="1266"/>
      <c r="PO30" s="1266"/>
      <c r="PP30" s="1266"/>
      <c r="PQ30" s="1266"/>
      <c r="PR30" s="1266"/>
      <c r="PS30" s="1266"/>
      <c r="PT30" s="1266"/>
      <c r="PU30" s="1266"/>
      <c r="PV30" s="1266"/>
      <c r="PW30" s="1266"/>
      <c r="PX30" s="1266"/>
      <c r="PY30" s="1266"/>
      <c r="PZ30" s="1266"/>
      <c r="QA30" s="1266"/>
      <c r="QB30" s="1266"/>
      <c r="QC30" s="1266"/>
      <c r="QD30" s="1266"/>
      <c r="QE30" s="1266"/>
      <c r="QF30" s="1266"/>
      <c r="QG30" s="1266"/>
      <c r="QH30" s="1266"/>
      <c r="QI30" s="1266"/>
      <c r="QJ30" s="1266"/>
      <c r="QK30" s="1266"/>
      <c r="QL30" s="1266"/>
      <c r="QM30" s="1266"/>
      <c r="QN30" s="1266"/>
      <c r="QO30" s="1266"/>
      <c r="QP30" s="1266"/>
      <c r="QQ30" s="1266"/>
      <c r="QR30" s="1266"/>
      <c r="QS30" s="1266"/>
      <c r="QT30" s="1266"/>
      <c r="QU30" s="1266"/>
      <c r="QV30" s="1266"/>
      <c r="QW30" s="1266"/>
      <c r="QX30" s="1266"/>
      <c r="QY30" s="1266"/>
      <c r="QZ30" s="1266"/>
      <c r="RA30" s="1266"/>
      <c r="RB30" s="1266"/>
      <c r="RC30" s="1266"/>
      <c r="RD30" s="1266"/>
      <c r="RE30" s="1266"/>
      <c r="RF30" s="1266"/>
      <c r="RG30" s="1266"/>
      <c r="RH30" s="1266"/>
      <c r="RI30" s="1266"/>
      <c r="RJ30" s="1266"/>
      <c r="RK30" s="1266"/>
      <c r="RL30" s="1266"/>
      <c r="RM30" s="1266"/>
      <c r="RN30" s="1266"/>
      <c r="RO30" s="1266"/>
      <c r="RP30" s="1266"/>
      <c r="RQ30" s="1266"/>
      <c r="RR30" s="1266"/>
      <c r="RS30" s="1266"/>
      <c r="RT30" s="1266"/>
      <c r="RU30" s="1266"/>
      <c r="RV30" s="1266"/>
      <c r="RW30" s="1266"/>
      <c r="RX30" s="1266"/>
      <c r="RY30" s="1266"/>
      <c r="RZ30" s="1266"/>
      <c r="SA30" s="1266"/>
      <c r="SB30" s="1266"/>
      <c r="SC30" s="1266"/>
      <c r="SD30" s="1266"/>
      <c r="SE30" s="1266"/>
      <c r="SF30" s="1266"/>
      <c r="SG30" s="1266"/>
      <c r="SH30" s="1266"/>
      <c r="SI30" s="1266"/>
      <c r="SJ30" s="1266"/>
      <c r="SK30" s="1266"/>
      <c r="SL30" s="1266"/>
      <c r="SM30" s="1266"/>
      <c r="SN30" s="1266"/>
      <c r="SO30" s="1266"/>
      <c r="SP30" s="1266"/>
      <c r="SQ30" s="1266"/>
      <c r="SR30" s="1266"/>
      <c r="SS30" s="1266"/>
      <c r="ST30" s="1266"/>
      <c r="SU30" s="1266"/>
      <c r="SV30" s="1266"/>
      <c r="SW30" s="1266"/>
      <c r="SX30" s="1266"/>
      <c r="SY30" s="1266"/>
      <c r="SZ30" s="1266"/>
      <c r="TA30" s="1266"/>
      <c r="TB30" s="1266"/>
      <c r="TC30" s="1266"/>
      <c r="TD30" s="1266"/>
      <c r="TE30" s="1266"/>
      <c r="TF30" s="1266"/>
      <c r="TG30" s="1266"/>
      <c r="TH30" s="1266"/>
      <c r="TI30" s="1266"/>
      <c r="TJ30" s="1266"/>
      <c r="TK30" s="1266"/>
      <c r="TL30" s="1266"/>
      <c r="TM30" s="1266"/>
      <c r="TN30" s="1266"/>
      <c r="TO30" s="1266"/>
      <c r="TP30" s="1266"/>
      <c r="TQ30" s="1266"/>
      <c r="TR30" s="1266"/>
      <c r="TS30" s="1266"/>
      <c r="TT30" s="1266"/>
      <c r="TU30" s="1266"/>
      <c r="TV30" s="1266"/>
      <c r="TW30" s="1266"/>
      <c r="TX30" s="1266"/>
      <c r="TY30" s="1266"/>
      <c r="TZ30" s="1266"/>
      <c r="UA30" s="1266"/>
      <c r="UB30" s="1266"/>
      <c r="UC30" s="1266"/>
      <c r="UD30" s="1266"/>
      <c r="UE30" s="1266"/>
      <c r="UF30" s="1266"/>
      <c r="UG30" s="1266"/>
      <c r="UH30" s="1266"/>
      <c r="UI30" s="1266"/>
      <c r="UJ30" s="1266"/>
      <c r="UK30" s="1266"/>
      <c r="UL30" s="1266"/>
      <c r="UM30" s="1266"/>
      <c r="UN30" s="1266"/>
      <c r="UO30" s="1266"/>
      <c r="UP30" s="1266"/>
      <c r="UQ30" s="1266"/>
      <c r="UR30" s="1266"/>
      <c r="US30" s="1266"/>
      <c r="UT30" s="1266"/>
      <c r="UU30" s="1266"/>
      <c r="UV30" s="1266"/>
      <c r="UW30" s="1266"/>
      <c r="UX30" s="1266"/>
      <c r="UY30" s="1266"/>
      <c r="UZ30" s="1266"/>
      <c r="VA30" s="1266"/>
      <c r="VB30" s="1266"/>
      <c r="VC30" s="1266"/>
      <c r="VD30" s="1266"/>
      <c r="VE30" s="1266"/>
      <c r="VF30" s="1266"/>
      <c r="VG30" s="1266"/>
      <c r="VH30" s="1266"/>
      <c r="VI30" s="1266"/>
      <c r="VJ30" s="1266"/>
      <c r="VK30" s="1266"/>
      <c r="VL30" s="1266"/>
      <c r="VM30" s="1266"/>
      <c r="VN30" s="1266"/>
      <c r="VO30" s="1266"/>
      <c r="VP30" s="1266"/>
      <c r="VQ30" s="1266"/>
      <c r="VR30" s="1266"/>
      <c r="VS30" s="1266"/>
      <c r="VT30" s="1266"/>
      <c r="VU30" s="1266"/>
      <c r="VV30" s="1266"/>
      <c r="VW30" s="1266"/>
      <c r="VX30" s="1266"/>
      <c r="VY30" s="1266"/>
      <c r="VZ30" s="1266"/>
      <c r="WA30" s="1266"/>
      <c r="WB30" s="1266"/>
      <c r="WC30" s="1266"/>
      <c r="WD30" s="1266"/>
      <c r="WE30" s="1266"/>
      <c r="WF30" s="1266"/>
      <c r="WG30" s="1266"/>
      <c r="WH30" s="1266"/>
      <c r="WI30" s="1266"/>
      <c r="WJ30" s="1266"/>
      <c r="WK30" s="1266"/>
      <c r="WL30" s="1266"/>
      <c r="WM30" s="1266"/>
      <c r="WN30" s="1266"/>
      <c r="WO30" s="1266"/>
      <c r="WP30" s="1266"/>
      <c r="WQ30" s="1266"/>
      <c r="WR30" s="1266"/>
      <c r="WS30" s="1266"/>
      <c r="WT30" s="1266"/>
      <c r="WU30" s="1266"/>
      <c r="WV30" s="1266"/>
      <c r="WW30" s="1266"/>
      <c r="WX30" s="1266"/>
      <c r="WY30" s="1266"/>
      <c r="WZ30" s="1266"/>
      <c r="XA30" s="1266"/>
      <c r="XB30" s="1266"/>
      <c r="XC30" s="1266"/>
      <c r="XD30" s="1266"/>
      <c r="XE30" s="1266"/>
      <c r="XF30" s="1266"/>
      <c r="XG30" s="1266"/>
      <c r="XH30" s="1266"/>
      <c r="XI30" s="1266"/>
      <c r="XJ30" s="1266"/>
      <c r="XK30" s="1266"/>
      <c r="XL30" s="1266"/>
      <c r="XM30" s="1266"/>
      <c r="XN30" s="1266"/>
      <c r="XO30" s="1266"/>
      <c r="XP30" s="1266"/>
      <c r="XQ30" s="1266"/>
      <c r="XR30" s="1266"/>
      <c r="XS30" s="1266"/>
      <c r="XT30" s="1266"/>
      <c r="XU30" s="1266"/>
      <c r="XV30" s="1266"/>
      <c r="XW30" s="1266"/>
      <c r="XX30" s="1266"/>
      <c r="XY30" s="1266"/>
      <c r="XZ30" s="1266"/>
      <c r="YA30" s="1266"/>
      <c r="YB30" s="1266"/>
      <c r="YC30" s="1266"/>
      <c r="YD30" s="1266"/>
      <c r="YE30" s="1266"/>
      <c r="YF30" s="1266"/>
      <c r="YG30" s="1266"/>
      <c r="YH30" s="1266"/>
      <c r="YI30" s="1266"/>
      <c r="YJ30" s="1266"/>
      <c r="YK30" s="1266"/>
      <c r="YL30" s="1266"/>
      <c r="YM30" s="1266"/>
      <c r="YN30" s="1266"/>
      <c r="YO30" s="1266"/>
      <c r="YP30" s="1266"/>
      <c r="YQ30" s="1266"/>
      <c r="YR30" s="1266"/>
      <c r="YS30" s="1266"/>
      <c r="YT30" s="1266"/>
      <c r="YU30" s="1266"/>
      <c r="YV30" s="1266"/>
      <c r="YW30" s="1266"/>
      <c r="YX30" s="1266"/>
      <c r="YY30" s="1266"/>
      <c r="YZ30" s="1266"/>
      <c r="ZA30" s="1266"/>
      <c r="ZB30" s="1266"/>
      <c r="ZC30" s="1266"/>
      <c r="ZD30" s="1266"/>
      <c r="ZE30" s="1266"/>
      <c r="ZF30" s="1266"/>
      <c r="ZG30" s="1266"/>
      <c r="ZH30" s="1266"/>
      <c r="ZI30" s="1266"/>
      <c r="ZJ30" s="1266"/>
      <c r="ZK30" s="1266"/>
      <c r="ZL30" s="1266"/>
      <c r="ZM30" s="1266"/>
      <c r="ZN30" s="1266"/>
      <c r="ZO30" s="1266"/>
      <c r="ZP30" s="1266"/>
      <c r="ZQ30" s="1266"/>
      <c r="ZR30" s="1266"/>
      <c r="ZS30" s="1266"/>
      <c r="ZT30" s="1266"/>
      <c r="ZU30" s="1266"/>
      <c r="ZV30" s="1266"/>
      <c r="ZW30" s="1266"/>
      <c r="ZX30" s="1266"/>
      <c r="ZY30" s="1266"/>
      <c r="ZZ30" s="1266"/>
      <c r="AAA30" s="1266"/>
      <c r="AAB30" s="1266"/>
      <c r="AAC30" s="1266"/>
      <c r="AAD30" s="1266"/>
      <c r="AAE30" s="1266"/>
      <c r="AAF30" s="1266"/>
      <c r="AAG30" s="1266"/>
      <c r="AAH30" s="1266"/>
      <c r="AAI30" s="1266"/>
      <c r="AAJ30" s="1266"/>
      <c r="AAK30" s="1266"/>
      <c r="AAL30" s="1266"/>
      <c r="AAM30" s="1266"/>
      <c r="AAN30" s="1266"/>
      <c r="AAO30" s="1266"/>
      <c r="AAP30" s="1266"/>
      <c r="AAQ30" s="1266"/>
      <c r="AAR30" s="1266"/>
      <c r="AAS30" s="1266"/>
      <c r="AAT30" s="1266"/>
      <c r="AAU30" s="1266"/>
      <c r="AAV30" s="1266"/>
      <c r="AAW30" s="1266"/>
      <c r="AAX30" s="1266"/>
      <c r="AAY30" s="1266"/>
      <c r="AAZ30" s="1266"/>
      <c r="ABA30" s="1266"/>
      <c r="ABB30" s="1266"/>
      <c r="ABC30" s="1266"/>
      <c r="ABD30" s="1266"/>
      <c r="ABE30" s="1266"/>
      <c r="ABF30" s="1266"/>
      <c r="ABG30" s="1266"/>
      <c r="ABH30" s="1266"/>
      <c r="ABI30" s="1266"/>
      <c r="ABJ30" s="1266"/>
      <c r="ABK30" s="1266"/>
      <c r="ABL30" s="1266"/>
      <c r="ABM30" s="1266"/>
      <c r="ABN30" s="1266"/>
      <c r="ABO30" s="1266"/>
      <c r="ABP30" s="1266"/>
      <c r="ABQ30" s="1266"/>
      <c r="ABR30" s="1266"/>
      <c r="ABS30" s="1266"/>
      <c r="ABT30" s="1266"/>
      <c r="ABU30" s="1266"/>
      <c r="ABV30" s="1266"/>
      <c r="ABW30" s="1266"/>
      <c r="ABX30" s="1266"/>
      <c r="ABY30" s="1266"/>
      <c r="ABZ30" s="1266"/>
      <c r="ACA30" s="1266"/>
      <c r="ACB30" s="1266"/>
      <c r="ACC30" s="1266"/>
      <c r="ACD30" s="1266"/>
      <c r="ACE30" s="1266"/>
      <c r="ACF30" s="1266"/>
      <c r="ACG30" s="1266"/>
      <c r="ACH30" s="1266"/>
      <c r="ACI30" s="1266"/>
      <c r="ACJ30" s="1266"/>
      <c r="ACK30" s="1266"/>
      <c r="ACL30" s="1266"/>
      <c r="ACM30" s="1266"/>
      <c r="ACN30" s="1266"/>
      <c r="ACO30" s="1266"/>
      <c r="ACP30" s="1266"/>
      <c r="ACQ30" s="1266"/>
      <c r="ACR30" s="1266"/>
      <c r="ACS30" s="1266"/>
      <c r="ACT30" s="1266"/>
      <c r="ACU30" s="1266"/>
      <c r="ACV30" s="1266"/>
      <c r="ACW30" s="1266"/>
      <c r="ACX30" s="1266"/>
      <c r="ACY30" s="1266"/>
      <c r="ACZ30" s="1266"/>
      <c r="ADA30" s="1266"/>
      <c r="ADB30" s="1266"/>
      <c r="ADC30" s="1266"/>
      <c r="ADD30" s="1266"/>
      <c r="ADE30" s="1266"/>
      <c r="ADF30" s="1266"/>
      <c r="ADG30" s="1266"/>
      <c r="ADH30" s="1266"/>
      <c r="ADI30" s="1266"/>
      <c r="ADJ30" s="1266"/>
      <c r="ADK30" s="1266"/>
      <c r="ADL30" s="1266"/>
      <c r="ADM30" s="1266"/>
      <c r="ADN30" s="1266"/>
      <c r="ADO30" s="1266"/>
      <c r="ADP30" s="1266"/>
      <c r="ADQ30" s="1266"/>
      <c r="ADR30" s="1266"/>
      <c r="ADS30" s="1266"/>
      <c r="ADT30" s="1266"/>
      <c r="ADU30" s="1266"/>
      <c r="ADV30" s="1266"/>
      <c r="ADW30" s="1266"/>
      <c r="ADX30" s="1266"/>
      <c r="ADY30" s="1266"/>
      <c r="ADZ30" s="1266"/>
      <c r="AEA30" s="1266"/>
      <c r="AEB30" s="1266"/>
      <c r="AEC30" s="1266"/>
      <c r="AED30" s="1266"/>
      <c r="AEE30" s="1266"/>
      <c r="AEF30" s="1266"/>
      <c r="AEG30" s="1266"/>
      <c r="AEH30" s="1266"/>
      <c r="AEI30" s="1266"/>
      <c r="AEJ30" s="1266"/>
      <c r="AEK30" s="1266"/>
      <c r="AEL30" s="1266"/>
      <c r="AEM30" s="1266"/>
      <c r="AEN30" s="1266"/>
      <c r="AEO30" s="1266"/>
      <c r="AEP30" s="1266"/>
      <c r="AEQ30" s="1266"/>
      <c r="AER30" s="1266"/>
      <c r="AES30" s="1266"/>
      <c r="AET30" s="1266"/>
      <c r="AEU30" s="1266"/>
      <c r="AEV30" s="1266"/>
      <c r="AEW30" s="1266"/>
      <c r="AEX30" s="1266"/>
      <c r="AEY30" s="1266"/>
      <c r="AEZ30" s="1266"/>
      <c r="AFA30" s="1266"/>
      <c r="AFB30" s="1266"/>
      <c r="AFC30" s="1266"/>
      <c r="AFD30" s="1266"/>
      <c r="AFE30" s="1266"/>
      <c r="AFF30" s="1266"/>
      <c r="AFG30" s="1266"/>
      <c r="AFH30" s="1266"/>
      <c r="AFI30" s="1266"/>
      <c r="AFJ30" s="1266"/>
      <c r="AFK30" s="1266"/>
      <c r="AFL30" s="1266"/>
      <c r="AFM30" s="1266"/>
      <c r="AFN30" s="1266"/>
      <c r="AFO30" s="1266"/>
      <c r="AFP30" s="1266"/>
      <c r="AFQ30" s="1266"/>
      <c r="AFR30" s="1266"/>
      <c r="AFS30" s="1266"/>
      <c r="AFT30" s="1266"/>
      <c r="AFU30" s="1266"/>
      <c r="AFV30" s="1266"/>
      <c r="AFW30" s="1266"/>
      <c r="AFX30" s="1266"/>
      <c r="AFY30" s="1266"/>
      <c r="AFZ30" s="1266"/>
      <c r="AGA30" s="1266"/>
      <c r="AGB30" s="1266"/>
      <c r="AGC30" s="1266"/>
      <c r="AGD30" s="1266"/>
      <c r="AGE30" s="1266"/>
      <c r="AGF30" s="1266"/>
      <c r="AGG30" s="1266"/>
      <c r="AGH30" s="1266"/>
      <c r="AGI30" s="1266"/>
      <c r="AGJ30" s="1266"/>
      <c r="AGK30" s="1266"/>
      <c r="AGL30" s="1266"/>
      <c r="AGM30" s="1266"/>
      <c r="AGN30" s="1266"/>
      <c r="AGO30" s="1266"/>
      <c r="AGP30" s="1266"/>
      <c r="AGQ30" s="1266"/>
      <c r="AGR30" s="1266"/>
      <c r="AGS30" s="1266"/>
      <c r="AGT30" s="1266"/>
      <c r="AGU30" s="1266"/>
      <c r="AGV30" s="1266"/>
      <c r="AGW30" s="1266"/>
      <c r="AGX30" s="1266"/>
      <c r="AGY30" s="1266"/>
      <c r="AGZ30" s="1266"/>
      <c r="AHA30" s="1266"/>
      <c r="AHB30" s="1266"/>
      <c r="AHC30" s="1266"/>
      <c r="AHD30" s="1266"/>
      <c r="AHE30" s="1266"/>
      <c r="AHF30" s="1266"/>
      <c r="AHG30" s="1266"/>
      <c r="AHH30" s="1266"/>
      <c r="AHI30" s="1266"/>
      <c r="AHJ30" s="1266"/>
      <c r="AHK30" s="1266"/>
      <c r="AHL30" s="1266"/>
      <c r="AHM30" s="1266"/>
      <c r="AHN30" s="1266"/>
      <c r="AHO30" s="1266"/>
      <c r="AHP30" s="1266"/>
      <c r="AHQ30" s="1266"/>
      <c r="AHR30" s="1266"/>
      <c r="AHS30" s="1266"/>
      <c r="AHT30" s="1266"/>
      <c r="AHU30" s="1266"/>
      <c r="AHV30" s="1266"/>
      <c r="AHW30" s="1266"/>
      <c r="AHX30" s="1266"/>
      <c r="AHY30" s="1266"/>
      <c r="AHZ30" s="1266"/>
      <c r="AIA30" s="1266"/>
      <c r="AIB30" s="1266"/>
      <c r="AIC30" s="1266"/>
      <c r="AID30" s="1266"/>
      <c r="AIE30" s="1266"/>
      <c r="AIF30" s="1266"/>
      <c r="AIG30" s="1266"/>
      <c r="AIH30" s="1266"/>
      <c r="AII30" s="1266"/>
      <c r="AIJ30" s="1266"/>
      <c r="AIK30" s="1266"/>
      <c r="AIL30" s="1266"/>
      <c r="AIM30" s="1266"/>
      <c r="AIN30" s="1266"/>
      <c r="AIO30" s="1266"/>
      <c r="AIP30" s="1266"/>
      <c r="AIQ30" s="1266"/>
      <c r="AIR30" s="1266"/>
      <c r="AIS30" s="1266"/>
      <c r="AIT30" s="1266"/>
      <c r="AIU30" s="1266"/>
      <c r="AIV30" s="1266"/>
      <c r="AIW30" s="1266"/>
      <c r="AIX30" s="1266"/>
      <c r="AIY30" s="1266"/>
      <c r="AIZ30" s="1266"/>
      <c r="AJA30" s="1266"/>
      <c r="AJB30" s="1266"/>
      <c r="AJC30" s="1266"/>
      <c r="AJD30" s="1266"/>
      <c r="AJE30" s="1266"/>
      <c r="AJF30" s="1266"/>
      <c r="AJG30" s="1266"/>
      <c r="AJH30" s="1266"/>
      <c r="AJI30" s="1266"/>
      <c r="AJJ30" s="1266"/>
      <c r="AJK30" s="1266"/>
      <c r="AJL30" s="1266"/>
      <c r="AJM30" s="1266"/>
      <c r="AJN30" s="1266"/>
      <c r="AJO30" s="1266"/>
      <c r="AJP30" s="1266"/>
      <c r="AJQ30" s="1266"/>
      <c r="AJR30" s="1266"/>
      <c r="AJS30" s="1266"/>
      <c r="AJT30" s="1266"/>
      <c r="AJU30" s="1266"/>
      <c r="AJV30" s="1266"/>
      <c r="AJW30" s="1266"/>
      <c r="AJX30" s="1266"/>
      <c r="AJY30" s="1266"/>
      <c r="AJZ30" s="1266"/>
      <c r="AKA30" s="1266"/>
      <c r="AKB30" s="1266"/>
      <c r="AKC30" s="1266"/>
      <c r="AKD30" s="1266"/>
      <c r="AKE30" s="1266"/>
      <c r="AKF30" s="1266"/>
      <c r="AKG30" s="1266"/>
      <c r="AKH30" s="1266"/>
      <c r="AKI30" s="1266"/>
      <c r="AKJ30" s="1266"/>
      <c r="AKK30" s="1266"/>
      <c r="AKL30" s="1266"/>
      <c r="AKM30" s="1266"/>
      <c r="AKN30" s="1266"/>
      <c r="AKO30" s="1266"/>
      <c r="AKP30" s="1266"/>
      <c r="AKQ30" s="1266"/>
      <c r="AKR30" s="1266"/>
      <c r="AKS30" s="1266"/>
      <c r="AKT30" s="1266"/>
      <c r="AKU30" s="1266"/>
      <c r="AKV30" s="1266"/>
      <c r="AKW30" s="1266"/>
      <c r="AKX30" s="1266"/>
      <c r="AKY30" s="1266"/>
      <c r="AKZ30" s="1266"/>
      <c r="ALA30" s="1266"/>
      <c r="ALB30" s="1266"/>
      <c r="ALC30" s="1266"/>
      <c r="ALD30" s="1266"/>
      <c r="ALE30" s="1266"/>
      <c r="ALF30" s="1266"/>
      <c r="ALG30" s="1266"/>
      <c r="ALH30" s="1266"/>
      <c r="ALI30" s="1266"/>
      <c r="ALJ30" s="1266"/>
      <c r="ALK30" s="1266"/>
      <c r="ALL30" s="1266"/>
      <c r="ALM30" s="1266"/>
      <c r="ALN30" s="1266"/>
      <c r="ALO30" s="1266"/>
      <c r="ALP30" s="1266"/>
      <c r="ALQ30" s="1266"/>
      <c r="ALR30" s="1266"/>
      <c r="ALS30" s="1266"/>
      <c r="ALT30" s="1266"/>
      <c r="ALU30" s="1266"/>
      <c r="ALV30" s="1266"/>
      <c r="ALW30" s="1266"/>
      <c r="ALX30" s="1266"/>
      <c r="ALY30" s="1266"/>
      <c r="ALZ30" s="1266"/>
      <c r="AMA30" s="1266"/>
      <c r="AMB30" s="1266"/>
      <c r="AMC30" s="1266"/>
      <c r="AMD30" s="1266"/>
      <c r="AME30" s="1266"/>
      <c r="AMF30" s="1266"/>
      <c r="AMG30" s="1266"/>
      <c r="AMH30" s="1266"/>
      <c r="AMI30" s="1266"/>
      <c r="AMJ30" s="1266"/>
      <c r="AMK30" s="1266"/>
      <c r="AML30" s="1266"/>
      <c r="AMM30" s="1266"/>
      <c r="AMN30" s="1266"/>
      <c r="AMO30" s="1266"/>
      <c r="AMP30" s="1266"/>
      <c r="AMQ30" s="1266"/>
      <c r="AMR30" s="1266"/>
      <c r="AMS30" s="1266"/>
      <c r="AMT30" s="1266"/>
      <c r="AMU30" s="1266"/>
      <c r="AMV30" s="1266"/>
      <c r="AMW30" s="1266"/>
      <c r="AMX30" s="1266"/>
      <c r="AMY30" s="1266"/>
      <c r="AMZ30" s="1266"/>
      <c r="ANA30" s="1266"/>
      <c r="ANB30" s="1266"/>
      <c r="ANC30" s="1266"/>
      <c r="AND30" s="1266"/>
      <c r="ANE30" s="1266"/>
      <c r="ANF30" s="1266"/>
      <c r="ANG30" s="1266"/>
      <c r="ANH30" s="1266"/>
      <c r="ANI30" s="1266"/>
      <c r="ANJ30" s="1266"/>
      <c r="ANK30" s="1266"/>
      <c r="ANL30" s="1266"/>
      <c r="ANM30" s="1266"/>
      <c r="ANN30" s="1266"/>
      <c r="ANO30" s="1266"/>
      <c r="ANP30" s="1266"/>
      <c r="ANQ30" s="1266"/>
      <c r="ANR30" s="1266"/>
      <c r="ANS30" s="1266"/>
      <c r="ANT30" s="1266"/>
      <c r="ANU30" s="1266"/>
      <c r="ANV30" s="1266"/>
      <c r="ANW30" s="1266"/>
      <c r="ANX30" s="1266"/>
      <c r="ANY30" s="1266"/>
      <c r="ANZ30" s="1266"/>
      <c r="AOA30" s="1266"/>
      <c r="AOB30" s="1266"/>
      <c r="AOC30" s="1266"/>
      <c r="AOD30" s="1266"/>
      <c r="AOE30" s="1266"/>
      <c r="AOF30" s="1266"/>
      <c r="AOG30" s="1266"/>
      <c r="AOH30" s="1266"/>
      <c r="AOI30" s="1266"/>
      <c r="AOJ30" s="1266"/>
      <c r="AOK30" s="1266"/>
      <c r="AOL30" s="1266"/>
      <c r="AOM30" s="1266"/>
      <c r="AON30" s="1266"/>
      <c r="AOO30" s="1266"/>
      <c r="AOP30" s="1266"/>
      <c r="AOQ30" s="1266"/>
      <c r="AOR30" s="1266"/>
      <c r="AOS30" s="1266"/>
      <c r="AOT30" s="1266"/>
      <c r="AOU30" s="1266"/>
      <c r="AOV30" s="1266"/>
      <c r="AOW30" s="1266"/>
      <c r="AOX30" s="1266"/>
      <c r="AOY30" s="1266"/>
      <c r="AOZ30" s="1266"/>
      <c r="APA30" s="1266"/>
      <c r="APB30" s="1266"/>
      <c r="APC30" s="1266"/>
      <c r="APD30" s="1266"/>
      <c r="APE30" s="1266"/>
      <c r="APF30" s="1266"/>
      <c r="APG30" s="1266"/>
      <c r="APH30" s="1266"/>
      <c r="API30" s="1266"/>
      <c r="APJ30" s="1266"/>
      <c r="APK30" s="1266"/>
      <c r="APL30" s="1266"/>
      <c r="APM30" s="1266"/>
      <c r="APN30" s="1266"/>
      <c r="APO30" s="1266"/>
      <c r="APP30" s="1266"/>
      <c r="APQ30" s="1266"/>
      <c r="APR30" s="1266"/>
      <c r="APS30" s="1266"/>
      <c r="APT30" s="1266"/>
      <c r="APU30" s="1266"/>
      <c r="APV30" s="1266"/>
      <c r="APW30" s="1266"/>
      <c r="APX30" s="1266"/>
      <c r="APY30" s="1266"/>
      <c r="APZ30" s="1266"/>
      <c r="AQA30" s="1266"/>
      <c r="AQB30" s="1266"/>
      <c r="AQC30" s="1266"/>
      <c r="AQD30" s="1266"/>
      <c r="AQE30" s="1266"/>
      <c r="AQF30" s="1266"/>
      <c r="AQG30" s="1266"/>
      <c r="AQH30" s="1266"/>
      <c r="AQI30" s="1266"/>
      <c r="AQJ30" s="1266"/>
      <c r="AQK30" s="1266"/>
      <c r="AQL30" s="1266"/>
      <c r="AQM30" s="1266"/>
      <c r="AQN30" s="1266"/>
      <c r="AQO30" s="1266"/>
      <c r="AQP30" s="1266"/>
      <c r="AQQ30" s="1266"/>
      <c r="AQR30" s="1266"/>
      <c r="AQS30" s="1266"/>
      <c r="AQT30" s="1266"/>
      <c r="AQU30" s="1266"/>
      <c r="AQV30" s="1266"/>
      <c r="AQW30" s="1266"/>
      <c r="AQX30" s="1266"/>
      <c r="AQY30" s="1266"/>
      <c r="AQZ30" s="1266"/>
      <c r="ARA30" s="1266"/>
      <c r="ARB30" s="1266"/>
      <c r="ARC30" s="1266"/>
      <c r="ARD30" s="1266"/>
      <c r="ARE30" s="1266"/>
      <c r="ARF30" s="1266"/>
      <c r="ARG30" s="1266"/>
      <c r="ARH30" s="1266"/>
      <c r="ARI30" s="1266"/>
      <c r="ARJ30" s="1266"/>
      <c r="ARK30" s="1266"/>
      <c r="ARL30" s="1266"/>
      <c r="ARM30" s="1266"/>
      <c r="ARN30" s="1266"/>
      <c r="ARO30" s="1266"/>
      <c r="ARP30" s="1266"/>
      <c r="ARQ30" s="1266"/>
      <c r="ARR30" s="1266"/>
      <c r="ARS30" s="1266"/>
      <c r="ART30" s="1266"/>
      <c r="ARU30" s="1266"/>
      <c r="ARV30" s="1266"/>
      <c r="ARW30" s="1266"/>
      <c r="ARX30" s="1266"/>
      <c r="ARY30" s="1266"/>
      <c r="ARZ30" s="1266"/>
      <c r="ASA30" s="1266"/>
      <c r="ASB30" s="1266"/>
      <c r="ASC30" s="1266"/>
      <c r="ASD30" s="1266"/>
      <c r="ASE30" s="1266"/>
      <c r="ASF30" s="1266"/>
      <c r="ASG30" s="1266"/>
      <c r="ASH30" s="1266"/>
      <c r="ASI30" s="1266"/>
      <c r="ASJ30" s="1266"/>
      <c r="ASK30" s="1266"/>
      <c r="ASL30" s="1266"/>
      <c r="ASM30" s="1266"/>
      <c r="ASN30" s="1266"/>
      <c r="ASO30" s="1266"/>
      <c r="ASP30" s="1266"/>
      <c r="ASQ30" s="1266"/>
      <c r="ASR30" s="1266"/>
      <c r="ASS30" s="1266"/>
      <c r="AST30" s="1266"/>
      <c r="ASU30" s="1266"/>
      <c r="ASV30" s="1266"/>
      <c r="ASW30" s="1266"/>
      <c r="ASX30" s="1266"/>
      <c r="ASY30" s="1266"/>
      <c r="ASZ30" s="1266"/>
      <c r="ATA30" s="1266"/>
      <c r="ATB30" s="1266"/>
      <c r="ATC30" s="1266"/>
      <c r="ATD30" s="1266"/>
      <c r="ATE30" s="1266"/>
      <c r="ATF30" s="1266"/>
      <c r="ATG30" s="1266"/>
      <c r="ATH30" s="1266"/>
      <c r="ATI30" s="1266"/>
      <c r="ATJ30" s="1266"/>
      <c r="ATK30" s="1266"/>
      <c r="ATL30" s="1266"/>
      <c r="ATM30" s="1266"/>
      <c r="ATN30" s="1266"/>
      <c r="ATO30" s="1266"/>
      <c r="ATP30" s="1266"/>
      <c r="ATQ30" s="1266"/>
      <c r="ATR30" s="1266"/>
      <c r="ATS30" s="1266"/>
      <c r="ATT30" s="1266"/>
      <c r="ATU30" s="1266"/>
      <c r="ATV30" s="1266"/>
      <c r="ATW30" s="1266"/>
      <c r="ATX30" s="1266"/>
      <c r="ATY30" s="1266"/>
      <c r="ATZ30" s="1266"/>
      <c r="AUA30" s="1266"/>
      <c r="AUB30" s="1266"/>
      <c r="AUC30" s="1266"/>
      <c r="AUD30" s="1266"/>
      <c r="AUE30" s="1266"/>
      <c r="AUF30" s="1266"/>
      <c r="AUG30" s="1266"/>
      <c r="AUH30" s="1266"/>
      <c r="AUI30" s="1266"/>
      <c r="AUJ30" s="1266"/>
      <c r="AUK30" s="1266"/>
      <c r="AUL30" s="1266"/>
      <c r="AUM30" s="1266"/>
      <c r="AUN30" s="1266"/>
      <c r="AUO30" s="1266"/>
      <c r="AUP30" s="1266"/>
      <c r="AUQ30" s="1266"/>
      <c r="AUR30" s="1266"/>
      <c r="AUS30" s="1266"/>
      <c r="AUT30" s="1266"/>
      <c r="AUU30" s="1266"/>
      <c r="AUV30" s="1266"/>
      <c r="AUW30" s="1266"/>
      <c r="AUX30" s="1266"/>
      <c r="AUY30" s="1266"/>
      <c r="AUZ30" s="1266"/>
      <c r="AVA30" s="1266"/>
      <c r="AVB30" s="1266"/>
      <c r="AVC30" s="1266"/>
      <c r="AVD30" s="1266"/>
      <c r="AVE30" s="1266"/>
      <c r="AVF30" s="1266"/>
      <c r="AVG30" s="1266"/>
      <c r="AVH30" s="1266"/>
      <c r="AVI30" s="1266"/>
      <c r="AVJ30" s="1266"/>
      <c r="AVK30" s="1266"/>
      <c r="AVL30" s="1266"/>
      <c r="AVM30" s="1266"/>
      <c r="AVN30" s="1266"/>
      <c r="AVO30" s="1266"/>
      <c r="AVP30" s="1266"/>
      <c r="AVQ30" s="1266"/>
      <c r="AVR30" s="1266"/>
      <c r="AVS30" s="1266"/>
      <c r="AVT30" s="1266"/>
      <c r="AVU30" s="1266"/>
      <c r="AVV30" s="1266"/>
      <c r="AVW30" s="1266"/>
      <c r="AVX30" s="1266"/>
      <c r="AVY30" s="1266"/>
      <c r="AVZ30" s="1266"/>
      <c r="AWA30" s="1266"/>
      <c r="AWB30" s="1266"/>
      <c r="AWC30" s="1266"/>
      <c r="AWD30" s="1266"/>
      <c r="AWE30" s="1266"/>
      <c r="AWF30" s="1266"/>
      <c r="AWG30" s="1266"/>
      <c r="AWH30" s="1266"/>
      <c r="AWI30" s="1266"/>
      <c r="AWJ30" s="1266"/>
      <c r="AWK30" s="1266"/>
      <c r="AWL30" s="1266"/>
      <c r="AWM30" s="1266"/>
      <c r="AWN30" s="1266"/>
      <c r="AWO30" s="1266"/>
      <c r="AWP30" s="1266"/>
      <c r="AWQ30" s="1266"/>
      <c r="AWR30" s="1266"/>
      <c r="AWS30" s="1266"/>
      <c r="AWT30" s="1266"/>
      <c r="AWU30" s="1266"/>
      <c r="AWV30" s="1266"/>
      <c r="AWW30" s="1266"/>
      <c r="AWX30" s="1266"/>
      <c r="AWY30" s="1266"/>
      <c r="AWZ30" s="1266"/>
      <c r="AXA30" s="1266"/>
      <c r="AXB30" s="1266"/>
      <c r="AXC30" s="1266"/>
      <c r="AXD30" s="1266"/>
      <c r="AXE30" s="1266"/>
      <c r="AXF30" s="1266"/>
      <c r="AXG30" s="1266"/>
      <c r="AXH30" s="1266"/>
      <c r="AXI30" s="1266"/>
      <c r="AXJ30" s="1266"/>
      <c r="AXK30" s="1266"/>
      <c r="AXL30" s="1266"/>
      <c r="AXM30" s="1266"/>
      <c r="AXN30" s="1266"/>
      <c r="AXO30" s="1266"/>
      <c r="AXP30" s="1266"/>
      <c r="AXQ30" s="1266"/>
      <c r="AXR30" s="1266"/>
      <c r="AXS30" s="1266"/>
      <c r="AXT30" s="1266"/>
      <c r="AXU30" s="1266"/>
      <c r="AXV30" s="1266"/>
      <c r="AXW30" s="1266"/>
      <c r="AXX30" s="1266"/>
      <c r="AXY30" s="1266"/>
      <c r="AXZ30" s="1266"/>
      <c r="AYA30" s="1266"/>
      <c r="AYB30" s="1266"/>
      <c r="AYC30" s="1266"/>
      <c r="AYD30" s="1266"/>
      <c r="AYE30" s="1266"/>
      <c r="AYF30" s="1266"/>
      <c r="AYG30" s="1266"/>
      <c r="AYH30" s="1266"/>
      <c r="AYI30" s="1266"/>
      <c r="AYJ30" s="1266"/>
      <c r="AYK30" s="1266"/>
      <c r="AYL30" s="1266"/>
      <c r="AYM30" s="1266"/>
      <c r="AYN30" s="1266"/>
      <c r="AYO30" s="1266"/>
      <c r="AYP30" s="1266"/>
      <c r="AYQ30" s="1266"/>
      <c r="AYR30" s="1266"/>
      <c r="AYS30" s="1266"/>
      <c r="AYT30" s="1266"/>
      <c r="AYU30" s="1266"/>
      <c r="AYV30" s="1266"/>
      <c r="AYW30" s="1266"/>
      <c r="AYX30" s="1266"/>
      <c r="AYY30" s="1266"/>
      <c r="AYZ30" s="1266"/>
      <c r="AZA30" s="1266"/>
      <c r="AZB30" s="1266"/>
      <c r="AZC30" s="1266"/>
      <c r="AZD30" s="1266"/>
      <c r="AZE30" s="1266"/>
      <c r="AZF30" s="1266"/>
      <c r="AZG30" s="1266"/>
      <c r="AZH30" s="1266"/>
      <c r="AZI30" s="1266"/>
      <c r="AZJ30" s="1266"/>
      <c r="AZK30" s="1266"/>
      <c r="AZL30" s="1266"/>
      <c r="AZM30" s="1266"/>
      <c r="AZN30" s="1266"/>
      <c r="AZO30" s="1266"/>
      <c r="AZP30" s="1266"/>
      <c r="AZQ30" s="1266"/>
      <c r="AZR30" s="1266"/>
      <c r="AZS30" s="1266"/>
      <c r="AZT30" s="1266"/>
      <c r="AZU30" s="1266"/>
      <c r="AZV30" s="1266"/>
      <c r="AZW30" s="1266"/>
      <c r="AZX30" s="1266"/>
      <c r="AZY30" s="1266"/>
      <c r="AZZ30" s="1266"/>
      <c r="BAA30" s="1266"/>
      <c r="BAB30" s="1266"/>
      <c r="BAC30" s="1266"/>
      <c r="BAD30" s="1266"/>
      <c r="BAE30" s="1266"/>
      <c r="BAF30" s="1266"/>
      <c r="BAG30" s="1266"/>
      <c r="BAH30" s="1266"/>
      <c r="BAI30" s="1266"/>
      <c r="BAJ30" s="1266"/>
      <c r="BAK30" s="1266"/>
      <c r="BAL30" s="1266"/>
      <c r="BAM30" s="1266"/>
      <c r="BAN30" s="1266"/>
      <c r="BAO30" s="1266"/>
      <c r="BAP30" s="1266"/>
      <c r="BAQ30" s="1266"/>
      <c r="BAR30" s="1266"/>
      <c r="BAS30" s="1266"/>
      <c r="BAT30" s="1266"/>
      <c r="BAU30" s="1266"/>
      <c r="BAV30" s="1266"/>
      <c r="BAW30" s="1266"/>
      <c r="BAX30" s="1266"/>
      <c r="BAY30" s="1266"/>
      <c r="BAZ30" s="1266"/>
      <c r="BBA30" s="1266"/>
      <c r="BBB30" s="1266"/>
      <c r="BBC30" s="1266"/>
      <c r="BBD30" s="1266"/>
      <c r="BBE30" s="1266"/>
      <c r="BBF30" s="1266"/>
      <c r="BBG30" s="1266"/>
      <c r="BBH30" s="1266"/>
      <c r="BBI30" s="1266"/>
      <c r="BBJ30" s="1266"/>
      <c r="BBK30" s="1266"/>
      <c r="BBL30" s="1266"/>
      <c r="BBM30" s="1266"/>
      <c r="BBN30" s="1266"/>
      <c r="BBO30" s="1266"/>
      <c r="BBP30" s="1266"/>
      <c r="BBQ30" s="1266"/>
      <c r="BBR30" s="1266"/>
      <c r="BBS30" s="1266"/>
      <c r="BBT30" s="1266"/>
      <c r="BBU30" s="1266"/>
      <c r="BBV30" s="1266"/>
      <c r="BBW30" s="1266"/>
      <c r="BBX30" s="1266"/>
      <c r="BBY30" s="1266"/>
      <c r="BBZ30" s="1266"/>
      <c r="BCA30" s="1266"/>
      <c r="BCB30" s="1266"/>
      <c r="BCC30" s="1266"/>
      <c r="BCD30" s="1266"/>
      <c r="BCE30" s="1266"/>
      <c r="BCF30" s="1266"/>
      <c r="BCG30" s="1266"/>
      <c r="BCH30" s="1266"/>
      <c r="BCI30" s="1266"/>
      <c r="BCJ30" s="1266"/>
      <c r="BCK30" s="1266"/>
      <c r="BCL30" s="1266"/>
      <c r="BCM30" s="1266"/>
      <c r="BCN30" s="1266"/>
      <c r="BCO30" s="1266"/>
      <c r="BCP30" s="1266"/>
      <c r="BCQ30" s="1266"/>
      <c r="BCR30" s="1266"/>
      <c r="BCS30" s="1266"/>
      <c r="BCT30" s="1266"/>
      <c r="BCU30" s="1266"/>
      <c r="BCV30" s="1266"/>
      <c r="BCW30" s="1266"/>
      <c r="BCX30" s="1266"/>
      <c r="BCY30" s="1266"/>
      <c r="BCZ30" s="1266"/>
      <c r="BDA30" s="1266"/>
      <c r="BDB30" s="1266"/>
      <c r="BDC30" s="1266"/>
      <c r="BDD30" s="1266"/>
      <c r="BDE30" s="1266"/>
      <c r="BDF30" s="1266"/>
      <c r="BDG30" s="1266"/>
      <c r="BDH30" s="1266"/>
      <c r="BDI30" s="1266"/>
      <c r="BDJ30" s="1266"/>
      <c r="BDK30" s="1266"/>
      <c r="BDL30" s="1266"/>
      <c r="BDM30" s="1266"/>
      <c r="BDN30" s="1266"/>
      <c r="BDO30" s="1266"/>
      <c r="BDP30" s="1266"/>
      <c r="BDQ30" s="1266"/>
      <c r="BDR30" s="1266"/>
      <c r="BDS30" s="1266"/>
      <c r="BDT30" s="1266"/>
      <c r="BDU30" s="1266"/>
      <c r="BDV30" s="1266"/>
      <c r="BDW30" s="1266"/>
      <c r="BDX30" s="1266"/>
      <c r="BDY30" s="1266"/>
      <c r="BDZ30" s="1266"/>
      <c r="BEA30" s="1266"/>
      <c r="BEB30" s="1266"/>
      <c r="BEC30" s="1266"/>
      <c r="BED30" s="1266"/>
      <c r="BEE30" s="1266"/>
      <c r="BEF30" s="1266"/>
      <c r="BEG30" s="1266"/>
      <c r="BEH30" s="1266"/>
      <c r="BEI30" s="1266"/>
      <c r="BEJ30" s="1266"/>
      <c r="BEK30" s="1266"/>
      <c r="BEL30" s="1266"/>
      <c r="BEM30" s="1266"/>
      <c r="BEN30" s="1266"/>
      <c r="BEO30" s="1266"/>
      <c r="BEP30" s="1266"/>
      <c r="BEQ30" s="1266"/>
      <c r="BER30" s="1266"/>
      <c r="BES30" s="1266"/>
      <c r="BET30" s="1266"/>
      <c r="BEU30" s="1266"/>
      <c r="BEV30" s="1266"/>
      <c r="BEW30" s="1266"/>
      <c r="BEX30" s="1266"/>
      <c r="BEY30" s="1266"/>
      <c r="BEZ30" s="1266"/>
      <c r="BFA30" s="1266"/>
      <c r="BFB30" s="1266"/>
      <c r="BFC30" s="1266"/>
      <c r="BFD30" s="1266"/>
      <c r="BFE30" s="1266"/>
      <c r="BFF30" s="1266"/>
      <c r="BFG30" s="1266"/>
      <c r="BFH30" s="1266"/>
      <c r="BFI30" s="1266"/>
      <c r="BFJ30" s="1266"/>
      <c r="BFK30" s="1266"/>
      <c r="BFL30" s="1266"/>
      <c r="BFM30" s="1266"/>
      <c r="BFN30" s="1266"/>
      <c r="BFO30" s="1266"/>
      <c r="BFP30" s="1266"/>
      <c r="BFQ30" s="1266"/>
      <c r="BFR30" s="1266"/>
      <c r="BFS30" s="1266"/>
      <c r="BFT30" s="1266"/>
      <c r="BFU30" s="1266"/>
      <c r="BFV30" s="1266"/>
      <c r="BFW30" s="1266"/>
      <c r="BFX30" s="1266"/>
      <c r="BFY30" s="1266"/>
      <c r="BFZ30" s="1266"/>
      <c r="BGA30" s="1266"/>
      <c r="BGB30" s="1266"/>
      <c r="BGC30" s="1266"/>
      <c r="BGD30" s="1266"/>
      <c r="BGE30" s="1266"/>
      <c r="BGF30" s="1266"/>
      <c r="BGG30" s="1266"/>
      <c r="BGH30" s="1266"/>
      <c r="BGI30" s="1266"/>
      <c r="BGJ30" s="1266"/>
      <c r="BGK30" s="1266"/>
      <c r="BGL30" s="1266"/>
      <c r="BGM30" s="1266"/>
      <c r="BGN30" s="1266"/>
      <c r="BGO30" s="1266"/>
      <c r="BGP30" s="1266"/>
      <c r="BGQ30" s="1266"/>
      <c r="BGR30" s="1266"/>
      <c r="BGS30" s="1266"/>
      <c r="BGT30" s="1266"/>
      <c r="BGU30" s="1266"/>
      <c r="BGV30" s="1266"/>
      <c r="BGW30" s="1266"/>
      <c r="BGX30" s="1266"/>
      <c r="BGY30" s="1266"/>
      <c r="BGZ30" s="1266"/>
      <c r="BHA30" s="1266"/>
      <c r="BHB30" s="1266"/>
      <c r="BHC30" s="1266"/>
      <c r="BHD30" s="1266"/>
      <c r="BHE30" s="1266"/>
      <c r="BHF30" s="1266"/>
      <c r="BHG30" s="1266"/>
      <c r="BHH30" s="1266"/>
      <c r="BHI30" s="1266"/>
      <c r="BHJ30" s="1266"/>
      <c r="BHK30" s="1266"/>
      <c r="BHL30" s="1266"/>
      <c r="BHM30" s="1266"/>
      <c r="BHN30" s="1266"/>
      <c r="BHO30" s="1266"/>
      <c r="BHP30" s="1266"/>
      <c r="BHQ30" s="1266"/>
      <c r="BHR30" s="1266"/>
      <c r="BHS30" s="1266"/>
      <c r="BHT30" s="1266"/>
      <c r="BHU30" s="1266"/>
      <c r="BHV30" s="1266"/>
      <c r="BHW30" s="1266"/>
      <c r="BHX30" s="1266"/>
      <c r="BHY30" s="1266"/>
      <c r="BHZ30" s="1266"/>
      <c r="BIA30" s="1266"/>
      <c r="BIB30" s="1266"/>
      <c r="BIC30" s="1266"/>
      <c r="BID30" s="1266"/>
      <c r="BIE30" s="1266"/>
      <c r="BIF30" s="1266"/>
      <c r="BIG30" s="1266"/>
      <c r="BIH30" s="1266"/>
      <c r="BII30" s="1266"/>
      <c r="BIJ30" s="1266"/>
      <c r="BIK30" s="1266"/>
      <c r="BIL30" s="1266"/>
      <c r="BIM30" s="1266"/>
      <c r="BIN30" s="1266"/>
      <c r="BIO30" s="1266"/>
      <c r="BIP30" s="1266"/>
      <c r="BIQ30" s="1266"/>
      <c r="BIR30" s="1266"/>
      <c r="BIS30" s="1266"/>
      <c r="BIT30" s="1266"/>
      <c r="BIU30" s="1266"/>
      <c r="BIV30" s="1266"/>
      <c r="BIW30" s="1266"/>
      <c r="BIX30" s="1266"/>
      <c r="BIY30" s="1266"/>
      <c r="BIZ30" s="1266"/>
      <c r="BJA30" s="1266"/>
      <c r="BJB30" s="1266"/>
      <c r="BJC30" s="1266"/>
      <c r="BJD30" s="1266"/>
      <c r="BJE30" s="1266"/>
      <c r="BJF30" s="1266"/>
      <c r="BJG30" s="1266"/>
      <c r="BJH30" s="1266"/>
      <c r="BJI30" s="1266"/>
      <c r="BJJ30" s="1266"/>
      <c r="BJK30" s="1266"/>
      <c r="BJL30" s="1266"/>
      <c r="BJM30" s="1266"/>
      <c r="BJN30" s="1266"/>
      <c r="BJO30" s="1266"/>
      <c r="BJP30" s="1266"/>
      <c r="BJQ30" s="1266"/>
      <c r="BJR30" s="1266"/>
      <c r="BJS30" s="1266"/>
      <c r="BJT30" s="1266"/>
      <c r="BJU30" s="1266"/>
      <c r="BJV30" s="1266"/>
      <c r="BJW30" s="1266"/>
      <c r="BJX30" s="1266"/>
      <c r="BJY30" s="1266"/>
      <c r="BJZ30" s="1266"/>
      <c r="BKA30" s="1266"/>
      <c r="BKB30" s="1266"/>
      <c r="BKC30" s="1266"/>
      <c r="BKD30" s="1266"/>
      <c r="BKE30" s="1266"/>
      <c r="BKF30" s="1266"/>
      <c r="BKG30" s="1266"/>
      <c r="BKH30" s="1266"/>
      <c r="BKI30" s="1266"/>
      <c r="BKJ30" s="1266"/>
      <c r="BKK30" s="1266"/>
      <c r="BKL30" s="1266"/>
      <c r="BKM30" s="1266"/>
      <c r="BKN30" s="1266"/>
      <c r="BKO30" s="1266"/>
      <c r="BKP30" s="1266"/>
      <c r="BKQ30" s="1266"/>
      <c r="BKR30" s="1266"/>
      <c r="BKS30" s="1266"/>
      <c r="BKT30" s="1266"/>
      <c r="BKU30" s="1266"/>
      <c r="BKV30" s="1266"/>
      <c r="BKW30" s="1266"/>
      <c r="BKX30" s="1266"/>
      <c r="BKY30" s="1266"/>
      <c r="BKZ30" s="1266"/>
      <c r="BLA30" s="1266"/>
      <c r="BLB30" s="1266"/>
      <c r="BLC30" s="1266"/>
      <c r="BLD30" s="1266"/>
      <c r="BLE30" s="1266"/>
      <c r="BLF30" s="1266"/>
      <c r="BLG30" s="1266"/>
      <c r="BLH30" s="1266"/>
      <c r="BLI30" s="1266"/>
      <c r="BLJ30" s="1266"/>
      <c r="BLK30" s="1266"/>
      <c r="BLL30" s="1266"/>
      <c r="BLM30" s="1266"/>
      <c r="BLN30" s="1266"/>
      <c r="BLO30" s="1266"/>
      <c r="BLP30" s="1266"/>
      <c r="BLQ30" s="1266"/>
      <c r="BLR30" s="1266"/>
      <c r="BLS30" s="1266"/>
      <c r="BLT30" s="1266"/>
      <c r="BLU30" s="1266"/>
      <c r="BLV30" s="1266"/>
      <c r="BLW30" s="1266"/>
      <c r="BLX30" s="1266"/>
      <c r="BLY30" s="1266"/>
      <c r="BLZ30" s="1266"/>
      <c r="BMA30" s="1266"/>
      <c r="BMB30" s="1266"/>
      <c r="BMC30" s="1266"/>
      <c r="BMD30" s="1266"/>
      <c r="BME30" s="1266"/>
      <c r="BMF30" s="1266"/>
      <c r="BMG30" s="1266"/>
      <c r="BMH30" s="1266"/>
      <c r="BMI30" s="1266"/>
      <c r="BMJ30" s="1266"/>
      <c r="BMK30" s="1266"/>
      <c r="BML30" s="1266"/>
      <c r="BMM30" s="1266"/>
      <c r="BMN30" s="1266"/>
      <c r="BMO30" s="1266"/>
      <c r="BMP30" s="1266"/>
      <c r="BMQ30" s="1266"/>
      <c r="BMR30" s="1266"/>
      <c r="BMS30" s="1266"/>
      <c r="BMT30" s="1266"/>
      <c r="BMU30" s="1266"/>
      <c r="BMV30" s="1266"/>
      <c r="BMW30" s="1266"/>
      <c r="BMX30" s="1266"/>
      <c r="BMY30" s="1266"/>
      <c r="BMZ30" s="1266"/>
      <c r="BNA30" s="1266"/>
      <c r="BNB30" s="1266"/>
      <c r="BNC30" s="1266"/>
      <c r="BND30" s="1266"/>
      <c r="BNE30" s="1266"/>
      <c r="BNF30" s="1266"/>
      <c r="BNG30" s="1266"/>
      <c r="BNH30" s="1266"/>
      <c r="BNI30" s="1266"/>
      <c r="BNJ30" s="1266"/>
      <c r="BNK30" s="1266"/>
      <c r="BNL30" s="1266"/>
      <c r="BNM30" s="1266"/>
      <c r="BNN30" s="1266"/>
      <c r="BNO30" s="1266"/>
      <c r="BNP30" s="1266"/>
      <c r="BNQ30" s="1266"/>
      <c r="BNR30" s="1266"/>
      <c r="BNS30" s="1266"/>
      <c r="BNT30" s="1266"/>
      <c r="BNU30" s="1266"/>
      <c r="BNV30" s="1266"/>
      <c r="BNW30" s="1266"/>
      <c r="BNX30" s="1266"/>
      <c r="BNY30" s="1266"/>
      <c r="BNZ30" s="1266"/>
      <c r="BOA30" s="1266"/>
      <c r="BOB30" s="1266"/>
      <c r="BOC30" s="1266"/>
      <c r="BOD30" s="1266"/>
      <c r="BOE30" s="1266"/>
      <c r="BOF30" s="1266"/>
      <c r="BOG30" s="1266"/>
      <c r="BOH30" s="1266"/>
      <c r="BOI30" s="1266"/>
      <c r="BOJ30" s="1266"/>
      <c r="BOK30" s="1266"/>
      <c r="BOL30" s="1266"/>
      <c r="BOM30" s="1266"/>
      <c r="BON30" s="1266"/>
      <c r="BOO30" s="1266"/>
      <c r="BOP30" s="1266"/>
      <c r="BOQ30" s="1266"/>
      <c r="BOR30" s="1266"/>
      <c r="BOS30" s="1266"/>
      <c r="BOT30" s="1266"/>
      <c r="BOU30" s="1266"/>
      <c r="BOV30" s="1266"/>
      <c r="BOW30" s="1266"/>
      <c r="BOX30" s="1266"/>
      <c r="BOY30" s="1266"/>
      <c r="BOZ30" s="1266"/>
      <c r="BPA30" s="1266"/>
      <c r="BPB30" s="1266"/>
      <c r="BPC30" s="1266"/>
      <c r="BPD30" s="1266"/>
      <c r="BPE30" s="1266"/>
      <c r="BPF30" s="1266"/>
      <c r="BPG30" s="1266"/>
      <c r="BPH30" s="1266"/>
      <c r="BPI30" s="1266"/>
      <c r="BPJ30" s="1266"/>
      <c r="BPK30" s="1266"/>
      <c r="BPL30" s="1266"/>
      <c r="BPM30" s="1266"/>
      <c r="BPN30" s="1266"/>
      <c r="BPO30" s="1266"/>
      <c r="BPP30" s="1266"/>
      <c r="BPQ30" s="1266"/>
      <c r="BPR30" s="1266"/>
      <c r="BPS30" s="1266"/>
      <c r="BPT30" s="1266"/>
      <c r="BPU30" s="1266"/>
      <c r="BPV30" s="1266"/>
      <c r="BPW30" s="1266"/>
      <c r="BPX30" s="1266"/>
      <c r="BPY30" s="1266"/>
      <c r="BPZ30" s="1266"/>
      <c r="BQA30" s="1266"/>
      <c r="BQB30" s="1266"/>
      <c r="BQC30" s="1266"/>
      <c r="BQD30" s="1266"/>
      <c r="BQE30" s="1266"/>
      <c r="BQF30" s="1266"/>
      <c r="BQG30" s="1266"/>
      <c r="BQH30" s="1266"/>
      <c r="BQI30" s="1266"/>
      <c r="BQJ30" s="1266"/>
      <c r="BQK30" s="1266"/>
      <c r="BQL30" s="1266"/>
      <c r="BQM30" s="1266"/>
      <c r="BQN30" s="1266"/>
      <c r="BQO30" s="1266"/>
      <c r="BQP30" s="1266"/>
      <c r="BQQ30" s="1266"/>
      <c r="BQR30" s="1266"/>
      <c r="BQS30" s="1266"/>
      <c r="BQT30" s="1266"/>
      <c r="BQU30" s="1266"/>
      <c r="BQV30" s="1266"/>
      <c r="BQW30" s="1266"/>
      <c r="BQX30" s="1266"/>
      <c r="BQY30" s="1266"/>
      <c r="BQZ30" s="1266"/>
      <c r="BRA30" s="1266"/>
      <c r="BRB30" s="1266"/>
      <c r="BRC30" s="1266"/>
      <c r="BRD30" s="1266"/>
      <c r="BRE30" s="1266"/>
      <c r="BRF30" s="1266"/>
      <c r="BRG30" s="1266"/>
      <c r="BRH30" s="1266"/>
      <c r="BRI30" s="1266"/>
      <c r="BRJ30" s="1266"/>
      <c r="BRK30" s="1266"/>
      <c r="BRL30" s="1266"/>
      <c r="BRM30" s="1266"/>
      <c r="BRN30" s="1266"/>
      <c r="BRO30" s="1266"/>
      <c r="BRP30" s="1266"/>
      <c r="BRQ30" s="1266"/>
      <c r="BRR30" s="1266"/>
      <c r="BRS30" s="1266"/>
      <c r="BRT30" s="1266"/>
      <c r="BRU30" s="1266"/>
      <c r="BRV30" s="1266"/>
      <c r="BRW30" s="1266"/>
      <c r="BRX30" s="1266"/>
      <c r="BRY30" s="1266"/>
      <c r="BRZ30" s="1266"/>
      <c r="BSA30" s="1266"/>
      <c r="BSB30" s="1266"/>
      <c r="BSC30" s="1266"/>
      <c r="BSD30" s="1266"/>
      <c r="BSE30" s="1266"/>
      <c r="BSF30" s="1266"/>
      <c r="BSG30" s="1266"/>
      <c r="BSH30" s="1266"/>
      <c r="BSI30" s="1266"/>
      <c r="BSJ30" s="1266"/>
      <c r="BSK30" s="1266"/>
      <c r="BSL30" s="1266"/>
      <c r="BSM30" s="1266"/>
      <c r="BSN30" s="1266"/>
      <c r="BSO30" s="1266"/>
      <c r="BSP30" s="1266"/>
      <c r="BSQ30" s="1266"/>
      <c r="BSR30" s="1266"/>
      <c r="BSS30" s="1266"/>
      <c r="BST30" s="1266"/>
      <c r="BSU30" s="1266"/>
      <c r="BSV30" s="1266"/>
      <c r="BSW30" s="1266"/>
      <c r="BSX30" s="1266"/>
      <c r="BSY30" s="1266"/>
      <c r="BSZ30" s="1266"/>
      <c r="BTA30" s="1266"/>
      <c r="BTB30" s="1266"/>
      <c r="BTC30" s="1266"/>
      <c r="BTD30" s="1266"/>
      <c r="BTE30" s="1266"/>
      <c r="BTF30" s="1266"/>
      <c r="BTG30" s="1266"/>
      <c r="BTH30" s="1266"/>
      <c r="BTI30" s="1266"/>
      <c r="BTJ30" s="1266"/>
      <c r="BTK30" s="1266"/>
      <c r="BTL30" s="1266"/>
      <c r="BTM30" s="1266"/>
      <c r="BTN30" s="1266"/>
      <c r="BTO30" s="1266"/>
      <c r="BTP30" s="1266"/>
      <c r="BTQ30" s="1266"/>
      <c r="BTR30" s="1266"/>
      <c r="BTS30" s="1266"/>
      <c r="BTT30" s="1266"/>
      <c r="BTU30" s="1266"/>
      <c r="BTV30" s="1266"/>
      <c r="BTW30" s="1266"/>
      <c r="BTX30" s="1266"/>
      <c r="BTY30" s="1266"/>
      <c r="BTZ30" s="1266"/>
      <c r="BUA30" s="1266"/>
      <c r="BUB30" s="1266"/>
      <c r="BUC30" s="1266"/>
      <c r="BUD30" s="1266"/>
      <c r="BUE30" s="1266"/>
      <c r="BUF30" s="1266"/>
      <c r="BUG30" s="1266"/>
      <c r="BUH30" s="1266"/>
      <c r="BUI30" s="1266"/>
      <c r="BUJ30" s="1266"/>
      <c r="BUK30" s="1266"/>
      <c r="BUL30" s="1266"/>
      <c r="BUM30" s="1266"/>
      <c r="BUN30" s="1266"/>
      <c r="BUO30" s="1266"/>
      <c r="BUP30" s="1266"/>
      <c r="BUQ30" s="1266"/>
      <c r="BUR30" s="1266"/>
      <c r="BUS30" s="1266"/>
      <c r="BUT30" s="1266"/>
      <c r="BUU30" s="1266"/>
      <c r="BUV30" s="1266"/>
      <c r="BUW30" s="1266"/>
      <c r="BUX30" s="1266"/>
      <c r="BUY30" s="1266"/>
      <c r="BUZ30" s="1266"/>
      <c r="BVA30" s="1266"/>
      <c r="BVB30" s="1266"/>
      <c r="BVC30" s="1266"/>
      <c r="BVD30" s="1266"/>
      <c r="BVE30" s="1266"/>
      <c r="BVF30" s="1266"/>
      <c r="BVG30" s="1266"/>
      <c r="BVH30" s="1266"/>
      <c r="BVI30" s="1266"/>
      <c r="BVJ30" s="1266"/>
      <c r="BVK30" s="1266"/>
      <c r="BVL30" s="1266"/>
      <c r="BVM30" s="1266"/>
      <c r="BVN30" s="1266"/>
      <c r="BVO30" s="1266"/>
      <c r="BVP30" s="1266"/>
      <c r="BVQ30" s="1266"/>
      <c r="BVR30" s="1266"/>
      <c r="BVS30" s="1266"/>
      <c r="BVT30" s="1266"/>
      <c r="BVU30" s="1266"/>
      <c r="BVV30" s="1266"/>
      <c r="BVW30" s="1266"/>
      <c r="BVX30" s="1266"/>
      <c r="BVY30" s="1266"/>
      <c r="BVZ30" s="1266"/>
      <c r="BWA30" s="1266"/>
      <c r="BWB30" s="1266"/>
      <c r="BWC30" s="1266"/>
      <c r="BWD30" s="1266"/>
      <c r="BWE30" s="1266"/>
      <c r="BWF30" s="1266"/>
      <c r="BWG30" s="1266"/>
      <c r="BWH30" s="1266"/>
      <c r="BWI30" s="1266"/>
      <c r="BWJ30" s="1266"/>
      <c r="BWK30" s="1266"/>
      <c r="BWL30" s="1266"/>
      <c r="BWM30" s="1266"/>
      <c r="BWN30" s="1266"/>
      <c r="BWO30" s="1266"/>
      <c r="BWP30" s="1266"/>
      <c r="BWQ30" s="1266"/>
      <c r="BWR30" s="1266"/>
      <c r="BWS30" s="1266"/>
      <c r="BWT30" s="1266"/>
      <c r="BWU30" s="1266"/>
      <c r="BWV30" s="1266"/>
      <c r="BWW30" s="1266"/>
      <c r="BWX30" s="1266"/>
      <c r="BWY30" s="1266"/>
      <c r="BWZ30" s="1266"/>
      <c r="BXA30" s="1266"/>
      <c r="BXB30" s="1266"/>
      <c r="BXC30" s="1266"/>
      <c r="BXD30" s="1266"/>
      <c r="BXE30" s="1266"/>
      <c r="BXF30" s="1266"/>
      <c r="BXG30" s="1266"/>
      <c r="BXH30" s="1266"/>
      <c r="BXI30" s="1266"/>
      <c r="BXJ30" s="1266"/>
      <c r="BXK30" s="1266"/>
      <c r="BXL30" s="1266"/>
      <c r="BXM30" s="1266"/>
      <c r="BXN30" s="1266"/>
      <c r="BXO30" s="1266"/>
      <c r="BXP30" s="1266"/>
      <c r="BXQ30" s="1266"/>
      <c r="BXR30" s="1266"/>
      <c r="BXS30" s="1266"/>
      <c r="BXT30" s="1266"/>
      <c r="BXU30" s="1266"/>
      <c r="BXV30" s="1266"/>
      <c r="BXW30" s="1266"/>
      <c r="BXX30" s="1266"/>
      <c r="BXY30" s="1266"/>
      <c r="BXZ30" s="1266"/>
      <c r="BYA30" s="1266"/>
      <c r="BYB30" s="1266"/>
      <c r="BYC30" s="1266"/>
      <c r="BYD30" s="1266"/>
      <c r="BYE30" s="1266"/>
      <c r="BYF30" s="1266"/>
      <c r="BYG30" s="1266"/>
      <c r="BYH30" s="1266"/>
      <c r="BYI30" s="1266"/>
      <c r="BYJ30" s="1266"/>
      <c r="BYK30" s="1266"/>
      <c r="BYL30" s="1266"/>
      <c r="BYM30" s="1266"/>
      <c r="BYN30" s="1266"/>
      <c r="BYO30" s="1266"/>
      <c r="BYP30" s="1266"/>
      <c r="BYQ30" s="1266"/>
      <c r="BYR30" s="1266"/>
      <c r="BYS30" s="1266"/>
      <c r="BYT30" s="1266"/>
      <c r="BYU30" s="1266"/>
      <c r="BYV30" s="1266"/>
      <c r="BYW30" s="1266"/>
      <c r="BYX30" s="1266"/>
      <c r="BYY30" s="1266"/>
      <c r="BYZ30" s="1266"/>
      <c r="BZA30" s="1266"/>
      <c r="BZB30" s="1266"/>
      <c r="BZC30" s="1266"/>
      <c r="BZD30" s="1266"/>
      <c r="BZE30" s="1266"/>
      <c r="BZF30" s="1266"/>
      <c r="BZG30" s="1266"/>
      <c r="BZH30" s="1266"/>
      <c r="BZI30" s="1266"/>
      <c r="BZJ30" s="1266"/>
      <c r="BZK30" s="1266"/>
      <c r="BZL30" s="1266"/>
      <c r="BZM30" s="1266"/>
      <c r="BZN30" s="1266"/>
      <c r="BZO30" s="1266"/>
      <c r="BZP30" s="1266"/>
      <c r="BZQ30" s="1266"/>
      <c r="BZR30" s="1266"/>
      <c r="BZS30" s="1266"/>
      <c r="BZT30" s="1266"/>
      <c r="BZU30" s="1266"/>
      <c r="BZV30" s="1266"/>
      <c r="BZW30" s="1266"/>
      <c r="BZX30" s="1266"/>
      <c r="BZY30" s="1266"/>
      <c r="BZZ30" s="1266"/>
      <c r="CAA30" s="1266"/>
      <c r="CAB30" s="1266"/>
      <c r="CAC30" s="1266"/>
      <c r="CAD30" s="1266"/>
      <c r="CAE30" s="1266"/>
      <c r="CAF30" s="1266"/>
      <c r="CAG30" s="1266"/>
      <c r="CAH30" s="1266"/>
      <c r="CAI30" s="1266"/>
      <c r="CAJ30" s="1266"/>
      <c r="CAK30" s="1266"/>
      <c r="CAL30" s="1266"/>
      <c r="CAM30" s="1266"/>
      <c r="CAN30" s="1266"/>
      <c r="CAO30" s="1266"/>
      <c r="CAP30" s="1266"/>
      <c r="CAQ30" s="1266"/>
      <c r="CAR30" s="1266"/>
      <c r="CAS30" s="1266"/>
      <c r="CAT30" s="1266"/>
      <c r="CAU30" s="1266"/>
      <c r="CAV30" s="1266"/>
      <c r="CAW30" s="1266"/>
      <c r="CAX30" s="1266"/>
      <c r="CAY30" s="1266"/>
      <c r="CAZ30" s="1266"/>
      <c r="CBA30" s="1266"/>
      <c r="CBB30" s="1266"/>
      <c r="CBC30" s="1266"/>
      <c r="CBD30" s="1266"/>
      <c r="CBE30" s="1266"/>
      <c r="CBF30" s="1266"/>
      <c r="CBG30" s="1266"/>
      <c r="CBH30" s="1266"/>
      <c r="CBI30" s="1266"/>
      <c r="CBJ30" s="1266"/>
      <c r="CBK30" s="1266"/>
      <c r="CBL30" s="1266"/>
      <c r="CBM30" s="1266"/>
      <c r="CBN30" s="1266"/>
      <c r="CBO30" s="1266"/>
      <c r="CBP30" s="1266"/>
      <c r="CBQ30" s="1266"/>
      <c r="CBR30" s="1266"/>
      <c r="CBS30" s="1266"/>
      <c r="CBT30" s="1266"/>
      <c r="CBU30" s="1266"/>
      <c r="CBV30" s="1266"/>
      <c r="CBW30" s="1266"/>
      <c r="CBX30" s="1266"/>
      <c r="CBY30" s="1266"/>
      <c r="CBZ30" s="1266"/>
      <c r="CCA30" s="1266"/>
      <c r="CCB30" s="1266"/>
      <c r="CCC30" s="1266"/>
      <c r="CCD30" s="1266"/>
      <c r="CCE30" s="1266"/>
      <c r="CCF30" s="1266"/>
      <c r="CCG30" s="1266"/>
      <c r="CCH30" s="1266"/>
      <c r="CCI30" s="1266"/>
      <c r="CCJ30" s="1266"/>
      <c r="CCK30" s="1266"/>
      <c r="CCL30" s="1266"/>
      <c r="CCM30" s="1266"/>
      <c r="CCN30" s="1266"/>
      <c r="CCO30" s="1266"/>
      <c r="CCP30" s="1266"/>
      <c r="CCQ30" s="1266"/>
      <c r="CCR30" s="1266"/>
      <c r="CCS30" s="1266"/>
      <c r="CCT30" s="1266"/>
      <c r="CCU30" s="1266"/>
      <c r="CCV30" s="1266"/>
      <c r="CCW30" s="1266"/>
      <c r="CCX30" s="1266"/>
      <c r="CCY30" s="1266"/>
      <c r="CCZ30" s="1266"/>
      <c r="CDA30" s="1266"/>
      <c r="CDB30" s="1266"/>
      <c r="CDC30" s="1266"/>
      <c r="CDD30" s="1266"/>
      <c r="CDE30" s="1266"/>
      <c r="CDF30" s="1266"/>
      <c r="CDG30" s="1266"/>
      <c r="CDH30" s="1266"/>
      <c r="CDI30" s="1266"/>
      <c r="CDJ30" s="1266"/>
      <c r="CDK30" s="1266"/>
      <c r="CDL30" s="1266"/>
      <c r="CDM30" s="1266"/>
      <c r="CDN30" s="1266"/>
      <c r="CDO30" s="1266"/>
      <c r="CDP30" s="1266"/>
      <c r="CDQ30" s="1266"/>
      <c r="CDR30" s="1266"/>
      <c r="CDS30" s="1266"/>
      <c r="CDT30" s="1266"/>
      <c r="CDU30" s="1266"/>
      <c r="CDV30" s="1266"/>
      <c r="CDW30" s="1266"/>
      <c r="CDX30" s="1266"/>
      <c r="CDY30" s="1266"/>
      <c r="CDZ30" s="1266"/>
      <c r="CEA30" s="1266"/>
      <c r="CEB30" s="1266"/>
      <c r="CEC30" s="1266"/>
      <c r="CED30" s="1266"/>
      <c r="CEE30" s="1266"/>
      <c r="CEF30" s="1266"/>
      <c r="CEG30" s="1266"/>
      <c r="CEH30" s="1266"/>
      <c r="CEI30" s="1266"/>
      <c r="CEJ30" s="1266"/>
      <c r="CEK30" s="1266"/>
      <c r="CEL30" s="1266"/>
      <c r="CEM30" s="1266"/>
      <c r="CEN30" s="1266"/>
      <c r="CEO30" s="1266"/>
      <c r="CEP30" s="1266"/>
      <c r="CEQ30" s="1266"/>
      <c r="CER30" s="1266"/>
      <c r="CES30" s="1266"/>
      <c r="CET30" s="1266"/>
      <c r="CEU30" s="1266"/>
      <c r="CEV30" s="1266"/>
      <c r="CEW30" s="1266"/>
      <c r="CEX30" s="1266"/>
      <c r="CEY30" s="1266"/>
      <c r="CEZ30" s="1266"/>
      <c r="CFA30" s="1266"/>
      <c r="CFB30" s="1266"/>
      <c r="CFC30" s="1266"/>
      <c r="CFD30" s="1266"/>
      <c r="CFE30" s="1266"/>
      <c r="CFF30" s="1266"/>
      <c r="CFG30" s="1266"/>
      <c r="CFH30" s="1266"/>
      <c r="CFI30" s="1266"/>
      <c r="CFJ30" s="1266"/>
      <c r="CFK30" s="1266"/>
      <c r="CFL30" s="1266"/>
      <c r="CFM30" s="1266"/>
      <c r="CFN30" s="1266"/>
      <c r="CFO30" s="1266"/>
      <c r="CFP30" s="1266"/>
      <c r="CFQ30" s="1266"/>
      <c r="CFR30" s="1266"/>
      <c r="CFS30" s="1266"/>
      <c r="CFT30" s="1266"/>
      <c r="CFU30" s="1266"/>
      <c r="CFV30" s="1266"/>
      <c r="CFW30" s="1266"/>
      <c r="CFX30" s="1266"/>
      <c r="CFY30" s="1266"/>
      <c r="CFZ30" s="1266"/>
      <c r="CGA30" s="1266"/>
      <c r="CGB30" s="1266"/>
      <c r="CGC30" s="1266"/>
      <c r="CGD30" s="1266"/>
      <c r="CGE30" s="1266"/>
      <c r="CGF30" s="1266"/>
      <c r="CGG30" s="1266"/>
      <c r="CGH30" s="1266"/>
      <c r="CGI30" s="1266"/>
      <c r="CGJ30" s="1266"/>
      <c r="CGK30" s="1266"/>
      <c r="CGL30" s="1266"/>
      <c r="CGM30" s="1266"/>
      <c r="CGN30" s="1266"/>
      <c r="CGO30" s="1266"/>
      <c r="CGP30" s="1266"/>
      <c r="CGQ30" s="1266"/>
      <c r="CGR30" s="1266"/>
      <c r="CGS30" s="1266"/>
      <c r="CGT30" s="1266"/>
      <c r="CGU30" s="1266"/>
      <c r="CGV30" s="1266"/>
      <c r="CGW30" s="1266"/>
      <c r="CGX30" s="1266"/>
      <c r="CGY30" s="1266"/>
      <c r="CGZ30" s="1266"/>
      <c r="CHA30" s="1266"/>
      <c r="CHB30" s="1266"/>
      <c r="CHC30" s="1266"/>
      <c r="CHD30" s="1266"/>
      <c r="CHE30" s="1266"/>
      <c r="CHF30" s="1266"/>
      <c r="CHG30" s="1266"/>
      <c r="CHH30" s="1266"/>
      <c r="CHI30" s="1266"/>
      <c r="CHJ30" s="1266"/>
      <c r="CHK30" s="1266"/>
      <c r="CHL30" s="1266"/>
      <c r="CHM30" s="1266"/>
      <c r="CHN30" s="1266"/>
      <c r="CHO30" s="1266"/>
      <c r="CHP30" s="1266"/>
      <c r="CHQ30" s="1266"/>
      <c r="CHR30" s="1266"/>
      <c r="CHS30" s="1266"/>
      <c r="CHT30" s="1266"/>
      <c r="CHU30" s="1266"/>
      <c r="CHV30" s="1266"/>
      <c r="CHW30" s="1266"/>
      <c r="CHX30" s="1266"/>
      <c r="CHY30" s="1266"/>
      <c r="CHZ30" s="1266"/>
      <c r="CIA30" s="1266"/>
      <c r="CIB30" s="1266"/>
      <c r="CIC30" s="1266"/>
      <c r="CID30" s="1266"/>
      <c r="CIE30" s="1266"/>
      <c r="CIF30" s="1266"/>
      <c r="CIG30" s="1266"/>
      <c r="CIH30" s="1266"/>
      <c r="CII30" s="1266"/>
      <c r="CIJ30" s="1266"/>
      <c r="CIK30" s="1266"/>
      <c r="CIL30" s="1266"/>
      <c r="CIM30" s="1266"/>
      <c r="CIN30" s="1266"/>
      <c r="CIO30" s="1266"/>
      <c r="CIP30" s="1266"/>
      <c r="CIQ30" s="1266"/>
      <c r="CIR30" s="1266"/>
      <c r="CIS30" s="1266"/>
      <c r="CIT30" s="1266"/>
      <c r="CIU30" s="1266"/>
      <c r="CIV30" s="1266"/>
      <c r="CIW30" s="1266"/>
      <c r="CIX30" s="1266"/>
      <c r="CIY30" s="1266"/>
      <c r="CIZ30" s="1266"/>
      <c r="CJA30" s="1266"/>
      <c r="CJB30" s="1266"/>
      <c r="CJC30" s="1266"/>
      <c r="CJD30" s="1266"/>
      <c r="CJE30" s="1266"/>
      <c r="CJF30" s="1266"/>
      <c r="CJG30" s="1266"/>
      <c r="CJH30" s="1266"/>
      <c r="CJI30" s="1266"/>
      <c r="CJJ30" s="1266"/>
      <c r="CJK30" s="1266"/>
      <c r="CJL30" s="1266"/>
      <c r="CJM30" s="1266"/>
      <c r="CJN30" s="1266"/>
      <c r="CJO30" s="1266"/>
      <c r="CJP30" s="1266"/>
      <c r="CJQ30" s="1266"/>
      <c r="CJR30" s="1266"/>
      <c r="CJS30" s="1266"/>
      <c r="CJT30" s="1266"/>
      <c r="CJU30" s="1266"/>
      <c r="CJV30" s="1266"/>
      <c r="CJW30" s="1266"/>
      <c r="CJX30" s="1266"/>
      <c r="CJY30" s="1266"/>
      <c r="CJZ30" s="1266"/>
      <c r="CKA30" s="1266"/>
      <c r="CKB30" s="1266"/>
      <c r="CKC30" s="1266"/>
      <c r="CKD30" s="1266"/>
      <c r="CKE30" s="1266"/>
      <c r="CKF30" s="1266"/>
      <c r="CKG30" s="1266"/>
      <c r="CKH30" s="1266"/>
      <c r="CKI30" s="1266"/>
      <c r="CKJ30" s="1266"/>
      <c r="CKK30" s="1266"/>
      <c r="CKL30" s="1266"/>
      <c r="CKM30" s="1266"/>
      <c r="CKN30" s="1266"/>
      <c r="CKO30" s="1266"/>
      <c r="CKP30" s="1266"/>
      <c r="CKQ30" s="1266"/>
      <c r="CKR30" s="1266"/>
      <c r="CKS30" s="1266"/>
      <c r="CKT30" s="1266"/>
      <c r="CKU30" s="1266"/>
      <c r="CKV30" s="1266"/>
      <c r="CKW30" s="1266"/>
      <c r="CKX30" s="1266"/>
      <c r="CKY30" s="1266"/>
      <c r="CKZ30" s="1266"/>
      <c r="CLA30" s="1266"/>
      <c r="CLB30" s="1266"/>
      <c r="CLC30" s="1266"/>
      <c r="CLD30" s="1266"/>
      <c r="CLE30" s="1266"/>
      <c r="CLF30" s="1266"/>
      <c r="CLG30" s="1266"/>
      <c r="CLH30" s="1266"/>
      <c r="CLI30" s="1266"/>
      <c r="CLJ30" s="1266"/>
      <c r="CLK30" s="1266"/>
      <c r="CLL30" s="1266"/>
      <c r="CLM30" s="1266"/>
      <c r="CLN30" s="1266"/>
      <c r="CLO30" s="1266"/>
      <c r="CLP30" s="1266"/>
      <c r="CLQ30" s="1266"/>
      <c r="CLR30" s="1266"/>
      <c r="CLS30" s="1266"/>
      <c r="CLT30" s="1266"/>
      <c r="CLU30" s="1266"/>
      <c r="CLV30" s="1266"/>
      <c r="CLW30" s="1266"/>
      <c r="CLX30" s="1266"/>
      <c r="CLY30" s="1266"/>
      <c r="CLZ30" s="1266"/>
      <c r="CMA30" s="1266"/>
      <c r="CMB30" s="1266"/>
      <c r="CMC30" s="1266"/>
      <c r="CMD30" s="1266"/>
      <c r="CME30" s="1266"/>
      <c r="CMF30" s="1266"/>
      <c r="CMG30" s="1266"/>
      <c r="CMH30" s="1266"/>
      <c r="CMI30" s="1266"/>
      <c r="CMJ30" s="1266"/>
      <c r="CMK30" s="1266"/>
      <c r="CML30" s="1266"/>
      <c r="CMM30" s="1266"/>
      <c r="CMN30" s="1266"/>
      <c r="CMO30" s="1266"/>
      <c r="CMP30" s="1266"/>
      <c r="CMQ30" s="1266"/>
      <c r="CMR30" s="1266"/>
      <c r="CMS30" s="1266"/>
      <c r="CMT30" s="1266"/>
      <c r="CMU30" s="1266"/>
      <c r="CMV30" s="1266"/>
      <c r="CMW30" s="1266"/>
      <c r="CMX30" s="1266"/>
      <c r="CMY30" s="1266"/>
      <c r="CMZ30" s="1266"/>
      <c r="CNA30" s="1266"/>
      <c r="CNB30" s="1266"/>
      <c r="CNC30" s="1266"/>
      <c r="CND30" s="1266"/>
      <c r="CNE30" s="1266"/>
      <c r="CNF30" s="1266"/>
      <c r="CNG30" s="1266"/>
      <c r="CNH30" s="1266"/>
      <c r="CNI30" s="1266"/>
      <c r="CNJ30" s="1266"/>
      <c r="CNK30" s="1266"/>
      <c r="CNL30" s="1266"/>
      <c r="CNM30" s="1266"/>
      <c r="CNN30" s="1266"/>
      <c r="CNO30" s="1266"/>
      <c r="CNP30" s="1266"/>
      <c r="CNQ30" s="1266"/>
      <c r="CNR30" s="1266"/>
      <c r="CNS30" s="1266"/>
      <c r="CNT30" s="1266"/>
      <c r="CNU30" s="1266"/>
      <c r="CNV30" s="1266"/>
      <c r="CNW30" s="1266"/>
      <c r="CNX30" s="1266"/>
      <c r="CNY30" s="1266"/>
      <c r="CNZ30" s="1266"/>
      <c r="COA30" s="1266"/>
      <c r="COB30" s="1266"/>
      <c r="COC30" s="1266"/>
      <c r="COD30" s="1266"/>
      <c r="COE30" s="1266"/>
      <c r="COF30" s="1266"/>
      <c r="COG30" s="1266"/>
      <c r="COH30" s="1266"/>
      <c r="COI30" s="1266"/>
      <c r="COJ30" s="1266"/>
      <c r="COK30" s="1266"/>
      <c r="COL30" s="1266"/>
      <c r="COM30" s="1266"/>
      <c r="CON30" s="1266"/>
      <c r="COO30" s="1266"/>
      <c r="COP30" s="1266"/>
      <c r="COQ30" s="1266"/>
      <c r="COR30" s="1266"/>
      <c r="COS30" s="1266"/>
      <c r="COT30" s="1266"/>
      <c r="COU30" s="1266"/>
      <c r="COV30" s="1266"/>
      <c r="COW30" s="1266"/>
      <c r="COX30" s="1266"/>
      <c r="COY30" s="1266"/>
      <c r="COZ30" s="1266"/>
      <c r="CPA30" s="1266"/>
      <c r="CPB30" s="1266"/>
      <c r="CPC30" s="1266"/>
      <c r="CPD30" s="1266"/>
      <c r="CPE30" s="1266"/>
      <c r="CPF30" s="1266"/>
      <c r="CPG30" s="1266"/>
      <c r="CPH30" s="1266"/>
      <c r="CPI30" s="1266"/>
      <c r="CPJ30" s="1266"/>
      <c r="CPK30" s="1266"/>
      <c r="CPL30" s="1266"/>
      <c r="CPM30" s="1266"/>
      <c r="CPN30" s="1266"/>
      <c r="CPO30" s="1266"/>
      <c r="CPP30" s="1266"/>
      <c r="CPQ30" s="1266"/>
      <c r="CPR30" s="1266"/>
      <c r="CPS30" s="1266"/>
      <c r="CPT30" s="1266"/>
      <c r="CPU30" s="1266"/>
      <c r="CPV30" s="1266"/>
      <c r="CPW30" s="1266"/>
      <c r="CPX30" s="1266"/>
      <c r="CPY30" s="1266"/>
      <c r="CPZ30" s="1266"/>
      <c r="CQA30" s="1266"/>
      <c r="CQB30" s="1266"/>
      <c r="CQC30" s="1266"/>
      <c r="CQD30" s="1266"/>
      <c r="CQE30" s="1266"/>
      <c r="CQF30" s="1266"/>
      <c r="CQG30" s="1266"/>
      <c r="CQH30" s="1266"/>
      <c r="CQI30" s="1266"/>
      <c r="CQJ30" s="1266"/>
      <c r="CQK30" s="1266"/>
      <c r="CQL30" s="1266"/>
      <c r="CQM30" s="1266"/>
      <c r="CQN30" s="1266"/>
      <c r="CQO30" s="1266"/>
      <c r="CQP30" s="1266"/>
      <c r="CQQ30" s="1266"/>
      <c r="CQR30" s="1266"/>
      <c r="CQS30" s="1266"/>
      <c r="CQT30" s="1266"/>
      <c r="CQU30" s="1266"/>
      <c r="CQV30" s="1266"/>
      <c r="CQW30" s="1266"/>
      <c r="CQX30" s="1266"/>
      <c r="CQY30" s="1266"/>
      <c r="CQZ30" s="1266"/>
      <c r="CRA30" s="1266"/>
      <c r="CRB30" s="1266"/>
      <c r="CRC30" s="1266"/>
      <c r="CRD30" s="1266"/>
      <c r="CRE30" s="1266"/>
      <c r="CRF30" s="1266"/>
      <c r="CRG30" s="1266"/>
      <c r="CRH30" s="1266"/>
      <c r="CRI30" s="1266"/>
      <c r="CRJ30" s="1266"/>
      <c r="CRK30" s="1266"/>
      <c r="CRL30" s="1266"/>
      <c r="CRM30" s="1266"/>
      <c r="CRN30" s="1266"/>
      <c r="CRO30" s="1266"/>
      <c r="CRP30" s="1266"/>
      <c r="CRQ30" s="1266"/>
      <c r="CRR30" s="1266"/>
      <c r="CRS30" s="1266"/>
      <c r="CRT30" s="1266"/>
      <c r="CRU30" s="1266"/>
      <c r="CRV30" s="1266"/>
      <c r="CRW30" s="1266"/>
      <c r="CRX30" s="1266"/>
      <c r="CRY30" s="1266"/>
      <c r="CRZ30" s="1266"/>
      <c r="CSA30" s="1266"/>
      <c r="CSB30" s="1266"/>
      <c r="CSC30" s="1266"/>
      <c r="CSD30" s="1266"/>
      <c r="CSE30" s="1266"/>
      <c r="CSF30" s="1266"/>
      <c r="CSG30" s="1266"/>
      <c r="CSH30" s="1266"/>
      <c r="CSI30" s="1266"/>
      <c r="CSJ30" s="1266"/>
      <c r="CSK30" s="1266"/>
      <c r="CSL30" s="1266"/>
      <c r="CSM30" s="1266"/>
      <c r="CSN30" s="1266"/>
      <c r="CSO30" s="1266"/>
      <c r="CSP30" s="1266"/>
      <c r="CSQ30" s="1266"/>
      <c r="CSR30" s="1266"/>
      <c r="CSS30" s="1266"/>
      <c r="CST30" s="1266"/>
      <c r="CSU30" s="1266"/>
      <c r="CSV30" s="1266"/>
      <c r="CSW30" s="1266"/>
      <c r="CSX30" s="1266"/>
      <c r="CSY30" s="1266"/>
      <c r="CSZ30" s="1266"/>
      <c r="CTA30" s="1266"/>
      <c r="CTB30" s="1266"/>
      <c r="CTC30" s="1266"/>
      <c r="CTD30" s="1266"/>
      <c r="CTE30" s="1266"/>
      <c r="CTF30" s="1266"/>
      <c r="CTG30" s="1266"/>
      <c r="CTH30" s="1266"/>
      <c r="CTI30" s="1266"/>
      <c r="CTJ30" s="1266"/>
      <c r="CTK30" s="1266"/>
      <c r="CTL30" s="1266"/>
      <c r="CTM30" s="1266"/>
      <c r="CTN30" s="1266"/>
      <c r="CTO30" s="1266"/>
      <c r="CTP30" s="1266"/>
      <c r="CTQ30" s="1266"/>
      <c r="CTR30" s="1266"/>
      <c r="CTS30" s="1266"/>
      <c r="CTT30" s="1266"/>
      <c r="CTU30" s="1266"/>
      <c r="CTV30" s="1266"/>
      <c r="CTW30" s="1266"/>
      <c r="CTX30" s="1266"/>
      <c r="CTY30" s="1266"/>
      <c r="CTZ30" s="1266"/>
      <c r="CUA30" s="1266"/>
      <c r="CUB30" s="1266"/>
      <c r="CUC30" s="1266"/>
      <c r="CUD30" s="1266"/>
      <c r="CUE30" s="1266"/>
      <c r="CUF30" s="1266"/>
      <c r="CUG30" s="1266"/>
      <c r="CUH30" s="1266"/>
      <c r="CUI30" s="1266"/>
      <c r="CUJ30" s="1266"/>
      <c r="CUK30" s="1266"/>
      <c r="CUL30" s="1266"/>
      <c r="CUM30" s="1266"/>
      <c r="CUN30" s="1266"/>
      <c r="CUO30" s="1266"/>
      <c r="CUP30" s="1266"/>
      <c r="CUQ30" s="1266"/>
      <c r="CUR30" s="1266"/>
      <c r="CUS30" s="1266"/>
      <c r="CUT30" s="1266"/>
      <c r="CUU30" s="1266"/>
      <c r="CUV30" s="1266"/>
      <c r="CUW30" s="1266"/>
      <c r="CUX30" s="1266"/>
      <c r="CUY30" s="1266"/>
      <c r="CUZ30" s="1266"/>
      <c r="CVA30" s="1266"/>
      <c r="CVB30" s="1266"/>
      <c r="CVC30" s="1266"/>
      <c r="CVD30" s="1266"/>
      <c r="CVE30" s="1266"/>
      <c r="CVF30" s="1266"/>
      <c r="CVG30" s="1266"/>
      <c r="CVH30" s="1266"/>
      <c r="CVI30" s="1266"/>
      <c r="CVJ30" s="1266"/>
      <c r="CVK30" s="1266"/>
      <c r="CVL30" s="1266"/>
      <c r="CVM30" s="1266"/>
      <c r="CVN30" s="1266"/>
      <c r="CVO30" s="1266"/>
      <c r="CVP30" s="1266"/>
      <c r="CVQ30" s="1266"/>
      <c r="CVR30" s="1266"/>
      <c r="CVS30" s="1266"/>
      <c r="CVT30" s="1266"/>
      <c r="CVU30" s="1266"/>
      <c r="CVV30" s="1266"/>
      <c r="CVW30" s="1266"/>
      <c r="CVX30" s="1266"/>
      <c r="CVY30" s="1266"/>
      <c r="CVZ30" s="1266"/>
      <c r="CWA30" s="1266"/>
      <c r="CWB30" s="1266"/>
      <c r="CWC30" s="1266"/>
      <c r="CWD30" s="1266"/>
      <c r="CWE30" s="1266"/>
      <c r="CWF30" s="1266"/>
      <c r="CWG30" s="1266"/>
      <c r="CWH30" s="1266"/>
      <c r="CWI30" s="1266"/>
      <c r="CWJ30" s="1266"/>
      <c r="CWK30" s="1266"/>
      <c r="CWL30" s="1266"/>
      <c r="CWM30" s="1266"/>
      <c r="CWN30" s="1266"/>
      <c r="CWO30" s="1266"/>
      <c r="CWP30" s="1266"/>
      <c r="CWQ30" s="1266"/>
      <c r="CWR30" s="1266"/>
      <c r="CWS30" s="1266"/>
      <c r="CWT30" s="1266"/>
      <c r="CWU30" s="1266"/>
      <c r="CWV30" s="1266"/>
      <c r="CWW30" s="1266"/>
      <c r="CWX30" s="1266"/>
      <c r="CWY30" s="1266"/>
      <c r="CWZ30" s="1266"/>
      <c r="CXA30" s="1266"/>
      <c r="CXB30" s="1266"/>
      <c r="CXC30" s="1266"/>
      <c r="CXD30" s="1266"/>
      <c r="CXE30" s="1266"/>
      <c r="CXF30" s="1266"/>
      <c r="CXG30" s="1266"/>
      <c r="CXH30" s="1266"/>
      <c r="CXI30" s="1266"/>
      <c r="CXJ30" s="1266"/>
      <c r="CXK30" s="1266"/>
      <c r="CXL30" s="1266"/>
      <c r="CXM30" s="1266"/>
      <c r="CXN30" s="1266"/>
      <c r="CXO30" s="1266"/>
      <c r="CXP30" s="1266"/>
      <c r="CXQ30" s="1266"/>
      <c r="CXR30" s="1266"/>
      <c r="CXS30" s="1266"/>
      <c r="CXT30" s="1266"/>
      <c r="CXU30" s="1266"/>
      <c r="CXV30" s="1266"/>
      <c r="CXW30" s="1266"/>
      <c r="CXX30" s="1266"/>
      <c r="CXY30" s="1266"/>
      <c r="CXZ30" s="1266"/>
      <c r="CYA30" s="1266"/>
      <c r="CYB30" s="1266"/>
      <c r="CYC30" s="1266"/>
      <c r="CYD30" s="1266"/>
      <c r="CYE30" s="1266"/>
      <c r="CYF30" s="1266"/>
      <c r="CYG30" s="1266"/>
      <c r="CYH30" s="1266"/>
      <c r="CYI30" s="1266"/>
      <c r="CYJ30" s="1266"/>
      <c r="CYK30" s="1266"/>
      <c r="CYL30" s="1266"/>
      <c r="CYM30" s="1266"/>
      <c r="CYN30" s="1266"/>
      <c r="CYO30" s="1266"/>
      <c r="CYP30" s="1266"/>
      <c r="CYQ30" s="1266"/>
      <c r="CYR30" s="1266"/>
      <c r="CYS30" s="1266"/>
      <c r="CYT30" s="1266"/>
      <c r="CYU30" s="1266"/>
      <c r="CYV30" s="1266"/>
      <c r="CYW30" s="1266"/>
      <c r="CYX30" s="1266"/>
      <c r="CYY30" s="1266"/>
      <c r="CYZ30" s="1266"/>
      <c r="CZA30" s="1266"/>
      <c r="CZB30" s="1266"/>
      <c r="CZC30" s="1266"/>
      <c r="CZD30" s="1266"/>
      <c r="CZE30" s="1266"/>
      <c r="CZF30" s="1266"/>
      <c r="CZG30" s="1266"/>
      <c r="CZH30" s="1266"/>
      <c r="CZI30" s="1266"/>
      <c r="CZJ30" s="1266"/>
      <c r="CZK30" s="1266"/>
      <c r="CZL30" s="1266"/>
      <c r="CZM30" s="1266"/>
      <c r="CZN30" s="1266"/>
      <c r="CZO30" s="1266"/>
      <c r="CZP30" s="1266"/>
      <c r="CZQ30" s="1266"/>
      <c r="CZR30" s="1266"/>
      <c r="CZS30" s="1266"/>
      <c r="CZT30" s="1266"/>
      <c r="CZU30" s="1266"/>
      <c r="CZV30" s="1266"/>
      <c r="CZW30" s="1266"/>
      <c r="CZX30" s="1266"/>
      <c r="CZY30" s="1266"/>
      <c r="CZZ30" s="1266"/>
      <c r="DAA30" s="1266"/>
      <c r="DAB30" s="1266"/>
      <c r="DAC30" s="1266"/>
      <c r="DAD30" s="1266"/>
      <c r="DAE30" s="1266"/>
      <c r="DAF30" s="1266"/>
      <c r="DAG30" s="1266"/>
      <c r="DAH30" s="1266"/>
      <c r="DAI30" s="1266"/>
      <c r="DAJ30" s="1266"/>
      <c r="DAK30" s="1266"/>
      <c r="DAL30" s="1266"/>
      <c r="DAM30" s="1266"/>
      <c r="DAN30" s="1266"/>
      <c r="DAO30" s="1266"/>
      <c r="DAP30" s="1266"/>
      <c r="DAQ30" s="1266"/>
      <c r="DAR30" s="1266"/>
      <c r="DAS30" s="1266"/>
      <c r="DAT30" s="1266"/>
      <c r="DAU30" s="1266"/>
      <c r="DAV30" s="1266"/>
      <c r="DAW30" s="1266"/>
      <c r="DAX30" s="1266"/>
      <c r="DAY30" s="1266"/>
      <c r="DAZ30" s="1266"/>
      <c r="DBA30" s="1266"/>
      <c r="DBB30" s="1266"/>
      <c r="DBC30" s="1266"/>
      <c r="DBD30" s="1266"/>
      <c r="DBE30" s="1266"/>
      <c r="DBF30" s="1266"/>
      <c r="DBG30" s="1266"/>
      <c r="DBH30" s="1266"/>
      <c r="DBI30" s="1266"/>
      <c r="DBJ30" s="1266"/>
      <c r="DBK30" s="1266"/>
      <c r="DBL30" s="1266"/>
      <c r="DBM30" s="1266"/>
      <c r="DBN30" s="1266"/>
      <c r="DBO30" s="1266"/>
      <c r="DBP30" s="1266"/>
      <c r="DBQ30" s="1266"/>
      <c r="DBR30" s="1266"/>
      <c r="DBS30" s="1266"/>
      <c r="DBT30" s="1266"/>
      <c r="DBU30" s="1266"/>
      <c r="DBV30" s="1266"/>
      <c r="DBW30" s="1266"/>
      <c r="DBX30" s="1266"/>
      <c r="DBY30" s="1266"/>
      <c r="DBZ30" s="1266"/>
      <c r="DCA30" s="1266"/>
      <c r="DCB30" s="1266"/>
      <c r="DCC30" s="1266"/>
      <c r="DCD30" s="1266"/>
      <c r="DCE30" s="1266"/>
      <c r="DCF30" s="1266"/>
      <c r="DCG30" s="1266"/>
      <c r="DCH30" s="1266"/>
      <c r="DCI30" s="1266"/>
      <c r="DCJ30" s="1266"/>
      <c r="DCK30" s="1266"/>
      <c r="DCL30" s="1266"/>
      <c r="DCM30" s="1266"/>
      <c r="DCN30" s="1266"/>
      <c r="DCO30" s="1266"/>
      <c r="DCP30" s="1266"/>
      <c r="DCQ30" s="1266"/>
      <c r="DCR30" s="1266"/>
      <c r="DCS30" s="1266"/>
      <c r="DCT30" s="1266"/>
      <c r="DCU30" s="1266"/>
      <c r="DCV30" s="1266"/>
      <c r="DCW30" s="1266"/>
      <c r="DCX30" s="1266"/>
      <c r="DCY30" s="1266"/>
      <c r="DCZ30" s="1266"/>
      <c r="DDA30" s="1266"/>
      <c r="DDB30" s="1266"/>
      <c r="DDC30" s="1266"/>
      <c r="DDD30" s="1266"/>
      <c r="DDE30" s="1266"/>
      <c r="DDF30" s="1266"/>
      <c r="DDG30" s="1266"/>
      <c r="DDH30" s="1266"/>
      <c r="DDI30" s="1266"/>
      <c r="DDJ30" s="1266"/>
      <c r="DDK30" s="1266"/>
      <c r="DDL30" s="1266"/>
      <c r="DDM30" s="1266"/>
      <c r="DDN30" s="1266"/>
      <c r="DDO30" s="1266"/>
      <c r="DDP30" s="1266"/>
      <c r="DDQ30" s="1266"/>
      <c r="DDR30" s="1266"/>
      <c r="DDS30" s="1266"/>
      <c r="DDT30" s="1266"/>
      <c r="DDU30" s="1266"/>
      <c r="DDV30" s="1266"/>
      <c r="DDW30" s="1266"/>
      <c r="DDX30" s="1266"/>
      <c r="DDY30" s="1266"/>
      <c r="DDZ30" s="1266"/>
      <c r="DEA30" s="1266"/>
      <c r="DEB30" s="1266"/>
      <c r="DEC30" s="1266"/>
      <c r="DED30" s="1266"/>
      <c r="DEE30" s="1266"/>
      <c r="DEF30" s="1266"/>
      <c r="DEG30" s="1266"/>
      <c r="DEH30" s="1266"/>
      <c r="DEI30" s="1266"/>
      <c r="DEJ30" s="1266"/>
      <c r="DEK30" s="1266"/>
      <c r="DEL30" s="1266"/>
      <c r="DEM30" s="1266"/>
      <c r="DEN30" s="1266"/>
      <c r="DEO30" s="1266"/>
      <c r="DEP30" s="1266"/>
      <c r="DEQ30" s="1266"/>
      <c r="DER30" s="1266"/>
      <c r="DES30" s="1266"/>
      <c r="DET30" s="1266"/>
      <c r="DEU30" s="1266"/>
      <c r="DEV30" s="1266"/>
      <c r="DEW30" s="1266"/>
      <c r="DEX30" s="1266"/>
      <c r="DEY30" s="1266"/>
      <c r="DEZ30" s="1266"/>
      <c r="DFA30" s="1266"/>
      <c r="DFB30" s="1266"/>
      <c r="DFC30" s="1266"/>
      <c r="DFD30" s="1266"/>
      <c r="DFE30" s="1266"/>
      <c r="DFF30" s="1266"/>
      <c r="DFG30" s="1266"/>
      <c r="DFH30" s="1266"/>
      <c r="DFI30" s="1266"/>
      <c r="DFJ30" s="1266"/>
      <c r="DFK30" s="1266"/>
      <c r="DFL30" s="1266"/>
      <c r="DFM30" s="1266"/>
      <c r="DFN30" s="1266"/>
      <c r="DFO30" s="1266"/>
      <c r="DFP30" s="1266"/>
      <c r="DFQ30" s="1266"/>
      <c r="DFR30" s="1266"/>
      <c r="DFS30" s="1266"/>
      <c r="DFT30" s="1266"/>
      <c r="DFU30" s="1266"/>
      <c r="DFV30" s="1266"/>
      <c r="DFW30" s="1266"/>
      <c r="DFX30" s="1266"/>
      <c r="DFY30" s="1266"/>
      <c r="DFZ30" s="1266"/>
      <c r="DGA30" s="1266"/>
      <c r="DGB30" s="1266"/>
      <c r="DGC30" s="1266"/>
      <c r="DGD30" s="1266"/>
      <c r="DGE30" s="1266"/>
      <c r="DGF30" s="1266"/>
      <c r="DGG30" s="1266"/>
      <c r="DGH30" s="1266"/>
      <c r="DGI30" s="1266"/>
      <c r="DGJ30" s="1266"/>
      <c r="DGK30" s="1266"/>
      <c r="DGL30" s="1266"/>
      <c r="DGM30" s="1266"/>
      <c r="DGN30" s="1266"/>
      <c r="DGO30" s="1266"/>
      <c r="DGP30" s="1266"/>
      <c r="DGQ30" s="1266"/>
      <c r="DGR30" s="1266"/>
      <c r="DGS30" s="1266"/>
      <c r="DGT30" s="1266"/>
      <c r="DGU30" s="1266"/>
      <c r="DGV30" s="1266"/>
      <c r="DGW30" s="1266"/>
      <c r="DGX30" s="1266"/>
      <c r="DGY30" s="1266"/>
      <c r="DGZ30" s="1266"/>
      <c r="DHA30" s="1266"/>
      <c r="DHB30" s="1266"/>
      <c r="DHC30" s="1266"/>
      <c r="DHD30" s="1266"/>
      <c r="DHE30" s="1266"/>
      <c r="DHF30" s="1266"/>
      <c r="DHG30" s="1266"/>
      <c r="DHH30" s="1266"/>
      <c r="DHI30" s="1266"/>
      <c r="DHJ30" s="1266"/>
      <c r="DHK30" s="1266"/>
      <c r="DHL30" s="1266"/>
      <c r="DHM30" s="1266"/>
      <c r="DHN30" s="1266"/>
      <c r="DHO30" s="1266"/>
      <c r="DHP30" s="1266"/>
      <c r="DHQ30" s="1266"/>
      <c r="DHR30" s="1266"/>
      <c r="DHS30" s="1266"/>
      <c r="DHT30" s="1266"/>
      <c r="DHU30" s="1266"/>
      <c r="DHV30" s="1266"/>
      <c r="DHW30" s="1266"/>
      <c r="DHX30" s="1266"/>
      <c r="DHY30" s="1266"/>
      <c r="DHZ30" s="1266"/>
      <c r="DIA30" s="1266"/>
      <c r="DIB30" s="1266"/>
      <c r="DIC30" s="1266"/>
      <c r="DID30" s="1266"/>
      <c r="DIE30" s="1266"/>
      <c r="DIF30" s="1266"/>
      <c r="DIG30" s="1266"/>
      <c r="DIH30" s="1266"/>
      <c r="DII30" s="1266"/>
      <c r="DIJ30" s="1266"/>
      <c r="DIK30" s="1266"/>
      <c r="DIL30" s="1266"/>
      <c r="DIM30" s="1266"/>
      <c r="DIN30" s="1266"/>
      <c r="DIO30" s="1266"/>
      <c r="DIP30" s="1266"/>
      <c r="DIQ30" s="1266"/>
      <c r="DIR30" s="1266"/>
      <c r="DIS30" s="1266"/>
      <c r="DIT30" s="1266"/>
      <c r="DIU30" s="1266"/>
      <c r="DIV30" s="1266"/>
      <c r="DIW30" s="1266"/>
      <c r="DIX30" s="1266"/>
      <c r="DIY30" s="1266"/>
      <c r="DIZ30" s="1266"/>
      <c r="DJA30" s="1266"/>
      <c r="DJB30" s="1266"/>
      <c r="DJC30" s="1266"/>
      <c r="DJD30" s="1266"/>
      <c r="DJE30" s="1266"/>
      <c r="DJF30" s="1266"/>
      <c r="DJG30" s="1266"/>
      <c r="DJH30" s="1266"/>
      <c r="DJI30" s="1266"/>
      <c r="DJJ30" s="1266"/>
      <c r="DJK30" s="1266"/>
      <c r="DJL30" s="1266"/>
      <c r="DJM30" s="1266"/>
      <c r="DJN30" s="1266"/>
      <c r="DJO30" s="1266"/>
      <c r="DJP30" s="1266"/>
      <c r="DJQ30" s="1266"/>
      <c r="DJR30" s="1266"/>
      <c r="DJS30" s="1266"/>
      <c r="DJT30" s="1266"/>
      <c r="DJU30" s="1266"/>
      <c r="DJV30" s="1266"/>
      <c r="DJW30" s="1266"/>
      <c r="DJX30" s="1266"/>
      <c r="DJY30" s="1266"/>
      <c r="DJZ30" s="1266"/>
      <c r="DKA30" s="1266"/>
      <c r="DKB30" s="1266"/>
      <c r="DKC30" s="1266"/>
      <c r="DKD30" s="1266"/>
      <c r="DKE30" s="1266"/>
      <c r="DKF30" s="1266"/>
      <c r="DKG30" s="1266"/>
      <c r="DKH30" s="1266"/>
      <c r="DKI30" s="1266"/>
      <c r="DKJ30" s="1266"/>
      <c r="DKK30" s="1266"/>
      <c r="DKL30" s="1266"/>
      <c r="DKM30" s="1266"/>
      <c r="DKN30" s="1266"/>
      <c r="DKO30" s="1266"/>
      <c r="DKP30" s="1266"/>
      <c r="DKQ30" s="1266"/>
      <c r="DKR30" s="1266"/>
      <c r="DKS30" s="1266"/>
      <c r="DKT30" s="1266"/>
      <c r="DKU30" s="1266"/>
      <c r="DKV30" s="1266"/>
      <c r="DKW30" s="1266"/>
      <c r="DKX30" s="1266"/>
      <c r="DKY30" s="1266"/>
      <c r="DKZ30" s="1266"/>
      <c r="DLA30" s="1266"/>
      <c r="DLB30" s="1266"/>
      <c r="DLC30" s="1266"/>
      <c r="DLD30" s="1266"/>
      <c r="DLE30" s="1266"/>
      <c r="DLF30" s="1266"/>
      <c r="DLG30" s="1266"/>
      <c r="DLH30" s="1266"/>
      <c r="DLI30" s="1266"/>
      <c r="DLJ30" s="1266"/>
      <c r="DLK30" s="1266"/>
      <c r="DLL30" s="1266"/>
      <c r="DLM30" s="1266"/>
      <c r="DLN30" s="1266"/>
      <c r="DLO30" s="1266"/>
      <c r="DLP30" s="1266"/>
      <c r="DLQ30" s="1266"/>
      <c r="DLR30" s="1266"/>
      <c r="DLS30" s="1266"/>
      <c r="DLT30" s="1266"/>
      <c r="DLU30" s="1266"/>
      <c r="DLV30" s="1266"/>
      <c r="DLW30" s="1266"/>
      <c r="DLX30" s="1266"/>
      <c r="DLY30" s="1266"/>
      <c r="DLZ30" s="1266"/>
      <c r="DMA30" s="1266"/>
      <c r="DMB30" s="1266"/>
      <c r="DMC30" s="1266"/>
      <c r="DMD30" s="1266"/>
      <c r="DME30" s="1266"/>
      <c r="DMF30" s="1266"/>
      <c r="DMG30" s="1266"/>
      <c r="DMH30" s="1266"/>
      <c r="DMI30" s="1266"/>
      <c r="DMJ30" s="1266"/>
      <c r="DMK30" s="1266"/>
      <c r="DML30" s="1266"/>
      <c r="DMM30" s="1266"/>
      <c r="DMN30" s="1266"/>
      <c r="DMO30" s="1266"/>
      <c r="DMP30" s="1266"/>
      <c r="DMQ30" s="1266"/>
      <c r="DMR30" s="1266"/>
      <c r="DMS30" s="1266"/>
      <c r="DMT30" s="1266"/>
      <c r="DMU30" s="1266"/>
      <c r="DMV30" s="1266"/>
      <c r="DMW30" s="1266"/>
      <c r="DMX30" s="1266"/>
      <c r="DMY30" s="1266"/>
      <c r="DMZ30" s="1266"/>
      <c r="DNA30" s="1266"/>
      <c r="DNB30" s="1266"/>
      <c r="DNC30" s="1266"/>
      <c r="DND30" s="1266"/>
      <c r="DNE30" s="1266"/>
      <c r="DNF30" s="1266"/>
      <c r="DNG30" s="1266"/>
      <c r="DNH30" s="1266"/>
      <c r="DNI30" s="1266"/>
      <c r="DNJ30" s="1266"/>
      <c r="DNK30" s="1266"/>
      <c r="DNL30" s="1266"/>
      <c r="DNM30" s="1266"/>
      <c r="DNN30" s="1266"/>
      <c r="DNO30" s="1266"/>
      <c r="DNP30" s="1266"/>
      <c r="DNQ30" s="1266"/>
      <c r="DNR30" s="1266"/>
      <c r="DNS30" s="1266"/>
      <c r="DNT30" s="1266"/>
      <c r="DNU30" s="1266"/>
      <c r="DNV30" s="1266"/>
      <c r="DNW30" s="1266"/>
      <c r="DNX30" s="1266"/>
      <c r="DNY30" s="1266"/>
      <c r="DNZ30" s="1266"/>
      <c r="DOA30" s="1266"/>
      <c r="DOB30" s="1266"/>
      <c r="DOC30" s="1266"/>
      <c r="DOD30" s="1266"/>
      <c r="DOE30" s="1266"/>
      <c r="DOF30" s="1266"/>
      <c r="DOG30" s="1266"/>
      <c r="DOH30" s="1266"/>
      <c r="DOI30" s="1266"/>
      <c r="DOJ30" s="1266"/>
      <c r="DOK30" s="1266"/>
      <c r="DOL30" s="1266"/>
      <c r="DOM30" s="1266"/>
      <c r="DON30" s="1266"/>
      <c r="DOO30" s="1266"/>
      <c r="DOP30" s="1266"/>
      <c r="DOQ30" s="1266"/>
      <c r="DOR30" s="1266"/>
      <c r="DOS30" s="1266"/>
      <c r="DOT30" s="1266"/>
      <c r="DOU30" s="1266"/>
      <c r="DOV30" s="1266"/>
      <c r="DOW30" s="1266"/>
      <c r="DOX30" s="1266"/>
      <c r="DOY30" s="1266"/>
      <c r="DOZ30" s="1266"/>
      <c r="DPA30" s="1266"/>
      <c r="DPB30" s="1266"/>
      <c r="DPC30" s="1266"/>
      <c r="DPD30" s="1266"/>
      <c r="DPE30" s="1266"/>
      <c r="DPF30" s="1266"/>
      <c r="DPG30" s="1266"/>
      <c r="DPH30" s="1266"/>
      <c r="DPI30" s="1266"/>
      <c r="DPJ30" s="1266"/>
      <c r="DPK30" s="1266"/>
      <c r="DPL30" s="1266"/>
      <c r="DPM30" s="1266"/>
      <c r="DPN30" s="1266"/>
      <c r="DPO30" s="1266"/>
      <c r="DPP30" s="1266"/>
      <c r="DPQ30" s="1266"/>
      <c r="DPR30" s="1266"/>
      <c r="DPS30" s="1266"/>
      <c r="DPT30" s="1266"/>
      <c r="DPU30" s="1266"/>
      <c r="DPV30" s="1266"/>
      <c r="DPW30" s="1266"/>
      <c r="DPX30" s="1266"/>
      <c r="DPY30" s="1266"/>
      <c r="DPZ30" s="1266"/>
      <c r="DQA30" s="1266"/>
      <c r="DQB30" s="1266"/>
      <c r="DQC30" s="1266"/>
      <c r="DQD30" s="1266"/>
      <c r="DQE30" s="1266"/>
      <c r="DQF30" s="1266"/>
      <c r="DQG30" s="1266"/>
      <c r="DQH30" s="1266"/>
      <c r="DQI30" s="1266"/>
      <c r="DQJ30" s="1266"/>
      <c r="DQK30" s="1266"/>
      <c r="DQL30" s="1266"/>
      <c r="DQM30" s="1266"/>
      <c r="DQN30" s="1266"/>
      <c r="DQO30" s="1266"/>
      <c r="DQP30" s="1266"/>
      <c r="DQQ30" s="1266"/>
      <c r="DQR30" s="1266"/>
      <c r="DQS30" s="1266"/>
      <c r="DQT30" s="1266"/>
      <c r="DQU30" s="1266"/>
      <c r="DQV30" s="1266"/>
      <c r="DQW30" s="1266"/>
      <c r="DQX30" s="1266"/>
      <c r="DQY30" s="1266"/>
      <c r="DQZ30" s="1266"/>
      <c r="DRA30" s="1266"/>
      <c r="DRB30" s="1266"/>
      <c r="DRC30" s="1266"/>
      <c r="DRD30" s="1266"/>
      <c r="DRE30" s="1266"/>
      <c r="DRF30" s="1266"/>
      <c r="DRG30" s="1266"/>
      <c r="DRH30" s="1266"/>
      <c r="DRI30" s="1266"/>
      <c r="DRJ30" s="1266"/>
      <c r="DRK30" s="1266"/>
      <c r="DRL30" s="1266"/>
      <c r="DRM30" s="1266"/>
      <c r="DRN30" s="1266"/>
      <c r="DRO30" s="1266"/>
      <c r="DRP30" s="1266"/>
      <c r="DRQ30" s="1266"/>
      <c r="DRR30" s="1266"/>
      <c r="DRS30" s="1266"/>
      <c r="DRT30" s="1266"/>
      <c r="DRU30" s="1266"/>
      <c r="DRV30" s="1266"/>
      <c r="DRW30" s="1266"/>
      <c r="DRX30" s="1266"/>
      <c r="DRY30" s="1266"/>
      <c r="DRZ30" s="1266"/>
      <c r="DSA30" s="1266"/>
      <c r="DSB30" s="1266"/>
      <c r="DSC30" s="1266"/>
      <c r="DSD30" s="1266"/>
      <c r="DSE30" s="1266"/>
      <c r="DSF30" s="1266"/>
      <c r="DSG30" s="1266"/>
      <c r="DSH30" s="1266"/>
      <c r="DSI30" s="1266"/>
      <c r="DSJ30" s="1266"/>
      <c r="DSK30" s="1266"/>
      <c r="DSL30" s="1266"/>
      <c r="DSM30" s="1266"/>
      <c r="DSN30" s="1266"/>
      <c r="DSO30" s="1266"/>
      <c r="DSP30" s="1266"/>
      <c r="DSQ30" s="1266"/>
      <c r="DSR30" s="1266"/>
      <c r="DSS30" s="1266"/>
      <c r="DST30" s="1266"/>
      <c r="DSU30" s="1266"/>
      <c r="DSV30" s="1266"/>
      <c r="DSW30" s="1266"/>
      <c r="DSX30" s="1266"/>
      <c r="DSY30" s="1266"/>
      <c r="DSZ30" s="1266"/>
      <c r="DTA30" s="1266"/>
      <c r="DTB30" s="1266"/>
      <c r="DTC30" s="1266"/>
      <c r="DTD30" s="1266"/>
      <c r="DTE30" s="1266"/>
      <c r="DTF30" s="1266"/>
      <c r="DTG30" s="1266"/>
      <c r="DTH30" s="1266"/>
      <c r="DTI30" s="1266"/>
      <c r="DTJ30" s="1266"/>
      <c r="DTK30" s="1266"/>
      <c r="DTL30" s="1266"/>
      <c r="DTM30" s="1266"/>
      <c r="DTN30" s="1266"/>
      <c r="DTO30" s="1266"/>
      <c r="DTP30" s="1266"/>
      <c r="DTQ30" s="1266"/>
      <c r="DTR30" s="1266"/>
      <c r="DTS30" s="1266"/>
      <c r="DTT30" s="1266"/>
      <c r="DTU30" s="1266"/>
      <c r="DTV30" s="1266"/>
      <c r="DTW30" s="1266"/>
      <c r="DTX30" s="1266"/>
      <c r="DTY30" s="1266"/>
      <c r="DTZ30" s="1266"/>
      <c r="DUA30" s="1266"/>
      <c r="DUB30" s="1266"/>
      <c r="DUC30" s="1266"/>
      <c r="DUD30" s="1266"/>
      <c r="DUE30" s="1266"/>
      <c r="DUF30" s="1266"/>
      <c r="DUG30" s="1266"/>
      <c r="DUH30" s="1266"/>
      <c r="DUI30" s="1266"/>
      <c r="DUJ30" s="1266"/>
      <c r="DUK30" s="1266"/>
      <c r="DUL30" s="1266"/>
      <c r="DUM30" s="1266"/>
      <c r="DUN30" s="1266"/>
      <c r="DUO30" s="1266"/>
      <c r="DUP30" s="1266"/>
      <c r="DUQ30" s="1266"/>
      <c r="DUR30" s="1266"/>
      <c r="DUS30" s="1266"/>
      <c r="DUT30" s="1266"/>
      <c r="DUU30" s="1266"/>
      <c r="DUV30" s="1266"/>
      <c r="DUW30" s="1266"/>
      <c r="DUX30" s="1266"/>
      <c r="DUY30" s="1266"/>
      <c r="DUZ30" s="1266"/>
      <c r="DVA30" s="1266"/>
      <c r="DVB30" s="1266"/>
      <c r="DVC30" s="1266"/>
      <c r="DVD30" s="1266"/>
      <c r="DVE30" s="1266"/>
      <c r="DVF30" s="1266"/>
      <c r="DVG30" s="1266"/>
      <c r="DVH30" s="1266"/>
      <c r="DVI30" s="1266"/>
      <c r="DVJ30" s="1266"/>
      <c r="DVK30" s="1266"/>
      <c r="DVL30" s="1266"/>
      <c r="DVM30" s="1266"/>
      <c r="DVN30" s="1266"/>
      <c r="DVO30" s="1266"/>
      <c r="DVP30" s="1266"/>
      <c r="DVQ30" s="1266"/>
      <c r="DVR30" s="1266"/>
      <c r="DVS30" s="1266"/>
      <c r="DVT30" s="1266"/>
      <c r="DVU30" s="1266"/>
      <c r="DVV30" s="1266"/>
      <c r="DVW30" s="1266"/>
      <c r="DVX30" s="1266"/>
      <c r="DVY30" s="1266"/>
      <c r="DVZ30" s="1266"/>
      <c r="DWA30" s="1266"/>
      <c r="DWB30" s="1266"/>
      <c r="DWC30" s="1266"/>
      <c r="DWD30" s="1266"/>
      <c r="DWE30" s="1266"/>
      <c r="DWF30" s="1266"/>
      <c r="DWG30" s="1266"/>
      <c r="DWH30" s="1266"/>
      <c r="DWI30" s="1266"/>
      <c r="DWJ30" s="1266"/>
      <c r="DWK30" s="1266"/>
      <c r="DWL30" s="1266"/>
      <c r="DWM30" s="1266"/>
      <c r="DWN30" s="1266"/>
      <c r="DWO30" s="1266"/>
      <c r="DWP30" s="1266"/>
      <c r="DWQ30" s="1266"/>
      <c r="DWR30" s="1266"/>
      <c r="DWS30" s="1266"/>
      <c r="DWT30" s="1266"/>
      <c r="DWU30" s="1266"/>
      <c r="DWV30" s="1266"/>
      <c r="DWW30" s="1266"/>
      <c r="DWX30" s="1266"/>
      <c r="DWY30" s="1266"/>
      <c r="DWZ30" s="1266"/>
      <c r="DXA30" s="1266"/>
      <c r="DXB30" s="1266"/>
      <c r="DXC30" s="1266"/>
      <c r="DXD30" s="1266"/>
      <c r="DXE30" s="1266"/>
      <c r="DXF30" s="1266"/>
      <c r="DXG30" s="1266"/>
      <c r="DXH30" s="1266"/>
      <c r="DXI30" s="1266"/>
      <c r="DXJ30" s="1266"/>
      <c r="DXK30" s="1266"/>
      <c r="DXL30" s="1266"/>
      <c r="DXM30" s="1266"/>
      <c r="DXN30" s="1266"/>
      <c r="DXO30" s="1266"/>
      <c r="DXP30" s="1266"/>
      <c r="DXQ30" s="1266"/>
      <c r="DXR30" s="1266"/>
      <c r="DXS30" s="1266"/>
      <c r="DXT30" s="1266"/>
      <c r="DXU30" s="1266"/>
      <c r="DXV30" s="1266"/>
      <c r="DXW30" s="1266"/>
      <c r="DXX30" s="1266"/>
      <c r="DXY30" s="1266"/>
      <c r="DXZ30" s="1266"/>
      <c r="DYA30" s="1266"/>
      <c r="DYB30" s="1266"/>
      <c r="DYC30" s="1266"/>
      <c r="DYD30" s="1266"/>
      <c r="DYE30" s="1266"/>
      <c r="DYF30" s="1266"/>
      <c r="DYG30" s="1266"/>
      <c r="DYH30" s="1266"/>
      <c r="DYI30" s="1266"/>
      <c r="DYJ30" s="1266"/>
      <c r="DYK30" s="1266"/>
      <c r="DYL30" s="1266"/>
      <c r="DYM30" s="1266"/>
      <c r="DYN30" s="1266"/>
      <c r="DYO30" s="1266"/>
      <c r="DYP30" s="1266"/>
      <c r="DYQ30" s="1266"/>
      <c r="DYR30" s="1266"/>
      <c r="DYS30" s="1266"/>
      <c r="DYT30" s="1266"/>
      <c r="DYU30" s="1266"/>
      <c r="DYV30" s="1266"/>
      <c r="DYW30" s="1266"/>
      <c r="DYX30" s="1266"/>
      <c r="DYY30" s="1266"/>
      <c r="DYZ30" s="1266"/>
      <c r="DZA30" s="1266"/>
      <c r="DZB30" s="1266"/>
      <c r="DZC30" s="1266"/>
      <c r="DZD30" s="1266"/>
      <c r="DZE30" s="1266"/>
      <c r="DZF30" s="1266"/>
      <c r="DZG30" s="1266"/>
      <c r="DZH30" s="1266"/>
      <c r="DZI30" s="1266"/>
      <c r="DZJ30" s="1266"/>
      <c r="DZK30" s="1266"/>
      <c r="DZL30" s="1266"/>
      <c r="DZM30" s="1266"/>
      <c r="DZN30" s="1266"/>
      <c r="DZO30" s="1266"/>
      <c r="DZP30" s="1266"/>
      <c r="DZQ30" s="1266"/>
      <c r="DZR30" s="1266"/>
      <c r="DZS30" s="1266"/>
      <c r="DZT30" s="1266"/>
      <c r="DZU30" s="1266"/>
      <c r="DZV30" s="1266"/>
      <c r="DZW30" s="1266"/>
      <c r="DZX30" s="1266"/>
      <c r="DZY30" s="1266"/>
      <c r="DZZ30" s="1266"/>
      <c r="EAA30" s="1266"/>
      <c r="EAB30" s="1266"/>
      <c r="EAC30" s="1266"/>
      <c r="EAD30" s="1266"/>
      <c r="EAE30" s="1266"/>
      <c r="EAF30" s="1266"/>
      <c r="EAG30" s="1266"/>
      <c r="EAH30" s="1266"/>
      <c r="EAI30" s="1266"/>
      <c r="EAJ30" s="1266"/>
      <c r="EAK30" s="1266"/>
      <c r="EAL30" s="1266"/>
      <c r="EAM30" s="1266"/>
      <c r="EAN30" s="1266"/>
      <c r="EAO30" s="1266"/>
      <c r="EAP30" s="1266"/>
      <c r="EAQ30" s="1266"/>
      <c r="EAR30" s="1266"/>
      <c r="EAS30" s="1266"/>
      <c r="EAT30" s="1266"/>
      <c r="EAU30" s="1266"/>
      <c r="EAV30" s="1266"/>
      <c r="EAW30" s="1266"/>
      <c r="EAX30" s="1266"/>
      <c r="EAY30" s="1266"/>
      <c r="EAZ30" s="1266"/>
      <c r="EBA30" s="1266"/>
      <c r="EBB30" s="1266"/>
      <c r="EBC30" s="1266"/>
      <c r="EBD30" s="1266"/>
      <c r="EBE30" s="1266"/>
      <c r="EBF30" s="1266"/>
      <c r="EBG30" s="1266"/>
      <c r="EBH30" s="1266"/>
      <c r="EBI30" s="1266"/>
      <c r="EBJ30" s="1266"/>
      <c r="EBK30" s="1266"/>
      <c r="EBL30" s="1266"/>
      <c r="EBM30" s="1266"/>
      <c r="EBN30" s="1266"/>
      <c r="EBO30" s="1266"/>
      <c r="EBP30" s="1266"/>
      <c r="EBQ30" s="1266"/>
      <c r="EBR30" s="1266"/>
      <c r="EBS30" s="1266"/>
      <c r="EBT30" s="1266"/>
      <c r="EBU30" s="1266"/>
      <c r="EBV30" s="1266"/>
      <c r="EBW30" s="1266"/>
      <c r="EBX30" s="1266"/>
      <c r="EBY30" s="1266"/>
      <c r="EBZ30" s="1266"/>
      <c r="ECA30" s="1266"/>
      <c r="ECB30" s="1266"/>
      <c r="ECC30" s="1266"/>
      <c r="ECD30" s="1266"/>
      <c r="ECE30" s="1266"/>
      <c r="ECF30" s="1266"/>
      <c r="ECG30" s="1266"/>
      <c r="ECH30" s="1266"/>
      <c r="ECI30" s="1266"/>
      <c r="ECJ30" s="1266"/>
      <c r="ECK30" s="1266"/>
      <c r="ECL30" s="1266"/>
      <c r="ECM30" s="1266"/>
      <c r="ECN30" s="1266"/>
      <c r="ECO30" s="1266"/>
      <c r="ECP30" s="1266"/>
      <c r="ECQ30" s="1266"/>
      <c r="ECR30" s="1266"/>
      <c r="ECS30" s="1266"/>
      <c r="ECT30" s="1266"/>
      <c r="ECU30" s="1266"/>
      <c r="ECV30" s="1266"/>
      <c r="ECW30" s="1266"/>
      <c r="ECX30" s="1266"/>
      <c r="ECY30" s="1266"/>
      <c r="ECZ30" s="1266"/>
      <c r="EDA30" s="1266"/>
      <c r="EDB30" s="1266"/>
      <c r="EDC30" s="1266"/>
      <c r="EDD30" s="1266"/>
      <c r="EDE30" s="1266"/>
      <c r="EDF30" s="1266"/>
      <c r="EDG30" s="1266"/>
      <c r="EDH30" s="1266"/>
      <c r="EDI30" s="1266"/>
      <c r="EDJ30" s="1266"/>
      <c r="EDK30" s="1266"/>
      <c r="EDL30" s="1266"/>
      <c r="EDM30" s="1266"/>
      <c r="EDN30" s="1266"/>
      <c r="EDO30" s="1266"/>
      <c r="EDP30" s="1266"/>
      <c r="EDQ30" s="1266"/>
      <c r="EDR30" s="1266"/>
      <c r="EDS30" s="1266"/>
      <c r="EDT30" s="1266"/>
      <c r="EDU30" s="1266"/>
      <c r="EDV30" s="1266"/>
      <c r="EDW30" s="1266"/>
      <c r="EDX30" s="1266"/>
      <c r="EDY30" s="1266"/>
      <c r="EDZ30" s="1266"/>
      <c r="EEA30" s="1266"/>
      <c r="EEB30" s="1266"/>
      <c r="EEC30" s="1266"/>
      <c r="EED30" s="1266"/>
      <c r="EEE30" s="1266"/>
      <c r="EEF30" s="1266"/>
      <c r="EEG30" s="1266"/>
      <c r="EEH30" s="1266"/>
      <c r="EEI30" s="1266"/>
      <c r="EEJ30" s="1266"/>
      <c r="EEK30" s="1266"/>
      <c r="EEL30" s="1266"/>
      <c r="EEM30" s="1266"/>
      <c r="EEN30" s="1266"/>
      <c r="EEO30" s="1266"/>
      <c r="EEP30" s="1266"/>
      <c r="EEQ30" s="1266"/>
      <c r="EER30" s="1266"/>
      <c r="EES30" s="1266"/>
      <c r="EET30" s="1266"/>
      <c r="EEU30" s="1266"/>
      <c r="EEV30" s="1266"/>
      <c r="EEW30" s="1266"/>
      <c r="EEX30" s="1266"/>
      <c r="EEY30" s="1266"/>
      <c r="EEZ30" s="1266"/>
      <c r="EFA30" s="1266"/>
      <c r="EFB30" s="1266"/>
      <c r="EFC30" s="1266"/>
      <c r="EFD30" s="1266"/>
      <c r="EFE30" s="1266"/>
      <c r="EFF30" s="1266"/>
      <c r="EFG30" s="1266"/>
      <c r="EFH30" s="1266"/>
      <c r="EFI30" s="1266"/>
      <c r="EFJ30" s="1266"/>
      <c r="EFK30" s="1266"/>
      <c r="EFL30" s="1266"/>
      <c r="EFM30" s="1266"/>
      <c r="EFN30" s="1266"/>
      <c r="EFO30" s="1266"/>
      <c r="EFP30" s="1266"/>
      <c r="EFQ30" s="1266"/>
      <c r="EFR30" s="1266"/>
      <c r="EFS30" s="1266"/>
      <c r="EFT30" s="1266"/>
      <c r="EFU30" s="1266"/>
      <c r="EFV30" s="1266"/>
      <c r="EFW30" s="1266"/>
      <c r="EFX30" s="1266"/>
      <c r="EFY30" s="1266"/>
      <c r="EFZ30" s="1266"/>
      <c r="EGA30" s="1266"/>
      <c r="EGB30" s="1266"/>
      <c r="EGC30" s="1266"/>
      <c r="EGD30" s="1266"/>
      <c r="EGE30" s="1266"/>
      <c r="EGF30" s="1266"/>
      <c r="EGG30" s="1266"/>
      <c r="EGH30" s="1266"/>
      <c r="EGI30" s="1266"/>
      <c r="EGJ30" s="1266"/>
      <c r="EGK30" s="1266"/>
      <c r="EGL30" s="1266"/>
      <c r="EGM30" s="1266"/>
      <c r="EGN30" s="1266"/>
      <c r="EGO30" s="1266"/>
      <c r="EGP30" s="1266"/>
      <c r="EGQ30" s="1266"/>
      <c r="EGR30" s="1266"/>
      <c r="EGS30" s="1266"/>
      <c r="EGT30" s="1266"/>
      <c r="EGU30" s="1266"/>
      <c r="EGV30" s="1266"/>
      <c r="EGW30" s="1266"/>
      <c r="EGX30" s="1266"/>
      <c r="EGY30" s="1266"/>
      <c r="EGZ30" s="1266"/>
      <c r="EHA30" s="1266"/>
      <c r="EHB30" s="1266"/>
      <c r="EHC30" s="1266"/>
      <c r="EHD30" s="1266"/>
      <c r="EHE30" s="1266"/>
      <c r="EHF30" s="1266"/>
      <c r="EHG30" s="1266"/>
      <c r="EHH30" s="1266"/>
      <c r="EHI30" s="1266"/>
      <c r="EHJ30" s="1266"/>
      <c r="EHK30" s="1266"/>
      <c r="EHL30" s="1266"/>
      <c r="EHM30" s="1266"/>
      <c r="EHN30" s="1266"/>
      <c r="EHO30" s="1266"/>
      <c r="EHP30" s="1266"/>
      <c r="EHQ30" s="1266"/>
      <c r="EHR30" s="1266"/>
      <c r="EHS30" s="1266"/>
      <c r="EHT30" s="1266"/>
      <c r="EHU30" s="1266"/>
      <c r="EHV30" s="1266"/>
      <c r="EHW30" s="1266"/>
      <c r="EHX30" s="1266"/>
      <c r="EHY30" s="1266"/>
      <c r="EHZ30" s="1266"/>
      <c r="EIA30" s="1266"/>
      <c r="EIB30" s="1266"/>
      <c r="EIC30" s="1266"/>
      <c r="EID30" s="1266"/>
      <c r="EIE30" s="1266"/>
      <c r="EIF30" s="1266"/>
      <c r="EIG30" s="1266"/>
      <c r="EIH30" s="1266"/>
      <c r="EII30" s="1266"/>
      <c r="EIJ30" s="1266"/>
      <c r="EIK30" s="1266"/>
      <c r="EIL30" s="1266"/>
      <c r="EIM30" s="1266"/>
      <c r="EIN30" s="1266"/>
      <c r="EIO30" s="1266"/>
      <c r="EIP30" s="1266"/>
      <c r="EIQ30" s="1266"/>
      <c r="EIR30" s="1266"/>
      <c r="EIS30" s="1266"/>
      <c r="EIT30" s="1266"/>
      <c r="EIU30" s="1266"/>
      <c r="EIV30" s="1266"/>
      <c r="EIW30" s="1266"/>
      <c r="EIX30" s="1266"/>
      <c r="EIY30" s="1266"/>
      <c r="EIZ30" s="1266"/>
      <c r="EJA30" s="1266"/>
      <c r="EJB30" s="1266"/>
      <c r="EJC30" s="1266"/>
      <c r="EJD30" s="1266"/>
      <c r="EJE30" s="1266"/>
      <c r="EJF30" s="1266"/>
      <c r="EJG30" s="1266"/>
      <c r="EJH30" s="1266"/>
      <c r="EJI30" s="1266"/>
      <c r="EJJ30" s="1266"/>
      <c r="EJK30" s="1266"/>
      <c r="EJL30" s="1266"/>
      <c r="EJM30" s="1266"/>
      <c r="EJN30" s="1266"/>
      <c r="EJO30" s="1266"/>
      <c r="EJP30" s="1266"/>
      <c r="EJQ30" s="1266"/>
      <c r="EJR30" s="1266"/>
      <c r="EJS30" s="1266"/>
      <c r="EJT30" s="1266"/>
      <c r="EJU30" s="1266"/>
      <c r="EJV30" s="1266"/>
      <c r="EJW30" s="1266"/>
      <c r="EJX30" s="1266"/>
      <c r="EJY30" s="1266"/>
      <c r="EJZ30" s="1266"/>
      <c r="EKA30" s="1266"/>
      <c r="EKB30" s="1266"/>
      <c r="EKC30" s="1266"/>
      <c r="EKD30" s="1266"/>
      <c r="EKE30" s="1266"/>
      <c r="EKF30" s="1266"/>
      <c r="EKG30" s="1266"/>
      <c r="EKH30" s="1266"/>
      <c r="EKI30" s="1266"/>
      <c r="EKJ30" s="1266"/>
      <c r="EKK30" s="1266"/>
      <c r="EKL30" s="1266"/>
      <c r="EKM30" s="1266"/>
      <c r="EKN30" s="1266"/>
      <c r="EKO30" s="1266"/>
      <c r="EKP30" s="1266"/>
      <c r="EKQ30" s="1266"/>
      <c r="EKR30" s="1266"/>
      <c r="EKS30" s="1266"/>
      <c r="EKT30" s="1266"/>
      <c r="EKU30" s="1266"/>
      <c r="EKV30" s="1266"/>
      <c r="EKW30" s="1266"/>
      <c r="EKX30" s="1266"/>
      <c r="EKY30" s="1266"/>
      <c r="EKZ30" s="1266"/>
      <c r="ELA30" s="1266"/>
      <c r="ELB30" s="1266"/>
      <c r="ELC30" s="1266"/>
      <c r="ELD30" s="1266"/>
      <c r="ELE30" s="1266"/>
      <c r="ELF30" s="1266"/>
      <c r="ELG30" s="1266"/>
      <c r="ELH30" s="1266"/>
      <c r="ELI30" s="1266"/>
      <c r="ELJ30" s="1266"/>
      <c r="ELK30" s="1266"/>
      <c r="ELL30" s="1266"/>
      <c r="ELM30" s="1266"/>
      <c r="ELN30" s="1266"/>
      <c r="ELO30" s="1266"/>
      <c r="ELP30" s="1266"/>
      <c r="ELQ30" s="1266"/>
      <c r="ELR30" s="1266"/>
      <c r="ELS30" s="1266"/>
      <c r="ELT30" s="1266"/>
      <c r="ELU30" s="1266"/>
      <c r="ELV30" s="1266"/>
      <c r="ELW30" s="1266"/>
      <c r="ELX30" s="1266"/>
      <c r="ELY30" s="1266"/>
      <c r="ELZ30" s="1266"/>
      <c r="EMA30" s="1266"/>
      <c r="EMB30" s="1266"/>
      <c r="EMC30" s="1266"/>
      <c r="EMD30" s="1266"/>
      <c r="EME30" s="1266"/>
      <c r="EMF30" s="1266"/>
      <c r="EMG30" s="1266"/>
      <c r="EMH30" s="1266"/>
      <c r="EMI30" s="1266"/>
      <c r="EMJ30" s="1266"/>
      <c r="EMK30" s="1266"/>
      <c r="EML30" s="1266"/>
      <c r="EMM30" s="1266"/>
      <c r="EMN30" s="1266"/>
      <c r="EMO30" s="1266"/>
      <c r="EMP30" s="1266"/>
      <c r="EMQ30" s="1266"/>
      <c r="EMR30" s="1266"/>
      <c r="EMS30" s="1266"/>
      <c r="EMT30" s="1266"/>
      <c r="EMU30" s="1266"/>
      <c r="EMV30" s="1266"/>
      <c r="EMW30" s="1266"/>
      <c r="EMX30" s="1266"/>
      <c r="EMY30" s="1266"/>
      <c r="EMZ30" s="1266"/>
      <c r="ENA30" s="1266"/>
      <c r="ENB30" s="1266"/>
      <c r="ENC30" s="1266"/>
      <c r="END30" s="1266"/>
      <c r="ENE30" s="1266"/>
      <c r="ENF30" s="1266"/>
      <c r="ENG30" s="1266"/>
      <c r="ENH30" s="1266"/>
      <c r="ENI30" s="1266"/>
      <c r="ENJ30" s="1266"/>
      <c r="ENK30" s="1266"/>
      <c r="ENL30" s="1266"/>
      <c r="ENM30" s="1266"/>
      <c r="ENN30" s="1266"/>
      <c r="ENO30" s="1266"/>
      <c r="ENP30" s="1266"/>
      <c r="ENQ30" s="1266"/>
      <c r="ENR30" s="1266"/>
      <c r="ENS30" s="1266"/>
      <c r="ENT30" s="1266"/>
      <c r="ENU30" s="1266"/>
      <c r="ENV30" s="1266"/>
      <c r="ENW30" s="1266"/>
      <c r="ENX30" s="1266"/>
      <c r="ENY30" s="1266"/>
      <c r="ENZ30" s="1266"/>
      <c r="EOA30" s="1266"/>
      <c r="EOB30" s="1266"/>
      <c r="EOC30" s="1266"/>
      <c r="EOD30" s="1266"/>
      <c r="EOE30" s="1266"/>
      <c r="EOF30" s="1266"/>
      <c r="EOG30" s="1266"/>
      <c r="EOH30" s="1266"/>
      <c r="EOI30" s="1266"/>
      <c r="EOJ30" s="1266"/>
      <c r="EOK30" s="1266"/>
      <c r="EOL30" s="1266"/>
      <c r="EOM30" s="1266"/>
      <c r="EON30" s="1266"/>
      <c r="EOO30" s="1266"/>
      <c r="EOP30" s="1266"/>
      <c r="EOQ30" s="1266"/>
      <c r="EOR30" s="1266"/>
      <c r="EOS30" s="1266"/>
      <c r="EOT30" s="1266"/>
      <c r="EOU30" s="1266"/>
      <c r="EOV30" s="1266"/>
      <c r="EOW30" s="1266"/>
      <c r="EOX30" s="1266"/>
      <c r="EOY30" s="1266"/>
      <c r="EOZ30" s="1266"/>
      <c r="EPA30" s="1266"/>
      <c r="EPB30" s="1266"/>
      <c r="EPC30" s="1266"/>
      <c r="EPD30" s="1266"/>
      <c r="EPE30" s="1266"/>
      <c r="EPF30" s="1266"/>
      <c r="EPG30" s="1266"/>
      <c r="EPH30" s="1266"/>
      <c r="EPI30" s="1266"/>
      <c r="EPJ30" s="1266"/>
      <c r="EPK30" s="1266"/>
      <c r="EPL30" s="1266"/>
      <c r="EPM30" s="1266"/>
      <c r="EPN30" s="1266"/>
      <c r="EPO30" s="1266"/>
      <c r="EPP30" s="1266"/>
      <c r="EPQ30" s="1266"/>
      <c r="EPR30" s="1266"/>
      <c r="EPS30" s="1266"/>
      <c r="EPT30" s="1266"/>
      <c r="EPU30" s="1266"/>
      <c r="EPV30" s="1266"/>
      <c r="EPW30" s="1266"/>
      <c r="EPX30" s="1266"/>
      <c r="EPY30" s="1266"/>
      <c r="EPZ30" s="1266"/>
      <c r="EQA30" s="1266"/>
      <c r="EQB30" s="1266"/>
      <c r="EQC30" s="1266"/>
      <c r="EQD30" s="1266"/>
      <c r="EQE30" s="1266"/>
      <c r="EQF30" s="1266"/>
      <c r="EQG30" s="1266"/>
      <c r="EQH30" s="1266"/>
      <c r="EQI30" s="1266"/>
      <c r="EQJ30" s="1266"/>
      <c r="EQK30" s="1266"/>
      <c r="EQL30" s="1266"/>
      <c r="EQM30" s="1266"/>
      <c r="EQN30" s="1266"/>
      <c r="EQO30" s="1266"/>
      <c r="EQP30" s="1266"/>
      <c r="EQQ30" s="1266"/>
      <c r="EQR30" s="1266"/>
      <c r="EQS30" s="1266"/>
      <c r="EQT30" s="1266"/>
      <c r="EQU30" s="1266"/>
      <c r="EQV30" s="1266"/>
      <c r="EQW30" s="1266"/>
      <c r="EQX30" s="1266"/>
      <c r="EQY30" s="1266"/>
      <c r="EQZ30" s="1266"/>
      <c r="ERA30" s="1266"/>
      <c r="ERB30" s="1266"/>
      <c r="ERC30" s="1266"/>
      <c r="ERD30" s="1266"/>
      <c r="ERE30" s="1266"/>
      <c r="ERF30" s="1266"/>
      <c r="ERG30" s="1266"/>
      <c r="ERH30" s="1266"/>
      <c r="ERI30" s="1266"/>
      <c r="ERJ30" s="1266"/>
      <c r="ERK30" s="1266"/>
      <c r="ERL30" s="1266"/>
      <c r="ERM30" s="1266"/>
      <c r="ERN30" s="1266"/>
      <c r="ERO30" s="1266"/>
      <c r="ERP30" s="1266"/>
      <c r="ERQ30" s="1266"/>
      <c r="ERR30" s="1266"/>
      <c r="ERS30" s="1266"/>
      <c r="ERT30" s="1266"/>
      <c r="ERU30" s="1266"/>
      <c r="ERV30" s="1266"/>
      <c r="ERW30" s="1266"/>
      <c r="ERX30" s="1266"/>
      <c r="ERY30" s="1266"/>
      <c r="ERZ30" s="1266"/>
      <c r="ESA30" s="1266"/>
      <c r="ESB30" s="1266"/>
      <c r="ESC30" s="1266"/>
      <c r="ESD30" s="1266"/>
      <c r="ESE30" s="1266"/>
      <c r="ESF30" s="1266"/>
      <c r="ESG30" s="1266"/>
      <c r="ESH30" s="1266"/>
      <c r="ESI30" s="1266"/>
      <c r="ESJ30" s="1266"/>
      <c r="ESK30" s="1266"/>
      <c r="ESL30" s="1266"/>
      <c r="ESM30" s="1266"/>
      <c r="ESN30" s="1266"/>
      <c r="ESO30" s="1266"/>
      <c r="ESP30" s="1266"/>
      <c r="ESQ30" s="1266"/>
      <c r="ESR30" s="1266"/>
      <c r="ESS30" s="1266"/>
      <c r="EST30" s="1266"/>
      <c r="ESU30" s="1266"/>
      <c r="ESV30" s="1266"/>
      <c r="ESW30" s="1266"/>
      <c r="ESX30" s="1266"/>
      <c r="ESY30" s="1266"/>
      <c r="ESZ30" s="1266"/>
      <c r="ETA30" s="1266"/>
      <c r="ETB30" s="1266"/>
      <c r="ETC30" s="1266"/>
      <c r="ETD30" s="1266"/>
      <c r="ETE30" s="1266"/>
      <c r="ETF30" s="1266"/>
      <c r="ETG30" s="1266"/>
      <c r="ETH30" s="1266"/>
      <c r="ETI30" s="1266"/>
      <c r="ETJ30" s="1266"/>
      <c r="ETK30" s="1266"/>
      <c r="ETL30" s="1266"/>
      <c r="ETM30" s="1266"/>
      <c r="ETN30" s="1266"/>
      <c r="ETO30" s="1266"/>
      <c r="ETP30" s="1266"/>
      <c r="ETQ30" s="1266"/>
      <c r="ETR30" s="1266"/>
      <c r="ETS30" s="1266"/>
      <c r="ETT30" s="1266"/>
      <c r="ETU30" s="1266"/>
      <c r="ETV30" s="1266"/>
      <c r="ETW30" s="1266"/>
      <c r="ETX30" s="1266"/>
      <c r="ETY30" s="1266"/>
      <c r="ETZ30" s="1266"/>
      <c r="EUA30" s="1266"/>
      <c r="EUB30" s="1266"/>
      <c r="EUC30" s="1266"/>
      <c r="EUD30" s="1266"/>
      <c r="EUE30" s="1266"/>
      <c r="EUF30" s="1266"/>
      <c r="EUG30" s="1266"/>
      <c r="EUH30" s="1266"/>
      <c r="EUI30" s="1266"/>
      <c r="EUJ30" s="1266"/>
      <c r="EUK30" s="1266"/>
      <c r="EUL30" s="1266"/>
      <c r="EUM30" s="1266"/>
      <c r="EUN30" s="1266"/>
      <c r="EUO30" s="1266"/>
      <c r="EUP30" s="1266"/>
      <c r="EUQ30" s="1266"/>
      <c r="EUR30" s="1266"/>
      <c r="EUS30" s="1266"/>
      <c r="EUT30" s="1266"/>
      <c r="EUU30" s="1266"/>
      <c r="EUV30" s="1266"/>
      <c r="EUW30" s="1266"/>
      <c r="EUX30" s="1266"/>
      <c r="EUY30" s="1266"/>
      <c r="EUZ30" s="1266"/>
      <c r="EVA30" s="1266"/>
      <c r="EVB30" s="1266"/>
      <c r="EVC30" s="1266"/>
      <c r="EVD30" s="1266"/>
      <c r="EVE30" s="1266"/>
      <c r="EVF30" s="1266"/>
      <c r="EVG30" s="1266"/>
      <c r="EVH30" s="1266"/>
      <c r="EVI30" s="1266"/>
      <c r="EVJ30" s="1266"/>
      <c r="EVK30" s="1266"/>
      <c r="EVL30" s="1266"/>
      <c r="EVM30" s="1266"/>
      <c r="EVN30" s="1266"/>
      <c r="EVO30" s="1266"/>
      <c r="EVP30" s="1266"/>
      <c r="EVQ30" s="1266"/>
      <c r="EVR30" s="1266"/>
      <c r="EVS30" s="1266"/>
      <c r="EVT30" s="1266"/>
      <c r="EVU30" s="1266"/>
      <c r="EVV30" s="1266"/>
      <c r="EVW30" s="1266"/>
      <c r="EVX30" s="1266"/>
      <c r="EVY30" s="1266"/>
      <c r="EVZ30" s="1266"/>
      <c r="EWA30" s="1266"/>
      <c r="EWB30" s="1266"/>
      <c r="EWC30" s="1266"/>
      <c r="EWD30" s="1266"/>
      <c r="EWE30" s="1266"/>
      <c r="EWF30" s="1266"/>
      <c r="EWG30" s="1266"/>
      <c r="EWH30" s="1266"/>
      <c r="EWI30" s="1266"/>
      <c r="EWJ30" s="1266"/>
      <c r="EWK30" s="1266"/>
      <c r="EWL30" s="1266"/>
      <c r="EWM30" s="1266"/>
      <c r="EWN30" s="1266"/>
      <c r="EWO30" s="1266"/>
      <c r="EWP30" s="1266"/>
      <c r="EWQ30" s="1266"/>
      <c r="EWR30" s="1266"/>
      <c r="EWS30" s="1266"/>
      <c r="EWT30" s="1266"/>
      <c r="EWU30" s="1266"/>
      <c r="EWV30" s="1266"/>
      <c r="EWW30" s="1266"/>
      <c r="EWX30" s="1266"/>
      <c r="EWY30" s="1266"/>
      <c r="EWZ30" s="1266"/>
      <c r="EXA30" s="1266"/>
      <c r="EXB30" s="1266"/>
      <c r="EXC30" s="1266"/>
      <c r="EXD30" s="1266"/>
      <c r="EXE30" s="1266"/>
      <c r="EXF30" s="1266"/>
      <c r="EXG30" s="1266"/>
      <c r="EXH30" s="1266"/>
      <c r="EXI30" s="1266"/>
      <c r="EXJ30" s="1266"/>
      <c r="EXK30" s="1266"/>
      <c r="EXL30" s="1266"/>
      <c r="EXM30" s="1266"/>
      <c r="EXN30" s="1266"/>
      <c r="EXO30" s="1266"/>
      <c r="EXP30" s="1266"/>
      <c r="EXQ30" s="1266"/>
      <c r="EXR30" s="1266"/>
      <c r="EXS30" s="1266"/>
      <c r="EXT30" s="1266"/>
      <c r="EXU30" s="1266"/>
      <c r="EXV30" s="1266"/>
      <c r="EXW30" s="1266"/>
      <c r="EXX30" s="1266"/>
      <c r="EXY30" s="1266"/>
      <c r="EXZ30" s="1266"/>
      <c r="EYA30" s="1266"/>
      <c r="EYB30" s="1266"/>
      <c r="EYC30" s="1266"/>
      <c r="EYD30" s="1266"/>
      <c r="EYE30" s="1266"/>
      <c r="EYF30" s="1266"/>
      <c r="EYG30" s="1266"/>
      <c r="EYH30" s="1266"/>
      <c r="EYI30" s="1266"/>
      <c r="EYJ30" s="1266"/>
      <c r="EYK30" s="1266"/>
      <c r="EYL30" s="1266"/>
      <c r="EYM30" s="1266"/>
      <c r="EYN30" s="1266"/>
      <c r="EYO30" s="1266"/>
      <c r="EYP30" s="1266"/>
      <c r="EYQ30" s="1266"/>
      <c r="EYR30" s="1266"/>
      <c r="EYS30" s="1266"/>
      <c r="EYT30" s="1266"/>
      <c r="EYU30" s="1266"/>
      <c r="EYV30" s="1266"/>
      <c r="EYW30" s="1266"/>
      <c r="EYX30" s="1266"/>
      <c r="EYY30" s="1266"/>
      <c r="EYZ30" s="1266"/>
      <c r="EZA30" s="1266"/>
      <c r="EZB30" s="1266"/>
      <c r="EZC30" s="1266"/>
      <c r="EZD30" s="1266"/>
      <c r="EZE30" s="1266"/>
      <c r="EZF30" s="1266"/>
      <c r="EZG30" s="1266"/>
      <c r="EZH30" s="1266"/>
      <c r="EZI30" s="1266"/>
      <c r="EZJ30" s="1266"/>
      <c r="EZK30" s="1266"/>
      <c r="EZL30" s="1266"/>
      <c r="EZM30" s="1266"/>
      <c r="EZN30" s="1266"/>
      <c r="EZO30" s="1266"/>
      <c r="EZP30" s="1266"/>
      <c r="EZQ30" s="1266"/>
      <c r="EZR30" s="1266"/>
      <c r="EZS30" s="1266"/>
      <c r="EZT30" s="1266"/>
      <c r="EZU30" s="1266"/>
      <c r="EZV30" s="1266"/>
      <c r="EZW30" s="1266"/>
      <c r="EZX30" s="1266"/>
      <c r="EZY30" s="1266"/>
      <c r="EZZ30" s="1266"/>
      <c r="FAA30" s="1266"/>
      <c r="FAB30" s="1266"/>
      <c r="FAC30" s="1266"/>
      <c r="FAD30" s="1266"/>
      <c r="FAE30" s="1266"/>
      <c r="FAF30" s="1266"/>
      <c r="FAG30" s="1266"/>
      <c r="FAH30" s="1266"/>
      <c r="FAI30" s="1266"/>
      <c r="FAJ30" s="1266"/>
      <c r="FAK30" s="1266"/>
      <c r="FAL30" s="1266"/>
      <c r="FAM30" s="1266"/>
      <c r="FAN30" s="1266"/>
      <c r="FAO30" s="1266"/>
      <c r="FAP30" s="1266"/>
      <c r="FAQ30" s="1266"/>
      <c r="FAR30" s="1266"/>
      <c r="FAS30" s="1266"/>
      <c r="FAT30" s="1266"/>
      <c r="FAU30" s="1266"/>
      <c r="FAV30" s="1266"/>
      <c r="FAW30" s="1266"/>
      <c r="FAX30" s="1266"/>
      <c r="FAY30" s="1266"/>
      <c r="FAZ30" s="1266"/>
      <c r="FBA30" s="1266"/>
      <c r="FBB30" s="1266"/>
      <c r="FBC30" s="1266"/>
      <c r="FBD30" s="1266"/>
      <c r="FBE30" s="1266"/>
      <c r="FBF30" s="1266"/>
      <c r="FBG30" s="1266"/>
      <c r="FBH30" s="1266"/>
      <c r="FBI30" s="1266"/>
      <c r="FBJ30" s="1266"/>
      <c r="FBK30" s="1266"/>
      <c r="FBL30" s="1266"/>
      <c r="FBM30" s="1266"/>
      <c r="FBN30" s="1266"/>
      <c r="FBO30" s="1266"/>
      <c r="FBP30" s="1266"/>
      <c r="FBQ30" s="1266"/>
      <c r="FBR30" s="1266"/>
      <c r="FBS30" s="1266"/>
      <c r="FBT30" s="1266"/>
      <c r="FBU30" s="1266"/>
      <c r="FBV30" s="1266"/>
      <c r="FBW30" s="1266"/>
      <c r="FBX30" s="1266"/>
      <c r="FBY30" s="1266"/>
      <c r="FBZ30" s="1266"/>
      <c r="FCA30" s="1266"/>
      <c r="FCB30" s="1266"/>
      <c r="FCC30" s="1266"/>
      <c r="FCD30" s="1266"/>
      <c r="FCE30" s="1266"/>
      <c r="FCF30" s="1266"/>
      <c r="FCG30" s="1266"/>
      <c r="FCH30" s="1266"/>
      <c r="FCI30" s="1266"/>
      <c r="FCJ30" s="1266"/>
      <c r="FCK30" s="1266"/>
      <c r="FCL30" s="1266"/>
      <c r="FCM30" s="1266"/>
      <c r="FCN30" s="1266"/>
      <c r="FCO30" s="1266"/>
      <c r="FCP30" s="1266"/>
      <c r="FCQ30" s="1266"/>
      <c r="FCR30" s="1266"/>
      <c r="FCS30" s="1266"/>
      <c r="FCT30" s="1266"/>
      <c r="FCU30" s="1266"/>
      <c r="FCV30" s="1266"/>
      <c r="FCW30" s="1266"/>
      <c r="FCX30" s="1266"/>
      <c r="FCY30" s="1266"/>
      <c r="FCZ30" s="1266"/>
      <c r="FDA30" s="1266"/>
      <c r="FDB30" s="1266"/>
      <c r="FDC30" s="1266"/>
      <c r="FDD30" s="1266"/>
      <c r="FDE30" s="1266"/>
      <c r="FDF30" s="1266"/>
      <c r="FDG30" s="1266"/>
      <c r="FDH30" s="1266"/>
      <c r="FDI30" s="1266"/>
      <c r="FDJ30" s="1266"/>
      <c r="FDK30" s="1266"/>
      <c r="FDL30" s="1266"/>
      <c r="FDM30" s="1266"/>
      <c r="FDN30" s="1266"/>
      <c r="FDO30" s="1266"/>
      <c r="FDP30" s="1266"/>
      <c r="FDQ30" s="1266"/>
      <c r="FDR30" s="1266"/>
      <c r="FDS30" s="1266"/>
      <c r="FDT30" s="1266"/>
      <c r="FDU30" s="1266"/>
      <c r="FDV30" s="1266"/>
      <c r="FDW30" s="1266"/>
      <c r="FDX30" s="1266"/>
      <c r="FDY30" s="1266"/>
      <c r="FDZ30" s="1266"/>
      <c r="FEA30" s="1266"/>
      <c r="FEB30" s="1266"/>
      <c r="FEC30" s="1266"/>
      <c r="FED30" s="1266"/>
      <c r="FEE30" s="1266"/>
      <c r="FEF30" s="1266"/>
      <c r="FEG30" s="1266"/>
      <c r="FEH30" s="1266"/>
      <c r="FEI30" s="1266"/>
      <c r="FEJ30" s="1266"/>
      <c r="FEK30" s="1266"/>
      <c r="FEL30" s="1266"/>
      <c r="FEM30" s="1266"/>
      <c r="FEN30" s="1266"/>
      <c r="FEO30" s="1266"/>
      <c r="FEP30" s="1266"/>
      <c r="FEQ30" s="1266"/>
      <c r="FER30" s="1266"/>
      <c r="FES30" s="1266"/>
      <c r="FET30" s="1266"/>
      <c r="FEU30" s="1266"/>
      <c r="FEV30" s="1266"/>
      <c r="FEW30" s="1266"/>
      <c r="FEX30" s="1266"/>
      <c r="FEY30" s="1266"/>
      <c r="FEZ30" s="1266"/>
      <c r="FFA30" s="1266"/>
      <c r="FFB30" s="1266"/>
      <c r="FFC30" s="1266"/>
      <c r="FFD30" s="1266"/>
      <c r="FFE30" s="1266"/>
      <c r="FFF30" s="1266"/>
      <c r="FFG30" s="1266"/>
      <c r="FFH30" s="1266"/>
      <c r="FFI30" s="1266"/>
      <c r="FFJ30" s="1266"/>
      <c r="FFK30" s="1266"/>
      <c r="FFL30" s="1266"/>
      <c r="FFM30" s="1266"/>
      <c r="FFN30" s="1266"/>
      <c r="FFO30" s="1266"/>
      <c r="FFP30" s="1266"/>
      <c r="FFQ30" s="1266"/>
      <c r="FFR30" s="1266"/>
      <c r="FFS30" s="1266"/>
      <c r="FFT30" s="1266"/>
      <c r="FFU30" s="1266"/>
      <c r="FFV30" s="1266"/>
      <c r="FFW30" s="1266"/>
      <c r="FFX30" s="1266"/>
      <c r="FFY30" s="1266"/>
      <c r="FFZ30" s="1266"/>
      <c r="FGA30" s="1266"/>
      <c r="FGB30" s="1266"/>
      <c r="FGC30" s="1266"/>
      <c r="FGD30" s="1266"/>
      <c r="FGE30" s="1266"/>
      <c r="FGF30" s="1266"/>
      <c r="FGG30" s="1266"/>
      <c r="FGH30" s="1266"/>
      <c r="FGI30" s="1266"/>
      <c r="FGJ30" s="1266"/>
      <c r="FGK30" s="1266"/>
      <c r="FGL30" s="1266"/>
      <c r="FGM30" s="1266"/>
      <c r="FGN30" s="1266"/>
      <c r="FGO30" s="1266"/>
      <c r="FGP30" s="1266"/>
      <c r="FGQ30" s="1266"/>
      <c r="FGR30" s="1266"/>
      <c r="FGS30" s="1266"/>
      <c r="FGT30" s="1266"/>
      <c r="FGU30" s="1266"/>
      <c r="FGV30" s="1266"/>
      <c r="FGW30" s="1266"/>
      <c r="FGX30" s="1266"/>
      <c r="FGY30" s="1266"/>
      <c r="FGZ30" s="1266"/>
      <c r="FHA30" s="1266"/>
      <c r="FHB30" s="1266"/>
      <c r="FHC30" s="1266"/>
      <c r="FHD30" s="1266"/>
      <c r="FHE30" s="1266"/>
      <c r="FHF30" s="1266"/>
      <c r="FHG30" s="1266"/>
      <c r="FHH30" s="1266"/>
      <c r="FHI30" s="1266"/>
      <c r="FHJ30" s="1266"/>
      <c r="FHK30" s="1266"/>
      <c r="FHL30" s="1266"/>
      <c r="FHM30" s="1266"/>
      <c r="FHN30" s="1266"/>
      <c r="FHO30" s="1266"/>
      <c r="FHP30" s="1266"/>
      <c r="FHQ30" s="1266"/>
      <c r="FHR30" s="1266"/>
      <c r="FHS30" s="1266"/>
      <c r="FHT30" s="1266"/>
      <c r="FHU30" s="1266"/>
      <c r="FHV30" s="1266"/>
      <c r="FHW30" s="1266"/>
      <c r="FHX30" s="1266"/>
      <c r="FHY30" s="1266"/>
      <c r="FHZ30" s="1266"/>
      <c r="FIA30" s="1266"/>
      <c r="FIB30" s="1266"/>
      <c r="FIC30" s="1266"/>
      <c r="FID30" s="1266"/>
      <c r="FIE30" s="1266"/>
      <c r="FIF30" s="1266"/>
      <c r="FIG30" s="1266"/>
      <c r="FIH30" s="1266"/>
      <c r="FII30" s="1266"/>
      <c r="FIJ30" s="1266"/>
      <c r="FIK30" s="1266"/>
      <c r="FIL30" s="1266"/>
      <c r="FIM30" s="1266"/>
      <c r="FIN30" s="1266"/>
      <c r="FIO30" s="1266"/>
      <c r="FIP30" s="1266"/>
      <c r="FIQ30" s="1266"/>
      <c r="FIR30" s="1266"/>
      <c r="FIS30" s="1266"/>
      <c r="FIT30" s="1266"/>
      <c r="FIU30" s="1266"/>
      <c r="FIV30" s="1266"/>
      <c r="FIW30" s="1266"/>
      <c r="FIX30" s="1266"/>
      <c r="FIY30" s="1266"/>
      <c r="FIZ30" s="1266"/>
      <c r="FJA30" s="1266"/>
      <c r="FJB30" s="1266"/>
      <c r="FJC30" s="1266"/>
      <c r="FJD30" s="1266"/>
      <c r="FJE30" s="1266"/>
      <c r="FJF30" s="1266"/>
      <c r="FJG30" s="1266"/>
      <c r="FJH30" s="1266"/>
      <c r="FJI30" s="1266"/>
      <c r="FJJ30" s="1266"/>
      <c r="FJK30" s="1266"/>
      <c r="FJL30" s="1266"/>
      <c r="FJM30" s="1266"/>
      <c r="FJN30" s="1266"/>
      <c r="FJO30" s="1266"/>
      <c r="FJP30" s="1266"/>
      <c r="FJQ30" s="1266"/>
      <c r="FJR30" s="1266"/>
      <c r="FJS30" s="1266"/>
      <c r="FJT30" s="1266"/>
      <c r="FJU30" s="1266"/>
      <c r="FJV30" s="1266"/>
      <c r="FJW30" s="1266"/>
      <c r="FJX30" s="1266"/>
      <c r="FJY30" s="1266"/>
      <c r="FJZ30" s="1266"/>
      <c r="FKA30" s="1266"/>
      <c r="FKB30" s="1266"/>
      <c r="FKC30" s="1266"/>
      <c r="FKD30" s="1266"/>
      <c r="FKE30" s="1266"/>
      <c r="FKF30" s="1266"/>
      <c r="FKG30" s="1266"/>
      <c r="FKH30" s="1266"/>
      <c r="FKI30" s="1266"/>
      <c r="FKJ30" s="1266"/>
      <c r="FKK30" s="1266"/>
      <c r="FKL30" s="1266"/>
      <c r="FKM30" s="1266"/>
      <c r="FKN30" s="1266"/>
      <c r="FKO30" s="1266"/>
      <c r="FKP30" s="1266"/>
      <c r="FKQ30" s="1266"/>
      <c r="FKR30" s="1266"/>
      <c r="FKS30" s="1266"/>
      <c r="FKT30" s="1266"/>
      <c r="FKU30" s="1266"/>
      <c r="FKV30" s="1266"/>
      <c r="FKW30" s="1266"/>
      <c r="FKX30" s="1266"/>
      <c r="FKY30" s="1266"/>
      <c r="FKZ30" s="1266"/>
      <c r="FLA30" s="1266"/>
      <c r="FLB30" s="1266"/>
      <c r="FLC30" s="1266"/>
      <c r="FLD30" s="1266"/>
      <c r="FLE30" s="1266"/>
      <c r="FLF30" s="1266"/>
      <c r="FLG30" s="1266"/>
      <c r="FLH30" s="1266"/>
      <c r="FLI30" s="1266"/>
      <c r="FLJ30" s="1266"/>
      <c r="FLK30" s="1266"/>
      <c r="FLL30" s="1266"/>
      <c r="FLM30" s="1266"/>
      <c r="FLN30" s="1266"/>
      <c r="FLO30" s="1266"/>
      <c r="FLP30" s="1266"/>
      <c r="FLQ30" s="1266"/>
      <c r="FLR30" s="1266"/>
      <c r="FLS30" s="1266"/>
      <c r="FLT30" s="1266"/>
      <c r="FLU30" s="1266"/>
      <c r="FLV30" s="1266"/>
      <c r="FLW30" s="1266"/>
      <c r="FLX30" s="1266"/>
      <c r="FLY30" s="1266"/>
      <c r="FLZ30" s="1266"/>
      <c r="FMA30" s="1266"/>
      <c r="FMB30" s="1266"/>
      <c r="FMC30" s="1266"/>
      <c r="FMD30" s="1266"/>
      <c r="FME30" s="1266"/>
      <c r="FMF30" s="1266"/>
      <c r="FMG30" s="1266"/>
      <c r="FMH30" s="1266"/>
      <c r="FMI30" s="1266"/>
      <c r="FMJ30" s="1266"/>
      <c r="FMK30" s="1266"/>
      <c r="FML30" s="1266"/>
      <c r="FMM30" s="1266"/>
      <c r="FMN30" s="1266"/>
      <c r="FMO30" s="1266"/>
      <c r="FMP30" s="1266"/>
      <c r="FMQ30" s="1266"/>
      <c r="FMR30" s="1266"/>
      <c r="FMS30" s="1266"/>
      <c r="FMT30" s="1266"/>
      <c r="FMU30" s="1266"/>
      <c r="FMV30" s="1266"/>
      <c r="FMW30" s="1266"/>
      <c r="FMX30" s="1266"/>
      <c r="FMY30" s="1266"/>
      <c r="FMZ30" s="1266"/>
      <c r="FNA30" s="1266"/>
      <c r="FNB30" s="1266"/>
      <c r="FNC30" s="1266"/>
      <c r="FND30" s="1266"/>
      <c r="FNE30" s="1266"/>
      <c r="FNF30" s="1266"/>
      <c r="FNG30" s="1266"/>
      <c r="FNH30" s="1266"/>
      <c r="FNI30" s="1266"/>
      <c r="FNJ30" s="1266"/>
      <c r="FNK30" s="1266"/>
      <c r="FNL30" s="1266"/>
      <c r="FNM30" s="1266"/>
      <c r="FNN30" s="1266"/>
      <c r="FNO30" s="1266"/>
      <c r="FNP30" s="1266"/>
      <c r="FNQ30" s="1266"/>
      <c r="FNR30" s="1266"/>
      <c r="FNS30" s="1266"/>
      <c r="FNT30" s="1266"/>
      <c r="FNU30" s="1266"/>
      <c r="FNV30" s="1266"/>
      <c r="FNW30" s="1266"/>
      <c r="FNX30" s="1266"/>
      <c r="FNY30" s="1266"/>
      <c r="FNZ30" s="1266"/>
      <c r="FOA30" s="1266"/>
      <c r="FOB30" s="1266"/>
      <c r="FOC30" s="1266"/>
      <c r="FOD30" s="1266"/>
      <c r="FOE30" s="1266"/>
      <c r="FOF30" s="1266"/>
      <c r="FOG30" s="1266"/>
      <c r="FOH30" s="1266"/>
      <c r="FOI30" s="1266"/>
      <c r="FOJ30" s="1266"/>
      <c r="FOK30" s="1266"/>
      <c r="FOL30" s="1266"/>
      <c r="FOM30" s="1266"/>
      <c r="FON30" s="1266"/>
      <c r="FOO30" s="1266"/>
      <c r="FOP30" s="1266"/>
      <c r="FOQ30" s="1266"/>
      <c r="FOR30" s="1266"/>
      <c r="FOS30" s="1266"/>
      <c r="FOT30" s="1266"/>
      <c r="FOU30" s="1266"/>
      <c r="FOV30" s="1266"/>
      <c r="FOW30" s="1266"/>
      <c r="FOX30" s="1266"/>
      <c r="FOY30" s="1266"/>
      <c r="FOZ30" s="1266"/>
      <c r="FPA30" s="1266"/>
      <c r="FPB30" s="1266"/>
      <c r="FPC30" s="1266"/>
      <c r="FPD30" s="1266"/>
      <c r="FPE30" s="1266"/>
      <c r="FPF30" s="1266"/>
      <c r="FPG30" s="1266"/>
      <c r="FPH30" s="1266"/>
      <c r="FPI30" s="1266"/>
      <c r="FPJ30" s="1266"/>
      <c r="FPK30" s="1266"/>
      <c r="FPL30" s="1266"/>
      <c r="FPM30" s="1266"/>
      <c r="FPN30" s="1266"/>
      <c r="FPO30" s="1266"/>
      <c r="FPP30" s="1266"/>
      <c r="FPQ30" s="1266"/>
      <c r="FPR30" s="1266"/>
      <c r="FPS30" s="1266"/>
      <c r="FPT30" s="1266"/>
      <c r="FPU30" s="1266"/>
      <c r="FPV30" s="1266"/>
      <c r="FPW30" s="1266"/>
      <c r="FPX30" s="1266"/>
      <c r="FPY30" s="1266"/>
      <c r="FPZ30" s="1266"/>
      <c r="FQA30" s="1266"/>
      <c r="FQB30" s="1266"/>
      <c r="FQC30" s="1266"/>
      <c r="FQD30" s="1266"/>
      <c r="FQE30" s="1266"/>
      <c r="FQF30" s="1266"/>
      <c r="FQG30" s="1266"/>
      <c r="FQH30" s="1266"/>
      <c r="FQI30" s="1266"/>
      <c r="FQJ30" s="1266"/>
      <c r="FQK30" s="1266"/>
      <c r="FQL30" s="1266"/>
      <c r="FQM30" s="1266"/>
      <c r="FQN30" s="1266"/>
      <c r="FQO30" s="1266"/>
      <c r="FQP30" s="1266"/>
      <c r="FQQ30" s="1266"/>
      <c r="FQR30" s="1266"/>
      <c r="FQS30" s="1266"/>
      <c r="FQT30" s="1266"/>
      <c r="FQU30" s="1266"/>
      <c r="FQV30" s="1266"/>
      <c r="FQW30" s="1266"/>
      <c r="FQX30" s="1266"/>
      <c r="FQY30" s="1266"/>
      <c r="FQZ30" s="1266"/>
      <c r="FRA30" s="1266"/>
      <c r="FRB30" s="1266"/>
      <c r="FRC30" s="1266"/>
      <c r="FRD30" s="1266"/>
      <c r="FRE30" s="1266"/>
      <c r="FRF30" s="1266"/>
      <c r="FRG30" s="1266"/>
      <c r="FRH30" s="1266"/>
      <c r="FRI30" s="1266"/>
      <c r="FRJ30" s="1266"/>
      <c r="FRK30" s="1266"/>
      <c r="FRL30" s="1266"/>
      <c r="FRM30" s="1266"/>
      <c r="FRN30" s="1266"/>
      <c r="FRO30" s="1266"/>
      <c r="FRP30" s="1266"/>
      <c r="FRQ30" s="1266"/>
      <c r="FRR30" s="1266"/>
      <c r="FRS30" s="1266"/>
      <c r="FRT30" s="1266"/>
      <c r="FRU30" s="1266"/>
      <c r="FRV30" s="1266"/>
      <c r="FRW30" s="1266"/>
      <c r="FRX30" s="1266"/>
      <c r="FRY30" s="1266"/>
      <c r="FRZ30" s="1266"/>
      <c r="FSA30" s="1266"/>
      <c r="FSB30" s="1266"/>
      <c r="FSC30" s="1266"/>
      <c r="FSD30" s="1266"/>
      <c r="FSE30" s="1266"/>
      <c r="FSF30" s="1266"/>
      <c r="FSG30" s="1266"/>
      <c r="FSH30" s="1266"/>
      <c r="FSI30" s="1266"/>
      <c r="FSJ30" s="1266"/>
      <c r="FSK30" s="1266"/>
      <c r="FSL30" s="1266"/>
      <c r="FSM30" s="1266"/>
      <c r="FSN30" s="1266"/>
      <c r="FSO30" s="1266"/>
      <c r="FSP30" s="1266"/>
      <c r="FSQ30" s="1266"/>
      <c r="FSR30" s="1266"/>
      <c r="FSS30" s="1266"/>
      <c r="FST30" s="1266"/>
      <c r="FSU30" s="1266"/>
      <c r="FSV30" s="1266"/>
      <c r="FSW30" s="1266"/>
      <c r="FSX30" s="1266"/>
      <c r="FSY30" s="1266"/>
      <c r="FSZ30" s="1266"/>
      <c r="FTA30" s="1266"/>
      <c r="FTB30" s="1266"/>
      <c r="FTC30" s="1266"/>
      <c r="FTD30" s="1266"/>
      <c r="FTE30" s="1266"/>
      <c r="FTF30" s="1266"/>
      <c r="FTG30" s="1266"/>
      <c r="FTH30" s="1266"/>
      <c r="FTI30" s="1266"/>
      <c r="FTJ30" s="1266"/>
      <c r="FTK30" s="1266"/>
      <c r="FTL30" s="1266"/>
      <c r="FTM30" s="1266"/>
      <c r="FTN30" s="1266"/>
      <c r="FTO30" s="1266"/>
      <c r="FTP30" s="1266"/>
      <c r="FTQ30" s="1266"/>
      <c r="FTR30" s="1266"/>
      <c r="FTS30" s="1266"/>
      <c r="FTT30" s="1266"/>
      <c r="FTU30" s="1266"/>
      <c r="FTV30" s="1266"/>
      <c r="FTW30" s="1266"/>
      <c r="FTX30" s="1266"/>
      <c r="FTY30" s="1266"/>
      <c r="FTZ30" s="1266"/>
      <c r="FUA30" s="1266"/>
      <c r="FUB30" s="1266"/>
      <c r="FUC30" s="1266"/>
      <c r="FUD30" s="1266"/>
      <c r="FUE30" s="1266"/>
      <c r="FUF30" s="1266"/>
      <c r="FUG30" s="1266"/>
      <c r="FUH30" s="1266"/>
      <c r="FUI30" s="1266"/>
      <c r="FUJ30" s="1266"/>
      <c r="FUK30" s="1266"/>
      <c r="FUL30" s="1266"/>
      <c r="FUM30" s="1266"/>
      <c r="FUN30" s="1266"/>
      <c r="FUO30" s="1266"/>
      <c r="FUP30" s="1266"/>
      <c r="FUQ30" s="1266"/>
      <c r="FUR30" s="1266"/>
      <c r="FUS30" s="1266"/>
      <c r="FUT30" s="1266"/>
      <c r="FUU30" s="1266"/>
      <c r="FUV30" s="1266"/>
      <c r="FUW30" s="1266"/>
      <c r="FUX30" s="1266"/>
      <c r="FUY30" s="1266"/>
      <c r="FUZ30" s="1266"/>
      <c r="FVA30" s="1266"/>
      <c r="FVB30" s="1266"/>
      <c r="FVC30" s="1266"/>
      <c r="FVD30" s="1266"/>
      <c r="FVE30" s="1266"/>
      <c r="FVF30" s="1266"/>
      <c r="FVG30" s="1266"/>
      <c r="FVH30" s="1266"/>
      <c r="FVI30" s="1266"/>
      <c r="FVJ30" s="1266"/>
      <c r="FVK30" s="1266"/>
      <c r="FVL30" s="1266"/>
      <c r="FVM30" s="1266"/>
      <c r="FVN30" s="1266"/>
      <c r="FVO30" s="1266"/>
      <c r="FVP30" s="1266"/>
      <c r="FVQ30" s="1266"/>
      <c r="FVR30" s="1266"/>
      <c r="FVS30" s="1266"/>
      <c r="FVT30" s="1266"/>
      <c r="FVU30" s="1266"/>
      <c r="FVV30" s="1266"/>
      <c r="FVW30" s="1266"/>
      <c r="FVX30" s="1266"/>
      <c r="FVY30" s="1266"/>
      <c r="FVZ30" s="1266"/>
      <c r="FWA30" s="1266"/>
      <c r="FWB30" s="1266"/>
      <c r="FWC30" s="1266"/>
      <c r="FWD30" s="1266"/>
      <c r="FWE30" s="1266"/>
      <c r="FWF30" s="1266"/>
      <c r="FWG30" s="1266"/>
      <c r="FWH30" s="1266"/>
      <c r="FWI30" s="1266"/>
      <c r="FWJ30" s="1266"/>
      <c r="FWK30" s="1266"/>
      <c r="FWL30" s="1266"/>
      <c r="FWM30" s="1266"/>
      <c r="FWN30" s="1266"/>
      <c r="FWO30" s="1266"/>
      <c r="FWP30" s="1266"/>
      <c r="FWQ30" s="1266"/>
      <c r="FWR30" s="1266"/>
      <c r="FWS30" s="1266"/>
      <c r="FWT30" s="1266"/>
      <c r="FWU30" s="1266"/>
      <c r="FWV30" s="1266"/>
      <c r="FWW30" s="1266"/>
      <c r="FWX30" s="1266"/>
      <c r="FWY30" s="1266"/>
      <c r="FWZ30" s="1266"/>
      <c r="FXA30" s="1266"/>
      <c r="FXB30" s="1266"/>
      <c r="FXC30" s="1266"/>
      <c r="FXD30" s="1266"/>
      <c r="FXE30" s="1266"/>
      <c r="FXF30" s="1266"/>
      <c r="FXG30" s="1266"/>
      <c r="FXH30" s="1266"/>
      <c r="FXI30" s="1266"/>
      <c r="FXJ30" s="1266"/>
      <c r="FXK30" s="1266"/>
      <c r="FXL30" s="1266"/>
      <c r="FXM30" s="1266"/>
      <c r="FXN30" s="1266"/>
      <c r="FXO30" s="1266"/>
      <c r="FXP30" s="1266"/>
      <c r="FXQ30" s="1266"/>
      <c r="FXR30" s="1266"/>
      <c r="FXS30" s="1266"/>
      <c r="FXT30" s="1266"/>
      <c r="FXU30" s="1266"/>
      <c r="FXV30" s="1266"/>
      <c r="FXW30" s="1266"/>
      <c r="FXX30" s="1266"/>
      <c r="FXY30" s="1266"/>
      <c r="FXZ30" s="1266"/>
      <c r="FYA30" s="1266"/>
      <c r="FYB30" s="1266"/>
      <c r="FYC30" s="1266"/>
      <c r="FYD30" s="1266"/>
      <c r="FYE30" s="1266"/>
      <c r="FYF30" s="1266"/>
      <c r="FYG30" s="1266"/>
      <c r="FYH30" s="1266"/>
      <c r="FYI30" s="1266"/>
      <c r="FYJ30" s="1266"/>
      <c r="FYK30" s="1266"/>
      <c r="FYL30" s="1266"/>
      <c r="FYM30" s="1266"/>
      <c r="FYN30" s="1266"/>
      <c r="FYO30" s="1266"/>
      <c r="FYP30" s="1266"/>
      <c r="FYQ30" s="1266"/>
      <c r="FYR30" s="1266"/>
      <c r="FYS30" s="1266"/>
      <c r="FYT30" s="1266"/>
      <c r="FYU30" s="1266"/>
      <c r="FYV30" s="1266"/>
      <c r="FYW30" s="1266"/>
      <c r="FYX30" s="1266"/>
      <c r="FYY30" s="1266"/>
      <c r="FYZ30" s="1266"/>
      <c r="FZA30" s="1266"/>
      <c r="FZB30" s="1266"/>
      <c r="FZC30" s="1266"/>
      <c r="FZD30" s="1266"/>
      <c r="FZE30" s="1266"/>
      <c r="FZF30" s="1266"/>
      <c r="FZG30" s="1266"/>
      <c r="FZH30" s="1266"/>
      <c r="FZI30" s="1266"/>
      <c r="FZJ30" s="1266"/>
      <c r="FZK30" s="1266"/>
      <c r="FZL30" s="1266"/>
      <c r="FZM30" s="1266"/>
      <c r="FZN30" s="1266"/>
      <c r="FZO30" s="1266"/>
      <c r="FZP30" s="1266"/>
      <c r="FZQ30" s="1266"/>
      <c r="FZR30" s="1266"/>
      <c r="FZS30" s="1266"/>
      <c r="FZT30" s="1266"/>
      <c r="FZU30" s="1266"/>
      <c r="FZV30" s="1266"/>
      <c r="FZW30" s="1266"/>
      <c r="FZX30" s="1266"/>
      <c r="FZY30" s="1266"/>
      <c r="FZZ30" s="1266"/>
      <c r="GAA30" s="1266"/>
      <c r="GAB30" s="1266"/>
      <c r="GAC30" s="1266"/>
      <c r="GAD30" s="1266"/>
      <c r="GAE30" s="1266"/>
      <c r="GAF30" s="1266"/>
      <c r="GAG30" s="1266"/>
      <c r="GAH30" s="1266"/>
      <c r="GAI30" s="1266"/>
      <c r="GAJ30" s="1266"/>
      <c r="GAK30" s="1266"/>
      <c r="GAL30" s="1266"/>
      <c r="GAM30" s="1266"/>
      <c r="GAN30" s="1266"/>
      <c r="GAO30" s="1266"/>
      <c r="GAP30" s="1266"/>
      <c r="GAQ30" s="1266"/>
      <c r="GAR30" s="1266"/>
      <c r="GAS30" s="1266"/>
      <c r="GAT30" s="1266"/>
      <c r="GAU30" s="1266"/>
      <c r="GAV30" s="1266"/>
      <c r="GAW30" s="1266"/>
      <c r="GAX30" s="1266"/>
      <c r="GAY30" s="1266"/>
      <c r="GAZ30" s="1266"/>
      <c r="GBA30" s="1266"/>
      <c r="GBB30" s="1266"/>
      <c r="GBC30" s="1266"/>
      <c r="GBD30" s="1266"/>
      <c r="GBE30" s="1266"/>
      <c r="GBF30" s="1266"/>
      <c r="GBG30" s="1266"/>
      <c r="GBH30" s="1266"/>
      <c r="GBI30" s="1266"/>
      <c r="GBJ30" s="1266"/>
      <c r="GBK30" s="1266"/>
      <c r="GBL30" s="1266"/>
      <c r="GBM30" s="1266"/>
      <c r="GBN30" s="1266"/>
      <c r="GBO30" s="1266"/>
      <c r="GBP30" s="1266"/>
      <c r="GBQ30" s="1266"/>
      <c r="GBR30" s="1266"/>
      <c r="GBS30" s="1266"/>
      <c r="GBT30" s="1266"/>
      <c r="GBU30" s="1266"/>
      <c r="GBV30" s="1266"/>
      <c r="GBW30" s="1266"/>
      <c r="GBX30" s="1266"/>
      <c r="GBY30" s="1266"/>
      <c r="GBZ30" s="1266"/>
      <c r="GCA30" s="1266"/>
      <c r="GCB30" s="1266"/>
      <c r="GCC30" s="1266"/>
      <c r="GCD30" s="1266"/>
      <c r="GCE30" s="1266"/>
      <c r="GCF30" s="1266"/>
      <c r="GCG30" s="1266"/>
      <c r="GCH30" s="1266"/>
      <c r="GCI30" s="1266"/>
      <c r="GCJ30" s="1266"/>
      <c r="GCK30" s="1266"/>
      <c r="GCL30" s="1266"/>
      <c r="GCM30" s="1266"/>
      <c r="GCN30" s="1266"/>
      <c r="GCO30" s="1266"/>
      <c r="GCP30" s="1266"/>
      <c r="GCQ30" s="1266"/>
      <c r="GCR30" s="1266"/>
      <c r="GCS30" s="1266"/>
      <c r="GCT30" s="1266"/>
      <c r="GCU30" s="1266"/>
      <c r="GCV30" s="1266"/>
      <c r="GCW30" s="1266"/>
      <c r="GCX30" s="1266"/>
      <c r="GCY30" s="1266"/>
      <c r="GCZ30" s="1266"/>
      <c r="GDA30" s="1266"/>
      <c r="GDB30" s="1266"/>
      <c r="GDC30" s="1266"/>
      <c r="GDD30" s="1266"/>
      <c r="GDE30" s="1266"/>
      <c r="GDF30" s="1266"/>
      <c r="GDG30" s="1266"/>
      <c r="GDH30" s="1266"/>
      <c r="GDI30" s="1266"/>
      <c r="GDJ30" s="1266"/>
      <c r="GDK30" s="1266"/>
      <c r="GDL30" s="1266"/>
      <c r="GDM30" s="1266"/>
      <c r="GDN30" s="1266"/>
      <c r="GDO30" s="1266"/>
      <c r="GDP30" s="1266"/>
      <c r="GDQ30" s="1266"/>
      <c r="GDR30" s="1266"/>
      <c r="GDS30" s="1266"/>
      <c r="GDT30" s="1266"/>
      <c r="GDU30" s="1266"/>
      <c r="GDV30" s="1266"/>
      <c r="GDW30" s="1266"/>
      <c r="GDX30" s="1266"/>
      <c r="GDY30" s="1266"/>
      <c r="GDZ30" s="1266"/>
      <c r="GEA30" s="1266"/>
      <c r="GEB30" s="1266"/>
      <c r="GEC30" s="1266"/>
      <c r="GED30" s="1266"/>
      <c r="GEE30" s="1266"/>
      <c r="GEF30" s="1266"/>
      <c r="GEG30" s="1266"/>
      <c r="GEH30" s="1266"/>
      <c r="GEI30" s="1266"/>
      <c r="GEJ30" s="1266"/>
      <c r="GEK30" s="1266"/>
      <c r="GEL30" s="1266"/>
      <c r="GEM30" s="1266"/>
      <c r="GEN30" s="1266"/>
      <c r="GEO30" s="1266"/>
      <c r="GEP30" s="1266"/>
      <c r="GEQ30" s="1266"/>
      <c r="GER30" s="1266"/>
      <c r="GES30" s="1266"/>
      <c r="GET30" s="1266"/>
      <c r="GEU30" s="1266"/>
      <c r="GEV30" s="1266"/>
      <c r="GEW30" s="1266"/>
      <c r="GEX30" s="1266"/>
      <c r="GEY30" s="1266"/>
      <c r="GEZ30" s="1266"/>
      <c r="GFA30" s="1266"/>
      <c r="GFB30" s="1266"/>
      <c r="GFC30" s="1266"/>
      <c r="GFD30" s="1266"/>
      <c r="GFE30" s="1266"/>
      <c r="GFF30" s="1266"/>
      <c r="GFG30" s="1266"/>
      <c r="GFH30" s="1266"/>
      <c r="GFI30" s="1266"/>
      <c r="GFJ30" s="1266"/>
      <c r="GFK30" s="1266"/>
      <c r="GFL30" s="1266"/>
      <c r="GFM30" s="1266"/>
      <c r="GFN30" s="1266"/>
      <c r="GFO30" s="1266"/>
      <c r="GFP30" s="1266"/>
      <c r="GFQ30" s="1266"/>
      <c r="GFR30" s="1266"/>
      <c r="GFS30" s="1266"/>
      <c r="GFT30" s="1266"/>
      <c r="GFU30" s="1266"/>
      <c r="GFV30" s="1266"/>
      <c r="GFW30" s="1266"/>
      <c r="GFX30" s="1266"/>
      <c r="GFY30" s="1266"/>
      <c r="GFZ30" s="1266"/>
      <c r="GGA30" s="1266"/>
      <c r="GGB30" s="1266"/>
      <c r="GGC30" s="1266"/>
      <c r="GGD30" s="1266"/>
      <c r="GGE30" s="1266"/>
      <c r="GGF30" s="1266"/>
      <c r="GGG30" s="1266"/>
      <c r="GGH30" s="1266"/>
      <c r="GGI30" s="1266"/>
      <c r="GGJ30" s="1266"/>
      <c r="GGK30" s="1266"/>
      <c r="GGL30" s="1266"/>
      <c r="GGM30" s="1266"/>
      <c r="GGN30" s="1266"/>
      <c r="GGO30" s="1266"/>
      <c r="GGP30" s="1266"/>
      <c r="GGQ30" s="1266"/>
      <c r="GGR30" s="1266"/>
      <c r="GGS30" s="1266"/>
      <c r="GGT30" s="1266"/>
      <c r="GGU30" s="1266"/>
      <c r="GGV30" s="1266"/>
      <c r="GGW30" s="1266"/>
      <c r="GGX30" s="1266"/>
      <c r="GGY30" s="1266"/>
      <c r="GGZ30" s="1266"/>
      <c r="GHA30" s="1266"/>
      <c r="GHB30" s="1266"/>
      <c r="GHC30" s="1266"/>
      <c r="GHD30" s="1266"/>
      <c r="GHE30" s="1266"/>
      <c r="GHF30" s="1266"/>
      <c r="GHG30" s="1266"/>
      <c r="GHH30" s="1266"/>
      <c r="GHI30" s="1266"/>
      <c r="GHJ30" s="1266"/>
      <c r="GHK30" s="1266"/>
      <c r="GHL30" s="1266"/>
      <c r="GHM30" s="1266"/>
      <c r="GHN30" s="1266"/>
      <c r="GHO30" s="1266"/>
      <c r="GHP30" s="1266"/>
      <c r="GHQ30" s="1266"/>
      <c r="GHR30" s="1266"/>
      <c r="GHS30" s="1266"/>
      <c r="GHT30" s="1266"/>
      <c r="GHU30" s="1266"/>
      <c r="GHV30" s="1266"/>
      <c r="GHW30" s="1266"/>
      <c r="GHX30" s="1266"/>
      <c r="GHY30" s="1266"/>
      <c r="GHZ30" s="1266"/>
      <c r="GIA30" s="1266"/>
      <c r="GIB30" s="1266"/>
      <c r="GIC30" s="1266"/>
      <c r="GID30" s="1266"/>
      <c r="GIE30" s="1266"/>
      <c r="GIF30" s="1266"/>
      <c r="GIG30" s="1266"/>
      <c r="GIH30" s="1266"/>
      <c r="GII30" s="1266"/>
      <c r="GIJ30" s="1266"/>
      <c r="GIK30" s="1266"/>
      <c r="GIL30" s="1266"/>
      <c r="GIM30" s="1266"/>
      <c r="GIN30" s="1266"/>
      <c r="GIO30" s="1266"/>
      <c r="GIP30" s="1266"/>
      <c r="GIQ30" s="1266"/>
      <c r="GIR30" s="1266"/>
      <c r="GIS30" s="1266"/>
      <c r="GIT30" s="1266"/>
      <c r="GIU30" s="1266"/>
      <c r="GIV30" s="1266"/>
      <c r="GIW30" s="1266"/>
      <c r="GIX30" s="1266"/>
      <c r="GIY30" s="1266"/>
      <c r="GIZ30" s="1266"/>
      <c r="GJA30" s="1266"/>
      <c r="GJB30" s="1266"/>
      <c r="GJC30" s="1266"/>
      <c r="GJD30" s="1266"/>
      <c r="GJE30" s="1266"/>
      <c r="GJF30" s="1266"/>
      <c r="GJG30" s="1266"/>
      <c r="GJH30" s="1266"/>
      <c r="GJI30" s="1266"/>
      <c r="GJJ30" s="1266"/>
      <c r="GJK30" s="1266"/>
      <c r="GJL30" s="1266"/>
      <c r="GJM30" s="1266"/>
      <c r="GJN30" s="1266"/>
      <c r="GJO30" s="1266"/>
      <c r="GJP30" s="1266"/>
      <c r="GJQ30" s="1266"/>
      <c r="GJR30" s="1266"/>
      <c r="GJS30" s="1266"/>
      <c r="GJT30" s="1266"/>
      <c r="GJU30" s="1266"/>
      <c r="GJV30" s="1266"/>
      <c r="GJW30" s="1266"/>
      <c r="GJX30" s="1266"/>
      <c r="GJY30" s="1266"/>
      <c r="GJZ30" s="1266"/>
      <c r="GKA30" s="1266"/>
      <c r="GKB30" s="1266"/>
      <c r="GKC30" s="1266"/>
      <c r="GKD30" s="1266"/>
      <c r="GKE30" s="1266"/>
      <c r="GKF30" s="1266"/>
      <c r="GKG30" s="1266"/>
      <c r="GKH30" s="1266"/>
      <c r="GKI30" s="1266"/>
      <c r="GKJ30" s="1266"/>
      <c r="GKK30" s="1266"/>
      <c r="GKL30" s="1266"/>
      <c r="GKM30" s="1266"/>
      <c r="GKN30" s="1266"/>
      <c r="GKO30" s="1266"/>
      <c r="GKP30" s="1266"/>
      <c r="GKQ30" s="1266"/>
      <c r="GKR30" s="1266"/>
      <c r="GKS30" s="1266"/>
      <c r="GKT30" s="1266"/>
      <c r="GKU30" s="1266"/>
      <c r="GKV30" s="1266"/>
      <c r="GKW30" s="1266"/>
      <c r="GKX30" s="1266"/>
      <c r="GKY30" s="1266"/>
      <c r="GKZ30" s="1266"/>
      <c r="GLA30" s="1266"/>
      <c r="GLB30" s="1266"/>
      <c r="GLC30" s="1266"/>
      <c r="GLD30" s="1266"/>
      <c r="GLE30" s="1266"/>
      <c r="GLF30" s="1266"/>
      <c r="GLG30" s="1266"/>
      <c r="GLH30" s="1266"/>
      <c r="GLI30" s="1266"/>
      <c r="GLJ30" s="1266"/>
      <c r="GLK30" s="1266"/>
      <c r="GLL30" s="1266"/>
      <c r="GLM30" s="1266"/>
      <c r="GLN30" s="1266"/>
      <c r="GLO30" s="1266"/>
      <c r="GLP30" s="1266"/>
      <c r="GLQ30" s="1266"/>
      <c r="GLR30" s="1266"/>
      <c r="GLS30" s="1266"/>
      <c r="GLT30" s="1266"/>
      <c r="GLU30" s="1266"/>
      <c r="GLV30" s="1266"/>
      <c r="GLW30" s="1266"/>
      <c r="GLX30" s="1266"/>
      <c r="GLY30" s="1266"/>
      <c r="GLZ30" s="1266"/>
      <c r="GMA30" s="1266"/>
      <c r="GMB30" s="1266"/>
      <c r="GMC30" s="1266"/>
      <c r="GMD30" s="1266"/>
      <c r="GME30" s="1266"/>
      <c r="GMF30" s="1266"/>
      <c r="GMG30" s="1266"/>
      <c r="GMH30" s="1266"/>
      <c r="GMI30" s="1266"/>
      <c r="GMJ30" s="1266"/>
      <c r="GMK30" s="1266"/>
      <c r="GML30" s="1266"/>
      <c r="GMM30" s="1266"/>
      <c r="GMN30" s="1266"/>
      <c r="GMO30" s="1266"/>
      <c r="GMP30" s="1266"/>
      <c r="GMQ30" s="1266"/>
      <c r="GMR30" s="1266"/>
      <c r="GMS30" s="1266"/>
      <c r="GMT30" s="1266"/>
      <c r="GMU30" s="1266"/>
      <c r="GMV30" s="1266"/>
      <c r="GMW30" s="1266"/>
      <c r="GMX30" s="1266"/>
      <c r="GMY30" s="1266"/>
      <c r="GMZ30" s="1266"/>
      <c r="GNA30" s="1266"/>
      <c r="GNB30" s="1266"/>
      <c r="GNC30" s="1266"/>
      <c r="GND30" s="1266"/>
      <c r="GNE30" s="1266"/>
      <c r="GNF30" s="1266"/>
      <c r="GNG30" s="1266"/>
      <c r="GNH30" s="1266"/>
      <c r="GNI30" s="1266"/>
      <c r="GNJ30" s="1266"/>
      <c r="GNK30" s="1266"/>
      <c r="GNL30" s="1266"/>
      <c r="GNM30" s="1266"/>
      <c r="GNN30" s="1266"/>
      <c r="GNO30" s="1266"/>
      <c r="GNP30" s="1266"/>
      <c r="GNQ30" s="1266"/>
      <c r="GNR30" s="1266"/>
      <c r="GNS30" s="1266"/>
      <c r="GNT30" s="1266"/>
      <c r="GNU30" s="1266"/>
      <c r="GNV30" s="1266"/>
      <c r="GNW30" s="1266"/>
      <c r="GNX30" s="1266"/>
      <c r="GNY30" s="1266"/>
      <c r="GNZ30" s="1266"/>
      <c r="GOA30" s="1266"/>
      <c r="GOB30" s="1266"/>
      <c r="GOC30" s="1266"/>
      <c r="GOD30" s="1266"/>
      <c r="GOE30" s="1266"/>
      <c r="GOF30" s="1266"/>
      <c r="GOG30" s="1266"/>
      <c r="GOH30" s="1266"/>
      <c r="GOI30" s="1266"/>
      <c r="GOJ30" s="1266"/>
      <c r="GOK30" s="1266"/>
      <c r="GOL30" s="1266"/>
      <c r="GOM30" s="1266"/>
      <c r="GON30" s="1266"/>
      <c r="GOO30" s="1266"/>
      <c r="GOP30" s="1266"/>
      <c r="GOQ30" s="1266"/>
      <c r="GOR30" s="1266"/>
      <c r="GOS30" s="1266"/>
      <c r="GOT30" s="1266"/>
      <c r="GOU30" s="1266"/>
      <c r="GOV30" s="1266"/>
      <c r="GOW30" s="1266"/>
      <c r="GOX30" s="1266"/>
      <c r="GOY30" s="1266"/>
      <c r="GOZ30" s="1266"/>
      <c r="GPA30" s="1266"/>
      <c r="GPB30" s="1266"/>
      <c r="GPC30" s="1266"/>
      <c r="GPD30" s="1266"/>
      <c r="GPE30" s="1266"/>
      <c r="GPF30" s="1266"/>
      <c r="GPG30" s="1266"/>
      <c r="GPH30" s="1266"/>
      <c r="GPI30" s="1266"/>
      <c r="GPJ30" s="1266"/>
      <c r="GPK30" s="1266"/>
      <c r="GPL30" s="1266"/>
      <c r="GPM30" s="1266"/>
      <c r="GPN30" s="1266"/>
      <c r="GPO30" s="1266"/>
      <c r="GPP30" s="1266"/>
      <c r="GPQ30" s="1266"/>
      <c r="GPR30" s="1266"/>
      <c r="GPS30" s="1266"/>
      <c r="GPT30" s="1266"/>
      <c r="GPU30" s="1266"/>
      <c r="GPV30" s="1266"/>
      <c r="GPW30" s="1266"/>
      <c r="GPX30" s="1266"/>
      <c r="GPY30" s="1266"/>
      <c r="GPZ30" s="1266"/>
      <c r="GQA30" s="1266"/>
      <c r="GQB30" s="1266"/>
      <c r="GQC30" s="1266"/>
      <c r="GQD30" s="1266"/>
      <c r="GQE30" s="1266"/>
      <c r="GQF30" s="1266"/>
      <c r="GQG30" s="1266"/>
      <c r="GQH30" s="1266"/>
      <c r="GQI30" s="1266"/>
      <c r="GQJ30" s="1266"/>
      <c r="GQK30" s="1266"/>
      <c r="GQL30" s="1266"/>
      <c r="GQM30" s="1266"/>
      <c r="GQN30" s="1266"/>
      <c r="GQO30" s="1266"/>
      <c r="GQP30" s="1266"/>
      <c r="GQQ30" s="1266"/>
      <c r="GQR30" s="1266"/>
      <c r="GQS30" s="1266"/>
      <c r="GQT30" s="1266"/>
      <c r="GQU30" s="1266"/>
      <c r="GQV30" s="1266"/>
      <c r="GQW30" s="1266"/>
      <c r="GQX30" s="1266"/>
      <c r="GQY30" s="1266"/>
      <c r="GQZ30" s="1266"/>
      <c r="GRA30" s="1266"/>
      <c r="GRB30" s="1266"/>
      <c r="GRC30" s="1266"/>
      <c r="GRD30" s="1266"/>
      <c r="GRE30" s="1266"/>
      <c r="GRF30" s="1266"/>
      <c r="GRG30" s="1266"/>
      <c r="GRH30" s="1266"/>
      <c r="GRI30" s="1266"/>
      <c r="GRJ30" s="1266"/>
      <c r="GRK30" s="1266"/>
      <c r="GRL30" s="1266"/>
      <c r="GRM30" s="1266"/>
      <c r="GRN30" s="1266"/>
      <c r="GRO30" s="1266"/>
      <c r="GRP30" s="1266"/>
      <c r="GRQ30" s="1266"/>
      <c r="GRR30" s="1266"/>
      <c r="GRS30" s="1266"/>
      <c r="GRT30" s="1266"/>
      <c r="GRU30" s="1266"/>
      <c r="GRV30" s="1266"/>
      <c r="GRW30" s="1266"/>
      <c r="GRX30" s="1266"/>
      <c r="GRY30" s="1266"/>
      <c r="GRZ30" s="1266"/>
      <c r="GSA30" s="1266"/>
      <c r="GSB30" s="1266"/>
      <c r="GSC30" s="1266"/>
      <c r="GSD30" s="1266"/>
      <c r="GSE30" s="1266"/>
      <c r="GSF30" s="1266"/>
      <c r="GSG30" s="1266"/>
      <c r="GSH30" s="1266"/>
      <c r="GSI30" s="1266"/>
      <c r="GSJ30" s="1266"/>
      <c r="GSK30" s="1266"/>
      <c r="GSL30" s="1266"/>
      <c r="GSM30" s="1266"/>
      <c r="GSN30" s="1266"/>
      <c r="GSO30" s="1266"/>
      <c r="GSP30" s="1266"/>
      <c r="GSQ30" s="1266"/>
      <c r="GSR30" s="1266"/>
      <c r="GSS30" s="1266"/>
      <c r="GST30" s="1266"/>
      <c r="GSU30" s="1266"/>
      <c r="GSV30" s="1266"/>
      <c r="GSW30" s="1266"/>
      <c r="GSX30" s="1266"/>
      <c r="GSY30" s="1266"/>
      <c r="GSZ30" s="1266"/>
      <c r="GTA30" s="1266"/>
      <c r="GTB30" s="1266"/>
      <c r="GTC30" s="1266"/>
      <c r="GTD30" s="1266"/>
      <c r="GTE30" s="1266"/>
      <c r="GTF30" s="1266"/>
      <c r="GTG30" s="1266"/>
      <c r="GTH30" s="1266"/>
      <c r="GTI30" s="1266"/>
      <c r="GTJ30" s="1266"/>
      <c r="GTK30" s="1266"/>
      <c r="GTL30" s="1266"/>
      <c r="GTM30" s="1266"/>
      <c r="GTN30" s="1266"/>
      <c r="GTO30" s="1266"/>
      <c r="GTP30" s="1266"/>
      <c r="GTQ30" s="1266"/>
      <c r="GTR30" s="1266"/>
      <c r="GTS30" s="1266"/>
      <c r="GTT30" s="1266"/>
      <c r="GTU30" s="1266"/>
      <c r="GTV30" s="1266"/>
      <c r="GTW30" s="1266"/>
      <c r="GTX30" s="1266"/>
      <c r="GTY30" s="1266"/>
      <c r="GTZ30" s="1266"/>
      <c r="GUA30" s="1266"/>
      <c r="GUB30" s="1266"/>
      <c r="GUC30" s="1266"/>
      <c r="GUD30" s="1266"/>
      <c r="GUE30" s="1266"/>
      <c r="GUF30" s="1266"/>
      <c r="GUG30" s="1266"/>
      <c r="GUH30" s="1266"/>
      <c r="GUI30" s="1266"/>
      <c r="GUJ30" s="1266"/>
      <c r="GUK30" s="1266"/>
      <c r="GUL30" s="1266"/>
      <c r="GUM30" s="1266"/>
      <c r="GUN30" s="1266"/>
      <c r="GUO30" s="1266"/>
      <c r="GUP30" s="1266"/>
      <c r="GUQ30" s="1266"/>
      <c r="GUR30" s="1266"/>
      <c r="GUS30" s="1266"/>
      <c r="GUT30" s="1266"/>
      <c r="GUU30" s="1266"/>
      <c r="GUV30" s="1266"/>
      <c r="GUW30" s="1266"/>
      <c r="GUX30" s="1266"/>
      <c r="GUY30" s="1266"/>
      <c r="GUZ30" s="1266"/>
      <c r="GVA30" s="1266"/>
      <c r="GVB30" s="1266"/>
      <c r="GVC30" s="1266"/>
      <c r="GVD30" s="1266"/>
      <c r="GVE30" s="1266"/>
      <c r="GVF30" s="1266"/>
      <c r="GVG30" s="1266"/>
      <c r="GVH30" s="1266"/>
      <c r="GVI30" s="1266"/>
      <c r="GVJ30" s="1266"/>
      <c r="GVK30" s="1266"/>
      <c r="GVL30" s="1266"/>
      <c r="GVM30" s="1266"/>
      <c r="GVN30" s="1266"/>
      <c r="GVO30" s="1266"/>
      <c r="GVP30" s="1266"/>
      <c r="GVQ30" s="1266"/>
      <c r="GVR30" s="1266"/>
      <c r="GVS30" s="1266"/>
      <c r="GVT30" s="1266"/>
      <c r="GVU30" s="1266"/>
      <c r="GVV30" s="1266"/>
      <c r="GVW30" s="1266"/>
      <c r="GVX30" s="1266"/>
      <c r="GVY30" s="1266"/>
      <c r="GVZ30" s="1266"/>
      <c r="GWA30" s="1266"/>
      <c r="GWB30" s="1266"/>
      <c r="GWC30" s="1266"/>
      <c r="GWD30" s="1266"/>
      <c r="GWE30" s="1266"/>
      <c r="GWF30" s="1266"/>
      <c r="GWG30" s="1266"/>
      <c r="GWH30" s="1266"/>
      <c r="GWI30" s="1266"/>
      <c r="GWJ30" s="1266"/>
      <c r="GWK30" s="1266"/>
      <c r="GWL30" s="1266"/>
      <c r="GWM30" s="1266"/>
      <c r="GWN30" s="1266"/>
      <c r="GWO30" s="1266"/>
      <c r="GWP30" s="1266"/>
      <c r="GWQ30" s="1266"/>
      <c r="GWR30" s="1266"/>
      <c r="GWS30" s="1266"/>
      <c r="GWT30" s="1266"/>
      <c r="GWU30" s="1266"/>
      <c r="GWV30" s="1266"/>
      <c r="GWW30" s="1266"/>
      <c r="GWX30" s="1266"/>
      <c r="GWY30" s="1266"/>
      <c r="GWZ30" s="1266"/>
      <c r="GXA30" s="1266"/>
      <c r="GXB30" s="1266"/>
      <c r="GXC30" s="1266"/>
      <c r="GXD30" s="1266"/>
      <c r="GXE30" s="1266"/>
      <c r="GXF30" s="1266"/>
      <c r="GXG30" s="1266"/>
      <c r="GXH30" s="1266"/>
      <c r="GXI30" s="1266"/>
      <c r="GXJ30" s="1266"/>
      <c r="GXK30" s="1266"/>
      <c r="GXL30" s="1266"/>
      <c r="GXM30" s="1266"/>
      <c r="GXN30" s="1266"/>
      <c r="GXO30" s="1266"/>
      <c r="GXP30" s="1266"/>
      <c r="GXQ30" s="1266"/>
      <c r="GXR30" s="1266"/>
      <c r="GXS30" s="1266"/>
      <c r="GXT30" s="1266"/>
      <c r="GXU30" s="1266"/>
      <c r="GXV30" s="1266"/>
      <c r="GXW30" s="1266"/>
      <c r="GXX30" s="1266"/>
      <c r="GXY30" s="1266"/>
      <c r="GXZ30" s="1266"/>
      <c r="GYA30" s="1266"/>
      <c r="GYB30" s="1266"/>
      <c r="GYC30" s="1266"/>
      <c r="GYD30" s="1266"/>
      <c r="GYE30" s="1266"/>
      <c r="GYF30" s="1266"/>
      <c r="GYG30" s="1266"/>
      <c r="GYH30" s="1266"/>
      <c r="GYI30" s="1266"/>
      <c r="GYJ30" s="1266"/>
      <c r="GYK30" s="1266"/>
      <c r="GYL30" s="1266"/>
      <c r="GYM30" s="1266"/>
      <c r="GYN30" s="1266"/>
      <c r="GYO30" s="1266"/>
      <c r="GYP30" s="1266"/>
      <c r="GYQ30" s="1266"/>
      <c r="GYR30" s="1266"/>
      <c r="GYS30" s="1266"/>
      <c r="GYT30" s="1266"/>
      <c r="GYU30" s="1266"/>
      <c r="GYV30" s="1266"/>
      <c r="GYW30" s="1266"/>
      <c r="GYX30" s="1266"/>
      <c r="GYY30" s="1266"/>
      <c r="GYZ30" s="1266"/>
      <c r="GZA30" s="1266"/>
      <c r="GZB30" s="1266"/>
      <c r="GZC30" s="1266"/>
      <c r="GZD30" s="1266"/>
      <c r="GZE30" s="1266"/>
      <c r="GZF30" s="1266"/>
      <c r="GZG30" s="1266"/>
      <c r="GZH30" s="1266"/>
      <c r="GZI30" s="1266"/>
      <c r="GZJ30" s="1266"/>
      <c r="GZK30" s="1266"/>
      <c r="GZL30" s="1266"/>
      <c r="GZM30" s="1266"/>
      <c r="GZN30" s="1266"/>
      <c r="GZO30" s="1266"/>
      <c r="GZP30" s="1266"/>
      <c r="GZQ30" s="1266"/>
      <c r="GZR30" s="1266"/>
      <c r="GZS30" s="1266"/>
      <c r="GZT30" s="1266"/>
      <c r="GZU30" s="1266"/>
      <c r="GZV30" s="1266"/>
      <c r="GZW30" s="1266"/>
      <c r="GZX30" s="1266"/>
      <c r="GZY30" s="1266"/>
      <c r="GZZ30" s="1266"/>
      <c r="HAA30" s="1266"/>
      <c r="HAB30" s="1266"/>
      <c r="HAC30" s="1266"/>
      <c r="HAD30" s="1266"/>
      <c r="HAE30" s="1266"/>
      <c r="HAF30" s="1266"/>
      <c r="HAG30" s="1266"/>
      <c r="HAH30" s="1266"/>
      <c r="HAI30" s="1266"/>
      <c r="HAJ30" s="1266"/>
      <c r="HAK30" s="1266"/>
      <c r="HAL30" s="1266"/>
      <c r="HAM30" s="1266"/>
      <c r="HAN30" s="1266"/>
      <c r="HAO30" s="1266"/>
      <c r="HAP30" s="1266"/>
      <c r="HAQ30" s="1266"/>
      <c r="HAR30" s="1266"/>
      <c r="HAS30" s="1266"/>
      <c r="HAT30" s="1266"/>
      <c r="HAU30" s="1266"/>
      <c r="HAV30" s="1266"/>
      <c r="HAW30" s="1266"/>
      <c r="HAX30" s="1266"/>
      <c r="HAY30" s="1266"/>
      <c r="HAZ30" s="1266"/>
      <c r="HBA30" s="1266"/>
      <c r="HBB30" s="1266"/>
      <c r="HBC30" s="1266"/>
      <c r="HBD30" s="1266"/>
      <c r="HBE30" s="1266"/>
      <c r="HBF30" s="1266"/>
      <c r="HBG30" s="1266"/>
      <c r="HBH30" s="1266"/>
      <c r="HBI30" s="1266"/>
      <c r="HBJ30" s="1266"/>
      <c r="HBK30" s="1266"/>
      <c r="HBL30" s="1266"/>
      <c r="HBM30" s="1266"/>
      <c r="HBN30" s="1266"/>
      <c r="HBO30" s="1266"/>
      <c r="HBP30" s="1266"/>
      <c r="HBQ30" s="1266"/>
      <c r="HBR30" s="1266"/>
      <c r="HBS30" s="1266"/>
      <c r="HBT30" s="1266"/>
      <c r="HBU30" s="1266"/>
      <c r="HBV30" s="1266"/>
      <c r="HBW30" s="1266"/>
      <c r="HBX30" s="1266"/>
      <c r="HBY30" s="1266"/>
      <c r="HBZ30" s="1266"/>
      <c r="HCA30" s="1266"/>
      <c r="HCB30" s="1266"/>
      <c r="HCC30" s="1266"/>
      <c r="HCD30" s="1266"/>
      <c r="HCE30" s="1266"/>
      <c r="HCF30" s="1266"/>
      <c r="HCG30" s="1266"/>
      <c r="HCH30" s="1266"/>
      <c r="HCI30" s="1266"/>
      <c r="HCJ30" s="1266"/>
      <c r="HCK30" s="1266"/>
      <c r="HCL30" s="1266"/>
      <c r="HCM30" s="1266"/>
      <c r="HCN30" s="1266"/>
      <c r="HCO30" s="1266"/>
      <c r="HCP30" s="1266"/>
      <c r="HCQ30" s="1266"/>
      <c r="HCR30" s="1266"/>
      <c r="HCS30" s="1266"/>
      <c r="HCT30" s="1266"/>
      <c r="HCU30" s="1266"/>
      <c r="HCV30" s="1266"/>
      <c r="HCW30" s="1266"/>
      <c r="HCX30" s="1266"/>
      <c r="HCY30" s="1266"/>
      <c r="HCZ30" s="1266"/>
      <c r="HDA30" s="1266"/>
      <c r="HDB30" s="1266"/>
      <c r="HDC30" s="1266"/>
      <c r="HDD30" s="1266"/>
      <c r="HDE30" s="1266"/>
      <c r="HDF30" s="1266"/>
      <c r="HDG30" s="1266"/>
      <c r="HDH30" s="1266"/>
      <c r="HDI30" s="1266"/>
      <c r="HDJ30" s="1266"/>
      <c r="HDK30" s="1266"/>
      <c r="HDL30" s="1266"/>
      <c r="HDM30" s="1266"/>
      <c r="HDN30" s="1266"/>
      <c r="HDO30" s="1266"/>
      <c r="HDP30" s="1266"/>
      <c r="HDQ30" s="1266"/>
      <c r="HDR30" s="1266"/>
      <c r="HDS30" s="1266"/>
      <c r="HDT30" s="1266"/>
      <c r="HDU30" s="1266"/>
      <c r="HDV30" s="1266"/>
      <c r="HDW30" s="1266"/>
      <c r="HDX30" s="1266"/>
      <c r="HDY30" s="1266"/>
      <c r="HDZ30" s="1266"/>
      <c r="HEA30" s="1266"/>
      <c r="HEB30" s="1266"/>
      <c r="HEC30" s="1266"/>
      <c r="HED30" s="1266"/>
      <c r="HEE30" s="1266"/>
      <c r="HEF30" s="1266"/>
      <c r="HEG30" s="1266"/>
      <c r="HEH30" s="1266"/>
      <c r="HEI30" s="1266"/>
      <c r="HEJ30" s="1266"/>
      <c r="HEK30" s="1266"/>
      <c r="HEL30" s="1266"/>
      <c r="HEM30" s="1266"/>
      <c r="HEN30" s="1266"/>
      <c r="HEO30" s="1266"/>
      <c r="HEP30" s="1266"/>
      <c r="HEQ30" s="1266"/>
      <c r="HER30" s="1266"/>
      <c r="HES30" s="1266"/>
      <c r="HET30" s="1266"/>
      <c r="HEU30" s="1266"/>
      <c r="HEV30" s="1266"/>
      <c r="HEW30" s="1266"/>
      <c r="HEX30" s="1266"/>
      <c r="HEY30" s="1266"/>
      <c r="HEZ30" s="1266"/>
      <c r="HFA30" s="1266"/>
      <c r="HFB30" s="1266"/>
      <c r="HFC30" s="1266"/>
      <c r="HFD30" s="1266"/>
      <c r="HFE30" s="1266"/>
      <c r="HFF30" s="1266"/>
      <c r="HFG30" s="1266"/>
      <c r="HFH30" s="1266"/>
      <c r="HFI30" s="1266"/>
      <c r="HFJ30" s="1266"/>
      <c r="HFK30" s="1266"/>
      <c r="HFL30" s="1266"/>
      <c r="HFM30" s="1266"/>
      <c r="HFN30" s="1266"/>
      <c r="HFO30" s="1266"/>
      <c r="HFP30" s="1266"/>
      <c r="HFQ30" s="1266"/>
      <c r="HFR30" s="1266"/>
      <c r="HFS30" s="1266"/>
      <c r="HFT30" s="1266"/>
      <c r="HFU30" s="1266"/>
      <c r="HFV30" s="1266"/>
      <c r="HFW30" s="1266"/>
      <c r="HFX30" s="1266"/>
      <c r="HFY30" s="1266"/>
      <c r="HFZ30" s="1266"/>
      <c r="HGA30" s="1266"/>
      <c r="HGB30" s="1266"/>
      <c r="HGC30" s="1266"/>
      <c r="HGD30" s="1266"/>
      <c r="HGE30" s="1266"/>
      <c r="HGF30" s="1266"/>
      <c r="HGG30" s="1266"/>
      <c r="HGH30" s="1266"/>
      <c r="HGI30" s="1266"/>
      <c r="HGJ30" s="1266"/>
      <c r="HGK30" s="1266"/>
      <c r="HGL30" s="1266"/>
      <c r="HGM30" s="1266"/>
      <c r="HGN30" s="1266"/>
      <c r="HGO30" s="1266"/>
      <c r="HGP30" s="1266"/>
      <c r="HGQ30" s="1266"/>
      <c r="HGR30" s="1266"/>
      <c r="HGS30" s="1266"/>
      <c r="HGT30" s="1266"/>
      <c r="HGU30" s="1266"/>
      <c r="HGV30" s="1266"/>
      <c r="HGW30" s="1266"/>
      <c r="HGX30" s="1266"/>
      <c r="HGY30" s="1266"/>
      <c r="HGZ30" s="1266"/>
      <c r="HHA30" s="1266"/>
      <c r="HHB30" s="1266"/>
      <c r="HHC30" s="1266"/>
      <c r="HHD30" s="1266"/>
      <c r="HHE30" s="1266"/>
      <c r="HHF30" s="1266"/>
      <c r="HHG30" s="1266"/>
      <c r="HHH30" s="1266"/>
      <c r="HHI30" s="1266"/>
      <c r="HHJ30" s="1266"/>
      <c r="HHK30" s="1266"/>
      <c r="HHL30" s="1266"/>
      <c r="HHM30" s="1266"/>
      <c r="HHN30" s="1266"/>
      <c r="HHO30" s="1266"/>
      <c r="HHP30" s="1266"/>
      <c r="HHQ30" s="1266"/>
      <c r="HHR30" s="1266"/>
      <c r="HHS30" s="1266"/>
      <c r="HHT30" s="1266"/>
      <c r="HHU30" s="1266"/>
      <c r="HHV30" s="1266"/>
      <c r="HHW30" s="1266"/>
      <c r="HHX30" s="1266"/>
      <c r="HHY30" s="1266"/>
      <c r="HHZ30" s="1266"/>
      <c r="HIA30" s="1266"/>
      <c r="HIB30" s="1266"/>
      <c r="HIC30" s="1266"/>
      <c r="HID30" s="1266"/>
      <c r="HIE30" s="1266"/>
      <c r="HIF30" s="1266"/>
      <c r="HIG30" s="1266"/>
      <c r="HIH30" s="1266"/>
      <c r="HII30" s="1266"/>
      <c r="HIJ30" s="1266"/>
      <c r="HIK30" s="1266"/>
      <c r="HIL30" s="1266"/>
      <c r="HIM30" s="1266"/>
      <c r="HIN30" s="1266"/>
      <c r="HIO30" s="1266"/>
      <c r="HIP30" s="1266"/>
      <c r="HIQ30" s="1266"/>
      <c r="HIR30" s="1266"/>
      <c r="HIS30" s="1266"/>
      <c r="HIT30" s="1266"/>
      <c r="HIU30" s="1266"/>
      <c r="HIV30" s="1266"/>
      <c r="HIW30" s="1266"/>
      <c r="HIX30" s="1266"/>
      <c r="HIY30" s="1266"/>
      <c r="HIZ30" s="1266"/>
      <c r="HJA30" s="1266"/>
      <c r="HJB30" s="1266"/>
      <c r="HJC30" s="1266"/>
      <c r="HJD30" s="1266"/>
      <c r="HJE30" s="1266"/>
      <c r="HJF30" s="1266"/>
      <c r="HJG30" s="1266"/>
      <c r="HJH30" s="1266"/>
      <c r="HJI30" s="1266"/>
      <c r="HJJ30" s="1266"/>
      <c r="HJK30" s="1266"/>
      <c r="HJL30" s="1266"/>
      <c r="HJM30" s="1266"/>
      <c r="HJN30" s="1266"/>
      <c r="HJO30" s="1266"/>
      <c r="HJP30" s="1266"/>
      <c r="HJQ30" s="1266"/>
      <c r="HJR30" s="1266"/>
      <c r="HJS30" s="1266"/>
      <c r="HJT30" s="1266"/>
      <c r="HJU30" s="1266"/>
      <c r="HJV30" s="1266"/>
      <c r="HJW30" s="1266"/>
      <c r="HJX30" s="1266"/>
      <c r="HJY30" s="1266"/>
      <c r="HJZ30" s="1266"/>
      <c r="HKA30" s="1266"/>
      <c r="HKB30" s="1266"/>
      <c r="HKC30" s="1266"/>
      <c r="HKD30" s="1266"/>
      <c r="HKE30" s="1266"/>
      <c r="HKF30" s="1266"/>
      <c r="HKG30" s="1266"/>
      <c r="HKH30" s="1266"/>
      <c r="HKI30" s="1266"/>
      <c r="HKJ30" s="1266"/>
      <c r="HKK30" s="1266"/>
      <c r="HKL30" s="1266"/>
      <c r="HKM30" s="1266"/>
      <c r="HKN30" s="1266"/>
      <c r="HKO30" s="1266"/>
      <c r="HKP30" s="1266"/>
      <c r="HKQ30" s="1266"/>
      <c r="HKR30" s="1266"/>
      <c r="HKS30" s="1266"/>
      <c r="HKT30" s="1266"/>
      <c r="HKU30" s="1266"/>
      <c r="HKV30" s="1266"/>
      <c r="HKW30" s="1266"/>
      <c r="HKX30" s="1266"/>
      <c r="HKY30" s="1266"/>
      <c r="HKZ30" s="1266"/>
      <c r="HLA30" s="1266"/>
      <c r="HLB30" s="1266"/>
      <c r="HLC30" s="1266"/>
      <c r="HLD30" s="1266"/>
      <c r="HLE30" s="1266"/>
      <c r="HLF30" s="1266"/>
      <c r="HLG30" s="1266"/>
      <c r="HLH30" s="1266"/>
      <c r="HLI30" s="1266"/>
      <c r="HLJ30" s="1266"/>
      <c r="HLK30" s="1266"/>
      <c r="HLL30" s="1266"/>
      <c r="HLM30" s="1266"/>
      <c r="HLN30" s="1266"/>
      <c r="HLO30" s="1266"/>
      <c r="HLP30" s="1266"/>
      <c r="HLQ30" s="1266"/>
      <c r="HLR30" s="1266"/>
      <c r="HLS30" s="1266"/>
      <c r="HLT30" s="1266"/>
      <c r="HLU30" s="1266"/>
      <c r="HLV30" s="1266"/>
      <c r="HLW30" s="1266"/>
      <c r="HLX30" s="1266"/>
      <c r="HLY30" s="1266"/>
      <c r="HLZ30" s="1266"/>
      <c r="HMA30" s="1266"/>
      <c r="HMB30" s="1266"/>
      <c r="HMC30" s="1266"/>
      <c r="HMD30" s="1266"/>
      <c r="HME30" s="1266"/>
      <c r="HMF30" s="1266"/>
      <c r="HMG30" s="1266"/>
      <c r="HMH30" s="1266"/>
      <c r="HMI30" s="1266"/>
      <c r="HMJ30" s="1266"/>
      <c r="HMK30" s="1266"/>
      <c r="HML30" s="1266"/>
      <c r="HMM30" s="1266"/>
      <c r="HMN30" s="1266"/>
      <c r="HMO30" s="1266"/>
      <c r="HMP30" s="1266"/>
      <c r="HMQ30" s="1266"/>
      <c r="HMR30" s="1266"/>
      <c r="HMS30" s="1266"/>
      <c r="HMT30" s="1266"/>
      <c r="HMU30" s="1266"/>
      <c r="HMV30" s="1266"/>
      <c r="HMW30" s="1266"/>
      <c r="HMX30" s="1266"/>
      <c r="HMY30" s="1266"/>
      <c r="HMZ30" s="1266"/>
      <c r="HNA30" s="1266"/>
      <c r="HNB30" s="1266"/>
      <c r="HNC30" s="1266"/>
      <c r="HND30" s="1266"/>
      <c r="HNE30" s="1266"/>
      <c r="HNF30" s="1266"/>
      <c r="HNG30" s="1266"/>
      <c r="HNH30" s="1266"/>
      <c r="HNI30" s="1266"/>
      <c r="HNJ30" s="1266"/>
      <c r="HNK30" s="1266"/>
      <c r="HNL30" s="1266"/>
      <c r="HNM30" s="1266"/>
      <c r="HNN30" s="1266"/>
      <c r="HNO30" s="1266"/>
      <c r="HNP30" s="1266"/>
      <c r="HNQ30" s="1266"/>
      <c r="HNR30" s="1266"/>
      <c r="HNS30" s="1266"/>
      <c r="HNT30" s="1266"/>
      <c r="HNU30" s="1266"/>
      <c r="HNV30" s="1266"/>
      <c r="HNW30" s="1266"/>
      <c r="HNX30" s="1266"/>
      <c r="HNY30" s="1266"/>
      <c r="HNZ30" s="1266"/>
      <c r="HOA30" s="1266"/>
      <c r="HOB30" s="1266"/>
      <c r="HOC30" s="1266"/>
      <c r="HOD30" s="1266"/>
      <c r="HOE30" s="1266"/>
      <c r="HOF30" s="1266"/>
      <c r="HOG30" s="1266"/>
      <c r="HOH30" s="1266"/>
      <c r="HOI30" s="1266"/>
      <c r="HOJ30" s="1266"/>
      <c r="HOK30" s="1266"/>
      <c r="HOL30" s="1266"/>
      <c r="HOM30" s="1266"/>
      <c r="HON30" s="1266"/>
      <c r="HOO30" s="1266"/>
      <c r="HOP30" s="1266"/>
      <c r="HOQ30" s="1266"/>
      <c r="HOR30" s="1266"/>
      <c r="HOS30" s="1266"/>
      <c r="HOT30" s="1266"/>
      <c r="HOU30" s="1266"/>
      <c r="HOV30" s="1266"/>
      <c r="HOW30" s="1266"/>
      <c r="HOX30" s="1266"/>
      <c r="HOY30" s="1266"/>
      <c r="HOZ30" s="1266"/>
      <c r="HPA30" s="1266"/>
      <c r="HPB30" s="1266"/>
      <c r="HPC30" s="1266"/>
      <c r="HPD30" s="1266"/>
      <c r="HPE30" s="1266"/>
      <c r="HPF30" s="1266"/>
      <c r="HPG30" s="1266"/>
      <c r="HPH30" s="1266"/>
      <c r="HPI30" s="1266"/>
      <c r="HPJ30" s="1266"/>
      <c r="HPK30" s="1266"/>
      <c r="HPL30" s="1266"/>
      <c r="HPM30" s="1266"/>
      <c r="HPN30" s="1266"/>
      <c r="HPO30" s="1266"/>
      <c r="HPP30" s="1266"/>
      <c r="HPQ30" s="1266"/>
      <c r="HPR30" s="1266"/>
      <c r="HPS30" s="1266"/>
      <c r="HPT30" s="1266"/>
      <c r="HPU30" s="1266"/>
      <c r="HPV30" s="1266"/>
      <c r="HPW30" s="1266"/>
      <c r="HPX30" s="1266"/>
      <c r="HPY30" s="1266"/>
      <c r="HPZ30" s="1266"/>
      <c r="HQA30" s="1266"/>
      <c r="HQB30" s="1266"/>
      <c r="HQC30" s="1266"/>
      <c r="HQD30" s="1266"/>
      <c r="HQE30" s="1266"/>
      <c r="HQF30" s="1266"/>
      <c r="HQG30" s="1266"/>
      <c r="HQH30" s="1266"/>
      <c r="HQI30" s="1266"/>
      <c r="HQJ30" s="1266"/>
      <c r="HQK30" s="1266"/>
      <c r="HQL30" s="1266"/>
      <c r="HQM30" s="1266"/>
      <c r="HQN30" s="1266"/>
      <c r="HQO30" s="1266"/>
      <c r="HQP30" s="1266"/>
      <c r="HQQ30" s="1266"/>
      <c r="HQR30" s="1266"/>
      <c r="HQS30" s="1266"/>
      <c r="HQT30" s="1266"/>
      <c r="HQU30" s="1266"/>
      <c r="HQV30" s="1266"/>
      <c r="HQW30" s="1266"/>
      <c r="HQX30" s="1266"/>
      <c r="HQY30" s="1266"/>
      <c r="HQZ30" s="1266"/>
      <c r="HRA30" s="1266"/>
      <c r="HRB30" s="1266"/>
      <c r="HRC30" s="1266"/>
      <c r="HRD30" s="1266"/>
      <c r="HRE30" s="1266"/>
      <c r="HRF30" s="1266"/>
      <c r="HRG30" s="1266"/>
      <c r="HRH30" s="1266"/>
      <c r="HRI30" s="1266"/>
      <c r="HRJ30" s="1266"/>
      <c r="HRK30" s="1266"/>
      <c r="HRL30" s="1266"/>
      <c r="HRM30" s="1266"/>
      <c r="HRN30" s="1266"/>
      <c r="HRO30" s="1266"/>
      <c r="HRP30" s="1266"/>
      <c r="HRQ30" s="1266"/>
      <c r="HRR30" s="1266"/>
      <c r="HRS30" s="1266"/>
      <c r="HRT30" s="1266"/>
      <c r="HRU30" s="1266"/>
      <c r="HRV30" s="1266"/>
      <c r="HRW30" s="1266"/>
      <c r="HRX30" s="1266"/>
      <c r="HRY30" s="1266"/>
      <c r="HRZ30" s="1266"/>
      <c r="HSA30" s="1266"/>
      <c r="HSB30" s="1266"/>
      <c r="HSC30" s="1266"/>
      <c r="HSD30" s="1266"/>
      <c r="HSE30" s="1266"/>
      <c r="HSF30" s="1266"/>
      <c r="HSG30" s="1266"/>
      <c r="HSH30" s="1266"/>
      <c r="HSI30" s="1266"/>
      <c r="HSJ30" s="1266"/>
      <c r="HSK30" s="1266"/>
      <c r="HSL30" s="1266"/>
      <c r="HSM30" s="1266"/>
      <c r="HSN30" s="1266"/>
      <c r="HSO30" s="1266"/>
      <c r="HSP30" s="1266"/>
      <c r="HSQ30" s="1266"/>
      <c r="HSR30" s="1266"/>
      <c r="HSS30" s="1266"/>
      <c r="HST30" s="1266"/>
      <c r="HSU30" s="1266"/>
      <c r="HSV30" s="1266"/>
      <c r="HSW30" s="1266"/>
      <c r="HSX30" s="1266"/>
      <c r="HSY30" s="1266"/>
      <c r="HSZ30" s="1266"/>
      <c r="HTA30" s="1266"/>
      <c r="HTB30" s="1266"/>
      <c r="HTC30" s="1266"/>
      <c r="HTD30" s="1266"/>
      <c r="HTE30" s="1266"/>
      <c r="HTF30" s="1266"/>
      <c r="HTG30" s="1266"/>
      <c r="HTH30" s="1266"/>
      <c r="HTI30" s="1266"/>
      <c r="HTJ30" s="1266"/>
      <c r="HTK30" s="1266"/>
      <c r="HTL30" s="1266"/>
      <c r="HTM30" s="1266"/>
      <c r="HTN30" s="1266"/>
      <c r="HTO30" s="1266"/>
      <c r="HTP30" s="1266"/>
      <c r="HTQ30" s="1266"/>
      <c r="HTR30" s="1266"/>
      <c r="HTS30" s="1266"/>
      <c r="HTT30" s="1266"/>
      <c r="HTU30" s="1266"/>
      <c r="HTV30" s="1266"/>
      <c r="HTW30" s="1266"/>
      <c r="HTX30" s="1266"/>
      <c r="HTY30" s="1266"/>
      <c r="HTZ30" s="1266"/>
      <c r="HUA30" s="1266"/>
      <c r="HUB30" s="1266"/>
      <c r="HUC30" s="1266"/>
      <c r="HUD30" s="1266"/>
      <c r="HUE30" s="1266"/>
      <c r="HUF30" s="1266"/>
      <c r="HUG30" s="1266"/>
      <c r="HUH30" s="1266"/>
      <c r="HUI30" s="1266"/>
      <c r="HUJ30" s="1266"/>
      <c r="HUK30" s="1266"/>
      <c r="HUL30" s="1266"/>
      <c r="HUM30" s="1266"/>
      <c r="HUN30" s="1266"/>
      <c r="HUO30" s="1266"/>
      <c r="HUP30" s="1266"/>
      <c r="HUQ30" s="1266"/>
      <c r="HUR30" s="1266"/>
      <c r="HUS30" s="1266"/>
      <c r="HUT30" s="1266"/>
      <c r="HUU30" s="1266"/>
      <c r="HUV30" s="1266"/>
      <c r="HUW30" s="1266"/>
      <c r="HUX30" s="1266"/>
      <c r="HUY30" s="1266"/>
      <c r="HUZ30" s="1266"/>
      <c r="HVA30" s="1266"/>
      <c r="HVB30" s="1266"/>
      <c r="HVC30" s="1266"/>
      <c r="HVD30" s="1266"/>
      <c r="HVE30" s="1266"/>
      <c r="HVF30" s="1266"/>
      <c r="HVG30" s="1266"/>
      <c r="HVH30" s="1266"/>
      <c r="HVI30" s="1266"/>
      <c r="HVJ30" s="1266"/>
      <c r="HVK30" s="1266"/>
      <c r="HVL30" s="1266"/>
      <c r="HVM30" s="1266"/>
      <c r="HVN30" s="1266"/>
      <c r="HVO30" s="1266"/>
      <c r="HVP30" s="1266"/>
      <c r="HVQ30" s="1266"/>
      <c r="HVR30" s="1266"/>
      <c r="HVS30" s="1266"/>
      <c r="HVT30" s="1266"/>
      <c r="HVU30" s="1266"/>
      <c r="HVV30" s="1266"/>
      <c r="HVW30" s="1266"/>
      <c r="HVX30" s="1266"/>
      <c r="HVY30" s="1266"/>
      <c r="HVZ30" s="1266"/>
      <c r="HWA30" s="1266"/>
      <c r="HWB30" s="1266"/>
      <c r="HWC30" s="1266"/>
      <c r="HWD30" s="1266"/>
      <c r="HWE30" s="1266"/>
      <c r="HWF30" s="1266"/>
      <c r="HWG30" s="1266"/>
      <c r="HWH30" s="1266"/>
      <c r="HWI30" s="1266"/>
      <c r="HWJ30" s="1266"/>
      <c r="HWK30" s="1266"/>
      <c r="HWL30" s="1266"/>
      <c r="HWM30" s="1266"/>
      <c r="HWN30" s="1266"/>
      <c r="HWO30" s="1266"/>
      <c r="HWP30" s="1266"/>
      <c r="HWQ30" s="1266"/>
      <c r="HWR30" s="1266"/>
      <c r="HWS30" s="1266"/>
      <c r="HWT30" s="1266"/>
      <c r="HWU30" s="1266"/>
      <c r="HWV30" s="1266"/>
      <c r="HWW30" s="1266"/>
      <c r="HWX30" s="1266"/>
      <c r="HWY30" s="1266"/>
      <c r="HWZ30" s="1266"/>
      <c r="HXA30" s="1266"/>
      <c r="HXB30" s="1266"/>
      <c r="HXC30" s="1266"/>
      <c r="HXD30" s="1266"/>
      <c r="HXE30" s="1266"/>
      <c r="HXF30" s="1266"/>
      <c r="HXG30" s="1266"/>
      <c r="HXH30" s="1266"/>
      <c r="HXI30" s="1266"/>
      <c r="HXJ30" s="1266"/>
      <c r="HXK30" s="1266"/>
      <c r="HXL30" s="1266"/>
      <c r="HXM30" s="1266"/>
      <c r="HXN30" s="1266"/>
      <c r="HXO30" s="1266"/>
      <c r="HXP30" s="1266"/>
      <c r="HXQ30" s="1266"/>
      <c r="HXR30" s="1266"/>
      <c r="HXS30" s="1266"/>
      <c r="HXT30" s="1266"/>
      <c r="HXU30" s="1266"/>
      <c r="HXV30" s="1266"/>
      <c r="HXW30" s="1266"/>
      <c r="HXX30" s="1266"/>
      <c r="HXY30" s="1266"/>
      <c r="HXZ30" s="1266"/>
      <c r="HYA30" s="1266"/>
      <c r="HYB30" s="1266"/>
      <c r="HYC30" s="1266"/>
      <c r="HYD30" s="1266"/>
      <c r="HYE30" s="1266"/>
      <c r="HYF30" s="1266"/>
      <c r="HYG30" s="1266"/>
      <c r="HYH30" s="1266"/>
      <c r="HYI30" s="1266"/>
      <c r="HYJ30" s="1266"/>
      <c r="HYK30" s="1266"/>
      <c r="HYL30" s="1266"/>
      <c r="HYM30" s="1266"/>
      <c r="HYN30" s="1266"/>
      <c r="HYO30" s="1266"/>
      <c r="HYP30" s="1266"/>
      <c r="HYQ30" s="1266"/>
      <c r="HYR30" s="1266"/>
      <c r="HYS30" s="1266"/>
      <c r="HYT30" s="1266"/>
      <c r="HYU30" s="1266"/>
      <c r="HYV30" s="1266"/>
      <c r="HYW30" s="1266"/>
      <c r="HYX30" s="1266"/>
      <c r="HYY30" s="1266"/>
      <c r="HYZ30" s="1266"/>
      <c r="HZA30" s="1266"/>
      <c r="HZB30" s="1266"/>
      <c r="HZC30" s="1266"/>
      <c r="HZD30" s="1266"/>
      <c r="HZE30" s="1266"/>
      <c r="HZF30" s="1266"/>
      <c r="HZG30" s="1266"/>
      <c r="HZH30" s="1266"/>
      <c r="HZI30" s="1266"/>
      <c r="HZJ30" s="1266"/>
      <c r="HZK30" s="1266"/>
      <c r="HZL30" s="1266"/>
      <c r="HZM30" s="1266"/>
      <c r="HZN30" s="1266"/>
      <c r="HZO30" s="1266"/>
      <c r="HZP30" s="1266"/>
      <c r="HZQ30" s="1266"/>
      <c r="HZR30" s="1266"/>
      <c r="HZS30" s="1266"/>
      <c r="HZT30" s="1266"/>
      <c r="HZU30" s="1266"/>
      <c r="HZV30" s="1266"/>
      <c r="HZW30" s="1266"/>
      <c r="HZX30" s="1266"/>
      <c r="HZY30" s="1266"/>
      <c r="HZZ30" s="1266"/>
      <c r="IAA30" s="1266"/>
      <c r="IAB30" s="1266"/>
      <c r="IAC30" s="1266"/>
      <c r="IAD30" s="1266"/>
      <c r="IAE30" s="1266"/>
      <c r="IAF30" s="1266"/>
      <c r="IAG30" s="1266"/>
      <c r="IAH30" s="1266"/>
      <c r="IAI30" s="1266"/>
      <c r="IAJ30" s="1266"/>
      <c r="IAK30" s="1266"/>
      <c r="IAL30" s="1266"/>
      <c r="IAM30" s="1266"/>
      <c r="IAN30" s="1266"/>
      <c r="IAO30" s="1266"/>
      <c r="IAP30" s="1266"/>
      <c r="IAQ30" s="1266"/>
      <c r="IAR30" s="1266"/>
      <c r="IAS30" s="1266"/>
      <c r="IAT30" s="1266"/>
      <c r="IAU30" s="1266"/>
      <c r="IAV30" s="1266"/>
      <c r="IAW30" s="1266"/>
      <c r="IAX30" s="1266"/>
      <c r="IAY30" s="1266"/>
      <c r="IAZ30" s="1266"/>
      <c r="IBA30" s="1266"/>
      <c r="IBB30" s="1266"/>
      <c r="IBC30" s="1266"/>
      <c r="IBD30" s="1266"/>
      <c r="IBE30" s="1266"/>
      <c r="IBF30" s="1266"/>
      <c r="IBG30" s="1266"/>
      <c r="IBH30" s="1266"/>
      <c r="IBI30" s="1266"/>
      <c r="IBJ30" s="1266"/>
      <c r="IBK30" s="1266"/>
      <c r="IBL30" s="1266"/>
      <c r="IBM30" s="1266"/>
      <c r="IBN30" s="1266"/>
      <c r="IBO30" s="1266"/>
      <c r="IBP30" s="1266"/>
      <c r="IBQ30" s="1266"/>
      <c r="IBR30" s="1266"/>
      <c r="IBS30" s="1266"/>
      <c r="IBT30" s="1266"/>
      <c r="IBU30" s="1266"/>
      <c r="IBV30" s="1266"/>
      <c r="IBW30" s="1266"/>
      <c r="IBX30" s="1266"/>
      <c r="IBY30" s="1266"/>
      <c r="IBZ30" s="1266"/>
      <c r="ICA30" s="1266"/>
      <c r="ICB30" s="1266"/>
      <c r="ICC30" s="1266"/>
      <c r="ICD30" s="1266"/>
      <c r="ICE30" s="1266"/>
      <c r="ICF30" s="1266"/>
      <c r="ICG30" s="1266"/>
      <c r="ICH30" s="1266"/>
      <c r="ICI30" s="1266"/>
      <c r="ICJ30" s="1266"/>
      <c r="ICK30" s="1266"/>
      <c r="ICL30" s="1266"/>
      <c r="ICM30" s="1266"/>
      <c r="ICN30" s="1266"/>
      <c r="ICO30" s="1266"/>
      <c r="ICP30" s="1266"/>
      <c r="ICQ30" s="1266"/>
      <c r="ICR30" s="1266"/>
      <c r="ICS30" s="1266"/>
      <c r="ICT30" s="1266"/>
      <c r="ICU30" s="1266"/>
      <c r="ICV30" s="1266"/>
      <c r="ICW30" s="1266"/>
      <c r="ICX30" s="1266"/>
      <c r="ICY30" s="1266"/>
      <c r="ICZ30" s="1266"/>
      <c r="IDA30" s="1266"/>
      <c r="IDB30" s="1266"/>
      <c r="IDC30" s="1266"/>
      <c r="IDD30" s="1266"/>
      <c r="IDE30" s="1266"/>
      <c r="IDF30" s="1266"/>
      <c r="IDG30" s="1266"/>
      <c r="IDH30" s="1266"/>
      <c r="IDI30" s="1266"/>
      <c r="IDJ30" s="1266"/>
      <c r="IDK30" s="1266"/>
      <c r="IDL30" s="1266"/>
      <c r="IDM30" s="1266"/>
      <c r="IDN30" s="1266"/>
      <c r="IDO30" s="1266"/>
      <c r="IDP30" s="1266"/>
      <c r="IDQ30" s="1266"/>
      <c r="IDR30" s="1266"/>
      <c r="IDS30" s="1266"/>
      <c r="IDT30" s="1266"/>
      <c r="IDU30" s="1266"/>
      <c r="IDV30" s="1266"/>
      <c r="IDW30" s="1266"/>
      <c r="IDX30" s="1266"/>
      <c r="IDY30" s="1266"/>
      <c r="IDZ30" s="1266"/>
      <c r="IEA30" s="1266"/>
      <c r="IEB30" s="1266"/>
      <c r="IEC30" s="1266"/>
      <c r="IED30" s="1266"/>
      <c r="IEE30" s="1266"/>
      <c r="IEF30" s="1266"/>
      <c r="IEG30" s="1266"/>
      <c r="IEH30" s="1266"/>
      <c r="IEI30" s="1266"/>
      <c r="IEJ30" s="1266"/>
      <c r="IEK30" s="1266"/>
      <c r="IEL30" s="1266"/>
      <c r="IEM30" s="1266"/>
      <c r="IEN30" s="1266"/>
      <c r="IEO30" s="1266"/>
      <c r="IEP30" s="1266"/>
      <c r="IEQ30" s="1266"/>
      <c r="IER30" s="1266"/>
      <c r="IES30" s="1266"/>
      <c r="IET30" s="1266"/>
      <c r="IEU30" s="1266"/>
      <c r="IEV30" s="1266"/>
      <c r="IEW30" s="1266"/>
      <c r="IEX30" s="1266"/>
      <c r="IEY30" s="1266"/>
      <c r="IEZ30" s="1266"/>
      <c r="IFA30" s="1266"/>
      <c r="IFB30" s="1266"/>
      <c r="IFC30" s="1266"/>
      <c r="IFD30" s="1266"/>
      <c r="IFE30" s="1266"/>
      <c r="IFF30" s="1266"/>
      <c r="IFG30" s="1266"/>
      <c r="IFH30" s="1266"/>
      <c r="IFI30" s="1266"/>
      <c r="IFJ30" s="1266"/>
      <c r="IFK30" s="1266"/>
      <c r="IFL30" s="1266"/>
      <c r="IFM30" s="1266"/>
      <c r="IFN30" s="1266"/>
      <c r="IFO30" s="1266"/>
      <c r="IFP30" s="1266"/>
      <c r="IFQ30" s="1266"/>
      <c r="IFR30" s="1266"/>
      <c r="IFS30" s="1266"/>
      <c r="IFT30" s="1266"/>
      <c r="IFU30" s="1266"/>
      <c r="IFV30" s="1266"/>
      <c r="IFW30" s="1266"/>
      <c r="IFX30" s="1266"/>
      <c r="IFY30" s="1266"/>
      <c r="IFZ30" s="1266"/>
      <c r="IGA30" s="1266"/>
      <c r="IGB30" s="1266"/>
      <c r="IGC30" s="1266"/>
      <c r="IGD30" s="1266"/>
      <c r="IGE30" s="1266"/>
      <c r="IGF30" s="1266"/>
      <c r="IGG30" s="1266"/>
      <c r="IGH30" s="1266"/>
      <c r="IGI30" s="1266"/>
      <c r="IGJ30" s="1266"/>
      <c r="IGK30" s="1266"/>
      <c r="IGL30" s="1266"/>
      <c r="IGM30" s="1266"/>
      <c r="IGN30" s="1266"/>
      <c r="IGO30" s="1266"/>
      <c r="IGP30" s="1266"/>
      <c r="IGQ30" s="1266"/>
      <c r="IGR30" s="1266"/>
      <c r="IGS30" s="1266"/>
      <c r="IGT30" s="1266"/>
      <c r="IGU30" s="1266"/>
      <c r="IGV30" s="1266"/>
      <c r="IGW30" s="1266"/>
      <c r="IGX30" s="1266"/>
      <c r="IGY30" s="1266"/>
      <c r="IGZ30" s="1266"/>
      <c r="IHA30" s="1266"/>
      <c r="IHB30" s="1266"/>
      <c r="IHC30" s="1266"/>
      <c r="IHD30" s="1266"/>
      <c r="IHE30" s="1266"/>
      <c r="IHF30" s="1266"/>
      <c r="IHG30" s="1266"/>
      <c r="IHH30" s="1266"/>
      <c r="IHI30" s="1266"/>
      <c r="IHJ30" s="1266"/>
      <c r="IHK30" s="1266"/>
      <c r="IHL30" s="1266"/>
      <c r="IHM30" s="1266"/>
      <c r="IHN30" s="1266"/>
      <c r="IHO30" s="1266"/>
      <c r="IHP30" s="1266"/>
      <c r="IHQ30" s="1266"/>
      <c r="IHR30" s="1266"/>
      <c r="IHS30" s="1266"/>
      <c r="IHT30" s="1266"/>
      <c r="IHU30" s="1266"/>
      <c r="IHV30" s="1266"/>
      <c r="IHW30" s="1266"/>
      <c r="IHX30" s="1266"/>
      <c r="IHY30" s="1266"/>
      <c r="IHZ30" s="1266"/>
      <c r="IIA30" s="1266"/>
      <c r="IIB30" s="1266"/>
      <c r="IIC30" s="1266"/>
      <c r="IID30" s="1266"/>
      <c r="IIE30" s="1266"/>
      <c r="IIF30" s="1266"/>
      <c r="IIG30" s="1266"/>
      <c r="IIH30" s="1266"/>
      <c r="III30" s="1266"/>
      <c r="IIJ30" s="1266"/>
      <c r="IIK30" s="1266"/>
      <c r="IIL30" s="1266"/>
      <c r="IIM30" s="1266"/>
      <c r="IIN30" s="1266"/>
      <c r="IIO30" s="1266"/>
      <c r="IIP30" s="1266"/>
      <c r="IIQ30" s="1266"/>
      <c r="IIR30" s="1266"/>
      <c r="IIS30" s="1266"/>
      <c r="IIT30" s="1266"/>
      <c r="IIU30" s="1266"/>
      <c r="IIV30" s="1266"/>
      <c r="IIW30" s="1266"/>
      <c r="IIX30" s="1266"/>
      <c r="IIY30" s="1266"/>
      <c r="IIZ30" s="1266"/>
      <c r="IJA30" s="1266"/>
      <c r="IJB30" s="1266"/>
      <c r="IJC30" s="1266"/>
      <c r="IJD30" s="1266"/>
      <c r="IJE30" s="1266"/>
      <c r="IJF30" s="1266"/>
      <c r="IJG30" s="1266"/>
      <c r="IJH30" s="1266"/>
      <c r="IJI30" s="1266"/>
      <c r="IJJ30" s="1266"/>
      <c r="IJK30" s="1266"/>
      <c r="IJL30" s="1266"/>
      <c r="IJM30" s="1266"/>
      <c r="IJN30" s="1266"/>
      <c r="IJO30" s="1266"/>
      <c r="IJP30" s="1266"/>
      <c r="IJQ30" s="1266"/>
      <c r="IJR30" s="1266"/>
      <c r="IJS30" s="1266"/>
      <c r="IJT30" s="1266"/>
      <c r="IJU30" s="1266"/>
      <c r="IJV30" s="1266"/>
      <c r="IJW30" s="1266"/>
      <c r="IJX30" s="1266"/>
      <c r="IJY30" s="1266"/>
      <c r="IJZ30" s="1266"/>
      <c r="IKA30" s="1266"/>
      <c r="IKB30" s="1266"/>
      <c r="IKC30" s="1266"/>
      <c r="IKD30" s="1266"/>
      <c r="IKE30" s="1266"/>
      <c r="IKF30" s="1266"/>
      <c r="IKG30" s="1266"/>
      <c r="IKH30" s="1266"/>
      <c r="IKI30" s="1266"/>
      <c r="IKJ30" s="1266"/>
      <c r="IKK30" s="1266"/>
      <c r="IKL30" s="1266"/>
      <c r="IKM30" s="1266"/>
      <c r="IKN30" s="1266"/>
      <c r="IKO30" s="1266"/>
      <c r="IKP30" s="1266"/>
      <c r="IKQ30" s="1266"/>
      <c r="IKR30" s="1266"/>
      <c r="IKS30" s="1266"/>
      <c r="IKT30" s="1266"/>
      <c r="IKU30" s="1266"/>
      <c r="IKV30" s="1266"/>
      <c r="IKW30" s="1266"/>
      <c r="IKX30" s="1266"/>
      <c r="IKY30" s="1266"/>
      <c r="IKZ30" s="1266"/>
      <c r="ILA30" s="1266"/>
      <c r="ILB30" s="1266"/>
      <c r="ILC30" s="1266"/>
      <c r="ILD30" s="1266"/>
      <c r="ILE30" s="1266"/>
      <c r="ILF30" s="1266"/>
      <c r="ILG30" s="1266"/>
      <c r="ILH30" s="1266"/>
      <c r="ILI30" s="1266"/>
      <c r="ILJ30" s="1266"/>
      <c r="ILK30" s="1266"/>
      <c r="ILL30" s="1266"/>
      <c r="ILM30" s="1266"/>
      <c r="ILN30" s="1266"/>
      <c r="ILO30" s="1266"/>
      <c r="ILP30" s="1266"/>
      <c r="ILQ30" s="1266"/>
      <c r="ILR30" s="1266"/>
      <c r="ILS30" s="1266"/>
      <c r="ILT30" s="1266"/>
      <c r="ILU30" s="1266"/>
      <c r="ILV30" s="1266"/>
      <c r="ILW30" s="1266"/>
      <c r="ILX30" s="1266"/>
      <c r="ILY30" s="1266"/>
      <c r="ILZ30" s="1266"/>
      <c r="IMA30" s="1266"/>
      <c r="IMB30" s="1266"/>
      <c r="IMC30" s="1266"/>
      <c r="IMD30" s="1266"/>
      <c r="IME30" s="1266"/>
      <c r="IMF30" s="1266"/>
      <c r="IMG30" s="1266"/>
      <c r="IMH30" s="1266"/>
      <c r="IMI30" s="1266"/>
      <c r="IMJ30" s="1266"/>
      <c r="IMK30" s="1266"/>
      <c r="IML30" s="1266"/>
      <c r="IMM30" s="1266"/>
      <c r="IMN30" s="1266"/>
      <c r="IMO30" s="1266"/>
      <c r="IMP30" s="1266"/>
      <c r="IMQ30" s="1266"/>
      <c r="IMR30" s="1266"/>
      <c r="IMS30" s="1266"/>
      <c r="IMT30" s="1266"/>
      <c r="IMU30" s="1266"/>
      <c r="IMV30" s="1266"/>
      <c r="IMW30" s="1266"/>
      <c r="IMX30" s="1266"/>
      <c r="IMY30" s="1266"/>
      <c r="IMZ30" s="1266"/>
      <c r="INA30" s="1266"/>
      <c r="INB30" s="1266"/>
      <c r="INC30" s="1266"/>
      <c r="IND30" s="1266"/>
      <c r="INE30" s="1266"/>
      <c r="INF30" s="1266"/>
      <c r="ING30" s="1266"/>
      <c r="INH30" s="1266"/>
      <c r="INI30" s="1266"/>
      <c r="INJ30" s="1266"/>
      <c r="INK30" s="1266"/>
      <c r="INL30" s="1266"/>
      <c r="INM30" s="1266"/>
      <c r="INN30" s="1266"/>
      <c r="INO30" s="1266"/>
      <c r="INP30" s="1266"/>
      <c r="INQ30" s="1266"/>
      <c r="INR30" s="1266"/>
      <c r="INS30" s="1266"/>
      <c r="INT30" s="1266"/>
      <c r="INU30" s="1266"/>
      <c r="INV30" s="1266"/>
      <c r="INW30" s="1266"/>
      <c r="INX30" s="1266"/>
      <c r="INY30" s="1266"/>
      <c r="INZ30" s="1266"/>
      <c r="IOA30" s="1266"/>
      <c r="IOB30" s="1266"/>
      <c r="IOC30" s="1266"/>
      <c r="IOD30" s="1266"/>
      <c r="IOE30" s="1266"/>
      <c r="IOF30" s="1266"/>
      <c r="IOG30" s="1266"/>
      <c r="IOH30" s="1266"/>
      <c r="IOI30" s="1266"/>
      <c r="IOJ30" s="1266"/>
      <c r="IOK30" s="1266"/>
      <c r="IOL30" s="1266"/>
      <c r="IOM30" s="1266"/>
      <c r="ION30" s="1266"/>
      <c r="IOO30" s="1266"/>
      <c r="IOP30" s="1266"/>
      <c r="IOQ30" s="1266"/>
      <c r="IOR30" s="1266"/>
      <c r="IOS30" s="1266"/>
      <c r="IOT30" s="1266"/>
      <c r="IOU30" s="1266"/>
      <c r="IOV30" s="1266"/>
      <c r="IOW30" s="1266"/>
      <c r="IOX30" s="1266"/>
      <c r="IOY30" s="1266"/>
      <c r="IOZ30" s="1266"/>
      <c r="IPA30" s="1266"/>
      <c r="IPB30" s="1266"/>
      <c r="IPC30" s="1266"/>
      <c r="IPD30" s="1266"/>
      <c r="IPE30" s="1266"/>
      <c r="IPF30" s="1266"/>
      <c r="IPG30" s="1266"/>
      <c r="IPH30" s="1266"/>
      <c r="IPI30" s="1266"/>
      <c r="IPJ30" s="1266"/>
      <c r="IPK30" s="1266"/>
      <c r="IPL30" s="1266"/>
      <c r="IPM30" s="1266"/>
      <c r="IPN30" s="1266"/>
      <c r="IPO30" s="1266"/>
      <c r="IPP30" s="1266"/>
      <c r="IPQ30" s="1266"/>
      <c r="IPR30" s="1266"/>
      <c r="IPS30" s="1266"/>
      <c r="IPT30" s="1266"/>
      <c r="IPU30" s="1266"/>
      <c r="IPV30" s="1266"/>
      <c r="IPW30" s="1266"/>
      <c r="IPX30" s="1266"/>
      <c r="IPY30" s="1266"/>
      <c r="IPZ30" s="1266"/>
      <c r="IQA30" s="1266"/>
      <c r="IQB30" s="1266"/>
      <c r="IQC30" s="1266"/>
      <c r="IQD30" s="1266"/>
      <c r="IQE30" s="1266"/>
      <c r="IQF30" s="1266"/>
      <c r="IQG30" s="1266"/>
      <c r="IQH30" s="1266"/>
      <c r="IQI30" s="1266"/>
      <c r="IQJ30" s="1266"/>
      <c r="IQK30" s="1266"/>
      <c r="IQL30" s="1266"/>
      <c r="IQM30" s="1266"/>
      <c r="IQN30" s="1266"/>
      <c r="IQO30" s="1266"/>
      <c r="IQP30" s="1266"/>
      <c r="IQQ30" s="1266"/>
      <c r="IQR30" s="1266"/>
      <c r="IQS30" s="1266"/>
      <c r="IQT30" s="1266"/>
      <c r="IQU30" s="1266"/>
      <c r="IQV30" s="1266"/>
      <c r="IQW30" s="1266"/>
      <c r="IQX30" s="1266"/>
      <c r="IQY30" s="1266"/>
      <c r="IQZ30" s="1266"/>
      <c r="IRA30" s="1266"/>
      <c r="IRB30" s="1266"/>
      <c r="IRC30" s="1266"/>
      <c r="IRD30" s="1266"/>
      <c r="IRE30" s="1266"/>
      <c r="IRF30" s="1266"/>
      <c r="IRG30" s="1266"/>
      <c r="IRH30" s="1266"/>
      <c r="IRI30" s="1266"/>
      <c r="IRJ30" s="1266"/>
      <c r="IRK30" s="1266"/>
      <c r="IRL30" s="1266"/>
      <c r="IRM30" s="1266"/>
      <c r="IRN30" s="1266"/>
      <c r="IRO30" s="1266"/>
      <c r="IRP30" s="1266"/>
      <c r="IRQ30" s="1266"/>
      <c r="IRR30" s="1266"/>
      <c r="IRS30" s="1266"/>
      <c r="IRT30" s="1266"/>
      <c r="IRU30" s="1266"/>
      <c r="IRV30" s="1266"/>
      <c r="IRW30" s="1266"/>
      <c r="IRX30" s="1266"/>
      <c r="IRY30" s="1266"/>
      <c r="IRZ30" s="1266"/>
      <c r="ISA30" s="1266"/>
      <c r="ISB30" s="1266"/>
      <c r="ISC30" s="1266"/>
      <c r="ISD30" s="1266"/>
      <c r="ISE30" s="1266"/>
      <c r="ISF30" s="1266"/>
      <c r="ISG30" s="1266"/>
      <c r="ISH30" s="1266"/>
      <c r="ISI30" s="1266"/>
      <c r="ISJ30" s="1266"/>
      <c r="ISK30" s="1266"/>
      <c r="ISL30" s="1266"/>
      <c r="ISM30" s="1266"/>
      <c r="ISN30" s="1266"/>
      <c r="ISO30" s="1266"/>
      <c r="ISP30" s="1266"/>
      <c r="ISQ30" s="1266"/>
      <c r="ISR30" s="1266"/>
      <c r="ISS30" s="1266"/>
      <c r="IST30" s="1266"/>
      <c r="ISU30" s="1266"/>
      <c r="ISV30" s="1266"/>
      <c r="ISW30" s="1266"/>
      <c r="ISX30" s="1266"/>
      <c r="ISY30" s="1266"/>
      <c r="ISZ30" s="1266"/>
      <c r="ITA30" s="1266"/>
      <c r="ITB30" s="1266"/>
      <c r="ITC30" s="1266"/>
      <c r="ITD30" s="1266"/>
      <c r="ITE30" s="1266"/>
      <c r="ITF30" s="1266"/>
      <c r="ITG30" s="1266"/>
      <c r="ITH30" s="1266"/>
      <c r="ITI30" s="1266"/>
      <c r="ITJ30" s="1266"/>
      <c r="ITK30" s="1266"/>
      <c r="ITL30" s="1266"/>
      <c r="ITM30" s="1266"/>
      <c r="ITN30" s="1266"/>
      <c r="ITO30" s="1266"/>
      <c r="ITP30" s="1266"/>
      <c r="ITQ30" s="1266"/>
      <c r="ITR30" s="1266"/>
      <c r="ITS30" s="1266"/>
      <c r="ITT30" s="1266"/>
      <c r="ITU30" s="1266"/>
      <c r="ITV30" s="1266"/>
      <c r="ITW30" s="1266"/>
      <c r="ITX30" s="1266"/>
      <c r="ITY30" s="1266"/>
      <c r="ITZ30" s="1266"/>
      <c r="IUA30" s="1266"/>
      <c r="IUB30" s="1266"/>
      <c r="IUC30" s="1266"/>
      <c r="IUD30" s="1266"/>
      <c r="IUE30" s="1266"/>
      <c r="IUF30" s="1266"/>
      <c r="IUG30" s="1266"/>
      <c r="IUH30" s="1266"/>
      <c r="IUI30" s="1266"/>
      <c r="IUJ30" s="1266"/>
      <c r="IUK30" s="1266"/>
      <c r="IUL30" s="1266"/>
      <c r="IUM30" s="1266"/>
      <c r="IUN30" s="1266"/>
      <c r="IUO30" s="1266"/>
      <c r="IUP30" s="1266"/>
      <c r="IUQ30" s="1266"/>
      <c r="IUR30" s="1266"/>
      <c r="IUS30" s="1266"/>
      <c r="IUT30" s="1266"/>
      <c r="IUU30" s="1266"/>
      <c r="IUV30" s="1266"/>
      <c r="IUW30" s="1266"/>
      <c r="IUX30" s="1266"/>
      <c r="IUY30" s="1266"/>
      <c r="IUZ30" s="1266"/>
      <c r="IVA30" s="1266"/>
      <c r="IVB30" s="1266"/>
      <c r="IVC30" s="1266"/>
      <c r="IVD30" s="1266"/>
      <c r="IVE30" s="1266"/>
      <c r="IVF30" s="1266"/>
      <c r="IVG30" s="1266"/>
      <c r="IVH30" s="1266"/>
      <c r="IVI30" s="1266"/>
      <c r="IVJ30" s="1266"/>
      <c r="IVK30" s="1266"/>
      <c r="IVL30" s="1266"/>
      <c r="IVM30" s="1266"/>
      <c r="IVN30" s="1266"/>
      <c r="IVO30" s="1266"/>
      <c r="IVP30" s="1266"/>
      <c r="IVQ30" s="1266"/>
      <c r="IVR30" s="1266"/>
      <c r="IVS30" s="1266"/>
      <c r="IVT30" s="1266"/>
      <c r="IVU30" s="1266"/>
      <c r="IVV30" s="1266"/>
      <c r="IVW30" s="1266"/>
      <c r="IVX30" s="1266"/>
      <c r="IVY30" s="1266"/>
      <c r="IVZ30" s="1266"/>
      <c r="IWA30" s="1266"/>
      <c r="IWB30" s="1266"/>
      <c r="IWC30" s="1266"/>
      <c r="IWD30" s="1266"/>
      <c r="IWE30" s="1266"/>
      <c r="IWF30" s="1266"/>
      <c r="IWG30" s="1266"/>
      <c r="IWH30" s="1266"/>
      <c r="IWI30" s="1266"/>
      <c r="IWJ30" s="1266"/>
      <c r="IWK30" s="1266"/>
      <c r="IWL30" s="1266"/>
      <c r="IWM30" s="1266"/>
      <c r="IWN30" s="1266"/>
      <c r="IWO30" s="1266"/>
      <c r="IWP30" s="1266"/>
      <c r="IWQ30" s="1266"/>
      <c r="IWR30" s="1266"/>
      <c r="IWS30" s="1266"/>
      <c r="IWT30" s="1266"/>
      <c r="IWU30" s="1266"/>
      <c r="IWV30" s="1266"/>
      <c r="IWW30" s="1266"/>
      <c r="IWX30" s="1266"/>
      <c r="IWY30" s="1266"/>
      <c r="IWZ30" s="1266"/>
      <c r="IXA30" s="1266"/>
      <c r="IXB30" s="1266"/>
      <c r="IXC30" s="1266"/>
      <c r="IXD30" s="1266"/>
      <c r="IXE30" s="1266"/>
      <c r="IXF30" s="1266"/>
      <c r="IXG30" s="1266"/>
      <c r="IXH30" s="1266"/>
      <c r="IXI30" s="1266"/>
      <c r="IXJ30" s="1266"/>
      <c r="IXK30" s="1266"/>
      <c r="IXL30" s="1266"/>
      <c r="IXM30" s="1266"/>
      <c r="IXN30" s="1266"/>
      <c r="IXO30" s="1266"/>
      <c r="IXP30" s="1266"/>
      <c r="IXQ30" s="1266"/>
      <c r="IXR30" s="1266"/>
      <c r="IXS30" s="1266"/>
      <c r="IXT30" s="1266"/>
      <c r="IXU30" s="1266"/>
      <c r="IXV30" s="1266"/>
      <c r="IXW30" s="1266"/>
      <c r="IXX30" s="1266"/>
      <c r="IXY30" s="1266"/>
      <c r="IXZ30" s="1266"/>
      <c r="IYA30" s="1266"/>
      <c r="IYB30" s="1266"/>
      <c r="IYC30" s="1266"/>
      <c r="IYD30" s="1266"/>
      <c r="IYE30" s="1266"/>
      <c r="IYF30" s="1266"/>
      <c r="IYG30" s="1266"/>
      <c r="IYH30" s="1266"/>
      <c r="IYI30" s="1266"/>
      <c r="IYJ30" s="1266"/>
      <c r="IYK30" s="1266"/>
      <c r="IYL30" s="1266"/>
      <c r="IYM30" s="1266"/>
      <c r="IYN30" s="1266"/>
      <c r="IYO30" s="1266"/>
      <c r="IYP30" s="1266"/>
      <c r="IYQ30" s="1266"/>
      <c r="IYR30" s="1266"/>
      <c r="IYS30" s="1266"/>
      <c r="IYT30" s="1266"/>
      <c r="IYU30" s="1266"/>
      <c r="IYV30" s="1266"/>
      <c r="IYW30" s="1266"/>
      <c r="IYX30" s="1266"/>
      <c r="IYY30" s="1266"/>
      <c r="IYZ30" s="1266"/>
      <c r="IZA30" s="1266"/>
      <c r="IZB30" s="1266"/>
      <c r="IZC30" s="1266"/>
      <c r="IZD30" s="1266"/>
      <c r="IZE30" s="1266"/>
      <c r="IZF30" s="1266"/>
      <c r="IZG30" s="1266"/>
      <c r="IZH30" s="1266"/>
      <c r="IZI30" s="1266"/>
      <c r="IZJ30" s="1266"/>
      <c r="IZK30" s="1266"/>
      <c r="IZL30" s="1266"/>
      <c r="IZM30" s="1266"/>
      <c r="IZN30" s="1266"/>
      <c r="IZO30" s="1266"/>
      <c r="IZP30" s="1266"/>
      <c r="IZQ30" s="1266"/>
      <c r="IZR30" s="1266"/>
      <c r="IZS30" s="1266"/>
      <c r="IZT30" s="1266"/>
      <c r="IZU30" s="1266"/>
      <c r="IZV30" s="1266"/>
      <c r="IZW30" s="1266"/>
      <c r="IZX30" s="1266"/>
      <c r="IZY30" s="1266"/>
      <c r="IZZ30" s="1266"/>
      <c r="JAA30" s="1266"/>
      <c r="JAB30" s="1266"/>
      <c r="JAC30" s="1266"/>
      <c r="JAD30" s="1266"/>
      <c r="JAE30" s="1266"/>
      <c r="JAF30" s="1266"/>
      <c r="JAG30" s="1266"/>
      <c r="JAH30" s="1266"/>
      <c r="JAI30" s="1266"/>
      <c r="JAJ30" s="1266"/>
      <c r="JAK30" s="1266"/>
      <c r="JAL30" s="1266"/>
      <c r="JAM30" s="1266"/>
      <c r="JAN30" s="1266"/>
      <c r="JAO30" s="1266"/>
      <c r="JAP30" s="1266"/>
      <c r="JAQ30" s="1266"/>
      <c r="JAR30" s="1266"/>
      <c r="JAS30" s="1266"/>
      <c r="JAT30" s="1266"/>
      <c r="JAU30" s="1266"/>
      <c r="JAV30" s="1266"/>
      <c r="JAW30" s="1266"/>
      <c r="JAX30" s="1266"/>
      <c r="JAY30" s="1266"/>
      <c r="JAZ30" s="1266"/>
      <c r="JBA30" s="1266"/>
      <c r="JBB30" s="1266"/>
      <c r="JBC30" s="1266"/>
      <c r="JBD30" s="1266"/>
      <c r="JBE30" s="1266"/>
      <c r="JBF30" s="1266"/>
      <c r="JBG30" s="1266"/>
      <c r="JBH30" s="1266"/>
      <c r="JBI30" s="1266"/>
      <c r="JBJ30" s="1266"/>
      <c r="JBK30" s="1266"/>
      <c r="JBL30" s="1266"/>
      <c r="JBM30" s="1266"/>
      <c r="JBN30" s="1266"/>
      <c r="JBO30" s="1266"/>
      <c r="JBP30" s="1266"/>
      <c r="JBQ30" s="1266"/>
      <c r="JBR30" s="1266"/>
      <c r="JBS30" s="1266"/>
      <c r="JBT30" s="1266"/>
      <c r="JBU30" s="1266"/>
      <c r="JBV30" s="1266"/>
      <c r="JBW30" s="1266"/>
      <c r="JBX30" s="1266"/>
      <c r="JBY30" s="1266"/>
      <c r="JBZ30" s="1266"/>
      <c r="JCA30" s="1266"/>
      <c r="JCB30" s="1266"/>
      <c r="JCC30" s="1266"/>
      <c r="JCD30" s="1266"/>
      <c r="JCE30" s="1266"/>
      <c r="JCF30" s="1266"/>
      <c r="JCG30" s="1266"/>
      <c r="JCH30" s="1266"/>
      <c r="JCI30" s="1266"/>
      <c r="JCJ30" s="1266"/>
      <c r="JCK30" s="1266"/>
      <c r="JCL30" s="1266"/>
      <c r="JCM30" s="1266"/>
      <c r="JCN30" s="1266"/>
      <c r="JCO30" s="1266"/>
      <c r="JCP30" s="1266"/>
      <c r="JCQ30" s="1266"/>
      <c r="JCR30" s="1266"/>
      <c r="JCS30" s="1266"/>
      <c r="JCT30" s="1266"/>
      <c r="JCU30" s="1266"/>
      <c r="JCV30" s="1266"/>
      <c r="JCW30" s="1266"/>
      <c r="JCX30" s="1266"/>
      <c r="JCY30" s="1266"/>
      <c r="JCZ30" s="1266"/>
      <c r="JDA30" s="1266"/>
      <c r="JDB30" s="1266"/>
      <c r="JDC30" s="1266"/>
      <c r="JDD30" s="1266"/>
      <c r="JDE30" s="1266"/>
      <c r="JDF30" s="1266"/>
      <c r="JDG30" s="1266"/>
      <c r="JDH30" s="1266"/>
      <c r="JDI30" s="1266"/>
      <c r="JDJ30" s="1266"/>
      <c r="JDK30" s="1266"/>
      <c r="JDL30" s="1266"/>
      <c r="JDM30" s="1266"/>
      <c r="JDN30" s="1266"/>
      <c r="JDO30" s="1266"/>
      <c r="JDP30" s="1266"/>
      <c r="JDQ30" s="1266"/>
      <c r="JDR30" s="1266"/>
      <c r="JDS30" s="1266"/>
      <c r="JDT30" s="1266"/>
      <c r="JDU30" s="1266"/>
      <c r="JDV30" s="1266"/>
      <c r="JDW30" s="1266"/>
      <c r="JDX30" s="1266"/>
      <c r="JDY30" s="1266"/>
      <c r="JDZ30" s="1266"/>
      <c r="JEA30" s="1266"/>
      <c r="JEB30" s="1266"/>
      <c r="JEC30" s="1266"/>
      <c r="JED30" s="1266"/>
      <c r="JEE30" s="1266"/>
      <c r="JEF30" s="1266"/>
      <c r="JEG30" s="1266"/>
      <c r="JEH30" s="1266"/>
      <c r="JEI30" s="1266"/>
      <c r="JEJ30" s="1266"/>
      <c r="JEK30" s="1266"/>
      <c r="JEL30" s="1266"/>
      <c r="JEM30" s="1266"/>
      <c r="JEN30" s="1266"/>
      <c r="JEO30" s="1266"/>
      <c r="JEP30" s="1266"/>
      <c r="JEQ30" s="1266"/>
      <c r="JER30" s="1266"/>
      <c r="JES30" s="1266"/>
      <c r="JET30" s="1266"/>
      <c r="JEU30" s="1266"/>
      <c r="JEV30" s="1266"/>
      <c r="JEW30" s="1266"/>
      <c r="JEX30" s="1266"/>
      <c r="JEY30" s="1266"/>
      <c r="JEZ30" s="1266"/>
      <c r="JFA30" s="1266"/>
      <c r="JFB30" s="1266"/>
      <c r="JFC30" s="1266"/>
      <c r="JFD30" s="1266"/>
      <c r="JFE30" s="1266"/>
      <c r="JFF30" s="1266"/>
      <c r="JFG30" s="1266"/>
      <c r="JFH30" s="1266"/>
      <c r="JFI30" s="1266"/>
      <c r="JFJ30" s="1266"/>
      <c r="JFK30" s="1266"/>
      <c r="JFL30" s="1266"/>
      <c r="JFM30" s="1266"/>
      <c r="JFN30" s="1266"/>
      <c r="JFO30" s="1266"/>
      <c r="JFP30" s="1266"/>
      <c r="JFQ30" s="1266"/>
      <c r="JFR30" s="1266"/>
      <c r="JFS30" s="1266"/>
      <c r="JFT30" s="1266"/>
      <c r="JFU30" s="1266"/>
      <c r="JFV30" s="1266"/>
      <c r="JFW30" s="1266"/>
      <c r="JFX30" s="1266"/>
      <c r="JFY30" s="1266"/>
      <c r="JFZ30" s="1266"/>
      <c r="JGA30" s="1266"/>
      <c r="JGB30" s="1266"/>
      <c r="JGC30" s="1266"/>
      <c r="JGD30" s="1266"/>
      <c r="JGE30" s="1266"/>
      <c r="JGF30" s="1266"/>
      <c r="JGG30" s="1266"/>
      <c r="JGH30" s="1266"/>
      <c r="JGI30" s="1266"/>
      <c r="JGJ30" s="1266"/>
      <c r="JGK30" s="1266"/>
      <c r="JGL30" s="1266"/>
      <c r="JGM30" s="1266"/>
      <c r="JGN30" s="1266"/>
      <c r="JGO30" s="1266"/>
      <c r="JGP30" s="1266"/>
      <c r="JGQ30" s="1266"/>
      <c r="JGR30" s="1266"/>
      <c r="JGS30" s="1266"/>
      <c r="JGT30" s="1266"/>
      <c r="JGU30" s="1266"/>
      <c r="JGV30" s="1266"/>
      <c r="JGW30" s="1266"/>
      <c r="JGX30" s="1266"/>
      <c r="JGY30" s="1266"/>
      <c r="JGZ30" s="1266"/>
      <c r="JHA30" s="1266"/>
      <c r="JHB30" s="1266"/>
      <c r="JHC30" s="1266"/>
      <c r="JHD30" s="1266"/>
      <c r="JHE30" s="1266"/>
      <c r="JHF30" s="1266"/>
      <c r="JHG30" s="1266"/>
      <c r="JHH30" s="1266"/>
      <c r="JHI30" s="1266"/>
      <c r="JHJ30" s="1266"/>
      <c r="JHK30" s="1266"/>
      <c r="JHL30" s="1266"/>
      <c r="JHM30" s="1266"/>
      <c r="JHN30" s="1266"/>
      <c r="JHO30" s="1266"/>
      <c r="JHP30" s="1266"/>
      <c r="JHQ30" s="1266"/>
      <c r="JHR30" s="1266"/>
      <c r="JHS30" s="1266"/>
      <c r="JHT30" s="1266"/>
      <c r="JHU30" s="1266"/>
      <c r="JHV30" s="1266"/>
      <c r="JHW30" s="1266"/>
      <c r="JHX30" s="1266"/>
      <c r="JHY30" s="1266"/>
      <c r="JHZ30" s="1266"/>
      <c r="JIA30" s="1266"/>
      <c r="JIB30" s="1266"/>
      <c r="JIC30" s="1266"/>
      <c r="JID30" s="1266"/>
      <c r="JIE30" s="1266"/>
      <c r="JIF30" s="1266"/>
      <c r="JIG30" s="1266"/>
      <c r="JIH30" s="1266"/>
      <c r="JII30" s="1266"/>
      <c r="JIJ30" s="1266"/>
      <c r="JIK30" s="1266"/>
      <c r="JIL30" s="1266"/>
      <c r="JIM30" s="1266"/>
      <c r="JIN30" s="1266"/>
      <c r="JIO30" s="1266"/>
      <c r="JIP30" s="1266"/>
      <c r="JIQ30" s="1266"/>
      <c r="JIR30" s="1266"/>
      <c r="JIS30" s="1266"/>
      <c r="JIT30" s="1266"/>
      <c r="JIU30" s="1266"/>
      <c r="JIV30" s="1266"/>
      <c r="JIW30" s="1266"/>
      <c r="JIX30" s="1266"/>
      <c r="JIY30" s="1266"/>
      <c r="JIZ30" s="1266"/>
      <c r="JJA30" s="1266"/>
      <c r="JJB30" s="1266"/>
      <c r="JJC30" s="1266"/>
      <c r="JJD30" s="1266"/>
      <c r="JJE30" s="1266"/>
      <c r="JJF30" s="1266"/>
      <c r="JJG30" s="1266"/>
      <c r="JJH30" s="1266"/>
      <c r="JJI30" s="1266"/>
      <c r="JJJ30" s="1266"/>
      <c r="JJK30" s="1266"/>
      <c r="JJL30" s="1266"/>
      <c r="JJM30" s="1266"/>
      <c r="JJN30" s="1266"/>
      <c r="JJO30" s="1266"/>
      <c r="JJP30" s="1266"/>
      <c r="JJQ30" s="1266"/>
      <c r="JJR30" s="1266"/>
      <c r="JJS30" s="1266"/>
      <c r="JJT30" s="1266"/>
      <c r="JJU30" s="1266"/>
      <c r="JJV30" s="1266"/>
      <c r="JJW30" s="1266"/>
      <c r="JJX30" s="1266"/>
      <c r="JJY30" s="1266"/>
      <c r="JJZ30" s="1266"/>
      <c r="JKA30" s="1266"/>
      <c r="JKB30" s="1266"/>
      <c r="JKC30" s="1266"/>
      <c r="JKD30" s="1266"/>
      <c r="JKE30" s="1266"/>
      <c r="JKF30" s="1266"/>
      <c r="JKG30" s="1266"/>
      <c r="JKH30" s="1266"/>
      <c r="JKI30" s="1266"/>
      <c r="JKJ30" s="1266"/>
      <c r="JKK30" s="1266"/>
      <c r="JKL30" s="1266"/>
      <c r="JKM30" s="1266"/>
      <c r="JKN30" s="1266"/>
      <c r="JKO30" s="1266"/>
      <c r="JKP30" s="1266"/>
      <c r="JKQ30" s="1266"/>
      <c r="JKR30" s="1266"/>
      <c r="JKS30" s="1266"/>
      <c r="JKT30" s="1266"/>
      <c r="JKU30" s="1266"/>
      <c r="JKV30" s="1266"/>
      <c r="JKW30" s="1266"/>
      <c r="JKX30" s="1266"/>
      <c r="JKY30" s="1266"/>
      <c r="JKZ30" s="1266"/>
      <c r="JLA30" s="1266"/>
      <c r="JLB30" s="1266"/>
      <c r="JLC30" s="1266"/>
      <c r="JLD30" s="1266"/>
      <c r="JLE30" s="1266"/>
      <c r="JLF30" s="1266"/>
      <c r="JLG30" s="1266"/>
      <c r="JLH30" s="1266"/>
      <c r="JLI30" s="1266"/>
      <c r="JLJ30" s="1266"/>
      <c r="JLK30" s="1266"/>
      <c r="JLL30" s="1266"/>
      <c r="JLM30" s="1266"/>
      <c r="JLN30" s="1266"/>
      <c r="JLO30" s="1266"/>
      <c r="JLP30" s="1266"/>
      <c r="JLQ30" s="1266"/>
      <c r="JLR30" s="1266"/>
      <c r="JLS30" s="1266"/>
      <c r="JLT30" s="1266"/>
      <c r="JLU30" s="1266"/>
      <c r="JLV30" s="1266"/>
      <c r="JLW30" s="1266"/>
      <c r="JLX30" s="1266"/>
      <c r="JLY30" s="1266"/>
      <c r="JLZ30" s="1266"/>
      <c r="JMA30" s="1266"/>
      <c r="JMB30" s="1266"/>
      <c r="JMC30" s="1266"/>
      <c r="JMD30" s="1266"/>
      <c r="JME30" s="1266"/>
      <c r="JMF30" s="1266"/>
      <c r="JMG30" s="1266"/>
      <c r="JMH30" s="1266"/>
      <c r="JMI30" s="1266"/>
      <c r="JMJ30" s="1266"/>
      <c r="JMK30" s="1266"/>
      <c r="JML30" s="1266"/>
      <c r="JMM30" s="1266"/>
      <c r="JMN30" s="1266"/>
      <c r="JMO30" s="1266"/>
      <c r="JMP30" s="1266"/>
      <c r="JMQ30" s="1266"/>
      <c r="JMR30" s="1266"/>
      <c r="JMS30" s="1266"/>
      <c r="JMT30" s="1266"/>
      <c r="JMU30" s="1266"/>
      <c r="JMV30" s="1266"/>
      <c r="JMW30" s="1266"/>
      <c r="JMX30" s="1266"/>
      <c r="JMY30" s="1266"/>
      <c r="JMZ30" s="1266"/>
      <c r="JNA30" s="1266"/>
      <c r="JNB30" s="1266"/>
      <c r="JNC30" s="1266"/>
      <c r="JND30" s="1266"/>
      <c r="JNE30" s="1266"/>
      <c r="JNF30" s="1266"/>
      <c r="JNG30" s="1266"/>
      <c r="JNH30" s="1266"/>
      <c r="JNI30" s="1266"/>
      <c r="JNJ30" s="1266"/>
      <c r="JNK30" s="1266"/>
      <c r="JNL30" s="1266"/>
      <c r="JNM30" s="1266"/>
      <c r="JNN30" s="1266"/>
      <c r="JNO30" s="1266"/>
      <c r="JNP30" s="1266"/>
      <c r="JNQ30" s="1266"/>
      <c r="JNR30" s="1266"/>
      <c r="JNS30" s="1266"/>
      <c r="JNT30" s="1266"/>
      <c r="JNU30" s="1266"/>
      <c r="JNV30" s="1266"/>
      <c r="JNW30" s="1266"/>
      <c r="JNX30" s="1266"/>
      <c r="JNY30" s="1266"/>
      <c r="JNZ30" s="1266"/>
      <c r="JOA30" s="1266"/>
      <c r="JOB30" s="1266"/>
      <c r="JOC30" s="1266"/>
      <c r="JOD30" s="1266"/>
      <c r="JOE30" s="1266"/>
      <c r="JOF30" s="1266"/>
      <c r="JOG30" s="1266"/>
      <c r="JOH30" s="1266"/>
      <c r="JOI30" s="1266"/>
      <c r="JOJ30" s="1266"/>
      <c r="JOK30" s="1266"/>
      <c r="JOL30" s="1266"/>
      <c r="JOM30" s="1266"/>
      <c r="JON30" s="1266"/>
      <c r="JOO30" s="1266"/>
      <c r="JOP30" s="1266"/>
      <c r="JOQ30" s="1266"/>
      <c r="JOR30" s="1266"/>
      <c r="JOS30" s="1266"/>
      <c r="JOT30" s="1266"/>
      <c r="JOU30" s="1266"/>
      <c r="JOV30" s="1266"/>
      <c r="JOW30" s="1266"/>
      <c r="JOX30" s="1266"/>
      <c r="JOY30" s="1266"/>
      <c r="JOZ30" s="1266"/>
      <c r="JPA30" s="1266"/>
      <c r="JPB30" s="1266"/>
      <c r="JPC30" s="1266"/>
      <c r="JPD30" s="1266"/>
      <c r="JPE30" s="1266"/>
      <c r="JPF30" s="1266"/>
      <c r="JPG30" s="1266"/>
      <c r="JPH30" s="1266"/>
      <c r="JPI30" s="1266"/>
      <c r="JPJ30" s="1266"/>
      <c r="JPK30" s="1266"/>
      <c r="JPL30" s="1266"/>
      <c r="JPM30" s="1266"/>
      <c r="JPN30" s="1266"/>
      <c r="JPO30" s="1266"/>
      <c r="JPP30" s="1266"/>
      <c r="JPQ30" s="1266"/>
      <c r="JPR30" s="1266"/>
      <c r="JPS30" s="1266"/>
      <c r="JPT30" s="1266"/>
      <c r="JPU30" s="1266"/>
      <c r="JPV30" s="1266"/>
      <c r="JPW30" s="1266"/>
      <c r="JPX30" s="1266"/>
      <c r="JPY30" s="1266"/>
      <c r="JPZ30" s="1266"/>
      <c r="JQA30" s="1266"/>
      <c r="JQB30" s="1266"/>
      <c r="JQC30" s="1266"/>
      <c r="JQD30" s="1266"/>
      <c r="JQE30" s="1266"/>
      <c r="JQF30" s="1266"/>
      <c r="JQG30" s="1266"/>
      <c r="JQH30" s="1266"/>
      <c r="JQI30" s="1266"/>
      <c r="JQJ30" s="1266"/>
      <c r="JQK30" s="1266"/>
      <c r="JQL30" s="1266"/>
      <c r="JQM30" s="1266"/>
      <c r="JQN30" s="1266"/>
      <c r="JQO30" s="1266"/>
      <c r="JQP30" s="1266"/>
      <c r="JQQ30" s="1266"/>
      <c r="JQR30" s="1266"/>
      <c r="JQS30" s="1266"/>
      <c r="JQT30" s="1266"/>
      <c r="JQU30" s="1266"/>
      <c r="JQV30" s="1266"/>
      <c r="JQW30" s="1266"/>
      <c r="JQX30" s="1266"/>
      <c r="JQY30" s="1266"/>
      <c r="JQZ30" s="1266"/>
      <c r="JRA30" s="1266"/>
      <c r="JRB30" s="1266"/>
      <c r="JRC30" s="1266"/>
      <c r="JRD30" s="1266"/>
      <c r="JRE30" s="1266"/>
      <c r="JRF30" s="1266"/>
      <c r="JRG30" s="1266"/>
      <c r="JRH30" s="1266"/>
      <c r="JRI30" s="1266"/>
      <c r="JRJ30" s="1266"/>
      <c r="JRK30" s="1266"/>
      <c r="JRL30" s="1266"/>
      <c r="JRM30" s="1266"/>
      <c r="JRN30" s="1266"/>
      <c r="JRO30" s="1266"/>
      <c r="JRP30" s="1266"/>
      <c r="JRQ30" s="1266"/>
      <c r="JRR30" s="1266"/>
      <c r="JRS30" s="1266"/>
      <c r="JRT30" s="1266"/>
      <c r="JRU30" s="1266"/>
      <c r="JRV30" s="1266"/>
      <c r="JRW30" s="1266"/>
      <c r="JRX30" s="1266"/>
      <c r="JRY30" s="1266"/>
      <c r="JRZ30" s="1266"/>
      <c r="JSA30" s="1266"/>
      <c r="JSB30" s="1266"/>
      <c r="JSC30" s="1266"/>
      <c r="JSD30" s="1266"/>
      <c r="JSE30" s="1266"/>
      <c r="JSF30" s="1266"/>
      <c r="JSG30" s="1266"/>
      <c r="JSH30" s="1266"/>
      <c r="JSI30" s="1266"/>
      <c r="JSJ30" s="1266"/>
      <c r="JSK30" s="1266"/>
      <c r="JSL30" s="1266"/>
      <c r="JSM30" s="1266"/>
      <c r="JSN30" s="1266"/>
      <c r="JSO30" s="1266"/>
      <c r="JSP30" s="1266"/>
      <c r="JSQ30" s="1266"/>
      <c r="JSR30" s="1266"/>
      <c r="JSS30" s="1266"/>
      <c r="JST30" s="1266"/>
      <c r="JSU30" s="1266"/>
      <c r="JSV30" s="1266"/>
      <c r="JSW30" s="1266"/>
      <c r="JSX30" s="1266"/>
      <c r="JSY30" s="1266"/>
      <c r="JSZ30" s="1266"/>
      <c r="JTA30" s="1266"/>
      <c r="JTB30" s="1266"/>
      <c r="JTC30" s="1266"/>
      <c r="JTD30" s="1266"/>
      <c r="JTE30" s="1266"/>
      <c r="JTF30" s="1266"/>
      <c r="JTG30" s="1266"/>
      <c r="JTH30" s="1266"/>
      <c r="JTI30" s="1266"/>
      <c r="JTJ30" s="1266"/>
      <c r="JTK30" s="1266"/>
      <c r="JTL30" s="1266"/>
      <c r="JTM30" s="1266"/>
      <c r="JTN30" s="1266"/>
      <c r="JTO30" s="1266"/>
      <c r="JTP30" s="1266"/>
      <c r="JTQ30" s="1266"/>
      <c r="JTR30" s="1266"/>
      <c r="JTS30" s="1266"/>
      <c r="JTT30" s="1266"/>
      <c r="JTU30" s="1266"/>
      <c r="JTV30" s="1266"/>
      <c r="JTW30" s="1266"/>
      <c r="JTX30" s="1266"/>
      <c r="JTY30" s="1266"/>
      <c r="JTZ30" s="1266"/>
      <c r="JUA30" s="1266"/>
      <c r="JUB30" s="1266"/>
      <c r="JUC30" s="1266"/>
      <c r="JUD30" s="1266"/>
      <c r="JUE30" s="1266"/>
      <c r="JUF30" s="1266"/>
      <c r="JUG30" s="1266"/>
      <c r="JUH30" s="1266"/>
      <c r="JUI30" s="1266"/>
      <c r="JUJ30" s="1266"/>
      <c r="JUK30" s="1266"/>
      <c r="JUL30" s="1266"/>
      <c r="JUM30" s="1266"/>
      <c r="JUN30" s="1266"/>
      <c r="JUO30" s="1266"/>
      <c r="JUP30" s="1266"/>
      <c r="JUQ30" s="1266"/>
      <c r="JUR30" s="1266"/>
      <c r="JUS30" s="1266"/>
      <c r="JUT30" s="1266"/>
      <c r="JUU30" s="1266"/>
      <c r="JUV30" s="1266"/>
      <c r="JUW30" s="1266"/>
      <c r="JUX30" s="1266"/>
      <c r="JUY30" s="1266"/>
      <c r="JUZ30" s="1266"/>
      <c r="JVA30" s="1266"/>
      <c r="JVB30" s="1266"/>
      <c r="JVC30" s="1266"/>
      <c r="JVD30" s="1266"/>
      <c r="JVE30" s="1266"/>
      <c r="JVF30" s="1266"/>
      <c r="JVG30" s="1266"/>
      <c r="JVH30" s="1266"/>
      <c r="JVI30" s="1266"/>
      <c r="JVJ30" s="1266"/>
      <c r="JVK30" s="1266"/>
      <c r="JVL30" s="1266"/>
      <c r="JVM30" s="1266"/>
      <c r="JVN30" s="1266"/>
      <c r="JVO30" s="1266"/>
      <c r="JVP30" s="1266"/>
      <c r="JVQ30" s="1266"/>
      <c r="JVR30" s="1266"/>
      <c r="JVS30" s="1266"/>
      <c r="JVT30" s="1266"/>
      <c r="JVU30" s="1266"/>
      <c r="JVV30" s="1266"/>
      <c r="JVW30" s="1266"/>
      <c r="JVX30" s="1266"/>
      <c r="JVY30" s="1266"/>
      <c r="JVZ30" s="1266"/>
      <c r="JWA30" s="1266"/>
      <c r="JWB30" s="1266"/>
      <c r="JWC30" s="1266"/>
      <c r="JWD30" s="1266"/>
      <c r="JWE30" s="1266"/>
      <c r="JWF30" s="1266"/>
      <c r="JWG30" s="1266"/>
      <c r="JWH30" s="1266"/>
      <c r="JWI30" s="1266"/>
      <c r="JWJ30" s="1266"/>
      <c r="JWK30" s="1266"/>
      <c r="JWL30" s="1266"/>
      <c r="JWM30" s="1266"/>
      <c r="JWN30" s="1266"/>
      <c r="JWO30" s="1266"/>
      <c r="JWP30" s="1266"/>
      <c r="JWQ30" s="1266"/>
      <c r="JWR30" s="1266"/>
      <c r="JWS30" s="1266"/>
      <c r="JWT30" s="1266"/>
      <c r="JWU30" s="1266"/>
      <c r="JWV30" s="1266"/>
      <c r="JWW30" s="1266"/>
      <c r="JWX30" s="1266"/>
      <c r="JWY30" s="1266"/>
      <c r="JWZ30" s="1266"/>
      <c r="JXA30" s="1266"/>
      <c r="JXB30" s="1266"/>
      <c r="JXC30" s="1266"/>
      <c r="JXD30" s="1266"/>
      <c r="JXE30" s="1266"/>
      <c r="JXF30" s="1266"/>
      <c r="JXG30" s="1266"/>
      <c r="JXH30" s="1266"/>
      <c r="JXI30" s="1266"/>
      <c r="JXJ30" s="1266"/>
      <c r="JXK30" s="1266"/>
      <c r="JXL30" s="1266"/>
      <c r="JXM30" s="1266"/>
      <c r="JXN30" s="1266"/>
      <c r="JXO30" s="1266"/>
      <c r="JXP30" s="1266"/>
      <c r="JXQ30" s="1266"/>
      <c r="JXR30" s="1266"/>
      <c r="JXS30" s="1266"/>
      <c r="JXT30" s="1266"/>
      <c r="JXU30" s="1266"/>
      <c r="JXV30" s="1266"/>
      <c r="JXW30" s="1266"/>
      <c r="JXX30" s="1266"/>
      <c r="JXY30" s="1266"/>
      <c r="JXZ30" s="1266"/>
      <c r="JYA30" s="1266"/>
      <c r="JYB30" s="1266"/>
      <c r="JYC30" s="1266"/>
      <c r="JYD30" s="1266"/>
      <c r="JYE30" s="1266"/>
      <c r="JYF30" s="1266"/>
      <c r="JYG30" s="1266"/>
      <c r="JYH30" s="1266"/>
      <c r="JYI30" s="1266"/>
      <c r="JYJ30" s="1266"/>
      <c r="JYK30" s="1266"/>
      <c r="JYL30" s="1266"/>
      <c r="JYM30" s="1266"/>
      <c r="JYN30" s="1266"/>
      <c r="JYO30" s="1266"/>
      <c r="JYP30" s="1266"/>
      <c r="JYQ30" s="1266"/>
      <c r="JYR30" s="1266"/>
      <c r="JYS30" s="1266"/>
      <c r="JYT30" s="1266"/>
      <c r="JYU30" s="1266"/>
      <c r="JYV30" s="1266"/>
      <c r="JYW30" s="1266"/>
      <c r="JYX30" s="1266"/>
      <c r="JYY30" s="1266"/>
      <c r="JYZ30" s="1266"/>
      <c r="JZA30" s="1266"/>
      <c r="JZB30" s="1266"/>
      <c r="JZC30" s="1266"/>
      <c r="JZD30" s="1266"/>
      <c r="JZE30" s="1266"/>
      <c r="JZF30" s="1266"/>
      <c r="JZG30" s="1266"/>
      <c r="JZH30" s="1266"/>
      <c r="JZI30" s="1266"/>
      <c r="JZJ30" s="1266"/>
      <c r="JZK30" s="1266"/>
      <c r="JZL30" s="1266"/>
      <c r="JZM30" s="1266"/>
      <c r="JZN30" s="1266"/>
      <c r="JZO30" s="1266"/>
      <c r="JZP30" s="1266"/>
      <c r="JZQ30" s="1266"/>
      <c r="JZR30" s="1266"/>
      <c r="JZS30" s="1266"/>
      <c r="JZT30" s="1266"/>
      <c r="JZU30" s="1266"/>
      <c r="JZV30" s="1266"/>
      <c r="JZW30" s="1266"/>
      <c r="JZX30" s="1266"/>
      <c r="JZY30" s="1266"/>
      <c r="JZZ30" s="1266"/>
      <c r="KAA30" s="1266"/>
      <c r="KAB30" s="1266"/>
      <c r="KAC30" s="1266"/>
      <c r="KAD30" s="1266"/>
      <c r="KAE30" s="1266"/>
      <c r="KAF30" s="1266"/>
      <c r="KAG30" s="1266"/>
      <c r="KAH30" s="1266"/>
      <c r="KAI30" s="1266"/>
      <c r="KAJ30" s="1266"/>
      <c r="KAK30" s="1266"/>
      <c r="KAL30" s="1266"/>
      <c r="KAM30" s="1266"/>
      <c r="KAN30" s="1266"/>
      <c r="KAO30" s="1266"/>
      <c r="KAP30" s="1266"/>
      <c r="KAQ30" s="1266"/>
      <c r="KAR30" s="1266"/>
      <c r="KAS30" s="1266"/>
      <c r="KAT30" s="1266"/>
      <c r="KAU30" s="1266"/>
      <c r="KAV30" s="1266"/>
      <c r="KAW30" s="1266"/>
      <c r="KAX30" s="1266"/>
      <c r="KAY30" s="1266"/>
      <c r="KAZ30" s="1266"/>
      <c r="KBA30" s="1266"/>
      <c r="KBB30" s="1266"/>
      <c r="KBC30" s="1266"/>
      <c r="KBD30" s="1266"/>
      <c r="KBE30" s="1266"/>
      <c r="KBF30" s="1266"/>
      <c r="KBG30" s="1266"/>
      <c r="KBH30" s="1266"/>
      <c r="KBI30" s="1266"/>
      <c r="KBJ30" s="1266"/>
      <c r="KBK30" s="1266"/>
      <c r="KBL30" s="1266"/>
      <c r="KBM30" s="1266"/>
      <c r="KBN30" s="1266"/>
      <c r="KBO30" s="1266"/>
      <c r="KBP30" s="1266"/>
      <c r="KBQ30" s="1266"/>
      <c r="KBR30" s="1266"/>
      <c r="KBS30" s="1266"/>
      <c r="KBT30" s="1266"/>
      <c r="KBU30" s="1266"/>
      <c r="KBV30" s="1266"/>
      <c r="KBW30" s="1266"/>
      <c r="KBX30" s="1266"/>
      <c r="KBY30" s="1266"/>
      <c r="KBZ30" s="1266"/>
      <c r="KCA30" s="1266"/>
      <c r="KCB30" s="1266"/>
      <c r="KCC30" s="1266"/>
      <c r="KCD30" s="1266"/>
      <c r="KCE30" s="1266"/>
      <c r="KCF30" s="1266"/>
      <c r="KCG30" s="1266"/>
      <c r="KCH30" s="1266"/>
      <c r="KCI30" s="1266"/>
      <c r="KCJ30" s="1266"/>
      <c r="KCK30" s="1266"/>
      <c r="KCL30" s="1266"/>
      <c r="KCM30" s="1266"/>
      <c r="KCN30" s="1266"/>
      <c r="KCO30" s="1266"/>
      <c r="KCP30" s="1266"/>
      <c r="KCQ30" s="1266"/>
      <c r="KCR30" s="1266"/>
      <c r="KCS30" s="1266"/>
      <c r="KCT30" s="1266"/>
      <c r="KCU30" s="1266"/>
      <c r="KCV30" s="1266"/>
      <c r="KCW30" s="1266"/>
      <c r="KCX30" s="1266"/>
      <c r="KCY30" s="1266"/>
      <c r="KCZ30" s="1266"/>
      <c r="KDA30" s="1266"/>
      <c r="KDB30" s="1266"/>
      <c r="KDC30" s="1266"/>
      <c r="KDD30" s="1266"/>
      <c r="KDE30" s="1266"/>
      <c r="KDF30" s="1266"/>
      <c r="KDG30" s="1266"/>
      <c r="KDH30" s="1266"/>
      <c r="KDI30" s="1266"/>
      <c r="KDJ30" s="1266"/>
      <c r="KDK30" s="1266"/>
      <c r="KDL30" s="1266"/>
      <c r="KDM30" s="1266"/>
      <c r="KDN30" s="1266"/>
      <c r="KDO30" s="1266"/>
      <c r="KDP30" s="1266"/>
      <c r="KDQ30" s="1266"/>
      <c r="KDR30" s="1266"/>
      <c r="KDS30" s="1266"/>
      <c r="KDT30" s="1266"/>
      <c r="KDU30" s="1266"/>
      <c r="KDV30" s="1266"/>
      <c r="KDW30" s="1266"/>
      <c r="KDX30" s="1266"/>
      <c r="KDY30" s="1266"/>
      <c r="KDZ30" s="1266"/>
      <c r="KEA30" s="1266"/>
      <c r="KEB30" s="1266"/>
      <c r="KEC30" s="1266"/>
      <c r="KED30" s="1266"/>
      <c r="KEE30" s="1266"/>
      <c r="KEF30" s="1266"/>
      <c r="KEG30" s="1266"/>
      <c r="KEH30" s="1266"/>
      <c r="KEI30" s="1266"/>
      <c r="KEJ30" s="1266"/>
      <c r="KEK30" s="1266"/>
      <c r="KEL30" s="1266"/>
      <c r="KEM30" s="1266"/>
      <c r="KEN30" s="1266"/>
      <c r="KEO30" s="1266"/>
      <c r="KEP30" s="1266"/>
      <c r="KEQ30" s="1266"/>
      <c r="KER30" s="1266"/>
      <c r="KES30" s="1266"/>
      <c r="KET30" s="1266"/>
      <c r="KEU30" s="1266"/>
      <c r="KEV30" s="1266"/>
      <c r="KEW30" s="1266"/>
      <c r="KEX30" s="1266"/>
      <c r="KEY30" s="1266"/>
      <c r="KEZ30" s="1266"/>
      <c r="KFA30" s="1266"/>
      <c r="KFB30" s="1266"/>
      <c r="KFC30" s="1266"/>
      <c r="KFD30" s="1266"/>
      <c r="KFE30" s="1266"/>
      <c r="KFF30" s="1266"/>
      <c r="KFG30" s="1266"/>
      <c r="KFH30" s="1266"/>
      <c r="KFI30" s="1266"/>
      <c r="KFJ30" s="1266"/>
      <c r="KFK30" s="1266"/>
      <c r="KFL30" s="1266"/>
      <c r="KFM30" s="1266"/>
      <c r="KFN30" s="1266"/>
      <c r="KFO30" s="1266"/>
      <c r="KFP30" s="1266"/>
      <c r="KFQ30" s="1266"/>
      <c r="KFR30" s="1266"/>
      <c r="KFS30" s="1266"/>
      <c r="KFT30" s="1266"/>
      <c r="KFU30" s="1266"/>
      <c r="KFV30" s="1266"/>
      <c r="KFW30" s="1266"/>
      <c r="KFX30" s="1266"/>
      <c r="KFY30" s="1266"/>
      <c r="KFZ30" s="1266"/>
      <c r="KGA30" s="1266"/>
      <c r="KGB30" s="1266"/>
      <c r="KGC30" s="1266"/>
      <c r="KGD30" s="1266"/>
      <c r="KGE30" s="1266"/>
      <c r="KGF30" s="1266"/>
      <c r="KGG30" s="1266"/>
      <c r="KGH30" s="1266"/>
      <c r="KGI30" s="1266"/>
      <c r="KGJ30" s="1266"/>
      <c r="KGK30" s="1266"/>
      <c r="KGL30" s="1266"/>
      <c r="KGM30" s="1266"/>
      <c r="KGN30" s="1266"/>
      <c r="KGO30" s="1266"/>
      <c r="KGP30" s="1266"/>
      <c r="KGQ30" s="1266"/>
      <c r="KGR30" s="1266"/>
      <c r="KGS30" s="1266"/>
      <c r="KGT30" s="1266"/>
      <c r="KGU30" s="1266"/>
      <c r="KGV30" s="1266"/>
      <c r="KGW30" s="1266"/>
      <c r="KGX30" s="1266"/>
      <c r="KGY30" s="1266"/>
      <c r="KGZ30" s="1266"/>
      <c r="KHA30" s="1266"/>
      <c r="KHB30" s="1266"/>
      <c r="KHC30" s="1266"/>
      <c r="KHD30" s="1266"/>
      <c r="KHE30" s="1266"/>
      <c r="KHF30" s="1266"/>
      <c r="KHG30" s="1266"/>
      <c r="KHH30" s="1266"/>
      <c r="KHI30" s="1266"/>
      <c r="KHJ30" s="1266"/>
      <c r="KHK30" s="1266"/>
      <c r="KHL30" s="1266"/>
      <c r="KHM30" s="1266"/>
      <c r="KHN30" s="1266"/>
      <c r="KHO30" s="1266"/>
      <c r="KHP30" s="1266"/>
      <c r="KHQ30" s="1266"/>
      <c r="KHR30" s="1266"/>
      <c r="KHS30" s="1266"/>
      <c r="KHT30" s="1266"/>
      <c r="KHU30" s="1266"/>
      <c r="KHV30" s="1266"/>
      <c r="KHW30" s="1266"/>
      <c r="KHX30" s="1266"/>
      <c r="KHY30" s="1266"/>
      <c r="KHZ30" s="1266"/>
      <c r="KIA30" s="1266"/>
      <c r="KIB30" s="1266"/>
      <c r="KIC30" s="1266"/>
      <c r="KID30" s="1266"/>
      <c r="KIE30" s="1266"/>
      <c r="KIF30" s="1266"/>
      <c r="KIG30" s="1266"/>
      <c r="KIH30" s="1266"/>
      <c r="KII30" s="1266"/>
      <c r="KIJ30" s="1266"/>
      <c r="KIK30" s="1266"/>
      <c r="KIL30" s="1266"/>
      <c r="KIM30" s="1266"/>
      <c r="KIN30" s="1266"/>
      <c r="KIO30" s="1266"/>
      <c r="KIP30" s="1266"/>
      <c r="KIQ30" s="1266"/>
      <c r="KIR30" s="1266"/>
      <c r="KIS30" s="1266"/>
      <c r="KIT30" s="1266"/>
      <c r="KIU30" s="1266"/>
      <c r="KIV30" s="1266"/>
      <c r="KIW30" s="1266"/>
      <c r="KIX30" s="1266"/>
      <c r="KIY30" s="1266"/>
      <c r="KIZ30" s="1266"/>
      <c r="KJA30" s="1266"/>
      <c r="KJB30" s="1266"/>
      <c r="KJC30" s="1266"/>
      <c r="KJD30" s="1266"/>
      <c r="KJE30" s="1266"/>
      <c r="KJF30" s="1266"/>
      <c r="KJG30" s="1266"/>
      <c r="KJH30" s="1266"/>
      <c r="KJI30" s="1266"/>
      <c r="KJJ30" s="1266"/>
      <c r="KJK30" s="1266"/>
      <c r="KJL30" s="1266"/>
      <c r="KJM30" s="1266"/>
      <c r="KJN30" s="1266"/>
      <c r="KJO30" s="1266"/>
      <c r="KJP30" s="1266"/>
      <c r="KJQ30" s="1266"/>
      <c r="KJR30" s="1266"/>
      <c r="KJS30" s="1266"/>
      <c r="KJT30" s="1266"/>
      <c r="KJU30" s="1266"/>
      <c r="KJV30" s="1266"/>
      <c r="KJW30" s="1266"/>
      <c r="KJX30" s="1266"/>
      <c r="KJY30" s="1266"/>
      <c r="KJZ30" s="1266"/>
      <c r="KKA30" s="1266"/>
      <c r="KKB30" s="1266"/>
      <c r="KKC30" s="1266"/>
      <c r="KKD30" s="1266"/>
      <c r="KKE30" s="1266"/>
      <c r="KKF30" s="1266"/>
      <c r="KKG30" s="1266"/>
      <c r="KKH30" s="1266"/>
      <c r="KKI30" s="1266"/>
      <c r="KKJ30" s="1266"/>
      <c r="KKK30" s="1266"/>
      <c r="KKL30" s="1266"/>
      <c r="KKM30" s="1266"/>
      <c r="KKN30" s="1266"/>
      <c r="KKO30" s="1266"/>
      <c r="KKP30" s="1266"/>
      <c r="KKQ30" s="1266"/>
      <c r="KKR30" s="1266"/>
      <c r="KKS30" s="1266"/>
      <c r="KKT30" s="1266"/>
      <c r="KKU30" s="1266"/>
      <c r="KKV30" s="1266"/>
      <c r="KKW30" s="1266"/>
      <c r="KKX30" s="1266"/>
      <c r="KKY30" s="1266"/>
      <c r="KKZ30" s="1266"/>
      <c r="KLA30" s="1266"/>
      <c r="KLB30" s="1266"/>
      <c r="KLC30" s="1266"/>
      <c r="KLD30" s="1266"/>
      <c r="KLE30" s="1266"/>
      <c r="KLF30" s="1266"/>
      <c r="KLG30" s="1266"/>
      <c r="KLH30" s="1266"/>
      <c r="KLI30" s="1266"/>
      <c r="KLJ30" s="1266"/>
      <c r="KLK30" s="1266"/>
      <c r="KLL30" s="1266"/>
      <c r="KLM30" s="1266"/>
      <c r="KLN30" s="1266"/>
      <c r="KLO30" s="1266"/>
      <c r="KLP30" s="1266"/>
      <c r="KLQ30" s="1266"/>
      <c r="KLR30" s="1266"/>
      <c r="KLS30" s="1266"/>
      <c r="KLT30" s="1266"/>
      <c r="KLU30" s="1266"/>
      <c r="KLV30" s="1266"/>
      <c r="KLW30" s="1266"/>
      <c r="KLX30" s="1266"/>
      <c r="KLY30" s="1266"/>
      <c r="KLZ30" s="1266"/>
      <c r="KMA30" s="1266"/>
      <c r="KMB30" s="1266"/>
      <c r="KMC30" s="1266"/>
      <c r="KMD30" s="1266"/>
      <c r="KME30" s="1266"/>
      <c r="KMF30" s="1266"/>
      <c r="KMG30" s="1266"/>
      <c r="KMH30" s="1266"/>
      <c r="KMI30" s="1266"/>
      <c r="KMJ30" s="1266"/>
      <c r="KMK30" s="1266"/>
      <c r="KML30" s="1266"/>
      <c r="KMM30" s="1266"/>
      <c r="KMN30" s="1266"/>
      <c r="KMO30" s="1266"/>
      <c r="KMP30" s="1266"/>
      <c r="KMQ30" s="1266"/>
      <c r="KMR30" s="1266"/>
      <c r="KMS30" s="1266"/>
      <c r="KMT30" s="1266"/>
      <c r="KMU30" s="1266"/>
      <c r="KMV30" s="1266"/>
      <c r="KMW30" s="1266"/>
      <c r="KMX30" s="1266"/>
      <c r="KMY30" s="1266"/>
      <c r="KMZ30" s="1266"/>
      <c r="KNA30" s="1266"/>
      <c r="KNB30" s="1266"/>
      <c r="KNC30" s="1266"/>
      <c r="KND30" s="1266"/>
      <c r="KNE30" s="1266"/>
      <c r="KNF30" s="1266"/>
      <c r="KNG30" s="1266"/>
      <c r="KNH30" s="1266"/>
      <c r="KNI30" s="1266"/>
      <c r="KNJ30" s="1266"/>
      <c r="KNK30" s="1266"/>
      <c r="KNL30" s="1266"/>
      <c r="KNM30" s="1266"/>
      <c r="KNN30" s="1266"/>
      <c r="KNO30" s="1266"/>
      <c r="KNP30" s="1266"/>
      <c r="KNQ30" s="1266"/>
      <c r="KNR30" s="1266"/>
      <c r="KNS30" s="1266"/>
      <c r="KNT30" s="1266"/>
      <c r="KNU30" s="1266"/>
      <c r="KNV30" s="1266"/>
      <c r="KNW30" s="1266"/>
      <c r="KNX30" s="1266"/>
      <c r="KNY30" s="1266"/>
      <c r="KNZ30" s="1266"/>
      <c r="KOA30" s="1266"/>
      <c r="KOB30" s="1266"/>
      <c r="KOC30" s="1266"/>
      <c r="KOD30" s="1266"/>
      <c r="KOE30" s="1266"/>
      <c r="KOF30" s="1266"/>
      <c r="KOG30" s="1266"/>
      <c r="KOH30" s="1266"/>
      <c r="KOI30" s="1266"/>
      <c r="KOJ30" s="1266"/>
      <c r="KOK30" s="1266"/>
      <c r="KOL30" s="1266"/>
      <c r="KOM30" s="1266"/>
      <c r="KON30" s="1266"/>
      <c r="KOO30" s="1266"/>
      <c r="KOP30" s="1266"/>
      <c r="KOQ30" s="1266"/>
      <c r="KOR30" s="1266"/>
      <c r="KOS30" s="1266"/>
      <c r="KOT30" s="1266"/>
      <c r="KOU30" s="1266"/>
      <c r="KOV30" s="1266"/>
      <c r="KOW30" s="1266"/>
      <c r="KOX30" s="1266"/>
      <c r="KOY30" s="1266"/>
      <c r="KOZ30" s="1266"/>
      <c r="KPA30" s="1266"/>
      <c r="KPB30" s="1266"/>
      <c r="KPC30" s="1266"/>
      <c r="KPD30" s="1266"/>
      <c r="KPE30" s="1266"/>
      <c r="KPF30" s="1266"/>
      <c r="KPG30" s="1266"/>
      <c r="KPH30" s="1266"/>
      <c r="KPI30" s="1266"/>
      <c r="KPJ30" s="1266"/>
      <c r="KPK30" s="1266"/>
      <c r="KPL30" s="1266"/>
      <c r="KPM30" s="1266"/>
      <c r="KPN30" s="1266"/>
      <c r="KPO30" s="1266"/>
      <c r="KPP30" s="1266"/>
      <c r="KPQ30" s="1266"/>
      <c r="KPR30" s="1266"/>
      <c r="KPS30" s="1266"/>
      <c r="KPT30" s="1266"/>
      <c r="KPU30" s="1266"/>
      <c r="KPV30" s="1266"/>
      <c r="KPW30" s="1266"/>
      <c r="KPX30" s="1266"/>
      <c r="KPY30" s="1266"/>
      <c r="KPZ30" s="1266"/>
      <c r="KQA30" s="1266"/>
      <c r="KQB30" s="1266"/>
      <c r="KQC30" s="1266"/>
      <c r="KQD30" s="1266"/>
      <c r="KQE30" s="1266"/>
      <c r="KQF30" s="1266"/>
      <c r="KQG30" s="1266"/>
      <c r="KQH30" s="1266"/>
      <c r="KQI30" s="1266"/>
      <c r="KQJ30" s="1266"/>
      <c r="KQK30" s="1266"/>
      <c r="KQL30" s="1266"/>
      <c r="KQM30" s="1266"/>
      <c r="KQN30" s="1266"/>
      <c r="KQO30" s="1266"/>
      <c r="KQP30" s="1266"/>
      <c r="KQQ30" s="1266"/>
      <c r="KQR30" s="1266"/>
      <c r="KQS30" s="1266"/>
      <c r="KQT30" s="1266"/>
      <c r="KQU30" s="1266"/>
      <c r="KQV30" s="1266"/>
      <c r="KQW30" s="1266"/>
      <c r="KQX30" s="1266"/>
      <c r="KQY30" s="1266"/>
      <c r="KQZ30" s="1266"/>
      <c r="KRA30" s="1266"/>
      <c r="KRB30" s="1266"/>
      <c r="KRC30" s="1266"/>
      <c r="KRD30" s="1266"/>
      <c r="KRE30" s="1266"/>
      <c r="KRF30" s="1266"/>
      <c r="KRG30" s="1266"/>
      <c r="KRH30" s="1266"/>
      <c r="KRI30" s="1266"/>
      <c r="KRJ30" s="1266"/>
      <c r="KRK30" s="1266"/>
      <c r="KRL30" s="1266"/>
      <c r="KRM30" s="1266"/>
      <c r="KRN30" s="1266"/>
      <c r="KRO30" s="1266"/>
      <c r="KRP30" s="1266"/>
      <c r="KRQ30" s="1266"/>
      <c r="KRR30" s="1266"/>
      <c r="KRS30" s="1266"/>
      <c r="KRT30" s="1266"/>
      <c r="KRU30" s="1266"/>
      <c r="KRV30" s="1266"/>
      <c r="KRW30" s="1266"/>
      <c r="KRX30" s="1266"/>
      <c r="KRY30" s="1266"/>
      <c r="KRZ30" s="1266"/>
      <c r="KSA30" s="1266"/>
      <c r="KSB30" s="1266"/>
      <c r="KSC30" s="1266"/>
      <c r="KSD30" s="1266"/>
      <c r="KSE30" s="1266"/>
      <c r="KSF30" s="1266"/>
      <c r="KSG30" s="1266"/>
      <c r="KSH30" s="1266"/>
      <c r="KSI30" s="1266"/>
      <c r="KSJ30" s="1266"/>
      <c r="KSK30" s="1266"/>
      <c r="KSL30" s="1266"/>
      <c r="KSM30" s="1266"/>
      <c r="KSN30" s="1266"/>
      <c r="KSO30" s="1266"/>
      <c r="KSP30" s="1266"/>
      <c r="KSQ30" s="1266"/>
      <c r="KSR30" s="1266"/>
      <c r="KSS30" s="1266"/>
      <c r="KST30" s="1266"/>
      <c r="KSU30" s="1266"/>
      <c r="KSV30" s="1266"/>
      <c r="KSW30" s="1266"/>
      <c r="KSX30" s="1266"/>
      <c r="KSY30" s="1266"/>
      <c r="KSZ30" s="1266"/>
      <c r="KTA30" s="1266"/>
      <c r="KTB30" s="1266"/>
      <c r="KTC30" s="1266"/>
      <c r="KTD30" s="1266"/>
      <c r="KTE30" s="1266"/>
      <c r="KTF30" s="1266"/>
      <c r="KTG30" s="1266"/>
      <c r="KTH30" s="1266"/>
      <c r="KTI30" s="1266"/>
      <c r="KTJ30" s="1266"/>
      <c r="KTK30" s="1266"/>
      <c r="KTL30" s="1266"/>
      <c r="KTM30" s="1266"/>
      <c r="KTN30" s="1266"/>
      <c r="KTO30" s="1266"/>
      <c r="KTP30" s="1266"/>
      <c r="KTQ30" s="1266"/>
      <c r="KTR30" s="1266"/>
      <c r="KTS30" s="1266"/>
      <c r="KTT30" s="1266"/>
      <c r="KTU30" s="1266"/>
      <c r="KTV30" s="1266"/>
      <c r="KTW30" s="1266"/>
      <c r="KTX30" s="1266"/>
      <c r="KTY30" s="1266"/>
      <c r="KTZ30" s="1266"/>
      <c r="KUA30" s="1266"/>
      <c r="KUB30" s="1266"/>
      <c r="KUC30" s="1266"/>
      <c r="KUD30" s="1266"/>
      <c r="KUE30" s="1266"/>
      <c r="KUF30" s="1266"/>
      <c r="KUG30" s="1266"/>
      <c r="KUH30" s="1266"/>
      <c r="KUI30" s="1266"/>
      <c r="KUJ30" s="1266"/>
      <c r="KUK30" s="1266"/>
      <c r="KUL30" s="1266"/>
      <c r="KUM30" s="1266"/>
      <c r="KUN30" s="1266"/>
      <c r="KUO30" s="1266"/>
      <c r="KUP30" s="1266"/>
      <c r="KUQ30" s="1266"/>
      <c r="KUR30" s="1266"/>
      <c r="KUS30" s="1266"/>
      <c r="KUT30" s="1266"/>
      <c r="KUU30" s="1266"/>
      <c r="KUV30" s="1266"/>
      <c r="KUW30" s="1266"/>
      <c r="KUX30" s="1266"/>
      <c r="KUY30" s="1266"/>
      <c r="KUZ30" s="1266"/>
      <c r="KVA30" s="1266"/>
      <c r="KVB30" s="1266"/>
      <c r="KVC30" s="1266"/>
      <c r="KVD30" s="1266"/>
      <c r="KVE30" s="1266"/>
      <c r="KVF30" s="1266"/>
      <c r="KVG30" s="1266"/>
      <c r="KVH30" s="1266"/>
      <c r="KVI30" s="1266"/>
      <c r="KVJ30" s="1266"/>
      <c r="KVK30" s="1266"/>
      <c r="KVL30" s="1266"/>
      <c r="KVM30" s="1266"/>
      <c r="KVN30" s="1266"/>
      <c r="KVO30" s="1266"/>
      <c r="KVP30" s="1266"/>
      <c r="KVQ30" s="1266"/>
      <c r="KVR30" s="1266"/>
      <c r="KVS30" s="1266"/>
      <c r="KVT30" s="1266"/>
      <c r="KVU30" s="1266"/>
      <c r="KVV30" s="1266"/>
      <c r="KVW30" s="1266"/>
      <c r="KVX30" s="1266"/>
      <c r="KVY30" s="1266"/>
      <c r="KVZ30" s="1266"/>
      <c r="KWA30" s="1266"/>
      <c r="KWB30" s="1266"/>
      <c r="KWC30" s="1266"/>
      <c r="KWD30" s="1266"/>
      <c r="KWE30" s="1266"/>
      <c r="KWF30" s="1266"/>
      <c r="KWG30" s="1266"/>
      <c r="KWH30" s="1266"/>
      <c r="KWI30" s="1266"/>
      <c r="KWJ30" s="1266"/>
      <c r="KWK30" s="1266"/>
      <c r="KWL30" s="1266"/>
      <c r="KWM30" s="1266"/>
      <c r="KWN30" s="1266"/>
      <c r="KWO30" s="1266"/>
      <c r="KWP30" s="1266"/>
      <c r="KWQ30" s="1266"/>
      <c r="KWR30" s="1266"/>
      <c r="KWS30" s="1266"/>
      <c r="KWT30" s="1266"/>
      <c r="KWU30" s="1266"/>
      <c r="KWV30" s="1266"/>
      <c r="KWW30" s="1266"/>
      <c r="KWX30" s="1266"/>
      <c r="KWY30" s="1266"/>
      <c r="KWZ30" s="1266"/>
      <c r="KXA30" s="1266"/>
      <c r="KXB30" s="1266"/>
      <c r="KXC30" s="1266"/>
      <c r="KXD30" s="1266"/>
      <c r="KXE30" s="1266"/>
      <c r="KXF30" s="1266"/>
      <c r="KXG30" s="1266"/>
      <c r="KXH30" s="1266"/>
      <c r="KXI30" s="1266"/>
      <c r="KXJ30" s="1266"/>
      <c r="KXK30" s="1266"/>
      <c r="KXL30" s="1266"/>
      <c r="KXM30" s="1266"/>
      <c r="KXN30" s="1266"/>
      <c r="KXO30" s="1266"/>
      <c r="KXP30" s="1266"/>
      <c r="KXQ30" s="1266"/>
      <c r="KXR30" s="1266"/>
      <c r="KXS30" s="1266"/>
      <c r="KXT30" s="1266"/>
      <c r="KXU30" s="1266"/>
      <c r="KXV30" s="1266"/>
      <c r="KXW30" s="1266"/>
      <c r="KXX30" s="1266"/>
      <c r="KXY30" s="1266"/>
      <c r="KXZ30" s="1266"/>
      <c r="KYA30" s="1266"/>
      <c r="KYB30" s="1266"/>
      <c r="KYC30" s="1266"/>
      <c r="KYD30" s="1266"/>
      <c r="KYE30" s="1266"/>
      <c r="KYF30" s="1266"/>
      <c r="KYG30" s="1266"/>
      <c r="KYH30" s="1266"/>
      <c r="KYI30" s="1266"/>
      <c r="KYJ30" s="1266"/>
      <c r="KYK30" s="1266"/>
      <c r="KYL30" s="1266"/>
      <c r="KYM30" s="1266"/>
      <c r="KYN30" s="1266"/>
      <c r="KYO30" s="1266"/>
      <c r="KYP30" s="1266"/>
      <c r="KYQ30" s="1266"/>
      <c r="KYR30" s="1266"/>
      <c r="KYS30" s="1266"/>
      <c r="KYT30" s="1266"/>
      <c r="KYU30" s="1266"/>
      <c r="KYV30" s="1266"/>
      <c r="KYW30" s="1266"/>
      <c r="KYX30" s="1266"/>
      <c r="KYY30" s="1266"/>
      <c r="KYZ30" s="1266"/>
      <c r="KZA30" s="1266"/>
      <c r="KZB30" s="1266"/>
      <c r="KZC30" s="1266"/>
      <c r="KZD30" s="1266"/>
      <c r="KZE30" s="1266"/>
      <c r="KZF30" s="1266"/>
      <c r="KZG30" s="1266"/>
      <c r="KZH30" s="1266"/>
      <c r="KZI30" s="1266"/>
      <c r="KZJ30" s="1266"/>
      <c r="KZK30" s="1266"/>
      <c r="KZL30" s="1266"/>
      <c r="KZM30" s="1266"/>
      <c r="KZN30" s="1266"/>
      <c r="KZO30" s="1266"/>
      <c r="KZP30" s="1266"/>
      <c r="KZQ30" s="1266"/>
      <c r="KZR30" s="1266"/>
      <c r="KZS30" s="1266"/>
      <c r="KZT30" s="1266"/>
      <c r="KZU30" s="1266"/>
      <c r="KZV30" s="1266"/>
      <c r="KZW30" s="1266"/>
      <c r="KZX30" s="1266"/>
      <c r="KZY30" s="1266"/>
      <c r="KZZ30" s="1266"/>
      <c r="LAA30" s="1266"/>
      <c r="LAB30" s="1266"/>
      <c r="LAC30" s="1266"/>
      <c r="LAD30" s="1266"/>
      <c r="LAE30" s="1266"/>
      <c r="LAF30" s="1266"/>
      <c r="LAG30" s="1266"/>
      <c r="LAH30" s="1266"/>
      <c r="LAI30" s="1266"/>
      <c r="LAJ30" s="1266"/>
      <c r="LAK30" s="1266"/>
      <c r="LAL30" s="1266"/>
      <c r="LAM30" s="1266"/>
      <c r="LAN30" s="1266"/>
      <c r="LAO30" s="1266"/>
      <c r="LAP30" s="1266"/>
      <c r="LAQ30" s="1266"/>
      <c r="LAR30" s="1266"/>
      <c r="LAS30" s="1266"/>
      <c r="LAT30" s="1266"/>
      <c r="LAU30" s="1266"/>
      <c r="LAV30" s="1266"/>
      <c r="LAW30" s="1266"/>
      <c r="LAX30" s="1266"/>
      <c r="LAY30" s="1266"/>
      <c r="LAZ30" s="1266"/>
      <c r="LBA30" s="1266"/>
      <c r="LBB30" s="1266"/>
      <c r="LBC30" s="1266"/>
      <c r="LBD30" s="1266"/>
      <c r="LBE30" s="1266"/>
      <c r="LBF30" s="1266"/>
      <c r="LBG30" s="1266"/>
      <c r="LBH30" s="1266"/>
      <c r="LBI30" s="1266"/>
      <c r="LBJ30" s="1266"/>
      <c r="LBK30" s="1266"/>
      <c r="LBL30" s="1266"/>
      <c r="LBM30" s="1266"/>
      <c r="LBN30" s="1266"/>
      <c r="LBO30" s="1266"/>
      <c r="LBP30" s="1266"/>
      <c r="LBQ30" s="1266"/>
      <c r="LBR30" s="1266"/>
      <c r="LBS30" s="1266"/>
      <c r="LBT30" s="1266"/>
      <c r="LBU30" s="1266"/>
      <c r="LBV30" s="1266"/>
      <c r="LBW30" s="1266"/>
      <c r="LBX30" s="1266"/>
      <c r="LBY30" s="1266"/>
      <c r="LBZ30" s="1266"/>
      <c r="LCA30" s="1266"/>
      <c r="LCB30" s="1266"/>
      <c r="LCC30" s="1266"/>
      <c r="LCD30" s="1266"/>
      <c r="LCE30" s="1266"/>
      <c r="LCF30" s="1266"/>
      <c r="LCG30" s="1266"/>
      <c r="LCH30" s="1266"/>
      <c r="LCI30" s="1266"/>
      <c r="LCJ30" s="1266"/>
      <c r="LCK30" s="1266"/>
      <c r="LCL30" s="1266"/>
      <c r="LCM30" s="1266"/>
      <c r="LCN30" s="1266"/>
      <c r="LCO30" s="1266"/>
      <c r="LCP30" s="1266"/>
      <c r="LCQ30" s="1266"/>
      <c r="LCR30" s="1266"/>
      <c r="LCS30" s="1266"/>
      <c r="LCT30" s="1266"/>
      <c r="LCU30" s="1266"/>
      <c r="LCV30" s="1266"/>
      <c r="LCW30" s="1266"/>
      <c r="LCX30" s="1266"/>
      <c r="LCY30" s="1266"/>
      <c r="LCZ30" s="1266"/>
      <c r="LDA30" s="1266"/>
      <c r="LDB30" s="1266"/>
      <c r="LDC30" s="1266"/>
      <c r="LDD30" s="1266"/>
      <c r="LDE30" s="1266"/>
      <c r="LDF30" s="1266"/>
      <c r="LDG30" s="1266"/>
      <c r="LDH30" s="1266"/>
      <c r="LDI30" s="1266"/>
      <c r="LDJ30" s="1266"/>
      <c r="LDK30" s="1266"/>
      <c r="LDL30" s="1266"/>
      <c r="LDM30" s="1266"/>
      <c r="LDN30" s="1266"/>
      <c r="LDO30" s="1266"/>
      <c r="LDP30" s="1266"/>
      <c r="LDQ30" s="1266"/>
      <c r="LDR30" s="1266"/>
      <c r="LDS30" s="1266"/>
      <c r="LDT30" s="1266"/>
      <c r="LDU30" s="1266"/>
      <c r="LDV30" s="1266"/>
      <c r="LDW30" s="1266"/>
      <c r="LDX30" s="1266"/>
      <c r="LDY30" s="1266"/>
      <c r="LDZ30" s="1266"/>
      <c r="LEA30" s="1266"/>
      <c r="LEB30" s="1266"/>
      <c r="LEC30" s="1266"/>
      <c r="LED30" s="1266"/>
      <c r="LEE30" s="1266"/>
      <c r="LEF30" s="1266"/>
      <c r="LEG30" s="1266"/>
      <c r="LEH30" s="1266"/>
      <c r="LEI30" s="1266"/>
      <c r="LEJ30" s="1266"/>
      <c r="LEK30" s="1266"/>
      <c r="LEL30" s="1266"/>
      <c r="LEM30" s="1266"/>
      <c r="LEN30" s="1266"/>
      <c r="LEO30" s="1266"/>
      <c r="LEP30" s="1266"/>
      <c r="LEQ30" s="1266"/>
      <c r="LER30" s="1266"/>
      <c r="LES30" s="1266"/>
      <c r="LET30" s="1266"/>
      <c r="LEU30" s="1266"/>
      <c r="LEV30" s="1266"/>
      <c r="LEW30" s="1266"/>
      <c r="LEX30" s="1266"/>
      <c r="LEY30" s="1266"/>
      <c r="LEZ30" s="1266"/>
      <c r="LFA30" s="1266"/>
      <c r="LFB30" s="1266"/>
      <c r="LFC30" s="1266"/>
      <c r="LFD30" s="1266"/>
      <c r="LFE30" s="1266"/>
      <c r="LFF30" s="1266"/>
      <c r="LFG30" s="1266"/>
      <c r="LFH30" s="1266"/>
      <c r="LFI30" s="1266"/>
      <c r="LFJ30" s="1266"/>
      <c r="LFK30" s="1266"/>
      <c r="LFL30" s="1266"/>
      <c r="LFM30" s="1266"/>
      <c r="LFN30" s="1266"/>
      <c r="LFO30" s="1266"/>
      <c r="LFP30" s="1266"/>
      <c r="LFQ30" s="1266"/>
      <c r="LFR30" s="1266"/>
      <c r="LFS30" s="1266"/>
      <c r="LFT30" s="1266"/>
      <c r="LFU30" s="1266"/>
      <c r="LFV30" s="1266"/>
      <c r="LFW30" s="1266"/>
      <c r="LFX30" s="1266"/>
      <c r="LFY30" s="1266"/>
      <c r="LFZ30" s="1266"/>
      <c r="LGA30" s="1266"/>
      <c r="LGB30" s="1266"/>
      <c r="LGC30" s="1266"/>
      <c r="LGD30" s="1266"/>
      <c r="LGE30" s="1266"/>
      <c r="LGF30" s="1266"/>
      <c r="LGG30" s="1266"/>
      <c r="LGH30" s="1266"/>
      <c r="LGI30" s="1266"/>
      <c r="LGJ30" s="1266"/>
      <c r="LGK30" s="1266"/>
      <c r="LGL30" s="1266"/>
      <c r="LGM30" s="1266"/>
      <c r="LGN30" s="1266"/>
      <c r="LGO30" s="1266"/>
      <c r="LGP30" s="1266"/>
      <c r="LGQ30" s="1266"/>
      <c r="LGR30" s="1266"/>
      <c r="LGS30" s="1266"/>
      <c r="LGT30" s="1266"/>
      <c r="LGU30" s="1266"/>
      <c r="LGV30" s="1266"/>
      <c r="LGW30" s="1266"/>
      <c r="LGX30" s="1266"/>
      <c r="LGY30" s="1266"/>
      <c r="LGZ30" s="1266"/>
      <c r="LHA30" s="1266"/>
      <c r="LHB30" s="1266"/>
      <c r="LHC30" s="1266"/>
      <c r="LHD30" s="1266"/>
      <c r="LHE30" s="1266"/>
      <c r="LHF30" s="1266"/>
      <c r="LHG30" s="1266"/>
      <c r="LHH30" s="1266"/>
      <c r="LHI30" s="1266"/>
      <c r="LHJ30" s="1266"/>
      <c r="LHK30" s="1266"/>
      <c r="LHL30" s="1266"/>
      <c r="LHM30" s="1266"/>
      <c r="LHN30" s="1266"/>
      <c r="LHO30" s="1266"/>
      <c r="LHP30" s="1266"/>
      <c r="LHQ30" s="1266"/>
      <c r="LHR30" s="1266"/>
      <c r="LHS30" s="1266"/>
      <c r="LHT30" s="1266"/>
      <c r="LHU30" s="1266"/>
      <c r="LHV30" s="1266"/>
      <c r="LHW30" s="1266"/>
      <c r="LHX30" s="1266"/>
      <c r="LHY30" s="1266"/>
      <c r="LHZ30" s="1266"/>
      <c r="LIA30" s="1266"/>
      <c r="LIB30" s="1266"/>
      <c r="LIC30" s="1266"/>
      <c r="LID30" s="1266"/>
      <c r="LIE30" s="1266"/>
      <c r="LIF30" s="1266"/>
      <c r="LIG30" s="1266"/>
      <c r="LIH30" s="1266"/>
      <c r="LII30" s="1266"/>
      <c r="LIJ30" s="1266"/>
      <c r="LIK30" s="1266"/>
      <c r="LIL30" s="1266"/>
      <c r="LIM30" s="1266"/>
      <c r="LIN30" s="1266"/>
      <c r="LIO30" s="1266"/>
      <c r="LIP30" s="1266"/>
      <c r="LIQ30" s="1266"/>
      <c r="LIR30" s="1266"/>
      <c r="LIS30" s="1266"/>
      <c r="LIT30" s="1266"/>
      <c r="LIU30" s="1266"/>
      <c r="LIV30" s="1266"/>
      <c r="LIW30" s="1266"/>
      <c r="LIX30" s="1266"/>
      <c r="LIY30" s="1266"/>
      <c r="LIZ30" s="1266"/>
      <c r="LJA30" s="1266"/>
      <c r="LJB30" s="1266"/>
      <c r="LJC30" s="1266"/>
      <c r="LJD30" s="1266"/>
      <c r="LJE30" s="1266"/>
      <c r="LJF30" s="1266"/>
      <c r="LJG30" s="1266"/>
      <c r="LJH30" s="1266"/>
      <c r="LJI30" s="1266"/>
      <c r="LJJ30" s="1266"/>
      <c r="LJK30" s="1266"/>
      <c r="LJL30" s="1266"/>
      <c r="LJM30" s="1266"/>
      <c r="LJN30" s="1266"/>
      <c r="LJO30" s="1266"/>
      <c r="LJP30" s="1266"/>
      <c r="LJQ30" s="1266"/>
      <c r="LJR30" s="1266"/>
      <c r="LJS30" s="1266"/>
      <c r="LJT30" s="1266"/>
      <c r="LJU30" s="1266"/>
      <c r="LJV30" s="1266"/>
      <c r="LJW30" s="1266"/>
      <c r="LJX30" s="1266"/>
      <c r="LJY30" s="1266"/>
      <c r="LJZ30" s="1266"/>
      <c r="LKA30" s="1266"/>
      <c r="LKB30" s="1266"/>
      <c r="LKC30" s="1266"/>
      <c r="LKD30" s="1266"/>
      <c r="LKE30" s="1266"/>
      <c r="LKF30" s="1266"/>
      <c r="LKG30" s="1266"/>
      <c r="LKH30" s="1266"/>
      <c r="LKI30" s="1266"/>
      <c r="LKJ30" s="1266"/>
      <c r="LKK30" s="1266"/>
      <c r="LKL30" s="1266"/>
      <c r="LKM30" s="1266"/>
      <c r="LKN30" s="1266"/>
      <c r="LKO30" s="1266"/>
      <c r="LKP30" s="1266"/>
      <c r="LKQ30" s="1266"/>
      <c r="LKR30" s="1266"/>
      <c r="LKS30" s="1266"/>
      <c r="LKT30" s="1266"/>
      <c r="LKU30" s="1266"/>
      <c r="LKV30" s="1266"/>
      <c r="LKW30" s="1266"/>
      <c r="LKX30" s="1266"/>
      <c r="LKY30" s="1266"/>
      <c r="LKZ30" s="1266"/>
      <c r="LLA30" s="1266"/>
      <c r="LLB30" s="1266"/>
      <c r="LLC30" s="1266"/>
      <c r="LLD30" s="1266"/>
      <c r="LLE30" s="1266"/>
      <c r="LLF30" s="1266"/>
      <c r="LLG30" s="1266"/>
      <c r="LLH30" s="1266"/>
      <c r="LLI30" s="1266"/>
      <c r="LLJ30" s="1266"/>
      <c r="LLK30" s="1266"/>
      <c r="LLL30" s="1266"/>
      <c r="LLM30" s="1266"/>
      <c r="LLN30" s="1266"/>
      <c r="LLO30" s="1266"/>
      <c r="LLP30" s="1266"/>
      <c r="LLQ30" s="1266"/>
      <c r="LLR30" s="1266"/>
      <c r="LLS30" s="1266"/>
      <c r="LLT30" s="1266"/>
      <c r="LLU30" s="1266"/>
      <c r="LLV30" s="1266"/>
      <c r="LLW30" s="1266"/>
      <c r="LLX30" s="1266"/>
      <c r="LLY30" s="1266"/>
      <c r="LLZ30" s="1266"/>
      <c r="LMA30" s="1266"/>
      <c r="LMB30" s="1266"/>
      <c r="LMC30" s="1266"/>
      <c r="LMD30" s="1266"/>
      <c r="LME30" s="1266"/>
      <c r="LMF30" s="1266"/>
      <c r="LMG30" s="1266"/>
      <c r="LMH30" s="1266"/>
      <c r="LMI30" s="1266"/>
      <c r="LMJ30" s="1266"/>
      <c r="LMK30" s="1266"/>
      <c r="LML30" s="1266"/>
      <c r="LMM30" s="1266"/>
      <c r="LMN30" s="1266"/>
      <c r="LMO30" s="1266"/>
      <c r="LMP30" s="1266"/>
      <c r="LMQ30" s="1266"/>
      <c r="LMR30" s="1266"/>
      <c r="LMS30" s="1266"/>
      <c r="LMT30" s="1266"/>
      <c r="LMU30" s="1266"/>
      <c r="LMV30" s="1266"/>
      <c r="LMW30" s="1266"/>
      <c r="LMX30" s="1266"/>
      <c r="LMY30" s="1266"/>
      <c r="LMZ30" s="1266"/>
      <c r="LNA30" s="1266"/>
      <c r="LNB30" s="1266"/>
      <c r="LNC30" s="1266"/>
      <c r="LND30" s="1266"/>
      <c r="LNE30" s="1266"/>
      <c r="LNF30" s="1266"/>
      <c r="LNG30" s="1266"/>
      <c r="LNH30" s="1266"/>
      <c r="LNI30" s="1266"/>
      <c r="LNJ30" s="1266"/>
      <c r="LNK30" s="1266"/>
      <c r="LNL30" s="1266"/>
      <c r="LNM30" s="1266"/>
      <c r="LNN30" s="1266"/>
      <c r="LNO30" s="1266"/>
      <c r="LNP30" s="1266"/>
      <c r="LNQ30" s="1266"/>
      <c r="LNR30" s="1266"/>
      <c r="LNS30" s="1266"/>
      <c r="LNT30" s="1266"/>
      <c r="LNU30" s="1266"/>
      <c r="LNV30" s="1266"/>
      <c r="LNW30" s="1266"/>
      <c r="LNX30" s="1266"/>
      <c r="LNY30" s="1266"/>
      <c r="LNZ30" s="1266"/>
      <c r="LOA30" s="1266"/>
      <c r="LOB30" s="1266"/>
      <c r="LOC30" s="1266"/>
      <c r="LOD30" s="1266"/>
      <c r="LOE30" s="1266"/>
      <c r="LOF30" s="1266"/>
      <c r="LOG30" s="1266"/>
      <c r="LOH30" s="1266"/>
      <c r="LOI30" s="1266"/>
      <c r="LOJ30" s="1266"/>
      <c r="LOK30" s="1266"/>
      <c r="LOL30" s="1266"/>
      <c r="LOM30" s="1266"/>
      <c r="LON30" s="1266"/>
      <c r="LOO30" s="1266"/>
      <c r="LOP30" s="1266"/>
      <c r="LOQ30" s="1266"/>
      <c r="LOR30" s="1266"/>
      <c r="LOS30" s="1266"/>
      <c r="LOT30" s="1266"/>
      <c r="LOU30" s="1266"/>
      <c r="LOV30" s="1266"/>
      <c r="LOW30" s="1266"/>
      <c r="LOX30" s="1266"/>
      <c r="LOY30" s="1266"/>
      <c r="LOZ30" s="1266"/>
      <c r="LPA30" s="1266"/>
      <c r="LPB30" s="1266"/>
      <c r="LPC30" s="1266"/>
      <c r="LPD30" s="1266"/>
      <c r="LPE30" s="1266"/>
      <c r="LPF30" s="1266"/>
      <c r="LPG30" s="1266"/>
      <c r="LPH30" s="1266"/>
      <c r="LPI30" s="1266"/>
      <c r="LPJ30" s="1266"/>
      <c r="LPK30" s="1266"/>
      <c r="LPL30" s="1266"/>
      <c r="LPM30" s="1266"/>
      <c r="LPN30" s="1266"/>
      <c r="LPO30" s="1266"/>
      <c r="LPP30" s="1266"/>
      <c r="LPQ30" s="1266"/>
      <c r="LPR30" s="1266"/>
      <c r="LPS30" s="1266"/>
      <c r="LPT30" s="1266"/>
      <c r="LPU30" s="1266"/>
      <c r="LPV30" s="1266"/>
      <c r="LPW30" s="1266"/>
      <c r="LPX30" s="1266"/>
      <c r="LPY30" s="1266"/>
      <c r="LPZ30" s="1266"/>
      <c r="LQA30" s="1266"/>
      <c r="LQB30" s="1266"/>
      <c r="LQC30" s="1266"/>
      <c r="LQD30" s="1266"/>
      <c r="LQE30" s="1266"/>
      <c r="LQF30" s="1266"/>
      <c r="LQG30" s="1266"/>
      <c r="LQH30" s="1266"/>
      <c r="LQI30" s="1266"/>
      <c r="LQJ30" s="1266"/>
      <c r="LQK30" s="1266"/>
      <c r="LQL30" s="1266"/>
      <c r="LQM30" s="1266"/>
      <c r="LQN30" s="1266"/>
      <c r="LQO30" s="1266"/>
      <c r="LQP30" s="1266"/>
      <c r="LQQ30" s="1266"/>
      <c r="LQR30" s="1266"/>
      <c r="LQS30" s="1266"/>
      <c r="LQT30" s="1266"/>
      <c r="LQU30" s="1266"/>
      <c r="LQV30" s="1266"/>
      <c r="LQW30" s="1266"/>
      <c r="LQX30" s="1266"/>
      <c r="LQY30" s="1266"/>
      <c r="LQZ30" s="1266"/>
      <c r="LRA30" s="1266"/>
      <c r="LRB30" s="1266"/>
      <c r="LRC30" s="1266"/>
      <c r="LRD30" s="1266"/>
      <c r="LRE30" s="1266"/>
      <c r="LRF30" s="1266"/>
      <c r="LRG30" s="1266"/>
      <c r="LRH30" s="1266"/>
      <c r="LRI30" s="1266"/>
      <c r="LRJ30" s="1266"/>
      <c r="LRK30" s="1266"/>
      <c r="LRL30" s="1266"/>
      <c r="LRM30" s="1266"/>
      <c r="LRN30" s="1266"/>
      <c r="LRO30" s="1266"/>
      <c r="LRP30" s="1266"/>
      <c r="LRQ30" s="1266"/>
      <c r="LRR30" s="1266"/>
      <c r="LRS30" s="1266"/>
      <c r="LRT30" s="1266"/>
      <c r="LRU30" s="1266"/>
      <c r="LRV30" s="1266"/>
      <c r="LRW30" s="1266"/>
      <c r="LRX30" s="1266"/>
      <c r="LRY30" s="1266"/>
      <c r="LRZ30" s="1266"/>
      <c r="LSA30" s="1266"/>
      <c r="LSB30" s="1266"/>
      <c r="LSC30" s="1266"/>
      <c r="LSD30" s="1266"/>
      <c r="LSE30" s="1266"/>
      <c r="LSF30" s="1266"/>
      <c r="LSG30" s="1266"/>
      <c r="LSH30" s="1266"/>
      <c r="LSI30" s="1266"/>
      <c r="LSJ30" s="1266"/>
      <c r="LSK30" s="1266"/>
      <c r="LSL30" s="1266"/>
      <c r="LSM30" s="1266"/>
      <c r="LSN30" s="1266"/>
      <c r="LSO30" s="1266"/>
      <c r="LSP30" s="1266"/>
      <c r="LSQ30" s="1266"/>
      <c r="LSR30" s="1266"/>
      <c r="LSS30" s="1266"/>
      <c r="LST30" s="1266"/>
      <c r="LSU30" s="1266"/>
      <c r="LSV30" s="1266"/>
      <c r="LSW30" s="1266"/>
      <c r="LSX30" s="1266"/>
      <c r="LSY30" s="1266"/>
      <c r="LSZ30" s="1266"/>
      <c r="LTA30" s="1266"/>
      <c r="LTB30" s="1266"/>
      <c r="LTC30" s="1266"/>
      <c r="LTD30" s="1266"/>
      <c r="LTE30" s="1266"/>
      <c r="LTF30" s="1266"/>
      <c r="LTG30" s="1266"/>
      <c r="LTH30" s="1266"/>
      <c r="LTI30" s="1266"/>
      <c r="LTJ30" s="1266"/>
      <c r="LTK30" s="1266"/>
      <c r="LTL30" s="1266"/>
      <c r="LTM30" s="1266"/>
      <c r="LTN30" s="1266"/>
      <c r="LTO30" s="1266"/>
      <c r="LTP30" s="1266"/>
      <c r="LTQ30" s="1266"/>
      <c r="LTR30" s="1266"/>
      <c r="LTS30" s="1266"/>
      <c r="LTT30" s="1266"/>
      <c r="LTU30" s="1266"/>
      <c r="LTV30" s="1266"/>
      <c r="LTW30" s="1266"/>
      <c r="LTX30" s="1266"/>
      <c r="LTY30" s="1266"/>
      <c r="LTZ30" s="1266"/>
      <c r="LUA30" s="1266"/>
      <c r="LUB30" s="1266"/>
      <c r="LUC30" s="1266"/>
      <c r="LUD30" s="1266"/>
      <c r="LUE30" s="1266"/>
      <c r="LUF30" s="1266"/>
      <c r="LUG30" s="1266"/>
      <c r="LUH30" s="1266"/>
      <c r="LUI30" s="1266"/>
      <c r="LUJ30" s="1266"/>
      <c r="LUK30" s="1266"/>
      <c r="LUL30" s="1266"/>
      <c r="LUM30" s="1266"/>
      <c r="LUN30" s="1266"/>
      <c r="LUO30" s="1266"/>
      <c r="LUP30" s="1266"/>
      <c r="LUQ30" s="1266"/>
      <c r="LUR30" s="1266"/>
      <c r="LUS30" s="1266"/>
      <c r="LUT30" s="1266"/>
      <c r="LUU30" s="1266"/>
      <c r="LUV30" s="1266"/>
      <c r="LUW30" s="1266"/>
      <c r="LUX30" s="1266"/>
      <c r="LUY30" s="1266"/>
      <c r="LUZ30" s="1266"/>
      <c r="LVA30" s="1266"/>
      <c r="LVB30" s="1266"/>
      <c r="LVC30" s="1266"/>
      <c r="LVD30" s="1266"/>
      <c r="LVE30" s="1266"/>
      <c r="LVF30" s="1266"/>
      <c r="LVG30" s="1266"/>
      <c r="LVH30" s="1266"/>
      <c r="LVI30" s="1266"/>
      <c r="LVJ30" s="1266"/>
      <c r="LVK30" s="1266"/>
      <c r="LVL30" s="1266"/>
      <c r="LVM30" s="1266"/>
      <c r="LVN30" s="1266"/>
      <c r="LVO30" s="1266"/>
      <c r="LVP30" s="1266"/>
      <c r="LVQ30" s="1266"/>
      <c r="LVR30" s="1266"/>
      <c r="LVS30" s="1266"/>
      <c r="LVT30" s="1266"/>
      <c r="LVU30" s="1266"/>
      <c r="LVV30" s="1266"/>
      <c r="LVW30" s="1266"/>
      <c r="LVX30" s="1266"/>
      <c r="LVY30" s="1266"/>
      <c r="LVZ30" s="1266"/>
      <c r="LWA30" s="1266"/>
      <c r="LWB30" s="1266"/>
      <c r="LWC30" s="1266"/>
      <c r="LWD30" s="1266"/>
      <c r="LWE30" s="1266"/>
      <c r="LWF30" s="1266"/>
      <c r="LWG30" s="1266"/>
      <c r="LWH30" s="1266"/>
      <c r="LWI30" s="1266"/>
      <c r="LWJ30" s="1266"/>
      <c r="LWK30" s="1266"/>
      <c r="LWL30" s="1266"/>
      <c r="LWM30" s="1266"/>
      <c r="LWN30" s="1266"/>
      <c r="LWO30" s="1266"/>
      <c r="LWP30" s="1266"/>
      <c r="LWQ30" s="1266"/>
      <c r="LWR30" s="1266"/>
      <c r="LWS30" s="1266"/>
      <c r="LWT30" s="1266"/>
      <c r="LWU30" s="1266"/>
      <c r="LWV30" s="1266"/>
      <c r="LWW30" s="1266"/>
      <c r="LWX30" s="1266"/>
      <c r="LWY30" s="1266"/>
      <c r="LWZ30" s="1266"/>
      <c r="LXA30" s="1266"/>
      <c r="LXB30" s="1266"/>
      <c r="LXC30" s="1266"/>
      <c r="LXD30" s="1266"/>
      <c r="LXE30" s="1266"/>
      <c r="LXF30" s="1266"/>
      <c r="LXG30" s="1266"/>
      <c r="LXH30" s="1266"/>
      <c r="LXI30" s="1266"/>
      <c r="LXJ30" s="1266"/>
      <c r="LXK30" s="1266"/>
      <c r="LXL30" s="1266"/>
      <c r="LXM30" s="1266"/>
      <c r="LXN30" s="1266"/>
      <c r="LXO30" s="1266"/>
      <c r="LXP30" s="1266"/>
      <c r="LXQ30" s="1266"/>
      <c r="LXR30" s="1266"/>
      <c r="LXS30" s="1266"/>
      <c r="LXT30" s="1266"/>
      <c r="LXU30" s="1266"/>
      <c r="LXV30" s="1266"/>
      <c r="LXW30" s="1266"/>
      <c r="LXX30" s="1266"/>
      <c r="LXY30" s="1266"/>
      <c r="LXZ30" s="1266"/>
      <c r="LYA30" s="1266"/>
      <c r="LYB30" s="1266"/>
      <c r="LYC30" s="1266"/>
      <c r="LYD30" s="1266"/>
      <c r="LYE30" s="1266"/>
      <c r="LYF30" s="1266"/>
      <c r="LYG30" s="1266"/>
      <c r="LYH30" s="1266"/>
      <c r="LYI30" s="1266"/>
      <c r="LYJ30" s="1266"/>
      <c r="LYK30" s="1266"/>
      <c r="LYL30" s="1266"/>
      <c r="LYM30" s="1266"/>
      <c r="LYN30" s="1266"/>
      <c r="LYO30" s="1266"/>
      <c r="LYP30" s="1266"/>
      <c r="LYQ30" s="1266"/>
      <c r="LYR30" s="1266"/>
      <c r="LYS30" s="1266"/>
      <c r="LYT30" s="1266"/>
      <c r="LYU30" s="1266"/>
      <c r="LYV30" s="1266"/>
      <c r="LYW30" s="1266"/>
      <c r="LYX30" s="1266"/>
      <c r="LYY30" s="1266"/>
      <c r="LYZ30" s="1266"/>
      <c r="LZA30" s="1266"/>
      <c r="LZB30" s="1266"/>
      <c r="LZC30" s="1266"/>
      <c r="LZD30" s="1266"/>
      <c r="LZE30" s="1266"/>
      <c r="LZF30" s="1266"/>
      <c r="LZG30" s="1266"/>
      <c r="LZH30" s="1266"/>
      <c r="LZI30" s="1266"/>
      <c r="LZJ30" s="1266"/>
      <c r="LZK30" s="1266"/>
      <c r="LZL30" s="1266"/>
      <c r="LZM30" s="1266"/>
      <c r="LZN30" s="1266"/>
      <c r="LZO30" s="1266"/>
      <c r="LZP30" s="1266"/>
      <c r="LZQ30" s="1266"/>
      <c r="LZR30" s="1266"/>
      <c r="LZS30" s="1266"/>
      <c r="LZT30" s="1266"/>
      <c r="LZU30" s="1266"/>
      <c r="LZV30" s="1266"/>
      <c r="LZW30" s="1266"/>
      <c r="LZX30" s="1266"/>
      <c r="LZY30" s="1266"/>
      <c r="LZZ30" s="1266"/>
      <c r="MAA30" s="1266"/>
      <c r="MAB30" s="1266"/>
      <c r="MAC30" s="1266"/>
      <c r="MAD30" s="1266"/>
      <c r="MAE30" s="1266"/>
      <c r="MAF30" s="1266"/>
      <c r="MAG30" s="1266"/>
      <c r="MAH30" s="1266"/>
      <c r="MAI30" s="1266"/>
      <c r="MAJ30" s="1266"/>
      <c r="MAK30" s="1266"/>
      <c r="MAL30" s="1266"/>
      <c r="MAM30" s="1266"/>
      <c r="MAN30" s="1266"/>
      <c r="MAO30" s="1266"/>
      <c r="MAP30" s="1266"/>
      <c r="MAQ30" s="1266"/>
      <c r="MAR30" s="1266"/>
      <c r="MAS30" s="1266"/>
      <c r="MAT30" s="1266"/>
      <c r="MAU30" s="1266"/>
      <c r="MAV30" s="1266"/>
      <c r="MAW30" s="1266"/>
      <c r="MAX30" s="1266"/>
      <c r="MAY30" s="1266"/>
      <c r="MAZ30" s="1266"/>
      <c r="MBA30" s="1266"/>
      <c r="MBB30" s="1266"/>
      <c r="MBC30" s="1266"/>
      <c r="MBD30" s="1266"/>
      <c r="MBE30" s="1266"/>
      <c r="MBF30" s="1266"/>
      <c r="MBG30" s="1266"/>
      <c r="MBH30" s="1266"/>
      <c r="MBI30" s="1266"/>
      <c r="MBJ30" s="1266"/>
      <c r="MBK30" s="1266"/>
      <c r="MBL30" s="1266"/>
      <c r="MBM30" s="1266"/>
      <c r="MBN30" s="1266"/>
      <c r="MBO30" s="1266"/>
      <c r="MBP30" s="1266"/>
      <c r="MBQ30" s="1266"/>
      <c r="MBR30" s="1266"/>
      <c r="MBS30" s="1266"/>
      <c r="MBT30" s="1266"/>
      <c r="MBU30" s="1266"/>
      <c r="MBV30" s="1266"/>
      <c r="MBW30" s="1266"/>
      <c r="MBX30" s="1266"/>
      <c r="MBY30" s="1266"/>
      <c r="MBZ30" s="1266"/>
      <c r="MCA30" s="1266"/>
      <c r="MCB30" s="1266"/>
      <c r="MCC30" s="1266"/>
      <c r="MCD30" s="1266"/>
      <c r="MCE30" s="1266"/>
      <c r="MCF30" s="1266"/>
      <c r="MCG30" s="1266"/>
      <c r="MCH30" s="1266"/>
      <c r="MCI30" s="1266"/>
      <c r="MCJ30" s="1266"/>
      <c r="MCK30" s="1266"/>
      <c r="MCL30" s="1266"/>
      <c r="MCM30" s="1266"/>
      <c r="MCN30" s="1266"/>
      <c r="MCO30" s="1266"/>
      <c r="MCP30" s="1266"/>
      <c r="MCQ30" s="1266"/>
      <c r="MCR30" s="1266"/>
      <c r="MCS30" s="1266"/>
      <c r="MCT30" s="1266"/>
      <c r="MCU30" s="1266"/>
      <c r="MCV30" s="1266"/>
      <c r="MCW30" s="1266"/>
      <c r="MCX30" s="1266"/>
      <c r="MCY30" s="1266"/>
      <c r="MCZ30" s="1266"/>
      <c r="MDA30" s="1266"/>
      <c r="MDB30" s="1266"/>
      <c r="MDC30" s="1266"/>
      <c r="MDD30" s="1266"/>
      <c r="MDE30" s="1266"/>
      <c r="MDF30" s="1266"/>
      <c r="MDG30" s="1266"/>
      <c r="MDH30" s="1266"/>
      <c r="MDI30" s="1266"/>
      <c r="MDJ30" s="1266"/>
      <c r="MDK30" s="1266"/>
      <c r="MDL30" s="1266"/>
      <c r="MDM30" s="1266"/>
      <c r="MDN30" s="1266"/>
      <c r="MDO30" s="1266"/>
      <c r="MDP30" s="1266"/>
      <c r="MDQ30" s="1266"/>
      <c r="MDR30" s="1266"/>
      <c r="MDS30" s="1266"/>
      <c r="MDT30" s="1266"/>
      <c r="MDU30" s="1266"/>
      <c r="MDV30" s="1266"/>
      <c r="MDW30" s="1266"/>
      <c r="MDX30" s="1266"/>
      <c r="MDY30" s="1266"/>
      <c r="MDZ30" s="1266"/>
      <c r="MEA30" s="1266"/>
      <c r="MEB30" s="1266"/>
      <c r="MEC30" s="1266"/>
      <c r="MED30" s="1266"/>
      <c r="MEE30" s="1266"/>
      <c r="MEF30" s="1266"/>
      <c r="MEG30" s="1266"/>
      <c r="MEH30" s="1266"/>
      <c r="MEI30" s="1266"/>
      <c r="MEJ30" s="1266"/>
      <c r="MEK30" s="1266"/>
      <c r="MEL30" s="1266"/>
      <c r="MEM30" s="1266"/>
      <c r="MEN30" s="1266"/>
      <c r="MEO30" s="1266"/>
      <c r="MEP30" s="1266"/>
      <c r="MEQ30" s="1266"/>
      <c r="MER30" s="1266"/>
      <c r="MES30" s="1266"/>
      <c r="MET30" s="1266"/>
      <c r="MEU30" s="1266"/>
      <c r="MEV30" s="1266"/>
      <c r="MEW30" s="1266"/>
      <c r="MEX30" s="1266"/>
      <c r="MEY30" s="1266"/>
      <c r="MEZ30" s="1266"/>
      <c r="MFA30" s="1266"/>
      <c r="MFB30" s="1266"/>
      <c r="MFC30" s="1266"/>
      <c r="MFD30" s="1266"/>
      <c r="MFE30" s="1266"/>
      <c r="MFF30" s="1266"/>
      <c r="MFG30" s="1266"/>
      <c r="MFH30" s="1266"/>
      <c r="MFI30" s="1266"/>
      <c r="MFJ30" s="1266"/>
      <c r="MFK30" s="1266"/>
      <c r="MFL30" s="1266"/>
      <c r="MFM30" s="1266"/>
      <c r="MFN30" s="1266"/>
      <c r="MFO30" s="1266"/>
      <c r="MFP30" s="1266"/>
      <c r="MFQ30" s="1266"/>
      <c r="MFR30" s="1266"/>
      <c r="MFS30" s="1266"/>
      <c r="MFT30" s="1266"/>
      <c r="MFU30" s="1266"/>
      <c r="MFV30" s="1266"/>
      <c r="MFW30" s="1266"/>
      <c r="MFX30" s="1266"/>
      <c r="MFY30" s="1266"/>
      <c r="MFZ30" s="1266"/>
      <c r="MGA30" s="1266"/>
      <c r="MGB30" s="1266"/>
      <c r="MGC30" s="1266"/>
      <c r="MGD30" s="1266"/>
      <c r="MGE30" s="1266"/>
      <c r="MGF30" s="1266"/>
      <c r="MGG30" s="1266"/>
      <c r="MGH30" s="1266"/>
      <c r="MGI30" s="1266"/>
      <c r="MGJ30" s="1266"/>
      <c r="MGK30" s="1266"/>
      <c r="MGL30" s="1266"/>
      <c r="MGM30" s="1266"/>
      <c r="MGN30" s="1266"/>
      <c r="MGO30" s="1266"/>
      <c r="MGP30" s="1266"/>
      <c r="MGQ30" s="1266"/>
      <c r="MGR30" s="1266"/>
      <c r="MGS30" s="1266"/>
      <c r="MGT30" s="1266"/>
      <c r="MGU30" s="1266"/>
      <c r="MGV30" s="1266"/>
      <c r="MGW30" s="1266"/>
      <c r="MGX30" s="1266"/>
      <c r="MGY30" s="1266"/>
      <c r="MGZ30" s="1266"/>
      <c r="MHA30" s="1266"/>
      <c r="MHB30" s="1266"/>
      <c r="MHC30" s="1266"/>
      <c r="MHD30" s="1266"/>
      <c r="MHE30" s="1266"/>
      <c r="MHF30" s="1266"/>
      <c r="MHG30" s="1266"/>
      <c r="MHH30" s="1266"/>
      <c r="MHI30" s="1266"/>
      <c r="MHJ30" s="1266"/>
      <c r="MHK30" s="1266"/>
      <c r="MHL30" s="1266"/>
      <c r="MHM30" s="1266"/>
      <c r="MHN30" s="1266"/>
      <c r="MHO30" s="1266"/>
      <c r="MHP30" s="1266"/>
      <c r="MHQ30" s="1266"/>
      <c r="MHR30" s="1266"/>
      <c r="MHS30" s="1266"/>
      <c r="MHT30" s="1266"/>
      <c r="MHU30" s="1266"/>
      <c r="MHV30" s="1266"/>
      <c r="MHW30" s="1266"/>
      <c r="MHX30" s="1266"/>
      <c r="MHY30" s="1266"/>
      <c r="MHZ30" s="1266"/>
      <c r="MIA30" s="1266"/>
      <c r="MIB30" s="1266"/>
      <c r="MIC30" s="1266"/>
      <c r="MID30" s="1266"/>
      <c r="MIE30" s="1266"/>
      <c r="MIF30" s="1266"/>
      <c r="MIG30" s="1266"/>
      <c r="MIH30" s="1266"/>
      <c r="MII30" s="1266"/>
      <c r="MIJ30" s="1266"/>
      <c r="MIK30" s="1266"/>
      <c r="MIL30" s="1266"/>
      <c r="MIM30" s="1266"/>
      <c r="MIN30" s="1266"/>
      <c r="MIO30" s="1266"/>
      <c r="MIP30" s="1266"/>
      <c r="MIQ30" s="1266"/>
      <c r="MIR30" s="1266"/>
      <c r="MIS30" s="1266"/>
      <c r="MIT30" s="1266"/>
      <c r="MIU30" s="1266"/>
      <c r="MIV30" s="1266"/>
      <c r="MIW30" s="1266"/>
      <c r="MIX30" s="1266"/>
      <c r="MIY30" s="1266"/>
      <c r="MIZ30" s="1266"/>
      <c r="MJA30" s="1266"/>
      <c r="MJB30" s="1266"/>
      <c r="MJC30" s="1266"/>
      <c r="MJD30" s="1266"/>
      <c r="MJE30" s="1266"/>
      <c r="MJF30" s="1266"/>
      <c r="MJG30" s="1266"/>
      <c r="MJH30" s="1266"/>
      <c r="MJI30" s="1266"/>
      <c r="MJJ30" s="1266"/>
      <c r="MJK30" s="1266"/>
      <c r="MJL30" s="1266"/>
      <c r="MJM30" s="1266"/>
      <c r="MJN30" s="1266"/>
      <c r="MJO30" s="1266"/>
      <c r="MJP30" s="1266"/>
      <c r="MJQ30" s="1266"/>
      <c r="MJR30" s="1266"/>
      <c r="MJS30" s="1266"/>
      <c r="MJT30" s="1266"/>
      <c r="MJU30" s="1266"/>
      <c r="MJV30" s="1266"/>
      <c r="MJW30" s="1266"/>
      <c r="MJX30" s="1266"/>
      <c r="MJY30" s="1266"/>
      <c r="MJZ30" s="1266"/>
      <c r="MKA30" s="1266"/>
      <c r="MKB30" s="1266"/>
      <c r="MKC30" s="1266"/>
      <c r="MKD30" s="1266"/>
      <c r="MKE30" s="1266"/>
      <c r="MKF30" s="1266"/>
      <c r="MKG30" s="1266"/>
      <c r="MKH30" s="1266"/>
      <c r="MKI30" s="1266"/>
      <c r="MKJ30" s="1266"/>
      <c r="MKK30" s="1266"/>
      <c r="MKL30" s="1266"/>
      <c r="MKM30" s="1266"/>
      <c r="MKN30" s="1266"/>
      <c r="MKO30" s="1266"/>
      <c r="MKP30" s="1266"/>
      <c r="MKQ30" s="1266"/>
      <c r="MKR30" s="1266"/>
      <c r="MKS30" s="1266"/>
      <c r="MKT30" s="1266"/>
      <c r="MKU30" s="1266"/>
      <c r="MKV30" s="1266"/>
      <c r="MKW30" s="1266"/>
      <c r="MKX30" s="1266"/>
      <c r="MKY30" s="1266"/>
      <c r="MKZ30" s="1266"/>
      <c r="MLA30" s="1266"/>
      <c r="MLB30" s="1266"/>
      <c r="MLC30" s="1266"/>
      <c r="MLD30" s="1266"/>
      <c r="MLE30" s="1266"/>
      <c r="MLF30" s="1266"/>
      <c r="MLG30" s="1266"/>
      <c r="MLH30" s="1266"/>
      <c r="MLI30" s="1266"/>
      <c r="MLJ30" s="1266"/>
      <c r="MLK30" s="1266"/>
      <c r="MLL30" s="1266"/>
      <c r="MLM30" s="1266"/>
      <c r="MLN30" s="1266"/>
      <c r="MLO30" s="1266"/>
      <c r="MLP30" s="1266"/>
      <c r="MLQ30" s="1266"/>
      <c r="MLR30" s="1266"/>
      <c r="MLS30" s="1266"/>
      <c r="MLT30" s="1266"/>
      <c r="MLU30" s="1266"/>
      <c r="MLV30" s="1266"/>
      <c r="MLW30" s="1266"/>
      <c r="MLX30" s="1266"/>
      <c r="MLY30" s="1266"/>
      <c r="MLZ30" s="1266"/>
      <c r="MMA30" s="1266"/>
      <c r="MMB30" s="1266"/>
      <c r="MMC30" s="1266"/>
      <c r="MMD30" s="1266"/>
      <c r="MME30" s="1266"/>
      <c r="MMF30" s="1266"/>
      <c r="MMG30" s="1266"/>
      <c r="MMH30" s="1266"/>
      <c r="MMI30" s="1266"/>
      <c r="MMJ30" s="1266"/>
      <c r="MMK30" s="1266"/>
      <c r="MML30" s="1266"/>
      <c r="MMM30" s="1266"/>
      <c r="MMN30" s="1266"/>
      <c r="MMO30" s="1266"/>
      <c r="MMP30" s="1266"/>
      <c r="MMQ30" s="1266"/>
      <c r="MMR30" s="1266"/>
      <c r="MMS30" s="1266"/>
      <c r="MMT30" s="1266"/>
      <c r="MMU30" s="1266"/>
      <c r="MMV30" s="1266"/>
      <c r="MMW30" s="1266"/>
      <c r="MMX30" s="1266"/>
      <c r="MMY30" s="1266"/>
      <c r="MMZ30" s="1266"/>
      <c r="MNA30" s="1266"/>
      <c r="MNB30" s="1266"/>
      <c r="MNC30" s="1266"/>
      <c r="MND30" s="1266"/>
      <c r="MNE30" s="1266"/>
      <c r="MNF30" s="1266"/>
      <c r="MNG30" s="1266"/>
      <c r="MNH30" s="1266"/>
      <c r="MNI30" s="1266"/>
      <c r="MNJ30" s="1266"/>
      <c r="MNK30" s="1266"/>
      <c r="MNL30" s="1266"/>
      <c r="MNM30" s="1266"/>
      <c r="MNN30" s="1266"/>
      <c r="MNO30" s="1266"/>
      <c r="MNP30" s="1266"/>
      <c r="MNQ30" s="1266"/>
      <c r="MNR30" s="1266"/>
      <c r="MNS30" s="1266"/>
      <c r="MNT30" s="1266"/>
      <c r="MNU30" s="1266"/>
      <c r="MNV30" s="1266"/>
      <c r="MNW30" s="1266"/>
      <c r="MNX30" s="1266"/>
      <c r="MNY30" s="1266"/>
      <c r="MNZ30" s="1266"/>
      <c r="MOA30" s="1266"/>
      <c r="MOB30" s="1266"/>
      <c r="MOC30" s="1266"/>
      <c r="MOD30" s="1266"/>
      <c r="MOE30" s="1266"/>
      <c r="MOF30" s="1266"/>
      <c r="MOG30" s="1266"/>
      <c r="MOH30" s="1266"/>
      <c r="MOI30" s="1266"/>
      <c r="MOJ30" s="1266"/>
      <c r="MOK30" s="1266"/>
      <c r="MOL30" s="1266"/>
      <c r="MOM30" s="1266"/>
      <c r="MON30" s="1266"/>
      <c r="MOO30" s="1266"/>
      <c r="MOP30" s="1266"/>
      <c r="MOQ30" s="1266"/>
      <c r="MOR30" s="1266"/>
      <c r="MOS30" s="1266"/>
      <c r="MOT30" s="1266"/>
      <c r="MOU30" s="1266"/>
      <c r="MOV30" s="1266"/>
      <c r="MOW30" s="1266"/>
      <c r="MOX30" s="1266"/>
      <c r="MOY30" s="1266"/>
      <c r="MOZ30" s="1266"/>
      <c r="MPA30" s="1266"/>
      <c r="MPB30" s="1266"/>
      <c r="MPC30" s="1266"/>
      <c r="MPD30" s="1266"/>
      <c r="MPE30" s="1266"/>
      <c r="MPF30" s="1266"/>
      <c r="MPG30" s="1266"/>
      <c r="MPH30" s="1266"/>
      <c r="MPI30" s="1266"/>
      <c r="MPJ30" s="1266"/>
      <c r="MPK30" s="1266"/>
      <c r="MPL30" s="1266"/>
      <c r="MPM30" s="1266"/>
      <c r="MPN30" s="1266"/>
      <c r="MPO30" s="1266"/>
      <c r="MPP30" s="1266"/>
      <c r="MPQ30" s="1266"/>
      <c r="MPR30" s="1266"/>
      <c r="MPS30" s="1266"/>
      <c r="MPT30" s="1266"/>
      <c r="MPU30" s="1266"/>
      <c r="MPV30" s="1266"/>
      <c r="MPW30" s="1266"/>
      <c r="MPX30" s="1266"/>
      <c r="MPY30" s="1266"/>
      <c r="MPZ30" s="1266"/>
      <c r="MQA30" s="1266"/>
      <c r="MQB30" s="1266"/>
      <c r="MQC30" s="1266"/>
      <c r="MQD30" s="1266"/>
      <c r="MQE30" s="1266"/>
      <c r="MQF30" s="1266"/>
      <c r="MQG30" s="1266"/>
      <c r="MQH30" s="1266"/>
      <c r="MQI30" s="1266"/>
      <c r="MQJ30" s="1266"/>
      <c r="MQK30" s="1266"/>
      <c r="MQL30" s="1266"/>
      <c r="MQM30" s="1266"/>
      <c r="MQN30" s="1266"/>
      <c r="MQO30" s="1266"/>
      <c r="MQP30" s="1266"/>
      <c r="MQQ30" s="1266"/>
      <c r="MQR30" s="1266"/>
      <c r="MQS30" s="1266"/>
      <c r="MQT30" s="1266"/>
      <c r="MQU30" s="1266"/>
      <c r="MQV30" s="1266"/>
      <c r="MQW30" s="1266"/>
      <c r="MQX30" s="1266"/>
      <c r="MQY30" s="1266"/>
      <c r="MQZ30" s="1266"/>
      <c r="MRA30" s="1266"/>
      <c r="MRB30" s="1266"/>
      <c r="MRC30" s="1266"/>
      <c r="MRD30" s="1266"/>
      <c r="MRE30" s="1266"/>
      <c r="MRF30" s="1266"/>
      <c r="MRG30" s="1266"/>
      <c r="MRH30" s="1266"/>
      <c r="MRI30" s="1266"/>
      <c r="MRJ30" s="1266"/>
      <c r="MRK30" s="1266"/>
      <c r="MRL30" s="1266"/>
      <c r="MRM30" s="1266"/>
      <c r="MRN30" s="1266"/>
      <c r="MRO30" s="1266"/>
      <c r="MRP30" s="1266"/>
      <c r="MRQ30" s="1266"/>
      <c r="MRR30" s="1266"/>
      <c r="MRS30" s="1266"/>
      <c r="MRT30" s="1266"/>
      <c r="MRU30" s="1266"/>
      <c r="MRV30" s="1266"/>
      <c r="MRW30" s="1266"/>
      <c r="MRX30" s="1266"/>
      <c r="MRY30" s="1266"/>
      <c r="MRZ30" s="1266"/>
      <c r="MSA30" s="1266"/>
      <c r="MSB30" s="1266"/>
      <c r="MSC30" s="1266"/>
      <c r="MSD30" s="1266"/>
      <c r="MSE30" s="1266"/>
      <c r="MSF30" s="1266"/>
      <c r="MSG30" s="1266"/>
      <c r="MSH30" s="1266"/>
      <c r="MSI30" s="1266"/>
      <c r="MSJ30" s="1266"/>
      <c r="MSK30" s="1266"/>
      <c r="MSL30" s="1266"/>
      <c r="MSM30" s="1266"/>
      <c r="MSN30" s="1266"/>
      <c r="MSO30" s="1266"/>
      <c r="MSP30" s="1266"/>
      <c r="MSQ30" s="1266"/>
      <c r="MSR30" s="1266"/>
      <c r="MSS30" s="1266"/>
      <c r="MST30" s="1266"/>
      <c r="MSU30" s="1266"/>
      <c r="MSV30" s="1266"/>
      <c r="MSW30" s="1266"/>
      <c r="MSX30" s="1266"/>
      <c r="MSY30" s="1266"/>
      <c r="MSZ30" s="1266"/>
      <c r="MTA30" s="1266"/>
      <c r="MTB30" s="1266"/>
      <c r="MTC30" s="1266"/>
      <c r="MTD30" s="1266"/>
      <c r="MTE30" s="1266"/>
      <c r="MTF30" s="1266"/>
      <c r="MTG30" s="1266"/>
      <c r="MTH30" s="1266"/>
      <c r="MTI30" s="1266"/>
      <c r="MTJ30" s="1266"/>
      <c r="MTK30" s="1266"/>
      <c r="MTL30" s="1266"/>
      <c r="MTM30" s="1266"/>
      <c r="MTN30" s="1266"/>
      <c r="MTO30" s="1266"/>
      <c r="MTP30" s="1266"/>
      <c r="MTQ30" s="1266"/>
      <c r="MTR30" s="1266"/>
      <c r="MTS30" s="1266"/>
      <c r="MTT30" s="1266"/>
      <c r="MTU30" s="1266"/>
      <c r="MTV30" s="1266"/>
      <c r="MTW30" s="1266"/>
      <c r="MTX30" s="1266"/>
      <c r="MTY30" s="1266"/>
      <c r="MTZ30" s="1266"/>
      <c r="MUA30" s="1266"/>
      <c r="MUB30" s="1266"/>
      <c r="MUC30" s="1266"/>
      <c r="MUD30" s="1266"/>
      <c r="MUE30" s="1266"/>
      <c r="MUF30" s="1266"/>
      <c r="MUG30" s="1266"/>
      <c r="MUH30" s="1266"/>
      <c r="MUI30" s="1266"/>
      <c r="MUJ30" s="1266"/>
      <c r="MUK30" s="1266"/>
      <c r="MUL30" s="1266"/>
      <c r="MUM30" s="1266"/>
      <c r="MUN30" s="1266"/>
      <c r="MUO30" s="1266"/>
      <c r="MUP30" s="1266"/>
      <c r="MUQ30" s="1266"/>
      <c r="MUR30" s="1266"/>
      <c r="MUS30" s="1266"/>
      <c r="MUT30" s="1266"/>
      <c r="MUU30" s="1266"/>
      <c r="MUV30" s="1266"/>
      <c r="MUW30" s="1266"/>
      <c r="MUX30" s="1266"/>
      <c r="MUY30" s="1266"/>
      <c r="MUZ30" s="1266"/>
      <c r="MVA30" s="1266"/>
      <c r="MVB30" s="1266"/>
      <c r="MVC30" s="1266"/>
      <c r="MVD30" s="1266"/>
      <c r="MVE30" s="1266"/>
      <c r="MVF30" s="1266"/>
      <c r="MVG30" s="1266"/>
      <c r="MVH30" s="1266"/>
      <c r="MVI30" s="1266"/>
      <c r="MVJ30" s="1266"/>
      <c r="MVK30" s="1266"/>
      <c r="MVL30" s="1266"/>
      <c r="MVM30" s="1266"/>
      <c r="MVN30" s="1266"/>
      <c r="MVO30" s="1266"/>
      <c r="MVP30" s="1266"/>
      <c r="MVQ30" s="1266"/>
      <c r="MVR30" s="1266"/>
      <c r="MVS30" s="1266"/>
      <c r="MVT30" s="1266"/>
      <c r="MVU30" s="1266"/>
      <c r="MVV30" s="1266"/>
      <c r="MVW30" s="1266"/>
      <c r="MVX30" s="1266"/>
      <c r="MVY30" s="1266"/>
      <c r="MVZ30" s="1266"/>
      <c r="MWA30" s="1266"/>
      <c r="MWB30" s="1266"/>
      <c r="MWC30" s="1266"/>
      <c r="MWD30" s="1266"/>
      <c r="MWE30" s="1266"/>
      <c r="MWF30" s="1266"/>
      <c r="MWG30" s="1266"/>
      <c r="MWH30" s="1266"/>
      <c r="MWI30" s="1266"/>
      <c r="MWJ30" s="1266"/>
      <c r="MWK30" s="1266"/>
      <c r="MWL30" s="1266"/>
      <c r="MWM30" s="1266"/>
      <c r="MWN30" s="1266"/>
      <c r="MWO30" s="1266"/>
      <c r="MWP30" s="1266"/>
      <c r="MWQ30" s="1266"/>
      <c r="MWR30" s="1266"/>
      <c r="MWS30" s="1266"/>
      <c r="MWT30" s="1266"/>
      <c r="MWU30" s="1266"/>
      <c r="MWV30" s="1266"/>
      <c r="MWW30" s="1266"/>
      <c r="MWX30" s="1266"/>
      <c r="MWY30" s="1266"/>
      <c r="MWZ30" s="1266"/>
      <c r="MXA30" s="1266"/>
      <c r="MXB30" s="1266"/>
      <c r="MXC30" s="1266"/>
      <c r="MXD30" s="1266"/>
      <c r="MXE30" s="1266"/>
      <c r="MXF30" s="1266"/>
      <c r="MXG30" s="1266"/>
      <c r="MXH30" s="1266"/>
      <c r="MXI30" s="1266"/>
      <c r="MXJ30" s="1266"/>
      <c r="MXK30" s="1266"/>
      <c r="MXL30" s="1266"/>
      <c r="MXM30" s="1266"/>
      <c r="MXN30" s="1266"/>
      <c r="MXO30" s="1266"/>
      <c r="MXP30" s="1266"/>
      <c r="MXQ30" s="1266"/>
      <c r="MXR30" s="1266"/>
      <c r="MXS30" s="1266"/>
      <c r="MXT30" s="1266"/>
      <c r="MXU30" s="1266"/>
      <c r="MXV30" s="1266"/>
      <c r="MXW30" s="1266"/>
      <c r="MXX30" s="1266"/>
      <c r="MXY30" s="1266"/>
      <c r="MXZ30" s="1266"/>
      <c r="MYA30" s="1266"/>
      <c r="MYB30" s="1266"/>
      <c r="MYC30" s="1266"/>
      <c r="MYD30" s="1266"/>
      <c r="MYE30" s="1266"/>
      <c r="MYF30" s="1266"/>
      <c r="MYG30" s="1266"/>
      <c r="MYH30" s="1266"/>
      <c r="MYI30" s="1266"/>
      <c r="MYJ30" s="1266"/>
      <c r="MYK30" s="1266"/>
      <c r="MYL30" s="1266"/>
      <c r="MYM30" s="1266"/>
      <c r="MYN30" s="1266"/>
      <c r="MYO30" s="1266"/>
      <c r="MYP30" s="1266"/>
      <c r="MYQ30" s="1266"/>
      <c r="MYR30" s="1266"/>
      <c r="MYS30" s="1266"/>
      <c r="MYT30" s="1266"/>
      <c r="MYU30" s="1266"/>
      <c r="MYV30" s="1266"/>
      <c r="MYW30" s="1266"/>
      <c r="MYX30" s="1266"/>
      <c r="MYY30" s="1266"/>
      <c r="MYZ30" s="1266"/>
      <c r="MZA30" s="1266"/>
      <c r="MZB30" s="1266"/>
      <c r="MZC30" s="1266"/>
      <c r="MZD30" s="1266"/>
      <c r="MZE30" s="1266"/>
      <c r="MZF30" s="1266"/>
      <c r="MZG30" s="1266"/>
      <c r="MZH30" s="1266"/>
      <c r="MZI30" s="1266"/>
      <c r="MZJ30" s="1266"/>
      <c r="MZK30" s="1266"/>
      <c r="MZL30" s="1266"/>
      <c r="MZM30" s="1266"/>
      <c r="MZN30" s="1266"/>
      <c r="MZO30" s="1266"/>
      <c r="MZP30" s="1266"/>
      <c r="MZQ30" s="1266"/>
      <c r="MZR30" s="1266"/>
      <c r="MZS30" s="1266"/>
      <c r="MZT30" s="1266"/>
      <c r="MZU30" s="1266"/>
      <c r="MZV30" s="1266"/>
      <c r="MZW30" s="1266"/>
      <c r="MZX30" s="1266"/>
      <c r="MZY30" s="1266"/>
      <c r="MZZ30" s="1266"/>
      <c r="NAA30" s="1266"/>
      <c r="NAB30" s="1266"/>
      <c r="NAC30" s="1266"/>
      <c r="NAD30" s="1266"/>
      <c r="NAE30" s="1266"/>
      <c r="NAF30" s="1266"/>
      <c r="NAG30" s="1266"/>
      <c r="NAH30" s="1266"/>
      <c r="NAI30" s="1266"/>
      <c r="NAJ30" s="1266"/>
      <c r="NAK30" s="1266"/>
      <c r="NAL30" s="1266"/>
      <c r="NAM30" s="1266"/>
      <c r="NAN30" s="1266"/>
      <c r="NAO30" s="1266"/>
      <c r="NAP30" s="1266"/>
      <c r="NAQ30" s="1266"/>
      <c r="NAR30" s="1266"/>
      <c r="NAS30" s="1266"/>
      <c r="NAT30" s="1266"/>
      <c r="NAU30" s="1266"/>
      <c r="NAV30" s="1266"/>
      <c r="NAW30" s="1266"/>
      <c r="NAX30" s="1266"/>
      <c r="NAY30" s="1266"/>
      <c r="NAZ30" s="1266"/>
      <c r="NBA30" s="1266"/>
      <c r="NBB30" s="1266"/>
      <c r="NBC30" s="1266"/>
      <c r="NBD30" s="1266"/>
      <c r="NBE30" s="1266"/>
      <c r="NBF30" s="1266"/>
      <c r="NBG30" s="1266"/>
      <c r="NBH30" s="1266"/>
      <c r="NBI30" s="1266"/>
      <c r="NBJ30" s="1266"/>
      <c r="NBK30" s="1266"/>
      <c r="NBL30" s="1266"/>
      <c r="NBM30" s="1266"/>
      <c r="NBN30" s="1266"/>
      <c r="NBO30" s="1266"/>
      <c r="NBP30" s="1266"/>
      <c r="NBQ30" s="1266"/>
      <c r="NBR30" s="1266"/>
      <c r="NBS30" s="1266"/>
      <c r="NBT30" s="1266"/>
      <c r="NBU30" s="1266"/>
      <c r="NBV30" s="1266"/>
      <c r="NBW30" s="1266"/>
      <c r="NBX30" s="1266"/>
      <c r="NBY30" s="1266"/>
      <c r="NBZ30" s="1266"/>
      <c r="NCA30" s="1266"/>
      <c r="NCB30" s="1266"/>
      <c r="NCC30" s="1266"/>
      <c r="NCD30" s="1266"/>
      <c r="NCE30" s="1266"/>
      <c r="NCF30" s="1266"/>
      <c r="NCG30" s="1266"/>
      <c r="NCH30" s="1266"/>
      <c r="NCI30" s="1266"/>
      <c r="NCJ30" s="1266"/>
      <c r="NCK30" s="1266"/>
      <c r="NCL30" s="1266"/>
      <c r="NCM30" s="1266"/>
      <c r="NCN30" s="1266"/>
      <c r="NCO30" s="1266"/>
      <c r="NCP30" s="1266"/>
      <c r="NCQ30" s="1266"/>
      <c r="NCR30" s="1266"/>
      <c r="NCS30" s="1266"/>
      <c r="NCT30" s="1266"/>
      <c r="NCU30" s="1266"/>
      <c r="NCV30" s="1266"/>
      <c r="NCW30" s="1266"/>
      <c r="NCX30" s="1266"/>
      <c r="NCY30" s="1266"/>
      <c r="NCZ30" s="1266"/>
      <c r="NDA30" s="1266"/>
      <c r="NDB30" s="1266"/>
      <c r="NDC30" s="1266"/>
      <c r="NDD30" s="1266"/>
      <c r="NDE30" s="1266"/>
      <c r="NDF30" s="1266"/>
      <c r="NDG30" s="1266"/>
      <c r="NDH30" s="1266"/>
      <c r="NDI30" s="1266"/>
      <c r="NDJ30" s="1266"/>
      <c r="NDK30" s="1266"/>
      <c r="NDL30" s="1266"/>
      <c r="NDM30" s="1266"/>
      <c r="NDN30" s="1266"/>
      <c r="NDO30" s="1266"/>
      <c r="NDP30" s="1266"/>
      <c r="NDQ30" s="1266"/>
      <c r="NDR30" s="1266"/>
      <c r="NDS30" s="1266"/>
      <c r="NDT30" s="1266"/>
      <c r="NDU30" s="1266"/>
      <c r="NDV30" s="1266"/>
      <c r="NDW30" s="1266"/>
      <c r="NDX30" s="1266"/>
      <c r="NDY30" s="1266"/>
      <c r="NDZ30" s="1266"/>
      <c r="NEA30" s="1266"/>
      <c r="NEB30" s="1266"/>
      <c r="NEC30" s="1266"/>
      <c r="NED30" s="1266"/>
      <c r="NEE30" s="1266"/>
      <c r="NEF30" s="1266"/>
      <c r="NEG30" s="1266"/>
      <c r="NEH30" s="1266"/>
      <c r="NEI30" s="1266"/>
      <c r="NEJ30" s="1266"/>
      <c r="NEK30" s="1266"/>
      <c r="NEL30" s="1266"/>
      <c r="NEM30" s="1266"/>
      <c r="NEN30" s="1266"/>
      <c r="NEO30" s="1266"/>
      <c r="NEP30" s="1266"/>
      <c r="NEQ30" s="1266"/>
      <c r="NER30" s="1266"/>
      <c r="NES30" s="1266"/>
      <c r="NET30" s="1266"/>
      <c r="NEU30" s="1266"/>
      <c r="NEV30" s="1266"/>
      <c r="NEW30" s="1266"/>
      <c r="NEX30" s="1266"/>
      <c r="NEY30" s="1266"/>
      <c r="NEZ30" s="1266"/>
      <c r="NFA30" s="1266"/>
      <c r="NFB30" s="1266"/>
      <c r="NFC30" s="1266"/>
      <c r="NFD30" s="1266"/>
      <c r="NFE30" s="1266"/>
      <c r="NFF30" s="1266"/>
      <c r="NFG30" s="1266"/>
      <c r="NFH30" s="1266"/>
      <c r="NFI30" s="1266"/>
      <c r="NFJ30" s="1266"/>
      <c r="NFK30" s="1266"/>
      <c r="NFL30" s="1266"/>
      <c r="NFM30" s="1266"/>
      <c r="NFN30" s="1266"/>
      <c r="NFO30" s="1266"/>
      <c r="NFP30" s="1266"/>
      <c r="NFQ30" s="1266"/>
      <c r="NFR30" s="1266"/>
      <c r="NFS30" s="1266"/>
      <c r="NFT30" s="1266"/>
      <c r="NFU30" s="1266"/>
      <c r="NFV30" s="1266"/>
      <c r="NFW30" s="1266"/>
      <c r="NFX30" s="1266"/>
      <c r="NFY30" s="1266"/>
      <c r="NFZ30" s="1266"/>
      <c r="NGA30" s="1266"/>
      <c r="NGB30" s="1266"/>
      <c r="NGC30" s="1266"/>
      <c r="NGD30" s="1266"/>
      <c r="NGE30" s="1266"/>
      <c r="NGF30" s="1266"/>
      <c r="NGG30" s="1266"/>
      <c r="NGH30" s="1266"/>
      <c r="NGI30" s="1266"/>
      <c r="NGJ30" s="1266"/>
      <c r="NGK30" s="1266"/>
      <c r="NGL30" s="1266"/>
      <c r="NGM30" s="1266"/>
      <c r="NGN30" s="1266"/>
      <c r="NGO30" s="1266"/>
      <c r="NGP30" s="1266"/>
      <c r="NGQ30" s="1266"/>
      <c r="NGR30" s="1266"/>
      <c r="NGS30" s="1266"/>
      <c r="NGT30" s="1266"/>
      <c r="NGU30" s="1266"/>
      <c r="NGV30" s="1266"/>
      <c r="NGW30" s="1266"/>
      <c r="NGX30" s="1266"/>
      <c r="NGY30" s="1266"/>
      <c r="NGZ30" s="1266"/>
      <c r="NHA30" s="1266"/>
      <c r="NHB30" s="1266"/>
      <c r="NHC30" s="1266"/>
      <c r="NHD30" s="1266"/>
      <c r="NHE30" s="1266"/>
      <c r="NHF30" s="1266"/>
      <c r="NHG30" s="1266"/>
      <c r="NHH30" s="1266"/>
      <c r="NHI30" s="1266"/>
      <c r="NHJ30" s="1266"/>
      <c r="NHK30" s="1266"/>
      <c r="NHL30" s="1266"/>
      <c r="NHM30" s="1266"/>
      <c r="NHN30" s="1266"/>
      <c r="NHO30" s="1266"/>
      <c r="NHP30" s="1266"/>
      <c r="NHQ30" s="1266"/>
      <c r="NHR30" s="1266"/>
      <c r="NHS30" s="1266"/>
      <c r="NHT30" s="1266"/>
      <c r="NHU30" s="1266"/>
      <c r="NHV30" s="1266"/>
      <c r="NHW30" s="1266"/>
      <c r="NHX30" s="1266"/>
      <c r="NHY30" s="1266"/>
      <c r="NHZ30" s="1266"/>
      <c r="NIA30" s="1266"/>
      <c r="NIB30" s="1266"/>
      <c r="NIC30" s="1266"/>
      <c r="NID30" s="1266"/>
      <c r="NIE30" s="1266"/>
      <c r="NIF30" s="1266"/>
      <c r="NIG30" s="1266"/>
      <c r="NIH30" s="1266"/>
      <c r="NII30" s="1266"/>
      <c r="NIJ30" s="1266"/>
      <c r="NIK30" s="1266"/>
      <c r="NIL30" s="1266"/>
      <c r="NIM30" s="1266"/>
      <c r="NIN30" s="1266"/>
      <c r="NIO30" s="1266"/>
      <c r="NIP30" s="1266"/>
      <c r="NIQ30" s="1266"/>
      <c r="NIR30" s="1266"/>
      <c r="NIS30" s="1266"/>
      <c r="NIT30" s="1266"/>
      <c r="NIU30" s="1266"/>
      <c r="NIV30" s="1266"/>
      <c r="NIW30" s="1266"/>
      <c r="NIX30" s="1266"/>
      <c r="NIY30" s="1266"/>
      <c r="NIZ30" s="1266"/>
      <c r="NJA30" s="1266"/>
      <c r="NJB30" s="1266"/>
      <c r="NJC30" s="1266"/>
      <c r="NJD30" s="1266"/>
      <c r="NJE30" s="1266"/>
      <c r="NJF30" s="1266"/>
      <c r="NJG30" s="1266"/>
      <c r="NJH30" s="1266"/>
      <c r="NJI30" s="1266"/>
      <c r="NJJ30" s="1266"/>
      <c r="NJK30" s="1266"/>
      <c r="NJL30" s="1266"/>
      <c r="NJM30" s="1266"/>
      <c r="NJN30" s="1266"/>
      <c r="NJO30" s="1266"/>
      <c r="NJP30" s="1266"/>
      <c r="NJQ30" s="1266"/>
      <c r="NJR30" s="1266"/>
      <c r="NJS30" s="1266"/>
      <c r="NJT30" s="1266"/>
      <c r="NJU30" s="1266"/>
      <c r="NJV30" s="1266"/>
      <c r="NJW30" s="1266"/>
      <c r="NJX30" s="1266"/>
      <c r="NJY30" s="1266"/>
      <c r="NJZ30" s="1266"/>
      <c r="NKA30" s="1266"/>
      <c r="NKB30" s="1266"/>
      <c r="NKC30" s="1266"/>
      <c r="NKD30" s="1266"/>
      <c r="NKE30" s="1266"/>
      <c r="NKF30" s="1266"/>
      <c r="NKG30" s="1266"/>
      <c r="NKH30" s="1266"/>
      <c r="NKI30" s="1266"/>
      <c r="NKJ30" s="1266"/>
      <c r="NKK30" s="1266"/>
      <c r="NKL30" s="1266"/>
      <c r="NKM30" s="1266"/>
      <c r="NKN30" s="1266"/>
      <c r="NKO30" s="1266"/>
      <c r="NKP30" s="1266"/>
      <c r="NKQ30" s="1266"/>
      <c r="NKR30" s="1266"/>
      <c r="NKS30" s="1266"/>
      <c r="NKT30" s="1266"/>
      <c r="NKU30" s="1266"/>
      <c r="NKV30" s="1266"/>
      <c r="NKW30" s="1266"/>
      <c r="NKX30" s="1266"/>
      <c r="NKY30" s="1266"/>
      <c r="NKZ30" s="1266"/>
      <c r="NLA30" s="1266"/>
      <c r="NLB30" s="1266"/>
      <c r="NLC30" s="1266"/>
      <c r="NLD30" s="1266"/>
      <c r="NLE30" s="1266"/>
      <c r="NLF30" s="1266"/>
      <c r="NLG30" s="1266"/>
      <c r="NLH30" s="1266"/>
      <c r="NLI30" s="1266"/>
      <c r="NLJ30" s="1266"/>
      <c r="NLK30" s="1266"/>
      <c r="NLL30" s="1266"/>
      <c r="NLM30" s="1266"/>
      <c r="NLN30" s="1266"/>
      <c r="NLO30" s="1266"/>
      <c r="NLP30" s="1266"/>
      <c r="NLQ30" s="1266"/>
      <c r="NLR30" s="1266"/>
      <c r="NLS30" s="1266"/>
      <c r="NLT30" s="1266"/>
      <c r="NLU30" s="1266"/>
      <c r="NLV30" s="1266"/>
      <c r="NLW30" s="1266"/>
      <c r="NLX30" s="1266"/>
      <c r="NLY30" s="1266"/>
      <c r="NLZ30" s="1266"/>
      <c r="NMA30" s="1266"/>
      <c r="NMB30" s="1266"/>
      <c r="NMC30" s="1266"/>
      <c r="NMD30" s="1266"/>
      <c r="NME30" s="1266"/>
      <c r="NMF30" s="1266"/>
      <c r="NMG30" s="1266"/>
      <c r="NMH30" s="1266"/>
      <c r="NMI30" s="1266"/>
      <c r="NMJ30" s="1266"/>
      <c r="NMK30" s="1266"/>
      <c r="NML30" s="1266"/>
      <c r="NMM30" s="1266"/>
      <c r="NMN30" s="1266"/>
      <c r="NMO30" s="1266"/>
      <c r="NMP30" s="1266"/>
      <c r="NMQ30" s="1266"/>
      <c r="NMR30" s="1266"/>
      <c r="NMS30" s="1266"/>
      <c r="NMT30" s="1266"/>
      <c r="NMU30" s="1266"/>
      <c r="NMV30" s="1266"/>
      <c r="NMW30" s="1266"/>
      <c r="NMX30" s="1266"/>
      <c r="NMY30" s="1266"/>
      <c r="NMZ30" s="1266"/>
      <c r="NNA30" s="1266"/>
      <c r="NNB30" s="1266"/>
      <c r="NNC30" s="1266"/>
      <c r="NND30" s="1266"/>
      <c r="NNE30" s="1266"/>
      <c r="NNF30" s="1266"/>
      <c r="NNG30" s="1266"/>
      <c r="NNH30" s="1266"/>
      <c r="NNI30" s="1266"/>
      <c r="NNJ30" s="1266"/>
      <c r="NNK30" s="1266"/>
      <c r="NNL30" s="1266"/>
      <c r="NNM30" s="1266"/>
      <c r="NNN30" s="1266"/>
      <c r="NNO30" s="1266"/>
      <c r="NNP30" s="1266"/>
      <c r="NNQ30" s="1266"/>
      <c r="NNR30" s="1266"/>
      <c r="NNS30" s="1266"/>
      <c r="NNT30" s="1266"/>
      <c r="NNU30" s="1266"/>
      <c r="NNV30" s="1266"/>
      <c r="NNW30" s="1266"/>
      <c r="NNX30" s="1266"/>
      <c r="NNY30" s="1266"/>
      <c r="NNZ30" s="1266"/>
      <c r="NOA30" s="1266"/>
      <c r="NOB30" s="1266"/>
      <c r="NOC30" s="1266"/>
      <c r="NOD30" s="1266"/>
      <c r="NOE30" s="1266"/>
      <c r="NOF30" s="1266"/>
      <c r="NOG30" s="1266"/>
      <c r="NOH30" s="1266"/>
      <c r="NOI30" s="1266"/>
      <c r="NOJ30" s="1266"/>
      <c r="NOK30" s="1266"/>
      <c r="NOL30" s="1266"/>
      <c r="NOM30" s="1266"/>
      <c r="NON30" s="1266"/>
      <c r="NOO30" s="1266"/>
      <c r="NOP30" s="1266"/>
      <c r="NOQ30" s="1266"/>
      <c r="NOR30" s="1266"/>
      <c r="NOS30" s="1266"/>
      <c r="NOT30" s="1266"/>
      <c r="NOU30" s="1266"/>
      <c r="NOV30" s="1266"/>
      <c r="NOW30" s="1266"/>
      <c r="NOX30" s="1266"/>
      <c r="NOY30" s="1266"/>
      <c r="NOZ30" s="1266"/>
      <c r="NPA30" s="1266"/>
      <c r="NPB30" s="1266"/>
      <c r="NPC30" s="1266"/>
      <c r="NPD30" s="1266"/>
      <c r="NPE30" s="1266"/>
      <c r="NPF30" s="1266"/>
      <c r="NPG30" s="1266"/>
      <c r="NPH30" s="1266"/>
      <c r="NPI30" s="1266"/>
      <c r="NPJ30" s="1266"/>
      <c r="NPK30" s="1266"/>
      <c r="NPL30" s="1266"/>
      <c r="NPM30" s="1266"/>
      <c r="NPN30" s="1266"/>
      <c r="NPO30" s="1266"/>
      <c r="NPP30" s="1266"/>
      <c r="NPQ30" s="1266"/>
      <c r="NPR30" s="1266"/>
      <c r="NPS30" s="1266"/>
      <c r="NPT30" s="1266"/>
      <c r="NPU30" s="1266"/>
      <c r="NPV30" s="1266"/>
      <c r="NPW30" s="1266"/>
      <c r="NPX30" s="1266"/>
      <c r="NPY30" s="1266"/>
      <c r="NPZ30" s="1266"/>
      <c r="NQA30" s="1266"/>
      <c r="NQB30" s="1266"/>
      <c r="NQC30" s="1266"/>
      <c r="NQD30" s="1266"/>
      <c r="NQE30" s="1266"/>
      <c r="NQF30" s="1266"/>
      <c r="NQG30" s="1266"/>
      <c r="NQH30" s="1266"/>
      <c r="NQI30" s="1266"/>
      <c r="NQJ30" s="1266"/>
      <c r="NQK30" s="1266"/>
      <c r="NQL30" s="1266"/>
      <c r="NQM30" s="1266"/>
      <c r="NQN30" s="1266"/>
      <c r="NQO30" s="1266"/>
      <c r="NQP30" s="1266"/>
      <c r="NQQ30" s="1266"/>
      <c r="NQR30" s="1266"/>
      <c r="NQS30" s="1266"/>
      <c r="NQT30" s="1266"/>
      <c r="NQU30" s="1266"/>
      <c r="NQV30" s="1266"/>
      <c r="NQW30" s="1266"/>
      <c r="NQX30" s="1266"/>
      <c r="NQY30" s="1266"/>
      <c r="NQZ30" s="1266"/>
      <c r="NRA30" s="1266"/>
      <c r="NRB30" s="1266"/>
      <c r="NRC30" s="1266"/>
      <c r="NRD30" s="1266"/>
      <c r="NRE30" s="1266"/>
      <c r="NRF30" s="1266"/>
      <c r="NRG30" s="1266"/>
      <c r="NRH30" s="1266"/>
      <c r="NRI30" s="1266"/>
      <c r="NRJ30" s="1266"/>
      <c r="NRK30" s="1266"/>
      <c r="NRL30" s="1266"/>
      <c r="NRM30" s="1266"/>
      <c r="NRN30" s="1266"/>
      <c r="NRO30" s="1266"/>
      <c r="NRP30" s="1266"/>
      <c r="NRQ30" s="1266"/>
      <c r="NRR30" s="1266"/>
      <c r="NRS30" s="1266"/>
      <c r="NRT30" s="1266"/>
      <c r="NRU30" s="1266"/>
      <c r="NRV30" s="1266"/>
      <c r="NRW30" s="1266"/>
      <c r="NRX30" s="1266"/>
      <c r="NRY30" s="1266"/>
      <c r="NRZ30" s="1266"/>
      <c r="NSA30" s="1266"/>
      <c r="NSB30" s="1266"/>
      <c r="NSC30" s="1266"/>
      <c r="NSD30" s="1266"/>
      <c r="NSE30" s="1266"/>
      <c r="NSF30" s="1266"/>
      <c r="NSG30" s="1266"/>
      <c r="NSH30" s="1266"/>
      <c r="NSI30" s="1266"/>
      <c r="NSJ30" s="1266"/>
      <c r="NSK30" s="1266"/>
      <c r="NSL30" s="1266"/>
      <c r="NSM30" s="1266"/>
      <c r="NSN30" s="1266"/>
      <c r="NSO30" s="1266"/>
      <c r="NSP30" s="1266"/>
      <c r="NSQ30" s="1266"/>
      <c r="NSR30" s="1266"/>
      <c r="NSS30" s="1266"/>
      <c r="NST30" s="1266"/>
      <c r="NSU30" s="1266"/>
      <c r="NSV30" s="1266"/>
      <c r="NSW30" s="1266"/>
      <c r="NSX30" s="1266"/>
      <c r="NSY30" s="1266"/>
      <c r="NSZ30" s="1266"/>
      <c r="NTA30" s="1266"/>
      <c r="NTB30" s="1266"/>
      <c r="NTC30" s="1266"/>
      <c r="NTD30" s="1266"/>
      <c r="NTE30" s="1266"/>
      <c r="NTF30" s="1266"/>
      <c r="NTG30" s="1266"/>
      <c r="NTH30" s="1266"/>
      <c r="NTI30" s="1266"/>
      <c r="NTJ30" s="1266"/>
      <c r="NTK30" s="1266"/>
      <c r="NTL30" s="1266"/>
      <c r="NTM30" s="1266"/>
      <c r="NTN30" s="1266"/>
      <c r="NTO30" s="1266"/>
      <c r="NTP30" s="1266"/>
      <c r="NTQ30" s="1266"/>
      <c r="NTR30" s="1266"/>
      <c r="NTS30" s="1266"/>
      <c r="NTT30" s="1266"/>
      <c r="NTU30" s="1266"/>
      <c r="NTV30" s="1266"/>
      <c r="NTW30" s="1266"/>
      <c r="NTX30" s="1266"/>
      <c r="NTY30" s="1266"/>
      <c r="NTZ30" s="1266"/>
      <c r="NUA30" s="1266"/>
      <c r="NUB30" s="1266"/>
      <c r="NUC30" s="1266"/>
      <c r="NUD30" s="1266"/>
      <c r="NUE30" s="1266"/>
      <c r="NUF30" s="1266"/>
      <c r="NUG30" s="1266"/>
      <c r="NUH30" s="1266"/>
      <c r="NUI30" s="1266"/>
      <c r="NUJ30" s="1266"/>
      <c r="NUK30" s="1266"/>
      <c r="NUL30" s="1266"/>
      <c r="NUM30" s="1266"/>
      <c r="NUN30" s="1266"/>
      <c r="NUO30" s="1266"/>
      <c r="NUP30" s="1266"/>
      <c r="NUQ30" s="1266"/>
      <c r="NUR30" s="1266"/>
      <c r="NUS30" s="1266"/>
      <c r="NUT30" s="1266"/>
      <c r="NUU30" s="1266"/>
      <c r="NUV30" s="1266"/>
      <c r="NUW30" s="1266"/>
      <c r="NUX30" s="1266"/>
      <c r="NUY30" s="1266"/>
      <c r="NUZ30" s="1266"/>
      <c r="NVA30" s="1266"/>
      <c r="NVB30" s="1266"/>
      <c r="NVC30" s="1266"/>
      <c r="NVD30" s="1266"/>
      <c r="NVE30" s="1266"/>
      <c r="NVF30" s="1266"/>
      <c r="NVG30" s="1266"/>
      <c r="NVH30" s="1266"/>
      <c r="NVI30" s="1266"/>
      <c r="NVJ30" s="1266"/>
      <c r="NVK30" s="1266"/>
      <c r="NVL30" s="1266"/>
      <c r="NVM30" s="1266"/>
      <c r="NVN30" s="1266"/>
      <c r="NVO30" s="1266"/>
      <c r="NVP30" s="1266"/>
      <c r="NVQ30" s="1266"/>
      <c r="NVR30" s="1266"/>
      <c r="NVS30" s="1266"/>
      <c r="NVT30" s="1266"/>
      <c r="NVU30" s="1266"/>
      <c r="NVV30" s="1266"/>
      <c r="NVW30" s="1266"/>
      <c r="NVX30" s="1266"/>
      <c r="NVY30" s="1266"/>
      <c r="NVZ30" s="1266"/>
      <c r="NWA30" s="1266"/>
      <c r="NWB30" s="1266"/>
      <c r="NWC30" s="1266"/>
      <c r="NWD30" s="1266"/>
      <c r="NWE30" s="1266"/>
      <c r="NWF30" s="1266"/>
      <c r="NWG30" s="1266"/>
      <c r="NWH30" s="1266"/>
      <c r="NWI30" s="1266"/>
      <c r="NWJ30" s="1266"/>
      <c r="NWK30" s="1266"/>
      <c r="NWL30" s="1266"/>
      <c r="NWM30" s="1266"/>
      <c r="NWN30" s="1266"/>
      <c r="NWO30" s="1266"/>
      <c r="NWP30" s="1266"/>
      <c r="NWQ30" s="1266"/>
      <c r="NWR30" s="1266"/>
      <c r="NWS30" s="1266"/>
      <c r="NWT30" s="1266"/>
      <c r="NWU30" s="1266"/>
      <c r="NWV30" s="1266"/>
      <c r="NWW30" s="1266"/>
      <c r="NWX30" s="1266"/>
      <c r="NWY30" s="1266"/>
      <c r="NWZ30" s="1266"/>
      <c r="NXA30" s="1266"/>
      <c r="NXB30" s="1266"/>
      <c r="NXC30" s="1266"/>
      <c r="NXD30" s="1266"/>
      <c r="NXE30" s="1266"/>
      <c r="NXF30" s="1266"/>
      <c r="NXG30" s="1266"/>
      <c r="NXH30" s="1266"/>
      <c r="NXI30" s="1266"/>
      <c r="NXJ30" s="1266"/>
      <c r="NXK30" s="1266"/>
      <c r="NXL30" s="1266"/>
      <c r="NXM30" s="1266"/>
      <c r="NXN30" s="1266"/>
      <c r="NXO30" s="1266"/>
      <c r="NXP30" s="1266"/>
      <c r="NXQ30" s="1266"/>
      <c r="NXR30" s="1266"/>
      <c r="NXS30" s="1266"/>
      <c r="NXT30" s="1266"/>
      <c r="NXU30" s="1266"/>
      <c r="NXV30" s="1266"/>
      <c r="NXW30" s="1266"/>
      <c r="NXX30" s="1266"/>
      <c r="NXY30" s="1266"/>
      <c r="NXZ30" s="1266"/>
      <c r="NYA30" s="1266"/>
      <c r="NYB30" s="1266"/>
      <c r="NYC30" s="1266"/>
      <c r="NYD30" s="1266"/>
      <c r="NYE30" s="1266"/>
      <c r="NYF30" s="1266"/>
      <c r="NYG30" s="1266"/>
      <c r="NYH30" s="1266"/>
      <c r="NYI30" s="1266"/>
      <c r="NYJ30" s="1266"/>
      <c r="NYK30" s="1266"/>
      <c r="NYL30" s="1266"/>
      <c r="NYM30" s="1266"/>
      <c r="NYN30" s="1266"/>
      <c r="NYO30" s="1266"/>
      <c r="NYP30" s="1266"/>
      <c r="NYQ30" s="1266"/>
      <c r="NYR30" s="1266"/>
      <c r="NYS30" s="1266"/>
      <c r="NYT30" s="1266"/>
      <c r="NYU30" s="1266"/>
      <c r="NYV30" s="1266"/>
      <c r="NYW30" s="1266"/>
      <c r="NYX30" s="1266"/>
      <c r="NYY30" s="1266"/>
      <c r="NYZ30" s="1266"/>
      <c r="NZA30" s="1266"/>
      <c r="NZB30" s="1266"/>
      <c r="NZC30" s="1266"/>
      <c r="NZD30" s="1266"/>
      <c r="NZE30" s="1266"/>
      <c r="NZF30" s="1266"/>
      <c r="NZG30" s="1266"/>
      <c r="NZH30" s="1266"/>
      <c r="NZI30" s="1266"/>
      <c r="NZJ30" s="1266"/>
      <c r="NZK30" s="1266"/>
      <c r="NZL30" s="1266"/>
      <c r="NZM30" s="1266"/>
      <c r="NZN30" s="1266"/>
      <c r="NZO30" s="1266"/>
      <c r="NZP30" s="1266"/>
      <c r="NZQ30" s="1266"/>
      <c r="NZR30" s="1266"/>
      <c r="NZS30" s="1266"/>
      <c r="NZT30" s="1266"/>
      <c r="NZU30" s="1266"/>
      <c r="NZV30" s="1266"/>
      <c r="NZW30" s="1266"/>
      <c r="NZX30" s="1266"/>
      <c r="NZY30" s="1266"/>
      <c r="NZZ30" s="1266"/>
      <c r="OAA30" s="1266"/>
      <c r="OAB30" s="1266"/>
      <c r="OAC30" s="1266"/>
      <c r="OAD30" s="1266"/>
      <c r="OAE30" s="1266"/>
      <c r="OAF30" s="1266"/>
      <c r="OAG30" s="1266"/>
      <c r="OAH30" s="1266"/>
      <c r="OAI30" s="1266"/>
      <c r="OAJ30" s="1266"/>
      <c r="OAK30" s="1266"/>
      <c r="OAL30" s="1266"/>
      <c r="OAM30" s="1266"/>
      <c r="OAN30" s="1266"/>
      <c r="OAO30" s="1266"/>
      <c r="OAP30" s="1266"/>
      <c r="OAQ30" s="1266"/>
      <c r="OAR30" s="1266"/>
      <c r="OAS30" s="1266"/>
      <c r="OAT30" s="1266"/>
      <c r="OAU30" s="1266"/>
      <c r="OAV30" s="1266"/>
      <c r="OAW30" s="1266"/>
      <c r="OAX30" s="1266"/>
      <c r="OAY30" s="1266"/>
      <c r="OAZ30" s="1266"/>
      <c r="OBA30" s="1266"/>
      <c r="OBB30" s="1266"/>
      <c r="OBC30" s="1266"/>
      <c r="OBD30" s="1266"/>
      <c r="OBE30" s="1266"/>
      <c r="OBF30" s="1266"/>
      <c r="OBG30" s="1266"/>
      <c r="OBH30" s="1266"/>
      <c r="OBI30" s="1266"/>
      <c r="OBJ30" s="1266"/>
      <c r="OBK30" s="1266"/>
      <c r="OBL30" s="1266"/>
      <c r="OBM30" s="1266"/>
      <c r="OBN30" s="1266"/>
      <c r="OBO30" s="1266"/>
      <c r="OBP30" s="1266"/>
      <c r="OBQ30" s="1266"/>
      <c r="OBR30" s="1266"/>
      <c r="OBS30" s="1266"/>
      <c r="OBT30" s="1266"/>
      <c r="OBU30" s="1266"/>
      <c r="OBV30" s="1266"/>
      <c r="OBW30" s="1266"/>
      <c r="OBX30" s="1266"/>
      <c r="OBY30" s="1266"/>
      <c r="OBZ30" s="1266"/>
      <c r="OCA30" s="1266"/>
      <c r="OCB30" s="1266"/>
      <c r="OCC30" s="1266"/>
      <c r="OCD30" s="1266"/>
      <c r="OCE30" s="1266"/>
      <c r="OCF30" s="1266"/>
      <c r="OCG30" s="1266"/>
      <c r="OCH30" s="1266"/>
      <c r="OCI30" s="1266"/>
      <c r="OCJ30" s="1266"/>
      <c r="OCK30" s="1266"/>
      <c r="OCL30" s="1266"/>
      <c r="OCM30" s="1266"/>
      <c r="OCN30" s="1266"/>
      <c r="OCO30" s="1266"/>
      <c r="OCP30" s="1266"/>
      <c r="OCQ30" s="1266"/>
      <c r="OCR30" s="1266"/>
      <c r="OCS30" s="1266"/>
      <c r="OCT30" s="1266"/>
      <c r="OCU30" s="1266"/>
      <c r="OCV30" s="1266"/>
      <c r="OCW30" s="1266"/>
      <c r="OCX30" s="1266"/>
      <c r="OCY30" s="1266"/>
      <c r="OCZ30" s="1266"/>
      <c r="ODA30" s="1266"/>
      <c r="ODB30" s="1266"/>
      <c r="ODC30" s="1266"/>
      <c r="ODD30" s="1266"/>
      <c r="ODE30" s="1266"/>
      <c r="ODF30" s="1266"/>
      <c r="ODG30" s="1266"/>
      <c r="ODH30" s="1266"/>
      <c r="ODI30" s="1266"/>
      <c r="ODJ30" s="1266"/>
      <c r="ODK30" s="1266"/>
      <c r="ODL30" s="1266"/>
      <c r="ODM30" s="1266"/>
      <c r="ODN30" s="1266"/>
      <c r="ODO30" s="1266"/>
      <c r="ODP30" s="1266"/>
      <c r="ODQ30" s="1266"/>
      <c r="ODR30" s="1266"/>
      <c r="ODS30" s="1266"/>
      <c r="ODT30" s="1266"/>
      <c r="ODU30" s="1266"/>
      <c r="ODV30" s="1266"/>
      <c r="ODW30" s="1266"/>
      <c r="ODX30" s="1266"/>
      <c r="ODY30" s="1266"/>
      <c r="ODZ30" s="1266"/>
      <c r="OEA30" s="1266"/>
      <c r="OEB30" s="1266"/>
      <c r="OEC30" s="1266"/>
      <c r="OED30" s="1266"/>
      <c r="OEE30" s="1266"/>
      <c r="OEF30" s="1266"/>
      <c r="OEG30" s="1266"/>
      <c r="OEH30" s="1266"/>
      <c r="OEI30" s="1266"/>
      <c r="OEJ30" s="1266"/>
      <c r="OEK30" s="1266"/>
      <c r="OEL30" s="1266"/>
      <c r="OEM30" s="1266"/>
      <c r="OEN30" s="1266"/>
      <c r="OEO30" s="1266"/>
      <c r="OEP30" s="1266"/>
      <c r="OEQ30" s="1266"/>
      <c r="OER30" s="1266"/>
      <c r="OES30" s="1266"/>
      <c r="OET30" s="1266"/>
      <c r="OEU30" s="1266"/>
      <c r="OEV30" s="1266"/>
      <c r="OEW30" s="1266"/>
      <c r="OEX30" s="1266"/>
      <c r="OEY30" s="1266"/>
      <c r="OEZ30" s="1266"/>
      <c r="OFA30" s="1266"/>
      <c r="OFB30" s="1266"/>
      <c r="OFC30" s="1266"/>
      <c r="OFD30" s="1266"/>
      <c r="OFE30" s="1266"/>
      <c r="OFF30" s="1266"/>
      <c r="OFG30" s="1266"/>
      <c r="OFH30" s="1266"/>
      <c r="OFI30" s="1266"/>
      <c r="OFJ30" s="1266"/>
      <c r="OFK30" s="1266"/>
      <c r="OFL30" s="1266"/>
      <c r="OFM30" s="1266"/>
      <c r="OFN30" s="1266"/>
      <c r="OFO30" s="1266"/>
      <c r="OFP30" s="1266"/>
      <c r="OFQ30" s="1266"/>
      <c r="OFR30" s="1266"/>
      <c r="OFS30" s="1266"/>
      <c r="OFT30" s="1266"/>
      <c r="OFU30" s="1266"/>
      <c r="OFV30" s="1266"/>
      <c r="OFW30" s="1266"/>
      <c r="OFX30" s="1266"/>
      <c r="OFY30" s="1266"/>
      <c r="OFZ30" s="1266"/>
      <c r="OGA30" s="1266"/>
      <c r="OGB30" s="1266"/>
      <c r="OGC30" s="1266"/>
      <c r="OGD30" s="1266"/>
      <c r="OGE30" s="1266"/>
      <c r="OGF30" s="1266"/>
      <c r="OGG30" s="1266"/>
      <c r="OGH30" s="1266"/>
      <c r="OGI30" s="1266"/>
      <c r="OGJ30" s="1266"/>
      <c r="OGK30" s="1266"/>
      <c r="OGL30" s="1266"/>
      <c r="OGM30" s="1266"/>
      <c r="OGN30" s="1266"/>
      <c r="OGO30" s="1266"/>
      <c r="OGP30" s="1266"/>
      <c r="OGQ30" s="1266"/>
      <c r="OGR30" s="1266"/>
      <c r="OGS30" s="1266"/>
      <c r="OGT30" s="1266"/>
      <c r="OGU30" s="1266"/>
      <c r="OGV30" s="1266"/>
      <c r="OGW30" s="1266"/>
      <c r="OGX30" s="1266"/>
      <c r="OGY30" s="1266"/>
      <c r="OGZ30" s="1266"/>
      <c r="OHA30" s="1266"/>
      <c r="OHB30" s="1266"/>
      <c r="OHC30" s="1266"/>
      <c r="OHD30" s="1266"/>
      <c r="OHE30" s="1266"/>
      <c r="OHF30" s="1266"/>
      <c r="OHG30" s="1266"/>
      <c r="OHH30" s="1266"/>
      <c r="OHI30" s="1266"/>
      <c r="OHJ30" s="1266"/>
      <c r="OHK30" s="1266"/>
      <c r="OHL30" s="1266"/>
      <c r="OHM30" s="1266"/>
      <c r="OHN30" s="1266"/>
      <c r="OHO30" s="1266"/>
      <c r="OHP30" s="1266"/>
      <c r="OHQ30" s="1266"/>
      <c r="OHR30" s="1266"/>
      <c r="OHS30" s="1266"/>
      <c r="OHT30" s="1266"/>
      <c r="OHU30" s="1266"/>
      <c r="OHV30" s="1266"/>
      <c r="OHW30" s="1266"/>
      <c r="OHX30" s="1266"/>
      <c r="OHY30" s="1266"/>
      <c r="OHZ30" s="1266"/>
      <c r="OIA30" s="1266"/>
      <c r="OIB30" s="1266"/>
      <c r="OIC30" s="1266"/>
      <c r="OID30" s="1266"/>
      <c r="OIE30" s="1266"/>
      <c r="OIF30" s="1266"/>
      <c r="OIG30" s="1266"/>
      <c r="OIH30" s="1266"/>
      <c r="OII30" s="1266"/>
      <c r="OIJ30" s="1266"/>
      <c r="OIK30" s="1266"/>
      <c r="OIL30" s="1266"/>
      <c r="OIM30" s="1266"/>
      <c r="OIN30" s="1266"/>
      <c r="OIO30" s="1266"/>
      <c r="OIP30" s="1266"/>
      <c r="OIQ30" s="1266"/>
      <c r="OIR30" s="1266"/>
      <c r="OIS30" s="1266"/>
      <c r="OIT30" s="1266"/>
      <c r="OIU30" s="1266"/>
      <c r="OIV30" s="1266"/>
      <c r="OIW30" s="1266"/>
      <c r="OIX30" s="1266"/>
      <c r="OIY30" s="1266"/>
      <c r="OIZ30" s="1266"/>
      <c r="OJA30" s="1266"/>
      <c r="OJB30" s="1266"/>
      <c r="OJC30" s="1266"/>
      <c r="OJD30" s="1266"/>
      <c r="OJE30" s="1266"/>
      <c r="OJF30" s="1266"/>
      <c r="OJG30" s="1266"/>
      <c r="OJH30" s="1266"/>
      <c r="OJI30" s="1266"/>
      <c r="OJJ30" s="1266"/>
      <c r="OJK30" s="1266"/>
      <c r="OJL30" s="1266"/>
      <c r="OJM30" s="1266"/>
      <c r="OJN30" s="1266"/>
      <c r="OJO30" s="1266"/>
      <c r="OJP30" s="1266"/>
      <c r="OJQ30" s="1266"/>
      <c r="OJR30" s="1266"/>
      <c r="OJS30" s="1266"/>
      <c r="OJT30" s="1266"/>
      <c r="OJU30" s="1266"/>
      <c r="OJV30" s="1266"/>
      <c r="OJW30" s="1266"/>
      <c r="OJX30" s="1266"/>
      <c r="OJY30" s="1266"/>
      <c r="OJZ30" s="1266"/>
      <c r="OKA30" s="1266"/>
      <c r="OKB30" s="1266"/>
      <c r="OKC30" s="1266"/>
      <c r="OKD30" s="1266"/>
      <c r="OKE30" s="1266"/>
      <c r="OKF30" s="1266"/>
      <c r="OKG30" s="1266"/>
      <c r="OKH30" s="1266"/>
      <c r="OKI30" s="1266"/>
      <c r="OKJ30" s="1266"/>
      <c r="OKK30" s="1266"/>
      <c r="OKL30" s="1266"/>
      <c r="OKM30" s="1266"/>
      <c r="OKN30" s="1266"/>
      <c r="OKO30" s="1266"/>
      <c r="OKP30" s="1266"/>
      <c r="OKQ30" s="1266"/>
      <c r="OKR30" s="1266"/>
      <c r="OKS30" s="1266"/>
      <c r="OKT30" s="1266"/>
      <c r="OKU30" s="1266"/>
      <c r="OKV30" s="1266"/>
      <c r="OKW30" s="1266"/>
      <c r="OKX30" s="1266"/>
      <c r="OKY30" s="1266"/>
      <c r="OKZ30" s="1266"/>
      <c r="OLA30" s="1266"/>
      <c r="OLB30" s="1266"/>
      <c r="OLC30" s="1266"/>
      <c r="OLD30" s="1266"/>
      <c r="OLE30" s="1266"/>
      <c r="OLF30" s="1266"/>
      <c r="OLG30" s="1266"/>
      <c r="OLH30" s="1266"/>
      <c r="OLI30" s="1266"/>
      <c r="OLJ30" s="1266"/>
      <c r="OLK30" s="1266"/>
      <c r="OLL30" s="1266"/>
      <c r="OLM30" s="1266"/>
      <c r="OLN30" s="1266"/>
      <c r="OLO30" s="1266"/>
      <c r="OLP30" s="1266"/>
      <c r="OLQ30" s="1266"/>
      <c r="OLR30" s="1266"/>
      <c r="OLS30" s="1266"/>
      <c r="OLT30" s="1266"/>
      <c r="OLU30" s="1266"/>
      <c r="OLV30" s="1266"/>
      <c r="OLW30" s="1266"/>
      <c r="OLX30" s="1266"/>
      <c r="OLY30" s="1266"/>
      <c r="OLZ30" s="1266"/>
      <c r="OMA30" s="1266"/>
      <c r="OMB30" s="1266"/>
      <c r="OMC30" s="1266"/>
      <c r="OMD30" s="1266"/>
      <c r="OME30" s="1266"/>
      <c r="OMF30" s="1266"/>
      <c r="OMG30" s="1266"/>
      <c r="OMH30" s="1266"/>
      <c r="OMI30" s="1266"/>
      <c r="OMJ30" s="1266"/>
      <c r="OMK30" s="1266"/>
      <c r="OML30" s="1266"/>
      <c r="OMM30" s="1266"/>
      <c r="OMN30" s="1266"/>
      <c r="OMO30" s="1266"/>
      <c r="OMP30" s="1266"/>
      <c r="OMQ30" s="1266"/>
      <c r="OMR30" s="1266"/>
      <c r="OMS30" s="1266"/>
      <c r="OMT30" s="1266"/>
      <c r="OMU30" s="1266"/>
      <c r="OMV30" s="1266"/>
      <c r="OMW30" s="1266"/>
      <c r="OMX30" s="1266"/>
      <c r="OMY30" s="1266"/>
      <c r="OMZ30" s="1266"/>
      <c r="ONA30" s="1266"/>
      <c r="ONB30" s="1266"/>
      <c r="ONC30" s="1266"/>
      <c r="OND30" s="1266"/>
      <c r="ONE30" s="1266"/>
      <c r="ONF30" s="1266"/>
      <c r="ONG30" s="1266"/>
      <c r="ONH30" s="1266"/>
      <c r="ONI30" s="1266"/>
      <c r="ONJ30" s="1266"/>
      <c r="ONK30" s="1266"/>
      <c r="ONL30" s="1266"/>
      <c r="ONM30" s="1266"/>
      <c r="ONN30" s="1266"/>
      <c r="ONO30" s="1266"/>
      <c r="ONP30" s="1266"/>
      <c r="ONQ30" s="1266"/>
      <c r="ONR30" s="1266"/>
      <c r="ONS30" s="1266"/>
      <c r="ONT30" s="1266"/>
      <c r="ONU30" s="1266"/>
      <c r="ONV30" s="1266"/>
      <c r="ONW30" s="1266"/>
      <c r="ONX30" s="1266"/>
      <c r="ONY30" s="1266"/>
      <c r="ONZ30" s="1266"/>
      <c r="OOA30" s="1266"/>
      <c r="OOB30" s="1266"/>
      <c r="OOC30" s="1266"/>
      <c r="OOD30" s="1266"/>
      <c r="OOE30" s="1266"/>
      <c r="OOF30" s="1266"/>
      <c r="OOG30" s="1266"/>
      <c r="OOH30" s="1266"/>
      <c r="OOI30" s="1266"/>
      <c r="OOJ30" s="1266"/>
      <c r="OOK30" s="1266"/>
      <c r="OOL30" s="1266"/>
      <c r="OOM30" s="1266"/>
      <c r="OON30" s="1266"/>
      <c r="OOO30" s="1266"/>
      <c r="OOP30" s="1266"/>
      <c r="OOQ30" s="1266"/>
      <c r="OOR30" s="1266"/>
      <c r="OOS30" s="1266"/>
      <c r="OOT30" s="1266"/>
      <c r="OOU30" s="1266"/>
      <c r="OOV30" s="1266"/>
      <c r="OOW30" s="1266"/>
      <c r="OOX30" s="1266"/>
      <c r="OOY30" s="1266"/>
      <c r="OOZ30" s="1266"/>
      <c r="OPA30" s="1266"/>
      <c r="OPB30" s="1266"/>
      <c r="OPC30" s="1266"/>
      <c r="OPD30" s="1266"/>
      <c r="OPE30" s="1266"/>
      <c r="OPF30" s="1266"/>
      <c r="OPG30" s="1266"/>
      <c r="OPH30" s="1266"/>
      <c r="OPI30" s="1266"/>
      <c r="OPJ30" s="1266"/>
      <c r="OPK30" s="1266"/>
      <c r="OPL30" s="1266"/>
      <c r="OPM30" s="1266"/>
      <c r="OPN30" s="1266"/>
      <c r="OPO30" s="1266"/>
      <c r="OPP30" s="1266"/>
      <c r="OPQ30" s="1266"/>
      <c r="OPR30" s="1266"/>
      <c r="OPS30" s="1266"/>
      <c r="OPT30" s="1266"/>
      <c r="OPU30" s="1266"/>
      <c r="OPV30" s="1266"/>
      <c r="OPW30" s="1266"/>
      <c r="OPX30" s="1266"/>
      <c r="OPY30" s="1266"/>
      <c r="OPZ30" s="1266"/>
      <c r="OQA30" s="1266"/>
      <c r="OQB30" s="1266"/>
      <c r="OQC30" s="1266"/>
      <c r="OQD30" s="1266"/>
      <c r="OQE30" s="1266"/>
      <c r="OQF30" s="1266"/>
      <c r="OQG30" s="1266"/>
      <c r="OQH30" s="1266"/>
      <c r="OQI30" s="1266"/>
      <c r="OQJ30" s="1266"/>
      <c r="OQK30" s="1266"/>
      <c r="OQL30" s="1266"/>
      <c r="OQM30" s="1266"/>
      <c r="OQN30" s="1266"/>
      <c r="OQO30" s="1266"/>
      <c r="OQP30" s="1266"/>
      <c r="OQQ30" s="1266"/>
      <c r="OQR30" s="1266"/>
      <c r="OQS30" s="1266"/>
      <c r="OQT30" s="1266"/>
      <c r="OQU30" s="1266"/>
      <c r="OQV30" s="1266"/>
      <c r="OQW30" s="1266"/>
      <c r="OQX30" s="1266"/>
      <c r="OQY30" s="1266"/>
      <c r="OQZ30" s="1266"/>
      <c r="ORA30" s="1266"/>
      <c r="ORB30" s="1266"/>
      <c r="ORC30" s="1266"/>
      <c r="ORD30" s="1266"/>
      <c r="ORE30" s="1266"/>
      <c r="ORF30" s="1266"/>
      <c r="ORG30" s="1266"/>
      <c r="ORH30" s="1266"/>
      <c r="ORI30" s="1266"/>
      <c r="ORJ30" s="1266"/>
      <c r="ORK30" s="1266"/>
      <c r="ORL30" s="1266"/>
      <c r="ORM30" s="1266"/>
      <c r="ORN30" s="1266"/>
      <c r="ORO30" s="1266"/>
      <c r="ORP30" s="1266"/>
      <c r="ORQ30" s="1266"/>
      <c r="ORR30" s="1266"/>
      <c r="ORS30" s="1266"/>
      <c r="ORT30" s="1266"/>
      <c r="ORU30" s="1266"/>
      <c r="ORV30" s="1266"/>
      <c r="ORW30" s="1266"/>
      <c r="ORX30" s="1266"/>
      <c r="ORY30" s="1266"/>
      <c r="ORZ30" s="1266"/>
      <c r="OSA30" s="1266"/>
      <c r="OSB30" s="1266"/>
      <c r="OSC30" s="1266"/>
      <c r="OSD30" s="1266"/>
      <c r="OSE30" s="1266"/>
      <c r="OSF30" s="1266"/>
      <c r="OSG30" s="1266"/>
      <c r="OSH30" s="1266"/>
      <c r="OSI30" s="1266"/>
      <c r="OSJ30" s="1266"/>
      <c r="OSK30" s="1266"/>
      <c r="OSL30" s="1266"/>
      <c r="OSM30" s="1266"/>
      <c r="OSN30" s="1266"/>
      <c r="OSO30" s="1266"/>
      <c r="OSP30" s="1266"/>
      <c r="OSQ30" s="1266"/>
      <c r="OSR30" s="1266"/>
      <c r="OSS30" s="1266"/>
      <c r="OST30" s="1266"/>
      <c r="OSU30" s="1266"/>
      <c r="OSV30" s="1266"/>
      <c r="OSW30" s="1266"/>
      <c r="OSX30" s="1266"/>
      <c r="OSY30" s="1266"/>
      <c r="OSZ30" s="1266"/>
      <c r="OTA30" s="1266"/>
      <c r="OTB30" s="1266"/>
      <c r="OTC30" s="1266"/>
      <c r="OTD30" s="1266"/>
      <c r="OTE30" s="1266"/>
      <c r="OTF30" s="1266"/>
      <c r="OTG30" s="1266"/>
      <c r="OTH30" s="1266"/>
      <c r="OTI30" s="1266"/>
      <c r="OTJ30" s="1266"/>
      <c r="OTK30" s="1266"/>
      <c r="OTL30" s="1266"/>
      <c r="OTM30" s="1266"/>
      <c r="OTN30" s="1266"/>
      <c r="OTO30" s="1266"/>
      <c r="OTP30" s="1266"/>
      <c r="OTQ30" s="1266"/>
      <c r="OTR30" s="1266"/>
      <c r="OTS30" s="1266"/>
      <c r="OTT30" s="1266"/>
      <c r="OTU30" s="1266"/>
      <c r="OTV30" s="1266"/>
      <c r="OTW30" s="1266"/>
      <c r="OTX30" s="1266"/>
      <c r="OTY30" s="1266"/>
      <c r="OTZ30" s="1266"/>
      <c r="OUA30" s="1266"/>
      <c r="OUB30" s="1266"/>
      <c r="OUC30" s="1266"/>
      <c r="OUD30" s="1266"/>
      <c r="OUE30" s="1266"/>
      <c r="OUF30" s="1266"/>
      <c r="OUG30" s="1266"/>
      <c r="OUH30" s="1266"/>
      <c r="OUI30" s="1266"/>
      <c r="OUJ30" s="1266"/>
      <c r="OUK30" s="1266"/>
      <c r="OUL30" s="1266"/>
      <c r="OUM30" s="1266"/>
      <c r="OUN30" s="1266"/>
      <c r="OUO30" s="1266"/>
      <c r="OUP30" s="1266"/>
      <c r="OUQ30" s="1266"/>
      <c r="OUR30" s="1266"/>
      <c r="OUS30" s="1266"/>
      <c r="OUT30" s="1266"/>
      <c r="OUU30" s="1266"/>
      <c r="OUV30" s="1266"/>
      <c r="OUW30" s="1266"/>
      <c r="OUX30" s="1266"/>
      <c r="OUY30" s="1266"/>
      <c r="OUZ30" s="1266"/>
      <c r="OVA30" s="1266"/>
      <c r="OVB30" s="1266"/>
      <c r="OVC30" s="1266"/>
      <c r="OVD30" s="1266"/>
      <c r="OVE30" s="1266"/>
      <c r="OVF30" s="1266"/>
      <c r="OVG30" s="1266"/>
      <c r="OVH30" s="1266"/>
      <c r="OVI30" s="1266"/>
      <c r="OVJ30" s="1266"/>
      <c r="OVK30" s="1266"/>
      <c r="OVL30" s="1266"/>
      <c r="OVM30" s="1266"/>
      <c r="OVN30" s="1266"/>
      <c r="OVO30" s="1266"/>
      <c r="OVP30" s="1266"/>
      <c r="OVQ30" s="1266"/>
      <c r="OVR30" s="1266"/>
      <c r="OVS30" s="1266"/>
      <c r="OVT30" s="1266"/>
      <c r="OVU30" s="1266"/>
      <c r="OVV30" s="1266"/>
      <c r="OVW30" s="1266"/>
      <c r="OVX30" s="1266"/>
      <c r="OVY30" s="1266"/>
      <c r="OVZ30" s="1266"/>
      <c r="OWA30" s="1266"/>
      <c r="OWB30" s="1266"/>
      <c r="OWC30" s="1266"/>
      <c r="OWD30" s="1266"/>
      <c r="OWE30" s="1266"/>
      <c r="OWF30" s="1266"/>
      <c r="OWG30" s="1266"/>
      <c r="OWH30" s="1266"/>
      <c r="OWI30" s="1266"/>
      <c r="OWJ30" s="1266"/>
      <c r="OWK30" s="1266"/>
      <c r="OWL30" s="1266"/>
      <c r="OWM30" s="1266"/>
      <c r="OWN30" s="1266"/>
      <c r="OWO30" s="1266"/>
      <c r="OWP30" s="1266"/>
      <c r="OWQ30" s="1266"/>
      <c r="OWR30" s="1266"/>
      <c r="OWS30" s="1266"/>
      <c r="OWT30" s="1266"/>
      <c r="OWU30" s="1266"/>
      <c r="OWV30" s="1266"/>
      <c r="OWW30" s="1266"/>
      <c r="OWX30" s="1266"/>
      <c r="OWY30" s="1266"/>
      <c r="OWZ30" s="1266"/>
      <c r="OXA30" s="1266"/>
      <c r="OXB30" s="1266"/>
      <c r="OXC30" s="1266"/>
      <c r="OXD30" s="1266"/>
      <c r="OXE30" s="1266"/>
      <c r="OXF30" s="1266"/>
      <c r="OXG30" s="1266"/>
      <c r="OXH30" s="1266"/>
      <c r="OXI30" s="1266"/>
      <c r="OXJ30" s="1266"/>
      <c r="OXK30" s="1266"/>
      <c r="OXL30" s="1266"/>
      <c r="OXM30" s="1266"/>
      <c r="OXN30" s="1266"/>
      <c r="OXO30" s="1266"/>
      <c r="OXP30" s="1266"/>
      <c r="OXQ30" s="1266"/>
      <c r="OXR30" s="1266"/>
      <c r="OXS30" s="1266"/>
      <c r="OXT30" s="1266"/>
      <c r="OXU30" s="1266"/>
      <c r="OXV30" s="1266"/>
      <c r="OXW30" s="1266"/>
      <c r="OXX30" s="1266"/>
      <c r="OXY30" s="1266"/>
      <c r="OXZ30" s="1266"/>
      <c r="OYA30" s="1266"/>
      <c r="OYB30" s="1266"/>
      <c r="OYC30" s="1266"/>
      <c r="OYD30" s="1266"/>
      <c r="OYE30" s="1266"/>
      <c r="OYF30" s="1266"/>
      <c r="OYG30" s="1266"/>
      <c r="OYH30" s="1266"/>
      <c r="OYI30" s="1266"/>
      <c r="OYJ30" s="1266"/>
      <c r="OYK30" s="1266"/>
      <c r="OYL30" s="1266"/>
      <c r="OYM30" s="1266"/>
      <c r="OYN30" s="1266"/>
      <c r="OYO30" s="1266"/>
      <c r="OYP30" s="1266"/>
      <c r="OYQ30" s="1266"/>
      <c r="OYR30" s="1266"/>
      <c r="OYS30" s="1266"/>
      <c r="OYT30" s="1266"/>
      <c r="OYU30" s="1266"/>
      <c r="OYV30" s="1266"/>
      <c r="OYW30" s="1266"/>
      <c r="OYX30" s="1266"/>
      <c r="OYY30" s="1266"/>
      <c r="OYZ30" s="1266"/>
      <c r="OZA30" s="1266"/>
      <c r="OZB30" s="1266"/>
      <c r="OZC30" s="1266"/>
      <c r="OZD30" s="1266"/>
      <c r="OZE30" s="1266"/>
      <c r="OZF30" s="1266"/>
      <c r="OZG30" s="1266"/>
      <c r="OZH30" s="1266"/>
      <c r="OZI30" s="1266"/>
      <c r="OZJ30" s="1266"/>
      <c r="OZK30" s="1266"/>
      <c r="OZL30" s="1266"/>
      <c r="OZM30" s="1266"/>
      <c r="OZN30" s="1266"/>
      <c r="OZO30" s="1266"/>
      <c r="OZP30" s="1266"/>
      <c r="OZQ30" s="1266"/>
      <c r="OZR30" s="1266"/>
      <c r="OZS30" s="1266"/>
      <c r="OZT30" s="1266"/>
      <c r="OZU30" s="1266"/>
      <c r="OZV30" s="1266"/>
      <c r="OZW30" s="1266"/>
      <c r="OZX30" s="1266"/>
      <c r="OZY30" s="1266"/>
      <c r="OZZ30" s="1266"/>
      <c r="PAA30" s="1266"/>
      <c r="PAB30" s="1266"/>
      <c r="PAC30" s="1266"/>
      <c r="PAD30" s="1266"/>
      <c r="PAE30" s="1266"/>
      <c r="PAF30" s="1266"/>
      <c r="PAG30" s="1266"/>
      <c r="PAH30" s="1266"/>
      <c r="PAI30" s="1266"/>
      <c r="PAJ30" s="1266"/>
      <c r="PAK30" s="1266"/>
      <c r="PAL30" s="1266"/>
      <c r="PAM30" s="1266"/>
      <c r="PAN30" s="1266"/>
      <c r="PAO30" s="1266"/>
      <c r="PAP30" s="1266"/>
      <c r="PAQ30" s="1266"/>
      <c r="PAR30" s="1266"/>
      <c r="PAS30" s="1266"/>
      <c r="PAT30" s="1266"/>
      <c r="PAU30" s="1266"/>
      <c r="PAV30" s="1266"/>
      <c r="PAW30" s="1266"/>
      <c r="PAX30" s="1266"/>
      <c r="PAY30" s="1266"/>
      <c r="PAZ30" s="1266"/>
      <c r="PBA30" s="1266"/>
      <c r="PBB30" s="1266"/>
      <c r="PBC30" s="1266"/>
      <c r="PBD30" s="1266"/>
      <c r="PBE30" s="1266"/>
      <c r="PBF30" s="1266"/>
      <c r="PBG30" s="1266"/>
      <c r="PBH30" s="1266"/>
      <c r="PBI30" s="1266"/>
      <c r="PBJ30" s="1266"/>
      <c r="PBK30" s="1266"/>
      <c r="PBL30" s="1266"/>
      <c r="PBM30" s="1266"/>
      <c r="PBN30" s="1266"/>
      <c r="PBO30" s="1266"/>
      <c r="PBP30" s="1266"/>
      <c r="PBQ30" s="1266"/>
      <c r="PBR30" s="1266"/>
      <c r="PBS30" s="1266"/>
      <c r="PBT30" s="1266"/>
      <c r="PBU30" s="1266"/>
      <c r="PBV30" s="1266"/>
      <c r="PBW30" s="1266"/>
      <c r="PBX30" s="1266"/>
      <c r="PBY30" s="1266"/>
      <c r="PBZ30" s="1266"/>
      <c r="PCA30" s="1266"/>
      <c r="PCB30" s="1266"/>
      <c r="PCC30" s="1266"/>
      <c r="PCD30" s="1266"/>
      <c r="PCE30" s="1266"/>
      <c r="PCF30" s="1266"/>
      <c r="PCG30" s="1266"/>
      <c r="PCH30" s="1266"/>
      <c r="PCI30" s="1266"/>
      <c r="PCJ30" s="1266"/>
      <c r="PCK30" s="1266"/>
      <c r="PCL30" s="1266"/>
      <c r="PCM30" s="1266"/>
      <c r="PCN30" s="1266"/>
      <c r="PCO30" s="1266"/>
      <c r="PCP30" s="1266"/>
      <c r="PCQ30" s="1266"/>
      <c r="PCR30" s="1266"/>
      <c r="PCS30" s="1266"/>
      <c r="PCT30" s="1266"/>
      <c r="PCU30" s="1266"/>
      <c r="PCV30" s="1266"/>
      <c r="PCW30" s="1266"/>
      <c r="PCX30" s="1266"/>
      <c r="PCY30" s="1266"/>
      <c r="PCZ30" s="1266"/>
      <c r="PDA30" s="1266"/>
      <c r="PDB30" s="1266"/>
      <c r="PDC30" s="1266"/>
      <c r="PDD30" s="1266"/>
      <c r="PDE30" s="1266"/>
      <c r="PDF30" s="1266"/>
      <c r="PDG30" s="1266"/>
      <c r="PDH30" s="1266"/>
      <c r="PDI30" s="1266"/>
      <c r="PDJ30" s="1266"/>
      <c r="PDK30" s="1266"/>
      <c r="PDL30" s="1266"/>
      <c r="PDM30" s="1266"/>
      <c r="PDN30" s="1266"/>
      <c r="PDO30" s="1266"/>
      <c r="PDP30" s="1266"/>
      <c r="PDQ30" s="1266"/>
      <c r="PDR30" s="1266"/>
      <c r="PDS30" s="1266"/>
      <c r="PDT30" s="1266"/>
      <c r="PDU30" s="1266"/>
      <c r="PDV30" s="1266"/>
      <c r="PDW30" s="1266"/>
      <c r="PDX30" s="1266"/>
      <c r="PDY30" s="1266"/>
      <c r="PDZ30" s="1266"/>
      <c r="PEA30" s="1266"/>
      <c r="PEB30" s="1266"/>
      <c r="PEC30" s="1266"/>
      <c r="PED30" s="1266"/>
      <c r="PEE30" s="1266"/>
      <c r="PEF30" s="1266"/>
      <c r="PEG30" s="1266"/>
      <c r="PEH30" s="1266"/>
      <c r="PEI30" s="1266"/>
      <c r="PEJ30" s="1266"/>
      <c r="PEK30" s="1266"/>
      <c r="PEL30" s="1266"/>
      <c r="PEM30" s="1266"/>
      <c r="PEN30" s="1266"/>
      <c r="PEO30" s="1266"/>
      <c r="PEP30" s="1266"/>
      <c r="PEQ30" s="1266"/>
      <c r="PER30" s="1266"/>
      <c r="PES30" s="1266"/>
      <c r="PET30" s="1266"/>
      <c r="PEU30" s="1266"/>
      <c r="PEV30" s="1266"/>
      <c r="PEW30" s="1266"/>
      <c r="PEX30" s="1266"/>
      <c r="PEY30" s="1266"/>
      <c r="PEZ30" s="1266"/>
      <c r="PFA30" s="1266"/>
      <c r="PFB30" s="1266"/>
      <c r="PFC30" s="1266"/>
      <c r="PFD30" s="1266"/>
      <c r="PFE30" s="1266"/>
      <c r="PFF30" s="1266"/>
      <c r="PFG30" s="1266"/>
      <c r="PFH30" s="1266"/>
      <c r="PFI30" s="1266"/>
      <c r="PFJ30" s="1266"/>
      <c r="PFK30" s="1266"/>
      <c r="PFL30" s="1266"/>
      <c r="PFM30" s="1266"/>
      <c r="PFN30" s="1266"/>
      <c r="PFO30" s="1266"/>
      <c r="PFP30" s="1266"/>
      <c r="PFQ30" s="1266"/>
      <c r="PFR30" s="1266"/>
      <c r="PFS30" s="1266"/>
      <c r="PFT30" s="1266"/>
      <c r="PFU30" s="1266"/>
      <c r="PFV30" s="1266"/>
      <c r="PFW30" s="1266"/>
      <c r="PFX30" s="1266"/>
      <c r="PFY30" s="1266"/>
      <c r="PFZ30" s="1266"/>
      <c r="PGA30" s="1266"/>
      <c r="PGB30" s="1266"/>
      <c r="PGC30" s="1266"/>
      <c r="PGD30" s="1266"/>
      <c r="PGE30" s="1266"/>
      <c r="PGF30" s="1266"/>
      <c r="PGG30" s="1266"/>
      <c r="PGH30" s="1266"/>
      <c r="PGI30" s="1266"/>
      <c r="PGJ30" s="1266"/>
      <c r="PGK30" s="1266"/>
      <c r="PGL30" s="1266"/>
      <c r="PGM30" s="1266"/>
      <c r="PGN30" s="1266"/>
      <c r="PGO30" s="1266"/>
      <c r="PGP30" s="1266"/>
      <c r="PGQ30" s="1266"/>
      <c r="PGR30" s="1266"/>
      <c r="PGS30" s="1266"/>
      <c r="PGT30" s="1266"/>
      <c r="PGU30" s="1266"/>
      <c r="PGV30" s="1266"/>
      <c r="PGW30" s="1266"/>
      <c r="PGX30" s="1266"/>
      <c r="PGY30" s="1266"/>
      <c r="PGZ30" s="1266"/>
      <c r="PHA30" s="1266"/>
      <c r="PHB30" s="1266"/>
      <c r="PHC30" s="1266"/>
      <c r="PHD30" s="1266"/>
      <c r="PHE30" s="1266"/>
      <c r="PHF30" s="1266"/>
      <c r="PHG30" s="1266"/>
      <c r="PHH30" s="1266"/>
      <c r="PHI30" s="1266"/>
      <c r="PHJ30" s="1266"/>
      <c r="PHK30" s="1266"/>
      <c r="PHL30" s="1266"/>
      <c r="PHM30" s="1266"/>
      <c r="PHN30" s="1266"/>
      <c r="PHO30" s="1266"/>
      <c r="PHP30" s="1266"/>
      <c r="PHQ30" s="1266"/>
      <c r="PHR30" s="1266"/>
      <c r="PHS30" s="1266"/>
      <c r="PHT30" s="1266"/>
      <c r="PHU30" s="1266"/>
      <c r="PHV30" s="1266"/>
      <c r="PHW30" s="1266"/>
      <c r="PHX30" s="1266"/>
      <c r="PHY30" s="1266"/>
      <c r="PHZ30" s="1266"/>
      <c r="PIA30" s="1266"/>
      <c r="PIB30" s="1266"/>
      <c r="PIC30" s="1266"/>
      <c r="PID30" s="1266"/>
      <c r="PIE30" s="1266"/>
      <c r="PIF30" s="1266"/>
      <c r="PIG30" s="1266"/>
      <c r="PIH30" s="1266"/>
      <c r="PII30" s="1266"/>
      <c r="PIJ30" s="1266"/>
      <c r="PIK30" s="1266"/>
      <c r="PIL30" s="1266"/>
      <c r="PIM30" s="1266"/>
      <c r="PIN30" s="1266"/>
      <c r="PIO30" s="1266"/>
      <c r="PIP30" s="1266"/>
      <c r="PIQ30" s="1266"/>
      <c r="PIR30" s="1266"/>
      <c r="PIS30" s="1266"/>
      <c r="PIT30" s="1266"/>
      <c r="PIU30" s="1266"/>
      <c r="PIV30" s="1266"/>
      <c r="PIW30" s="1266"/>
      <c r="PIX30" s="1266"/>
      <c r="PIY30" s="1266"/>
      <c r="PIZ30" s="1266"/>
      <c r="PJA30" s="1266"/>
      <c r="PJB30" s="1266"/>
      <c r="PJC30" s="1266"/>
      <c r="PJD30" s="1266"/>
      <c r="PJE30" s="1266"/>
      <c r="PJF30" s="1266"/>
      <c r="PJG30" s="1266"/>
      <c r="PJH30" s="1266"/>
      <c r="PJI30" s="1266"/>
      <c r="PJJ30" s="1266"/>
      <c r="PJK30" s="1266"/>
      <c r="PJL30" s="1266"/>
      <c r="PJM30" s="1266"/>
      <c r="PJN30" s="1266"/>
      <c r="PJO30" s="1266"/>
      <c r="PJP30" s="1266"/>
      <c r="PJQ30" s="1266"/>
      <c r="PJR30" s="1266"/>
      <c r="PJS30" s="1266"/>
      <c r="PJT30" s="1266"/>
      <c r="PJU30" s="1266"/>
      <c r="PJV30" s="1266"/>
      <c r="PJW30" s="1266"/>
      <c r="PJX30" s="1266"/>
      <c r="PJY30" s="1266"/>
      <c r="PJZ30" s="1266"/>
      <c r="PKA30" s="1266"/>
      <c r="PKB30" s="1266"/>
      <c r="PKC30" s="1266"/>
      <c r="PKD30" s="1266"/>
      <c r="PKE30" s="1266"/>
      <c r="PKF30" s="1266"/>
      <c r="PKG30" s="1266"/>
      <c r="PKH30" s="1266"/>
      <c r="PKI30" s="1266"/>
      <c r="PKJ30" s="1266"/>
      <c r="PKK30" s="1266"/>
      <c r="PKL30" s="1266"/>
      <c r="PKM30" s="1266"/>
      <c r="PKN30" s="1266"/>
      <c r="PKO30" s="1266"/>
      <c r="PKP30" s="1266"/>
      <c r="PKQ30" s="1266"/>
      <c r="PKR30" s="1266"/>
      <c r="PKS30" s="1266"/>
      <c r="PKT30" s="1266"/>
      <c r="PKU30" s="1266"/>
      <c r="PKV30" s="1266"/>
      <c r="PKW30" s="1266"/>
      <c r="PKX30" s="1266"/>
      <c r="PKY30" s="1266"/>
      <c r="PKZ30" s="1266"/>
      <c r="PLA30" s="1266"/>
      <c r="PLB30" s="1266"/>
      <c r="PLC30" s="1266"/>
      <c r="PLD30" s="1266"/>
      <c r="PLE30" s="1266"/>
      <c r="PLF30" s="1266"/>
      <c r="PLG30" s="1266"/>
      <c r="PLH30" s="1266"/>
      <c r="PLI30" s="1266"/>
      <c r="PLJ30" s="1266"/>
      <c r="PLK30" s="1266"/>
      <c r="PLL30" s="1266"/>
      <c r="PLM30" s="1266"/>
      <c r="PLN30" s="1266"/>
      <c r="PLO30" s="1266"/>
      <c r="PLP30" s="1266"/>
      <c r="PLQ30" s="1266"/>
      <c r="PLR30" s="1266"/>
      <c r="PLS30" s="1266"/>
      <c r="PLT30" s="1266"/>
      <c r="PLU30" s="1266"/>
      <c r="PLV30" s="1266"/>
      <c r="PLW30" s="1266"/>
      <c r="PLX30" s="1266"/>
      <c r="PLY30" s="1266"/>
      <c r="PLZ30" s="1266"/>
      <c r="PMA30" s="1266"/>
      <c r="PMB30" s="1266"/>
      <c r="PMC30" s="1266"/>
      <c r="PMD30" s="1266"/>
      <c r="PME30" s="1266"/>
      <c r="PMF30" s="1266"/>
      <c r="PMG30" s="1266"/>
      <c r="PMH30" s="1266"/>
      <c r="PMI30" s="1266"/>
      <c r="PMJ30" s="1266"/>
      <c r="PMK30" s="1266"/>
      <c r="PML30" s="1266"/>
      <c r="PMM30" s="1266"/>
      <c r="PMN30" s="1266"/>
      <c r="PMO30" s="1266"/>
      <c r="PMP30" s="1266"/>
      <c r="PMQ30" s="1266"/>
      <c r="PMR30" s="1266"/>
      <c r="PMS30" s="1266"/>
      <c r="PMT30" s="1266"/>
      <c r="PMU30" s="1266"/>
      <c r="PMV30" s="1266"/>
      <c r="PMW30" s="1266"/>
      <c r="PMX30" s="1266"/>
      <c r="PMY30" s="1266"/>
      <c r="PMZ30" s="1266"/>
      <c r="PNA30" s="1266"/>
      <c r="PNB30" s="1266"/>
      <c r="PNC30" s="1266"/>
      <c r="PND30" s="1266"/>
      <c r="PNE30" s="1266"/>
      <c r="PNF30" s="1266"/>
      <c r="PNG30" s="1266"/>
      <c r="PNH30" s="1266"/>
      <c r="PNI30" s="1266"/>
      <c r="PNJ30" s="1266"/>
      <c r="PNK30" s="1266"/>
      <c r="PNL30" s="1266"/>
      <c r="PNM30" s="1266"/>
      <c r="PNN30" s="1266"/>
      <c r="PNO30" s="1266"/>
      <c r="PNP30" s="1266"/>
      <c r="PNQ30" s="1266"/>
      <c r="PNR30" s="1266"/>
      <c r="PNS30" s="1266"/>
      <c r="PNT30" s="1266"/>
      <c r="PNU30" s="1266"/>
      <c r="PNV30" s="1266"/>
      <c r="PNW30" s="1266"/>
      <c r="PNX30" s="1266"/>
      <c r="PNY30" s="1266"/>
      <c r="PNZ30" s="1266"/>
      <c r="POA30" s="1266"/>
      <c r="POB30" s="1266"/>
      <c r="POC30" s="1266"/>
      <c r="POD30" s="1266"/>
      <c r="POE30" s="1266"/>
      <c r="POF30" s="1266"/>
      <c r="POG30" s="1266"/>
      <c r="POH30" s="1266"/>
      <c r="POI30" s="1266"/>
      <c r="POJ30" s="1266"/>
      <c r="POK30" s="1266"/>
      <c r="POL30" s="1266"/>
      <c r="POM30" s="1266"/>
      <c r="PON30" s="1266"/>
      <c r="POO30" s="1266"/>
      <c r="POP30" s="1266"/>
      <c r="POQ30" s="1266"/>
      <c r="POR30" s="1266"/>
      <c r="POS30" s="1266"/>
      <c r="POT30" s="1266"/>
      <c r="POU30" s="1266"/>
      <c r="POV30" s="1266"/>
      <c r="POW30" s="1266"/>
      <c r="POX30" s="1266"/>
      <c r="POY30" s="1266"/>
      <c r="POZ30" s="1266"/>
      <c r="PPA30" s="1266"/>
      <c r="PPB30" s="1266"/>
      <c r="PPC30" s="1266"/>
      <c r="PPD30" s="1266"/>
      <c r="PPE30" s="1266"/>
      <c r="PPF30" s="1266"/>
      <c r="PPG30" s="1266"/>
      <c r="PPH30" s="1266"/>
      <c r="PPI30" s="1266"/>
      <c r="PPJ30" s="1266"/>
      <c r="PPK30" s="1266"/>
      <c r="PPL30" s="1266"/>
      <c r="PPM30" s="1266"/>
      <c r="PPN30" s="1266"/>
      <c r="PPO30" s="1266"/>
      <c r="PPP30" s="1266"/>
      <c r="PPQ30" s="1266"/>
      <c r="PPR30" s="1266"/>
      <c r="PPS30" s="1266"/>
      <c r="PPT30" s="1266"/>
      <c r="PPU30" s="1266"/>
      <c r="PPV30" s="1266"/>
      <c r="PPW30" s="1266"/>
      <c r="PPX30" s="1266"/>
      <c r="PPY30" s="1266"/>
      <c r="PPZ30" s="1266"/>
      <c r="PQA30" s="1266"/>
      <c r="PQB30" s="1266"/>
      <c r="PQC30" s="1266"/>
      <c r="PQD30" s="1266"/>
      <c r="PQE30" s="1266"/>
      <c r="PQF30" s="1266"/>
      <c r="PQG30" s="1266"/>
      <c r="PQH30" s="1266"/>
      <c r="PQI30" s="1266"/>
      <c r="PQJ30" s="1266"/>
      <c r="PQK30" s="1266"/>
      <c r="PQL30" s="1266"/>
      <c r="PQM30" s="1266"/>
      <c r="PQN30" s="1266"/>
      <c r="PQO30" s="1266"/>
      <c r="PQP30" s="1266"/>
      <c r="PQQ30" s="1266"/>
      <c r="PQR30" s="1266"/>
      <c r="PQS30" s="1266"/>
      <c r="PQT30" s="1266"/>
      <c r="PQU30" s="1266"/>
      <c r="PQV30" s="1266"/>
      <c r="PQW30" s="1266"/>
      <c r="PQX30" s="1266"/>
      <c r="PQY30" s="1266"/>
      <c r="PQZ30" s="1266"/>
      <c r="PRA30" s="1266"/>
      <c r="PRB30" s="1266"/>
      <c r="PRC30" s="1266"/>
      <c r="PRD30" s="1266"/>
      <c r="PRE30" s="1266"/>
      <c r="PRF30" s="1266"/>
      <c r="PRG30" s="1266"/>
      <c r="PRH30" s="1266"/>
      <c r="PRI30" s="1266"/>
      <c r="PRJ30" s="1266"/>
      <c r="PRK30" s="1266"/>
      <c r="PRL30" s="1266"/>
      <c r="PRM30" s="1266"/>
      <c r="PRN30" s="1266"/>
      <c r="PRO30" s="1266"/>
      <c r="PRP30" s="1266"/>
      <c r="PRQ30" s="1266"/>
      <c r="PRR30" s="1266"/>
      <c r="PRS30" s="1266"/>
      <c r="PRT30" s="1266"/>
      <c r="PRU30" s="1266"/>
      <c r="PRV30" s="1266"/>
      <c r="PRW30" s="1266"/>
      <c r="PRX30" s="1266"/>
      <c r="PRY30" s="1266"/>
      <c r="PRZ30" s="1266"/>
      <c r="PSA30" s="1266"/>
      <c r="PSB30" s="1266"/>
      <c r="PSC30" s="1266"/>
      <c r="PSD30" s="1266"/>
      <c r="PSE30" s="1266"/>
      <c r="PSF30" s="1266"/>
      <c r="PSG30" s="1266"/>
      <c r="PSH30" s="1266"/>
      <c r="PSI30" s="1266"/>
      <c r="PSJ30" s="1266"/>
      <c r="PSK30" s="1266"/>
      <c r="PSL30" s="1266"/>
      <c r="PSM30" s="1266"/>
      <c r="PSN30" s="1266"/>
      <c r="PSO30" s="1266"/>
      <c r="PSP30" s="1266"/>
      <c r="PSQ30" s="1266"/>
      <c r="PSR30" s="1266"/>
      <c r="PSS30" s="1266"/>
      <c r="PST30" s="1266"/>
      <c r="PSU30" s="1266"/>
      <c r="PSV30" s="1266"/>
      <c r="PSW30" s="1266"/>
      <c r="PSX30" s="1266"/>
      <c r="PSY30" s="1266"/>
      <c r="PSZ30" s="1266"/>
      <c r="PTA30" s="1266"/>
      <c r="PTB30" s="1266"/>
      <c r="PTC30" s="1266"/>
      <c r="PTD30" s="1266"/>
      <c r="PTE30" s="1266"/>
      <c r="PTF30" s="1266"/>
      <c r="PTG30" s="1266"/>
      <c r="PTH30" s="1266"/>
      <c r="PTI30" s="1266"/>
      <c r="PTJ30" s="1266"/>
      <c r="PTK30" s="1266"/>
      <c r="PTL30" s="1266"/>
      <c r="PTM30" s="1266"/>
      <c r="PTN30" s="1266"/>
      <c r="PTO30" s="1266"/>
      <c r="PTP30" s="1266"/>
      <c r="PTQ30" s="1266"/>
      <c r="PTR30" s="1266"/>
      <c r="PTS30" s="1266"/>
      <c r="PTT30" s="1266"/>
      <c r="PTU30" s="1266"/>
      <c r="PTV30" s="1266"/>
      <c r="PTW30" s="1266"/>
      <c r="PTX30" s="1266"/>
      <c r="PTY30" s="1266"/>
      <c r="PTZ30" s="1266"/>
      <c r="PUA30" s="1266"/>
      <c r="PUB30" s="1266"/>
      <c r="PUC30" s="1266"/>
      <c r="PUD30" s="1266"/>
      <c r="PUE30" s="1266"/>
      <c r="PUF30" s="1266"/>
      <c r="PUG30" s="1266"/>
      <c r="PUH30" s="1266"/>
      <c r="PUI30" s="1266"/>
      <c r="PUJ30" s="1266"/>
      <c r="PUK30" s="1266"/>
      <c r="PUL30" s="1266"/>
      <c r="PUM30" s="1266"/>
      <c r="PUN30" s="1266"/>
      <c r="PUO30" s="1266"/>
      <c r="PUP30" s="1266"/>
      <c r="PUQ30" s="1266"/>
      <c r="PUR30" s="1266"/>
      <c r="PUS30" s="1266"/>
      <c r="PUT30" s="1266"/>
      <c r="PUU30" s="1266"/>
      <c r="PUV30" s="1266"/>
      <c r="PUW30" s="1266"/>
      <c r="PUX30" s="1266"/>
      <c r="PUY30" s="1266"/>
      <c r="PUZ30" s="1266"/>
      <c r="PVA30" s="1266"/>
      <c r="PVB30" s="1266"/>
      <c r="PVC30" s="1266"/>
      <c r="PVD30" s="1266"/>
      <c r="PVE30" s="1266"/>
      <c r="PVF30" s="1266"/>
      <c r="PVG30" s="1266"/>
      <c r="PVH30" s="1266"/>
      <c r="PVI30" s="1266"/>
      <c r="PVJ30" s="1266"/>
      <c r="PVK30" s="1266"/>
      <c r="PVL30" s="1266"/>
      <c r="PVM30" s="1266"/>
      <c r="PVN30" s="1266"/>
      <c r="PVO30" s="1266"/>
      <c r="PVP30" s="1266"/>
      <c r="PVQ30" s="1266"/>
      <c r="PVR30" s="1266"/>
      <c r="PVS30" s="1266"/>
      <c r="PVT30" s="1266"/>
      <c r="PVU30" s="1266"/>
      <c r="PVV30" s="1266"/>
      <c r="PVW30" s="1266"/>
      <c r="PVX30" s="1266"/>
      <c r="PVY30" s="1266"/>
      <c r="PVZ30" s="1266"/>
      <c r="PWA30" s="1266"/>
      <c r="PWB30" s="1266"/>
      <c r="PWC30" s="1266"/>
      <c r="PWD30" s="1266"/>
      <c r="PWE30" s="1266"/>
      <c r="PWF30" s="1266"/>
      <c r="PWG30" s="1266"/>
      <c r="PWH30" s="1266"/>
      <c r="PWI30" s="1266"/>
      <c r="PWJ30" s="1266"/>
      <c r="PWK30" s="1266"/>
      <c r="PWL30" s="1266"/>
      <c r="PWM30" s="1266"/>
      <c r="PWN30" s="1266"/>
      <c r="PWO30" s="1266"/>
      <c r="PWP30" s="1266"/>
      <c r="PWQ30" s="1266"/>
      <c r="PWR30" s="1266"/>
      <c r="PWS30" s="1266"/>
      <c r="PWT30" s="1266"/>
      <c r="PWU30" s="1266"/>
      <c r="PWV30" s="1266"/>
      <c r="PWW30" s="1266"/>
      <c r="PWX30" s="1266"/>
      <c r="PWY30" s="1266"/>
      <c r="PWZ30" s="1266"/>
      <c r="PXA30" s="1266"/>
      <c r="PXB30" s="1266"/>
      <c r="PXC30" s="1266"/>
      <c r="PXD30" s="1266"/>
      <c r="PXE30" s="1266"/>
      <c r="PXF30" s="1266"/>
      <c r="PXG30" s="1266"/>
      <c r="PXH30" s="1266"/>
      <c r="PXI30" s="1266"/>
      <c r="PXJ30" s="1266"/>
      <c r="PXK30" s="1266"/>
      <c r="PXL30" s="1266"/>
      <c r="PXM30" s="1266"/>
      <c r="PXN30" s="1266"/>
      <c r="PXO30" s="1266"/>
      <c r="PXP30" s="1266"/>
      <c r="PXQ30" s="1266"/>
      <c r="PXR30" s="1266"/>
      <c r="PXS30" s="1266"/>
      <c r="PXT30" s="1266"/>
      <c r="PXU30" s="1266"/>
      <c r="PXV30" s="1266"/>
      <c r="PXW30" s="1266"/>
      <c r="PXX30" s="1266"/>
      <c r="PXY30" s="1266"/>
      <c r="PXZ30" s="1266"/>
      <c r="PYA30" s="1266"/>
      <c r="PYB30" s="1266"/>
      <c r="PYC30" s="1266"/>
      <c r="PYD30" s="1266"/>
      <c r="PYE30" s="1266"/>
      <c r="PYF30" s="1266"/>
      <c r="PYG30" s="1266"/>
      <c r="PYH30" s="1266"/>
      <c r="PYI30" s="1266"/>
      <c r="PYJ30" s="1266"/>
      <c r="PYK30" s="1266"/>
      <c r="PYL30" s="1266"/>
      <c r="PYM30" s="1266"/>
      <c r="PYN30" s="1266"/>
      <c r="PYO30" s="1266"/>
      <c r="PYP30" s="1266"/>
      <c r="PYQ30" s="1266"/>
      <c r="PYR30" s="1266"/>
      <c r="PYS30" s="1266"/>
      <c r="PYT30" s="1266"/>
      <c r="PYU30" s="1266"/>
      <c r="PYV30" s="1266"/>
      <c r="PYW30" s="1266"/>
      <c r="PYX30" s="1266"/>
      <c r="PYY30" s="1266"/>
      <c r="PYZ30" s="1266"/>
      <c r="PZA30" s="1266"/>
      <c r="PZB30" s="1266"/>
      <c r="PZC30" s="1266"/>
      <c r="PZD30" s="1266"/>
      <c r="PZE30" s="1266"/>
      <c r="PZF30" s="1266"/>
      <c r="PZG30" s="1266"/>
      <c r="PZH30" s="1266"/>
      <c r="PZI30" s="1266"/>
      <c r="PZJ30" s="1266"/>
      <c r="PZK30" s="1266"/>
      <c r="PZL30" s="1266"/>
      <c r="PZM30" s="1266"/>
      <c r="PZN30" s="1266"/>
      <c r="PZO30" s="1266"/>
      <c r="PZP30" s="1266"/>
      <c r="PZQ30" s="1266"/>
      <c r="PZR30" s="1266"/>
      <c r="PZS30" s="1266"/>
      <c r="PZT30" s="1266"/>
      <c r="PZU30" s="1266"/>
      <c r="PZV30" s="1266"/>
      <c r="PZW30" s="1266"/>
      <c r="PZX30" s="1266"/>
      <c r="PZY30" s="1266"/>
      <c r="PZZ30" s="1266"/>
      <c r="QAA30" s="1266"/>
      <c r="QAB30" s="1266"/>
      <c r="QAC30" s="1266"/>
      <c r="QAD30" s="1266"/>
      <c r="QAE30" s="1266"/>
      <c r="QAF30" s="1266"/>
      <c r="QAG30" s="1266"/>
      <c r="QAH30" s="1266"/>
      <c r="QAI30" s="1266"/>
      <c r="QAJ30" s="1266"/>
      <c r="QAK30" s="1266"/>
      <c r="QAL30" s="1266"/>
      <c r="QAM30" s="1266"/>
      <c r="QAN30" s="1266"/>
      <c r="QAO30" s="1266"/>
      <c r="QAP30" s="1266"/>
      <c r="QAQ30" s="1266"/>
      <c r="QAR30" s="1266"/>
      <c r="QAS30" s="1266"/>
      <c r="QAT30" s="1266"/>
      <c r="QAU30" s="1266"/>
      <c r="QAV30" s="1266"/>
      <c r="QAW30" s="1266"/>
      <c r="QAX30" s="1266"/>
      <c r="QAY30" s="1266"/>
      <c r="QAZ30" s="1266"/>
      <c r="QBA30" s="1266"/>
      <c r="QBB30" s="1266"/>
      <c r="QBC30" s="1266"/>
      <c r="QBD30" s="1266"/>
      <c r="QBE30" s="1266"/>
      <c r="QBF30" s="1266"/>
      <c r="QBG30" s="1266"/>
      <c r="QBH30" s="1266"/>
      <c r="QBI30" s="1266"/>
      <c r="QBJ30" s="1266"/>
      <c r="QBK30" s="1266"/>
      <c r="QBL30" s="1266"/>
      <c r="QBM30" s="1266"/>
      <c r="QBN30" s="1266"/>
      <c r="QBO30" s="1266"/>
      <c r="QBP30" s="1266"/>
      <c r="QBQ30" s="1266"/>
      <c r="QBR30" s="1266"/>
      <c r="QBS30" s="1266"/>
      <c r="QBT30" s="1266"/>
      <c r="QBU30" s="1266"/>
      <c r="QBV30" s="1266"/>
      <c r="QBW30" s="1266"/>
      <c r="QBX30" s="1266"/>
      <c r="QBY30" s="1266"/>
      <c r="QBZ30" s="1266"/>
      <c r="QCA30" s="1266"/>
      <c r="QCB30" s="1266"/>
      <c r="QCC30" s="1266"/>
      <c r="QCD30" s="1266"/>
      <c r="QCE30" s="1266"/>
      <c r="QCF30" s="1266"/>
      <c r="QCG30" s="1266"/>
      <c r="QCH30" s="1266"/>
      <c r="QCI30" s="1266"/>
      <c r="QCJ30" s="1266"/>
      <c r="QCK30" s="1266"/>
      <c r="QCL30" s="1266"/>
      <c r="QCM30" s="1266"/>
      <c r="QCN30" s="1266"/>
      <c r="QCO30" s="1266"/>
      <c r="QCP30" s="1266"/>
      <c r="QCQ30" s="1266"/>
      <c r="QCR30" s="1266"/>
      <c r="QCS30" s="1266"/>
      <c r="QCT30" s="1266"/>
      <c r="QCU30" s="1266"/>
      <c r="QCV30" s="1266"/>
      <c r="QCW30" s="1266"/>
      <c r="QCX30" s="1266"/>
      <c r="QCY30" s="1266"/>
      <c r="QCZ30" s="1266"/>
      <c r="QDA30" s="1266"/>
      <c r="QDB30" s="1266"/>
      <c r="QDC30" s="1266"/>
      <c r="QDD30" s="1266"/>
      <c r="QDE30" s="1266"/>
      <c r="QDF30" s="1266"/>
      <c r="QDG30" s="1266"/>
      <c r="QDH30" s="1266"/>
      <c r="QDI30" s="1266"/>
      <c r="QDJ30" s="1266"/>
      <c r="QDK30" s="1266"/>
      <c r="QDL30" s="1266"/>
      <c r="QDM30" s="1266"/>
      <c r="QDN30" s="1266"/>
      <c r="QDO30" s="1266"/>
      <c r="QDP30" s="1266"/>
      <c r="QDQ30" s="1266"/>
      <c r="QDR30" s="1266"/>
      <c r="QDS30" s="1266"/>
      <c r="QDT30" s="1266"/>
      <c r="QDU30" s="1266"/>
      <c r="QDV30" s="1266"/>
      <c r="QDW30" s="1266"/>
      <c r="QDX30" s="1266"/>
      <c r="QDY30" s="1266"/>
      <c r="QDZ30" s="1266"/>
      <c r="QEA30" s="1266"/>
      <c r="QEB30" s="1266"/>
      <c r="QEC30" s="1266"/>
      <c r="QED30" s="1266"/>
      <c r="QEE30" s="1266"/>
      <c r="QEF30" s="1266"/>
      <c r="QEG30" s="1266"/>
      <c r="QEH30" s="1266"/>
      <c r="QEI30" s="1266"/>
      <c r="QEJ30" s="1266"/>
      <c r="QEK30" s="1266"/>
      <c r="QEL30" s="1266"/>
      <c r="QEM30" s="1266"/>
      <c r="QEN30" s="1266"/>
      <c r="QEO30" s="1266"/>
      <c r="QEP30" s="1266"/>
      <c r="QEQ30" s="1266"/>
      <c r="QER30" s="1266"/>
      <c r="QES30" s="1266"/>
      <c r="QET30" s="1266"/>
      <c r="QEU30" s="1266"/>
      <c r="QEV30" s="1266"/>
      <c r="QEW30" s="1266"/>
      <c r="QEX30" s="1266"/>
      <c r="QEY30" s="1266"/>
      <c r="QEZ30" s="1266"/>
      <c r="QFA30" s="1266"/>
      <c r="QFB30" s="1266"/>
      <c r="QFC30" s="1266"/>
      <c r="QFD30" s="1266"/>
      <c r="QFE30" s="1266"/>
      <c r="QFF30" s="1266"/>
      <c r="QFG30" s="1266"/>
      <c r="QFH30" s="1266"/>
      <c r="QFI30" s="1266"/>
      <c r="QFJ30" s="1266"/>
      <c r="QFK30" s="1266"/>
      <c r="QFL30" s="1266"/>
      <c r="QFM30" s="1266"/>
      <c r="QFN30" s="1266"/>
      <c r="QFO30" s="1266"/>
      <c r="QFP30" s="1266"/>
      <c r="QFQ30" s="1266"/>
      <c r="QFR30" s="1266"/>
      <c r="QFS30" s="1266"/>
      <c r="QFT30" s="1266"/>
      <c r="QFU30" s="1266"/>
      <c r="QFV30" s="1266"/>
      <c r="QFW30" s="1266"/>
      <c r="QFX30" s="1266"/>
      <c r="QFY30" s="1266"/>
      <c r="QFZ30" s="1266"/>
      <c r="QGA30" s="1266"/>
      <c r="QGB30" s="1266"/>
      <c r="QGC30" s="1266"/>
      <c r="QGD30" s="1266"/>
      <c r="QGE30" s="1266"/>
      <c r="QGF30" s="1266"/>
      <c r="QGG30" s="1266"/>
      <c r="QGH30" s="1266"/>
      <c r="QGI30" s="1266"/>
      <c r="QGJ30" s="1266"/>
      <c r="QGK30" s="1266"/>
      <c r="QGL30" s="1266"/>
      <c r="QGM30" s="1266"/>
      <c r="QGN30" s="1266"/>
      <c r="QGO30" s="1266"/>
      <c r="QGP30" s="1266"/>
      <c r="QGQ30" s="1266"/>
      <c r="QGR30" s="1266"/>
      <c r="QGS30" s="1266"/>
      <c r="QGT30" s="1266"/>
      <c r="QGU30" s="1266"/>
      <c r="QGV30" s="1266"/>
      <c r="QGW30" s="1266"/>
      <c r="QGX30" s="1266"/>
      <c r="QGY30" s="1266"/>
      <c r="QGZ30" s="1266"/>
      <c r="QHA30" s="1266"/>
      <c r="QHB30" s="1266"/>
      <c r="QHC30" s="1266"/>
      <c r="QHD30" s="1266"/>
      <c r="QHE30" s="1266"/>
      <c r="QHF30" s="1266"/>
      <c r="QHG30" s="1266"/>
      <c r="QHH30" s="1266"/>
      <c r="QHI30" s="1266"/>
      <c r="QHJ30" s="1266"/>
      <c r="QHK30" s="1266"/>
      <c r="QHL30" s="1266"/>
      <c r="QHM30" s="1266"/>
      <c r="QHN30" s="1266"/>
      <c r="QHO30" s="1266"/>
      <c r="QHP30" s="1266"/>
      <c r="QHQ30" s="1266"/>
      <c r="QHR30" s="1266"/>
      <c r="QHS30" s="1266"/>
      <c r="QHT30" s="1266"/>
      <c r="QHU30" s="1266"/>
      <c r="QHV30" s="1266"/>
      <c r="QHW30" s="1266"/>
      <c r="QHX30" s="1266"/>
      <c r="QHY30" s="1266"/>
      <c r="QHZ30" s="1266"/>
      <c r="QIA30" s="1266"/>
      <c r="QIB30" s="1266"/>
      <c r="QIC30" s="1266"/>
      <c r="QID30" s="1266"/>
      <c r="QIE30" s="1266"/>
      <c r="QIF30" s="1266"/>
      <c r="QIG30" s="1266"/>
      <c r="QIH30" s="1266"/>
      <c r="QII30" s="1266"/>
      <c r="QIJ30" s="1266"/>
      <c r="QIK30" s="1266"/>
      <c r="QIL30" s="1266"/>
      <c r="QIM30" s="1266"/>
      <c r="QIN30" s="1266"/>
      <c r="QIO30" s="1266"/>
      <c r="QIP30" s="1266"/>
      <c r="QIQ30" s="1266"/>
      <c r="QIR30" s="1266"/>
      <c r="QIS30" s="1266"/>
      <c r="QIT30" s="1266"/>
      <c r="QIU30" s="1266"/>
      <c r="QIV30" s="1266"/>
      <c r="QIW30" s="1266"/>
      <c r="QIX30" s="1266"/>
      <c r="QIY30" s="1266"/>
      <c r="QIZ30" s="1266"/>
      <c r="QJA30" s="1266"/>
      <c r="QJB30" s="1266"/>
      <c r="QJC30" s="1266"/>
      <c r="QJD30" s="1266"/>
      <c r="QJE30" s="1266"/>
      <c r="QJF30" s="1266"/>
      <c r="QJG30" s="1266"/>
      <c r="QJH30" s="1266"/>
      <c r="QJI30" s="1266"/>
      <c r="QJJ30" s="1266"/>
      <c r="QJK30" s="1266"/>
      <c r="QJL30" s="1266"/>
      <c r="QJM30" s="1266"/>
      <c r="QJN30" s="1266"/>
      <c r="QJO30" s="1266"/>
      <c r="QJP30" s="1266"/>
      <c r="QJQ30" s="1266"/>
      <c r="QJR30" s="1266"/>
      <c r="QJS30" s="1266"/>
      <c r="QJT30" s="1266"/>
      <c r="QJU30" s="1266"/>
      <c r="QJV30" s="1266"/>
      <c r="QJW30" s="1266"/>
      <c r="QJX30" s="1266"/>
      <c r="QJY30" s="1266"/>
      <c r="QJZ30" s="1266"/>
      <c r="QKA30" s="1266"/>
      <c r="QKB30" s="1266"/>
      <c r="QKC30" s="1266"/>
      <c r="QKD30" s="1266"/>
      <c r="QKE30" s="1266"/>
      <c r="QKF30" s="1266"/>
      <c r="QKG30" s="1266"/>
      <c r="QKH30" s="1266"/>
      <c r="QKI30" s="1266"/>
      <c r="QKJ30" s="1266"/>
      <c r="QKK30" s="1266"/>
      <c r="QKL30" s="1266"/>
      <c r="QKM30" s="1266"/>
      <c r="QKN30" s="1266"/>
      <c r="QKO30" s="1266"/>
      <c r="QKP30" s="1266"/>
      <c r="QKQ30" s="1266"/>
      <c r="QKR30" s="1266"/>
      <c r="QKS30" s="1266"/>
      <c r="QKT30" s="1266"/>
      <c r="QKU30" s="1266"/>
      <c r="QKV30" s="1266"/>
      <c r="QKW30" s="1266"/>
      <c r="QKX30" s="1266"/>
      <c r="QKY30" s="1266"/>
      <c r="QKZ30" s="1266"/>
      <c r="QLA30" s="1266"/>
      <c r="QLB30" s="1266"/>
      <c r="QLC30" s="1266"/>
      <c r="QLD30" s="1266"/>
      <c r="QLE30" s="1266"/>
      <c r="QLF30" s="1266"/>
      <c r="QLG30" s="1266"/>
      <c r="QLH30" s="1266"/>
      <c r="QLI30" s="1266"/>
      <c r="QLJ30" s="1266"/>
      <c r="QLK30" s="1266"/>
      <c r="QLL30" s="1266"/>
      <c r="QLM30" s="1266"/>
      <c r="QLN30" s="1266"/>
      <c r="QLO30" s="1266"/>
      <c r="QLP30" s="1266"/>
      <c r="QLQ30" s="1266"/>
      <c r="QLR30" s="1266"/>
      <c r="QLS30" s="1266"/>
      <c r="QLT30" s="1266"/>
      <c r="QLU30" s="1266"/>
      <c r="QLV30" s="1266"/>
      <c r="QLW30" s="1266"/>
      <c r="QLX30" s="1266"/>
      <c r="QLY30" s="1266"/>
      <c r="QLZ30" s="1266"/>
      <c r="QMA30" s="1266"/>
      <c r="QMB30" s="1266"/>
      <c r="QMC30" s="1266"/>
      <c r="QMD30" s="1266"/>
      <c r="QME30" s="1266"/>
      <c r="QMF30" s="1266"/>
      <c r="QMG30" s="1266"/>
      <c r="QMH30" s="1266"/>
      <c r="QMI30" s="1266"/>
      <c r="QMJ30" s="1266"/>
      <c r="QMK30" s="1266"/>
      <c r="QML30" s="1266"/>
      <c r="QMM30" s="1266"/>
      <c r="QMN30" s="1266"/>
      <c r="QMO30" s="1266"/>
      <c r="QMP30" s="1266"/>
      <c r="QMQ30" s="1266"/>
      <c r="QMR30" s="1266"/>
      <c r="QMS30" s="1266"/>
      <c r="QMT30" s="1266"/>
      <c r="QMU30" s="1266"/>
      <c r="QMV30" s="1266"/>
      <c r="QMW30" s="1266"/>
      <c r="QMX30" s="1266"/>
      <c r="QMY30" s="1266"/>
      <c r="QMZ30" s="1266"/>
      <c r="QNA30" s="1266"/>
      <c r="QNB30" s="1266"/>
      <c r="QNC30" s="1266"/>
      <c r="QND30" s="1266"/>
      <c r="QNE30" s="1266"/>
      <c r="QNF30" s="1266"/>
      <c r="QNG30" s="1266"/>
      <c r="QNH30" s="1266"/>
      <c r="QNI30" s="1266"/>
      <c r="QNJ30" s="1266"/>
      <c r="QNK30" s="1266"/>
      <c r="QNL30" s="1266"/>
      <c r="QNM30" s="1266"/>
      <c r="QNN30" s="1266"/>
      <c r="QNO30" s="1266"/>
      <c r="QNP30" s="1266"/>
      <c r="QNQ30" s="1266"/>
      <c r="QNR30" s="1266"/>
      <c r="QNS30" s="1266"/>
      <c r="QNT30" s="1266"/>
      <c r="QNU30" s="1266"/>
      <c r="QNV30" s="1266"/>
      <c r="QNW30" s="1266"/>
      <c r="QNX30" s="1266"/>
      <c r="QNY30" s="1266"/>
      <c r="QNZ30" s="1266"/>
      <c r="QOA30" s="1266"/>
      <c r="QOB30" s="1266"/>
      <c r="QOC30" s="1266"/>
      <c r="QOD30" s="1266"/>
      <c r="QOE30" s="1266"/>
      <c r="QOF30" s="1266"/>
      <c r="QOG30" s="1266"/>
      <c r="QOH30" s="1266"/>
      <c r="QOI30" s="1266"/>
      <c r="QOJ30" s="1266"/>
      <c r="QOK30" s="1266"/>
      <c r="QOL30" s="1266"/>
      <c r="QOM30" s="1266"/>
      <c r="QON30" s="1266"/>
      <c r="QOO30" s="1266"/>
      <c r="QOP30" s="1266"/>
      <c r="QOQ30" s="1266"/>
      <c r="QOR30" s="1266"/>
      <c r="QOS30" s="1266"/>
      <c r="QOT30" s="1266"/>
      <c r="QOU30" s="1266"/>
      <c r="QOV30" s="1266"/>
      <c r="QOW30" s="1266"/>
      <c r="QOX30" s="1266"/>
      <c r="QOY30" s="1266"/>
      <c r="QOZ30" s="1266"/>
      <c r="QPA30" s="1266"/>
      <c r="QPB30" s="1266"/>
      <c r="QPC30" s="1266"/>
      <c r="QPD30" s="1266"/>
      <c r="QPE30" s="1266"/>
      <c r="QPF30" s="1266"/>
      <c r="QPG30" s="1266"/>
      <c r="QPH30" s="1266"/>
      <c r="QPI30" s="1266"/>
      <c r="QPJ30" s="1266"/>
      <c r="QPK30" s="1266"/>
      <c r="QPL30" s="1266"/>
      <c r="QPM30" s="1266"/>
      <c r="QPN30" s="1266"/>
      <c r="QPO30" s="1266"/>
      <c r="QPP30" s="1266"/>
      <c r="QPQ30" s="1266"/>
      <c r="QPR30" s="1266"/>
      <c r="QPS30" s="1266"/>
      <c r="QPT30" s="1266"/>
      <c r="QPU30" s="1266"/>
      <c r="QPV30" s="1266"/>
      <c r="QPW30" s="1266"/>
      <c r="QPX30" s="1266"/>
      <c r="QPY30" s="1266"/>
      <c r="QPZ30" s="1266"/>
      <c r="QQA30" s="1266"/>
      <c r="QQB30" s="1266"/>
      <c r="QQC30" s="1266"/>
      <c r="QQD30" s="1266"/>
      <c r="QQE30" s="1266"/>
      <c r="QQF30" s="1266"/>
      <c r="QQG30" s="1266"/>
      <c r="QQH30" s="1266"/>
      <c r="QQI30" s="1266"/>
      <c r="QQJ30" s="1266"/>
      <c r="QQK30" s="1266"/>
      <c r="QQL30" s="1266"/>
      <c r="QQM30" s="1266"/>
      <c r="QQN30" s="1266"/>
      <c r="QQO30" s="1266"/>
      <c r="QQP30" s="1266"/>
      <c r="QQQ30" s="1266"/>
      <c r="QQR30" s="1266"/>
      <c r="QQS30" s="1266"/>
      <c r="QQT30" s="1266"/>
      <c r="QQU30" s="1266"/>
      <c r="QQV30" s="1266"/>
      <c r="QQW30" s="1266"/>
      <c r="QQX30" s="1266"/>
      <c r="QQY30" s="1266"/>
      <c r="QQZ30" s="1266"/>
      <c r="QRA30" s="1266"/>
      <c r="QRB30" s="1266"/>
      <c r="QRC30" s="1266"/>
      <c r="QRD30" s="1266"/>
      <c r="QRE30" s="1266"/>
      <c r="QRF30" s="1266"/>
      <c r="QRG30" s="1266"/>
      <c r="QRH30" s="1266"/>
      <c r="QRI30" s="1266"/>
      <c r="QRJ30" s="1266"/>
      <c r="QRK30" s="1266"/>
      <c r="QRL30" s="1266"/>
      <c r="QRM30" s="1266"/>
      <c r="QRN30" s="1266"/>
      <c r="QRO30" s="1266"/>
      <c r="QRP30" s="1266"/>
      <c r="QRQ30" s="1266"/>
      <c r="QRR30" s="1266"/>
      <c r="QRS30" s="1266"/>
      <c r="QRT30" s="1266"/>
      <c r="QRU30" s="1266"/>
      <c r="QRV30" s="1266"/>
      <c r="QRW30" s="1266"/>
      <c r="QRX30" s="1266"/>
      <c r="QRY30" s="1266"/>
      <c r="QRZ30" s="1266"/>
      <c r="QSA30" s="1266"/>
      <c r="QSB30" s="1266"/>
      <c r="QSC30" s="1266"/>
      <c r="QSD30" s="1266"/>
      <c r="QSE30" s="1266"/>
      <c r="QSF30" s="1266"/>
      <c r="QSG30" s="1266"/>
      <c r="QSH30" s="1266"/>
      <c r="QSI30" s="1266"/>
      <c r="QSJ30" s="1266"/>
      <c r="QSK30" s="1266"/>
      <c r="QSL30" s="1266"/>
      <c r="QSM30" s="1266"/>
      <c r="QSN30" s="1266"/>
      <c r="QSO30" s="1266"/>
      <c r="QSP30" s="1266"/>
      <c r="QSQ30" s="1266"/>
      <c r="QSR30" s="1266"/>
      <c r="QSS30" s="1266"/>
      <c r="QST30" s="1266"/>
      <c r="QSU30" s="1266"/>
      <c r="QSV30" s="1266"/>
      <c r="QSW30" s="1266"/>
      <c r="QSX30" s="1266"/>
      <c r="QSY30" s="1266"/>
      <c r="QSZ30" s="1266"/>
      <c r="QTA30" s="1266"/>
      <c r="QTB30" s="1266"/>
      <c r="QTC30" s="1266"/>
      <c r="QTD30" s="1266"/>
      <c r="QTE30" s="1266"/>
      <c r="QTF30" s="1266"/>
      <c r="QTG30" s="1266"/>
      <c r="QTH30" s="1266"/>
      <c r="QTI30" s="1266"/>
      <c r="QTJ30" s="1266"/>
      <c r="QTK30" s="1266"/>
      <c r="QTL30" s="1266"/>
      <c r="QTM30" s="1266"/>
      <c r="QTN30" s="1266"/>
      <c r="QTO30" s="1266"/>
      <c r="QTP30" s="1266"/>
      <c r="QTQ30" s="1266"/>
      <c r="QTR30" s="1266"/>
      <c r="QTS30" s="1266"/>
      <c r="QTT30" s="1266"/>
      <c r="QTU30" s="1266"/>
      <c r="QTV30" s="1266"/>
      <c r="QTW30" s="1266"/>
      <c r="QTX30" s="1266"/>
      <c r="QTY30" s="1266"/>
      <c r="QTZ30" s="1266"/>
      <c r="QUA30" s="1266"/>
      <c r="QUB30" s="1266"/>
      <c r="QUC30" s="1266"/>
      <c r="QUD30" s="1266"/>
      <c r="QUE30" s="1266"/>
      <c r="QUF30" s="1266"/>
      <c r="QUG30" s="1266"/>
      <c r="QUH30" s="1266"/>
      <c r="QUI30" s="1266"/>
      <c r="QUJ30" s="1266"/>
      <c r="QUK30" s="1266"/>
      <c r="QUL30" s="1266"/>
      <c r="QUM30" s="1266"/>
      <c r="QUN30" s="1266"/>
      <c r="QUO30" s="1266"/>
      <c r="QUP30" s="1266"/>
      <c r="QUQ30" s="1266"/>
      <c r="QUR30" s="1266"/>
      <c r="QUS30" s="1266"/>
      <c r="QUT30" s="1266"/>
      <c r="QUU30" s="1266"/>
      <c r="QUV30" s="1266"/>
      <c r="QUW30" s="1266"/>
      <c r="QUX30" s="1266"/>
      <c r="QUY30" s="1266"/>
      <c r="QUZ30" s="1266"/>
      <c r="QVA30" s="1266"/>
      <c r="QVB30" s="1266"/>
      <c r="QVC30" s="1266"/>
      <c r="QVD30" s="1266"/>
      <c r="QVE30" s="1266"/>
      <c r="QVF30" s="1266"/>
      <c r="QVG30" s="1266"/>
      <c r="QVH30" s="1266"/>
      <c r="QVI30" s="1266"/>
      <c r="QVJ30" s="1266"/>
      <c r="QVK30" s="1266"/>
      <c r="QVL30" s="1266"/>
      <c r="QVM30" s="1266"/>
      <c r="QVN30" s="1266"/>
      <c r="QVO30" s="1266"/>
      <c r="QVP30" s="1266"/>
      <c r="QVQ30" s="1266"/>
      <c r="QVR30" s="1266"/>
      <c r="QVS30" s="1266"/>
      <c r="QVT30" s="1266"/>
      <c r="QVU30" s="1266"/>
      <c r="QVV30" s="1266"/>
      <c r="QVW30" s="1266"/>
      <c r="QVX30" s="1266"/>
      <c r="QVY30" s="1266"/>
      <c r="QVZ30" s="1266"/>
      <c r="QWA30" s="1266"/>
      <c r="QWB30" s="1266"/>
      <c r="QWC30" s="1266"/>
      <c r="QWD30" s="1266"/>
      <c r="QWE30" s="1266"/>
      <c r="QWF30" s="1266"/>
      <c r="QWG30" s="1266"/>
      <c r="QWH30" s="1266"/>
      <c r="QWI30" s="1266"/>
      <c r="QWJ30" s="1266"/>
      <c r="QWK30" s="1266"/>
      <c r="QWL30" s="1266"/>
      <c r="QWM30" s="1266"/>
      <c r="QWN30" s="1266"/>
      <c r="QWO30" s="1266"/>
      <c r="QWP30" s="1266"/>
      <c r="QWQ30" s="1266"/>
      <c r="QWR30" s="1266"/>
      <c r="QWS30" s="1266"/>
      <c r="QWT30" s="1266"/>
      <c r="QWU30" s="1266"/>
      <c r="QWV30" s="1266"/>
      <c r="QWW30" s="1266"/>
      <c r="QWX30" s="1266"/>
      <c r="QWY30" s="1266"/>
      <c r="QWZ30" s="1266"/>
      <c r="QXA30" s="1266"/>
      <c r="QXB30" s="1266"/>
      <c r="QXC30" s="1266"/>
      <c r="QXD30" s="1266"/>
      <c r="QXE30" s="1266"/>
      <c r="QXF30" s="1266"/>
      <c r="QXG30" s="1266"/>
      <c r="QXH30" s="1266"/>
      <c r="QXI30" s="1266"/>
      <c r="QXJ30" s="1266"/>
      <c r="QXK30" s="1266"/>
      <c r="QXL30" s="1266"/>
      <c r="QXM30" s="1266"/>
      <c r="QXN30" s="1266"/>
      <c r="QXO30" s="1266"/>
      <c r="QXP30" s="1266"/>
      <c r="QXQ30" s="1266"/>
      <c r="QXR30" s="1266"/>
      <c r="QXS30" s="1266"/>
      <c r="QXT30" s="1266"/>
      <c r="QXU30" s="1266"/>
      <c r="QXV30" s="1266"/>
      <c r="QXW30" s="1266"/>
      <c r="QXX30" s="1266"/>
      <c r="QXY30" s="1266"/>
      <c r="QXZ30" s="1266"/>
      <c r="QYA30" s="1266"/>
      <c r="QYB30" s="1266"/>
      <c r="QYC30" s="1266"/>
      <c r="QYD30" s="1266"/>
      <c r="QYE30" s="1266"/>
      <c r="QYF30" s="1266"/>
      <c r="QYG30" s="1266"/>
      <c r="QYH30" s="1266"/>
      <c r="QYI30" s="1266"/>
      <c r="QYJ30" s="1266"/>
      <c r="QYK30" s="1266"/>
      <c r="QYL30" s="1266"/>
      <c r="QYM30" s="1266"/>
      <c r="QYN30" s="1266"/>
      <c r="QYO30" s="1266"/>
      <c r="QYP30" s="1266"/>
      <c r="QYQ30" s="1266"/>
      <c r="QYR30" s="1266"/>
      <c r="QYS30" s="1266"/>
      <c r="QYT30" s="1266"/>
      <c r="QYU30" s="1266"/>
      <c r="QYV30" s="1266"/>
      <c r="QYW30" s="1266"/>
      <c r="QYX30" s="1266"/>
      <c r="QYY30" s="1266"/>
      <c r="QYZ30" s="1266"/>
      <c r="QZA30" s="1266"/>
      <c r="QZB30" s="1266"/>
      <c r="QZC30" s="1266"/>
      <c r="QZD30" s="1266"/>
      <c r="QZE30" s="1266"/>
      <c r="QZF30" s="1266"/>
      <c r="QZG30" s="1266"/>
      <c r="QZH30" s="1266"/>
      <c r="QZI30" s="1266"/>
      <c r="QZJ30" s="1266"/>
      <c r="QZK30" s="1266"/>
      <c r="QZL30" s="1266"/>
      <c r="QZM30" s="1266"/>
      <c r="QZN30" s="1266"/>
      <c r="QZO30" s="1266"/>
      <c r="QZP30" s="1266"/>
      <c r="QZQ30" s="1266"/>
      <c r="QZR30" s="1266"/>
      <c r="QZS30" s="1266"/>
      <c r="QZT30" s="1266"/>
      <c r="QZU30" s="1266"/>
      <c r="QZV30" s="1266"/>
      <c r="QZW30" s="1266"/>
      <c r="QZX30" s="1266"/>
      <c r="QZY30" s="1266"/>
      <c r="QZZ30" s="1266"/>
      <c r="RAA30" s="1266"/>
      <c r="RAB30" s="1266"/>
      <c r="RAC30" s="1266"/>
      <c r="RAD30" s="1266"/>
      <c r="RAE30" s="1266"/>
      <c r="RAF30" s="1266"/>
      <c r="RAG30" s="1266"/>
      <c r="RAH30" s="1266"/>
      <c r="RAI30" s="1266"/>
      <c r="RAJ30" s="1266"/>
      <c r="RAK30" s="1266"/>
      <c r="RAL30" s="1266"/>
      <c r="RAM30" s="1266"/>
      <c r="RAN30" s="1266"/>
      <c r="RAO30" s="1266"/>
      <c r="RAP30" s="1266"/>
      <c r="RAQ30" s="1266"/>
      <c r="RAR30" s="1266"/>
      <c r="RAS30" s="1266"/>
      <c r="RAT30" s="1266"/>
      <c r="RAU30" s="1266"/>
      <c r="RAV30" s="1266"/>
      <c r="RAW30" s="1266"/>
      <c r="RAX30" s="1266"/>
      <c r="RAY30" s="1266"/>
      <c r="RAZ30" s="1266"/>
      <c r="RBA30" s="1266"/>
      <c r="RBB30" s="1266"/>
      <c r="RBC30" s="1266"/>
      <c r="RBD30" s="1266"/>
      <c r="RBE30" s="1266"/>
      <c r="RBF30" s="1266"/>
      <c r="RBG30" s="1266"/>
      <c r="RBH30" s="1266"/>
      <c r="RBI30" s="1266"/>
      <c r="RBJ30" s="1266"/>
      <c r="RBK30" s="1266"/>
      <c r="RBL30" s="1266"/>
      <c r="RBM30" s="1266"/>
      <c r="RBN30" s="1266"/>
      <c r="RBO30" s="1266"/>
      <c r="RBP30" s="1266"/>
      <c r="RBQ30" s="1266"/>
      <c r="RBR30" s="1266"/>
      <c r="RBS30" s="1266"/>
      <c r="RBT30" s="1266"/>
      <c r="RBU30" s="1266"/>
      <c r="RBV30" s="1266"/>
      <c r="RBW30" s="1266"/>
      <c r="RBX30" s="1266"/>
      <c r="RBY30" s="1266"/>
      <c r="RBZ30" s="1266"/>
      <c r="RCA30" s="1266"/>
      <c r="RCB30" s="1266"/>
      <c r="RCC30" s="1266"/>
      <c r="RCD30" s="1266"/>
      <c r="RCE30" s="1266"/>
      <c r="RCF30" s="1266"/>
      <c r="RCG30" s="1266"/>
      <c r="RCH30" s="1266"/>
      <c r="RCI30" s="1266"/>
      <c r="RCJ30" s="1266"/>
      <c r="RCK30" s="1266"/>
      <c r="RCL30" s="1266"/>
      <c r="RCM30" s="1266"/>
      <c r="RCN30" s="1266"/>
      <c r="RCO30" s="1266"/>
      <c r="RCP30" s="1266"/>
      <c r="RCQ30" s="1266"/>
      <c r="RCR30" s="1266"/>
      <c r="RCS30" s="1266"/>
      <c r="RCT30" s="1266"/>
      <c r="RCU30" s="1266"/>
      <c r="RCV30" s="1266"/>
      <c r="RCW30" s="1266"/>
      <c r="RCX30" s="1266"/>
      <c r="RCY30" s="1266"/>
      <c r="RCZ30" s="1266"/>
      <c r="RDA30" s="1266"/>
      <c r="RDB30" s="1266"/>
      <c r="RDC30" s="1266"/>
      <c r="RDD30" s="1266"/>
      <c r="RDE30" s="1266"/>
      <c r="RDF30" s="1266"/>
      <c r="RDG30" s="1266"/>
      <c r="RDH30" s="1266"/>
      <c r="RDI30" s="1266"/>
      <c r="RDJ30" s="1266"/>
      <c r="RDK30" s="1266"/>
      <c r="RDL30" s="1266"/>
      <c r="RDM30" s="1266"/>
      <c r="RDN30" s="1266"/>
      <c r="RDO30" s="1266"/>
      <c r="RDP30" s="1266"/>
      <c r="RDQ30" s="1266"/>
      <c r="RDR30" s="1266"/>
      <c r="RDS30" s="1266"/>
      <c r="RDT30" s="1266"/>
      <c r="RDU30" s="1266"/>
      <c r="RDV30" s="1266"/>
      <c r="RDW30" s="1266"/>
      <c r="RDX30" s="1266"/>
      <c r="RDY30" s="1266"/>
      <c r="RDZ30" s="1266"/>
      <c r="REA30" s="1266"/>
      <c r="REB30" s="1266"/>
      <c r="REC30" s="1266"/>
      <c r="RED30" s="1266"/>
      <c r="REE30" s="1266"/>
      <c r="REF30" s="1266"/>
      <c r="REG30" s="1266"/>
      <c r="REH30" s="1266"/>
      <c r="REI30" s="1266"/>
      <c r="REJ30" s="1266"/>
      <c r="REK30" s="1266"/>
      <c r="REL30" s="1266"/>
      <c r="REM30" s="1266"/>
      <c r="REN30" s="1266"/>
      <c r="REO30" s="1266"/>
      <c r="REP30" s="1266"/>
      <c r="REQ30" s="1266"/>
      <c r="RER30" s="1266"/>
      <c r="RES30" s="1266"/>
      <c r="RET30" s="1266"/>
      <c r="REU30" s="1266"/>
      <c r="REV30" s="1266"/>
      <c r="REW30" s="1266"/>
      <c r="REX30" s="1266"/>
      <c r="REY30" s="1266"/>
      <c r="REZ30" s="1266"/>
      <c r="RFA30" s="1266"/>
      <c r="RFB30" s="1266"/>
      <c r="RFC30" s="1266"/>
      <c r="RFD30" s="1266"/>
      <c r="RFE30" s="1266"/>
      <c r="RFF30" s="1266"/>
      <c r="RFG30" s="1266"/>
      <c r="RFH30" s="1266"/>
      <c r="RFI30" s="1266"/>
      <c r="RFJ30" s="1266"/>
      <c r="RFK30" s="1266"/>
      <c r="RFL30" s="1266"/>
      <c r="RFM30" s="1266"/>
      <c r="RFN30" s="1266"/>
      <c r="RFO30" s="1266"/>
      <c r="RFP30" s="1266"/>
      <c r="RFQ30" s="1266"/>
      <c r="RFR30" s="1266"/>
      <c r="RFS30" s="1266"/>
      <c r="RFT30" s="1266"/>
      <c r="RFU30" s="1266"/>
      <c r="RFV30" s="1266"/>
      <c r="RFW30" s="1266"/>
      <c r="RFX30" s="1266"/>
      <c r="RFY30" s="1266"/>
      <c r="RFZ30" s="1266"/>
      <c r="RGA30" s="1266"/>
      <c r="RGB30" s="1266"/>
      <c r="RGC30" s="1266"/>
      <c r="RGD30" s="1266"/>
      <c r="RGE30" s="1266"/>
      <c r="RGF30" s="1266"/>
      <c r="RGG30" s="1266"/>
      <c r="RGH30" s="1266"/>
      <c r="RGI30" s="1266"/>
      <c r="RGJ30" s="1266"/>
      <c r="RGK30" s="1266"/>
      <c r="RGL30" s="1266"/>
      <c r="RGM30" s="1266"/>
      <c r="RGN30" s="1266"/>
      <c r="RGO30" s="1266"/>
      <c r="RGP30" s="1266"/>
      <c r="RGQ30" s="1266"/>
      <c r="RGR30" s="1266"/>
      <c r="RGS30" s="1266"/>
      <c r="RGT30" s="1266"/>
      <c r="RGU30" s="1266"/>
      <c r="RGV30" s="1266"/>
      <c r="RGW30" s="1266"/>
      <c r="RGX30" s="1266"/>
      <c r="RGY30" s="1266"/>
      <c r="RGZ30" s="1266"/>
      <c r="RHA30" s="1266"/>
      <c r="RHB30" s="1266"/>
      <c r="RHC30" s="1266"/>
      <c r="RHD30" s="1266"/>
      <c r="RHE30" s="1266"/>
      <c r="RHF30" s="1266"/>
      <c r="RHG30" s="1266"/>
      <c r="RHH30" s="1266"/>
      <c r="RHI30" s="1266"/>
      <c r="RHJ30" s="1266"/>
      <c r="RHK30" s="1266"/>
      <c r="RHL30" s="1266"/>
      <c r="RHM30" s="1266"/>
      <c r="RHN30" s="1266"/>
      <c r="RHO30" s="1266"/>
      <c r="RHP30" s="1266"/>
      <c r="RHQ30" s="1266"/>
      <c r="RHR30" s="1266"/>
      <c r="RHS30" s="1266"/>
      <c r="RHT30" s="1266"/>
      <c r="RHU30" s="1266"/>
      <c r="RHV30" s="1266"/>
      <c r="RHW30" s="1266"/>
      <c r="RHX30" s="1266"/>
      <c r="RHY30" s="1266"/>
      <c r="RHZ30" s="1266"/>
      <c r="RIA30" s="1266"/>
      <c r="RIB30" s="1266"/>
      <c r="RIC30" s="1266"/>
      <c r="RID30" s="1266"/>
      <c r="RIE30" s="1266"/>
      <c r="RIF30" s="1266"/>
      <c r="RIG30" s="1266"/>
      <c r="RIH30" s="1266"/>
      <c r="RII30" s="1266"/>
      <c r="RIJ30" s="1266"/>
      <c r="RIK30" s="1266"/>
      <c r="RIL30" s="1266"/>
      <c r="RIM30" s="1266"/>
      <c r="RIN30" s="1266"/>
      <c r="RIO30" s="1266"/>
      <c r="RIP30" s="1266"/>
      <c r="RIQ30" s="1266"/>
      <c r="RIR30" s="1266"/>
      <c r="RIS30" s="1266"/>
      <c r="RIT30" s="1266"/>
      <c r="RIU30" s="1266"/>
      <c r="RIV30" s="1266"/>
      <c r="RIW30" s="1266"/>
      <c r="RIX30" s="1266"/>
      <c r="RIY30" s="1266"/>
      <c r="RIZ30" s="1266"/>
      <c r="RJA30" s="1266"/>
      <c r="RJB30" s="1266"/>
      <c r="RJC30" s="1266"/>
      <c r="RJD30" s="1266"/>
      <c r="RJE30" s="1266"/>
      <c r="RJF30" s="1266"/>
      <c r="RJG30" s="1266"/>
      <c r="RJH30" s="1266"/>
      <c r="RJI30" s="1266"/>
      <c r="RJJ30" s="1266"/>
      <c r="RJK30" s="1266"/>
      <c r="RJL30" s="1266"/>
      <c r="RJM30" s="1266"/>
      <c r="RJN30" s="1266"/>
      <c r="RJO30" s="1266"/>
      <c r="RJP30" s="1266"/>
      <c r="RJQ30" s="1266"/>
      <c r="RJR30" s="1266"/>
      <c r="RJS30" s="1266"/>
      <c r="RJT30" s="1266"/>
      <c r="RJU30" s="1266"/>
      <c r="RJV30" s="1266"/>
      <c r="RJW30" s="1266"/>
      <c r="RJX30" s="1266"/>
      <c r="RJY30" s="1266"/>
      <c r="RJZ30" s="1266"/>
      <c r="RKA30" s="1266"/>
      <c r="RKB30" s="1266"/>
      <c r="RKC30" s="1266"/>
      <c r="RKD30" s="1266"/>
      <c r="RKE30" s="1266"/>
      <c r="RKF30" s="1266"/>
      <c r="RKG30" s="1266"/>
      <c r="RKH30" s="1266"/>
      <c r="RKI30" s="1266"/>
      <c r="RKJ30" s="1266"/>
      <c r="RKK30" s="1266"/>
      <c r="RKL30" s="1266"/>
      <c r="RKM30" s="1266"/>
      <c r="RKN30" s="1266"/>
      <c r="RKO30" s="1266"/>
      <c r="RKP30" s="1266"/>
      <c r="RKQ30" s="1266"/>
      <c r="RKR30" s="1266"/>
      <c r="RKS30" s="1266"/>
      <c r="RKT30" s="1266"/>
      <c r="RKU30" s="1266"/>
      <c r="RKV30" s="1266"/>
      <c r="RKW30" s="1266"/>
      <c r="RKX30" s="1266"/>
      <c r="RKY30" s="1266"/>
      <c r="RKZ30" s="1266"/>
      <c r="RLA30" s="1266"/>
      <c r="RLB30" s="1266"/>
      <c r="RLC30" s="1266"/>
      <c r="RLD30" s="1266"/>
      <c r="RLE30" s="1266"/>
      <c r="RLF30" s="1266"/>
      <c r="RLG30" s="1266"/>
      <c r="RLH30" s="1266"/>
      <c r="RLI30" s="1266"/>
      <c r="RLJ30" s="1266"/>
      <c r="RLK30" s="1266"/>
      <c r="RLL30" s="1266"/>
      <c r="RLM30" s="1266"/>
      <c r="RLN30" s="1266"/>
      <c r="RLO30" s="1266"/>
      <c r="RLP30" s="1266"/>
      <c r="RLQ30" s="1266"/>
      <c r="RLR30" s="1266"/>
      <c r="RLS30" s="1266"/>
      <c r="RLT30" s="1266"/>
      <c r="RLU30" s="1266"/>
      <c r="RLV30" s="1266"/>
      <c r="RLW30" s="1266"/>
      <c r="RLX30" s="1266"/>
      <c r="RLY30" s="1266"/>
      <c r="RLZ30" s="1266"/>
      <c r="RMA30" s="1266"/>
      <c r="RMB30" s="1266"/>
      <c r="RMC30" s="1266"/>
      <c r="RMD30" s="1266"/>
      <c r="RME30" s="1266"/>
      <c r="RMF30" s="1266"/>
      <c r="RMG30" s="1266"/>
      <c r="RMH30" s="1266"/>
      <c r="RMI30" s="1266"/>
      <c r="RMJ30" s="1266"/>
      <c r="RMK30" s="1266"/>
      <c r="RML30" s="1266"/>
      <c r="RMM30" s="1266"/>
      <c r="RMN30" s="1266"/>
      <c r="RMO30" s="1266"/>
      <c r="RMP30" s="1266"/>
      <c r="RMQ30" s="1266"/>
      <c r="RMR30" s="1266"/>
      <c r="RMS30" s="1266"/>
      <c r="RMT30" s="1266"/>
      <c r="RMU30" s="1266"/>
      <c r="RMV30" s="1266"/>
      <c r="RMW30" s="1266"/>
      <c r="RMX30" s="1266"/>
      <c r="RMY30" s="1266"/>
      <c r="RMZ30" s="1266"/>
      <c r="RNA30" s="1266"/>
      <c r="RNB30" s="1266"/>
      <c r="RNC30" s="1266"/>
      <c r="RND30" s="1266"/>
      <c r="RNE30" s="1266"/>
      <c r="RNF30" s="1266"/>
      <c r="RNG30" s="1266"/>
      <c r="RNH30" s="1266"/>
      <c r="RNI30" s="1266"/>
      <c r="RNJ30" s="1266"/>
      <c r="RNK30" s="1266"/>
      <c r="RNL30" s="1266"/>
      <c r="RNM30" s="1266"/>
      <c r="RNN30" s="1266"/>
      <c r="RNO30" s="1266"/>
      <c r="RNP30" s="1266"/>
      <c r="RNQ30" s="1266"/>
      <c r="RNR30" s="1266"/>
      <c r="RNS30" s="1266"/>
      <c r="RNT30" s="1266"/>
      <c r="RNU30" s="1266"/>
      <c r="RNV30" s="1266"/>
      <c r="RNW30" s="1266"/>
      <c r="RNX30" s="1266"/>
      <c r="RNY30" s="1266"/>
      <c r="RNZ30" s="1266"/>
      <c r="ROA30" s="1266"/>
      <c r="ROB30" s="1266"/>
      <c r="ROC30" s="1266"/>
      <c r="ROD30" s="1266"/>
      <c r="ROE30" s="1266"/>
      <c r="ROF30" s="1266"/>
      <c r="ROG30" s="1266"/>
      <c r="ROH30" s="1266"/>
      <c r="ROI30" s="1266"/>
      <c r="ROJ30" s="1266"/>
      <c r="ROK30" s="1266"/>
      <c r="ROL30" s="1266"/>
      <c r="ROM30" s="1266"/>
      <c r="RON30" s="1266"/>
      <c r="ROO30" s="1266"/>
      <c r="ROP30" s="1266"/>
      <c r="ROQ30" s="1266"/>
      <c r="ROR30" s="1266"/>
      <c r="ROS30" s="1266"/>
      <c r="ROT30" s="1266"/>
      <c r="ROU30" s="1266"/>
      <c r="ROV30" s="1266"/>
      <c r="ROW30" s="1266"/>
      <c r="ROX30" s="1266"/>
      <c r="ROY30" s="1266"/>
      <c r="ROZ30" s="1266"/>
      <c r="RPA30" s="1266"/>
      <c r="RPB30" s="1266"/>
      <c r="RPC30" s="1266"/>
      <c r="RPD30" s="1266"/>
      <c r="RPE30" s="1266"/>
      <c r="RPF30" s="1266"/>
      <c r="RPG30" s="1266"/>
      <c r="RPH30" s="1266"/>
      <c r="RPI30" s="1266"/>
      <c r="RPJ30" s="1266"/>
      <c r="RPK30" s="1266"/>
      <c r="RPL30" s="1266"/>
      <c r="RPM30" s="1266"/>
      <c r="RPN30" s="1266"/>
      <c r="RPO30" s="1266"/>
      <c r="RPP30" s="1266"/>
      <c r="RPQ30" s="1266"/>
      <c r="RPR30" s="1266"/>
      <c r="RPS30" s="1266"/>
      <c r="RPT30" s="1266"/>
      <c r="RPU30" s="1266"/>
      <c r="RPV30" s="1266"/>
      <c r="RPW30" s="1266"/>
      <c r="RPX30" s="1266"/>
      <c r="RPY30" s="1266"/>
      <c r="RPZ30" s="1266"/>
      <c r="RQA30" s="1266"/>
      <c r="RQB30" s="1266"/>
      <c r="RQC30" s="1266"/>
      <c r="RQD30" s="1266"/>
      <c r="RQE30" s="1266"/>
      <c r="RQF30" s="1266"/>
      <c r="RQG30" s="1266"/>
      <c r="RQH30" s="1266"/>
      <c r="RQI30" s="1266"/>
      <c r="RQJ30" s="1266"/>
      <c r="RQK30" s="1266"/>
      <c r="RQL30" s="1266"/>
      <c r="RQM30" s="1266"/>
      <c r="RQN30" s="1266"/>
      <c r="RQO30" s="1266"/>
      <c r="RQP30" s="1266"/>
      <c r="RQQ30" s="1266"/>
      <c r="RQR30" s="1266"/>
      <c r="RQS30" s="1266"/>
      <c r="RQT30" s="1266"/>
      <c r="RQU30" s="1266"/>
      <c r="RQV30" s="1266"/>
      <c r="RQW30" s="1266"/>
      <c r="RQX30" s="1266"/>
      <c r="RQY30" s="1266"/>
      <c r="RQZ30" s="1266"/>
      <c r="RRA30" s="1266"/>
      <c r="RRB30" s="1266"/>
      <c r="RRC30" s="1266"/>
      <c r="RRD30" s="1266"/>
      <c r="RRE30" s="1266"/>
      <c r="RRF30" s="1266"/>
      <c r="RRG30" s="1266"/>
      <c r="RRH30" s="1266"/>
      <c r="RRI30" s="1266"/>
      <c r="RRJ30" s="1266"/>
      <c r="RRK30" s="1266"/>
      <c r="RRL30" s="1266"/>
      <c r="RRM30" s="1266"/>
      <c r="RRN30" s="1266"/>
      <c r="RRO30" s="1266"/>
      <c r="RRP30" s="1266"/>
      <c r="RRQ30" s="1266"/>
      <c r="RRR30" s="1266"/>
      <c r="RRS30" s="1266"/>
      <c r="RRT30" s="1266"/>
      <c r="RRU30" s="1266"/>
      <c r="RRV30" s="1266"/>
      <c r="RRW30" s="1266"/>
      <c r="RRX30" s="1266"/>
      <c r="RRY30" s="1266"/>
      <c r="RRZ30" s="1266"/>
      <c r="RSA30" s="1266"/>
      <c r="RSB30" s="1266"/>
      <c r="RSC30" s="1266"/>
      <c r="RSD30" s="1266"/>
      <c r="RSE30" s="1266"/>
      <c r="RSF30" s="1266"/>
      <c r="RSG30" s="1266"/>
      <c r="RSH30" s="1266"/>
      <c r="RSI30" s="1266"/>
      <c r="RSJ30" s="1266"/>
      <c r="RSK30" s="1266"/>
      <c r="RSL30" s="1266"/>
      <c r="RSM30" s="1266"/>
      <c r="RSN30" s="1266"/>
      <c r="RSO30" s="1266"/>
      <c r="RSP30" s="1266"/>
      <c r="RSQ30" s="1266"/>
      <c r="RSR30" s="1266"/>
      <c r="RSS30" s="1266"/>
      <c r="RST30" s="1266"/>
      <c r="RSU30" s="1266"/>
      <c r="RSV30" s="1266"/>
      <c r="RSW30" s="1266"/>
      <c r="RSX30" s="1266"/>
      <c r="RSY30" s="1266"/>
      <c r="RSZ30" s="1266"/>
      <c r="RTA30" s="1266"/>
      <c r="RTB30" s="1266"/>
      <c r="RTC30" s="1266"/>
      <c r="RTD30" s="1266"/>
      <c r="RTE30" s="1266"/>
      <c r="RTF30" s="1266"/>
      <c r="RTG30" s="1266"/>
      <c r="RTH30" s="1266"/>
      <c r="RTI30" s="1266"/>
      <c r="RTJ30" s="1266"/>
      <c r="RTK30" s="1266"/>
      <c r="RTL30" s="1266"/>
      <c r="RTM30" s="1266"/>
      <c r="RTN30" s="1266"/>
      <c r="RTO30" s="1266"/>
      <c r="RTP30" s="1266"/>
      <c r="RTQ30" s="1266"/>
      <c r="RTR30" s="1266"/>
      <c r="RTS30" s="1266"/>
      <c r="RTT30" s="1266"/>
      <c r="RTU30" s="1266"/>
      <c r="RTV30" s="1266"/>
      <c r="RTW30" s="1266"/>
      <c r="RTX30" s="1266"/>
      <c r="RTY30" s="1266"/>
      <c r="RTZ30" s="1266"/>
      <c r="RUA30" s="1266"/>
      <c r="RUB30" s="1266"/>
      <c r="RUC30" s="1266"/>
      <c r="RUD30" s="1266"/>
      <c r="RUE30" s="1266"/>
      <c r="RUF30" s="1266"/>
      <c r="RUG30" s="1266"/>
      <c r="RUH30" s="1266"/>
      <c r="RUI30" s="1266"/>
      <c r="RUJ30" s="1266"/>
      <c r="RUK30" s="1266"/>
      <c r="RUL30" s="1266"/>
      <c r="RUM30" s="1266"/>
      <c r="RUN30" s="1266"/>
      <c r="RUO30" s="1266"/>
      <c r="RUP30" s="1266"/>
      <c r="RUQ30" s="1266"/>
      <c r="RUR30" s="1266"/>
      <c r="RUS30" s="1266"/>
      <c r="RUT30" s="1266"/>
      <c r="RUU30" s="1266"/>
      <c r="RUV30" s="1266"/>
      <c r="RUW30" s="1266"/>
      <c r="RUX30" s="1266"/>
      <c r="RUY30" s="1266"/>
      <c r="RUZ30" s="1266"/>
      <c r="RVA30" s="1266"/>
      <c r="RVB30" s="1266"/>
      <c r="RVC30" s="1266"/>
      <c r="RVD30" s="1266"/>
      <c r="RVE30" s="1266"/>
      <c r="RVF30" s="1266"/>
      <c r="RVG30" s="1266"/>
      <c r="RVH30" s="1266"/>
      <c r="RVI30" s="1266"/>
      <c r="RVJ30" s="1266"/>
      <c r="RVK30" s="1266"/>
      <c r="RVL30" s="1266"/>
      <c r="RVM30" s="1266"/>
      <c r="RVN30" s="1266"/>
      <c r="RVO30" s="1266"/>
      <c r="RVP30" s="1266"/>
      <c r="RVQ30" s="1266"/>
      <c r="RVR30" s="1266"/>
      <c r="RVS30" s="1266"/>
      <c r="RVT30" s="1266"/>
      <c r="RVU30" s="1266"/>
      <c r="RVV30" s="1266"/>
      <c r="RVW30" s="1266"/>
      <c r="RVX30" s="1266"/>
      <c r="RVY30" s="1266"/>
      <c r="RVZ30" s="1266"/>
      <c r="RWA30" s="1266"/>
      <c r="RWB30" s="1266"/>
      <c r="RWC30" s="1266"/>
      <c r="RWD30" s="1266"/>
      <c r="RWE30" s="1266"/>
      <c r="RWF30" s="1266"/>
      <c r="RWG30" s="1266"/>
      <c r="RWH30" s="1266"/>
      <c r="RWI30" s="1266"/>
      <c r="RWJ30" s="1266"/>
      <c r="RWK30" s="1266"/>
      <c r="RWL30" s="1266"/>
      <c r="RWM30" s="1266"/>
      <c r="RWN30" s="1266"/>
      <c r="RWO30" s="1266"/>
      <c r="RWP30" s="1266"/>
      <c r="RWQ30" s="1266"/>
      <c r="RWR30" s="1266"/>
      <c r="RWS30" s="1266"/>
      <c r="RWT30" s="1266"/>
      <c r="RWU30" s="1266"/>
      <c r="RWV30" s="1266"/>
      <c r="RWW30" s="1266"/>
      <c r="RWX30" s="1266"/>
      <c r="RWY30" s="1266"/>
      <c r="RWZ30" s="1266"/>
      <c r="RXA30" s="1266"/>
      <c r="RXB30" s="1266"/>
      <c r="RXC30" s="1266"/>
      <c r="RXD30" s="1266"/>
      <c r="RXE30" s="1266"/>
      <c r="RXF30" s="1266"/>
      <c r="RXG30" s="1266"/>
      <c r="RXH30" s="1266"/>
      <c r="RXI30" s="1266"/>
      <c r="RXJ30" s="1266"/>
      <c r="RXK30" s="1266"/>
      <c r="RXL30" s="1266"/>
      <c r="RXM30" s="1266"/>
      <c r="RXN30" s="1266"/>
      <c r="RXO30" s="1266"/>
      <c r="RXP30" s="1266"/>
      <c r="RXQ30" s="1266"/>
      <c r="RXR30" s="1266"/>
      <c r="RXS30" s="1266"/>
      <c r="RXT30" s="1266"/>
      <c r="RXU30" s="1266"/>
      <c r="RXV30" s="1266"/>
      <c r="RXW30" s="1266"/>
      <c r="RXX30" s="1266"/>
      <c r="RXY30" s="1266"/>
      <c r="RXZ30" s="1266"/>
      <c r="RYA30" s="1266"/>
      <c r="RYB30" s="1266"/>
      <c r="RYC30" s="1266"/>
      <c r="RYD30" s="1266"/>
      <c r="RYE30" s="1266"/>
      <c r="RYF30" s="1266"/>
      <c r="RYG30" s="1266"/>
      <c r="RYH30" s="1266"/>
      <c r="RYI30" s="1266"/>
      <c r="RYJ30" s="1266"/>
      <c r="RYK30" s="1266"/>
      <c r="RYL30" s="1266"/>
      <c r="RYM30" s="1266"/>
      <c r="RYN30" s="1266"/>
      <c r="RYO30" s="1266"/>
      <c r="RYP30" s="1266"/>
      <c r="RYQ30" s="1266"/>
      <c r="RYR30" s="1266"/>
      <c r="RYS30" s="1266"/>
      <c r="RYT30" s="1266"/>
      <c r="RYU30" s="1266"/>
      <c r="RYV30" s="1266"/>
      <c r="RYW30" s="1266"/>
      <c r="RYX30" s="1266"/>
      <c r="RYY30" s="1266"/>
      <c r="RYZ30" s="1266"/>
      <c r="RZA30" s="1266"/>
      <c r="RZB30" s="1266"/>
      <c r="RZC30" s="1266"/>
      <c r="RZD30" s="1266"/>
      <c r="RZE30" s="1266"/>
      <c r="RZF30" s="1266"/>
      <c r="RZG30" s="1266"/>
      <c r="RZH30" s="1266"/>
      <c r="RZI30" s="1266"/>
      <c r="RZJ30" s="1266"/>
      <c r="RZK30" s="1266"/>
      <c r="RZL30" s="1266"/>
      <c r="RZM30" s="1266"/>
      <c r="RZN30" s="1266"/>
      <c r="RZO30" s="1266"/>
      <c r="RZP30" s="1266"/>
      <c r="RZQ30" s="1266"/>
      <c r="RZR30" s="1266"/>
      <c r="RZS30" s="1266"/>
      <c r="RZT30" s="1266"/>
      <c r="RZU30" s="1266"/>
      <c r="RZV30" s="1266"/>
      <c r="RZW30" s="1266"/>
      <c r="RZX30" s="1266"/>
      <c r="RZY30" s="1266"/>
      <c r="RZZ30" s="1266"/>
      <c r="SAA30" s="1266"/>
      <c r="SAB30" s="1266"/>
      <c r="SAC30" s="1266"/>
      <c r="SAD30" s="1266"/>
      <c r="SAE30" s="1266"/>
      <c r="SAF30" s="1266"/>
      <c r="SAG30" s="1266"/>
      <c r="SAH30" s="1266"/>
      <c r="SAI30" s="1266"/>
      <c r="SAJ30" s="1266"/>
      <c r="SAK30" s="1266"/>
      <c r="SAL30" s="1266"/>
      <c r="SAM30" s="1266"/>
      <c r="SAN30" s="1266"/>
      <c r="SAO30" s="1266"/>
      <c r="SAP30" s="1266"/>
      <c r="SAQ30" s="1266"/>
      <c r="SAR30" s="1266"/>
      <c r="SAS30" s="1266"/>
      <c r="SAT30" s="1266"/>
      <c r="SAU30" s="1266"/>
      <c r="SAV30" s="1266"/>
      <c r="SAW30" s="1266"/>
      <c r="SAX30" s="1266"/>
      <c r="SAY30" s="1266"/>
      <c r="SAZ30" s="1266"/>
      <c r="SBA30" s="1266"/>
      <c r="SBB30" s="1266"/>
      <c r="SBC30" s="1266"/>
      <c r="SBD30" s="1266"/>
      <c r="SBE30" s="1266"/>
      <c r="SBF30" s="1266"/>
      <c r="SBG30" s="1266"/>
      <c r="SBH30" s="1266"/>
      <c r="SBI30" s="1266"/>
      <c r="SBJ30" s="1266"/>
      <c r="SBK30" s="1266"/>
      <c r="SBL30" s="1266"/>
      <c r="SBM30" s="1266"/>
      <c r="SBN30" s="1266"/>
      <c r="SBO30" s="1266"/>
      <c r="SBP30" s="1266"/>
      <c r="SBQ30" s="1266"/>
      <c r="SBR30" s="1266"/>
      <c r="SBS30" s="1266"/>
      <c r="SBT30" s="1266"/>
      <c r="SBU30" s="1266"/>
      <c r="SBV30" s="1266"/>
      <c r="SBW30" s="1266"/>
      <c r="SBX30" s="1266"/>
      <c r="SBY30" s="1266"/>
      <c r="SBZ30" s="1266"/>
      <c r="SCA30" s="1266"/>
      <c r="SCB30" s="1266"/>
      <c r="SCC30" s="1266"/>
      <c r="SCD30" s="1266"/>
      <c r="SCE30" s="1266"/>
      <c r="SCF30" s="1266"/>
      <c r="SCG30" s="1266"/>
      <c r="SCH30" s="1266"/>
      <c r="SCI30" s="1266"/>
      <c r="SCJ30" s="1266"/>
      <c r="SCK30" s="1266"/>
      <c r="SCL30" s="1266"/>
      <c r="SCM30" s="1266"/>
      <c r="SCN30" s="1266"/>
      <c r="SCO30" s="1266"/>
      <c r="SCP30" s="1266"/>
      <c r="SCQ30" s="1266"/>
      <c r="SCR30" s="1266"/>
      <c r="SCS30" s="1266"/>
      <c r="SCT30" s="1266"/>
      <c r="SCU30" s="1266"/>
      <c r="SCV30" s="1266"/>
      <c r="SCW30" s="1266"/>
      <c r="SCX30" s="1266"/>
      <c r="SCY30" s="1266"/>
      <c r="SCZ30" s="1266"/>
      <c r="SDA30" s="1266"/>
      <c r="SDB30" s="1266"/>
      <c r="SDC30" s="1266"/>
      <c r="SDD30" s="1266"/>
      <c r="SDE30" s="1266"/>
      <c r="SDF30" s="1266"/>
      <c r="SDG30" s="1266"/>
      <c r="SDH30" s="1266"/>
      <c r="SDI30" s="1266"/>
      <c r="SDJ30" s="1266"/>
      <c r="SDK30" s="1266"/>
      <c r="SDL30" s="1266"/>
      <c r="SDM30" s="1266"/>
      <c r="SDN30" s="1266"/>
      <c r="SDO30" s="1266"/>
      <c r="SDP30" s="1266"/>
      <c r="SDQ30" s="1266"/>
      <c r="SDR30" s="1266"/>
      <c r="SDS30" s="1266"/>
      <c r="SDT30" s="1266"/>
      <c r="SDU30" s="1266"/>
      <c r="SDV30" s="1266"/>
      <c r="SDW30" s="1266"/>
      <c r="SDX30" s="1266"/>
      <c r="SDY30" s="1266"/>
      <c r="SDZ30" s="1266"/>
      <c r="SEA30" s="1266"/>
      <c r="SEB30" s="1266"/>
      <c r="SEC30" s="1266"/>
      <c r="SED30" s="1266"/>
      <c r="SEE30" s="1266"/>
      <c r="SEF30" s="1266"/>
      <c r="SEG30" s="1266"/>
      <c r="SEH30" s="1266"/>
      <c r="SEI30" s="1266"/>
      <c r="SEJ30" s="1266"/>
      <c r="SEK30" s="1266"/>
      <c r="SEL30" s="1266"/>
      <c r="SEM30" s="1266"/>
      <c r="SEN30" s="1266"/>
      <c r="SEO30" s="1266"/>
      <c r="SEP30" s="1266"/>
      <c r="SEQ30" s="1266"/>
      <c r="SER30" s="1266"/>
      <c r="SES30" s="1266"/>
      <c r="SET30" s="1266"/>
      <c r="SEU30" s="1266"/>
      <c r="SEV30" s="1266"/>
      <c r="SEW30" s="1266"/>
      <c r="SEX30" s="1266"/>
      <c r="SEY30" s="1266"/>
      <c r="SEZ30" s="1266"/>
      <c r="SFA30" s="1266"/>
      <c r="SFB30" s="1266"/>
      <c r="SFC30" s="1266"/>
      <c r="SFD30" s="1266"/>
      <c r="SFE30" s="1266"/>
      <c r="SFF30" s="1266"/>
      <c r="SFG30" s="1266"/>
      <c r="SFH30" s="1266"/>
      <c r="SFI30" s="1266"/>
      <c r="SFJ30" s="1266"/>
      <c r="SFK30" s="1266"/>
      <c r="SFL30" s="1266"/>
      <c r="SFM30" s="1266"/>
      <c r="SFN30" s="1266"/>
      <c r="SFO30" s="1266"/>
      <c r="SFP30" s="1266"/>
      <c r="SFQ30" s="1266"/>
      <c r="SFR30" s="1266"/>
      <c r="SFS30" s="1266"/>
      <c r="SFT30" s="1266"/>
      <c r="SFU30" s="1266"/>
      <c r="SFV30" s="1266"/>
      <c r="SFW30" s="1266"/>
      <c r="SFX30" s="1266"/>
      <c r="SFY30" s="1266"/>
      <c r="SFZ30" s="1266"/>
      <c r="SGA30" s="1266"/>
      <c r="SGB30" s="1266"/>
      <c r="SGC30" s="1266"/>
      <c r="SGD30" s="1266"/>
      <c r="SGE30" s="1266"/>
      <c r="SGF30" s="1266"/>
      <c r="SGG30" s="1266"/>
      <c r="SGH30" s="1266"/>
      <c r="SGI30" s="1266"/>
      <c r="SGJ30" s="1266"/>
      <c r="SGK30" s="1266"/>
      <c r="SGL30" s="1266"/>
      <c r="SGM30" s="1266"/>
      <c r="SGN30" s="1266"/>
      <c r="SGO30" s="1266"/>
      <c r="SGP30" s="1266"/>
      <c r="SGQ30" s="1266"/>
      <c r="SGR30" s="1266"/>
      <c r="SGS30" s="1266"/>
      <c r="SGT30" s="1266"/>
      <c r="SGU30" s="1266"/>
      <c r="SGV30" s="1266"/>
      <c r="SGW30" s="1266"/>
      <c r="SGX30" s="1266"/>
      <c r="SGY30" s="1266"/>
      <c r="SGZ30" s="1266"/>
      <c r="SHA30" s="1266"/>
      <c r="SHB30" s="1266"/>
      <c r="SHC30" s="1266"/>
      <c r="SHD30" s="1266"/>
      <c r="SHE30" s="1266"/>
      <c r="SHF30" s="1266"/>
      <c r="SHG30" s="1266"/>
      <c r="SHH30" s="1266"/>
      <c r="SHI30" s="1266"/>
      <c r="SHJ30" s="1266"/>
      <c r="SHK30" s="1266"/>
      <c r="SHL30" s="1266"/>
      <c r="SHM30" s="1266"/>
      <c r="SHN30" s="1266"/>
      <c r="SHO30" s="1266"/>
      <c r="SHP30" s="1266"/>
      <c r="SHQ30" s="1266"/>
      <c r="SHR30" s="1266"/>
      <c r="SHS30" s="1266"/>
      <c r="SHT30" s="1266"/>
      <c r="SHU30" s="1266"/>
      <c r="SHV30" s="1266"/>
      <c r="SHW30" s="1266"/>
      <c r="SHX30" s="1266"/>
      <c r="SHY30" s="1266"/>
      <c r="SHZ30" s="1266"/>
      <c r="SIA30" s="1266"/>
      <c r="SIB30" s="1266"/>
      <c r="SIC30" s="1266"/>
      <c r="SID30" s="1266"/>
      <c r="SIE30" s="1266"/>
      <c r="SIF30" s="1266"/>
      <c r="SIG30" s="1266"/>
      <c r="SIH30" s="1266"/>
      <c r="SII30" s="1266"/>
      <c r="SIJ30" s="1266"/>
      <c r="SIK30" s="1266"/>
      <c r="SIL30" s="1266"/>
      <c r="SIM30" s="1266"/>
      <c r="SIN30" s="1266"/>
      <c r="SIO30" s="1266"/>
      <c r="SIP30" s="1266"/>
      <c r="SIQ30" s="1266"/>
      <c r="SIR30" s="1266"/>
      <c r="SIS30" s="1266"/>
      <c r="SIT30" s="1266"/>
      <c r="SIU30" s="1266"/>
      <c r="SIV30" s="1266"/>
      <c r="SIW30" s="1266"/>
      <c r="SIX30" s="1266"/>
      <c r="SIY30" s="1266"/>
      <c r="SIZ30" s="1266"/>
      <c r="SJA30" s="1266"/>
      <c r="SJB30" s="1266"/>
      <c r="SJC30" s="1266"/>
      <c r="SJD30" s="1266"/>
      <c r="SJE30" s="1266"/>
      <c r="SJF30" s="1266"/>
      <c r="SJG30" s="1266"/>
      <c r="SJH30" s="1266"/>
      <c r="SJI30" s="1266"/>
      <c r="SJJ30" s="1266"/>
      <c r="SJK30" s="1266"/>
      <c r="SJL30" s="1266"/>
      <c r="SJM30" s="1266"/>
      <c r="SJN30" s="1266"/>
      <c r="SJO30" s="1266"/>
      <c r="SJP30" s="1266"/>
      <c r="SJQ30" s="1266"/>
      <c r="SJR30" s="1266"/>
      <c r="SJS30" s="1266"/>
      <c r="SJT30" s="1266"/>
      <c r="SJU30" s="1266"/>
      <c r="SJV30" s="1266"/>
      <c r="SJW30" s="1266"/>
      <c r="SJX30" s="1266"/>
      <c r="SJY30" s="1266"/>
      <c r="SJZ30" s="1266"/>
      <c r="SKA30" s="1266"/>
      <c r="SKB30" s="1266"/>
      <c r="SKC30" s="1266"/>
      <c r="SKD30" s="1266"/>
      <c r="SKE30" s="1266"/>
      <c r="SKF30" s="1266"/>
      <c r="SKG30" s="1266"/>
      <c r="SKH30" s="1266"/>
      <c r="SKI30" s="1266"/>
      <c r="SKJ30" s="1266"/>
      <c r="SKK30" s="1266"/>
      <c r="SKL30" s="1266"/>
      <c r="SKM30" s="1266"/>
      <c r="SKN30" s="1266"/>
      <c r="SKO30" s="1266"/>
      <c r="SKP30" s="1266"/>
      <c r="SKQ30" s="1266"/>
      <c r="SKR30" s="1266"/>
      <c r="SKS30" s="1266"/>
      <c r="SKT30" s="1266"/>
      <c r="SKU30" s="1266"/>
      <c r="SKV30" s="1266"/>
      <c r="SKW30" s="1266"/>
      <c r="SKX30" s="1266"/>
      <c r="SKY30" s="1266"/>
      <c r="SKZ30" s="1266"/>
      <c r="SLA30" s="1266"/>
      <c r="SLB30" s="1266"/>
      <c r="SLC30" s="1266"/>
      <c r="SLD30" s="1266"/>
      <c r="SLE30" s="1266"/>
      <c r="SLF30" s="1266"/>
      <c r="SLG30" s="1266"/>
      <c r="SLH30" s="1266"/>
      <c r="SLI30" s="1266"/>
      <c r="SLJ30" s="1266"/>
      <c r="SLK30" s="1266"/>
      <c r="SLL30" s="1266"/>
      <c r="SLM30" s="1266"/>
      <c r="SLN30" s="1266"/>
      <c r="SLO30" s="1266"/>
      <c r="SLP30" s="1266"/>
      <c r="SLQ30" s="1266"/>
      <c r="SLR30" s="1266"/>
      <c r="SLS30" s="1266"/>
      <c r="SLT30" s="1266"/>
      <c r="SLU30" s="1266"/>
      <c r="SLV30" s="1266"/>
      <c r="SLW30" s="1266"/>
      <c r="SLX30" s="1266"/>
      <c r="SLY30" s="1266"/>
      <c r="SLZ30" s="1266"/>
      <c r="SMA30" s="1266"/>
      <c r="SMB30" s="1266"/>
      <c r="SMC30" s="1266"/>
      <c r="SMD30" s="1266"/>
      <c r="SME30" s="1266"/>
      <c r="SMF30" s="1266"/>
      <c r="SMG30" s="1266"/>
      <c r="SMH30" s="1266"/>
      <c r="SMI30" s="1266"/>
      <c r="SMJ30" s="1266"/>
      <c r="SMK30" s="1266"/>
      <c r="SML30" s="1266"/>
      <c r="SMM30" s="1266"/>
      <c r="SMN30" s="1266"/>
      <c r="SMO30" s="1266"/>
      <c r="SMP30" s="1266"/>
      <c r="SMQ30" s="1266"/>
      <c r="SMR30" s="1266"/>
      <c r="SMS30" s="1266"/>
      <c r="SMT30" s="1266"/>
      <c r="SMU30" s="1266"/>
      <c r="SMV30" s="1266"/>
      <c r="SMW30" s="1266"/>
      <c r="SMX30" s="1266"/>
      <c r="SMY30" s="1266"/>
      <c r="SMZ30" s="1266"/>
      <c r="SNA30" s="1266"/>
      <c r="SNB30" s="1266"/>
      <c r="SNC30" s="1266"/>
      <c r="SND30" s="1266"/>
      <c r="SNE30" s="1266"/>
      <c r="SNF30" s="1266"/>
      <c r="SNG30" s="1266"/>
      <c r="SNH30" s="1266"/>
      <c r="SNI30" s="1266"/>
      <c r="SNJ30" s="1266"/>
      <c r="SNK30" s="1266"/>
      <c r="SNL30" s="1266"/>
      <c r="SNM30" s="1266"/>
      <c r="SNN30" s="1266"/>
      <c r="SNO30" s="1266"/>
      <c r="SNP30" s="1266"/>
      <c r="SNQ30" s="1266"/>
      <c r="SNR30" s="1266"/>
      <c r="SNS30" s="1266"/>
      <c r="SNT30" s="1266"/>
      <c r="SNU30" s="1266"/>
      <c r="SNV30" s="1266"/>
      <c r="SNW30" s="1266"/>
      <c r="SNX30" s="1266"/>
      <c r="SNY30" s="1266"/>
      <c r="SNZ30" s="1266"/>
      <c r="SOA30" s="1266"/>
      <c r="SOB30" s="1266"/>
      <c r="SOC30" s="1266"/>
      <c r="SOD30" s="1266"/>
      <c r="SOE30" s="1266"/>
      <c r="SOF30" s="1266"/>
      <c r="SOG30" s="1266"/>
      <c r="SOH30" s="1266"/>
      <c r="SOI30" s="1266"/>
      <c r="SOJ30" s="1266"/>
      <c r="SOK30" s="1266"/>
      <c r="SOL30" s="1266"/>
      <c r="SOM30" s="1266"/>
      <c r="SON30" s="1266"/>
      <c r="SOO30" s="1266"/>
      <c r="SOP30" s="1266"/>
      <c r="SOQ30" s="1266"/>
      <c r="SOR30" s="1266"/>
      <c r="SOS30" s="1266"/>
      <c r="SOT30" s="1266"/>
      <c r="SOU30" s="1266"/>
      <c r="SOV30" s="1266"/>
      <c r="SOW30" s="1266"/>
      <c r="SOX30" s="1266"/>
      <c r="SOY30" s="1266"/>
      <c r="SOZ30" s="1266"/>
      <c r="SPA30" s="1266"/>
      <c r="SPB30" s="1266"/>
      <c r="SPC30" s="1266"/>
      <c r="SPD30" s="1266"/>
      <c r="SPE30" s="1266"/>
      <c r="SPF30" s="1266"/>
      <c r="SPG30" s="1266"/>
      <c r="SPH30" s="1266"/>
      <c r="SPI30" s="1266"/>
      <c r="SPJ30" s="1266"/>
      <c r="SPK30" s="1266"/>
      <c r="SPL30" s="1266"/>
      <c r="SPM30" s="1266"/>
      <c r="SPN30" s="1266"/>
      <c r="SPO30" s="1266"/>
      <c r="SPP30" s="1266"/>
      <c r="SPQ30" s="1266"/>
      <c r="SPR30" s="1266"/>
      <c r="SPS30" s="1266"/>
      <c r="SPT30" s="1266"/>
      <c r="SPU30" s="1266"/>
      <c r="SPV30" s="1266"/>
      <c r="SPW30" s="1266"/>
      <c r="SPX30" s="1266"/>
      <c r="SPY30" s="1266"/>
      <c r="SPZ30" s="1266"/>
      <c r="SQA30" s="1266"/>
      <c r="SQB30" s="1266"/>
      <c r="SQC30" s="1266"/>
      <c r="SQD30" s="1266"/>
      <c r="SQE30" s="1266"/>
      <c r="SQF30" s="1266"/>
      <c r="SQG30" s="1266"/>
      <c r="SQH30" s="1266"/>
      <c r="SQI30" s="1266"/>
      <c r="SQJ30" s="1266"/>
      <c r="SQK30" s="1266"/>
      <c r="SQL30" s="1266"/>
      <c r="SQM30" s="1266"/>
      <c r="SQN30" s="1266"/>
      <c r="SQO30" s="1266"/>
      <c r="SQP30" s="1266"/>
      <c r="SQQ30" s="1266"/>
      <c r="SQR30" s="1266"/>
      <c r="SQS30" s="1266"/>
      <c r="SQT30" s="1266"/>
      <c r="SQU30" s="1266"/>
      <c r="SQV30" s="1266"/>
      <c r="SQW30" s="1266"/>
      <c r="SQX30" s="1266"/>
      <c r="SQY30" s="1266"/>
      <c r="SQZ30" s="1266"/>
      <c r="SRA30" s="1266"/>
      <c r="SRB30" s="1266"/>
      <c r="SRC30" s="1266"/>
      <c r="SRD30" s="1266"/>
      <c r="SRE30" s="1266"/>
      <c r="SRF30" s="1266"/>
      <c r="SRG30" s="1266"/>
      <c r="SRH30" s="1266"/>
      <c r="SRI30" s="1266"/>
      <c r="SRJ30" s="1266"/>
      <c r="SRK30" s="1266"/>
      <c r="SRL30" s="1266"/>
      <c r="SRM30" s="1266"/>
      <c r="SRN30" s="1266"/>
      <c r="SRO30" s="1266"/>
      <c r="SRP30" s="1266"/>
      <c r="SRQ30" s="1266"/>
      <c r="SRR30" s="1266"/>
      <c r="SRS30" s="1266"/>
      <c r="SRT30" s="1266"/>
      <c r="SRU30" s="1266"/>
      <c r="SRV30" s="1266"/>
      <c r="SRW30" s="1266"/>
      <c r="SRX30" s="1266"/>
      <c r="SRY30" s="1266"/>
      <c r="SRZ30" s="1266"/>
      <c r="SSA30" s="1266"/>
      <c r="SSB30" s="1266"/>
      <c r="SSC30" s="1266"/>
      <c r="SSD30" s="1266"/>
      <c r="SSE30" s="1266"/>
      <c r="SSF30" s="1266"/>
      <c r="SSG30" s="1266"/>
      <c r="SSH30" s="1266"/>
      <c r="SSI30" s="1266"/>
      <c r="SSJ30" s="1266"/>
      <c r="SSK30" s="1266"/>
      <c r="SSL30" s="1266"/>
      <c r="SSM30" s="1266"/>
      <c r="SSN30" s="1266"/>
      <c r="SSO30" s="1266"/>
      <c r="SSP30" s="1266"/>
      <c r="SSQ30" s="1266"/>
      <c r="SSR30" s="1266"/>
      <c r="SSS30" s="1266"/>
      <c r="SST30" s="1266"/>
      <c r="SSU30" s="1266"/>
      <c r="SSV30" s="1266"/>
      <c r="SSW30" s="1266"/>
      <c r="SSX30" s="1266"/>
      <c r="SSY30" s="1266"/>
      <c r="SSZ30" s="1266"/>
      <c r="STA30" s="1266"/>
      <c r="STB30" s="1266"/>
      <c r="STC30" s="1266"/>
      <c r="STD30" s="1266"/>
      <c r="STE30" s="1266"/>
      <c r="STF30" s="1266"/>
      <c r="STG30" s="1266"/>
      <c r="STH30" s="1266"/>
      <c r="STI30" s="1266"/>
      <c r="STJ30" s="1266"/>
      <c r="STK30" s="1266"/>
      <c r="STL30" s="1266"/>
      <c r="STM30" s="1266"/>
      <c r="STN30" s="1266"/>
      <c r="STO30" s="1266"/>
      <c r="STP30" s="1266"/>
      <c r="STQ30" s="1266"/>
      <c r="STR30" s="1266"/>
      <c r="STS30" s="1266"/>
      <c r="STT30" s="1266"/>
      <c r="STU30" s="1266"/>
      <c r="STV30" s="1266"/>
      <c r="STW30" s="1266"/>
      <c r="STX30" s="1266"/>
      <c r="STY30" s="1266"/>
      <c r="STZ30" s="1266"/>
      <c r="SUA30" s="1266"/>
      <c r="SUB30" s="1266"/>
      <c r="SUC30" s="1266"/>
      <c r="SUD30" s="1266"/>
      <c r="SUE30" s="1266"/>
      <c r="SUF30" s="1266"/>
      <c r="SUG30" s="1266"/>
      <c r="SUH30" s="1266"/>
      <c r="SUI30" s="1266"/>
      <c r="SUJ30" s="1266"/>
      <c r="SUK30" s="1266"/>
      <c r="SUL30" s="1266"/>
      <c r="SUM30" s="1266"/>
      <c r="SUN30" s="1266"/>
      <c r="SUO30" s="1266"/>
      <c r="SUP30" s="1266"/>
      <c r="SUQ30" s="1266"/>
      <c r="SUR30" s="1266"/>
      <c r="SUS30" s="1266"/>
      <c r="SUT30" s="1266"/>
      <c r="SUU30" s="1266"/>
      <c r="SUV30" s="1266"/>
      <c r="SUW30" s="1266"/>
      <c r="SUX30" s="1266"/>
      <c r="SUY30" s="1266"/>
      <c r="SUZ30" s="1266"/>
      <c r="SVA30" s="1266"/>
      <c r="SVB30" s="1266"/>
      <c r="SVC30" s="1266"/>
      <c r="SVD30" s="1266"/>
      <c r="SVE30" s="1266"/>
      <c r="SVF30" s="1266"/>
      <c r="SVG30" s="1266"/>
      <c r="SVH30" s="1266"/>
      <c r="SVI30" s="1266"/>
      <c r="SVJ30" s="1266"/>
      <c r="SVK30" s="1266"/>
      <c r="SVL30" s="1266"/>
      <c r="SVM30" s="1266"/>
      <c r="SVN30" s="1266"/>
      <c r="SVO30" s="1266"/>
      <c r="SVP30" s="1266"/>
      <c r="SVQ30" s="1266"/>
      <c r="SVR30" s="1266"/>
      <c r="SVS30" s="1266"/>
      <c r="SVT30" s="1266"/>
      <c r="SVU30" s="1266"/>
      <c r="SVV30" s="1266"/>
      <c r="SVW30" s="1266"/>
      <c r="SVX30" s="1266"/>
      <c r="SVY30" s="1266"/>
      <c r="SVZ30" s="1266"/>
      <c r="SWA30" s="1266"/>
      <c r="SWB30" s="1266"/>
      <c r="SWC30" s="1266"/>
      <c r="SWD30" s="1266"/>
      <c r="SWE30" s="1266"/>
      <c r="SWF30" s="1266"/>
      <c r="SWG30" s="1266"/>
      <c r="SWH30" s="1266"/>
      <c r="SWI30" s="1266"/>
      <c r="SWJ30" s="1266"/>
      <c r="SWK30" s="1266"/>
      <c r="SWL30" s="1266"/>
      <c r="SWM30" s="1266"/>
      <c r="SWN30" s="1266"/>
      <c r="SWO30" s="1266"/>
      <c r="SWP30" s="1266"/>
      <c r="SWQ30" s="1266"/>
      <c r="SWR30" s="1266"/>
      <c r="SWS30" s="1266"/>
      <c r="SWT30" s="1266"/>
      <c r="SWU30" s="1266"/>
      <c r="SWV30" s="1266"/>
      <c r="SWW30" s="1266"/>
      <c r="SWX30" s="1266"/>
      <c r="SWY30" s="1266"/>
      <c r="SWZ30" s="1266"/>
      <c r="SXA30" s="1266"/>
      <c r="SXB30" s="1266"/>
      <c r="SXC30" s="1266"/>
      <c r="SXD30" s="1266"/>
      <c r="SXE30" s="1266"/>
      <c r="SXF30" s="1266"/>
      <c r="SXG30" s="1266"/>
      <c r="SXH30" s="1266"/>
      <c r="SXI30" s="1266"/>
      <c r="SXJ30" s="1266"/>
      <c r="SXK30" s="1266"/>
      <c r="SXL30" s="1266"/>
      <c r="SXM30" s="1266"/>
      <c r="SXN30" s="1266"/>
      <c r="SXO30" s="1266"/>
      <c r="SXP30" s="1266"/>
      <c r="SXQ30" s="1266"/>
      <c r="SXR30" s="1266"/>
      <c r="SXS30" s="1266"/>
      <c r="SXT30" s="1266"/>
      <c r="SXU30" s="1266"/>
      <c r="SXV30" s="1266"/>
      <c r="SXW30" s="1266"/>
      <c r="SXX30" s="1266"/>
      <c r="SXY30" s="1266"/>
      <c r="SXZ30" s="1266"/>
      <c r="SYA30" s="1266"/>
      <c r="SYB30" s="1266"/>
      <c r="SYC30" s="1266"/>
      <c r="SYD30" s="1266"/>
      <c r="SYE30" s="1266"/>
      <c r="SYF30" s="1266"/>
      <c r="SYG30" s="1266"/>
      <c r="SYH30" s="1266"/>
      <c r="SYI30" s="1266"/>
      <c r="SYJ30" s="1266"/>
      <c r="SYK30" s="1266"/>
      <c r="SYL30" s="1266"/>
      <c r="SYM30" s="1266"/>
      <c r="SYN30" s="1266"/>
      <c r="SYO30" s="1266"/>
      <c r="SYP30" s="1266"/>
      <c r="SYQ30" s="1266"/>
      <c r="SYR30" s="1266"/>
      <c r="SYS30" s="1266"/>
      <c r="SYT30" s="1266"/>
      <c r="SYU30" s="1266"/>
      <c r="SYV30" s="1266"/>
      <c r="SYW30" s="1266"/>
      <c r="SYX30" s="1266"/>
      <c r="SYY30" s="1266"/>
      <c r="SYZ30" s="1266"/>
      <c r="SZA30" s="1266"/>
      <c r="SZB30" s="1266"/>
      <c r="SZC30" s="1266"/>
      <c r="SZD30" s="1266"/>
      <c r="SZE30" s="1266"/>
      <c r="SZF30" s="1266"/>
      <c r="SZG30" s="1266"/>
      <c r="SZH30" s="1266"/>
      <c r="SZI30" s="1266"/>
      <c r="SZJ30" s="1266"/>
      <c r="SZK30" s="1266"/>
      <c r="SZL30" s="1266"/>
      <c r="SZM30" s="1266"/>
      <c r="SZN30" s="1266"/>
      <c r="SZO30" s="1266"/>
      <c r="SZP30" s="1266"/>
      <c r="SZQ30" s="1266"/>
      <c r="SZR30" s="1266"/>
      <c r="SZS30" s="1266"/>
      <c r="SZT30" s="1266"/>
      <c r="SZU30" s="1266"/>
      <c r="SZV30" s="1266"/>
      <c r="SZW30" s="1266"/>
      <c r="SZX30" s="1266"/>
      <c r="SZY30" s="1266"/>
      <c r="SZZ30" s="1266"/>
      <c r="TAA30" s="1266"/>
      <c r="TAB30" s="1266"/>
      <c r="TAC30" s="1266"/>
      <c r="TAD30" s="1266"/>
      <c r="TAE30" s="1266"/>
      <c r="TAF30" s="1266"/>
      <c r="TAG30" s="1266"/>
      <c r="TAH30" s="1266"/>
      <c r="TAI30" s="1266"/>
      <c r="TAJ30" s="1266"/>
      <c r="TAK30" s="1266"/>
      <c r="TAL30" s="1266"/>
      <c r="TAM30" s="1266"/>
      <c r="TAN30" s="1266"/>
      <c r="TAO30" s="1266"/>
      <c r="TAP30" s="1266"/>
      <c r="TAQ30" s="1266"/>
      <c r="TAR30" s="1266"/>
      <c r="TAS30" s="1266"/>
      <c r="TAT30" s="1266"/>
      <c r="TAU30" s="1266"/>
      <c r="TAV30" s="1266"/>
      <c r="TAW30" s="1266"/>
      <c r="TAX30" s="1266"/>
      <c r="TAY30" s="1266"/>
      <c r="TAZ30" s="1266"/>
      <c r="TBA30" s="1266"/>
      <c r="TBB30" s="1266"/>
      <c r="TBC30" s="1266"/>
      <c r="TBD30" s="1266"/>
      <c r="TBE30" s="1266"/>
      <c r="TBF30" s="1266"/>
      <c r="TBG30" s="1266"/>
      <c r="TBH30" s="1266"/>
      <c r="TBI30" s="1266"/>
      <c r="TBJ30" s="1266"/>
      <c r="TBK30" s="1266"/>
      <c r="TBL30" s="1266"/>
      <c r="TBM30" s="1266"/>
      <c r="TBN30" s="1266"/>
      <c r="TBO30" s="1266"/>
      <c r="TBP30" s="1266"/>
      <c r="TBQ30" s="1266"/>
      <c r="TBR30" s="1266"/>
      <c r="TBS30" s="1266"/>
      <c r="TBT30" s="1266"/>
      <c r="TBU30" s="1266"/>
      <c r="TBV30" s="1266"/>
      <c r="TBW30" s="1266"/>
      <c r="TBX30" s="1266"/>
      <c r="TBY30" s="1266"/>
      <c r="TBZ30" s="1266"/>
      <c r="TCA30" s="1266"/>
      <c r="TCB30" s="1266"/>
      <c r="TCC30" s="1266"/>
      <c r="TCD30" s="1266"/>
      <c r="TCE30" s="1266"/>
      <c r="TCF30" s="1266"/>
      <c r="TCG30" s="1266"/>
      <c r="TCH30" s="1266"/>
      <c r="TCI30" s="1266"/>
      <c r="TCJ30" s="1266"/>
      <c r="TCK30" s="1266"/>
      <c r="TCL30" s="1266"/>
      <c r="TCM30" s="1266"/>
      <c r="TCN30" s="1266"/>
      <c r="TCO30" s="1266"/>
      <c r="TCP30" s="1266"/>
      <c r="TCQ30" s="1266"/>
      <c r="TCR30" s="1266"/>
      <c r="TCS30" s="1266"/>
      <c r="TCT30" s="1266"/>
      <c r="TCU30" s="1266"/>
      <c r="TCV30" s="1266"/>
      <c r="TCW30" s="1266"/>
      <c r="TCX30" s="1266"/>
      <c r="TCY30" s="1266"/>
      <c r="TCZ30" s="1266"/>
      <c r="TDA30" s="1266"/>
      <c r="TDB30" s="1266"/>
      <c r="TDC30" s="1266"/>
      <c r="TDD30" s="1266"/>
      <c r="TDE30" s="1266"/>
      <c r="TDF30" s="1266"/>
      <c r="TDG30" s="1266"/>
      <c r="TDH30" s="1266"/>
      <c r="TDI30" s="1266"/>
      <c r="TDJ30" s="1266"/>
      <c r="TDK30" s="1266"/>
      <c r="TDL30" s="1266"/>
      <c r="TDM30" s="1266"/>
      <c r="TDN30" s="1266"/>
      <c r="TDO30" s="1266"/>
      <c r="TDP30" s="1266"/>
      <c r="TDQ30" s="1266"/>
      <c r="TDR30" s="1266"/>
      <c r="TDS30" s="1266"/>
      <c r="TDT30" s="1266"/>
      <c r="TDU30" s="1266"/>
      <c r="TDV30" s="1266"/>
      <c r="TDW30" s="1266"/>
      <c r="TDX30" s="1266"/>
      <c r="TDY30" s="1266"/>
      <c r="TDZ30" s="1266"/>
      <c r="TEA30" s="1266"/>
      <c r="TEB30" s="1266"/>
      <c r="TEC30" s="1266"/>
      <c r="TED30" s="1266"/>
      <c r="TEE30" s="1266"/>
      <c r="TEF30" s="1266"/>
      <c r="TEG30" s="1266"/>
      <c r="TEH30" s="1266"/>
      <c r="TEI30" s="1266"/>
      <c r="TEJ30" s="1266"/>
      <c r="TEK30" s="1266"/>
      <c r="TEL30" s="1266"/>
      <c r="TEM30" s="1266"/>
      <c r="TEN30" s="1266"/>
      <c r="TEO30" s="1266"/>
      <c r="TEP30" s="1266"/>
      <c r="TEQ30" s="1266"/>
      <c r="TER30" s="1266"/>
      <c r="TES30" s="1266"/>
      <c r="TET30" s="1266"/>
      <c r="TEU30" s="1266"/>
      <c r="TEV30" s="1266"/>
      <c r="TEW30" s="1266"/>
      <c r="TEX30" s="1266"/>
      <c r="TEY30" s="1266"/>
      <c r="TEZ30" s="1266"/>
      <c r="TFA30" s="1266"/>
      <c r="TFB30" s="1266"/>
      <c r="TFC30" s="1266"/>
      <c r="TFD30" s="1266"/>
      <c r="TFE30" s="1266"/>
      <c r="TFF30" s="1266"/>
      <c r="TFG30" s="1266"/>
      <c r="TFH30" s="1266"/>
      <c r="TFI30" s="1266"/>
      <c r="TFJ30" s="1266"/>
      <c r="TFK30" s="1266"/>
      <c r="TFL30" s="1266"/>
      <c r="TFM30" s="1266"/>
      <c r="TFN30" s="1266"/>
      <c r="TFO30" s="1266"/>
      <c r="TFP30" s="1266"/>
      <c r="TFQ30" s="1266"/>
      <c r="TFR30" s="1266"/>
      <c r="TFS30" s="1266"/>
      <c r="TFT30" s="1266"/>
      <c r="TFU30" s="1266"/>
      <c r="TFV30" s="1266"/>
      <c r="TFW30" s="1266"/>
      <c r="TFX30" s="1266"/>
      <c r="TFY30" s="1266"/>
      <c r="TFZ30" s="1266"/>
      <c r="TGA30" s="1266"/>
      <c r="TGB30" s="1266"/>
      <c r="TGC30" s="1266"/>
      <c r="TGD30" s="1266"/>
      <c r="TGE30" s="1266"/>
      <c r="TGF30" s="1266"/>
      <c r="TGG30" s="1266"/>
      <c r="TGH30" s="1266"/>
      <c r="TGI30" s="1266"/>
      <c r="TGJ30" s="1266"/>
      <c r="TGK30" s="1266"/>
      <c r="TGL30" s="1266"/>
      <c r="TGM30" s="1266"/>
      <c r="TGN30" s="1266"/>
      <c r="TGO30" s="1266"/>
      <c r="TGP30" s="1266"/>
      <c r="TGQ30" s="1266"/>
      <c r="TGR30" s="1266"/>
      <c r="TGS30" s="1266"/>
      <c r="TGT30" s="1266"/>
      <c r="TGU30" s="1266"/>
      <c r="TGV30" s="1266"/>
      <c r="TGW30" s="1266"/>
      <c r="TGX30" s="1266"/>
      <c r="TGY30" s="1266"/>
      <c r="TGZ30" s="1266"/>
      <c r="THA30" s="1266"/>
      <c r="THB30" s="1266"/>
      <c r="THC30" s="1266"/>
      <c r="THD30" s="1266"/>
      <c r="THE30" s="1266"/>
      <c r="THF30" s="1266"/>
      <c r="THG30" s="1266"/>
      <c r="THH30" s="1266"/>
      <c r="THI30" s="1266"/>
      <c r="THJ30" s="1266"/>
      <c r="THK30" s="1266"/>
      <c r="THL30" s="1266"/>
      <c r="THM30" s="1266"/>
      <c r="THN30" s="1266"/>
      <c r="THO30" s="1266"/>
      <c r="THP30" s="1266"/>
      <c r="THQ30" s="1266"/>
      <c r="THR30" s="1266"/>
      <c r="THS30" s="1266"/>
      <c r="THT30" s="1266"/>
      <c r="THU30" s="1266"/>
      <c r="THV30" s="1266"/>
      <c r="THW30" s="1266"/>
      <c r="THX30" s="1266"/>
      <c r="THY30" s="1266"/>
      <c r="THZ30" s="1266"/>
      <c r="TIA30" s="1266"/>
      <c r="TIB30" s="1266"/>
      <c r="TIC30" s="1266"/>
      <c r="TID30" s="1266"/>
      <c r="TIE30" s="1266"/>
      <c r="TIF30" s="1266"/>
      <c r="TIG30" s="1266"/>
      <c r="TIH30" s="1266"/>
      <c r="TII30" s="1266"/>
      <c r="TIJ30" s="1266"/>
      <c r="TIK30" s="1266"/>
      <c r="TIL30" s="1266"/>
      <c r="TIM30" s="1266"/>
      <c r="TIN30" s="1266"/>
      <c r="TIO30" s="1266"/>
      <c r="TIP30" s="1266"/>
      <c r="TIQ30" s="1266"/>
      <c r="TIR30" s="1266"/>
      <c r="TIS30" s="1266"/>
      <c r="TIT30" s="1266"/>
      <c r="TIU30" s="1266"/>
      <c r="TIV30" s="1266"/>
      <c r="TIW30" s="1266"/>
      <c r="TIX30" s="1266"/>
      <c r="TIY30" s="1266"/>
      <c r="TIZ30" s="1266"/>
      <c r="TJA30" s="1266"/>
      <c r="TJB30" s="1266"/>
      <c r="TJC30" s="1266"/>
      <c r="TJD30" s="1266"/>
      <c r="TJE30" s="1266"/>
      <c r="TJF30" s="1266"/>
      <c r="TJG30" s="1266"/>
      <c r="TJH30" s="1266"/>
      <c r="TJI30" s="1266"/>
      <c r="TJJ30" s="1266"/>
      <c r="TJK30" s="1266"/>
      <c r="TJL30" s="1266"/>
      <c r="TJM30" s="1266"/>
      <c r="TJN30" s="1266"/>
      <c r="TJO30" s="1266"/>
      <c r="TJP30" s="1266"/>
      <c r="TJQ30" s="1266"/>
      <c r="TJR30" s="1266"/>
      <c r="TJS30" s="1266"/>
      <c r="TJT30" s="1266"/>
      <c r="TJU30" s="1266"/>
      <c r="TJV30" s="1266"/>
      <c r="TJW30" s="1266"/>
      <c r="TJX30" s="1266"/>
      <c r="TJY30" s="1266"/>
      <c r="TJZ30" s="1266"/>
      <c r="TKA30" s="1266"/>
      <c r="TKB30" s="1266"/>
      <c r="TKC30" s="1266"/>
      <c r="TKD30" s="1266"/>
      <c r="TKE30" s="1266"/>
      <c r="TKF30" s="1266"/>
      <c r="TKG30" s="1266"/>
      <c r="TKH30" s="1266"/>
      <c r="TKI30" s="1266"/>
      <c r="TKJ30" s="1266"/>
      <c r="TKK30" s="1266"/>
      <c r="TKL30" s="1266"/>
      <c r="TKM30" s="1266"/>
      <c r="TKN30" s="1266"/>
      <c r="TKO30" s="1266"/>
      <c r="TKP30" s="1266"/>
      <c r="TKQ30" s="1266"/>
      <c r="TKR30" s="1266"/>
      <c r="TKS30" s="1266"/>
      <c r="TKT30" s="1266"/>
      <c r="TKU30" s="1266"/>
      <c r="TKV30" s="1266"/>
      <c r="TKW30" s="1266"/>
      <c r="TKX30" s="1266"/>
      <c r="TKY30" s="1266"/>
      <c r="TKZ30" s="1266"/>
      <c r="TLA30" s="1266"/>
      <c r="TLB30" s="1266"/>
      <c r="TLC30" s="1266"/>
      <c r="TLD30" s="1266"/>
      <c r="TLE30" s="1266"/>
      <c r="TLF30" s="1266"/>
      <c r="TLG30" s="1266"/>
      <c r="TLH30" s="1266"/>
      <c r="TLI30" s="1266"/>
      <c r="TLJ30" s="1266"/>
      <c r="TLK30" s="1266"/>
      <c r="TLL30" s="1266"/>
      <c r="TLM30" s="1266"/>
      <c r="TLN30" s="1266"/>
      <c r="TLO30" s="1266"/>
      <c r="TLP30" s="1266"/>
      <c r="TLQ30" s="1266"/>
      <c r="TLR30" s="1266"/>
      <c r="TLS30" s="1266"/>
      <c r="TLT30" s="1266"/>
      <c r="TLU30" s="1266"/>
      <c r="TLV30" s="1266"/>
      <c r="TLW30" s="1266"/>
      <c r="TLX30" s="1266"/>
      <c r="TLY30" s="1266"/>
      <c r="TLZ30" s="1266"/>
      <c r="TMA30" s="1266"/>
      <c r="TMB30" s="1266"/>
      <c r="TMC30" s="1266"/>
      <c r="TMD30" s="1266"/>
      <c r="TME30" s="1266"/>
      <c r="TMF30" s="1266"/>
      <c r="TMG30" s="1266"/>
      <c r="TMH30" s="1266"/>
      <c r="TMI30" s="1266"/>
      <c r="TMJ30" s="1266"/>
      <c r="TMK30" s="1266"/>
      <c r="TML30" s="1266"/>
      <c r="TMM30" s="1266"/>
      <c r="TMN30" s="1266"/>
      <c r="TMO30" s="1266"/>
      <c r="TMP30" s="1266"/>
      <c r="TMQ30" s="1266"/>
      <c r="TMR30" s="1266"/>
      <c r="TMS30" s="1266"/>
      <c r="TMT30" s="1266"/>
      <c r="TMU30" s="1266"/>
      <c r="TMV30" s="1266"/>
      <c r="TMW30" s="1266"/>
      <c r="TMX30" s="1266"/>
      <c r="TMY30" s="1266"/>
      <c r="TMZ30" s="1266"/>
      <c r="TNA30" s="1266"/>
      <c r="TNB30" s="1266"/>
      <c r="TNC30" s="1266"/>
      <c r="TND30" s="1266"/>
      <c r="TNE30" s="1266"/>
      <c r="TNF30" s="1266"/>
      <c r="TNG30" s="1266"/>
      <c r="TNH30" s="1266"/>
      <c r="TNI30" s="1266"/>
      <c r="TNJ30" s="1266"/>
      <c r="TNK30" s="1266"/>
      <c r="TNL30" s="1266"/>
      <c r="TNM30" s="1266"/>
      <c r="TNN30" s="1266"/>
      <c r="TNO30" s="1266"/>
      <c r="TNP30" s="1266"/>
      <c r="TNQ30" s="1266"/>
      <c r="TNR30" s="1266"/>
      <c r="TNS30" s="1266"/>
      <c r="TNT30" s="1266"/>
      <c r="TNU30" s="1266"/>
      <c r="TNV30" s="1266"/>
      <c r="TNW30" s="1266"/>
      <c r="TNX30" s="1266"/>
      <c r="TNY30" s="1266"/>
      <c r="TNZ30" s="1266"/>
      <c r="TOA30" s="1266"/>
      <c r="TOB30" s="1266"/>
      <c r="TOC30" s="1266"/>
      <c r="TOD30" s="1266"/>
      <c r="TOE30" s="1266"/>
      <c r="TOF30" s="1266"/>
      <c r="TOG30" s="1266"/>
      <c r="TOH30" s="1266"/>
      <c r="TOI30" s="1266"/>
      <c r="TOJ30" s="1266"/>
      <c r="TOK30" s="1266"/>
      <c r="TOL30" s="1266"/>
      <c r="TOM30" s="1266"/>
      <c r="TON30" s="1266"/>
      <c r="TOO30" s="1266"/>
      <c r="TOP30" s="1266"/>
      <c r="TOQ30" s="1266"/>
      <c r="TOR30" s="1266"/>
      <c r="TOS30" s="1266"/>
      <c r="TOT30" s="1266"/>
      <c r="TOU30" s="1266"/>
      <c r="TOV30" s="1266"/>
      <c r="TOW30" s="1266"/>
      <c r="TOX30" s="1266"/>
      <c r="TOY30" s="1266"/>
      <c r="TOZ30" s="1266"/>
      <c r="TPA30" s="1266"/>
      <c r="TPB30" s="1266"/>
      <c r="TPC30" s="1266"/>
      <c r="TPD30" s="1266"/>
      <c r="TPE30" s="1266"/>
      <c r="TPF30" s="1266"/>
      <c r="TPG30" s="1266"/>
      <c r="TPH30" s="1266"/>
      <c r="TPI30" s="1266"/>
      <c r="TPJ30" s="1266"/>
      <c r="TPK30" s="1266"/>
      <c r="TPL30" s="1266"/>
      <c r="TPM30" s="1266"/>
      <c r="TPN30" s="1266"/>
      <c r="TPO30" s="1266"/>
      <c r="TPP30" s="1266"/>
      <c r="TPQ30" s="1266"/>
      <c r="TPR30" s="1266"/>
      <c r="TPS30" s="1266"/>
      <c r="TPT30" s="1266"/>
      <c r="TPU30" s="1266"/>
      <c r="TPV30" s="1266"/>
      <c r="TPW30" s="1266"/>
      <c r="TPX30" s="1266"/>
      <c r="TPY30" s="1266"/>
      <c r="TPZ30" s="1266"/>
      <c r="TQA30" s="1266"/>
      <c r="TQB30" s="1266"/>
      <c r="TQC30" s="1266"/>
      <c r="TQD30" s="1266"/>
      <c r="TQE30" s="1266"/>
      <c r="TQF30" s="1266"/>
      <c r="TQG30" s="1266"/>
      <c r="TQH30" s="1266"/>
      <c r="TQI30" s="1266"/>
      <c r="TQJ30" s="1266"/>
      <c r="TQK30" s="1266"/>
      <c r="TQL30" s="1266"/>
      <c r="TQM30" s="1266"/>
      <c r="TQN30" s="1266"/>
      <c r="TQO30" s="1266"/>
      <c r="TQP30" s="1266"/>
      <c r="TQQ30" s="1266"/>
      <c r="TQR30" s="1266"/>
      <c r="TQS30" s="1266"/>
      <c r="TQT30" s="1266"/>
      <c r="TQU30" s="1266"/>
      <c r="TQV30" s="1266"/>
      <c r="TQW30" s="1266"/>
      <c r="TQX30" s="1266"/>
      <c r="TQY30" s="1266"/>
      <c r="TQZ30" s="1266"/>
      <c r="TRA30" s="1266"/>
      <c r="TRB30" s="1266"/>
      <c r="TRC30" s="1266"/>
      <c r="TRD30" s="1266"/>
      <c r="TRE30" s="1266"/>
      <c r="TRF30" s="1266"/>
      <c r="TRG30" s="1266"/>
      <c r="TRH30" s="1266"/>
      <c r="TRI30" s="1266"/>
      <c r="TRJ30" s="1266"/>
      <c r="TRK30" s="1266"/>
      <c r="TRL30" s="1266"/>
      <c r="TRM30" s="1266"/>
      <c r="TRN30" s="1266"/>
      <c r="TRO30" s="1266"/>
      <c r="TRP30" s="1266"/>
      <c r="TRQ30" s="1266"/>
      <c r="TRR30" s="1266"/>
      <c r="TRS30" s="1266"/>
      <c r="TRT30" s="1266"/>
      <c r="TRU30" s="1266"/>
      <c r="TRV30" s="1266"/>
      <c r="TRW30" s="1266"/>
      <c r="TRX30" s="1266"/>
      <c r="TRY30" s="1266"/>
      <c r="TRZ30" s="1266"/>
      <c r="TSA30" s="1266"/>
      <c r="TSB30" s="1266"/>
      <c r="TSC30" s="1266"/>
      <c r="TSD30" s="1266"/>
      <c r="TSE30" s="1266"/>
      <c r="TSF30" s="1266"/>
      <c r="TSG30" s="1266"/>
      <c r="TSH30" s="1266"/>
      <c r="TSI30" s="1266"/>
      <c r="TSJ30" s="1266"/>
      <c r="TSK30" s="1266"/>
      <c r="TSL30" s="1266"/>
      <c r="TSM30" s="1266"/>
      <c r="TSN30" s="1266"/>
      <c r="TSO30" s="1266"/>
      <c r="TSP30" s="1266"/>
      <c r="TSQ30" s="1266"/>
      <c r="TSR30" s="1266"/>
      <c r="TSS30" s="1266"/>
      <c r="TST30" s="1266"/>
      <c r="TSU30" s="1266"/>
      <c r="TSV30" s="1266"/>
      <c r="TSW30" s="1266"/>
      <c r="TSX30" s="1266"/>
      <c r="TSY30" s="1266"/>
      <c r="TSZ30" s="1266"/>
      <c r="TTA30" s="1266"/>
      <c r="TTB30" s="1266"/>
      <c r="TTC30" s="1266"/>
      <c r="TTD30" s="1266"/>
      <c r="TTE30" s="1266"/>
      <c r="TTF30" s="1266"/>
      <c r="TTG30" s="1266"/>
      <c r="TTH30" s="1266"/>
      <c r="TTI30" s="1266"/>
      <c r="TTJ30" s="1266"/>
      <c r="TTK30" s="1266"/>
      <c r="TTL30" s="1266"/>
      <c r="TTM30" s="1266"/>
      <c r="TTN30" s="1266"/>
      <c r="TTO30" s="1266"/>
      <c r="TTP30" s="1266"/>
      <c r="TTQ30" s="1266"/>
      <c r="TTR30" s="1266"/>
      <c r="TTS30" s="1266"/>
      <c r="TTT30" s="1266"/>
      <c r="TTU30" s="1266"/>
      <c r="TTV30" s="1266"/>
      <c r="TTW30" s="1266"/>
      <c r="TTX30" s="1266"/>
      <c r="TTY30" s="1266"/>
      <c r="TTZ30" s="1266"/>
      <c r="TUA30" s="1266"/>
      <c r="TUB30" s="1266"/>
      <c r="TUC30" s="1266"/>
      <c r="TUD30" s="1266"/>
      <c r="TUE30" s="1266"/>
      <c r="TUF30" s="1266"/>
      <c r="TUG30" s="1266"/>
      <c r="TUH30" s="1266"/>
      <c r="TUI30" s="1266"/>
      <c r="TUJ30" s="1266"/>
      <c r="TUK30" s="1266"/>
      <c r="TUL30" s="1266"/>
      <c r="TUM30" s="1266"/>
      <c r="TUN30" s="1266"/>
      <c r="TUO30" s="1266"/>
      <c r="TUP30" s="1266"/>
      <c r="TUQ30" s="1266"/>
      <c r="TUR30" s="1266"/>
      <c r="TUS30" s="1266"/>
      <c r="TUT30" s="1266"/>
      <c r="TUU30" s="1266"/>
      <c r="TUV30" s="1266"/>
      <c r="TUW30" s="1266"/>
      <c r="TUX30" s="1266"/>
      <c r="TUY30" s="1266"/>
      <c r="TUZ30" s="1266"/>
      <c r="TVA30" s="1266"/>
      <c r="TVB30" s="1266"/>
      <c r="TVC30" s="1266"/>
      <c r="TVD30" s="1266"/>
      <c r="TVE30" s="1266"/>
      <c r="TVF30" s="1266"/>
      <c r="TVG30" s="1266"/>
      <c r="TVH30" s="1266"/>
      <c r="TVI30" s="1266"/>
      <c r="TVJ30" s="1266"/>
      <c r="TVK30" s="1266"/>
      <c r="TVL30" s="1266"/>
      <c r="TVM30" s="1266"/>
      <c r="TVN30" s="1266"/>
      <c r="TVO30" s="1266"/>
      <c r="TVP30" s="1266"/>
      <c r="TVQ30" s="1266"/>
      <c r="TVR30" s="1266"/>
      <c r="TVS30" s="1266"/>
      <c r="TVT30" s="1266"/>
      <c r="TVU30" s="1266"/>
      <c r="TVV30" s="1266"/>
      <c r="TVW30" s="1266"/>
      <c r="TVX30" s="1266"/>
      <c r="TVY30" s="1266"/>
      <c r="TVZ30" s="1266"/>
      <c r="TWA30" s="1266"/>
      <c r="TWB30" s="1266"/>
      <c r="TWC30" s="1266"/>
      <c r="TWD30" s="1266"/>
      <c r="TWE30" s="1266"/>
      <c r="TWF30" s="1266"/>
      <c r="TWG30" s="1266"/>
      <c r="TWH30" s="1266"/>
      <c r="TWI30" s="1266"/>
      <c r="TWJ30" s="1266"/>
      <c r="TWK30" s="1266"/>
      <c r="TWL30" s="1266"/>
      <c r="TWM30" s="1266"/>
      <c r="TWN30" s="1266"/>
      <c r="TWO30" s="1266"/>
      <c r="TWP30" s="1266"/>
      <c r="TWQ30" s="1266"/>
      <c r="TWR30" s="1266"/>
      <c r="TWS30" s="1266"/>
      <c r="TWT30" s="1266"/>
      <c r="TWU30" s="1266"/>
      <c r="TWV30" s="1266"/>
      <c r="TWW30" s="1266"/>
      <c r="TWX30" s="1266"/>
      <c r="TWY30" s="1266"/>
      <c r="TWZ30" s="1266"/>
      <c r="TXA30" s="1266"/>
      <c r="TXB30" s="1266"/>
      <c r="TXC30" s="1266"/>
      <c r="TXD30" s="1266"/>
      <c r="TXE30" s="1266"/>
      <c r="TXF30" s="1266"/>
      <c r="TXG30" s="1266"/>
      <c r="TXH30" s="1266"/>
      <c r="TXI30" s="1266"/>
      <c r="TXJ30" s="1266"/>
      <c r="TXK30" s="1266"/>
      <c r="TXL30" s="1266"/>
      <c r="TXM30" s="1266"/>
      <c r="TXN30" s="1266"/>
      <c r="TXO30" s="1266"/>
      <c r="TXP30" s="1266"/>
      <c r="TXQ30" s="1266"/>
      <c r="TXR30" s="1266"/>
      <c r="TXS30" s="1266"/>
      <c r="TXT30" s="1266"/>
      <c r="TXU30" s="1266"/>
      <c r="TXV30" s="1266"/>
      <c r="TXW30" s="1266"/>
      <c r="TXX30" s="1266"/>
      <c r="TXY30" s="1266"/>
      <c r="TXZ30" s="1266"/>
      <c r="TYA30" s="1266"/>
      <c r="TYB30" s="1266"/>
      <c r="TYC30" s="1266"/>
      <c r="TYD30" s="1266"/>
      <c r="TYE30" s="1266"/>
      <c r="TYF30" s="1266"/>
      <c r="TYG30" s="1266"/>
      <c r="TYH30" s="1266"/>
      <c r="TYI30" s="1266"/>
      <c r="TYJ30" s="1266"/>
      <c r="TYK30" s="1266"/>
      <c r="TYL30" s="1266"/>
      <c r="TYM30" s="1266"/>
      <c r="TYN30" s="1266"/>
      <c r="TYO30" s="1266"/>
      <c r="TYP30" s="1266"/>
      <c r="TYQ30" s="1266"/>
      <c r="TYR30" s="1266"/>
      <c r="TYS30" s="1266"/>
      <c r="TYT30" s="1266"/>
      <c r="TYU30" s="1266"/>
      <c r="TYV30" s="1266"/>
      <c r="TYW30" s="1266"/>
      <c r="TYX30" s="1266"/>
      <c r="TYY30" s="1266"/>
      <c r="TYZ30" s="1266"/>
      <c r="TZA30" s="1266"/>
      <c r="TZB30" s="1266"/>
      <c r="TZC30" s="1266"/>
      <c r="TZD30" s="1266"/>
      <c r="TZE30" s="1266"/>
      <c r="TZF30" s="1266"/>
      <c r="TZG30" s="1266"/>
      <c r="TZH30" s="1266"/>
      <c r="TZI30" s="1266"/>
      <c r="TZJ30" s="1266"/>
      <c r="TZK30" s="1266"/>
      <c r="TZL30" s="1266"/>
      <c r="TZM30" s="1266"/>
      <c r="TZN30" s="1266"/>
      <c r="TZO30" s="1266"/>
      <c r="TZP30" s="1266"/>
      <c r="TZQ30" s="1266"/>
      <c r="TZR30" s="1266"/>
      <c r="TZS30" s="1266"/>
      <c r="TZT30" s="1266"/>
      <c r="TZU30" s="1266"/>
      <c r="TZV30" s="1266"/>
      <c r="TZW30" s="1266"/>
      <c r="TZX30" s="1266"/>
      <c r="TZY30" s="1266"/>
      <c r="TZZ30" s="1266"/>
      <c r="UAA30" s="1266"/>
      <c r="UAB30" s="1266"/>
      <c r="UAC30" s="1266"/>
      <c r="UAD30" s="1266"/>
      <c r="UAE30" s="1266"/>
      <c r="UAF30" s="1266"/>
      <c r="UAG30" s="1266"/>
      <c r="UAH30" s="1266"/>
      <c r="UAI30" s="1266"/>
      <c r="UAJ30" s="1266"/>
      <c r="UAK30" s="1266"/>
      <c r="UAL30" s="1266"/>
      <c r="UAM30" s="1266"/>
      <c r="UAN30" s="1266"/>
      <c r="UAO30" s="1266"/>
      <c r="UAP30" s="1266"/>
      <c r="UAQ30" s="1266"/>
      <c r="UAR30" s="1266"/>
      <c r="UAS30" s="1266"/>
      <c r="UAT30" s="1266"/>
      <c r="UAU30" s="1266"/>
      <c r="UAV30" s="1266"/>
      <c r="UAW30" s="1266"/>
      <c r="UAX30" s="1266"/>
      <c r="UAY30" s="1266"/>
      <c r="UAZ30" s="1266"/>
      <c r="UBA30" s="1266"/>
      <c r="UBB30" s="1266"/>
      <c r="UBC30" s="1266"/>
      <c r="UBD30" s="1266"/>
      <c r="UBE30" s="1266"/>
      <c r="UBF30" s="1266"/>
      <c r="UBG30" s="1266"/>
      <c r="UBH30" s="1266"/>
      <c r="UBI30" s="1266"/>
      <c r="UBJ30" s="1266"/>
      <c r="UBK30" s="1266"/>
      <c r="UBL30" s="1266"/>
      <c r="UBM30" s="1266"/>
      <c r="UBN30" s="1266"/>
      <c r="UBO30" s="1266"/>
      <c r="UBP30" s="1266"/>
      <c r="UBQ30" s="1266"/>
      <c r="UBR30" s="1266"/>
      <c r="UBS30" s="1266"/>
      <c r="UBT30" s="1266"/>
      <c r="UBU30" s="1266"/>
      <c r="UBV30" s="1266"/>
      <c r="UBW30" s="1266"/>
      <c r="UBX30" s="1266"/>
      <c r="UBY30" s="1266"/>
      <c r="UBZ30" s="1266"/>
      <c r="UCA30" s="1266"/>
      <c r="UCB30" s="1266"/>
      <c r="UCC30" s="1266"/>
      <c r="UCD30" s="1266"/>
      <c r="UCE30" s="1266"/>
      <c r="UCF30" s="1266"/>
      <c r="UCG30" s="1266"/>
      <c r="UCH30" s="1266"/>
      <c r="UCI30" s="1266"/>
      <c r="UCJ30" s="1266"/>
      <c r="UCK30" s="1266"/>
      <c r="UCL30" s="1266"/>
      <c r="UCM30" s="1266"/>
      <c r="UCN30" s="1266"/>
      <c r="UCO30" s="1266"/>
      <c r="UCP30" s="1266"/>
      <c r="UCQ30" s="1266"/>
      <c r="UCR30" s="1266"/>
      <c r="UCS30" s="1266"/>
      <c r="UCT30" s="1266"/>
      <c r="UCU30" s="1266"/>
      <c r="UCV30" s="1266"/>
      <c r="UCW30" s="1266"/>
      <c r="UCX30" s="1266"/>
      <c r="UCY30" s="1266"/>
      <c r="UCZ30" s="1266"/>
      <c r="UDA30" s="1266"/>
      <c r="UDB30" s="1266"/>
      <c r="UDC30" s="1266"/>
      <c r="UDD30" s="1266"/>
      <c r="UDE30" s="1266"/>
      <c r="UDF30" s="1266"/>
      <c r="UDG30" s="1266"/>
      <c r="UDH30" s="1266"/>
      <c r="UDI30" s="1266"/>
      <c r="UDJ30" s="1266"/>
      <c r="UDK30" s="1266"/>
      <c r="UDL30" s="1266"/>
      <c r="UDM30" s="1266"/>
      <c r="UDN30" s="1266"/>
      <c r="UDO30" s="1266"/>
      <c r="UDP30" s="1266"/>
      <c r="UDQ30" s="1266"/>
      <c r="UDR30" s="1266"/>
      <c r="UDS30" s="1266"/>
      <c r="UDT30" s="1266"/>
      <c r="UDU30" s="1266"/>
      <c r="UDV30" s="1266"/>
      <c r="UDW30" s="1266"/>
      <c r="UDX30" s="1266"/>
      <c r="UDY30" s="1266"/>
      <c r="UDZ30" s="1266"/>
      <c r="UEA30" s="1266"/>
      <c r="UEB30" s="1266"/>
      <c r="UEC30" s="1266"/>
      <c r="UED30" s="1266"/>
      <c r="UEE30" s="1266"/>
      <c r="UEF30" s="1266"/>
      <c r="UEG30" s="1266"/>
      <c r="UEH30" s="1266"/>
      <c r="UEI30" s="1266"/>
      <c r="UEJ30" s="1266"/>
      <c r="UEK30" s="1266"/>
      <c r="UEL30" s="1266"/>
      <c r="UEM30" s="1266"/>
      <c r="UEN30" s="1266"/>
      <c r="UEO30" s="1266"/>
      <c r="UEP30" s="1266"/>
      <c r="UEQ30" s="1266"/>
      <c r="UER30" s="1266"/>
      <c r="UES30" s="1266"/>
      <c r="UET30" s="1266"/>
      <c r="UEU30" s="1266"/>
      <c r="UEV30" s="1266"/>
      <c r="UEW30" s="1266"/>
      <c r="UEX30" s="1266"/>
      <c r="UEY30" s="1266"/>
      <c r="UEZ30" s="1266"/>
      <c r="UFA30" s="1266"/>
      <c r="UFB30" s="1266"/>
      <c r="UFC30" s="1266"/>
      <c r="UFD30" s="1266"/>
      <c r="UFE30" s="1266"/>
      <c r="UFF30" s="1266"/>
      <c r="UFG30" s="1266"/>
      <c r="UFH30" s="1266"/>
      <c r="UFI30" s="1266"/>
      <c r="UFJ30" s="1266"/>
      <c r="UFK30" s="1266"/>
      <c r="UFL30" s="1266"/>
      <c r="UFM30" s="1266"/>
      <c r="UFN30" s="1266"/>
      <c r="UFO30" s="1266"/>
      <c r="UFP30" s="1266"/>
      <c r="UFQ30" s="1266"/>
      <c r="UFR30" s="1266"/>
      <c r="UFS30" s="1266"/>
      <c r="UFT30" s="1266"/>
      <c r="UFU30" s="1266"/>
      <c r="UFV30" s="1266"/>
      <c r="UFW30" s="1266"/>
      <c r="UFX30" s="1266"/>
      <c r="UFY30" s="1266"/>
      <c r="UFZ30" s="1266"/>
      <c r="UGA30" s="1266"/>
      <c r="UGB30" s="1266"/>
      <c r="UGC30" s="1266"/>
      <c r="UGD30" s="1266"/>
      <c r="UGE30" s="1266"/>
      <c r="UGF30" s="1266"/>
      <c r="UGG30" s="1266"/>
      <c r="UGH30" s="1266"/>
      <c r="UGI30" s="1266"/>
      <c r="UGJ30" s="1266"/>
      <c r="UGK30" s="1266"/>
      <c r="UGL30" s="1266"/>
      <c r="UGM30" s="1266"/>
      <c r="UGN30" s="1266"/>
      <c r="UGO30" s="1266"/>
      <c r="UGP30" s="1266"/>
      <c r="UGQ30" s="1266"/>
      <c r="UGR30" s="1266"/>
      <c r="UGS30" s="1266"/>
      <c r="UGT30" s="1266"/>
      <c r="UGU30" s="1266"/>
      <c r="UGV30" s="1266"/>
      <c r="UGW30" s="1266"/>
      <c r="UGX30" s="1266"/>
      <c r="UGY30" s="1266"/>
      <c r="UGZ30" s="1266"/>
      <c r="UHA30" s="1266"/>
      <c r="UHB30" s="1266"/>
      <c r="UHC30" s="1266"/>
      <c r="UHD30" s="1266"/>
      <c r="UHE30" s="1266"/>
      <c r="UHF30" s="1266"/>
      <c r="UHG30" s="1266"/>
      <c r="UHH30" s="1266"/>
      <c r="UHI30" s="1266"/>
      <c r="UHJ30" s="1266"/>
      <c r="UHK30" s="1266"/>
      <c r="UHL30" s="1266"/>
      <c r="UHM30" s="1266"/>
      <c r="UHN30" s="1266"/>
      <c r="UHO30" s="1266"/>
      <c r="UHP30" s="1266"/>
      <c r="UHQ30" s="1266"/>
      <c r="UHR30" s="1266"/>
      <c r="UHS30" s="1266"/>
      <c r="UHT30" s="1266"/>
      <c r="UHU30" s="1266"/>
      <c r="UHV30" s="1266"/>
      <c r="UHW30" s="1266"/>
      <c r="UHX30" s="1266"/>
      <c r="UHY30" s="1266"/>
      <c r="UHZ30" s="1266"/>
      <c r="UIA30" s="1266"/>
      <c r="UIB30" s="1266"/>
      <c r="UIC30" s="1266"/>
      <c r="UID30" s="1266"/>
      <c r="UIE30" s="1266"/>
      <c r="UIF30" s="1266"/>
      <c r="UIG30" s="1266"/>
      <c r="UIH30" s="1266"/>
      <c r="UII30" s="1266"/>
      <c r="UIJ30" s="1266"/>
      <c r="UIK30" s="1266"/>
      <c r="UIL30" s="1266"/>
      <c r="UIM30" s="1266"/>
      <c r="UIN30" s="1266"/>
      <c r="UIO30" s="1266"/>
      <c r="UIP30" s="1266"/>
      <c r="UIQ30" s="1266"/>
      <c r="UIR30" s="1266"/>
      <c r="UIS30" s="1266"/>
      <c r="UIT30" s="1266"/>
      <c r="UIU30" s="1266"/>
      <c r="UIV30" s="1266"/>
      <c r="UIW30" s="1266"/>
      <c r="UIX30" s="1266"/>
      <c r="UIY30" s="1266"/>
      <c r="UIZ30" s="1266"/>
      <c r="UJA30" s="1266"/>
      <c r="UJB30" s="1266"/>
      <c r="UJC30" s="1266"/>
      <c r="UJD30" s="1266"/>
      <c r="UJE30" s="1266"/>
      <c r="UJF30" s="1266"/>
      <c r="UJG30" s="1266"/>
      <c r="UJH30" s="1266"/>
      <c r="UJI30" s="1266"/>
      <c r="UJJ30" s="1266"/>
      <c r="UJK30" s="1266"/>
      <c r="UJL30" s="1266"/>
      <c r="UJM30" s="1266"/>
      <c r="UJN30" s="1266"/>
      <c r="UJO30" s="1266"/>
      <c r="UJP30" s="1266"/>
      <c r="UJQ30" s="1266"/>
      <c r="UJR30" s="1266"/>
      <c r="UJS30" s="1266"/>
      <c r="UJT30" s="1266"/>
      <c r="UJU30" s="1266"/>
      <c r="UJV30" s="1266"/>
      <c r="UJW30" s="1266"/>
      <c r="UJX30" s="1266"/>
      <c r="UJY30" s="1266"/>
      <c r="UJZ30" s="1266"/>
      <c r="UKA30" s="1266"/>
      <c r="UKB30" s="1266"/>
      <c r="UKC30" s="1266"/>
      <c r="UKD30" s="1266"/>
      <c r="UKE30" s="1266"/>
      <c r="UKF30" s="1266"/>
      <c r="UKG30" s="1266"/>
      <c r="UKH30" s="1266"/>
      <c r="UKI30" s="1266"/>
      <c r="UKJ30" s="1266"/>
      <c r="UKK30" s="1266"/>
      <c r="UKL30" s="1266"/>
      <c r="UKM30" s="1266"/>
      <c r="UKN30" s="1266"/>
      <c r="UKO30" s="1266"/>
      <c r="UKP30" s="1266"/>
      <c r="UKQ30" s="1266"/>
      <c r="UKR30" s="1266"/>
      <c r="UKS30" s="1266"/>
      <c r="UKT30" s="1266"/>
      <c r="UKU30" s="1266"/>
      <c r="UKV30" s="1266"/>
      <c r="UKW30" s="1266"/>
      <c r="UKX30" s="1266"/>
      <c r="UKY30" s="1266"/>
      <c r="UKZ30" s="1266"/>
      <c r="ULA30" s="1266"/>
      <c r="ULB30" s="1266"/>
      <c r="ULC30" s="1266"/>
      <c r="ULD30" s="1266"/>
      <c r="ULE30" s="1266"/>
      <c r="ULF30" s="1266"/>
      <c r="ULG30" s="1266"/>
      <c r="ULH30" s="1266"/>
      <c r="ULI30" s="1266"/>
      <c r="ULJ30" s="1266"/>
      <c r="ULK30" s="1266"/>
      <c r="ULL30" s="1266"/>
      <c r="ULM30" s="1266"/>
      <c r="ULN30" s="1266"/>
      <c r="ULO30" s="1266"/>
      <c r="ULP30" s="1266"/>
      <c r="ULQ30" s="1266"/>
      <c r="ULR30" s="1266"/>
      <c r="ULS30" s="1266"/>
      <c r="ULT30" s="1266"/>
      <c r="ULU30" s="1266"/>
      <c r="ULV30" s="1266"/>
      <c r="ULW30" s="1266"/>
      <c r="ULX30" s="1266"/>
      <c r="ULY30" s="1266"/>
      <c r="ULZ30" s="1266"/>
      <c r="UMA30" s="1266"/>
      <c r="UMB30" s="1266"/>
      <c r="UMC30" s="1266"/>
      <c r="UMD30" s="1266"/>
      <c r="UME30" s="1266"/>
      <c r="UMF30" s="1266"/>
      <c r="UMG30" s="1266"/>
      <c r="UMH30" s="1266"/>
      <c r="UMI30" s="1266"/>
      <c r="UMJ30" s="1266"/>
      <c r="UMK30" s="1266"/>
      <c r="UML30" s="1266"/>
      <c r="UMM30" s="1266"/>
      <c r="UMN30" s="1266"/>
      <c r="UMO30" s="1266"/>
      <c r="UMP30" s="1266"/>
      <c r="UMQ30" s="1266"/>
      <c r="UMR30" s="1266"/>
      <c r="UMS30" s="1266"/>
      <c r="UMT30" s="1266"/>
      <c r="UMU30" s="1266"/>
      <c r="UMV30" s="1266"/>
      <c r="UMW30" s="1266"/>
      <c r="UMX30" s="1266"/>
      <c r="UMY30" s="1266"/>
      <c r="UMZ30" s="1266"/>
      <c r="UNA30" s="1266"/>
      <c r="UNB30" s="1266"/>
      <c r="UNC30" s="1266"/>
      <c r="UND30" s="1266"/>
      <c r="UNE30" s="1266"/>
      <c r="UNF30" s="1266"/>
      <c r="UNG30" s="1266"/>
      <c r="UNH30" s="1266"/>
      <c r="UNI30" s="1266"/>
      <c r="UNJ30" s="1266"/>
      <c r="UNK30" s="1266"/>
      <c r="UNL30" s="1266"/>
      <c r="UNM30" s="1266"/>
      <c r="UNN30" s="1266"/>
      <c r="UNO30" s="1266"/>
      <c r="UNP30" s="1266"/>
      <c r="UNQ30" s="1266"/>
      <c r="UNR30" s="1266"/>
      <c r="UNS30" s="1266"/>
      <c r="UNT30" s="1266"/>
      <c r="UNU30" s="1266"/>
      <c r="UNV30" s="1266"/>
      <c r="UNW30" s="1266"/>
      <c r="UNX30" s="1266"/>
      <c r="UNY30" s="1266"/>
      <c r="UNZ30" s="1266"/>
      <c r="UOA30" s="1266"/>
      <c r="UOB30" s="1266"/>
      <c r="UOC30" s="1266"/>
      <c r="UOD30" s="1266"/>
      <c r="UOE30" s="1266"/>
      <c r="UOF30" s="1266"/>
      <c r="UOG30" s="1266"/>
      <c r="UOH30" s="1266"/>
      <c r="UOI30" s="1266"/>
      <c r="UOJ30" s="1266"/>
      <c r="UOK30" s="1266"/>
      <c r="UOL30" s="1266"/>
      <c r="UOM30" s="1266"/>
      <c r="UON30" s="1266"/>
      <c r="UOO30" s="1266"/>
      <c r="UOP30" s="1266"/>
      <c r="UOQ30" s="1266"/>
      <c r="UOR30" s="1266"/>
      <c r="UOS30" s="1266"/>
      <c r="UOT30" s="1266"/>
      <c r="UOU30" s="1266"/>
      <c r="UOV30" s="1266"/>
      <c r="UOW30" s="1266"/>
      <c r="UOX30" s="1266"/>
      <c r="UOY30" s="1266"/>
      <c r="UOZ30" s="1266"/>
      <c r="UPA30" s="1266"/>
      <c r="UPB30" s="1266"/>
      <c r="UPC30" s="1266"/>
      <c r="UPD30" s="1266"/>
      <c r="UPE30" s="1266"/>
      <c r="UPF30" s="1266"/>
      <c r="UPG30" s="1266"/>
      <c r="UPH30" s="1266"/>
      <c r="UPI30" s="1266"/>
      <c r="UPJ30" s="1266"/>
      <c r="UPK30" s="1266"/>
      <c r="UPL30" s="1266"/>
      <c r="UPM30" s="1266"/>
      <c r="UPN30" s="1266"/>
      <c r="UPO30" s="1266"/>
      <c r="UPP30" s="1266"/>
      <c r="UPQ30" s="1266"/>
      <c r="UPR30" s="1266"/>
      <c r="UPS30" s="1266"/>
      <c r="UPT30" s="1266"/>
      <c r="UPU30" s="1266"/>
      <c r="UPV30" s="1266"/>
      <c r="UPW30" s="1266"/>
      <c r="UPX30" s="1266"/>
      <c r="UPY30" s="1266"/>
      <c r="UPZ30" s="1266"/>
      <c r="UQA30" s="1266"/>
      <c r="UQB30" s="1266"/>
      <c r="UQC30" s="1266"/>
      <c r="UQD30" s="1266"/>
      <c r="UQE30" s="1266"/>
      <c r="UQF30" s="1266"/>
      <c r="UQG30" s="1266"/>
      <c r="UQH30" s="1266"/>
      <c r="UQI30" s="1266"/>
      <c r="UQJ30" s="1266"/>
      <c r="UQK30" s="1266"/>
      <c r="UQL30" s="1266"/>
      <c r="UQM30" s="1266"/>
      <c r="UQN30" s="1266"/>
      <c r="UQO30" s="1266"/>
      <c r="UQP30" s="1266"/>
      <c r="UQQ30" s="1266"/>
      <c r="UQR30" s="1266"/>
      <c r="UQS30" s="1266"/>
      <c r="UQT30" s="1266"/>
      <c r="UQU30" s="1266"/>
      <c r="UQV30" s="1266"/>
      <c r="UQW30" s="1266"/>
      <c r="UQX30" s="1266"/>
      <c r="UQY30" s="1266"/>
      <c r="UQZ30" s="1266"/>
      <c r="URA30" s="1266"/>
      <c r="URB30" s="1266"/>
      <c r="URC30" s="1266"/>
      <c r="URD30" s="1266"/>
      <c r="URE30" s="1266"/>
      <c r="URF30" s="1266"/>
      <c r="URG30" s="1266"/>
      <c r="URH30" s="1266"/>
      <c r="URI30" s="1266"/>
      <c r="URJ30" s="1266"/>
      <c r="URK30" s="1266"/>
      <c r="URL30" s="1266"/>
      <c r="URM30" s="1266"/>
      <c r="URN30" s="1266"/>
      <c r="URO30" s="1266"/>
      <c r="URP30" s="1266"/>
      <c r="URQ30" s="1266"/>
      <c r="URR30" s="1266"/>
      <c r="URS30" s="1266"/>
      <c r="URT30" s="1266"/>
      <c r="URU30" s="1266"/>
      <c r="URV30" s="1266"/>
      <c r="URW30" s="1266"/>
      <c r="URX30" s="1266"/>
      <c r="URY30" s="1266"/>
      <c r="URZ30" s="1266"/>
      <c r="USA30" s="1266"/>
      <c r="USB30" s="1266"/>
      <c r="USC30" s="1266"/>
      <c r="USD30" s="1266"/>
      <c r="USE30" s="1266"/>
      <c r="USF30" s="1266"/>
      <c r="USG30" s="1266"/>
      <c r="USH30" s="1266"/>
      <c r="USI30" s="1266"/>
      <c r="USJ30" s="1266"/>
      <c r="USK30" s="1266"/>
      <c r="USL30" s="1266"/>
      <c r="USM30" s="1266"/>
      <c r="USN30" s="1266"/>
      <c r="USO30" s="1266"/>
      <c r="USP30" s="1266"/>
      <c r="USQ30" s="1266"/>
      <c r="USR30" s="1266"/>
      <c r="USS30" s="1266"/>
      <c r="UST30" s="1266"/>
      <c r="USU30" s="1266"/>
      <c r="USV30" s="1266"/>
      <c r="USW30" s="1266"/>
      <c r="USX30" s="1266"/>
      <c r="USY30" s="1266"/>
      <c r="USZ30" s="1266"/>
      <c r="UTA30" s="1266"/>
      <c r="UTB30" s="1266"/>
      <c r="UTC30" s="1266"/>
      <c r="UTD30" s="1266"/>
      <c r="UTE30" s="1266"/>
      <c r="UTF30" s="1266"/>
      <c r="UTG30" s="1266"/>
      <c r="UTH30" s="1266"/>
      <c r="UTI30" s="1266"/>
      <c r="UTJ30" s="1266"/>
      <c r="UTK30" s="1266"/>
      <c r="UTL30" s="1266"/>
      <c r="UTM30" s="1266"/>
      <c r="UTN30" s="1266"/>
      <c r="UTO30" s="1266"/>
      <c r="UTP30" s="1266"/>
      <c r="UTQ30" s="1266"/>
      <c r="UTR30" s="1266"/>
      <c r="UTS30" s="1266"/>
      <c r="UTT30" s="1266"/>
      <c r="UTU30" s="1266"/>
      <c r="UTV30" s="1266"/>
      <c r="UTW30" s="1266"/>
      <c r="UTX30" s="1266"/>
      <c r="UTY30" s="1266"/>
      <c r="UTZ30" s="1266"/>
      <c r="UUA30" s="1266"/>
      <c r="UUB30" s="1266"/>
      <c r="UUC30" s="1266"/>
      <c r="UUD30" s="1266"/>
      <c r="UUE30" s="1266"/>
      <c r="UUF30" s="1266"/>
      <c r="UUG30" s="1266"/>
      <c r="UUH30" s="1266"/>
      <c r="UUI30" s="1266"/>
      <c r="UUJ30" s="1266"/>
      <c r="UUK30" s="1266"/>
      <c r="UUL30" s="1266"/>
      <c r="UUM30" s="1266"/>
      <c r="UUN30" s="1266"/>
      <c r="UUO30" s="1266"/>
      <c r="UUP30" s="1266"/>
      <c r="UUQ30" s="1266"/>
      <c r="UUR30" s="1266"/>
      <c r="UUS30" s="1266"/>
      <c r="UUT30" s="1266"/>
      <c r="UUU30" s="1266"/>
      <c r="UUV30" s="1266"/>
      <c r="UUW30" s="1266"/>
      <c r="UUX30" s="1266"/>
      <c r="UUY30" s="1266"/>
      <c r="UUZ30" s="1266"/>
      <c r="UVA30" s="1266"/>
      <c r="UVB30" s="1266"/>
      <c r="UVC30" s="1266"/>
      <c r="UVD30" s="1266"/>
      <c r="UVE30" s="1266"/>
      <c r="UVF30" s="1266"/>
      <c r="UVG30" s="1266"/>
      <c r="UVH30" s="1266"/>
      <c r="UVI30" s="1266"/>
      <c r="UVJ30" s="1266"/>
      <c r="UVK30" s="1266"/>
      <c r="UVL30" s="1266"/>
      <c r="UVM30" s="1266"/>
      <c r="UVN30" s="1266"/>
      <c r="UVO30" s="1266"/>
      <c r="UVP30" s="1266"/>
      <c r="UVQ30" s="1266"/>
      <c r="UVR30" s="1266"/>
      <c r="UVS30" s="1266"/>
      <c r="UVT30" s="1266"/>
      <c r="UVU30" s="1266"/>
      <c r="UVV30" s="1266"/>
      <c r="UVW30" s="1266"/>
      <c r="UVX30" s="1266"/>
      <c r="UVY30" s="1266"/>
      <c r="UVZ30" s="1266"/>
      <c r="UWA30" s="1266"/>
      <c r="UWB30" s="1266"/>
      <c r="UWC30" s="1266"/>
      <c r="UWD30" s="1266"/>
      <c r="UWE30" s="1266"/>
      <c r="UWF30" s="1266"/>
      <c r="UWG30" s="1266"/>
      <c r="UWH30" s="1266"/>
      <c r="UWI30" s="1266"/>
      <c r="UWJ30" s="1266"/>
      <c r="UWK30" s="1266"/>
      <c r="UWL30" s="1266"/>
      <c r="UWM30" s="1266"/>
      <c r="UWN30" s="1266"/>
      <c r="UWO30" s="1266"/>
      <c r="UWP30" s="1266"/>
      <c r="UWQ30" s="1266"/>
      <c r="UWR30" s="1266"/>
      <c r="UWS30" s="1266"/>
      <c r="UWT30" s="1266"/>
      <c r="UWU30" s="1266"/>
      <c r="UWV30" s="1266"/>
      <c r="UWW30" s="1266"/>
      <c r="UWX30" s="1266"/>
      <c r="UWY30" s="1266"/>
      <c r="UWZ30" s="1266"/>
      <c r="UXA30" s="1266"/>
      <c r="UXB30" s="1266"/>
      <c r="UXC30" s="1266"/>
      <c r="UXD30" s="1266"/>
      <c r="UXE30" s="1266"/>
      <c r="UXF30" s="1266"/>
      <c r="UXG30" s="1266"/>
      <c r="UXH30" s="1266"/>
      <c r="UXI30" s="1266"/>
      <c r="UXJ30" s="1266"/>
      <c r="UXK30" s="1266"/>
      <c r="UXL30" s="1266"/>
      <c r="UXM30" s="1266"/>
      <c r="UXN30" s="1266"/>
      <c r="UXO30" s="1266"/>
      <c r="UXP30" s="1266"/>
      <c r="UXQ30" s="1266"/>
      <c r="UXR30" s="1266"/>
      <c r="UXS30" s="1266"/>
      <c r="UXT30" s="1266"/>
      <c r="UXU30" s="1266"/>
      <c r="UXV30" s="1266"/>
      <c r="UXW30" s="1266"/>
      <c r="UXX30" s="1266"/>
      <c r="UXY30" s="1266"/>
      <c r="UXZ30" s="1266"/>
      <c r="UYA30" s="1266"/>
      <c r="UYB30" s="1266"/>
      <c r="UYC30" s="1266"/>
      <c r="UYD30" s="1266"/>
      <c r="UYE30" s="1266"/>
      <c r="UYF30" s="1266"/>
      <c r="UYG30" s="1266"/>
      <c r="UYH30" s="1266"/>
      <c r="UYI30" s="1266"/>
      <c r="UYJ30" s="1266"/>
      <c r="UYK30" s="1266"/>
      <c r="UYL30" s="1266"/>
      <c r="UYM30" s="1266"/>
      <c r="UYN30" s="1266"/>
      <c r="UYO30" s="1266"/>
      <c r="UYP30" s="1266"/>
      <c r="UYQ30" s="1266"/>
      <c r="UYR30" s="1266"/>
      <c r="UYS30" s="1266"/>
      <c r="UYT30" s="1266"/>
      <c r="UYU30" s="1266"/>
      <c r="UYV30" s="1266"/>
      <c r="UYW30" s="1266"/>
      <c r="UYX30" s="1266"/>
      <c r="UYY30" s="1266"/>
      <c r="UYZ30" s="1266"/>
      <c r="UZA30" s="1266"/>
      <c r="UZB30" s="1266"/>
      <c r="UZC30" s="1266"/>
      <c r="UZD30" s="1266"/>
      <c r="UZE30" s="1266"/>
      <c r="UZF30" s="1266"/>
      <c r="UZG30" s="1266"/>
      <c r="UZH30" s="1266"/>
      <c r="UZI30" s="1266"/>
      <c r="UZJ30" s="1266"/>
      <c r="UZK30" s="1266"/>
      <c r="UZL30" s="1266"/>
      <c r="UZM30" s="1266"/>
      <c r="UZN30" s="1266"/>
      <c r="UZO30" s="1266"/>
      <c r="UZP30" s="1266"/>
      <c r="UZQ30" s="1266"/>
      <c r="UZR30" s="1266"/>
      <c r="UZS30" s="1266"/>
      <c r="UZT30" s="1266"/>
      <c r="UZU30" s="1266"/>
      <c r="UZV30" s="1266"/>
      <c r="UZW30" s="1266"/>
      <c r="UZX30" s="1266"/>
      <c r="UZY30" s="1266"/>
      <c r="UZZ30" s="1266"/>
      <c r="VAA30" s="1266"/>
      <c r="VAB30" s="1266"/>
      <c r="VAC30" s="1266"/>
      <c r="VAD30" s="1266"/>
      <c r="VAE30" s="1266"/>
      <c r="VAF30" s="1266"/>
      <c r="VAG30" s="1266"/>
      <c r="VAH30" s="1266"/>
      <c r="VAI30" s="1266"/>
      <c r="VAJ30" s="1266"/>
      <c r="VAK30" s="1266"/>
      <c r="VAL30" s="1266"/>
      <c r="VAM30" s="1266"/>
      <c r="VAN30" s="1266"/>
      <c r="VAO30" s="1266"/>
      <c r="VAP30" s="1266"/>
      <c r="VAQ30" s="1266"/>
      <c r="VAR30" s="1266"/>
      <c r="VAS30" s="1266"/>
      <c r="VAT30" s="1266"/>
      <c r="VAU30" s="1266"/>
      <c r="VAV30" s="1266"/>
      <c r="VAW30" s="1266"/>
      <c r="VAX30" s="1266"/>
      <c r="VAY30" s="1266"/>
      <c r="VAZ30" s="1266"/>
      <c r="VBA30" s="1266"/>
      <c r="VBB30" s="1266"/>
      <c r="VBC30" s="1266"/>
      <c r="VBD30" s="1266"/>
      <c r="VBE30" s="1266"/>
      <c r="VBF30" s="1266"/>
      <c r="VBG30" s="1266"/>
      <c r="VBH30" s="1266"/>
      <c r="VBI30" s="1266"/>
      <c r="VBJ30" s="1266"/>
      <c r="VBK30" s="1266"/>
      <c r="VBL30" s="1266"/>
      <c r="VBM30" s="1266"/>
      <c r="VBN30" s="1266"/>
      <c r="VBO30" s="1266"/>
      <c r="VBP30" s="1266"/>
      <c r="VBQ30" s="1266"/>
      <c r="VBR30" s="1266"/>
      <c r="VBS30" s="1266"/>
      <c r="VBT30" s="1266"/>
      <c r="VBU30" s="1266"/>
      <c r="VBV30" s="1266"/>
      <c r="VBW30" s="1266"/>
      <c r="VBX30" s="1266"/>
      <c r="VBY30" s="1266"/>
      <c r="VBZ30" s="1266"/>
      <c r="VCA30" s="1266"/>
      <c r="VCB30" s="1266"/>
      <c r="VCC30" s="1266"/>
      <c r="VCD30" s="1266"/>
      <c r="VCE30" s="1266"/>
      <c r="VCF30" s="1266"/>
      <c r="VCG30" s="1266"/>
      <c r="VCH30" s="1266"/>
      <c r="VCI30" s="1266"/>
      <c r="VCJ30" s="1266"/>
      <c r="VCK30" s="1266"/>
      <c r="VCL30" s="1266"/>
      <c r="VCM30" s="1266"/>
      <c r="VCN30" s="1266"/>
      <c r="VCO30" s="1266"/>
      <c r="VCP30" s="1266"/>
      <c r="VCQ30" s="1266"/>
      <c r="VCR30" s="1266"/>
      <c r="VCS30" s="1266"/>
      <c r="VCT30" s="1266"/>
      <c r="VCU30" s="1266"/>
      <c r="VCV30" s="1266"/>
      <c r="VCW30" s="1266"/>
      <c r="VCX30" s="1266"/>
      <c r="VCY30" s="1266"/>
      <c r="VCZ30" s="1266"/>
      <c r="VDA30" s="1266"/>
      <c r="VDB30" s="1266"/>
      <c r="VDC30" s="1266"/>
      <c r="VDD30" s="1266"/>
      <c r="VDE30" s="1266"/>
      <c r="VDF30" s="1266"/>
      <c r="VDG30" s="1266"/>
      <c r="VDH30" s="1266"/>
      <c r="VDI30" s="1266"/>
      <c r="VDJ30" s="1266"/>
      <c r="VDK30" s="1266"/>
      <c r="VDL30" s="1266"/>
      <c r="VDM30" s="1266"/>
      <c r="VDN30" s="1266"/>
      <c r="VDO30" s="1266"/>
      <c r="VDP30" s="1266"/>
      <c r="VDQ30" s="1266"/>
      <c r="VDR30" s="1266"/>
      <c r="VDS30" s="1266"/>
      <c r="VDT30" s="1266"/>
      <c r="VDU30" s="1266"/>
      <c r="VDV30" s="1266"/>
      <c r="VDW30" s="1266"/>
      <c r="VDX30" s="1266"/>
      <c r="VDY30" s="1266"/>
      <c r="VDZ30" s="1266"/>
      <c r="VEA30" s="1266"/>
      <c r="VEB30" s="1266"/>
      <c r="VEC30" s="1266"/>
      <c r="VED30" s="1266"/>
      <c r="VEE30" s="1266"/>
      <c r="VEF30" s="1266"/>
      <c r="VEG30" s="1266"/>
      <c r="VEH30" s="1266"/>
      <c r="VEI30" s="1266"/>
      <c r="VEJ30" s="1266"/>
      <c r="VEK30" s="1266"/>
      <c r="VEL30" s="1266"/>
      <c r="VEM30" s="1266"/>
      <c r="VEN30" s="1266"/>
      <c r="VEO30" s="1266"/>
      <c r="VEP30" s="1266"/>
      <c r="VEQ30" s="1266"/>
      <c r="VER30" s="1266"/>
      <c r="VES30" s="1266"/>
      <c r="VET30" s="1266"/>
      <c r="VEU30" s="1266"/>
      <c r="VEV30" s="1266"/>
      <c r="VEW30" s="1266"/>
      <c r="VEX30" s="1266"/>
      <c r="VEY30" s="1266"/>
      <c r="VEZ30" s="1266"/>
      <c r="VFA30" s="1266"/>
      <c r="VFB30" s="1266"/>
      <c r="VFC30" s="1266"/>
      <c r="VFD30" s="1266"/>
      <c r="VFE30" s="1266"/>
      <c r="VFF30" s="1266"/>
      <c r="VFG30" s="1266"/>
      <c r="VFH30" s="1266"/>
      <c r="VFI30" s="1266"/>
      <c r="VFJ30" s="1266"/>
      <c r="VFK30" s="1266"/>
      <c r="VFL30" s="1266"/>
      <c r="VFM30" s="1266"/>
      <c r="VFN30" s="1266"/>
      <c r="VFO30" s="1266"/>
      <c r="VFP30" s="1266"/>
      <c r="VFQ30" s="1266"/>
      <c r="VFR30" s="1266"/>
      <c r="VFS30" s="1266"/>
      <c r="VFT30" s="1266"/>
      <c r="VFU30" s="1266"/>
      <c r="VFV30" s="1266"/>
      <c r="VFW30" s="1266"/>
      <c r="VFX30" s="1266"/>
      <c r="VFY30" s="1266"/>
      <c r="VFZ30" s="1266"/>
      <c r="VGA30" s="1266"/>
      <c r="VGB30" s="1266"/>
      <c r="VGC30" s="1266"/>
      <c r="VGD30" s="1266"/>
      <c r="VGE30" s="1266"/>
      <c r="VGF30" s="1266"/>
      <c r="VGG30" s="1266"/>
      <c r="VGH30" s="1266"/>
      <c r="VGI30" s="1266"/>
      <c r="VGJ30" s="1266"/>
      <c r="VGK30" s="1266"/>
      <c r="VGL30" s="1266"/>
      <c r="VGM30" s="1266"/>
      <c r="VGN30" s="1266"/>
      <c r="VGO30" s="1266"/>
      <c r="VGP30" s="1266"/>
      <c r="VGQ30" s="1266"/>
      <c r="VGR30" s="1266"/>
      <c r="VGS30" s="1266"/>
      <c r="VGT30" s="1266"/>
      <c r="VGU30" s="1266"/>
      <c r="VGV30" s="1266"/>
      <c r="VGW30" s="1266"/>
      <c r="VGX30" s="1266"/>
      <c r="VGY30" s="1266"/>
      <c r="VGZ30" s="1266"/>
      <c r="VHA30" s="1266"/>
      <c r="VHB30" s="1266"/>
      <c r="VHC30" s="1266"/>
      <c r="VHD30" s="1266"/>
      <c r="VHE30" s="1266"/>
      <c r="VHF30" s="1266"/>
      <c r="VHG30" s="1266"/>
      <c r="VHH30" s="1266"/>
      <c r="VHI30" s="1266"/>
      <c r="VHJ30" s="1266"/>
      <c r="VHK30" s="1266"/>
      <c r="VHL30" s="1266"/>
      <c r="VHM30" s="1266"/>
      <c r="VHN30" s="1266"/>
      <c r="VHO30" s="1266"/>
      <c r="VHP30" s="1266"/>
      <c r="VHQ30" s="1266"/>
      <c r="VHR30" s="1266"/>
      <c r="VHS30" s="1266"/>
      <c r="VHT30" s="1266"/>
      <c r="VHU30" s="1266"/>
      <c r="VHV30" s="1266"/>
      <c r="VHW30" s="1266"/>
      <c r="VHX30" s="1266"/>
      <c r="VHY30" s="1266"/>
      <c r="VHZ30" s="1266"/>
      <c r="VIA30" s="1266"/>
      <c r="VIB30" s="1266"/>
      <c r="VIC30" s="1266"/>
      <c r="VID30" s="1266"/>
      <c r="VIE30" s="1266"/>
      <c r="VIF30" s="1266"/>
      <c r="VIG30" s="1266"/>
      <c r="VIH30" s="1266"/>
      <c r="VII30" s="1266"/>
      <c r="VIJ30" s="1266"/>
      <c r="VIK30" s="1266"/>
      <c r="VIL30" s="1266"/>
      <c r="VIM30" s="1266"/>
      <c r="VIN30" s="1266"/>
      <c r="VIO30" s="1266"/>
      <c r="VIP30" s="1266"/>
      <c r="VIQ30" s="1266"/>
      <c r="VIR30" s="1266"/>
      <c r="VIS30" s="1266"/>
      <c r="VIT30" s="1266"/>
      <c r="VIU30" s="1266"/>
      <c r="VIV30" s="1266"/>
      <c r="VIW30" s="1266"/>
      <c r="VIX30" s="1266"/>
      <c r="VIY30" s="1266"/>
      <c r="VIZ30" s="1266"/>
      <c r="VJA30" s="1266"/>
      <c r="VJB30" s="1266"/>
      <c r="VJC30" s="1266"/>
      <c r="VJD30" s="1266"/>
      <c r="VJE30" s="1266"/>
      <c r="VJF30" s="1266"/>
      <c r="VJG30" s="1266"/>
      <c r="VJH30" s="1266"/>
      <c r="VJI30" s="1266"/>
      <c r="VJJ30" s="1266"/>
      <c r="VJK30" s="1266"/>
      <c r="VJL30" s="1266"/>
      <c r="VJM30" s="1266"/>
      <c r="VJN30" s="1266"/>
      <c r="VJO30" s="1266"/>
      <c r="VJP30" s="1266"/>
      <c r="VJQ30" s="1266"/>
      <c r="VJR30" s="1266"/>
      <c r="VJS30" s="1266"/>
      <c r="VJT30" s="1266"/>
      <c r="VJU30" s="1266"/>
      <c r="VJV30" s="1266"/>
      <c r="VJW30" s="1266"/>
      <c r="VJX30" s="1266"/>
      <c r="VJY30" s="1266"/>
      <c r="VJZ30" s="1266"/>
      <c r="VKA30" s="1266"/>
      <c r="VKB30" s="1266"/>
      <c r="VKC30" s="1266"/>
      <c r="VKD30" s="1266"/>
      <c r="VKE30" s="1266"/>
      <c r="VKF30" s="1266"/>
      <c r="VKG30" s="1266"/>
      <c r="VKH30" s="1266"/>
      <c r="VKI30" s="1266"/>
      <c r="VKJ30" s="1266"/>
      <c r="VKK30" s="1266"/>
      <c r="VKL30" s="1266"/>
      <c r="VKM30" s="1266"/>
      <c r="VKN30" s="1266"/>
      <c r="VKO30" s="1266"/>
      <c r="VKP30" s="1266"/>
      <c r="VKQ30" s="1266"/>
      <c r="VKR30" s="1266"/>
      <c r="VKS30" s="1266"/>
      <c r="VKT30" s="1266"/>
      <c r="VKU30" s="1266"/>
      <c r="VKV30" s="1266"/>
      <c r="VKW30" s="1266"/>
      <c r="VKX30" s="1266"/>
      <c r="VKY30" s="1266"/>
      <c r="VKZ30" s="1266"/>
      <c r="VLA30" s="1266"/>
      <c r="VLB30" s="1266"/>
      <c r="VLC30" s="1266"/>
      <c r="VLD30" s="1266"/>
      <c r="VLE30" s="1266"/>
      <c r="VLF30" s="1266"/>
      <c r="VLG30" s="1266"/>
      <c r="VLH30" s="1266"/>
      <c r="VLI30" s="1266"/>
      <c r="VLJ30" s="1266"/>
      <c r="VLK30" s="1266"/>
      <c r="VLL30" s="1266"/>
      <c r="VLM30" s="1266"/>
      <c r="VLN30" s="1266"/>
      <c r="VLO30" s="1266"/>
      <c r="VLP30" s="1266"/>
      <c r="VLQ30" s="1266"/>
      <c r="VLR30" s="1266"/>
      <c r="VLS30" s="1266"/>
      <c r="VLT30" s="1266"/>
      <c r="VLU30" s="1266"/>
      <c r="VLV30" s="1266"/>
      <c r="VLW30" s="1266"/>
      <c r="VLX30" s="1266"/>
      <c r="VLY30" s="1266"/>
      <c r="VLZ30" s="1266"/>
      <c r="VMA30" s="1266"/>
      <c r="VMB30" s="1266"/>
      <c r="VMC30" s="1266"/>
      <c r="VMD30" s="1266"/>
      <c r="VME30" s="1266"/>
      <c r="VMF30" s="1266"/>
      <c r="VMG30" s="1266"/>
      <c r="VMH30" s="1266"/>
      <c r="VMI30" s="1266"/>
      <c r="VMJ30" s="1266"/>
      <c r="VMK30" s="1266"/>
      <c r="VML30" s="1266"/>
      <c r="VMM30" s="1266"/>
      <c r="VMN30" s="1266"/>
      <c r="VMO30" s="1266"/>
      <c r="VMP30" s="1266"/>
      <c r="VMQ30" s="1266"/>
      <c r="VMR30" s="1266"/>
      <c r="VMS30" s="1266"/>
      <c r="VMT30" s="1266"/>
      <c r="VMU30" s="1266"/>
      <c r="VMV30" s="1266"/>
      <c r="VMW30" s="1266"/>
      <c r="VMX30" s="1266"/>
      <c r="VMY30" s="1266"/>
      <c r="VMZ30" s="1266"/>
      <c r="VNA30" s="1266"/>
      <c r="VNB30" s="1266"/>
      <c r="VNC30" s="1266"/>
      <c r="VND30" s="1266"/>
      <c r="VNE30" s="1266"/>
      <c r="VNF30" s="1266"/>
      <c r="VNG30" s="1266"/>
      <c r="VNH30" s="1266"/>
      <c r="VNI30" s="1266"/>
      <c r="VNJ30" s="1266"/>
      <c r="VNK30" s="1266"/>
      <c r="VNL30" s="1266"/>
      <c r="VNM30" s="1266"/>
      <c r="VNN30" s="1266"/>
      <c r="VNO30" s="1266"/>
      <c r="VNP30" s="1266"/>
      <c r="VNQ30" s="1266"/>
      <c r="VNR30" s="1266"/>
      <c r="VNS30" s="1266"/>
      <c r="VNT30" s="1266"/>
      <c r="VNU30" s="1266"/>
      <c r="VNV30" s="1266"/>
      <c r="VNW30" s="1266"/>
      <c r="VNX30" s="1266"/>
      <c r="VNY30" s="1266"/>
      <c r="VNZ30" s="1266"/>
      <c r="VOA30" s="1266"/>
      <c r="VOB30" s="1266"/>
      <c r="VOC30" s="1266"/>
      <c r="VOD30" s="1266"/>
      <c r="VOE30" s="1266"/>
      <c r="VOF30" s="1266"/>
      <c r="VOG30" s="1266"/>
      <c r="VOH30" s="1266"/>
      <c r="VOI30" s="1266"/>
      <c r="VOJ30" s="1266"/>
      <c r="VOK30" s="1266"/>
      <c r="VOL30" s="1266"/>
      <c r="VOM30" s="1266"/>
      <c r="VON30" s="1266"/>
      <c r="VOO30" s="1266"/>
      <c r="VOP30" s="1266"/>
      <c r="VOQ30" s="1266"/>
      <c r="VOR30" s="1266"/>
      <c r="VOS30" s="1266"/>
      <c r="VOT30" s="1266"/>
      <c r="VOU30" s="1266"/>
      <c r="VOV30" s="1266"/>
      <c r="VOW30" s="1266"/>
      <c r="VOX30" s="1266"/>
      <c r="VOY30" s="1266"/>
      <c r="VOZ30" s="1266"/>
      <c r="VPA30" s="1266"/>
      <c r="VPB30" s="1266"/>
      <c r="VPC30" s="1266"/>
      <c r="VPD30" s="1266"/>
      <c r="VPE30" s="1266"/>
      <c r="VPF30" s="1266"/>
      <c r="VPG30" s="1266"/>
      <c r="VPH30" s="1266"/>
      <c r="VPI30" s="1266"/>
      <c r="VPJ30" s="1266"/>
      <c r="VPK30" s="1266"/>
      <c r="VPL30" s="1266"/>
      <c r="VPM30" s="1266"/>
      <c r="VPN30" s="1266"/>
      <c r="VPO30" s="1266"/>
      <c r="VPP30" s="1266"/>
      <c r="VPQ30" s="1266"/>
      <c r="VPR30" s="1266"/>
      <c r="VPS30" s="1266"/>
      <c r="VPT30" s="1266"/>
      <c r="VPU30" s="1266"/>
      <c r="VPV30" s="1266"/>
      <c r="VPW30" s="1266"/>
      <c r="VPX30" s="1266"/>
      <c r="VPY30" s="1266"/>
      <c r="VPZ30" s="1266"/>
      <c r="VQA30" s="1266"/>
      <c r="VQB30" s="1266"/>
      <c r="VQC30" s="1266"/>
      <c r="VQD30" s="1266"/>
      <c r="VQE30" s="1266"/>
      <c r="VQF30" s="1266"/>
      <c r="VQG30" s="1266"/>
      <c r="VQH30" s="1266"/>
      <c r="VQI30" s="1266"/>
      <c r="VQJ30" s="1266"/>
      <c r="VQK30" s="1266"/>
      <c r="VQL30" s="1266"/>
      <c r="VQM30" s="1266"/>
      <c r="VQN30" s="1266"/>
      <c r="VQO30" s="1266"/>
      <c r="VQP30" s="1266"/>
      <c r="VQQ30" s="1266"/>
      <c r="VQR30" s="1266"/>
      <c r="VQS30" s="1266"/>
      <c r="VQT30" s="1266"/>
      <c r="VQU30" s="1266"/>
      <c r="VQV30" s="1266"/>
      <c r="VQW30" s="1266"/>
      <c r="VQX30" s="1266"/>
      <c r="VQY30" s="1266"/>
      <c r="VQZ30" s="1266"/>
      <c r="VRA30" s="1266"/>
      <c r="VRB30" s="1266"/>
      <c r="VRC30" s="1266"/>
      <c r="VRD30" s="1266"/>
      <c r="VRE30" s="1266"/>
      <c r="VRF30" s="1266"/>
      <c r="VRG30" s="1266"/>
      <c r="VRH30" s="1266"/>
      <c r="VRI30" s="1266"/>
      <c r="VRJ30" s="1266"/>
      <c r="VRK30" s="1266"/>
      <c r="VRL30" s="1266"/>
      <c r="VRM30" s="1266"/>
      <c r="VRN30" s="1266"/>
      <c r="VRO30" s="1266"/>
      <c r="VRP30" s="1266"/>
      <c r="VRQ30" s="1266"/>
      <c r="VRR30" s="1266"/>
      <c r="VRS30" s="1266"/>
      <c r="VRT30" s="1266"/>
      <c r="VRU30" s="1266"/>
      <c r="VRV30" s="1266"/>
      <c r="VRW30" s="1266"/>
      <c r="VRX30" s="1266"/>
      <c r="VRY30" s="1266"/>
      <c r="VRZ30" s="1266"/>
      <c r="VSA30" s="1266"/>
      <c r="VSB30" s="1266"/>
      <c r="VSC30" s="1266"/>
      <c r="VSD30" s="1266"/>
      <c r="VSE30" s="1266"/>
      <c r="VSF30" s="1266"/>
      <c r="VSG30" s="1266"/>
      <c r="VSH30" s="1266"/>
      <c r="VSI30" s="1266"/>
      <c r="VSJ30" s="1266"/>
      <c r="VSK30" s="1266"/>
      <c r="VSL30" s="1266"/>
      <c r="VSM30" s="1266"/>
      <c r="VSN30" s="1266"/>
      <c r="VSO30" s="1266"/>
      <c r="VSP30" s="1266"/>
      <c r="VSQ30" s="1266"/>
      <c r="VSR30" s="1266"/>
      <c r="VSS30" s="1266"/>
      <c r="VST30" s="1266"/>
      <c r="VSU30" s="1266"/>
      <c r="VSV30" s="1266"/>
      <c r="VSW30" s="1266"/>
      <c r="VSX30" s="1266"/>
      <c r="VSY30" s="1266"/>
      <c r="VSZ30" s="1266"/>
      <c r="VTA30" s="1266"/>
      <c r="VTB30" s="1266"/>
      <c r="VTC30" s="1266"/>
      <c r="VTD30" s="1266"/>
      <c r="VTE30" s="1266"/>
      <c r="VTF30" s="1266"/>
      <c r="VTG30" s="1266"/>
      <c r="VTH30" s="1266"/>
      <c r="VTI30" s="1266"/>
      <c r="VTJ30" s="1266"/>
      <c r="VTK30" s="1266"/>
      <c r="VTL30" s="1266"/>
      <c r="VTM30" s="1266"/>
      <c r="VTN30" s="1266"/>
      <c r="VTO30" s="1266"/>
      <c r="VTP30" s="1266"/>
      <c r="VTQ30" s="1266"/>
      <c r="VTR30" s="1266"/>
      <c r="VTS30" s="1266"/>
      <c r="VTT30" s="1266"/>
      <c r="VTU30" s="1266"/>
      <c r="VTV30" s="1266"/>
      <c r="VTW30" s="1266"/>
      <c r="VTX30" s="1266"/>
      <c r="VTY30" s="1266"/>
      <c r="VTZ30" s="1266"/>
      <c r="VUA30" s="1266"/>
      <c r="VUB30" s="1266"/>
      <c r="VUC30" s="1266"/>
      <c r="VUD30" s="1266"/>
      <c r="VUE30" s="1266"/>
      <c r="VUF30" s="1266"/>
      <c r="VUG30" s="1266"/>
      <c r="VUH30" s="1266"/>
      <c r="VUI30" s="1266"/>
      <c r="VUJ30" s="1266"/>
      <c r="VUK30" s="1266"/>
      <c r="VUL30" s="1266"/>
      <c r="VUM30" s="1266"/>
      <c r="VUN30" s="1266"/>
      <c r="VUO30" s="1266"/>
      <c r="VUP30" s="1266"/>
      <c r="VUQ30" s="1266"/>
      <c r="VUR30" s="1266"/>
      <c r="VUS30" s="1266"/>
      <c r="VUT30" s="1266"/>
      <c r="VUU30" s="1266"/>
      <c r="VUV30" s="1266"/>
      <c r="VUW30" s="1266"/>
      <c r="VUX30" s="1266"/>
      <c r="VUY30" s="1266"/>
      <c r="VUZ30" s="1266"/>
      <c r="VVA30" s="1266"/>
      <c r="VVB30" s="1266"/>
      <c r="VVC30" s="1266"/>
      <c r="VVD30" s="1266"/>
      <c r="VVE30" s="1266"/>
      <c r="VVF30" s="1266"/>
      <c r="VVG30" s="1266"/>
      <c r="VVH30" s="1266"/>
      <c r="VVI30" s="1266"/>
      <c r="VVJ30" s="1266"/>
      <c r="VVK30" s="1266"/>
      <c r="VVL30" s="1266"/>
      <c r="VVM30" s="1266"/>
      <c r="VVN30" s="1266"/>
      <c r="VVO30" s="1266"/>
      <c r="VVP30" s="1266"/>
      <c r="VVQ30" s="1266"/>
      <c r="VVR30" s="1266"/>
      <c r="VVS30" s="1266"/>
      <c r="VVT30" s="1266"/>
      <c r="VVU30" s="1266"/>
      <c r="VVV30" s="1266"/>
      <c r="VVW30" s="1266"/>
      <c r="VVX30" s="1266"/>
      <c r="VVY30" s="1266"/>
      <c r="VVZ30" s="1266"/>
      <c r="VWA30" s="1266"/>
      <c r="VWB30" s="1266"/>
      <c r="VWC30" s="1266"/>
      <c r="VWD30" s="1266"/>
      <c r="VWE30" s="1266"/>
      <c r="VWF30" s="1266"/>
      <c r="VWG30" s="1266"/>
      <c r="VWH30" s="1266"/>
      <c r="VWI30" s="1266"/>
      <c r="VWJ30" s="1266"/>
      <c r="VWK30" s="1266"/>
      <c r="VWL30" s="1266"/>
      <c r="VWM30" s="1266"/>
      <c r="VWN30" s="1266"/>
      <c r="VWO30" s="1266"/>
      <c r="VWP30" s="1266"/>
      <c r="VWQ30" s="1266"/>
      <c r="VWR30" s="1266"/>
      <c r="VWS30" s="1266"/>
      <c r="VWT30" s="1266"/>
      <c r="VWU30" s="1266"/>
      <c r="VWV30" s="1266"/>
      <c r="VWW30" s="1266"/>
      <c r="VWX30" s="1266"/>
      <c r="VWY30" s="1266"/>
      <c r="VWZ30" s="1266"/>
      <c r="VXA30" s="1266"/>
      <c r="VXB30" s="1266"/>
      <c r="VXC30" s="1266"/>
      <c r="VXD30" s="1266"/>
      <c r="VXE30" s="1266"/>
      <c r="VXF30" s="1266"/>
      <c r="VXG30" s="1266"/>
      <c r="VXH30" s="1266"/>
      <c r="VXI30" s="1266"/>
      <c r="VXJ30" s="1266"/>
      <c r="VXK30" s="1266"/>
      <c r="VXL30" s="1266"/>
      <c r="VXM30" s="1266"/>
      <c r="VXN30" s="1266"/>
      <c r="VXO30" s="1266"/>
      <c r="VXP30" s="1266"/>
      <c r="VXQ30" s="1266"/>
      <c r="VXR30" s="1266"/>
      <c r="VXS30" s="1266"/>
      <c r="VXT30" s="1266"/>
      <c r="VXU30" s="1266"/>
      <c r="VXV30" s="1266"/>
      <c r="VXW30" s="1266"/>
      <c r="VXX30" s="1266"/>
      <c r="VXY30" s="1266"/>
      <c r="VXZ30" s="1266"/>
      <c r="VYA30" s="1266"/>
      <c r="VYB30" s="1266"/>
      <c r="VYC30" s="1266"/>
      <c r="VYD30" s="1266"/>
      <c r="VYE30" s="1266"/>
      <c r="VYF30" s="1266"/>
      <c r="VYG30" s="1266"/>
      <c r="VYH30" s="1266"/>
      <c r="VYI30" s="1266"/>
      <c r="VYJ30" s="1266"/>
      <c r="VYK30" s="1266"/>
      <c r="VYL30" s="1266"/>
      <c r="VYM30" s="1266"/>
      <c r="VYN30" s="1266"/>
      <c r="VYO30" s="1266"/>
      <c r="VYP30" s="1266"/>
      <c r="VYQ30" s="1266"/>
      <c r="VYR30" s="1266"/>
      <c r="VYS30" s="1266"/>
      <c r="VYT30" s="1266"/>
      <c r="VYU30" s="1266"/>
      <c r="VYV30" s="1266"/>
      <c r="VYW30" s="1266"/>
      <c r="VYX30" s="1266"/>
      <c r="VYY30" s="1266"/>
      <c r="VYZ30" s="1266"/>
      <c r="VZA30" s="1266"/>
      <c r="VZB30" s="1266"/>
      <c r="VZC30" s="1266"/>
      <c r="VZD30" s="1266"/>
      <c r="VZE30" s="1266"/>
      <c r="VZF30" s="1266"/>
      <c r="VZG30" s="1266"/>
      <c r="VZH30" s="1266"/>
      <c r="VZI30" s="1266"/>
      <c r="VZJ30" s="1266"/>
      <c r="VZK30" s="1266"/>
      <c r="VZL30" s="1266"/>
      <c r="VZM30" s="1266"/>
      <c r="VZN30" s="1266"/>
      <c r="VZO30" s="1266"/>
      <c r="VZP30" s="1266"/>
      <c r="VZQ30" s="1266"/>
      <c r="VZR30" s="1266"/>
      <c r="VZS30" s="1266"/>
      <c r="VZT30" s="1266"/>
      <c r="VZU30" s="1266"/>
      <c r="VZV30" s="1266"/>
      <c r="VZW30" s="1266"/>
      <c r="VZX30" s="1266"/>
      <c r="VZY30" s="1266"/>
      <c r="VZZ30" s="1266"/>
      <c r="WAA30" s="1266"/>
      <c r="WAB30" s="1266"/>
      <c r="WAC30" s="1266"/>
      <c r="WAD30" s="1266"/>
      <c r="WAE30" s="1266"/>
      <c r="WAF30" s="1266"/>
      <c r="WAG30" s="1266"/>
      <c r="WAH30" s="1266"/>
      <c r="WAI30" s="1266"/>
      <c r="WAJ30" s="1266"/>
      <c r="WAK30" s="1266"/>
      <c r="WAL30" s="1266"/>
      <c r="WAM30" s="1266"/>
      <c r="WAN30" s="1266"/>
      <c r="WAO30" s="1266"/>
      <c r="WAP30" s="1266"/>
      <c r="WAQ30" s="1266"/>
      <c r="WAR30" s="1266"/>
      <c r="WAS30" s="1266"/>
      <c r="WAT30" s="1266"/>
      <c r="WAU30" s="1266"/>
      <c r="WAV30" s="1266"/>
      <c r="WAW30" s="1266"/>
      <c r="WAX30" s="1266"/>
      <c r="WAY30" s="1266"/>
      <c r="WAZ30" s="1266"/>
      <c r="WBA30" s="1266"/>
      <c r="WBB30" s="1266"/>
      <c r="WBC30" s="1266"/>
      <c r="WBD30" s="1266"/>
      <c r="WBE30" s="1266"/>
      <c r="WBF30" s="1266"/>
      <c r="WBG30" s="1266"/>
      <c r="WBH30" s="1266"/>
      <c r="WBI30" s="1266"/>
      <c r="WBJ30" s="1266"/>
      <c r="WBK30" s="1266"/>
      <c r="WBL30" s="1266"/>
      <c r="WBM30" s="1266"/>
      <c r="WBN30" s="1266"/>
      <c r="WBO30" s="1266"/>
      <c r="WBP30" s="1266"/>
      <c r="WBQ30" s="1266"/>
      <c r="WBR30" s="1266"/>
      <c r="WBS30" s="1266"/>
      <c r="WBT30" s="1266"/>
      <c r="WBU30" s="1266"/>
      <c r="WBV30" s="1266"/>
      <c r="WBW30" s="1266"/>
      <c r="WBX30" s="1266"/>
      <c r="WBY30" s="1266"/>
      <c r="WBZ30" s="1266"/>
      <c r="WCA30" s="1266"/>
      <c r="WCB30" s="1266"/>
      <c r="WCC30" s="1266"/>
      <c r="WCD30" s="1266"/>
      <c r="WCE30" s="1266"/>
      <c r="WCF30" s="1266"/>
      <c r="WCG30" s="1266"/>
      <c r="WCH30" s="1266"/>
      <c r="WCI30" s="1266"/>
      <c r="WCJ30" s="1266"/>
      <c r="WCK30" s="1266"/>
      <c r="WCL30" s="1266"/>
      <c r="WCM30" s="1266"/>
      <c r="WCN30" s="1266"/>
      <c r="WCO30" s="1266"/>
      <c r="WCP30" s="1266"/>
      <c r="WCQ30" s="1266"/>
      <c r="WCR30" s="1266"/>
      <c r="WCS30" s="1266"/>
      <c r="WCT30" s="1266"/>
      <c r="WCU30" s="1266"/>
      <c r="WCV30" s="1266"/>
      <c r="WCW30" s="1266"/>
      <c r="WCX30" s="1266"/>
      <c r="WCY30" s="1266"/>
      <c r="WCZ30" s="1266"/>
      <c r="WDA30" s="1266"/>
      <c r="WDB30" s="1266"/>
      <c r="WDC30" s="1266"/>
      <c r="WDD30" s="1266"/>
      <c r="WDE30" s="1266"/>
      <c r="WDF30" s="1266"/>
      <c r="WDG30" s="1266"/>
      <c r="WDH30" s="1266"/>
      <c r="WDI30" s="1266"/>
      <c r="WDJ30" s="1266"/>
      <c r="WDK30" s="1266"/>
      <c r="WDL30" s="1266"/>
      <c r="WDM30" s="1266"/>
      <c r="WDN30" s="1266"/>
      <c r="WDO30" s="1266"/>
      <c r="WDP30" s="1266"/>
      <c r="WDQ30" s="1266"/>
      <c r="WDR30" s="1266"/>
      <c r="WDS30" s="1266"/>
      <c r="WDT30" s="1266"/>
      <c r="WDU30" s="1266"/>
      <c r="WDV30" s="1266"/>
      <c r="WDW30" s="1266"/>
      <c r="WDX30" s="1266"/>
      <c r="WDY30" s="1266"/>
      <c r="WDZ30" s="1266"/>
      <c r="WEA30" s="1266"/>
      <c r="WEB30" s="1266"/>
      <c r="WEC30" s="1266"/>
      <c r="WED30" s="1266"/>
      <c r="WEE30" s="1266"/>
      <c r="WEF30" s="1266"/>
      <c r="WEG30" s="1266"/>
      <c r="WEH30" s="1266"/>
      <c r="WEI30" s="1266"/>
      <c r="WEJ30" s="1266"/>
      <c r="WEK30" s="1266"/>
      <c r="WEL30" s="1266"/>
      <c r="WEM30" s="1266"/>
      <c r="WEN30" s="1266"/>
      <c r="WEO30" s="1266"/>
      <c r="WEP30" s="1266"/>
      <c r="WEQ30" s="1266"/>
      <c r="WER30" s="1266"/>
      <c r="WES30" s="1266"/>
      <c r="WET30" s="1266"/>
      <c r="WEU30" s="1266"/>
      <c r="WEV30" s="1266"/>
      <c r="WEW30" s="1266"/>
      <c r="WEX30" s="1266"/>
      <c r="WEY30" s="1266"/>
      <c r="WEZ30" s="1266"/>
      <c r="WFA30" s="1266"/>
      <c r="WFB30" s="1266"/>
      <c r="WFC30" s="1266"/>
      <c r="WFD30" s="1266"/>
      <c r="WFE30" s="1266"/>
      <c r="WFF30" s="1266"/>
      <c r="WFG30" s="1266"/>
      <c r="WFH30" s="1266"/>
      <c r="WFI30" s="1266"/>
      <c r="WFJ30" s="1266"/>
      <c r="WFK30" s="1266"/>
      <c r="WFL30" s="1266"/>
      <c r="WFM30" s="1266"/>
      <c r="WFN30" s="1266"/>
      <c r="WFO30" s="1266"/>
      <c r="WFP30" s="1266"/>
      <c r="WFQ30" s="1266"/>
      <c r="WFR30" s="1266"/>
      <c r="WFS30" s="1266"/>
      <c r="WFT30" s="1266"/>
      <c r="WFU30" s="1266"/>
      <c r="WFV30" s="1266"/>
      <c r="WFW30" s="1266"/>
      <c r="WFX30" s="1266"/>
      <c r="WFY30" s="1266"/>
      <c r="WFZ30" s="1266"/>
      <c r="WGA30" s="1266"/>
      <c r="WGB30" s="1266"/>
      <c r="WGC30" s="1266"/>
      <c r="WGD30" s="1266"/>
      <c r="WGE30" s="1266"/>
      <c r="WGF30" s="1266"/>
      <c r="WGG30" s="1266"/>
      <c r="WGH30" s="1266"/>
      <c r="WGI30" s="1266"/>
      <c r="WGJ30" s="1266"/>
      <c r="WGK30" s="1266"/>
      <c r="WGL30" s="1266"/>
      <c r="WGM30" s="1266"/>
      <c r="WGN30" s="1266"/>
      <c r="WGO30" s="1266"/>
      <c r="WGP30" s="1266"/>
      <c r="WGQ30" s="1266"/>
      <c r="WGR30" s="1266"/>
      <c r="WGS30" s="1266"/>
      <c r="WGT30" s="1266"/>
      <c r="WGU30" s="1266"/>
      <c r="WGV30" s="1266"/>
      <c r="WGW30" s="1266"/>
      <c r="WGX30" s="1266"/>
      <c r="WGY30" s="1266"/>
      <c r="WGZ30" s="1266"/>
      <c r="WHA30" s="1266"/>
      <c r="WHB30" s="1266"/>
      <c r="WHC30" s="1266"/>
      <c r="WHD30" s="1266"/>
      <c r="WHE30" s="1266"/>
      <c r="WHF30" s="1266"/>
      <c r="WHG30" s="1266"/>
      <c r="WHH30" s="1266"/>
      <c r="WHI30" s="1266"/>
      <c r="WHJ30" s="1266"/>
      <c r="WHK30" s="1266"/>
      <c r="WHL30" s="1266"/>
      <c r="WHM30" s="1266"/>
      <c r="WHN30" s="1266"/>
      <c r="WHO30" s="1266"/>
      <c r="WHP30" s="1266"/>
      <c r="WHQ30" s="1266"/>
      <c r="WHR30" s="1266"/>
      <c r="WHS30" s="1266"/>
      <c r="WHT30" s="1266"/>
      <c r="WHU30" s="1266"/>
      <c r="WHV30" s="1266"/>
      <c r="WHW30" s="1266"/>
      <c r="WHX30" s="1266"/>
      <c r="WHY30" s="1266"/>
      <c r="WHZ30" s="1266"/>
      <c r="WIA30" s="1266"/>
      <c r="WIB30" s="1266"/>
      <c r="WIC30" s="1266"/>
      <c r="WID30" s="1266"/>
      <c r="WIE30" s="1266"/>
      <c r="WIF30" s="1266"/>
      <c r="WIG30" s="1266"/>
      <c r="WIH30" s="1266"/>
      <c r="WII30" s="1266"/>
      <c r="WIJ30" s="1266"/>
      <c r="WIK30" s="1266"/>
      <c r="WIL30" s="1266"/>
      <c r="WIM30" s="1266"/>
      <c r="WIN30" s="1266"/>
      <c r="WIO30" s="1266"/>
      <c r="WIP30" s="1266"/>
      <c r="WIQ30" s="1266"/>
      <c r="WIR30" s="1266"/>
      <c r="WIS30" s="1266"/>
      <c r="WIT30" s="1266"/>
      <c r="WIU30" s="1266"/>
      <c r="WIV30" s="1266"/>
      <c r="WIW30" s="1266"/>
      <c r="WIX30" s="1266"/>
      <c r="WIY30" s="1266"/>
      <c r="WIZ30" s="1266"/>
      <c r="WJA30" s="1266"/>
      <c r="WJB30" s="1266"/>
      <c r="WJC30" s="1266"/>
      <c r="WJD30" s="1266"/>
      <c r="WJE30" s="1266"/>
      <c r="WJF30" s="1266"/>
      <c r="WJG30" s="1266"/>
      <c r="WJH30" s="1266"/>
      <c r="WJI30" s="1266"/>
      <c r="WJJ30" s="1266"/>
      <c r="WJK30" s="1266"/>
      <c r="WJL30" s="1266"/>
      <c r="WJM30" s="1266"/>
      <c r="WJN30" s="1266"/>
      <c r="WJO30" s="1266"/>
      <c r="WJP30" s="1266"/>
      <c r="WJQ30" s="1266"/>
      <c r="WJR30" s="1266"/>
      <c r="WJS30" s="1266"/>
      <c r="WJT30" s="1266"/>
      <c r="WJU30" s="1266"/>
      <c r="WJV30" s="1266"/>
      <c r="WJW30" s="1266"/>
      <c r="WJX30" s="1266"/>
      <c r="WJY30" s="1266"/>
      <c r="WJZ30" s="1266"/>
      <c r="WKA30" s="1266"/>
      <c r="WKB30" s="1266"/>
      <c r="WKC30" s="1266"/>
      <c r="WKD30" s="1266"/>
      <c r="WKE30" s="1266"/>
      <c r="WKF30" s="1266"/>
      <c r="WKG30" s="1266"/>
      <c r="WKH30" s="1266"/>
      <c r="WKI30" s="1266"/>
      <c r="WKJ30" s="1266"/>
      <c r="WKK30" s="1266"/>
      <c r="WKL30" s="1266"/>
      <c r="WKM30" s="1266"/>
      <c r="WKN30" s="1266"/>
      <c r="WKO30" s="1266"/>
      <c r="WKP30" s="1266"/>
      <c r="WKQ30" s="1266"/>
      <c r="WKR30" s="1266"/>
      <c r="WKS30" s="1266"/>
      <c r="WKT30" s="1266"/>
      <c r="WKU30" s="1266"/>
      <c r="WKV30" s="1266"/>
      <c r="WKW30" s="1266"/>
      <c r="WKX30" s="1266"/>
      <c r="WKY30" s="1266"/>
      <c r="WKZ30" s="1266"/>
      <c r="WLA30" s="1266"/>
      <c r="WLB30" s="1266"/>
      <c r="WLC30" s="1266"/>
      <c r="WLD30" s="1266"/>
      <c r="WLE30" s="1266"/>
      <c r="WLF30" s="1266"/>
      <c r="WLG30" s="1266"/>
      <c r="WLH30" s="1266"/>
      <c r="WLI30" s="1266"/>
      <c r="WLJ30" s="1266"/>
      <c r="WLK30" s="1266"/>
      <c r="WLL30" s="1266"/>
      <c r="WLM30" s="1266"/>
      <c r="WLN30" s="1266"/>
      <c r="WLO30" s="1266"/>
      <c r="WLP30" s="1266"/>
      <c r="WLQ30" s="1266"/>
      <c r="WLR30" s="1266"/>
      <c r="WLS30" s="1266"/>
      <c r="WLT30" s="1266"/>
      <c r="WLU30" s="1266"/>
      <c r="WLV30" s="1266"/>
      <c r="WLW30" s="1266"/>
      <c r="WLX30" s="1266"/>
      <c r="WLY30" s="1266"/>
      <c r="WLZ30" s="1266"/>
      <c r="WMA30" s="1266"/>
      <c r="WMB30" s="1266"/>
      <c r="WMC30" s="1266"/>
      <c r="WMD30" s="1266"/>
      <c r="WME30" s="1266"/>
      <c r="WMF30" s="1266"/>
      <c r="WMG30" s="1266"/>
      <c r="WMH30" s="1266"/>
      <c r="WMI30" s="1266"/>
      <c r="WMJ30" s="1266"/>
      <c r="WMK30" s="1266"/>
      <c r="WML30" s="1266"/>
      <c r="WMM30" s="1266"/>
      <c r="WMN30" s="1266"/>
      <c r="WMO30" s="1266"/>
      <c r="WMP30" s="1266"/>
      <c r="WMQ30" s="1266"/>
      <c r="WMR30" s="1266"/>
      <c r="WMS30" s="1266"/>
      <c r="WMT30" s="1266"/>
      <c r="WMU30" s="1266"/>
      <c r="WMV30" s="1266"/>
      <c r="WMW30" s="1266"/>
      <c r="WMX30" s="1266"/>
      <c r="WMY30" s="1266"/>
      <c r="WMZ30" s="1266"/>
      <c r="WNA30" s="1266"/>
      <c r="WNB30" s="1266"/>
      <c r="WNC30" s="1266"/>
      <c r="WND30" s="1266"/>
      <c r="WNE30" s="1266"/>
      <c r="WNF30" s="1266"/>
      <c r="WNG30" s="1266"/>
      <c r="WNH30" s="1266"/>
      <c r="WNI30" s="1266"/>
      <c r="WNJ30" s="1266"/>
      <c r="WNK30" s="1266"/>
      <c r="WNL30" s="1266"/>
      <c r="WNM30" s="1266"/>
      <c r="WNN30" s="1266"/>
      <c r="WNO30" s="1266"/>
      <c r="WNP30" s="1266"/>
      <c r="WNQ30" s="1266"/>
      <c r="WNR30" s="1266"/>
      <c r="WNS30" s="1266"/>
      <c r="WNT30" s="1266"/>
      <c r="WNU30" s="1266"/>
      <c r="WNV30" s="1266"/>
      <c r="WNW30" s="1266"/>
      <c r="WNX30" s="1266"/>
      <c r="WNY30" s="1266"/>
      <c r="WNZ30" s="1266"/>
      <c r="WOA30" s="1266"/>
      <c r="WOB30" s="1266"/>
      <c r="WOC30" s="1266"/>
      <c r="WOD30" s="1266"/>
      <c r="WOE30" s="1266"/>
      <c r="WOF30" s="1266"/>
      <c r="WOG30" s="1266"/>
      <c r="WOH30" s="1266"/>
      <c r="WOI30" s="1266"/>
      <c r="WOJ30" s="1266"/>
      <c r="WOK30" s="1266"/>
      <c r="WOL30" s="1266"/>
      <c r="WOM30" s="1266"/>
      <c r="WON30" s="1266"/>
      <c r="WOO30" s="1266"/>
      <c r="WOP30" s="1266"/>
      <c r="WOQ30" s="1266"/>
      <c r="WOR30" s="1266"/>
      <c r="WOS30" s="1266"/>
      <c r="WOT30" s="1266"/>
      <c r="WOU30" s="1266"/>
      <c r="WOV30" s="1266"/>
      <c r="WOW30" s="1266"/>
      <c r="WOX30" s="1266"/>
      <c r="WOY30" s="1266"/>
      <c r="WOZ30" s="1266"/>
      <c r="WPA30" s="1266"/>
      <c r="WPB30" s="1266"/>
      <c r="WPC30" s="1266"/>
      <c r="WPD30" s="1266"/>
      <c r="WPE30" s="1266"/>
      <c r="WPF30" s="1266"/>
      <c r="WPG30" s="1266"/>
      <c r="WPH30" s="1266"/>
      <c r="WPI30" s="1266"/>
      <c r="WPJ30" s="1266"/>
      <c r="WPK30" s="1266"/>
      <c r="WPL30" s="1266"/>
      <c r="WPM30" s="1266"/>
      <c r="WPN30" s="1266"/>
      <c r="WPO30" s="1266"/>
      <c r="WPP30" s="1266"/>
      <c r="WPQ30" s="1266"/>
      <c r="WPR30" s="1266"/>
      <c r="WPS30" s="1266"/>
      <c r="WPT30" s="1266"/>
      <c r="WPU30" s="1266"/>
      <c r="WPV30" s="1266"/>
      <c r="WPW30" s="1266"/>
      <c r="WPX30" s="1266"/>
      <c r="WPY30" s="1266"/>
      <c r="WPZ30" s="1266"/>
      <c r="WQA30" s="1266"/>
      <c r="WQB30" s="1266"/>
      <c r="WQC30" s="1266"/>
      <c r="WQD30" s="1266"/>
      <c r="WQE30" s="1266"/>
      <c r="WQF30" s="1266"/>
      <c r="WQG30" s="1266"/>
      <c r="WQH30" s="1266"/>
      <c r="WQI30" s="1266"/>
      <c r="WQJ30" s="1266"/>
      <c r="WQK30" s="1266"/>
      <c r="WQL30" s="1266"/>
      <c r="WQM30" s="1266"/>
      <c r="WQN30" s="1266"/>
      <c r="WQO30" s="1266"/>
      <c r="WQP30" s="1266"/>
      <c r="WQQ30" s="1266"/>
      <c r="WQR30" s="1266"/>
      <c r="WQS30" s="1266"/>
      <c r="WQT30" s="1266"/>
      <c r="WQU30" s="1266"/>
      <c r="WQV30" s="1266"/>
      <c r="WQW30" s="1266"/>
      <c r="WQX30" s="1266"/>
      <c r="WQY30" s="1266"/>
      <c r="WQZ30" s="1266"/>
      <c r="WRA30" s="1266"/>
      <c r="WRB30" s="1266"/>
      <c r="WRC30" s="1266"/>
      <c r="WRD30" s="1266"/>
      <c r="WRE30" s="1266"/>
      <c r="WRF30" s="1266"/>
      <c r="WRG30" s="1266"/>
      <c r="WRH30" s="1266"/>
      <c r="WRI30" s="1266"/>
      <c r="WRJ30" s="1266"/>
      <c r="WRK30" s="1266"/>
      <c r="WRL30" s="1266"/>
      <c r="WRM30" s="1266"/>
      <c r="WRN30" s="1266"/>
      <c r="WRO30" s="1266"/>
      <c r="WRP30" s="1266"/>
      <c r="WRQ30" s="1266"/>
      <c r="WRR30" s="1266"/>
      <c r="WRS30" s="1266"/>
      <c r="WRT30" s="1266"/>
      <c r="WRU30" s="1266"/>
      <c r="WRV30" s="1266"/>
      <c r="WRW30" s="1266"/>
      <c r="WRX30" s="1266"/>
      <c r="WRY30" s="1266"/>
      <c r="WRZ30" s="1266"/>
      <c r="WSA30" s="1266"/>
      <c r="WSB30" s="1266"/>
      <c r="WSC30" s="1266"/>
      <c r="WSD30" s="1266"/>
      <c r="WSE30" s="1266"/>
      <c r="WSF30" s="1266"/>
      <c r="WSG30" s="1266"/>
      <c r="WSH30" s="1266"/>
      <c r="WSI30" s="1266"/>
      <c r="WSJ30" s="1266"/>
      <c r="WSK30" s="1266"/>
      <c r="WSL30" s="1266"/>
      <c r="WSM30" s="1266"/>
      <c r="WSN30" s="1266"/>
      <c r="WSO30" s="1266"/>
      <c r="WSP30" s="1266"/>
      <c r="WSQ30" s="1266"/>
      <c r="WSR30" s="1266"/>
      <c r="WSS30" s="1266"/>
      <c r="WST30" s="1266"/>
      <c r="WSU30" s="1266"/>
      <c r="WSV30" s="1266"/>
      <c r="WSW30" s="1266"/>
      <c r="WSX30" s="1266"/>
      <c r="WSY30" s="1266"/>
      <c r="WSZ30" s="1266"/>
      <c r="WTA30" s="1266"/>
      <c r="WTB30" s="1266"/>
      <c r="WTC30" s="1266"/>
      <c r="WTD30" s="1266"/>
      <c r="WTE30" s="1266"/>
      <c r="WTF30" s="1266"/>
      <c r="WTG30" s="1266"/>
      <c r="WTH30" s="1266"/>
      <c r="WTI30" s="1266"/>
      <c r="WTJ30" s="1266"/>
      <c r="WTK30" s="1266"/>
      <c r="WTL30" s="1266"/>
      <c r="WTM30" s="1266"/>
      <c r="WTN30" s="1266"/>
      <c r="WTO30" s="1266"/>
      <c r="WTP30" s="1266"/>
      <c r="WTQ30" s="1266"/>
      <c r="WTR30" s="1266"/>
      <c r="WTS30" s="1266"/>
      <c r="WTT30" s="1266"/>
      <c r="WTU30" s="1266"/>
      <c r="WTV30" s="1266"/>
      <c r="WTW30" s="1266"/>
      <c r="WTX30" s="1266"/>
      <c r="WTY30" s="1266"/>
      <c r="WTZ30" s="1266"/>
      <c r="WUA30" s="1266"/>
      <c r="WUB30" s="1266"/>
      <c r="WUC30" s="1266"/>
      <c r="WUD30" s="1266"/>
      <c r="WUE30" s="1266"/>
      <c r="WUF30" s="1266"/>
      <c r="WUG30" s="1266"/>
      <c r="WUH30" s="1266"/>
      <c r="WUI30" s="1266"/>
      <c r="WUJ30" s="1266"/>
      <c r="WUK30" s="1266"/>
      <c r="WUL30" s="1266"/>
      <c r="WUM30" s="1266"/>
      <c r="WUN30" s="1266"/>
      <c r="WUO30" s="1266"/>
      <c r="WUP30" s="1266"/>
      <c r="WUQ30" s="1266"/>
      <c r="WUR30" s="1266"/>
      <c r="WUS30" s="1266"/>
      <c r="WUT30" s="1266"/>
      <c r="WUU30" s="1266"/>
      <c r="WUV30" s="1266"/>
      <c r="WUW30" s="1266"/>
      <c r="WUX30" s="1266"/>
      <c r="WUY30" s="1266"/>
      <c r="WUZ30" s="1266"/>
      <c r="WVA30" s="1266"/>
      <c r="WVB30" s="1266"/>
      <c r="WVC30" s="1266"/>
      <c r="WVD30" s="1266"/>
      <c r="WVE30" s="1266"/>
      <c r="WVF30" s="1266"/>
      <c r="WVG30" s="1266"/>
      <c r="WVH30" s="1266"/>
      <c r="WVI30" s="1266"/>
      <c r="WVJ30" s="1266"/>
      <c r="WVK30" s="1266"/>
      <c r="WVL30" s="1266"/>
      <c r="WVM30" s="1266"/>
      <c r="WVN30" s="1266"/>
      <c r="WVO30" s="1266"/>
      <c r="WVP30" s="1266"/>
      <c r="WVQ30" s="1266"/>
      <c r="WVR30" s="1266"/>
      <c r="WVS30" s="1266"/>
      <c r="WVT30" s="1266"/>
      <c r="WVU30" s="1266"/>
      <c r="WVV30" s="1266"/>
      <c r="WVW30" s="1266"/>
      <c r="WVX30" s="1266"/>
      <c r="WVY30" s="1266"/>
      <c r="WVZ30" s="1266"/>
      <c r="WWA30" s="1266"/>
      <c r="WWB30" s="1266"/>
      <c r="WWC30" s="1266"/>
      <c r="WWD30" s="1266"/>
      <c r="WWE30" s="1266"/>
      <c r="WWF30" s="1266"/>
      <c r="WWG30" s="1266"/>
      <c r="WWH30" s="1266"/>
      <c r="WWI30" s="1266"/>
      <c r="WWJ30" s="1266"/>
      <c r="WWK30" s="1266"/>
      <c r="WWL30" s="1266"/>
      <c r="WWM30" s="1266"/>
      <c r="WWN30" s="1266"/>
      <c r="WWO30" s="1266"/>
      <c r="WWP30" s="1266"/>
      <c r="WWQ30" s="1266"/>
      <c r="WWR30" s="1266"/>
      <c r="WWS30" s="1266"/>
      <c r="WWT30" s="1266"/>
      <c r="WWU30" s="1266"/>
      <c r="WWV30" s="1266"/>
      <c r="WWW30" s="1266"/>
      <c r="WWX30" s="1266"/>
      <c r="WWY30" s="1266"/>
      <c r="WWZ30" s="1266"/>
      <c r="WXA30" s="1266"/>
      <c r="WXB30" s="1266"/>
      <c r="WXC30" s="1266"/>
      <c r="WXD30" s="1266"/>
      <c r="WXE30" s="1266"/>
      <c r="WXF30" s="1266"/>
      <c r="WXG30" s="1266"/>
      <c r="WXH30" s="1266"/>
      <c r="WXI30" s="1266"/>
      <c r="WXJ30" s="1266"/>
      <c r="WXK30" s="1266"/>
      <c r="WXL30" s="1266"/>
      <c r="WXM30" s="1266"/>
      <c r="WXN30" s="1266"/>
      <c r="WXO30" s="1266"/>
      <c r="WXP30" s="1266"/>
      <c r="WXQ30" s="1266"/>
      <c r="WXR30" s="1266"/>
      <c r="WXS30" s="1266"/>
      <c r="WXT30" s="1266"/>
      <c r="WXU30" s="1266"/>
      <c r="WXV30" s="1266"/>
      <c r="WXW30" s="1266"/>
      <c r="WXX30" s="1266"/>
      <c r="WXY30" s="1266"/>
      <c r="WXZ30" s="1266"/>
      <c r="WYA30" s="1266"/>
      <c r="WYB30" s="1266"/>
      <c r="WYC30" s="1266"/>
      <c r="WYD30" s="1266"/>
      <c r="WYE30" s="1266"/>
      <c r="WYF30" s="1266"/>
      <c r="WYG30" s="1266"/>
      <c r="WYH30" s="1266"/>
      <c r="WYI30" s="1266"/>
      <c r="WYJ30" s="1266"/>
      <c r="WYK30" s="1266"/>
      <c r="WYL30" s="1266"/>
      <c r="WYM30" s="1266"/>
      <c r="WYN30" s="1266"/>
      <c r="WYO30" s="1266"/>
      <c r="WYP30" s="1266"/>
      <c r="WYQ30" s="1266"/>
      <c r="WYR30" s="1266"/>
      <c r="WYS30" s="1266"/>
      <c r="WYT30" s="1266"/>
      <c r="WYU30" s="1266"/>
      <c r="WYV30" s="1266"/>
      <c r="WYW30" s="1266"/>
      <c r="WYX30" s="1266"/>
      <c r="WYY30" s="1266"/>
      <c r="WYZ30" s="1266"/>
      <c r="WZA30" s="1266"/>
      <c r="WZB30" s="1266"/>
      <c r="WZC30" s="1266"/>
      <c r="WZD30" s="1266"/>
      <c r="WZE30" s="1266"/>
      <c r="WZF30" s="1266"/>
      <c r="WZG30" s="1266"/>
      <c r="WZH30" s="1266"/>
      <c r="WZI30" s="1266"/>
      <c r="WZJ30" s="1266"/>
      <c r="WZK30" s="1266"/>
      <c r="WZL30" s="1266"/>
      <c r="WZM30" s="1266"/>
      <c r="WZN30" s="1266"/>
      <c r="WZO30" s="1266"/>
      <c r="WZP30" s="1266"/>
      <c r="WZQ30" s="1266"/>
      <c r="WZR30" s="1266"/>
      <c r="WZS30" s="1266"/>
      <c r="WZT30" s="1266"/>
      <c r="WZU30" s="1266"/>
      <c r="WZV30" s="1266"/>
      <c r="WZW30" s="1266"/>
      <c r="WZX30" s="1266"/>
      <c r="WZY30" s="1266"/>
      <c r="WZZ30" s="1266"/>
      <c r="XAA30" s="1266"/>
      <c r="XAB30" s="1266"/>
      <c r="XAC30" s="1266"/>
      <c r="XAD30" s="1266"/>
      <c r="XAE30" s="1266"/>
      <c r="XAF30" s="1266"/>
      <c r="XAG30" s="1266"/>
      <c r="XAH30" s="1266"/>
      <c r="XAI30" s="1266"/>
      <c r="XAJ30" s="1266"/>
      <c r="XAK30" s="1266"/>
      <c r="XAL30" s="1266"/>
      <c r="XAM30" s="1266"/>
      <c r="XAN30" s="1266"/>
      <c r="XAO30" s="1266"/>
      <c r="XAP30" s="1266"/>
      <c r="XAQ30" s="1266"/>
      <c r="XAR30" s="1266"/>
      <c r="XAS30" s="1266"/>
      <c r="XAT30" s="1266"/>
      <c r="XAU30" s="1266"/>
      <c r="XAV30" s="1266"/>
      <c r="XAW30" s="1266"/>
      <c r="XAX30" s="1266"/>
      <c r="XAY30" s="1266"/>
      <c r="XAZ30" s="1266"/>
      <c r="XBA30" s="1266"/>
      <c r="XBB30" s="1266"/>
      <c r="XBC30" s="1266"/>
      <c r="XBD30" s="1266"/>
      <c r="XBE30" s="1266"/>
      <c r="XBF30" s="1266"/>
      <c r="XBG30" s="1266"/>
      <c r="XBH30" s="1266"/>
      <c r="XBI30" s="1266"/>
      <c r="XBJ30" s="1266"/>
      <c r="XBK30" s="1266"/>
      <c r="XBL30" s="1266"/>
      <c r="XBM30" s="1266"/>
      <c r="XBN30" s="1266"/>
      <c r="XBO30" s="1266"/>
      <c r="XBP30" s="1266"/>
      <c r="XBQ30" s="1266"/>
      <c r="XBR30" s="1266"/>
      <c r="XBS30" s="1266"/>
      <c r="XBT30" s="1266"/>
      <c r="XBU30" s="1266"/>
      <c r="XBV30" s="1266"/>
      <c r="XBW30" s="1266"/>
      <c r="XBX30" s="1266"/>
      <c r="XBY30" s="1266"/>
      <c r="XBZ30" s="1266"/>
      <c r="XCA30" s="1266"/>
      <c r="XCB30" s="1266"/>
      <c r="XCC30" s="1266"/>
      <c r="XCD30" s="1266"/>
      <c r="XCE30" s="1266"/>
      <c r="XCF30" s="1266"/>
      <c r="XCG30" s="1266"/>
      <c r="XCH30" s="1266"/>
      <c r="XCI30" s="1266"/>
      <c r="XCJ30" s="1266"/>
      <c r="XCK30" s="1266"/>
      <c r="XCL30" s="1266"/>
      <c r="XCM30" s="1266"/>
      <c r="XCN30" s="1266"/>
      <c r="XCO30" s="1266"/>
      <c r="XCP30" s="1266"/>
      <c r="XCQ30" s="1266"/>
      <c r="XCR30" s="1266"/>
      <c r="XCS30" s="1266"/>
      <c r="XCT30" s="1266"/>
      <c r="XCU30" s="1266"/>
      <c r="XCV30" s="1266"/>
      <c r="XCW30" s="1266"/>
      <c r="XCX30" s="1266"/>
      <c r="XCY30" s="1266"/>
      <c r="XCZ30" s="1266"/>
      <c r="XDA30" s="1266"/>
      <c r="XDB30" s="1266"/>
      <c r="XDC30" s="1266"/>
      <c r="XDD30" s="1266"/>
      <c r="XDE30" s="1266"/>
      <c r="XDF30" s="1266"/>
      <c r="XDG30" s="1266"/>
      <c r="XDH30" s="1266"/>
      <c r="XDI30" s="1266"/>
      <c r="XDJ30" s="1266"/>
      <c r="XDK30" s="1266"/>
      <c r="XDL30" s="1266"/>
      <c r="XDM30" s="1266"/>
      <c r="XDN30" s="1266"/>
      <c r="XDO30" s="1266"/>
      <c r="XDP30" s="1266"/>
      <c r="XDQ30" s="1266"/>
      <c r="XDR30" s="1266"/>
      <c r="XDS30" s="1266"/>
      <c r="XDT30" s="1266"/>
      <c r="XDU30" s="1266"/>
      <c r="XDV30" s="1266"/>
      <c r="XDW30" s="1266"/>
      <c r="XDX30" s="1266"/>
      <c r="XDY30" s="1266"/>
      <c r="XDZ30" s="1266"/>
      <c r="XEA30" s="1266"/>
      <c r="XEB30" s="1266"/>
      <c r="XEC30" s="1266"/>
      <c r="XED30" s="1266"/>
      <c r="XEE30" s="1266"/>
      <c r="XEF30" s="1266"/>
      <c r="XEG30" s="1266"/>
      <c r="XEH30" s="1266"/>
      <c r="XEI30" s="1266"/>
      <c r="XEJ30" s="1266"/>
      <c r="XEK30" s="1266"/>
      <c r="XEL30" s="1266"/>
      <c r="XEM30" s="1266"/>
      <c r="XEN30" s="1266"/>
      <c r="XEO30" s="1266"/>
      <c r="XEP30" s="1266"/>
      <c r="XEQ30" s="1266"/>
      <c r="XER30" s="1266"/>
      <c r="XES30" s="1266"/>
      <c r="XET30" s="1266"/>
      <c r="XEU30" s="1266"/>
      <c r="XEV30" s="1266"/>
      <c r="XEW30" s="1266"/>
      <c r="XEX30" s="1266"/>
      <c r="XEY30" s="1266"/>
      <c r="XEZ30" s="1266"/>
      <c r="XFA30" s="1266"/>
      <c r="XFB30" s="1266"/>
      <c r="XFC30" s="1266"/>
      <c r="XFD30" s="1266"/>
    </row>
    <row r="31" spans="1:16384" s="972" customFormat="1" ht="42.75" customHeight="1">
      <c r="A31" s="1267" t="s">
        <v>702</v>
      </c>
      <c r="B31" s="1267"/>
      <c r="C31" s="1268" t="e">
        <f>+SUM(cuadro!L13:L24)</f>
        <v>#REF!</v>
      </c>
      <c r="D31" s="1268"/>
      <c r="E31" s="1266"/>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c r="CB31" s="1266"/>
      <c r="CC31" s="1266"/>
      <c r="CD31" s="1266"/>
      <c r="CE31" s="1266"/>
      <c r="CF31" s="1266"/>
      <c r="CG31" s="1266"/>
      <c r="CH31" s="1266"/>
      <c r="CI31" s="1266"/>
      <c r="CJ31" s="1266"/>
      <c r="CK31" s="1266"/>
      <c r="CL31" s="1266"/>
      <c r="CM31" s="1266"/>
      <c r="CN31" s="1266"/>
      <c r="CO31" s="1266"/>
      <c r="CP31" s="1266"/>
      <c r="CQ31" s="1266"/>
      <c r="CR31" s="1266"/>
      <c r="CS31" s="1266"/>
      <c r="CT31" s="1266"/>
      <c r="CU31" s="1266"/>
      <c r="CV31" s="1266"/>
      <c r="CW31" s="1266"/>
      <c r="CX31" s="1266"/>
      <c r="CY31" s="1266"/>
      <c r="CZ31" s="1266"/>
      <c r="DA31" s="1266"/>
      <c r="DB31" s="1266"/>
      <c r="DC31" s="1266"/>
      <c r="DD31" s="1266"/>
      <c r="DE31" s="1266"/>
      <c r="DF31" s="1266"/>
      <c r="DG31" s="1266"/>
      <c r="DH31" s="1266"/>
      <c r="DI31" s="1266"/>
      <c r="DJ31" s="1266"/>
      <c r="DK31" s="1266"/>
      <c r="DL31" s="1266"/>
      <c r="DM31" s="1266"/>
      <c r="DN31" s="1266"/>
      <c r="DO31" s="1266"/>
      <c r="DP31" s="1266"/>
      <c r="DQ31" s="1266"/>
      <c r="DR31" s="1266"/>
      <c r="DS31" s="1266"/>
      <c r="DT31" s="1266"/>
      <c r="DU31" s="1266"/>
      <c r="DV31" s="1266"/>
      <c r="DW31" s="1266"/>
      <c r="DX31" s="1266"/>
      <c r="DY31" s="1266"/>
      <c r="DZ31" s="1266"/>
      <c r="EA31" s="1266"/>
      <c r="EB31" s="1266"/>
      <c r="EC31" s="1266"/>
      <c r="ED31" s="1266"/>
      <c r="EE31" s="1266"/>
      <c r="EF31" s="1266"/>
      <c r="EG31" s="1266"/>
      <c r="EH31" s="1266"/>
      <c r="EI31" s="1266"/>
      <c r="EJ31" s="1266"/>
      <c r="EK31" s="1266"/>
      <c r="EL31" s="1266"/>
      <c r="EM31" s="1266"/>
      <c r="EN31" s="1266"/>
      <c r="EO31" s="1266"/>
      <c r="EP31" s="1266"/>
      <c r="EQ31" s="1266"/>
      <c r="ER31" s="1266"/>
      <c r="ES31" s="1266"/>
      <c r="ET31" s="1266"/>
      <c r="EU31" s="1266"/>
      <c r="EV31" s="1266"/>
      <c r="EW31" s="1266"/>
      <c r="EX31" s="1266"/>
      <c r="EY31" s="1266"/>
      <c r="EZ31" s="1266"/>
      <c r="FA31" s="1266"/>
      <c r="FB31" s="1266"/>
      <c r="FC31" s="1266"/>
      <c r="FD31" s="1266"/>
      <c r="FE31" s="1266"/>
      <c r="FF31" s="1266"/>
      <c r="FG31" s="1266"/>
      <c r="FH31" s="1266"/>
      <c r="FI31" s="1266"/>
      <c r="FJ31" s="1266"/>
      <c r="FK31" s="1266"/>
      <c r="FL31" s="1266"/>
      <c r="FM31" s="1266"/>
      <c r="FN31" s="1266"/>
      <c r="FO31" s="1266"/>
      <c r="FP31" s="1266"/>
      <c r="FQ31" s="1266"/>
      <c r="FR31" s="1266"/>
      <c r="FS31" s="1266"/>
      <c r="FT31" s="1266"/>
      <c r="FU31" s="1266"/>
      <c r="FV31" s="1266"/>
      <c r="FW31" s="1266"/>
      <c r="FX31" s="1266"/>
      <c r="FY31" s="1266"/>
      <c r="FZ31" s="1266"/>
      <c r="GA31" s="1266"/>
      <c r="GB31" s="1266"/>
      <c r="GC31" s="1266"/>
      <c r="GD31" s="1266"/>
      <c r="GE31" s="1266"/>
      <c r="GF31" s="1266"/>
      <c r="GG31" s="1266"/>
      <c r="GH31" s="1266"/>
      <c r="GI31" s="1266"/>
      <c r="GJ31" s="1266"/>
      <c r="GK31" s="1266"/>
      <c r="GL31" s="1266"/>
      <c r="GM31" s="1266"/>
      <c r="GN31" s="1266"/>
      <c r="GO31" s="1266"/>
      <c r="GP31" s="1266"/>
      <c r="GQ31" s="1266"/>
      <c r="GR31" s="1266"/>
      <c r="GS31" s="1266"/>
      <c r="GT31" s="1266"/>
      <c r="GU31" s="1266"/>
      <c r="GV31" s="1266"/>
      <c r="GW31" s="1266"/>
      <c r="GX31" s="1266"/>
      <c r="GY31" s="1266"/>
      <c r="GZ31" s="1266"/>
      <c r="HA31" s="1266"/>
      <c r="HB31" s="1266"/>
      <c r="HC31" s="1266"/>
      <c r="HD31" s="1266"/>
      <c r="HE31" s="1266"/>
      <c r="HF31" s="1266"/>
      <c r="HG31" s="1266"/>
      <c r="HH31" s="1266"/>
      <c r="HI31" s="1266"/>
      <c r="HJ31" s="1266"/>
      <c r="HK31" s="1266"/>
      <c r="HL31" s="1266"/>
      <c r="HM31" s="1266"/>
      <c r="HN31" s="1266"/>
      <c r="HO31" s="1266"/>
      <c r="HP31" s="1266"/>
      <c r="HQ31" s="1266"/>
      <c r="HR31" s="1266"/>
      <c r="HS31" s="1266"/>
      <c r="HT31" s="1266"/>
      <c r="HU31" s="1266"/>
      <c r="HV31" s="1266"/>
      <c r="HW31" s="1266"/>
      <c r="HX31" s="1266"/>
      <c r="HY31" s="1266"/>
      <c r="HZ31" s="1266"/>
      <c r="IA31" s="1266"/>
      <c r="IB31" s="1266"/>
      <c r="IC31" s="1266"/>
      <c r="ID31" s="1266"/>
      <c r="IE31" s="1266"/>
      <c r="IF31" s="1266"/>
      <c r="IG31" s="1266"/>
      <c r="IH31" s="1266"/>
      <c r="II31" s="1266"/>
      <c r="IJ31" s="1266"/>
      <c r="IK31" s="1266"/>
      <c r="IL31" s="1266"/>
      <c r="IM31" s="1266"/>
      <c r="IN31" s="1266"/>
      <c r="IO31" s="1266"/>
      <c r="IP31" s="1266"/>
      <c r="IQ31" s="1266"/>
      <c r="IR31" s="1266"/>
      <c r="IS31" s="1266"/>
      <c r="IT31" s="1266"/>
      <c r="IU31" s="1266"/>
      <c r="IV31" s="1266"/>
      <c r="IW31" s="1266"/>
      <c r="IX31" s="1266"/>
      <c r="IY31" s="1266"/>
      <c r="IZ31" s="1266"/>
      <c r="JA31" s="1266"/>
      <c r="JB31" s="1266"/>
      <c r="JC31" s="1266"/>
      <c r="JD31" s="1266"/>
      <c r="JE31" s="1266"/>
      <c r="JF31" s="1266"/>
      <c r="JG31" s="1266"/>
      <c r="JH31" s="1266"/>
      <c r="JI31" s="1266"/>
      <c r="JJ31" s="1266"/>
      <c r="JK31" s="1266"/>
      <c r="JL31" s="1266"/>
      <c r="JM31" s="1266"/>
      <c r="JN31" s="1266"/>
      <c r="JO31" s="1266"/>
      <c r="JP31" s="1266"/>
      <c r="JQ31" s="1266"/>
      <c r="JR31" s="1266"/>
      <c r="JS31" s="1266"/>
      <c r="JT31" s="1266"/>
      <c r="JU31" s="1266"/>
      <c r="JV31" s="1266"/>
      <c r="JW31" s="1266"/>
      <c r="JX31" s="1266"/>
      <c r="JY31" s="1266"/>
      <c r="JZ31" s="1266"/>
      <c r="KA31" s="1266"/>
      <c r="KB31" s="1266"/>
      <c r="KC31" s="1266"/>
      <c r="KD31" s="1266"/>
      <c r="KE31" s="1266"/>
      <c r="KF31" s="1266"/>
      <c r="KG31" s="1266"/>
      <c r="KH31" s="1266"/>
      <c r="KI31" s="1266"/>
      <c r="KJ31" s="1266"/>
      <c r="KK31" s="1266"/>
      <c r="KL31" s="1266"/>
      <c r="KM31" s="1266"/>
      <c r="KN31" s="1266"/>
      <c r="KO31" s="1266"/>
      <c r="KP31" s="1266"/>
      <c r="KQ31" s="1266"/>
      <c r="KR31" s="1266"/>
      <c r="KS31" s="1266"/>
      <c r="KT31" s="1266"/>
      <c r="KU31" s="1266"/>
      <c r="KV31" s="1266"/>
      <c r="KW31" s="1266"/>
      <c r="KX31" s="1266"/>
      <c r="KY31" s="1266"/>
      <c r="KZ31" s="1266"/>
      <c r="LA31" s="1266"/>
      <c r="LB31" s="1266"/>
      <c r="LC31" s="1266"/>
      <c r="LD31" s="1266"/>
      <c r="LE31" s="1266"/>
      <c r="LF31" s="1266"/>
      <c r="LG31" s="1266"/>
      <c r="LH31" s="1266"/>
      <c r="LI31" s="1266"/>
      <c r="LJ31" s="1266"/>
      <c r="LK31" s="1266"/>
      <c r="LL31" s="1266"/>
      <c r="LM31" s="1266"/>
      <c r="LN31" s="1266"/>
      <c r="LO31" s="1266"/>
      <c r="LP31" s="1266"/>
      <c r="LQ31" s="1266"/>
      <c r="LR31" s="1266"/>
      <c r="LS31" s="1266"/>
      <c r="LT31" s="1266"/>
      <c r="LU31" s="1266"/>
      <c r="LV31" s="1266"/>
      <c r="LW31" s="1266"/>
      <c r="LX31" s="1266"/>
      <c r="LY31" s="1266"/>
      <c r="LZ31" s="1266"/>
      <c r="MA31" s="1266"/>
      <c r="MB31" s="1266"/>
      <c r="MC31" s="1266"/>
      <c r="MD31" s="1266"/>
      <c r="ME31" s="1266"/>
      <c r="MF31" s="1266"/>
      <c r="MG31" s="1266"/>
      <c r="MH31" s="1266"/>
      <c r="MI31" s="1266"/>
      <c r="MJ31" s="1266"/>
      <c r="MK31" s="1266"/>
      <c r="ML31" s="1266"/>
      <c r="MM31" s="1266"/>
      <c r="MN31" s="1266"/>
      <c r="MO31" s="1266"/>
      <c r="MP31" s="1266"/>
      <c r="MQ31" s="1266"/>
      <c r="MR31" s="1266"/>
      <c r="MS31" s="1266"/>
      <c r="MT31" s="1266"/>
      <c r="MU31" s="1266"/>
      <c r="MV31" s="1266"/>
      <c r="MW31" s="1266"/>
      <c r="MX31" s="1266"/>
      <c r="MY31" s="1266"/>
      <c r="MZ31" s="1266"/>
      <c r="NA31" s="1266"/>
      <c r="NB31" s="1266"/>
      <c r="NC31" s="1266"/>
      <c r="ND31" s="1266"/>
      <c r="NE31" s="1266"/>
      <c r="NF31" s="1266"/>
      <c r="NG31" s="1266"/>
      <c r="NH31" s="1266"/>
      <c r="NI31" s="1266"/>
      <c r="NJ31" s="1266"/>
      <c r="NK31" s="1266"/>
      <c r="NL31" s="1266"/>
      <c r="NM31" s="1266"/>
      <c r="NN31" s="1266"/>
      <c r="NO31" s="1266"/>
      <c r="NP31" s="1266"/>
      <c r="NQ31" s="1266"/>
      <c r="NR31" s="1266"/>
      <c r="NS31" s="1266"/>
      <c r="NT31" s="1266"/>
      <c r="NU31" s="1266"/>
      <c r="NV31" s="1266"/>
      <c r="NW31" s="1266"/>
      <c r="NX31" s="1266"/>
      <c r="NY31" s="1266"/>
      <c r="NZ31" s="1266"/>
      <c r="OA31" s="1266"/>
      <c r="OB31" s="1266"/>
      <c r="OC31" s="1266"/>
      <c r="OD31" s="1266"/>
      <c r="OE31" s="1266"/>
      <c r="OF31" s="1266"/>
      <c r="OG31" s="1266"/>
      <c r="OH31" s="1266"/>
      <c r="OI31" s="1266"/>
      <c r="OJ31" s="1266"/>
      <c r="OK31" s="1266"/>
      <c r="OL31" s="1266"/>
      <c r="OM31" s="1266"/>
      <c r="ON31" s="1266"/>
      <c r="OO31" s="1266"/>
      <c r="OP31" s="1266"/>
      <c r="OQ31" s="1266"/>
      <c r="OR31" s="1266"/>
      <c r="OS31" s="1266"/>
      <c r="OT31" s="1266"/>
      <c r="OU31" s="1266"/>
      <c r="OV31" s="1266"/>
      <c r="OW31" s="1266"/>
      <c r="OX31" s="1266"/>
      <c r="OY31" s="1266"/>
      <c r="OZ31" s="1266"/>
      <c r="PA31" s="1266"/>
      <c r="PB31" s="1266"/>
      <c r="PC31" s="1266"/>
      <c r="PD31" s="1266"/>
      <c r="PE31" s="1266"/>
      <c r="PF31" s="1266"/>
      <c r="PG31" s="1266"/>
      <c r="PH31" s="1266"/>
      <c r="PI31" s="1266"/>
      <c r="PJ31" s="1266"/>
      <c r="PK31" s="1266"/>
      <c r="PL31" s="1266"/>
      <c r="PM31" s="1266"/>
      <c r="PN31" s="1266"/>
      <c r="PO31" s="1266"/>
      <c r="PP31" s="1266"/>
      <c r="PQ31" s="1266"/>
      <c r="PR31" s="1266"/>
      <c r="PS31" s="1266"/>
      <c r="PT31" s="1266"/>
      <c r="PU31" s="1266"/>
      <c r="PV31" s="1266"/>
      <c r="PW31" s="1266"/>
      <c r="PX31" s="1266"/>
      <c r="PY31" s="1266"/>
      <c r="PZ31" s="1266"/>
      <c r="QA31" s="1266"/>
      <c r="QB31" s="1266"/>
      <c r="QC31" s="1266"/>
      <c r="QD31" s="1266"/>
      <c r="QE31" s="1266"/>
      <c r="QF31" s="1266"/>
      <c r="QG31" s="1266"/>
      <c r="QH31" s="1266"/>
      <c r="QI31" s="1266"/>
      <c r="QJ31" s="1266"/>
      <c r="QK31" s="1266"/>
      <c r="QL31" s="1266"/>
      <c r="QM31" s="1266"/>
      <c r="QN31" s="1266"/>
      <c r="QO31" s="1266"/>
      <c r="QP31" s="1266"/>
      <c r="QQ31" s="1266"/>
      <c r="QR31" s="1266"/>
      <c r="QS31" s="1266"/>
      <c r="QT31" s="1266"/>
      <c r="QU31" s="1266"/>
      <c r="QV31" s="1266"/>
      <c r="QW31" s="1266"/>
      <c r="QX31" s="1266"/>
      <c r="QY31" s="1266"/>
      <c r="QZ31" s="1266"/>
      <c r="RA31" s="1266"/>
      <c r="RB31" s="1266"/>
      <c r="RC31" s="1266"/>
      <c r="RD31" s="1266"/>
      <c r="RE31" s="1266"/>
      <c r="RF31" s="1266"/>
      <c r="RG31" s="1266"/>
      <c r="RH31" s="1266"/>
      <c r="RI31" s="1266"/>
      <c r="RJ31" s="1266"/>
      <c r="RK31" s="1266"/>
      <c r="RL31" s="1266"/>
      <c r="RM31" s="1266"/>
      <c r="RN31" s="1266"/>
      <c r="RO31" s="1266"/>
      <c r="RP31" s="1266"/>
      <c r="RQ31" s="1266"/>
      <c r="RR31" s="1266"/>
      <c r="RS31" s="1266"/>
      <c r="RT31" s="1266"/>
      <c r="RU31" s="1266"/>
      <c r="RV31" s="1266"/>
      <c r="RW31" s="1266"/>
      <c r="RX31" s="1266"/>
      <c r="RY31" s="1266"/>
      <c r="RZ31" s="1266"/>
      <c r="SA31" s="1266"/>
      <c r="SB31" s="1266"/>
      <c r="SC31" s="1266"/>
      <c r="SD31" s="1266"/>
      <c r="SE31" s="1266"/>
      <c r="SF31" s="1266"/>
      <c r="SG31" s="1266"/>
      <c r="SH31" s="1266"/>
      <c r="SI31" s="1266"/>
      <c r="SJ31" s="1266"/>
      <c r="SK31" s="1266"/>
      <c r="SL31" s="1266"/>
      <c r="SM31" s="1266"/>
      <c r="SN31" s="1266"/>
      <c r="SO31" s="1266"/>
      <c r="SP31" s="1266"/>
      <c r="SQ31" s="1266"/>
      <c r="SR31" s="1266"/>
      <c r="SS31" s="1266"/>
      <c r="ST31" s="1266"/>
      <c r="SU31" s="1266"/>
      <c r="SV31" s="1266"/>
      <c r="SW31" s="1266"/>
      <c r="SX31" s="1266"/>
      <c r="SY31" s="1266"/>
      <c r="SZ31" s="1266"/>
      <c r="TA31" s="1266"/>
      <c r="TB31" s="1266"/>
      <c r="TC31" s="1266"/>
      <c r="TD31" s="1266"/>
      <c r="TE31" s="1266"/>
      <c r="TF31" s="1266"/>
      <c r="TG31" s="1266"/>
      <c r="TH31" s="1266"/>
      <c r="TI31" s="1266"/>
      <c r="TJ31" s="1266"/>
      <c r="TK31" s="1266"/>
      <c r="TL31" s="1266"/>
      <c r="TM31" s="1266"/>
      <c r="TN31" s="1266"/>
      <c r="TO31" s="1266"/>
      <c r="TP31" s="1266"/>
      <c r="TQ31" s="1266"/>
      <c r="TR31" s="1266"/>
      <c r="TS31" s="1266"/>
      <c r="TT31" s="1266"/>
      <c r="TU31" s="1266"/>
      <c r="TV31" s="1266"/>
      <c r="TW31" s="1266"/>
      <c r="TX31" s="1266"/>
      <c r="TY31" s="1266"/>
      <c r="TZ31" s="1266"/>
      <c r="UA31" s="1266"/>
      <c r="UB31" s="1266"/>
      <c r="UC31" s="1266"/>
      <c r="UD31" s="1266"/>
      <c r="UE31" s="1266"/>
      <c r="UF31" s="1266"/>
      <c r="UG31" s="1266"/>
      <c r="UH31" s="1266"/>
      <c r="UI31" s="1266"/>
      <c r="UJ31" s="1266"/>
      <c r="UK31" s="1266"/>
      <c r="UL31" s="1266"/>
      <c r="UM31" s="1266"/>
      <c r="UN31" s="1266"/>
      <c r="UO31" s="1266"/>
      <c r="UP31" s="1266"/>
      <c r="UQ31" s="1266"/>
      <c r="UR31" s="1266"/>
      <c r="US31" s="1266"/>
      <c r="UT31" s="1266"/>
      <c r="UU31" s="1266"/>
      <c r="UV31" s="1266"/>
      <c r="UW31" s="1266"/>
      <c r="UX31" s="1266"/>
      <c r="UY31" s="1266"/>
      <c r="UZ31" s="1266"/>
      <c r="VA31" s="1266"/>
      <c r="VB31" s="1266"/>
      <c r="VC31" s="1266"/>
      <c r="VD31" s="1266"/>
      <c r="VE31" s="1266"/>
      <c r="VF31" s="1266"/>
      <c r="VG31" s="1266"/>
      <c r="VH31" s="1266"/>
      <c r="VI31" s="1266"/>
      <c r="VJ31" s="1266"/>
      <c r="VK31" s="1266"/>
      <c r="VL31" s="1266"/>
      <c r="VM31" s="1266"/>
      <c r="VN31" s="1266"/>
      <c r="VO31" s="1266"/>
      <c r="VP31" s="1266"/>
      <c r="VQ31" s="1266"/>
      <c r="VR31" s="1266"/>
      <c r="VS31" s="1266"/>
      <c r="VT31" s="1266"/>
      <c r="VU31" s="1266"/>
      <c r="VV31" s="1266"/>
      <c r="VW31" s="1266"/>
      <c r="VX31" s="1266"/>
      <c r="VY31" s="1266"/>
      <c r="VZ31" s="1266"/>
      <c r="WA31" s="1266"/>
      <c r="WB31" s="1266"/>
      <c r="WC31" s="1266"/>
      <c r="WD31" s="1266"/>
      <c r="WE31" s="1266"/>
      <c r="WF31" s="1266"/>
      <c r="WG31" s="1266"/>
      <c r="WH31" s="1266"/>
      <c r="WI31" s="1266"/>
      <c r="WJ31" s="1266"/>
      <c r="WK31" s="1266"/>
      <c r="WL31" s="1266"/>
      <c r="WM31" s="1266"/>
      <c r="WN31" s="1266"/>
      <c r="WO31" s="1266"/>
      <c r="WP31" s="1266"/>
      <c r="WQ31" s="1266"/>
      <c r="WR31" s="1266"/>
      <c r="WS31" s="1266"/>
      <c r="WT31" s="1266"/>
      <c r="WU31" s="1266"/>
      <c r="WV31" s="1266"/>
      <c r="WW31" s="1266"/>
      <c r="WX31" s="1266"/>
      <c r="WY31" s="1266"/>
      <c r="WZ31" s="1266"/>
      <c r="XA31" s="1266"/>
      <c r="XB31" s="1266"/>
      <c r="XC31" s="1266"/>
      <c r="XD31" s="1266"/>
      <c r="XE31" s="1266"/>
      <c r="XF31" s="1266"/>
      <c r="XG31" s="1266"/>
      <c r="XH31" s="1266"/>
      <c r="XI31" s="1266"/>
      <c r="XJ31" s="1266"/>
      <c r="XK31" s="1266"/>
      <c r="XL31" s="1266"/>
      <c r="XM31" s="1266"/>
      <c r="XN31" s="1266"/>
      <c r="XO31" s="1266"/>
      <c r="XP31" s="1266"/>
      <c r="XQ31" s="1266"/>
      <c r="XR31" s="1266"/>
      <c r="XS31" s="1266"/>
      <c r="XT31" s="1266"/>
      <c r="XU31" s="1266"/>
      <c r="XV31" s="1266"/>
      <c r="XW31" s="1266"/>
      <c r="XX31" s="1266"/>
      <c r="XY31" s="1266"/>
      <c r="XZ31" s="1266"/>
      <c r="YA31" s="1266"/>
      <c r="YB31" s="1266"/>
      <c r="YC31" s="1266"/>
      <c r="YD31" s="1266"/>
      <c r="YE31" s="1266"/>
      <c r="YF31" s="1266"/>
      <c r="YG31" s="1266"/>
      <c r="YH31" s="1266"/>
      <c r="YI31" s="1266"/>
      <c r="YJ31" s="1266"/>
      <c r="YK31" s="1266"/>
      <c r="YL31" s="1266"/>
      <c r="YM31" s="1266"/>
      <c r="YN31" s="1266"/>
      <c r="YO31" s="1266"/>
      <c r="YP31" s="1266"/>
      <c r="YQ31" s="1266"/>
      <c r="YR31" s="1266"/>
      <c r="YS31" s="1266"/>
      <c r="YT31" s="1266"/>
      <c r="YU31" s="1266"/>
      <c r="YV31" s="1266"/>
      <c r="YW31" s="1266"/>
      <c r="YX31" s="1266"/>
      <c r="YY31" s="1266"/>
      <c r="YZ31" s="1266"/>
      <c r="ZA31" s="1266"/>
      <c r="ZB31" s="1266"/>
      <c r="ZC31" s="1266"/>
      <c r="ZD31" s="1266"/>
      <c r="ZE31" s="1266"/>
      <c r="ZF31" s="1266"/>
      <c r="ZG31" s="1266"/>
      <c r="ZH31" s="1266"/>
      <c r="ZI31" s="1266"/>
      <c r="ZJ31" s="1266"/>
      <c r="ZK31" s="1266"/>
      <c r="ZL31" s="1266"/>
      <c r="ZM31" s="1266"/>
      <c r="ZN31" s="1266"/>
      <c r="ZO31" s="1266"/>
      <c r="ZP31" s="1266"/>
      <c r="ZQ31" s="1266"/>
      <c r="ZR31" s="1266"/>
      <c r="ZS31" s="1266"/>
      <c r="ZT31" s="1266"/>
      <c r="ZU31" s="1266"/>
      <c r="ZV31" s="1266"/>
      <c r="ZW31" s="1266"/>
      <c r="ZX31" s="1266"/>
      <c r="ZY31" s="1266"/>
      <c r="ZZ31" s="1266"/>
      <c r="AAA31" s="1266"/>
      <c r="AAB31" s="1266"/>
      <c r="AAC31" s="1266"/>
      <c r="AAD31" s="1266"/>
      <c r="AAE31" s="1266"/>
      <c r="AAF31" s="1266"/>
      <c r="AAG31" s="1266"/>
      <c r="AAH31" s="1266"/>
      <c r="AAI31" s="1266"/>
      <c r="AAJ31" s="1266"/>
      <c r="AAK31" s="1266"/>
      <c r="AAL31" s="1266"/>
      <c r="AAM31" s="1266"/>
      <c r="AAN31" s="1266"/>
      <c r="AAO31" s="1266"/>
      <c r="AAP31" s="1266"/>
      <c r="AAQ31" s="1266"/>
      <c r="AAR31" s="1266"/>
      <c r="AAS31" s="1266"/>
      <c r="AAT31" s="1266"/>
      <c r="AAU31" s="1266"/>
      <c r="AAV31" s="1266"/>
      <c r="AAW31" s="1266"/>
      <c r="AAX31" s="1266"/>
      <c r="AAY31" s="1266"/>
      <c r="AAZ31" s="1266"/>
      <c r="ABA31" s="1266"/>
      <c r="ABB31" s="1266"/>
      <c r="ABC31" s="1266"/>
      <c r="ABD31" s="1266"/>
      <c r="ABE31" s="1266"/>
      <c r="ABF31" s="1266"/>
      <c r="ABG31" s="1266"/>
      <c r="ABH31" s="1266"/>
      <c r="ABI31" s="1266"/>
      <c r="ABJ31" s="1266"/>
      <c r="ABK31" s="1266"/>
      <c r="ABL31" s="1266"/>
      <c r="ABM31" s="1266"/>
      <c r="ABN31" s="1266"/>
      <c r="ABO31" s="1266"/>
      <c r="ABP31" s="1266"/>
      <c r="ABQ31" s="1266"/>
      <c r="ABR31" s="1266"/>
      <c r="ABS31" s="1266"/>
      <c r="ABT31" s="1266"/>
      <c r="ABU31" s="1266"/>
      <c r="ABV31" s="1266"/>
      <c r="ABW31" s="1266"/>
      <c r="ABX31" s="1266"/>
      <c r="ABY31" s="1266"/>
      <c r="ABZ31" s="1266"/>
      <c r="ACA31" s="1266"/>
      <c r="ACB31" s="1266"/>
      <c r="ACC31" s="1266"/>
      <c r="ACD31" s="1266"/>
      <c r="ACE31" s="1266"/>
      <c r="ACF31" s="1266"/>
      <c r="ACG31" s="1266"/>
      <c r="ACH31" s="1266"/>
      <c r="ACI31" s="1266"/>
      <c r="ACJ31" s="1266"/>
      <c r="ACK31" s="1266"/>
      <c r="ACL31" s="1266"/>
      <c r="ACM31" s="1266"/>
      <c r="ACN31" s="1266"/>
      <c r="ACO31" s="1266"/>
      <c r="ACP31" s="1266"/>
      <c r="ACQ31" s="1266"/>
      <c r="ACR31" s="1266"/>
      <c r="ACS31" s="1266"/>
      <c r="ACT31" s="1266"/>
      <c r="ACU31" s="1266"/>
      <c r="ACV31" s="1266"/>
      <c r="ACW31" s="1266"/>
      <c r="ACX31" s="1266"/>
      <c r="ACY31" s="1266"/>
      <c r="ACZ31" s="1266"/>
      <c r="ADA31" s="1266"/>
      <c r="ADB31" s="1266"/>
      <c r="ADC31" s="1266"/>
      <c r="ADD31" s="1266"/>
      <c r="ADE31" s="1266"/>
      <c r="ADF31" s="1266"/>
      <c r="ADG31" s="1266"/>
      <c r="ADH31" s="1266"/>
      <c r="ADI31" s="1266"/>
      <c r="ADJ31" s="1266"/>
      <c r="ADK31" s="1266"/>
      <c r="ADL31" s="1266"/>
      <c r="ADM31" s="1266"/>
      <c r="ADN31" s="1266"/>
      <c r="ADO31" s="1266"/>
      <c r="ADP31" s="1266"/>
      <c r="ADQ31" s="1266"/>
      <c r="ADR31" s="1266"/>
      <c r="ADS31" s="1266"/>
      <c r="ADT31" s="1266"/>
      <c r="ADU31" s="1266"/>
      <c r="ADV31" s="1266"/>
      <c r="ADW31" s="1266"/>
      <c r="ADX31" s="1266"/>
      <c r="ADY31" s="1266"/>
      <c r="ADZ31" s="1266"/>
      <c r="AEA31" s="1266"/>
      <c r="AEB31" s="1266"/>
      <c r="AEC31" s="1266"/>
      <c r="AED31" s="1266"/>
      <c r="AEE31" s="1266"/>
      <c r="AEF31" s="1266"/>
      <c r="AEG31" s="1266"/>
      <c r="AEH31" s="1266"/>
      <c r="AEI31" s="1266"/>
      <c r="AEJ31" s="1266"/>
      <c r="AEK31" s="1266"/>
      <c r="AEL31" s="1266"/>
      <c r="AEM31" s="1266"/>
      <c r="AEN31" s="1266"/>
      <c r="AEO31" s="1266"/>
      <c r="AEP31" s="1266"/>
      <c r="AEQ31" s="1266"/>
      <c r="AER31" s="1266"/>
      <c r="AES31" s="1266"/>
      <c r="AET31" s="1266"/>
      <c r="AEU31" s="1266"/>
      <c r="AEV31" s="1266"/>
      <c r="AEW31" s="1266"/>
      <c r="AEX31" s="1266"/>
      <c r="AEY31" s="1266"/>
      <c r="AEZ31" s="1266"/>
      <c r="AFA31" s="1266"/>
      <c r="AFB31" s="1266"/>
      <c r="AFC31" s="1266"/>
      <c r="AFD31" s="1266"/>
      <c r="AFE31" s="1266"/>
      <c r="AFF31" s="1266"/>
      <c r="AFG31" s="1266"/>
      <c r="AFH31" s="1266"/>
      <c r="AFI31" s="1266"/>
      <c r="AFJ31" s="1266"/>
      <c r="AFK31" s="1266"/>
      <c r="AFL31" s="1266"/>
      <c r="AFM31" s="1266"/>
      <c r="AFN31" s="1266"/>
      <c r="AFO31" s="1266"/>
      <c r="AFP31" s="1266"/>
      <c r="AFQ31" s="1266"/>
      <c r="AFR31" s="1266"/>
      <c r="AFS31" s="1266"/>
      <c r="AFT31" s="1266"/>
      <c r="AFU31" s="1266"/>
      <c r="AFV31" s="1266"/>
      <c r="AFW31" s="1266"/>
      <c r="AFX31" s="1266"/>
      <c r="AFY31" s="1266"/>
      <c r="AFZ31" s="1266"/>
      <c r="AGA31" s="1266"/>
      <c r="AGB31" s="1266"/>
      <c r="AGC31" s="1266"/>
      <c r="AGD31" s="1266"/>
      <c r="AGE31" s="1266"/>
      <c r="AGF31" s="1266"/>
      <c r="AGG31" s="1266"/>
      <c r="AGH31" s="1266"/>
      <c r="AGI31" s="1266"/>
      <c r="AGJ31" s="1266"/>
      <c r="AGK31" s="1266"/>
      <c r="AGL31" s="1266"/>
      <c r="AGM31" s="1266"/>
      <c r="AGN31" s="1266"/>
      <c r="AGO31" s="1266"/>
      <c r="AGP31" s="1266"/>
      <c r="AGQ31" s="1266"/>
      <c r="AGR31" s="1266"/>
      <c r="AGS31" s="1266"/>
      <c r="AGT31" s="1266"/>
      <c r="AGU31" s="1266"/>
      <c r="AGV31" s="1266"/>
      <c r="AGW31" s="1266"/>
      <c r="AGX31" s="1266"/>
      <c r="AGY31" s="1266"/>
      <c r="AGZ31" s="1266"/>
      <c r="AHA31" s="1266"/>
      <c r="AHB31" s="1266"/>
      <c r="AHC31" s="1266"/>
      <c r="AHD31" s="1266"/>
      <c r="AHE31" s="1266"/>
      <c r="AHF31" s="1266"/>
      <c r="AHG31" s="1266"/>
      <c r="AHH31" s="1266"/>
      <c r="AHI31" s="1266"/>
      <c r="AHJ31" s="1266"/>
      <c r="AHK31" s="1266"/>
      <c r="AHL31" s="1266"/>
      <c r="AHM31" s="1266"/>
      <c r="AHN31" s="1266"/>
      <c r="AHO31" s="1266"/>
      <c r="AHP31" s="1266"/>
      <c r="AHQ31" s="1266"/>
      <c r="AHR31" s="1266"/>
      <c r="AHS31" s="1266"/>
      <c r="AHT31" s="1266"/>
      <c r="AHU31" s="1266"/>
      <c r="AHV31" s="1266"/>
      <c r="AHW31" s="1266"/>
      <c r="AHX31" s="1266"/>
      <c r="AHY31" s="1266"/>
      <c r="AHZ31" s="1266"/>
      <c r="AIA31" s="1266"/>
      <c r="AIB31" s="1266"/>
      <c r="AIC31" s="1266"/>
      <c r="AID31" s="1266"/>
      <c r="AIE31" s="1266"/>
      <c r="AIF31" s="1266"/>
      <c r="AIG31" s="1266"/>
      <c r="AIH31" s="1266"/>
      <c r="AII31" s="1266"/>
      <c r="AIJ31" s="1266"/>
      <c r="AIK31" s="1266"/>
      <c r="AIL31" s="1266"/>
      <c r="AIM31" s="1266"/>
      <c r="AIN31" s="1266"/>
      <c r="AIO31" s="1266"/>
      <c r="AIP31" s="1266"/>
      <c r="AIQ31" s="1266"/>
      <c r="AIR31" s="1266"/>
      <c r="AIS31" s="1266"/>
      <c r="AIT31" s="1266"/>
      <c r="AIU31" s="1266"/>
      <c r="AIV31" s="1266"/>
      <c r="AIW31" s="1266"/>
      <c r="AIX31" s="1266"/>
      <c r="AIY31" s="1266"/>
      <c r="AIZ31" s="1266"/>
      <c r="AJA31" s="1266"/>
      <c r="AJB31" s="1266"/>
      <c r="AJC31" s="1266"/>
      <c r="AJD31" s="1266"/>
      <c r="AJE31" s="1266"/>
      <c r="AJF31" s="1266"/>
      <c r="AJG31" s="1266"/>
      <c r="AJH31" s="1266"/>
      <c r="AJI31" s="1266"/>
      <c r="AJJ31" s="1266"/>
      <c r="AJK31" s="1266"/>
      <c r="AJL31" s="1266"/>
      <c r="AJM31" s="1266"/>
      <c r="AJN31" s="1266"/>
      <c r="AJO31" s="1266"/>
      <c r="AJP31" s="1266"/>
      <c r="AJQ31" s="1266"/>
      <c r="AJR31" s="1266"/>
      <c r="AJS31" s="1266"/>
      <c r="AJT31" s="1266"/>
      <c r="AJU31" s="1266"/>
      <c r="AJV31" s="1266"/>
      <c r="AJW31" s="1266"/>
      <c r="AJX31" s="1266"/>
      <c r="AJY31" s="1266"/>
      <c r="AJZ31" s="1266"/>
      <c r="AKA31" s="1266"/>
      <c r="AKB31" s="1266"/>
      <c r="AKC31" s="1266"/>
      <c r="AKD31" s="1266"/>
      <c r="AKE31" s="1266"/>
      <c r="AKF31" s="1266"/>
      <c r="AKG31" s="1266"/>
      <c r="AKH31" s="1266"/>
      <c r="AKI31" s="1266"/>
      <c r="AKJ31" s="1266"/>
      <c r="AKK31" s="1266"/>
      <c r="AKL31" s="1266"/>
      <c r="AKM31" s="1266"/>
      <c r="AKN31" s="1266"/>
      <c r="AKO31" s="1266"/>
      <c r="AKP31" s="1266"/>
      <c r="AKQ31" s="1266"/>
      <c r="AKR31" s="1266"/>
      <c r="AKS31" s="1266"/>
      <c r="AKT31" s="1266"/>
      <c r="AKU31" s="1266"/>
      <c r="AKV31" s="1266"/>
      <c r="AKW31" s="1266"/>
      <c r="AKX31" s="1266"/>
      <c r="AKY31" s="1266"/>
      <c r="AKZ31" s="1266"/>
      <c r="ALA31" s="1266"/>
      <c r="ALB31" s="1266"/>
      <c r="ALC31" s="1266"/>
      <c r="ALD31" s="1266"/>
      <c r="ALE31" s="1266"/>
      <c r="ALF31" s="1266"/>
      <c r="ALG31" s="1266"/>
      <c r="ALH31" s="1266"/>
      <c r="ALI31" s="1266"/>
      <c r="ALJ31" s="1266"/>
      <c r="ALK31" s="1266"/>
      <c r="ALL31" s="1266"/>
      <c r="ALM31" s="1266"/>
      <c r="ALN31" s="1266"/>
      <c r="ALO31" s="1266"/>
      <c r="ALP31" s="1266"/>
      <c r="ALQ31" s="1266"/>
      <c r="ALR31" s="1266"/>
      <c r="ALS31" s="1266"/>
      <c r="ALT31" s="1266"/>
      <c r="ALU31" s="1266"/>
      <c r="ALV31" s="1266"/>
      <c r="ALW31" s="1266"/>
      <c r="ALX31" s="1266"/>
      <c r="ALY31" s="1266"/>
      <c r="ALZ31" s="1266"/>
      <c r="AMA31" s="1266"/>
      <c r="AMB31" s="1266"/>
      <c r="AMC31" s="1266"/>
      <c r="AMD31" s="1266"/>
      <c r="AME31" s="1266"/>
      <c r="AMF31" s="1266"/>
      <c r="AMG31" s="1266"/>
      <c r="AMH31" s="1266"/>
      <c r="AMI31" s="1266"/>
      <c r="AMJ31" s="1266"/>
      <c r="AMK31" s="1266"/>
      <c r="AML31" s="1266"/>
      <c r="AMM31" s="1266"/>
      <c r="AMN31" s="1266"/>
      <c r="AMO31" s="1266"/>
      <c r="AMP31" s="1266"/>
      <c r="AMQ31" s="1266"/>
      <c r="AMR31" s="1266"/>
      <c r="AMS31" s="1266"/>
      <c r="AMT31" s="1266"/>
      <c r="AMU31" s="1266"/>
      <c r="AMV31" s="1266"/>
      <c r="AMW31" s="1266"/>
      <c r="AMX31" s="1266"/>
      <c r="AMY31" s="1266"/>
      <c r="AMZ31" s="1266"/>
      <c r="ANA31" s="1266"/>
      <c r="ANB31" s="1266"/>
      <c r="ANC31" s="1266"/>
      <c r="AND31" s="1266"/>
      <c r="ANE31" s="1266"/>
      <c r="ANF31" s="1266"/>
      <c r="ANG31" s="1266"/>
      <c r="ANH31" s="1266"/>
      <c r="ANI31" s="1266"/>
      <c r="ANJ31" s="1266"/>
      <c r="ANK31" s="1266"/>
      <c r="ANL31" s="1266"/>
      <c r="ANM31" s="1266"/>
      <c r="ANN31" s="1266"/>
      <c r="ANO31" s="1266"/>
      <c r="ANP31" s="1266"/>
      <c r="ANQ31" s="1266"/>
      <c r="ANR31" s="1266"/>
      <c r="ANS31" s="1266"/>
      <c r="ANT31" s="1266"/>
      <c r="ANU31" s="1266"/>
      <c r="ANV31" s="1266"/>
      <c r="ANW31" s="1266"/>
      <c r="ANX31" s="1266"/>
      <c r="ANY31" s="1266"/>
      <c r="ANZ31" s="1266"/>
      <c r="AOA31" s="1266"/>
      <c r="AOB31" s="1266"/>
      <c r="AOC31" s="1266"/>
      <c r="AOD31" s="1266"/>
      <c r="AOE31" s="1266"/>
      <c r="AOF31" s="1266"/>
      <c r="AOG31" s="1266"/>
      <c r="AOH31" s="1266"/>
      <c r="AOI31" s="1266"/>
      <c r="AOJ31" s="1266"/>
      <c r="AOK31" s="1266"/>
      <c r="AOL31" s="1266"/>
      <c r="AOM31" s="1266"/>
      <c r="AON31" s="1266"/>
      <c r="AOO31" s="1266"/>
      <c r="AOP31" s="1266"/>
      <c r="AOQ31" s="1266"/>
      <c r="AOR31" s="1266"/>
      <c r="AOS31" s="1266"/>
      <c r="AOT31" s="1266"/>
      <c r="AOU31" s="1266"/>
      <c r="AOV31" s="1266"/>
      <c r="AOW31" s="1266"/>
      <c r="AOX31" s="1266"/>
      <c r="AOY31" s="1266"/>
      <c r="AOZ31" s="1266"/>
      <c r="APA31" s="1266"/>
      <c r="APB31" s="1266"/>
      <c r="APC31" s="1266"/>
      <c r="APD31" s="1266"/>
      <c r="APE31" s="1266"/>
      <c r="APF31" s="1266"/>
      <c r="APG31" s="1266"/>
      <c r="APH31" s="1266"/>
      <c r="API31" s="1266"/>
      <c r="APJ31" s="1266"/>
      <c r="APK31" s="1266"/>
      <c r="APL31" s="1266"/>
      <c r="APM31" s="1266"/>
      <c r="APN31" s="1266"/>
      <c r="APO31" s="1266"/>
      <c r="APP31" s="1266"/>
      <c r="APQ31" s="1266"/>
      <c r="APR31" s="1266"/>
      <c r="APS31" s="1266"/>
      <c r="APT31" s="1266"/>
      <c r="APU31" s="1266"/>
      <c r="APV31" s="1266"/>
      <c r="APW31" s="1266"/>
      <c r="APX31" s="1266"/>
      <c r="APY31" s="1266"/>
      <c r="APZ31" s="1266"/>
      <c r="AQA31" s="1266"/>
      <c r="AQB31" s="1266"/>
      <c r="AQC31" s="1266"/>
      <c r="AQD31" s="1266"/>
      <c r="AQE31" s="1266"/>
      <c r="AQF31" s="1266"/>
      <c r="AQG31" s="1266"/>
      <c r="AQH31" s="1266"/>
      <c r="AQI31" s="1266"/>
      <c r="AQJ31" s="1266"/>
      <c r="AQK31" s="1266"/>
      <c r="AQL31" s="1266"/>
      <c r="AQM31" s="1266"/>
      <c r="AQN31" s="1266"/>
      <c r="AQO31" s="1266"/>
      <c r="AQP31" s="1266"/>
      <c r="AQQ31" s="1266"/>
      <c r="AQR31" s="1266"/>
      <c r="AQS31" s="1266"/>
      <c r="AQT31" s="1266"/>
      <c r="AQU31" s="1266"/>
      <c r="AQV31" s="1266"/>
      <c r="AQW31" s="1266"/>
      <c r="AQX31" s="1266"/>
      <c r="AQY31" s="1266"/>
      <c r="AQZ31" s="1266"/>
      <c r="ARA31" s="1266"/>
      <c r="ARB31" s="1266"/>
      <c r="ARC31" s="1266"/>
      <c r="ARD31" s="1266"/>
      <c r="ARE31" s="1266"/>
      <c r="ARF31" s="1266"/>
      <c r="ARG31" s="1266"/>
      <c r="ARH31" s="1266"/>
      <c r="ARI31" s="1266"/>
      <c r="ARJ31" s="1266"/>
      <c r="ARK31" s="1266"/>
      <c r="ARL31" s="1266"/>
      <c r="ARM31" s="1266"/>
      <c r="ARN31" s="1266"/>
      <c r="ARO31" s="1266"/>
      <c r="ARP31" s="1266"/>
      <c r="ARQ31" s="1266"/>
      <c r="ARR31" s="1266"/>
      <c r="ARS31" s="1266"/>
      <c r="ART31" s="1266"/>
      <c r="ARU31" s="1266"/>
      <c r="ARV31" s="1266"/>
      <c r="ARW31" s="1266"/>
      <c r="ARX31" s="1266"/>
      <c r="ARY31" s="1266"/>
      <c r="ARZ31" s="1266"/>
      <c r="ASA31" s="1266"/>
      <c r="ASB31" s="1266"/>
      <c r="ASC31" s="1266"/>
      <c r="ASD31" s="1266"/>
      <c r="ASE31" s="1266"/>
      <c r="ASF31" s="1266"/>
      <c r="ASG31" s="1266"/>
      <c r="ASH31" s="1266"/>
      <c r="ASI31" s="1266"/>
      <c r="ASJ31" s="1266"/>
      <c r="ASK31" s="1266"/>
      <c r="ASL31" s="1266"/>
      <c r="ASM31" s="1266"/>
      <c r="ASN31" s="1266"/>
      <c r="ASO31" s="1266"/>
      <c r="ASP31" s="1266"/>
      <c r="ASQ31" s="1266"/>
      <c r="ASR31" s="1266"/>
      <c r="ASS31" s="1266"/>
      <c r="AST31" s="1266"/>
      <c r="ASU31" s="1266"/>
      <c r="ASV31" s="1266"/>
      <c r="ASW31" s="1266"/>
      <c r="ASX31" s="1266"/>
      <c r="ASY31" s="1266"/>
      <c r="ASZ31" s="1266"/>
      <c r="ATA31" s="1266"/>
      <c r="ATB31" s="1266"/>
      <c r="ATC31" s="1266"/>
      <c r="ATD31" s="1266"/>
      <c r="ATE31" s="1266"/>
      <c r="ATF31" s="1266"/>
      <c r="ATG31" s="1266"/>
      <c r="ATH31" s="1266"/>
      <c r="ATI31" s="1266"/>
      <c r="ATJ31" s="1266"/>
      <c r="ATK31" s="1266"/>
      <c r="ATL31" s="1266"/>
      <c r="ATM31" s="1266"/>
      <c r="ATN31" s="1266"/>
      <c r="ATO31" s="1266"/>
      <c r="ATP31" s="1266"/>
      <c r="ATQ31" s="1266"/>
      <c r="ATR31" s="1266"/>
      <c r="ATS31" s="1266"/>
      <c r="ATT31" s="1266"/>
      <c r="ATU31" s="1266"/>
      <c r="ATV31" s="1266"/>
      <c r="ATW31" s="1266"/>
      <c r="ATX31" s="1266"/>
      <c r="ATY31" s="1266"/>
      <c r="ATZ31" s="1266"/>
      <c r="AUA31" s="1266"/>
      <c r="AUB31" s="1266"/>
      <c r="AUC31" s="1266"/>
      <c r="AUD31" s="1266"/>
      <c r="AUE31" s="1266"/>
      <c r="AUF31" s="1266"/>
      <c r="AUG31" s="1266"/>
      <c r="AUH31" s="1266"/>
      <c r="AUI31" s="1266"/>
      <c r="AUJ31" s="1266"/>
      <c r="AUK31" s="1266"/>
      <c r="AUL31" s="1266"/>
      <c r="AUM31" s="1266"/>
      <c r="AUN31" s="1266"/>
      <c r="AUO31" s="1266"/>
      <c r="AUP31" s="1266"/>
      <c r="AUQ31" s="1266"/>
      <c r="AUR31" s="1266"/>
      <c r="AUS31" s="1266"/>
      <c r="AUT31" s="1266"/>
      <c r="AUU31" s="1266"/>
      <c r="AUV31" s="1266"/>
      <c r="AUW31" s="1266"/>
      <c r="AUX31" s="1266"/>
      <c r="AUY31" s="1266"/>
      <c r="AUZ31" s="1266"/>
      <c r="AVA31" s="1266"/>
      <c r="AVB31" s="1266"/>
      <c r="AVC31" s="1266"/>
      <c r="AVD31" s="1266"/>
      <c r="AVE31" s="1266"/>
      <c r="AVF31" s="1266"/>
      <c r="AVG31" s="1266"/>
      <c r="AVH31" s="1266"/>
      <c r="AVI31" s="1266"/>
      <c r="AVJ31" s="1266"/>
      <c r="AVK31" s="1266"/>
      <c r="AVL31" s="1266"/>
      <c r="AVM31" s="1266"/>
      <c r="AVN31" s="1266"/>
      <c r="AVO31" s="1266"/>
      <c r="AVP31" s="1266"/>
      <c r="AVQ31" s="1266"/>
      <c r="AVR31" s="1266"/>
      <c r="AVS31" s="1266"/>
      <c r="AVT31" s="1266"/>
      <c r="AVU31" s="1266"/>
      <c r="AVV31" s="1266"/>
      <c r="AVW31" s="1266"/>
      <c r="AVX31" s="1266"/>
      <c r="AVY31" s="1266"/>
      <c r="AVZ31" s="1266"/>
      <c r="AWA31" s="1266"/>
      <c r="AWB31" s="1266"/>
      <c r="AWC31" s="1266"/>
      <c r="AWD31" s="1266"/>
      <c r="AWE31" s="1266"/>
      <c r="AWF31" s="1266"/>
      <c r="AWG31" s="1266"/>
      <c r="AWH31" s="1266"/>
      <c r="AWI31" s="1266"/>
      <c r="AWJ31" s="1266"/>
      <c r="AWK31" s="1266"/>
      <c r="AWL31" s="1266"/>
      <c r="AWM31" s="1266"/>
      <c r="AWN31" s="1266"/>
      <c r="AWO31" s="1266"/>
      <c r="AWP31" s="1266"/>
      <c r="AWQ31" s="1266"/>
      <c r="AWR31" s="1266"/>
      <c r="AWS31" s="1266"/>
      <c r="AWT31" s="1266"/>
      <c r="AWU31" s="1266"/>
      <c r="AWV31" s="1266"/>
      <c r="AWW31" s="1266"/>
      <c r="AWX31" s="1266"/>
      <c r="AWY31" s="1266"/>
      <c r="AWZ31" s="1266"/>
      <c r="AXA31" s="1266"/>
      <c r="AXB31" s="1266"/>
      <c r="AXC31" s="1266"/>
      <c r="AXD31" s="1266"/>
      <c r="AXE31" s="1266"/>
      <c r="AXF31" s="1266"/>
      <c r="AXG31" s="1266"/>
      <c r="AXH31" s="1266"/>
      <c r="AXI31" s="1266"/>
      <c r="AXJ31" s="1266"/>
      <c r="AXK31" s="1266"/>
      <c r="AXL31" s="1266"/>
      <c r="AXM31" s="1266"/>
      <c r="AXN31" s="1266"/>
      <c r="AXO31" s="1266"/>
      <c r="AXP31" s="1266"/>
      <c r="AXQ31" s="1266"/>
      <c r="AXR31" s="1266"/>
      <c r="AXS31" s="1266"/>
      <c r="AXT31" s="1266"/>
      <c r="AXU31" s="1266"/>
      <c r="AXV31" s="1266"/>
      <c r="AXW31" s="1266"/>
      <c r="AXX31" s="1266"/>
      <c r="AXY31" s="1266"/>
      <c r="AXZ31" s="1266"/>
      <c r="AYA31" s="1266"/>
      <c r="AYB31" s="1266"/>
      <c r="AYC31" s="1266"/>
      <c r="AYD31" s="1266"/>
      <c r="AYE31" s="1266"/>
      <c r="AYF31" s="1266"/>
      <c r="AYG31" s="1266"/>
      <c r="AYH31" s="1266"/>
      <c r="AYI31" s="1266"/>
      <c r="AYJ31" s="1266"/>
      <c r="AYK31" s="1266"/>
      <c r="AYL31" s="1266"/>
      <c r="AYM31" s="1266"/>
      <c r="AYN31" s="1266"/>
      <c r="AYO31" s="1266"/>
      <c r="AYP31" s="1266"/>
      <c r="AYQ31" s="1266"/>
      <c r="AYR31" s="1266"/>
      <c r="AYS31" s="1266"/>
      <c r="AYT31" s="1266"/>
      <c r="AYU31" s="1266"/>
      <c r="AYV31" s="1266"/>
      <c r="AYW31" s="1266"/>
      <c r="AYX31" s="1266"/>
      <c r="AYY31" s="1266"/>
      <c r="AYZ31" s="1266"/>
      <c r="AZA31" s="1266"/>
      <c r="AZB31" s="1266"/>
      <c r="AZC31" s="1266"/>
      <c r="AZD31" s="1266"/>
      <c r="AZE31" s="1266"/>
      <c r="AZF31" s="1266"/>
      <c r="AZG31" s="1266"/>
      <c r="AZH31" s="1266"/>
      <c r="AZI31" s="1266"/>
      <c r="AZJ31" s="1266"/>
      <c r="AZK31" s="1266"/>
      <c r="AZL31" s="1266"/>
      <c r="AZM31" s="1266"/>
      <c r="AZN31" s="1266"/>
      <c r="AZO31" s="1266"/>
      <c r="AZP31" s="1266"/>
      <c r="AZQ31" s="1266"/>
      <c r="AZR31" s="1266"/>
      <c r="AZS31" s="1266"/>
      <c r="AZT31" s="1266"/>
      <c r="AZU31" s="1266"/>
      <c r="AZV31" s="1266"/>
      <c r="AZW31" s="1266"/>
      <c r="AZX31" s="1266"/>
      <c r="AZY31" s="1266"/>
      <c r="AZZ31" s="1266"/>
      <c r="BAA31" s="1266"/>
      <c r="BAB31" s="1266"/>
      <c r="BAC31" s="1266"/>
      <c r="BAD31" s="1266"/>
      <c r="BAE31" s="1266"/>
      <c r="BAF31" s="1266"/>
      <c r="BAG31" s="1266"/>
      <c r="BAH31" s="1266"/>
      <c r="BAI31" s="1266"/>
      <c r="BAJ31" s="1266"/>
      <c r="BAK31" s="1266"/>
      <c r="BAL31" s="1266"/>
      <c r="BAM31" s="1266"/>
      <c r="BAN31" s="1266"/>
      <c r="BAO31" s="1266"/>
      <c r="BAP31" s="1266"/>
      <c r="BAQ31" s="1266"/>
      <c r="BAR31" s="1266"/>
      <c r="BAS31" s="1266"/>
      <c r="BAT31" s="1266"/>
      <c r="BAU31" s="1266"/>
      <c r="BAV31" s="1266"/>
      <c r="BAW31" s="1266"/>
      <c r="BAX31" s="1266"/>
      <c r="BAY31" s="1266"/>
      <c r="BAZ31" s="1266"/>
      <c r="BBA31" s="1266"/>
      <c r="BBB31" s="1266"/>
      <c r="BBC31" s="1266"/>
      <c r="BBD31" s="1266"/>
      <c r="BBE31" s="1266"/>
      <c r="BBF31" s="1266"/>
      <c r="BBG31" s="1266"/>
      <c r="BBH31" s="1266"/>
      <c r="BBI31" s="1266"/>
      <c r="BBJ31" s="1266"/>
      <c r="BBK31" s="1266"/>
      <c r="BBL31" s="1266"/>
      <c r="BBM31" s="1266"/>
      <c r="BBN31" s="1266"/>
      <c r="BBO31" s="1266"/>
      <c r="BBP31" s="1266"/>
      <c r="BBQ31" s="1266"/>
      <c r="BBR31" s="1266"/>
      <c r="BBS31" s="1266"/>
      <c r="BBT31" s="1266"/>
      <c r="BBU31" s="1266"/>
      <c r="BBV31" s="1266"/>
      <c r="BBW31" s="1266"/>
      <c r="BBX31" s="1266"/>
      <c r="BBY31" s="1266"/>
      <c r="BBZ31" s="1266"/>
      <c r="BCA31" s="1266"/>
      <c r="BCB31" s="1266"/>
      <c r="BCC31" s="1266"/>
      <c r="BCD31" s="1266"/>
      <c r="BCE31" s="1266"/>
      <c r="BCF31" s="1266"/>
      <c r="BCG31" s="1266"/>
      <c r="BCH31" s="1266"/>
      <c r="BCI31" s="1266"/>
      <c r="BCJ31" s="1266"/>
      <c r="BCK31" s="1266"/>
      <c r="BCL31" s="1266"/>
      <c r="BCM31" s="1266"/>
      <c r="BCN31" s="1266"/>
      <c r="BCO31" s="1266"/>
      <c r="BCP31" s="1266"/>
      <c r="BCQ31" s="1266"/>
      <c r="BCR31" s="1266"/>
      <c r="BCS31" s="1266"/>
      <c r="BCT31" s="1266"/>
      <c r="BCU31" s="1266"/>
      <c r="BCV31" s="1266"/>
      <c r="BCW31" s="1266"/>
      <c r="BCX31" s="1266"/>
      <c r="BCY31" s="1266"/>
      <c r="BCZ31" s="1266"/>
      <c r="BDA31" s="1266"/>
      <c r="BDB31" s="1266"/>
      <c r="BDC31" s="1266"/>
      <c r="BDD31" s="1266"/>
      <c r="BDE31" s="1266"/>
      <c r="BDF31" s="1266"/>
      <c r="BDG31" s="1266"/>
      <c r="BDH31" s="1266"/>
      <c r="BDI31" s="1266"/>
      <c r="BDJ31" s="1266"/>
      <c r="BDK31" s="1266"/>
      <c r="BDL31" s="1266"/>
      <c r="BDM31" s="1266"/>
      <c r="BDN31" s="1266"/>
      <c r="BDO31" s="1266"/>
      <c r="BDP31" s="1266"/>
      <c r="BDQ31" s="1266"/>
      <c r="BDR31" s="1266"/>
      <c r="BDS31" s="1266"/>
      <c r="BDT31" s="1266"/>
      <c r="BDU31" s="1266"/>
      <c r="BDV31" s="1266"/>
      <c r="BDW31" s="1266"/>
      <c r="BDX31" s="1266"/>
      <c r="BDY31" s="1266"/>
      <c r="BDZ31" s="1266"/>
      <c r="BEA31" s="1266"/>
      <c r="BEB31" s="1266"/>
      <c r="BEC31" s="1266"/>
      <c r="BED31" s="1266"/>
      <c r="BEE31" s="1266"/>
      <c r="BEF31" s="1266"/>
      <c r="BEG31" s="1266"/>
      <c r="BEH31" s="1266"/>
      <c r="BEI31" s="1266"/>
      <c r="BEJ31" s="1266"/>
      <c r="BEK31" s="1266"/>
      <c r="BEL31" s="1266"/>
      <c r="BEM31" s="1266"/>
      <c r="BEN31" s="1266"/>
      <c r="BEO31" s="1266"/>
      <c r="BEP31" s="1266"/>
      <c r="BEQ31" s="1266"/>
      <c r="BER31" s="1266"/>
      <c r="BES31" s="1266"/>
      <c r="BET31" s="1266"/>
      <c r="BEU31" s="1266"/>
      <c r="BEV31" s="1266"/>
      <c r="BEW31" s="1266"/>
      <c r="BEX31" s="1266"/>
      <c r="BEY31" s="1266"/>
      <c r="BEZ31" s="1266"/>
      <c r="BFA31" s="1266"/>
      <c r="BFB31" s="1266"/>
      <c r="BFC31" s="1266"/>
      <c r="BFD31" s="1266"/>
      <c r="BFE31" s="1266"/>
      <c r="BFF31" s="1266"/>
      <c r="BFG31" s="1266"/>
      <c r="BFH31" s="1266"/>
      <c r="BFI31" s="1266"/>
      <c r="BFJ31" s="1266"/>
      <c r="BFK31" s="1266"/>
      <c r="BFL31" s="1266"/>
      <c r="BFM31" s="1266"/>
      <c r="BFN31" s="1266"/>
      <c r="BFO31" s="1266"/>
      <c r="BFP31" s="1266"/>
      <c r="BFQ31" s="1266"/>
      <c r="BFR31" s="1266"/>
      <c r="BFS31" s="1266"/>
      <c r="BFT31" s="1266"/>
      <c r="BFU31" s="1266"/>
      <c r="BFV31" s="1266"/>
      <c r="BFW31" s="1266"/>
      <c r="BFX31" s="1266"/>
      <c r="BFY31" s="1266"/>
      <c r="BFZ31" s="1266"/>
      <c r="BGA31" s="1266"/>
      <c r="BGB31" s="1266"/>
      <c r="BGC31" s="1266"/>
      <c r="BGD31" s="1266"/>
      <c r="BGE31" s="1266"/>
      <c r="BGF31" s="1266"/>
      <c r="BGG31" s="1266"/>
      <c r="BGH31" s="1266"/>
      <c r="BGI31" s="1266"/>
      <c r="BGJ31" s="1266"/>
      <c r="BGK31" s="1266"/>
      <c r="BGL31" s="1266"/>
      <c r="BGM31" s="1266"/>
      <c r="BGN31" s="1266"/>
      <c r="BGO31" s="1266"/>
      <c r="BGP31" s="1266"/>
      <c r="BGQ31" s="1266"/>
      <c r="BGR31" s="1266"/>
      <c r="BGS31" s="1266"/>
      <c r="BGT31" s="1266"/>
      <c r="BGU31" s="1266"/>
      <c r="BGV31" s="1266"/>
      <c r="BGW31" s="1266"/>
      <c r="BGX31" s="1266"/>
      <c r="BGY31" s="1266"/>
      <c r="BGZ31" s="1266"/>
      <c r="BHA31" s="1266"/>
      <c r="BHB31" s="1266"/>
      <c r="BHC31" s="1266"/>
      <c r="BHD31" s="1266"/>
      <c r="BHE31" s="1266"/>
      <c r="BHF31" s="1266"/>
      <c r="BHG31" s="1266"/>
      <c r="BHH31" s="1266"/>
      <c r="BHI31" s="1266"/>
      <c r="BHJ31" s="1266"/>
      <c r="BHK31" s="1266"/>
      <c r="BHL31" s="1266"/>
      <c r="BHM31" s="1266"/>
      <c r="BHN31" s="1266"/>
      <c r="BHO31" s="1266"/>
      <c r="BHP31" s="1266"/>
      <c r="BHQ31" s="1266"/>
      <c r="BHR31" s="1266"/>
      <c r="BHS31" s="1266"/>
      <c r="BHT31" s="1266"/>
      <c r="BHU31" s="1266"/>
      <c r="BHV31" s="1266"/>
      <c r="BHW31" s="1266"/>
      <c r="BHX31" s="1266"/>
      <c r="BHY31" s="1266"/>
      <c r="BHZ31" s="1266"/>
      <c r="BIA31" s="1266"/>
      <c r="BIB31" s="1266"/>
      <c r="BIC31" s="1266"/>
      <c r="BID31" s="1266"/>
      <c r="BIE31" s="1266"/>
      <c r="BIF31" s="1266"/>
      <c r="BIG31" s="1266"/>
      <c r="BIH31" s="1266"/>
      <c r="BII31" s="1266"/>
      <c r="BIJ31" s="1266"/>
      <c r="BIK31" s="1266"/>
      <c r="BIL31" s="1266"/>
      <c r="BIM31" s="1266"/>
      <c r="BIN31" s="1266"/>
      <c r="BIO31" s="1266"/>
      <c r="BIP31" s="1266"/>
      <c r="BIQ31" s="1266"/>
      <c r="BIR31" s="1266"/>
      <c r="BIS31" s="1266"/>
      <c r="BIT31" s="1266"/>
      <c r="BIU31" s="1266"/>
      <c r="BIV31" s="1266"/>
      <c r="BIW31" s="1266"/>
      <c r="BIX31" s="1266"/>
      <c r="BIY31" s="1266"/>
      <c r="BIZ31" s="1266"/>
      <c r="BJA31" s="1266"/>
      <c r="BJB31" s="1266"/>
      <c r="BJC31" s="1266"/>
      <c r="BJD31" s="1266"/>
      <c r="BJE31" s="1266"/>
      <c r="BJF31" s="1266"/>
      <c r="BJG31" s="1266"/>
      <c r="BJH31" s="1266"/>
      <c r="BJI31" s="1266"/>
      <c r="BJJ31" s="1266"/>
      <c r="BJK31" s="1266"/>
      <c r="BJL31" s="1266"/>
      <c r="BJM31" s="1266"/>
      <c r="BJN31" s="1266"/>
      <c r="BJO31" s="1266"/>
      <c r="BJP31" s="1266"/>
      <c r="BJQ31" s="1266"/>
      <c r="BJR31" s="1266"/>
      <c r="BJS31" s="1266"/>
      <c r="BJT31" s="1266"/>
      <c r="BJU31" s="1266"/>
      <c r="BJV31" s="1266"/>
      <c r="BJW31" s="1266"/>
      <c r="BJX31" s="1266"/>
      <c r="BJY31" s="1266"/>
      <c r="BJZ31" s="1266"/>
      <c r="BKA31" s="1266"/>
      <c r="BKB31" s="1266"/>
      <c r="BKC31" s="1266"/>
      <c r="BKD31" s="1266"/>
      <c r="BKE31" s="1266"/>
      <c r="BKF31" s="1266"/>
      <c r="BKG31" s="1266"/>
      <c r="BKH31" s="1266"/>
      <c r="BKI31" s="1266"/>
      <c r="BKJ31" s="1266"/>
      <c r="BKK31" s="1266"/>
      <c r="BKL31" s="1266"/>
      <c r="BKM31" s="1266"/>
      <c r="BKN31" s="1266"/>
      <c r="BKO31" s="1266"/>
      <c r="BKP31" s="1266"/>
      <c r="BKQ31" s="1266"/>
      <c r="BKR31" s="1266"/>
      <c r="BKS31" s="1266"/>
      <c r="BKT31" s="1266"/>
      <c r="BKU31" s="1266"/>
      <c r="BKV31" s="1266"/>
      <c r="BKW31" s="1266"/>
      <c r="BKX31" s="1266"/>
      <c r="BKY31" s="1266"/>
      <c r="BKZ31" s="1266"/>
      <c r="BLA31" s="1266"/>
      <c r="BLB31" s="1266"/>
      <c r="BLC31" s="1266"/>
      <c r="BLD31" s="1266"/>
      <c r="BLE31" s="1266"/>
      <c r="BLF31" s="1266"/>
      <c r="BLG31" s="1266"/>
      <c r="BLH31" s="1266"/>
      <c r="BLI31" s="1266"/>
      <c r="BLJ31" s="1266"/>
      <c r="BLK31" s="1266"/>
      <c r="BLL31" s="1266"/>
      <c r="BLM31" s="1266"/>
      <c r="BLN31" s="1266"/>
      <c r="BLO31" s="1266"/>
      <c r="BLP31" s="1266"/>
      <c r="BLQ31" s="1266"/>
      <c r="BLR31" s="1266"/>
      <c r="BLS31" s="1266"/>
      <c r="BLT31" s="1266"/>
      <c r="BLU31" s="1266"/>
      <c r="BLV31" s="1266"/>
      <c r="BLW31" s="1266"/>
      <c r="BLX31" s="1266"/>
      <c r="BLY31" s="1266"/>
      <c r="BLZ31" s="1266"/>
      <c r="BMA31" s="1266"/>
      <c r="BMB31" s="1266"/>
      <c r="BMC31" s="1266"/>
      <c r="BMD31" s="1266"/>
      <c r="BME31" s="1266"/>
      <c r="BMF31" s="1266"/>
      <c r="BMG31" s="1266"/>
      <c r="BMH31" s="1266"/>
      <c r="BMI31" s="1266"/>
      <c r="BMJ31" s="1266"/>
      <c r="BMK31" s="1266"/>
      <c r="BML31" s="1266"/>
      <c r="BMM31" s="1266"/>
      <c r="BMN31" s="1266"/>
      <c r="BMO31" s="1266"/>
      <c r="BMP31" s="1266"/>
      <c r="BMQ31" s="1266"/>
      <c r="BMR31" s="1266"/>
      <c r="BMS31" s="1266"/>
      <c r="BMT31" s="1266"/>
      <c r="BMU31" s="1266"/>
      <c r="BMV31" s="1266"/>
      <c r="BMW31" s="1266"/>
      <c r="BMX31" s="1266"/>
      <c r="BMY31" s="1266"/>
      <c r="BMZ31" s="1266"/>
      <c r="BNA31" s="1266"/>
      <c r="BNB31" s="1266"/>
      <c r="BNC31" s="1266"/>
      <c r="BND31" s="1266"/>
      <c r="BNE31" s="1266"/>
      <c r="BNF31" s="1266"/>
      <c r="BNG31" s="1266"/>
      <c r="BNH31" s="1266"/>
      <c r="BNI31" s="1266"/>
      <c r="BNJ31" s="1266"/>
      <c r="BNK31" s="1266"/>
      <c r="BNL31" s="1266"/>
      <c r="BNM31" s="1266"/>
      <c r="BNN31" s="1266"/>
      <c r="BNO31" s="1266"/>
      <c r="BNP31" s="1266"/>
      <c r="BNQ31" s="1266"/>
      <c r="BNR31" s="1266"/>
      <c r="BNS31" s="1266"/>
      <c r="BNT31" s="1266"/>
      <c r="BNU31" s="1266"/>
      <c r="BNV31" s="1266"/>
      <c r="BNW31" s="1266"/>
      <c r="BNX31" s="1266"/>
      <c r="BNY31" s="1266"/>
      <c r="BNZ31" s="1266"/>
      <c r="BOA31" s="1266"/>
      <c r="BOB31" s="1266"/>
      <c r="BOC31" s="1266"/>
      <c r="BOD31" s="1266"/>
      <c r="BOE31" s="1266"/>
      <c r="BOF31" s="1266"/>
      <c r="BOG31" s="1266"/>
      <c r="BOH31" s="1266"/>
      <c r="BOI31" s="1266"/>
      <c r="BOJ31" s="1266"/>
      <c r="BOK31" s="1266"/>
      <c r="BOL31" s="1266"/>
      <c r="BOM31" s="1266"/>
      <c r="BON31" s="1266"/>
      <c r="BOO31" s="1266"/>
      <c r="BOP31" s="1266"/>
      <c r="BOQ31" s="1266"/>
      <c r="BOR31" s="1266"/>
      <c r="BOS31" s="1266"/>
      <c r="BOT31" s="1266"/>
      <c r="BOU31" s="1266"/>
      <c r="BOV31" s="1266"/>
      <c r="BOW31" s="1266"/>
      <c r="BOX31" s="1266"/>
      <c r="BOY31" s="1266"/>
      <c r="BOZ31" s="1266"/>
      <c r="BPA31" s="1266"/>
      <c r="BPB31" s="1266"/>
      <c r="BPC31" s="1266"/>
      <c r="BPD31" s="1266"/>
      <c r="BPE31" s="1266"/>
      <c r="BPF31" s="1266"/>
      <c r="BPG31" s="1266"/>
      <c r="BPH31" s="1266"/>
      <c r="BPI31" s="1266"/>
      <c r="BPJ31" s="1266"/>
      <c r="BPK31" s="1266"/>
      <c r="BPL31" s="1266"/>
      <c r="BPM31" s="1266"/>
      <c r="BPN31" s="1266"/>
      <c r="BPO31" s="1266"/>
      <c r="BPP31" s="1266"/>
      <c r="BPQ31" s="1266"/>
      <c r="BPR31" s="1266"/>
      <c r="BPS31" s="1266"/>
      <c r="BPT31" s="1266"/>
      <c r="BPU31" s="1266"/>
      <c r="BPV31" s="1266"/>
      <c r="BPW31" s="1266"/>
      <c r="BPX31" s="1266"/>
      <c r="BPY31" s="1266"/>
      <c r="BPZ31" s="1266"/>
      <c r="BQA31" s="1266"/>
      <c r="BQB31" s="1266"/>
      <c r="BQC31" s="1266"/>
      <c r="BQD31" s="1266"/>
      <c r="BQE31" s="1266"/>
      <c r="BQF31" s="1266"/>
      <c r="BQG31" s="1266"/>
      <c r="BQH31" s="1266"/>
      <c r="BQI31" s="1266"/>
      <c r="BQJ31" s="1266"/>
      <c r="BQK31" s="1266"/>
      <c r="BQL31" s="1266"/>
      <c r="BQM31" s="1266"/>
      <c r="BQN31" s="1266"/>
      <c r="BQO31" s="1266"/>
      <c r="BQP31" s="1266"/>
      <c r="BQQ31" s="1266"/>
      <c r="BQR31" s="1266"/>
      <c r="BQS31" s="1266"/>
      <c r="BQT31" s="1266"/>
      <c r="BQU31" s="1266"/>
      <c r="BQV31" s="1266"/>
      <c r="BQW31" s="1266"/>
      <c r="BQX31" s="1266"/>
      <c r="BQY31" s="1266"/>
      <c r="BQZ31" s="1266"/>
      <c r="BRA31" s="1266"/>
      <c r="BRB31" s="1266"/>
      <c r="BRC31" s="1266"/>
      <c r="BRD31" s="1266"/>
      <c r="BRE31" s="1266"/>
      <c r="BRF31" s="1266"/>
      <c r="BRG31" s="1266"/>
      <c r="BRH31" s="1266"/>
      <c r="BRI31" s="1266"/>
      <c r="BRJ31" s="1266"/>
      <c r="BRK31" s="1266"/>
      <c r="BRL31" s="1266"/>
      <c r="BRM31" s="1266"/>
      <c r="BRN31" s="1266"/>
      <c r="BRO31" s="1266"/>
      <c r="BRP31" s="1266"/>
      <c r="BRQ31" s="1266"/>
      <c r="BRR31" s="1266"/>
      <c r="BRS31" s="1266"/>
      <c r="BRT31" s="1266"/>
      <c r="BRU31" s="1266"/>
      <c r="BRV31" s="1266"/>
      <c r="BRW31" s="1266"/>
      <c r="BRX31" s="1266"/>
      <c r="BRY31" s="1266"/>
      <c r="BRZ31" s="1266"/>
      <c r="BSA31" s="1266"/>
      <c r="BSB31" s="1266"/>
      <c r="BSC31" s="1266"/>
      <c r="BSD31" s="1266"/>
      <c r="BSE31" s="1266"/>
      <c r="BSF31" s="1266"/>
      <c r="BSG31" s="1266"/>
      <c r="BSH31" s="1266"/>
      <c r="BSI31" s="1266"/>
      <c r="BSJ31" s="1266"/>
      <c r="BSK31" s="1266"/>
      <c r="BSL31" s="1266"/>
      <c r="BSM31" s="1266"/>
      <c r="BSN31" s="1266"/>
      <c r="BSO31" s="1266"/>
      <c r="BSP31" s="1266"/>
      <c r="BSQ31" s="1266"/>
      <c r="BSR31" s="1266"/>
      <c r="BSS31" s="1266"/>
      <c r="BST31" s="1266"/>
      <c r="BSU31" s="1266"/>
      <c r="BSV31" s="1266"/>
      <c r="BSW31" s="1266"/>
      <c r="BSX31" s="1266"/>
      <c r="BSY31" s="1266"/>
      <c r="BSZ31" s="1266"/>
      <c r="BTA31" s="1266"/>
      <c r="BTB31" s="1266"/>
      <c r="BTC31" s="1266"/>
      <c r="BTD31" s="1266"/>
      <c r="BTE31" s="1266"/>
      <c r="BTF31" s="1266"/>
      <c r="BTG31" s="1266"/>
      <c r="BTH31" s="1266"/>
      <c r="BTI31" s="1266"/>
      <c r="BTJ31" s="1266"/>
      <c r="BTK31" s="1266"/>
      <c r="BTL31" s="1266"/>
      <c r="BTM31" s="1266"/>
      <c r="BTN31" s="1266"/>
      <c r="BTO31" s="1266"/>
      <c r="BTP31" s="1266"/>
      <c r="BTQ31" s="1266"/>
      <c r="BTR31" s="1266"/>
      <c r="BTS31" s="1266"/>
      <c r="BTT31" s="1266"/>
      <c r="BTU31" s="1266"/>
      <c r="BTV31" s="1266"/>
      <c r="BTW31" s="1266"/>
      <c r="BTX31" s="1266"/>
      <c r="BTY31" s="1266"/>
      <c r="BTZ31" s="1266"/>
      <c r="BUA31" s="1266"/>
      <c r="BUB31" s="1266"/>
      <c r="BUC31" s="1266"/>
      <c r="BUD31" s="1266"/>
      <c r="BUE31" s="1266"/>
      <c r="BUF31" s="1266"/>
      <c r="BUG31" s="1266"/>
      <c r="BUH31" s="1266"/>
      <c r="BUI31" s="1266"/>
      <c r="BUJ31" s="1266"/>
      <c r="BUK31" s="1266"/>
      <c r="BUL31" s="1266"/>
      <c r="BUM31" s="1266"/>
      <c r="BUN31" s="1266"/>
      <c r="BUO31" s="1266"/>
      <c r="BUP31" s="1266"/>
      <c r="BUQ31" s="1266"/>
      <c r="BUR31" s="1266"/>
      <c r="BUS31" s="1266"/>
      <c r="BUT31" s="1266"/>
      <c r="BUU31" s="1266"/>
      <c r="BUV31" s="1266"/>
      <c r="BUW31" s="1266"/>
      <c r="BUX31" s="1266"/>
      <c r="BUY31" s="1266"/>
      <c r="BUZ31" s="1266"/>
      <c r="BVA31" s="1266"/>
      <c r="BVB31" s="1266"/>
      <c r="BVC31" s="1266"/>
      <c r="BVD31" s="1266"/>
      <c r="BVE31" s="1266"/>
      <c r="BVF31" s="1266"/>
      <c r="BVG31" s="1266"/>
      <c r="BVH31" s="1266"/>
      <c r="BVI31" s="1266"/>
      <c r="BVJ31" s="1266"/>
      <c r="BVK31" s="1266"/>
      <c r="BVL31" s="1266"/>
      <c r="BVM31" s="1266"/>
      <c r="BVN31" s="1266"/>
      <c r="BVO31" s="1266"/>
      <c r="BVP31" s="1266"/>
      <c r="BVQ31" s="1266"/>
      <c r="BVR31" s="1266"/>
      <c r="BVS31" s="1266"/>
      <c r="BVT31" s="1266"/>
      <c r="BVU31" s="1266"/>
      <c r="BVV31" s="1266"/>
      <c r="BVW31" s="1266"/>
      <c r="BVX31" s="1266"/>
      <c r="BVY31" s="1266"/>
      <c r="BVZ31" s="1266"/>
      <c r="BWA31" s="1266"/>
      <c r="BWB31" s="1266"/>
      <c r="BWC31" s="1266"/>
      <c r="BWD31" s="1266"/>
      <c r="BWE31" s="1266"/>
      <c r="BWF31" s="1266"/>
      <c r="BWG31" s="1266"/>
      <c r="BWH31" s="1266"/>
      <c r="BWI31" s="1266"/>
      <c r="BWJ31" s="1266"/>
      <c r="BWK31" s="1266"/>
      <c r="BWL31" s="1266"/>
      <c r="BWM31" s="1266"/>
      <c r="BWN31" s="1266"/>
      <c r="BWO31" s="1266"/>
      <c r="BWP31" s="1266"/>
      <c r="BWQ31" s="1266"/>
      <c r="BWR31" s="1266"/>
      <c r="BWS31" s="1266"/>
      <c r="BWT31" s="1266"/>
      <c r="BWU31" s="1266"/>
      <c r="BWV31" s="1266"/>
      <c r="BWW31" s="1266"/>
      <c r="BWX31" s="1266"/>
      <c r="BWY31" s="1266"/>
      <c r="BWZ31" s="1266"/>
      <c r="BXA31" s="1266"/>
      <c r="BXB31" s="1266"/>
      <c r="BXC31" s="1266"/>
      <c r="BXD31" s="1266"/>
      <c r="BXE31" s="1266"/>
      <c r="BXF31" s="1266"/>
      <c r="BXG31" s="1266"/>
      <c r="BXH31" s="1266"/>
      <c r="BXI31" s="1266"/>
      <c r="BXJ31" s="1266"/>
      <c r="BXK31" s="1266"/>
      <c r="BXL31" s="1266"/>
      <c r="BXM31" s="1266"/>
      <c r="BXN31" s="1266"/>
      <c r="BXO31" s="1266"/>
      <c r="BXP31" s="1266"/>
      <c r="BXQ31" s="1266"/>
      <c r="BXR31" s="1266"/>
      <c r="BXS31" s="1266"/>
      <c r="BXT31" s="1266"/>
      <c r="BXU31" s="1266"/>
      <c r="BXV31" s="1266"/>
      <c r="BXW31" s="1266"/>
      <c r="BXX31" s="1266"/>
      <c r="BXY31" s="1266"/>
      <c r="BXZ31" s="1266"/>
      <c r="BYA31" s="1266"/>
      <c r="BYB31" s="1266"/>
      <c r="BYC31" s="1266"/>
      <c r="BYD31" s="1266"/>
      <c r="BYE31" s="1266"/>
      <c r="BYF31" s="1266"/>
      <c r="BYG31" s="1266"/>
      <c r="BYH31" s="1266"/>
      <c r="BYI31" s="1266"/>
      <c r="BYJ31" s="1266"/>
      <c r="BYK31" s="1266"/>
      <c r="BYL31" s="1266"/>
      <c r="BYM31" s="1266"/>
      <c r="BYN31" s="1266"/>
      <c r="BYO31" s="1266"/>
      <c r="BYP31" s="1266"/>
      <c r="BYQ31" s="1266"/>
      <c r="BYR31" s="1266"/>
      <c r="BYS31" s="1266"/>
      <c r="BYT31" s="1266"/>
      <c r="BYU31" s="1266"/>
      <c r="BYV31" s="1266"/>
      <c r="BYW31" s="1266"/>
      <c r="BYX31" s="1266"/>
      <c r="BYY31" s="1266"/>
      <c r="BYZ31" s="1266"/>
      <c r="BZA31" s="1266"/>
      <c r="BZB31" s="1266"/>
      <c r="BZC31" s="1266"/>
      <c r="BZD31" s="1266"/>
      <c r="BZE31" s="1266"/>
      <c r="BZF31" s="1266"/>
      <c r="BZG31" s="1266"/>
      <c r="BZH31" s="1266"/>
      <c r="BZI31" s="1266"/>
      <c r="BZJ31" s="1266"/>
      <c r="BZK31" s="1266"/>
      <c r="BZL31" s="1266"/>
      <c r="BZM31" s="1266"/>
      <c r="BZN31" s="1266"/>
      <c r="BZO31" s="1266"/>
      <c r="BZP31" s="1266"/>
      <c r="BZQ31" s="1266"/>
      <c r="BZR31" s="1266"/>
      <c r="BZS31" s="1266"/>
      <c r="BZT31" s="1266"/>
      <c r="BZU31" s="1266"/>
      <c r="BZV31" s="1266"/>
      <c r="BZW31" s="1266"/>
      <c r="BZX31" s="1266"/>
      <c r="BZY31" s="1266"/>
      <c r="BZZ31" s="1266"/>
      <c r="CAA31" s="1266"/>
      <c r="CAB31" s="1266"/>
      <c r="CAC31" s="1266"/>
      <c r="CAD31" s="1266"/>
      <c r="CAE31" s="1266"/>
      <c r="CAF31" s="1266"/>
      <c r="CAG31" s="1266"/>
      <c r="CAH31" s="1266"/>
      <c r="CAI31" s="1266"/>
      <c r="CAJ31" s="1266"/>
      <c r="CAK31" s="1266"/>
      <c r="CAL31" s="1266"/>
      <c r="CAM31" s="1266"/>
      <c r="CAN31" s="1266"/>
      <c r="CAO31" s="1266"/>
      <c r="CAP31" s="1266"/>
      <c r="CAQ31" s="1266"/>
      <c r="CAR31" s="1266"/>
      <c r="CAS31" s="1266"/>
      <c r="CAT31" s="1266"/>
      <c r="CAU31" s="1266"/>
      <c r="CAV31" s="1266"/>
      <c r="CAW31" s="1266"/>
      <c r="CAX31" s="1266"/>
      <c r="CAY31" s="1266"/>
      <c r="CAZ31" s="1266"/>
      <c r="CBA31" s="1266"/>
      <c r="CBB31" s="1266"/>
      <c r="CBC31" s="1266"/>
      <c r="CBD31" s="1266"/>
      <c r="CBE31" s="1266"/>
      <c r="CBF31" s="1266"/>
      <c r="CBG31" s="1266"/>
      <c r="CBH31" s="1266"/>
      <c r="CBI31" s="1266"/>
      <c r="CBJ31" s="1266"/>
      <c r="CBK31" s="1266"/>
      <c r="CBL31" s="1266"/>
      <c r="CBM31" s="1266"/>
      <c r="CBN31" s="1266"/>
      <c r="CBO31" s="1266"/>
      <c r="CBP31" s="1266"/>
      <c r="CBQ31" s="1266"/>
      <c r="CBR31" s="1266"/>
      <c r="CBS31" s="1266"/>
      <c r="CBT31" s="1266"/>
      <c r="CBU31" s="1266"/>
      <c r="CBV31" s="1266"/>
      <c r="CBW31" s="1266"/>
      <c r="CBX31" s="1266"/>
      <c r="CBY31" s="1266"/>
      <c r="CBZ31" s="1266"/>
      <c r="CCA31" s="1266"/>
      <c r="CCB31" s="1266"/>
      <c r="CCC31" s="1266"/>
      <c r="CCD31" s="1266"/>
      <c r="CCE31" s="1266"/>
      <c r="CCF31" s="1266"/>
      <c r="CCG31" s="1266"/>
      <c r="CCH31" s="1266"/>
      <c r="CCI31" s="1266"/>
      <c r="CCJ31" s="1266"/>
      <c r="CCK31" s="1266"/>
      <c r="CCL31" s="1266"/>
      <c r="CCM31" s="1266"/>
      <c r="CCN31" s="1266"/>
      <c r="CCO31" s="1266"/>
      <c r="CCP31" s="1266"/>
      <c r="CCQ31" s="1266"/>
      <c r="CCR31" s="1266"/>
      <c r="CCS31" s="1266"/>
      <c r="CCT31" s="1266"/>
      <c r="CCU31" s="1266"/>
      <c r="CCV31" s="1266"/>
      <c r="CCW31" s="1266"/>
      <c r="CCX31" s="1266"/>
      <c r="CCY31" s="1266"/>
      <c r="CCZ31" s="1266"/>
      <c r="CDA31" s="1266"/>
      <c r="CDB31" s="1266"/>
      <c r="CDC31" s="1266"/>
      <c r="CDD31" s="1266"/>
      <c r="CDE31" s="1266"/>
      <c r="CDF31" s="1266"/>
      <c r="CDG31" s="1266"/>
      <c r="CDH31" s="1266"/>
      <c r="CDI31" s="1266"/>
      <c r="CDJ31" s="1266"/>
      <c r="CDK31" s="1266"/>
      <c r="CDL31" s="1266"/>
      <c r="CDM31" s="1266"/>
      <c r="CDN31" s="1266"/>
      <c r="CDO31" s="1266"/>
      <c r="CDP31" s="1266"/>
      <c r="CDQ31" s="1266"/>
      <c r="CDR31" s="1266"/>
      <c r="CDS31" s="1266"/>
      <c r="CDT31" s="1266"/>
      <c r="CDU31" s="1266"/>
      <c r="CDV31" s="1266"/>
      <c r="CDW31" s="1266"/>
      <c r="CDX31" s="1266"/>
      <c r="CDY31" s="1266"/>
      <c r="CDZ31" s="1266"/>
      <c r="CEA31" s="1266"/>
      <c r="CEB31" s="1266"/>
      <c r="CEC31" s="1266"/>
      <c r="CED31" s="1266"/>
      <c r="CEE31" s="1266"/>
      <c r="CEF31" s="1266"/>
      <c r="CEG31" s="1266"/>
      <c r="CEH31" s="1266"/>
      <c r="CEI31" s="1266"/>
      <c r="CEJ31" s="1266"/>
      <c r="CEK31" s="1266"/>
      <c r="CEL31" s="1266"/>
      <c r="CEM31" s="1266"/>
      <c r="CEN31" s="1266"/>
      <c r="CEO31" s="1266"/>
      <c r="CEP31" s="1266"/>
      <c r="CEQ31" s="1266"/>
      <c r="CER31" s="1266"/>
      <c r="CES31" s="1266"/>
      <c r="CET31" s="1266"/>
      <c r="CEU31" s="1266"/>
      <c r="CEV31" s="1266"/>
      <c r="CEW31" s="1266"/>
      <c r="CEX31" s="1266"/>
      <c r="CEY31" s="1266"/>
      <c r="CEZ31" s="1266"/>
      <c r="CFA31" s="1266"/>
      <c r="CFB31" s="1266"/>
      <c r="CFC31" s="1266"/>
      <c r="CFD31" s="1266"/>
      <c r="CFE31" s="1266"/>
      <c r="CFF31" s="1266"/>
      <c r="CFG31" s="1266"/>
      <c r="CFH31" s="1266"/>
      <c r="CFI31" s="1266"/>
      <c r="CFJ31" s="1266"/>
      <c r="CFK31" s="1266"/>
      <c r="CFL31" s="1266"/>
      <c r="CFM31" s="1266"/>
      <c r="CFN31" s="1266"/>
      <c r="CFO31" s="1266"/>
      <c r="CFP31" s="1266"/>
      <c r="CFQ31" s="1266"/>
      <c r="CFR31" s="1266"/>
      <c r="CFS31" s="1266"/>
      <c r="CFT31" s="1266"/>
      <c r="CFU31" s="1266"/>
      <c r="CFV31" s="1266"/>
      <c r="CFW31" s="1266"/>
      <c r="CFX31" s="1266"/>
      <c r="CFY31" s="1266"/>
      <c r="CFZ31" s="1266"/>
      <c r="CGA31" s="1266"/>
      <c r="CGB31" s="1266"/>
      <c r="CGC31" s="1266"/>
      <c r="CGD31" s="1266"/>
      <c r="CGE31" s="1266"/>
      <c r="CGF31" s="1266"/>
      <c r="CGG31" s="1266"/>
      <c r="CGH31" s="1266"/>
      <c r="CGI31" s="1266"/>
      <c r="CGJ31" s="1266"/>
      <c r="CGK31" s="1266"/>
      <c r="CGL31" s="1266"/>
      <c r="CGM31" s="1266"/>
      <c r="CGN31" s="1266"/>
      <c r="CGO31" s="1266"/>
      <c r="CGP31" s="1266"/>
      <c r="CGQ31" s="1266"/>
      <c r="CGR31" s="1266"/>
      <c r="CGS31" s="1266"/>
      <c r="CGT31" s="1266"/>
      <c r="CGU31" s="1266"/>
      <c r="CGV31" s="1266"/>
      <c r="CGW31" s="1266"/>
      <c r="CGX31" s="1266"/>
      <c r="CGY31" s="1266"/>
      <c r="CGZ31" s="1266"/>
      <c r="CHA31" s="1266"/>
      <c r="CHB31" s="1266"/>
      <c r="CHC31" s="1266"/>
      <c r="CHD31" s="1266"/>
      <c r="CHE31" s="1266"/>
      <c r="CHF31" s="1266"/>
      <c r="CHG31" s="1266"/>
      <c r="CHH31" s="1266"/>
      <c r="CHI31" s="1266"/>
      <c r="CHJ31" s="1266"/>
      <c r="CHK31" s="1266"/>
      <c r="CHL31" s="1266"/>
      <c r="CHM31" s="1266"/>
      <c r="CHN31" s="1266"/>
      <c r="CHO31" s="1266"/>
      <c r="CHP31" s="1266"/>
      <c r="CHQ31" s="1266"/>
      <c r="CHR31" s="1266"/>
      <c r="CHS31" s="1266"/>
      <c r="CHT31" s="1266"/>
      <c r="CHU31" s="1266"/>
      <c r="CHV31" s="1266"/>
      <c r="CHW31" s="1266"/>
      <c r="CHX31" s="1266"/>
      <c r="CHY31" s="1266"/>
      <c r="CHZ31" s="1266"/>
      <c r="CIA31" s="1266"/>
      <c r="CIB31" s="1266"/>
      <c r="CIC31" s="1266"/>
      <c r="CID31" s="1266"/>
      <c r="CIE31" s="1266"/>
      <c r="CIF31" s="1266"/>
      <c r="CIG31" s="1266"/>
      <c r="CIH31" s="1266"/>
      <c r="CII31" s="1266"/>
      <c r="CIJ31" s="1266"/>
      <c r="CIK31" s="1266"/>
      <c r="CIL31" s="1266"/>
      <c r="CIM31" s="1266"/>
      <c r="CIN31" s="1266"/>
      <c r="CIO31" s="1266"/>
      <c r="CIP31" s="1266"/>
      <c r="CIQ31" s="1266"/>
      <c r="CIR31" s="1266"/>
      <c r="CIS31" s="1266"/>
      <c r="CIT31" s="1266"/>
      <c r="CIU31" s="1266"/>
      <c r="CIV31" s="1266"/>
      <c r="CIW31" s="1266"/>
      <c r="CIX31" s="1266"/>
      <c r="CIY31" s="1266"/>
      <c r="CIZ31" s="1266"/>
      <c r="CJA31" s="1266"/>
      <c r="CJB31" s="1266"/>
      <c r="CJC31" s="1266"/>
      <c r="CJD31" s="1266"/>
      <c r="CJE31" s="1266"/>
      <c r="CJF31" s="1266"/>
      <c r="CJG31" s="1266"/>
      <c r="CJH31" s="1266"/>
      <c r="CJI31" s="1266"/>
      <c r="CJJ31" s="1266"/>
      <c r="CJK31" s="1266"/>
      <c r="CJL31" s="1266"/>
      <c r="CJM31" s="1266"/>
      <c r="CJN31" s="1266"/>
      <c r="CJO31" s="1266"/>
      <c r="CJP31" s="1266"/>
      <c r="CJQ31" s="1266"/>
      <c r="CJR31" s="1266"/>
      <c r="CJS31" s="1266"/>
      <c r="CJT31" s="1266"/>
      <c r="CJU31" s="1266"/>
      <c r="CJV31" s="1266"/>
      <c r="CJW31" s="1266"/>
      <c r="CJX31" s="1266"/>
      <c r="CJY31" s="1266"/>
      <c r="CJZ31" s="1266"/>
      <c r="CKA31" s="1266"/>
      <c r="CKB31" s="1266"/>
      <c r="CKC31" s="1266"/>
      <c r="CKD31" s="1266"/>
      <c r="CKE31" s="1266"/>
      <c r="CKF31" s="1266"/>
      <c r="CKG31" s="1266"/>
      <c r="CKH31" s="1266"/>
      <c r="CKI31" s="1266"/>
      <c r="CKJ31" s="1266"/>
      <c r="CKK31" s="1266"/>
      <c r="CKL31" s="1266"/>
      <c r="CKM31" s="1266"/>
      <c r="CKN31" s="1266"/>
      <c r="CKO31" s="1266"/>
      <c r="CKP31" s="1266"/>
      <c r="CKQ31" s="1266"/>
      <c r="CKR31" s="1266"/>
      <c r="CKS31" s="1266"/>
      <c r="CKT31" s="1266"/>
      <c r="CKU31" s="1266"/>
      <c r="CKV31" s="1266"/>
      <c r="CKW31" s="1266"/>
      <c r="CKX31" s="1266"/>
      <c r="CKY31" s="1266"/>
      <c r="CKZ31" s="1266"/>
      <c r="CLA31" s="1266"/>
      <c r="CLB31" s="1266"/>
      <c r="CLC31" s="1266"/>
      <c r="CLD31" s="1266"/>
      <c r="CLE31" s="1266"/>
      <c r="CLF31" s="1266"/>
      <c r="CLG31" s="1266"/>
      <c r="CLH31" s="1266"/>
      <c r="CLI31" s="1266"/>
      <c r="CLJ31" s="1266"/>
      <c r="CLK31" s="1266"/>
      <c r="CLL31" s="1266"/>
      <c r="CLM31" s="1266"/>
      <c r="CLN31" s="1266"/>
      <c r="CLO31" s="1266"/>
      <c r="CLP31" s="1266"/>
      <c r="CLQ31" s="1266"/>
      <c r="CLR31" s="1266"/>
      <c r="CLS31" s="1266"/>
      <c r="CLT31" s="1266"/>
      <c r="CLU31" s="1266"/>
      <c r="CLV31" s="1266"/>
      <c r="CLW31" s="1266"/>
      <c r="CLX31" s="1266"/>
      <c r="CLY31" s="1266"/>
      <c r="CLZ31" s="1266"/>
      <c r="CMA31" s="1266"/>
      <c r="CMB31" s="1266"/>
      <c r="CMC31" s="1266"/>
      <c r="CMD31" s="1266"/>
      <c r="CME31" s="1266"/>
      <c r="CMF31" s="1266"/>
      <c r="CMG31" s="1266"/>
      <c r="CMH31" s="1266"/>
      <c r="CMI31" s="1266"/>
      <c r="CMJ31" s="1266"/>
      <c r="CMK31" s="1266"/>
      <c r="CML31" s="1266"/>
      <c r="CMM31" s="1266"/>
      <c r="CMN31" s="1266"/>
      <c r="CMO31" s="1266"/>
      <c r="CMP31" s="1266"/>
      <c r="CMQ31" s="1266"/>
      <c r="CMR31" s="1266"/>
      <c r="CMS31" s="1266"/>
      <c r="CMT31" s="1266"/>
      <c r="CMU31" s="1266"/>
      <c r="CMV31" s="1266"/>
      <c r="CMW31" s="1266"/>
      <c r="CMX31" s="1266"/>
      <c r="CMY31" s="1266"/>
      <c r="CMZ31" s="1266"/>
      <c r="CNA31" s="1266"/>
      <c r="CNB31" s="1266"/>
      <c r="CNC31" s="1266"/>
      <c r="CND31" s="1266"/>
      <c r="CNE31" s="1266"/>
      <c r="CNF31" s="1266"/>
      <c r="CNG31" s="1266"/>
      <c r="CNH31" s="1266"/>
      <c r="CNI31" s="1266"/>
      <c r="CNJ31" s="1266"/>
      <c r="CNK31" s="1266"/>
      <c r="CNL31" s="1266"/>
      <c r="CNM31" s="1266"/>
      <c r="CNN31" s="1266"/>
      <c r="CNO31" s="1266"/>
      <c r="CNP31" s="1266"/>
      <c r="CNQ31" s="1266"/>
      <c r="CNR31" s="1266"/>
      <c r="CNS31" s="1266"/>
      <c r="CNT31" s="1266"/>
      <c r="CNU31" s="1266"/>
      <c r="CNV31" s="1266"/>
      <c r="CNW31" s="1266"/>
      <c r="CNX31" s="1266"/>
      <c r="CNY31" s="1266"/>
      <c r="CNZ31" s="1266"/>
      <c r="COA31" s="1266"/>
      <c r="COB31" s="1266"/>
      <c r="COC31" s="1266"/>
      <c r="COD31" s="1266"/>
      <c r="COE31" s="1266"/>
      <c r="COF31" s="1266"/>
      <c r="COG31" s="1266"/>
      <c r="COH31" s="1266"/>
      <c r="COI31" s="1266"/>
      <c r="COJ31" s="1266"/>
      <c r="COK31" s="1266"/>
      <c r="COL31" s="1266"/>
      <c r="COM31" s="1266"/>
      <c r="CON31" s="1266"/>
      <c r="COO31" s="1266"/>
      <c r="COP31" s="1266"/>
      <c r="COQ31" s="1266"/>
      <c r="COR31" s="1266"/>
      <c r="COS31" s="1266"/>
      <c r="COT31" s="1266"/>
      <c r="COU31" s="1266"/>
      <c r="COV31" s="1266"/>
      <c r="COW31" s="1266"/>
      <c r="COX31" s="1266"/>
      <c r="COY31" s="1266"/>
      <c r="COZ31" s="1266"/>
      <c r="CPA31" s="1266"/>
      <c r="CPB31" s="1266"/>
      <c r="CPC31" s="1266"/>
      <c r="CPD31" s="1266"/>
      <c r="CPE31" s="1266"/>
      <c r="CPF31" s="1266"/>
      <c r="CPG31" s="1266"/>
      <c r="CPH31" s="1266"/>
      <c r="CPI31" s="1266"/>
      <c r="CPJ31" s="1266"/>
      <c r="CPK31" s="1266"/>
      <c r="CPL31" s="1266"/>
      <c r="CPM31" s="1266"/>
      <c r="CPN31" s="1266"/>
      <c r="CPO31" s="1266"/>
      <c r="CPP31" s="1266"/>
      <c r="CPQ31" s="1266"/>
      <c r="CPR31" s="1266"/>
      <c r="CPS31" s="1266"/>
      <c r="CPT31" s="1266"/>
      <c r="CPU31" s="1266"/>
      <c r="CPV31" s="1266"/>
      <c r="CPW31" s="1266"/>
      <c r="CPX31" s="1266"/>
      <c r="CPY31" s="1266"/>
      <c r="CPZ31" s="1266"/>
      <c r="CQA31" s="1266"/>
      <c r="CQB31" s="1266"/>
      <c r="CQC31" s="1266"/>
      <c r="CQD31" s="1266"/>
      <c r="CQE31" s="1266"/>
      <c r="CQF31" s="1266"/>
      <c r="CQG31" s="1266"/>
      <c r="CQH31" s="1266"/>
      <c r="CQI31" s="1266"/>
      <c r="CQJ31" s="1266"/>
      <c r="CQK31" s="1266"/>
      <c r="CQL31" s="1266"/>
      <c r="CQM31" s="1266"/>
      <c r="CQN31" s="1266"/>
      <c r="CQO31" s="1266"/>
      <c r="CQP31" s="1266"/>
      <c r="CQQ31" s="1266"/>
      <c r="CQR31" s="1266"/>
      <c r="CQS31" s="1266"/>
      <c r="CQT31" s="1266"/>
      <c r="CQU31" s="1266"/>
      <c r="CQV31" s="1266"/>
      <c r="CQW31" s="1266"/>
      <c r="CQX31" s="1266"/>
      <c r="CQY31" s="1266"/>
      <c r="CQZ31" s="1266"/>
      <c r="CRA31" s="1266"/>
      <c r="CRB31" s="1266"/>
      <c r="CRC31" s="1266"/>
      <c r="CRD31" s="1266"/>
      <c r="CRE31" s="1266"/>
      <c r="CRF31" s="1266"/>
      <c r="CRG31" s="1266"/>
      <c r="CRH31" s="1266"/>
      <c r="CRI31" s="1266"/>
      <c r="CRJ31" s="1266"/>
      <c r="CRK31" s="1266"/>
      <c r="CRL31" s="1266"/>
      <c r="CRM31" s="1266"/>
      <c r="CRN31" s="1266"/>
      <c r="CRO31" s="1266"/>
      <c r="CRP31" s="1266"/>
      <c r="CRQ31" s="1266"/>
      <c r="CRR31" s="1266"/>
      <c r="CRS31" s="1266"/>
      <c r="CRT31" s="1266"/>
      <c r="CRU31" s="1266"/>
      <c r="CRV31" s="1266"/>
      <c r="CRW31" s="1266"/>
      <c r="CRX31" s="1266"/>
      <c r="CRY31" s="1266"/>
      <c r="CRZ31" s="1266"/>
      <c r="CSA31" s="1266"/>
      <c r="CSB31" s="1266"/>
      <c r="CSC31" s="1266"/>
      <c r="CSD31" s="1266"/>
      <c r="CSE31" s="1266"/>
      <c r="CSF31" s="1266"/>
      <c r="CSG31" s="1266"/>
      <c r="CSH31" s="1266"/>
      <c r="CSI31" s="1266"/>
      <c r="CSJ31" s="1266"/>
      <c r="CSK31" s="1266"/>
      <c r="CSL31" s="1266"/>
      <c r="CSM31" s="1266"/>
      <c r="CSN31" s="1266"/>
      <c r="CSO31" s="1266"/>
      <c r="CSP31" s="1266"/>
      <c r="CSQ31" s="1266"/>
      <c r="CSR31" s="1266"/>
      <c r="CSS31" s="1266"/>
      <c r="CST31" s="1266"/>
      <c r="CSU31" s="1266"/>
      <c r="CSV31" s="1266"/>
      <c r="CSW31" s="1266"/>
      <c r="CSX31" s="1266"/>
      <c r="CSY31" s="1266"/>
      <c r="CSZ31" s="1266"/>
      <c r="CTA31" s="1266"/>
      <c r="CTB31" s="1266"/>
      <c r="CTC31" s="1266"/>
      <c r="CTD31" s="1266"/>
      <c r="CTE31" s="1266"/>
      <c r="CTF31" s="1266"/>
      <c r="CTG31" s="1266"/>
      <c r="CTH31" s="1266"/>
      <c r="CTI31" s="1266"/>
      <c r="CTJ31" s="1266"/>
      <c r="CTK31" s="1266"/>
      <c r="CTL31" s="1266"/>
      <c r="CTM31" s="1266"/>
      <c r="CTN31" s="1266"/>
      <c r="CTO31" s="1266"/>
      <c r="CTP31" s="1266"/>
      <c r="CTQ31" s="1266"/>
      <c r="CTR31" s="1266"/>
      <c r="CTS31" s="1266"/>
      <c r="CTT31" s="1266"/>
      <c r="CTU31" s="1266"/>
      <c r="CTV31" s="1266"/>
      <c r="CTW31" s="1266"/>
      <c r="CTX31" s="1266"/>
      <c r="CTY31" s="1266"/>
      <c r="CTZ31" s="1266"/>
      <c r="CUA31" s="1266"/>
      <c r="CUB31" s="1266"/>
      <c r="CUC31" s="1266"/>
      <c r="CUD31" s="1266"/>
      <c r="CUE31" s="1266"/>
      <c r="CUF31" s="1266"/>
      <c r="CUG31" s="1266"/>
      <c r="CUH31" s="1266"/>
      <c r="CUI31" s="1266"/>
      <c r="CUJ31" s="1266"/>
      <c r="CUK31" s="1266"/>
      <c r="CUL31" s="1266"/>
      <c r="CUM31" s="1266"/>
      <c r="CUN31" s="1266"/>
      <c r="CUO31" s="1266"/>
      <c r="CUP31" s="1266"/>
      <c r="CUQ31" s="1266"/>
      <c r="CUR31" s="1266"/>
      <c r="CUS31" s="1266"/>
      <c r="CUT31" s="1266"/>
      <c r="CUU31" s="1266"/>
      <c r="CUV31" s="1266"/>
      <c r="CUW31" s="1266"/>
      <c r="CUX31" s="1266"/>
      <c r="CUY31" s="1266"/>
      <c r="CUZ31" s="1266"/>
      <c r="CVA31" s="1266"/>
      <c r="CVB31" s="1266"/>
      <c r="CVC31" s="1266"/>
      <c r="CVD31" s="1266"/>
      <c r="CVE31" s="1266"/>
      <c r="CVF31" s="1266"/>
      <c r="CVG31" s="1266"/>
      <c r="CVH31" s="1266"/>
      <c r="CVI31" s="1266"/>
      <c r="CVJ31" s="1266"/>
      <c r="CVK31" s="1266"/>
      <c r="CVL31" s="1266"/>
      <c r="CVM31" s="1266"/>
      <c r="CVN31" s="1266"/>
      <c r="CVO31" s="1266"/>
      <c r="CVP31" s="1266"/>
      <c r="CVQ31" s="1266"/>
      <c r="CVR31" s="1266"/>
      <c r="CVS31" s="1266"/>
      <c r="CVT31" s="1266"/>
      <c r="CVU31" s="1266"/>
      <c r="CVV31" s="1266"/>
      <c r="CVW31" s="1266"/>
      <c r="CVX31" s="1266"/>
      <c r="CVY31" s="1266"/>
      <c r="CVZ31" s="1266"/>
      <c r="CWA31" s="1266"/>
      <c r="CWB31" s="1266"/>
      <c r="CWC31" s="1266"/>
      <c r="CWD31" s="1266"/>
      <c r="CWE31" s="1266"/>
      <c r="CWF31" s="1266"/>
      <c r="CWG31" s="1266"/>
      <c r="CWH31" s="1266"/>
      <c r="CWI31" s="1266"/>
      <c r="CWJ31" s="1266"/>
      <c r="CWK31" s="1266"/>
      <c r="CWL31" s="1266"/>
      <c r="CWM31" s="1266"/>
      <c r="CWN31" s="1266"/>
      <c r="CWO31" s="1266"/>
      <c r="CWP31" s="1266"/>
      <c r="CWQ31" s="1266"/>
      <c r="CWR31" s="1266"/>
      <c r="CWS31" s="1266"/>
      <c r="CWT31" s="1266"/>
      <c r="CWU31" s="1266"/>
      <c r="CWV31" s="1266"/>
      <c r="CWW31" s="1266"/>
      <c r="CWX31" s="1266"/>
      <c r="CWY31" s="1266"/>
      <c r="CWZ31" s="1266"/>
      <c r="CXA31" s="1266"/>
      <c r="CXB31" s="1266"/>
      <c r="CXC31" s="1266"/>
      <c r="CXD31" s="1266"/>
      <c r="CXE31" s="1266"/>
      <c r="CXF31" s="1266"/>
      <c r="CXG31" s="1266"/>
      <c r="CXH31" s="1266"/>
      <c r="CXI31" s="1266"/>
      <c r="CXJ31" s="1266"/>
      <c r="CXK31" s="1266"/>
      <c r="CXL31" s="1266"/>
      <c r="CXM31" s="1266"/>
      <c r="CXN31" s="1266"/>
      <c r="CXO31" s="1266"/>
      <c r="CXP31" s="1266"/>
      <c r="CXQ31" s="1266"/>
      <c r="CXR31" s="1266"/>
      <c r="CXS31" s="1266"/>
      <c r="CXT31" s="1266"/>
      <c r="CXU31" s="1266"/>
      <c r="CXV31" s="1266"/>
      <c r="CXW31" s="1266"/>
      <c r="CXX31" s="1266"/>
      <c r="CXY31" s="1266"/>
      <c r="CXZ31" s="1266"/>
      <c r="CYA31" s="1266"/>
      <c r="CYB31" s="1266"/>
      <c r="CYC31" s="1266"/>
      <c r="CYD31" s="1266"/>
      <c r="CYE31" s="1266"/>
      <c r="CYF31" s="1266"/>
      <c r="CYG31" s="1266"/>
      <c r="CYH31" s="1266"/>
      <c r="CYI31" s="1266"/>
      <c r="CYJ31" s="1266"/>
      <c r="CYK31" s="1266"/>
      <c r="CYL31" s="1266"/>
      <c r="CYM31" s="1266"/>
      <c r="CYN31" s="1266"/>
      <c r="CYO31" s="1266"/>
      <c r="CYP31" s="1266"/>
      <c r="CYQ31" s="1266"/>
      <c r="CYR31" s="1266"/>
      <c r="CYS31" s="1266"/>
      <c r="CYT31" s="1266"/>
      <c r="CYU31" s="1266"/>
      <c r="CYV31" s="1266"/>
      <c r="CYW31" s="1266"/>
      <c r="CYX31" s="1266"/>
      <c r="CYY31" s="1266"/>
      <c r="CYZ31" s="1266"/>
      <c r="CZA31" s="1266"/>
      <c r="CZB31" s="1266"/>
      <c r="CZC31" s="1266"/>
      <c r="CZD31" s="1266"/>
      <c r="CZE31" s="1266"/>
      <c r="CZF31" s="1266"/>
      <c r="CZG31" s="1266"/>
      <c r="CZH31" s="1266"/>
      <c r="CZI31" s="1266"/>
      <c r="CZJ31" s="1266"/>
      <c r="CZK31" s="1266"/>
      <c r="CZL31" s="1266"/>
      <c r="CZM31" s="1266"/>
      <c r="CZN31" s="1266"/>
      <c r="CZO31" s="1266"/>
      <c r="CZP31" s="1266"/>
      <c r="CZQ31" s="1266"/>
      <c r="CZR31" s="1266"/>
      <c r="CZS31" s="1266"/>
      <c r="CZT31" s="1266"/>
      <c r="CZU31" s="1266"/>
      <c r="CZV31" s="1266"/>
      <c r="CZW31" s="1266"/>
      <c r="CZX31" s="1266"/>
      <c r="CZY31" s="1266"/>
      <c r="CZZ31" s="1266"/>
      <c r="DAA31" s="1266"/>
      <c r="DAB31" s="1266"/>
      <c r="DAC31" s="1266"/>
      <c r="DAD31" s="1266"/>
      <c r="DAE31" s="1266"/>
      <c r="DAF31" s="1266"/>
      <c r="DAG31" s="1266"/>
      <c r="DAH31" s="1266"/>
      <c r="DAI31" s="1266"/>
      <c r="DAJ31" s="1266"/>
      <c r="DAK31" s="1266"/>
      <c r="DAL31" s="1266"/>
      <c r="DAM31" s="1266"/>
      <c r="DAN31" s="1266"/>
      <c r="DAO31" s="1266"/>
      <c r="DAP31" s="1266"/>
      <c r="DAQ31" s="1266"/>
      <c r="DAR31" s="1266"/>
      <c r="DAS31" s="1266"/>
      <c r="DAT31" s="1266"/>
      <c r="DAU31" s="1266"/>
      <c r="DAV31" s="1266"/>
      <c r="DAW31" s="1266"/>
      <c r="DAX31" s="1266"/>
      <c r="DAY31" s="1266"/>
      <c r="DAZ31" s="1266"/>
      <c r="DBA31" s="1266"/>
      <c r="DBB31" s="1266"/>
      <c r="DBC31" s="1266"/>
      <c r="DBD31" s="1266"/>
      <c r="DBE31" s="1266"/>
      <c r="DBF31" s="1266"/>
      <c r="DBG31" s="1266"/>
      <c r="DBH31" s="1266"/>
      <c r="DBI31" s="1266"/>
      <c r="DBJ31" s="1266"/>
      <c r="DBK31" s="1266"/>
      <c r="DBL31" s="1266"/>
      <c r="DBM31" s="1266"/>
      <c r="DBN31" s="1266"/>
      <c r="DBO31" s="1266"/>
      <c r="DBP31" s="1266"/>
      <c r="DBQ31" s="1266"/>
      <c r="DBR31" s="1266"/>
      <c r="DBS31" s="1266"/>
      <c r="DBT31" s="1266"/>
      <c r="DBU31" s="1266"/>
      <c r="DBV31" s="1266"/>
      <c r="DBW31" s="1266"/>
      <c r="DBX31" s="1266"/>
      <c r="DBY31" s="1266"/>
      <c r="DBZ31" s="1266"/>
      <c r="DCA31" s="1266"/>
      <c r="DCB31" s="1266"/>
      <c r="DCC31" s="1266"/>
      <c r="DCD31" s="1266"/>
      <c r="DCE31" s="1266"/>
      <c r="DCF31" s="1266"/>
      <c r="DCG31" s="1266"/>
      <c r="DCH31" s="1266"/>
      <c r="DCI31" s="1266"/>
      <c r="DCJ31" s="1266"/>
      <c r="DCK31" s="1266"/>
      <c r="DCL31" s="1266"/>
      <c r="DCM31" s="1266"/>
      <c r="DCN31" s="1266"/>
      <c r="DCO31" s="1266"/>
      <c r="DCP31" s="1266"/>
      <c r="DCQ31" s="1266"/>
      <c r="DCR31" s="1266"/>
      <c r="DCS31" s="1266"/>
      <c r="DCT31" s="1266"/>
      <c r="DCU31" s="1266"/>
      <c r="DCV31" s="1266"/>
      <c r="DCW31" s="1266"/>
      <c r="DCX31" s="1266"/>
      <c r="DCY31" s="1266"/>
      <c r="DCZ31" s="1266"/>
      <c r="DDA31" s="1266"/>
      <c r="DDB31" s="1266"/>
      <c r="DDC31" s="1266"/>
      <c r="DDD31" s="1266"/>
      <c r="DDE31" s="1266"/>
      <c r="DDF31" s="1266"/>
      <c r="DDG31" s="1266"/>
      <c r="DDH31" s="1266"/>
      <c r="DDI31" s="1266"/>
      <c r="DDJ31" s="1266"/>
      <c r="DDK31" s="1266"/>
      <c r="DDL31" s="1266"/>
      <c r="DDM31" s="1266"/>
      <c r="DDN31" s="1266"/>
      <c r="DDO31" s="1266"/>
      <c r="DDP31" s="1266"/>
      <c r="DDQ31" s="1266"/>
      <c r="DDR31" s="1266"/>
      <c r="DDS31" s="1266"/>
      <c r="DDT31" s="1266"/>
      <c r="DDU31" s="1266"/>
      <c r="DDV31" s="1266"/>
      <c r="DDW31" s="1266"/>
      <c r="DDX31" s="1266"/>
      <c r="DDY31" s="1266"/>
      <c r="DDZ31" s="1266"/>
      <c r="DEA31" s="1266"/>
      <c r="DEB31" s="1266"/>
      <c r="DEC31" s="1266"/>
      <c r="DED31" s="1266"/>
      <c r="DEE31" s="1266"/>
      <c r="DEF31" s="1266"/>
      <c r="DEG31" s="1266"/>
      <c r="DEH31" s="1266"/>
      <c r="DEI31" s="1266"/>
      <c r="DEJ31" s="1266"/>
      <c r="DEK31" s="1266"/>
      <c r="DEL31" s="1266"/>
      <c r="DEM31" s="1266"/>
      <c r="DEN31" s="1266"/>
      <c r="DEO31" s="1266"/>
      <c r="DEP31" s="1266"/>
      <c r="DEQ31" s="1266"/>
      <c r="DER31" s="1266"/>
      <c r="DES31" s="1266"/>
      <c r="DET31" s="1266"/>
      <c r="DEU31" s="1266"/>
      <c r="DEV31" s="1266"/>
      <c r="DEW31" s="1266"/>
      <c r="DEX31" s="1266"/>
      <c r="DEY31" s="1266"/>
      <c r="DEZ31" s="1266"/>
      <c r="DFA31" s="1266"/>
      <c r="DFB31" s="1266"/>
      <c r="DFC31" s="1266"/>
      <c r="DFD31" s="1266"/>
      <c r="DFE31" s="1266"/>
      <c r="DFF31" s="1266"/>
      <c r="DFG31" s="1266"/>
      <c r="DFH31" s="1266"/>
      <c r="DFI31" s="1266"/>
      <c r="DFJ31" s="1266"/>
      <c r="DFK31" s="1266"/>
      <c r="DFL31" s="1266"/>
      <c r="DFM31" s="1266"/>
      <c r="DFN31" s="1266"/>
      <c r="DFO31" s="1266"/>
      <c r="DFP31" s="1266"/>
      <c r="DFQ31" s="1266"/>
      <c r="DFR31" s="1266"/>
      <c r="DFS31" s="1266"/>
      <c r="DFT31" s="1266"/>
      <c r="DFU31" s="1266"/>
      <c r="DFV31" s="1266"/>
      <c r="DFW31" s="1266"/>
      <c r="DFX31" s="1266"/>
      <c r="DFY31" s="1266"/>
      <c r="DFZ31" s="1266"/>
      <c r="DGA31" s="1266"/>
      <c r="DGB31" s="1266"/>
      <c r="DGC31" s="1266"/>
      <c r="DGD31" s="1266"/>
      <c r="DGE31" s="1266"/>
      <c r="DGF31" s="1266"/>
      <c r="DGG31" s="1266"/>
      <c r="DGH31" s="1266"/>
      <c r="DGI31" s="1266"/>
      <c r="DGJ31" s="1266"/>
      <c r="DGK31" s="1266"/>
      <c r="DGL31" s="1266"/>
      <c r="DGM31" s="1266"/>
      <c r="DGN31" s="1266"/>
      <c r="DGO31" s="1266"/>
      <c r="DGP31" s="1266"/>
      <c r="DGQ31" s="1266"/>
      <c r="DGR31" s="1266"/>
      <c r="DGS31" s="1266"/>
      <c r="DGT31" s="1266"/>
      <c r="DGU31" s="1266"/>
      <c r="DGV31" s="1266"/>
      <c r="DGW31" s="1266"/>
      <c r="DGX31" s="1266"/>
      <c r="DGY31" s="1266"/>
      <c r="DGZ31" s="1266"/>
      <c r="DHA31" s="1266"/>
      <c r="DHB31" s="1266"/>
      <c r="DHC31" s="1266"/>
      <c r="DHD31" s="1266"/>
      <c r="DHE31" s="1266"/>
      <c r="DHF31" s="1266"/>
      <c r="DHG31" s="1266"/>
      <c r="DHH31" s="1266"/>
      <c r="DHI31" s="1266"/>
      <c r="DHJ31" s="1266"/>
      <c r="DHK31" s="1266"/>
      <c r="DHL31" s="1266"/>
      <c r="DHM31" s="1266"/>
      <c r="DHN31" s="1266"/>
      <c r="DHO31" s="1266"/>
      <c r="DHP31" s="1266"/>
      <c r="DHQ31" s="1266"/>
      <c r="DHR31" s="1266"/>
      <c r="DHS31" s="1266"/>
      <c r="DHT31" s="1266"/>
      <c r="DHU31" s="1266"/>
      <c r="DHV31" s="1266"/>
      <c r="DHW31" s="1266"/>
      <c r="DHX31" s="1266"/>
      <c r="DHY31" s="1266"/>
      <c r="DHZ31" s="1266"/>
      <c r="DIA31" s="1266"/>
      <c r="DIB31" s="1266"/>
      <c r="DIC31" s="1266"/>
      <c r="DID31" s="1266"/>
      <c r="DIE31" s="1266"/>
      <c r="DIF31" s="1266"/>
      <c r="DIG31" s="1266"/>
      <c r="DIH31" s="1266"/>
      <c r="DII31" s="1266"/>
      <c r="DIJ31" s="1266"/>
      <c r="DIK31" s="1266"/>
      <c r="DIL31" s="1266"/>
      <c r="DIM31" s="1266"/>
      <c r="DIN31" s="1266"/>
      <c r="DIO31" s="1266"/>
      <c r="DIP31" s="1266"/>
      <c r="DIQ31" s="1266"/>
      <c r="DIR31" s="1266"/>
      <c r="DIS31" s="1266"/>
      <c r="DIT31" s="1266"/>
      <c r="DIU31" s="1266"/>
      <c r="DIV31" s="1266"/>
      <c r="DIW31" s="1266"/>
      <c r="DIX31" s="1266"/>
      <c r="DIY31" s="1266"/>
      <c r="DIZ31" s="1266"/>
      <c r="DJA31" s="1266"/>
      <c r="DJB31" s="1266"/>
      <c r="DJC31" s="1266"/>
      <c r="DJD31" s="1266"/>
      <c r="DJE31" s="1266"/>
      <c r="DJF31" s="1266"/>
      <c r="DJG31" s="1266"/>
      <c r="DJH31" s="1266"/>
      <c r="DJI31" s="1266"/>
      <c r="DJJ31" s="1266"/>
      <c r="DJK31" s="1266"/>
      <c r="DJL31" s="1266"/>
      <c r="DJM31" s="1266"/>
      <c r="DJN31" s="1266"/>
      <c r="DJO31" s="1266"/>
      <c r="DJP31" s="1266"/>
      <c r="DJQ31" s="1266"/>
      <c r="DJR31" s="1266"/>
      <c r="DJS31" s="1266"/>
      <c r="DJT31" s="1266"/>
      <c r="DJU31" s="1266"/>
      <c r="DJV31" s="1266"/>
      <c r="DJW31" s="1266"/>
      <c r="DJX31" s="1266"/>
      <c r="DJY31" s="1266"/>
      <c r="DJZ31" s="1266"/>
      <c r="DKA31" s="1266"/>
      <c r="DKB31" s="1266"/>
      <c r="DKC31" s="1266"/>
      <c r="DKD31" s="1266"/>
      <c r="DKE31" s="1266"/>
      <c r="DKF31" s="1266"/>
      <c r="DKG31" s="1266"/>
      <c r="DKH31" s="1266"/>
      <c r="DKI31" s="1266"/>
      <c r="DKJ31" s="1266"/>
      <c r="DKK31" s="1266"/>
      <c r="DKL31" s="1266"/>
      <c r="DKM31" s="1266"/>
      <c r="DKN31" s="1266"/>
      <c r="DKO31" s="1266"/>
      <c r="DKP31" s="1266"/>
      <c r="DKQ31" s="1266"/>
      <c r="DKR31" s="1266"/>
      <c r="DKS31" s="1266"/>
      <c r="DKT31" s="1266"/>
      <c r="DKU31" s="1266"/>
      <c r="DKV31" s="1266"/>
      <c r="DKW31" s="1266"/>
      <c r="DKX31" s="1266"/>
      <c r="DKY31" s="1266"/>
      <c r="DKZ31" s="1266"/>
      <c r="DLA31" s="1266"/>
      <c r="DLB31" s="1266"/>
      <c r="DLC31" s="1266"/>
      <c r="DLD31" s="1266"/>
      <c r="DLE31" s="1266"/>
      <c r="DLF31" s="1266"/>
      <c r="DLG31" s="1266"/>
      <c r="DLH31" s="1266"/>
      <c r="DLI31" s="1266"/>
      <c r="DLJ31" s="1266"/>
      <c r="DLK31" s="1266"/>
      <c r="DLL31" s="1266"/>
      <c r="DLM31" s="1266"/>
      <c r="DLN31" s="1266"/>
      <c r="DLO31" s="1266"/>
      <c r="DLP31" s="1266"/>
      <c r="DLQ31" s="1266"/>
      <c r="DLR31" s="1266"/>
      <c r="DLS31" s="1266"/>
      <c r="DLT31" s="1266"/>
      <c r="DLU31" s="1266"/>
      <c r="DLV31" s="1266"/>
      <c r="DLW31" s="1266"/>
      <c r="DLX31" s="1266"/>
      <c r="DLY31" s="1266"/>
      <c r="DLZ31" s="1266"/>
      <c r="DMA31" s="1266"/>
      <c r="DMB31" s="1266"/>
      <c r="DMC31" s="1266"/>
      <c r="DMD31" s="1266"/>
      <c r="DME31" s="1266"/>
      <c r="DMF31" s="1266"/>
      <c r="DMG31" s="1266"/>
      <c r="DMH31" s="1266"/>
      <c r="DMI31" s="1266"/>
      <c r="DMJ31" s="1266"/>
      <c r="DMK31" s="1266"/>
      <c r="DML31" s="1266"/>
      <c r="DMM31" s="1266"/>
      <c r="DMN31" s="1266"/>
      <c r="DMO31" s="1266"/>
      <c r="DMP31" s="1266"/>
      <c r="DMQ31" s="1266"/>
      <c r="DMR31" s="1266"/>
      <c r="DMS31" s="1266"/>
      <c r="DMT31" s="1266"/>
      <c r="DMU31" s="1266"/>
      <c r="DMV31" s="1266"/>
      <c r="DMW31" s="1266"/>
      <c r="DMX31" s="1266"/>
      <c r="DMY31" s="1266"/>
      <c r="DMZ31" s="1266"/>
      <c r="DNA31" s="1266"/>
      <c r="DNB31" s="1266"/>
      <c r="DNC31" s="1266"/>
      <c r="DND31" s="1266"/>
      <c r="DNE31" s="1266"/>
      <c r="DNF31" s="1266"/>
      <c r="DNG31" s="1266"/>
      <c r="DNH31" s="1266"/>
      <c r="DNI31" s="1266"/>
      <c r="DNJ31" s="1266"/>
      <c r="DNK31" s="1266"/>
      <c r="DNL31" s="1266"/>
      <c r="DNM31" s="1266"/>
      <c r="DNN31" s="1266"/>
      <c r="DNO31" s="1266"/>
      <c r="DNP31" s="1266"/>
      <c r="DNQ31" s="1266"/>
      <c r="DNR31" s="1266"/>
      <c r="DNS31" s="1266"/>
      <c r="DNT31" s="1266"/>
      <c r="DNU31" s="1266"/>
      <c r="DNV31" s="1266"/>
      <c r="DNW31" s="1266"/>
      <c r="DNX31" s="1266"/>
      <c r="DNY31" s="1266"/>
      <c r="DNZ31" s="1266"/>
      <c r="DOA31" s="1266"/>
      <c r="DOB31" s="1266"/>
      <c r="DOC31" s="1266"/>
      <c r="DOD31" s="1266"/>
      <c r="DOE31" s="1266"/>
      <c r="DOF31" s="1266"/>
      <c r="DOG31" s="1266"/>
      <c r="DOH31" s="1266"/>
      <c r="DOI31" s="1266"/>
      <c r="DOJ31" s="1266"/>
      <c r="DOK31" s="1266"/>
      <c r="DOL31" s="1266"/>
      <c r="DOM31" s="1266"/>
      <c r="DON31" s="1266"/>
      <c r="DOO31" s="1266"/>
      <c r="DOP31" s="1266"/>
      <c r="DOQ31" s="1266"/>
      <c r="DOR31" s="1266"/>
      <c r="DOS31" s="1266"/>
      <c r="DOT31" s="1266"/>
      <c r="DOU31" s="1266"/>
      <c r="DOV31" s="1266"/>
      <c r="DOW31" s="1266"/>
      <c r="DOX31" s="1266"/>
      <c r="DOY31" s="1266"/>
      <c r="DOZ31" s="1266"/>
      <c r="DPA31" s="1266"/>
      <c r="DPB31" s="1266"/>
      <c r="DPC31" s="1266"/>
      <c r="DPD31" s="1266"/>
      <c r="DPE31" s="1266"/>
      <c r="DPF31" s="1266"/>
      <c r="DPG31" s="1266"/>
      <c r="DPH31" s="1266"/>
      <c r="DPI31" s="1266"/>
      <c r="DPJ31" s="1266"/>
      <c r="DPK31" s="1266"/>
      <c r="DPL31" s="1266"/>
      <c r="DPM31" s="1266"/>
      <c r="DPN31" s="1266"/>
      <c r="DPO31" s="1266"/>
      <c r="DPP31" s="1266"/>
      <c r="DPQ31" s="1266"/>
      <c r="DPR31" s="1266"/>
      <c r="DPS31" s="1266"/>
      <c r="DPT31" s="1266"/>
      <c r="DPU31" s="1266"/>
      <c r="DPV31" s="1266"/>
      <c r="DPW31" s="1266"/>
      <c r="DPX31" s="1266"/>
      <c r="DPY31" s="1266"/>
      <c r="DPZ31" s="1266"/>
      <c r="DQA31" s="1266"/>
      <c r="DQB31" s="1266"/>
      <c r="DQC31" s="1266"/>
      <c r="DQD31" s="1266"/>
      <c r="DQE31" s="1266"/>
      <c r="DQF31" s="1266"/>
      <c r="DQG31" s="1266"/>
      <c r="DQH31" s="1266"/>
      <c r="DQI31" s="1266"/>
      <c r="DQJ31" s="1266"/>
      <c r="DQK31" s="1266"/>
      <c r="DQL31" s="1266"/>
      <c r="DQM31" s="1266"/>
      <c r="DQN31" s="1266"/>
      <c r="DQO31" s="1266"/>
      <c r="DQP31" s="1266"/>
      <c r="DQQ31" s="1266"/>
      <c r="DQR31" s="1266"/>
      <c r="DQS31" s="1266"/>
      <c r="DQT31" s="1266"/>
      <c r="DQU31" s="1266"/>
      <c r="DQV31" s="1266"/>
      <c r="DQW31" s="1266"/>
      <c r="DQX31" s="1266"/>
      <c r="DQY31" s="1266"/>
      <c r="DQZ31" s="1266"/>
      <c r="DRA31" s="1266"/>
      <c r="DRB31" s="1266"/>
      <c r="DRC31" s="1266"/>
      <c r="DRD31" s="1266"/>
      <c r="DRE31" s="1266"/>
      <c r="DRF31" s="1266"/>
      <c r="DRG31" s="1266"/>
      <c r="DRH31" s="1266"/>
      <c r="DRI31" s="1266"/>
      <c r="DRJ31" s="1266"/>
      <c r="DRK31" s="1266"/>
      <c r="DRL31" s="1266"/>
      <c r="DRM31" s="1266"/>
      <c r="DRN31" s="1266"/>
      <c r="DRO31" s="1266"/>
      <c r="DRP31" s="1266"/>
      <c r="DRQ31" s="1266"/>
      <c r="DRR31" s="1266"/>
      <c r="DRS31" s="1266"/>
      <c r="DRT31" s="1266"/>
      <c r="DRU31" s="1266"/>
      <c r="DRV31" s="1266"/>
      <c r="DRW31" s="1266"/>
      <c r="DRX31" s="1266"/>
      <c r="DRY31" s="1266"/>
      <c r="DRZ31" s="1266"/>
      <c r="DSA31" s="1266"/>
      <c r="DSB31" s="1266"/>
      <c r="DSC31" s="1266"/>
      <c r="DSD31" s="1266"/>
      <c r="DSE31" s="1266"/>
      <c r="DSF31" s="1266"/>
      <c r="DSG31" s="1266"/>
      <c r="DSH31" s="1266"/>
      <c r="DSI31" s="1266"/>
      <c r="DSJ31" s="1266"/>
      <c r="DSK31" s="1266"/>
      <c r="DSL31" s="1266"/>
      <c r="DSM31" s="1266"/>
      <c r="DSN31" s="1266"/>
      <c r="DSO31" s="1266"/>
      <c r="DSP31" s="1266"/>
      <c r="DSQ31" s="1266"/>
      <c r="DSR31" s="1266"/>
      <c r="DSS31" s="1266"/>
      <c r="DST31" s="1266"/>
      <c r="DSU31" s="1266"/>
      <c r="DSV31" s="1266"/>
      <c r="DSW31" s="1266"/>
      <c r="DSX31" s="1266"/>
      <c r="DSY31" s="1266"/>
      <c r="DSZ31" s="1266"/>
      <c r="DTA31" s="1266"/>
      <c r="DTB31" s="1266"/>
      <c r="DTC31" s="1266"/>
      <c r="DTD31" s="1266"/>
      <c r="DTE31" s="1266"/>
      <c r="DTF31" s="1266"/>
      <c r="DTG31" s="1266"/>
      <c r="DTH31" s="1266"/>
      <c r="DTI31" s="1266"/>
      <c r="DTJ31" s="1266"/>
      <c r="DTK31" s="1266"/>
      <c r="DTL31" s="1266"/>
      <c r="DTM31" s="1266"/>
      <c r="DTN31" s="1266"/>
      <c r="DTO31" s="1266"/>
      <c r="DTP31" s="1266"/>
      <c r="DTQ31" s="1266"/>
      <c r="DTR31" s="1266"/>
      <c r="DTS31" s="1266"/>
      <c r="DTT31" s="1266"/>
      <c r="DTU31" s="1266"/>
      <c r="DTV31" s="1266"/>
      <c r="DTW31" s="1266"/>
      <c r="DTX31" s="1266"/>
      <c r="DTY31" s="1266"/>
      <c r="DTZ31" s="1266"/>
      <c r="DUA31" s="1266"/>
      <c r="DUB31" s="1266"/>
      <c r="DUC31" s="1266"/>
      <c r="DUD31" s="1266"/>
      <c r="DUE31" s="1266"/>
      <c r="DUF31" s="1266"/>
      <c r="DUG31" s="1266"/>
      <c r="DUH31" s="1266"/>
      <c r="DUI31" s="1266"/>
      <c r="DUJ31" s="1266"/>
      <c r="DUK31" s="1266"/>
      <c r="DUL31" s="1266"/>
      <c r="DUM31" s="1266"/>
      <c r="DUN31" s="1266"/>
      <c r="DUO31" s="1266"/>
      <c r="DUP31" s="1266"/>
      <c r="DUQ31" s="1266"/>
      <c r="DUR31" s="1266"/>
      <c r="DUS31" s="1266"/>
      <c r="DUT31" s="1266"/>
      <c r="DUU31" s="1266"/>
      <c r="DUV31" s="1266"/>
      <c r="DUW31" s="1266"/>
      <c r="DUX31" s="1266"/>
      <c r="DUY31" s="1266"/>
      <c r="DUZ31" s="1266"/>
      <c r="DVA31" s="1266"/>
      <c r="DVB31" s="1266"/>
      <c r="DVC31" s="1266"/>
      <c r="DVD31" s="1266"/>
      <c r="DVE31" s="1266"/>
      <c r="DVF31" s="1266"/>
      <c r="DVG31" s="1266"/>
      <c r="DVH31" s="1266"/>
      <c r="DVI31" s="1266"/>
      <c r="DVJ31" s="1266"/>
      <c r="DVK31" s="1266"/>
      <c r="DVL31" s="1266"/>
      <c r="DVM31" s="1266"/>
      <c r="DVN31" s="1266"/>
      <c r="DVO31" s="1266"/>
      <c r="DVP31" s="1266"/>
      <c r="DVQ31" s="1266"/>
      <c r="DVR31" s="1266"/>
      <c r="DVS31" s="1266"/>
      <c r="DVT31" s="1266"/>
      <c r="DVU31" s="1266"/>
      <c r="DVV31" s="1266"/>
      <c r="DVW31" s="1266"/>
      <c r="DVX31" s="1266"/>
      <c r="DVY31" s="1266"/>
      <c r="DVZ31" s="1266"/>
      <c r="DWA31" s="1266"/>
      <c r="DWB31" s="1266"/>
      <c r="DWC31" s="1266"/>
      <c r="DWD31" s="1266"/>
      <c r="DWE31" s="1266"/>
      <c r="DWF31" s="1266"/>
      <c r="DWG31" s="1266"/>
      <c r="DWH31" s="1266"/>
      <c r="DWI31" s="1266"/>
      <c r="DWJ31" s="1266"/>
      <c r="DWK31" s="1266"/>
      <c r="DWL31" s="1266"/>
      <c r="DWM31" s="1266"/>
      <c r="DWN31" s="1266"/>
      <c r="DWO31" s="1266"/>
      <c r="DWP31" s="1266"/>
      <c r="DWQ31" s="1266"/>
      <c r="DWR31" s="1266"/>
      <c r="DWS31" s="1266"/>
      <c r="DWT31" s="1266"/>
      <c r="DWU31" s="1266"/>
      <c r="DWV31" s="1266"/>
      <c r="DWW31" s="1266"/>
      <c r="DWX31" s="1266"/>
      <c r="DWY31" s="1266"/>
      <c r="DWZ31" s="1266"/>
      <c r="DXA31" s="1266"/>
      <c r="DXB31" s="1266"/>
      <c r="DXC31" s="1266"/>
      <c r="DXD31" s="1266"/>
      <c r="DXE31" s="1266"/>
      <c r="DXF31" s="1266"/>
      <c r="DXG31" s="1266"/>
      <c r="DXH31" s="1266"/>
      <c r="DXI31" s="1266"/>
      <c r="DXJ31" s="1266"/>
      <c r="DXK31" s="1266"/>
      <c r="DXL31" s="1266"/>
      <c r="DXM31" s="1266"/>
      <c r="DXN31" s="1266"/>
      <c r="DXO31" s="1266"/>
      <c r="DXP31" s="1266"/>
      <c r="DXQ31" s="1266"/>
      <c r="DXR31" s="1266"/>
      <c r="DXS31" s="1266"/>
      <c r="DXT31" s="1266"/>
      <c r="DXU31" s="1266"/>
      <c r="DXV31" s="1266"/>
      <c r="DXW31" s="1266"/>
      <c r="DXX31" s="1266"/>
      <c r="DXY31" s="1266"/>
      <c r="DXZ31" s="1266"/>
      <c r="DYA31" s="1266"/>
      <c r="DYB31" s="1266"/>
      <c r="DYC31" s="1266"/>
      <c r="DYD31" s="1266"/>
      <c r="DYE31" s="1266"/>
      <c r="DYF31" s="1266"/>
      <c r="DYG31" s="1266"/>
      <c r="DYH31" s="1266"/>
      <c r="DYI31" s="1266"/>
      <c r="DYJ31" s="1266"/>
      <c r="DYK31" s="1266"/>
      <c r="DYL31" s="1266"/>
      <c r="DYM31" s="1266"/>
      <c r="DYN31" s="1266"/>
      <c r="DYO31" s="1266"/>
      <c r="DYP31" s="1266"/>
      <c r="DYQ31" s="1266"/>
      <c r="DYR31" s="1266"/>
      <c r="DYS31" s="1266"/>
      <c r="DYT31" s="1266"/>
      <c r="DYU31" s="1266"/>
      <c r="DYV31" s="1266"/>
      <c r="DYW31" s="1266"/>
      <c r="DYX31" s="1266"/>
      <c r="DYY31" s="1266"/>
      <c r="DYZ31" s="1266"/>
      <c r="DZA31" s="1266"/>
      <c r="DZB31" s="1266"/>
      <c r="DZC31" s="1266"/>
      <c r="DZD31" s="1266"/>
      <c r="DZE31" s="1266"/>
      <c r="DZF31" s="1266"/>
      <c r="DZG31" s="1266"/>
      <c r="DZH31" s="1266"/>
      <c r="DZI31" s="1266"/>
      <c r="DZJ31" s="1266"/>
      <c r="DZK31" s="1266"/>
      <c r="DZL31" s="1266"/>
      <c r="DZM31" s="1266"/>
      <c r="DZN31" s="1266"/>
      <c r="DZO31" s="1266"/>
      <c r="DZP31" s="1266"/>
      <c r="DZQ31" s="1266"/>
      <c r="DZR31" s="1266"/>
      <c r="DZS31" s="1266"/>
      <c r="DZT31" s="1266"/>
      <c r="DZU31" s="1266"/>
      <c r="DZV31" s="1266"/>
      <c r="DZW31" s="1266"/>
      <c r="DZX31" s="1266"/>
      <c r="DZY31" s="1266"/>
      <c r="DZZ31" s="1266"/>
      <c r="EAA31" s="1266"/>
      <c r="EAB31" s="1266"/>
      <c r="EAC31" s="1266"/>
      <c r="EAD31" s="1266"/>
      <c r="EAE31" s="1266"/>
      <c r="EAF31" s="1266"/>
      <c r="EAG31" s="1266"/>
      <c r="EAH31" s="1266"/>
      <c r="EAI31" s="1266"/>
      <c r="EAJ31" s="1266"/>
      <c r="EAK31" s="1266"/>
      <c r="EAL31" s="1266"/>
      <c r="EAM31" s="1266"/>
      <c r="EAN31" s="1266"/>
      <c r="EAO31" s="1266"/>
      <c r="EAP31" s="1266"/>
      <c r="EAQ31" s="1266"/>
      <c r="EAR31" s="1266"/>
      <c r="EAS31" s="1266"/>
      <c r="EAT31" s="1266"/>
      <c r="EAU31" s="1266"/>
      <c r="EAV31" s="1266"/>
      <c r="EAW31" s="1266"/>
      <c r="EAX31" s="1266"/>
      <c r="EAY31" s="1266"/>
      <c r="EAZ31" s="1266"/>
      <c r="EBA31" s="1266"/>
      <c r="EBB31" s="1266"/>
      <c r="EBC31" s="1266"/>
      <c r="EBD31" s="1266"/>
      <c r="EBE31" s="1266"/>
      <c r="EBF31" s="1266"/>
      <c r="EBG31" s="1266"/>
      <c r="EBH31" s="1266"/>
      <c r="EBI31" s="1266"/>
      <c r="EBJ31" s="1266"/>
      <c r="EBK31" s="1266"/>
      <c r="EBL31" s="1266"/>
      <c r="EBM31" s="1266"/>
      <c r="EBN31" s="1266"/>
      <c r="EBO31" s="1266"/>
      <c r="EBP31" s="1266"/>
      <c r="EBQ31" s="1266"/>
      <c r="EBR31" s="1266"/>
      <c r="EBS31" s="1266"/>
      <c r="EBT31" s="1266"/>
      <c r="EBU31" s="1266"/>
      <c r="EBV31" s="1266"/>
      <c r="EBW31" s="1266"/>
      <c r="EBX31" s="1266"/>
      <c r="EBY31" s="1266"/>
      <c r="EBZ31" s="1266"/>
      <c r="ECA31" s="1266"/>
      <c r="ECB31" s="1266"/>
      <c r="ECC31" s="1266"/>
      <c r="ECD31" s="1266"/>
      <c r="ECE31" s="1266"/>
      <c r="ECF31" s="1266"/>
      <c r="ECG31" s="1266"/>
      <c r="ECH31" s="1266"/>
      <c r="ECI31" s="1266"/>
      <c r="ECJ31" s="1266"/>
      <c r="ECK31" s="1266"/>
      <c r="ECL31" s="1266"/>
      <c r="ECM31" s="1266"/>
      <c r="ECN31" s="1266"/>
      <c r="ECO31" s="1266"/>
      <c r="ECP31" s="1266"/>
      <c r="ECQ31" s="1266"/>
      <c r="ECR31" s="1266"/>
      <c r="ECS31" s="1266"/>
      <c r="ECT31" s="1266"/>
      <c r="ECU31" s="1266"/>
      <c r="ECV31" s="1266"/>
      <c r="ECW31" s="1266"/>
      <c r="ECX31" s="1266"/>
      <c r="ECY31" s="1266"/>
      <c r="ECZ31" s="1266"/>
      <c r="EDA31" s="1266"/>
      <c r="EDB31" s="1266"/>
      <c r="EDC31" s="1266"/>
      <c r="EDD31" s="1266"/>
      <c r="EDE31" s="1266"/>
      <c r="EDF31" s="1266"/>
      <c r="EDG31" s="1266"/>
      <c r="EDH31" s="1266"/>
      <c r="EDI31" s="1266"/>
      <c r="EDJ31" s="1266"/>
      <c r="EDK31" s="1266"/>
      <c r="EDL31" s="1266"/>
      <c r="EDM31" s="1266"/>
      <c r="EDN31" s="1266"/>
      <c r="EDO31" s="1266"/>
      <c r="EDP31" s="1266"/>
      <c r="EDQ31" s="1266"/>
      <c r="EDR31" s="1266"/>
      <c r="EDS31" s="1266"/>
      <c r="EDT31" s="1266"/>
      <c r="EDU31" s="1266"/>
      <c r="EDV31" s="1266"/>
      <c r="EDW31" s="1266"/>
      <c r="EDX31" s="1266"/>
      <c r="EDY31" s="1266"/>
      <c r="EDZ31" s="1266"/>
      <c r="EEA31" s="1266"/>
      <c r="EEB31" s="1266"/>
      <c r="EEC31" s="1266"/>
      <c r="EED31" s="1266"/>
      <c r="EEE31" s="1266"/>
      <c r="EEF31" s="1266"/>
      <c r="EEG31" s="1266"/>
      <c r="EEH31" s="1266"/>
      <c r="EEI31" s="1266"/>
      <c r="EEJ31" s="1266"/>
      <c r="EEK31" s="1266"/>
      <c r="EEL31" s="1266"/>
      <c r="EEM31" s="1266"/>
      <c r="EEN31" s="1266"/>
      <c r="EEO31" s="1266"/>
      <c r="EEP31" s="1266"/>
      <c r="EEQ31" s="1266"/>
      <c r="EER31" s="1266"/>
      <c r="EES31" s="1266"/>
      <c r="EET31" s="1266"/>
      <c r="EEU31" s="1266"/>
      <c r="EEV31" s="1266"/>
      <c r="EEW31" s="1266"/>
      <c r="EEX31" s="1266"/>
      <c r="EEY31" s="1266"/>
      <c r="EEZ31" s="1266"/>
      <c r="EFA31" s="1266"/>
      <c r="EFB31" s="1266"/>
      <c r="EFC31" s="1266"/>
      <c r="EFD31" s="1266"/>
      <c r="EFE31" s="1266"/>
      <c r="EFF31" s="1266"/>
      <c r="EFG31" s="1266"/>
      <c r="EFH31" s="1266"/>
      <c r="EFI31" s="1266"/>
      <c r="EFJ31" s="1266"/>
      <c r="EFK31" s="1266"/>
      <c r="EFL31" s="1266"/>
      <c r="EFM31" s="1266"/>
      <c r="EFN31" s="1266"/>
      <c r="EFO31" s="1266"/>
      <c r="EFP31" s="1266"/>
      <c r="EFQ31" s="1266"/>
      <c r="EFR31" s="1266"/>
      <c r="EFS31" s="1266"/>
      <c r="EFT31" s="1266"/>
      <c r="EFU31" s="1266"/>
      <c r="EFV31" s="1266"/>
      <c r="EFW31" s="1266"/>
      <c r="EFX31" s="1266"/>
      <c r="EFY31" s="1266"/>
      <c r="EFZ31" s="1266"/>
      <c r="EGA31" s="1266"/>
      <c r="EGB31" s="1266"/>
      <c r="EGC31" s="1266"/>
      <c r="EGD31" s="1266"/>
      <c r="EGE31" s="1266"/>
      <c r="EGF31" s="1266"/>
      <c r="EGG31" s="1266"/>
      <c r="EGH31" s="1266"/>
      <c r="EGI31" s="1266"/>
      <c r="EGJ31" s="1266"/>
      <c r="EGK31" s="1266"/>
      <c r="EGL31" s="1266"/>
      <c r="EGM31" s="1266"/>
      <c r="EGN31" s="1266"/>
      <c r="EGO31" s="1266"/>
      <c r="EGP31" s="1266"/>
      <c r="EGQ31" s="1266"/>
      <c r="EGR31" s="1266"/>
      <c r="EGS31" s="1266"/>
      <c r="EGT31" s="1266"/>
      <c r="EGU31" s="1266"/>
      <c r="EGV31" s="1266"/>
      <c r="EGW31" s="1266"/>
      <c r="EGX31" s="1266"/>
      <c r="EGY31" s="1266"/>
      <c r="EGZ31" s="1266"/>
      <c r="EHA31" s="1266"/>
      <c r="EHB31" s="1266"/>
      <c r="EHC31" s="1266"/>
      <c r="EHD31" s="1266"/>
      <c r="EHE31" s="1266"/>
      <c r="EHF31" s="1266"/>
      <c r="EHG31" s="1266"/>
      <c r="EHH31" s="1266"/>
      <c r="EHI31" s="1266"/>
      <c r="EHJ31" s="1266"/>
      <c r="EHK31" s="1266"/>
      <c r="EHL31" s="1266"/>
      <c r="EHM31" s="1266"/>
      <c r="EHN31" s="1266"/>
      <c r="EHO31" s="1266"/>
      <c r="EHP31" s="1266"/>
      <c r="EHQ31" s="1266"/>
      <c r="EHR31" s="1266"/>
      <c r="EHS31" s="1266"/>
      <c r="EHT31" s="1266"/>
      <c r="EHU31" s="1266"/>
      <c r="EHV31" s="1266"/>
      <c r="EHW31" s="1266"/>
      <c r="EHX31" s="1266"/>
      <c r="EHY31" s="1266"/>
      <c r="EHZ31" s="1266"/>
      <c r="EIA31" s="1266"/>
      <c r="EIB31" s="1266"/>
      <c r="EIC31" s="1266"/>
      <c r="EID31" s="1266"/>
      <c r="EIE31" s="1266"/>
      <c r="EIF31" s="1266"/>
      <c r="EIG31" s="1266"/>
      <c r="EIH31" s="1266"/>
      <c r="EII31" s="1266"/>
      <c r="EIJ31" s="1266"/>
      <c r="EIK31" s="1266"/>
      <c r="EIL31" s="1266"/>
      <c r="EIM31" s="1266"/>
      <c r="EIN31" s="1266"/>
      <c r="EIO31" s="1266"/>
      <c r="EIP31" s="1266"/>
      <c r="EIQ31" s="1266"/>
      <c r="EIR31" s="1266"/>
      <c r="EIS31" s="1266"/>
      <c r="EIT31" s="1266"/>
      <c r="EIU31" s="1266"/>
      <c r="EIV31" s="1266"/>
      <c r="EIW31" s="1266"/>
      <c r="EIX31" s="1266"/>
      <c r="EIY31" s="1266"/>
      <c r="EIZ31" s="1266"/>
      <c r="EJA31" s="1266"/>
      <c r="EJB31" s="1266"/>
      <c r="EJC31" s="1266"/>
      <c r="EJD31" s="1266"/>
      <c r="EJE31" s="1266"/>
      <c r="EJF31" s="1266"/>
      <c r="EJG31" s="1266"/>
      <c r="EJH31" s="1266"/>
      <c r="EJI31" s="1266"/>
      <c r="EJJ31" s="1266"/>
      <c r="EJK31" s="1266"/>
      <c r="EJL31" s="1266"/>
      <c r="EJM31" s="1266"/>
      <c r="EJN31" s="1266"/>
      <c r="EJO31" s="1266"/>
      <c r="EJP31" s="1266"/>
      <c r="EJQ31" s="1266"/>
      <c r="EJR31" s="1266"/>
      <c r="EJS31" s="1266"/>
      <c r="EJT31" s="1266"/>
      <c r="EJU31" s="1266"/>
      <c r="EJV31" s="1266"/>
      <c r="EJW31" s="1266"/>
      <c r="EJX31" s="1266"/>
      <c r="EJY31" s="1266"/>
      <c r="EJZ31" s="1266"/>
      <c r="EKA31" s="1266"/>
      <c r="EKB31" s="1266"/>
      <c r="EKC31" s="1266"/>
      <c r="EKD31" s="1266"/>
      <c r="EKE31" s="1266"/>
      <c r="EKF31" s="1266"/>
      <c r="EKG31" s="1266"/>
      <c r="EKH31" s="1266"/>
      <c r="EKI31" s="1266"/>
      <c r="EKJ31" s="1266"/>
      <c r="EKK31" s="1266"/>
      <c r="EKL31" s="1266"/>
      <c r="EKM31" s="1266"/>
      <c r="EKN31" s="1266"/>
      <c r="EKO31" s="1266"/>
      <c r="EKP31" s="1266"/>
      <c r="EKQ31" s="1266"/>
      <c r="EKR31" s="1266"/>
      <c r="EKS31" s="1266"/>
      <c r="EKT31" s="1266"/>
      <c r="EKU31" s="1266"/>
      <c r="EKV31" s="1266"/>
      <c r="EKW31" s="1266"/>
      <c r="EKX31" s="1266"/>
      <c r="EKY31" s="1266"/>
      <c r="EKZ31" s="1266"/>
      <c r="ELA31" s="1266"/>
      <c r="ELB31" s="1266"/>
      <c r="ELC31" s="1266"/>
      <c r="ELD31" s="1266"/>
      <c r="ELE31" s="1266"/>
      <c r="ELF31" s="1266"/>
      <c r="ELG31" s="1266"/>
      <c r="ELH31" s="1266"/>
      <c r="ELI31" s="1266"/>
      <c r="ELJ31" s="1266"/>
      <c r="ELK31" s="1266"/>
      <c r="ELL31" s="1266"/>
      <c r="ELM31" s="1266"/>
      <c r="ELN31" s="1266"/>
      <c r="ELO31" s="1266"/>
      <c r="ELP31" s="1266"/>
      <c r="ELQ31" s="1266"/>
      <c r="ELR31" s="1266"/>
      <c r="ELS31" s="1266"/>
      <c r="ELT31" s="1266"/>
      <c r="ELU31" s="1266"/>
      <c r="ELV31" s="1266"/>
      <c r="ELW31" s="1266"/>
      <c r="ELX31" s="1266"/>
      <c r="ELY31" s="1266"/>
      <c r="ELZ31" s="1266"/>
      <c r="EMA31" s="1266"/>
      <c r="EMB31" s="1266"/>
      <c r="EMC31" s="1266"/>
      <c r="EMD31" s="1266"/>
      <c r="EME31" s="1266"/>
      <c r="EMF31" s="1266"/>
      <c r="EMG31" s="1266"/>
      <c r="EMH31" s="1266"/>
      <c r="EMI31" s="1266"/>
      <c r="EMJ31" s="1266"/>
      <c r="EMK31" s="1266"/>
      <c r="EML31" s="1266"/>
      <c r="EMM31" s="1266"/>
      <c r="EMN31" s="1266"/>
      <c r="EMO31" s="1266"/>
      <c r="EMP31" s="1266"/>
      <c r="EMQ31" s="1266"/>
      <c r="EMR31" s="1266"/>
      <c r="EMS31" s="1266"/>
      <c r="EMT31" s="1266"/>
      <c r="EMU31" s="1266"/>
      <c r="EMV31" s="1266"/>
      <c r="EMW31" s="1266"/>
      <c r="EMX31" s="1266"/>
      <c r="EMY31" s="1266"/>
      <c r="EMZ31" s="1266"/>
      <c r="ENA31" s="1266"/>
      <c r="ENB31" s="1266"/>
      <c r="ENC31" s="1266"/>
      <c r="END31" s="1266"/>
      <c r="ENE31" s="1266"/>
      <c r="ENF31" s="1266"/>
      <c r="ENG31" s="1266"/>
      <c r="ENH31" s="1266"/>
      <c r="ENI31" s="1266"/>
      <c r="ENJ31" s="1266"/>
      <c r="ENK31" s="1266"/>
      <c r="ENL31" s="1266"/>
      <c r="ENM31" s="1266"/>
      <c r="ENN31" s="1266"/>
      <c r="ENO31" s="1266"/>
      <c r="ENP31" s="1266"/>
      <c r="ENQ31" s="1266"/>
      <c r="ENR31" s="1266"/>
      <c r="ENS31" s="1266"/>
      <c r="ENT31" s="1266"/>
      <c r="ENU31" s="1266"/>
      <c r="ENV31" s="1266"/>
      <c r="ENW31" s="1266"/>
      <c r="ENX31" s="1266"/>
      <c r="ENY31" s="1266"/>
      <c r="ENZ31" s="1266"/>
      <c r="EOA31" s="1266"/>
      <c r="EOB31" s="1266"/>
      <c r="EOC31" s="1266"/>
      <c r="EOD31" s="1266"/>
      <c r="EOE31" s="1266"/>
      <c r="EOF31" s="1266"/>
      <c r="EOG31" s="1266"/>
      <c r="EOH31" s="1266"/>
      <c r="EOI31" s="1266"/>
      <c r="EOJ31" s="1266"/>
      <c r="EOK31" s="1266"/>
      <c r="EOL31" s="1266"/>
      <c r="EOM31" s="1266"/>
      <c r="EON31" s="1266"/>
      <c r="EOO31" s="1266"/>
      <c r="EOP31" s="1266"/>
      <c r="EOQ31" s="1266"/>
      <c r="EOR31" s="1266"/>
      <c r="EOS31" s="1266"/>
      <c r="EOT31" s="1266"/>
      <c r="EOU31" s="1266"/>
      <c r="EOV31" s="1266"/>
      <c r="EOW31" s="1266"/>
      <c r="EOX31" s="1266"/>
      <c r="EOY31" s="1266"/>
      <c r="EOZ31" s="1266"/>
      <c r="EPA31" s="1266"/>
      <c r="EPB31" s="1266"/>
      <c r="EPC31" s="1266"/>
      <c r="EPD31" s="1266"/>
      <c r="EPE31" s="1266"/>
      <c r="EPF31" s="1266"/>
      <c r="EPG31" s="1266"/>
      <c r="EPH31" s="1266"/>
      <c r="EPI31" s="1266"/>
      <c r="EPJ31" s="1266"/>
      <c r="EPK31" s="1266"/>
      <c r="EPL31" s="1266"/>
      <c r="EPM31" s="1266"/>
      <c r="EPN31" s="1266"/>
      <c r="EPO31" s="1266"/>
      <c r="EPP31" s="1266"/>
      <c r="EPQ31" s="1266"/>
      <c r="EPR31" s="1266"/>
      <c r="EPS31" s="1266"/>
      <c r="EPT31" s="1266"/>
      <c r="EPU31" s="1266"/>
      <c r="EPV31" s="1266"/>
      <c r="EPW31" s="1266"/>
      <c r="EPX31" s="1266"/>
      <c r="EPY31" s="1266"/>
      <c r="EPZ31" s="1266"/>
      <c r="EQA31" s="1266"/>
      <c r="EQB31" s="1266"/>
      <c r="EQC31" s="1266"/>
      <c r="EQD31" s="1266"/>
      <c r="EQE31" s="1266"/>
      <c r="EQF31" s="1266"/>
      <c r="EQG31" s="1266"/>
      <c r="EQH31" s="1266"/>
      <c r="EQI31" s="1266"/>
      <c r="EQJ31" s="1266"/>
      <c r="EQK31" s="1266"/>
      <c r="EQL31" s="1266"/>
      <c r="EQM31" s="1266"/>
      <c r="EQN31" s="1266"/>
      <c r="EQO31" s="1266"/>
      <c r="EQP31" s="1266"/>
      <c r="EQQ31" s="1266"/>
      <c r="EQR31" s="1266"/>
      <c r="EQS31" s="1266"/>
      <c r="EQT31" s="1266"/>
      <c r="EQU31" s="1266"/>
      <c r="EQV31" s="1266"/>
      <c r="EQW31" s="1266"/>
      <c r="EQX31" s="1266"/>
      <c r="EQY31" s="1266"/>
      <c r="EQZ31" s="1266"/>
      <c r="ERA31" s="1266"/>
      <c r="ERB31" s="1266"/>
      <c r="ERC31" s="1266"/>
      <c r="ERD31" s="1266"/>
      <c r="ERE31" s="1266"/>
      <c r="ERF31" s="1266"/>
      <c r="ERG31" s="1266"/>
      <c r="ERH31" s="1266"/>
      <c r="ERI31" s="1266"/>
      <c r="ERJ31" s="1266"/>
      <c r="ERK31" s="1266"/>
      <c r="ERL31" s="1266"/>
      <c r="ERM31" s="1266"/>
      <c r="ERN31" s="1266"/>
      <c r="ERO31" s="1266"/>
      <c r="ERP31" s="1266"/>
      <c r="ERQ31" s="1266"/>
      <c r="ERR31" s="1266"/>
      <c r="ERS31" s="1266"/>
      <c r="ERT31" s="1266"/>
      <c r="ERU31" s="1266"/>
      <c r="ERV31" s="1266"/>
      <c r="ERW31" s="1266"/>
      <c r="ERX31" s="1266"/>
      <c r="ERY31" s="1266"/>
      <c r="ERZ31" s="1266"/>
      <c r="ESA31" s="1266"/>
      <c r="ESB31" s="1266"/>
      <c r="ESC31" s="1266"/>
      <c r="ESD31" s="1266"/>
      <c r="ESE31" s="1266"/>
      <c r="ESF31" s="1266"/>
      <c r="ESG31" s="1266"/>
      <c r="ESH31" s="1266"/>
      <c r="ESI31" s="1266"/>
      <c r="ESJ31" s="1266"/>
      <c r="ESK31" s="1266"/>
      <c r="ESL31" s="1266"/>
      <c r="ESM31" s="1266"/>
      <c r="ESN31" s="1266"/>
      <c r="ESO31" s="1266"/>
      <c r="ESP31" s="1266"/>
      <c r="ESQ31" s="1266"/>
      <c r="ESR31" s="1266"/>
      <c r="ESS31" s="1266"/>
      <c r="EST31" s="1266"/>
      <c r="ESU31" s="1266"/>
      <c r="ESV31" s="1266"/>
      <c r="ESW31" s="1266"/>
      <c r="ESX31" s="1266"/>
      <c r="ESY31" s="1266"/>
      <c r="ESZ31" s="1266"/>
      <c r="ETA31" s="1266"/>
      <c r="ETB31" s="1266"/>
      <c r="ETC31" s="1266"/>
      <c r="ETD31" s="1266"/>
      <c r="ETE31" s="1266"/>
      <c r="ETF31" s="1266"/>
      <c r="ETG31" s="1266"/>
      <c r="ETH31" s="1266"/>
      <c r="ETI31" s="1266"/>
      <c r="ETJ31" s="1266"/>
      <c r="ETK31" s="1266"/>
      <c r="ETL31" s="1266"/>
      <c r="ETM31" s="1266"/>
      <c r="ETN31" s="1266"/>
      <c r="ETO31" s="1266"/>
      <c r="ETP31" s="1266"/>
      <c r="ETQ31" s="1266"/>
      <c r="ETR31" s="1266"/>
      <c r="ETS31" s="1266"/>
      <c r="ETT31" s="1266"/>
      <c r="ETU31" s="1266"/>
      <c r="ETV31" s="1266"/>
      <c r="ETW31" s="1266"/>
      <c r="ETX31" s="1266"/>
      <c r="ETY31" s="1266"/>
      <c r="ETZ31" s="1266"/>
      <c r="EUA31" s="1266"/>
      <c r="EUB31" s="1266"/>
      <c r="EUC31" s="1266"/>
      <c r="EUD31" s="1266"/>
      <c r="EUE31" s="1266"/>
      <c r="EUF31" s="1266"/>
      <c r="EUG31" s="1266"/>
      <c r="EUH31" s="1266"/>
      <c r="EUI31" s="1266"/>
      <c r="EUJ31" s="1266"/>
      <c r="EUK31" s="1266"/>
      <c r="EUL31" s="1266"/>
      <c r="EUM31" s="1266"/>
      <c r="EUN31" s="1266"/>
      <c r="EUO31" s="1266"/>
      <c r="EUP31" s="1266"/>
      <c r="EUQ31" s="1266"/>
      <c r="EUR31" s="1266"/>
      <c r="EUS31" s="1266"/>
      <c r="EUT31" s="1266"/>
      <c r="EUU31" s="1266"/>
      <c r="EUV31" s="1266"/>
      <c r="EUW31" s="1266"/>
      <c r="EUX31" s="1266"/>
      <c r="EUY31" s="1266"/>
      <c r="EUZ31" s="1266"/>
      <c r="EVA31" s="1266"/>
      <c r="EVB31" s="1266"/>
      <c r="EVC31" s="1266"/>
      <c r="EVD31" s="1266"/>
      <c r="EVE31" s="1266"/>
      <c r="EVF31" s="1266"/>
      <c r="EVG31" s="1266"/>
      <c r="EVH31" s="1266"/>
      <c r="EVI31" s="1266"/>
      <c r="EVJ31" s="1266"/>
      <c r="EVK31" s="1266"/>
      <c r="EVL31" s="1266"/>
      <c r="EVM31" s="1266"/>
      <c r="EVN31" s="1266"/>
      <c r="EVO31" s="1266"/>
      <c r="EVP31" s="1266"/>
      <c r="EVQ31" s="1266"/>
      <c r="EVR31" s="1266"/>
      <c r="EVS31" s="1266"/>
      <c r="EVT31" s="1266"/>
      <c r="EVU31" s="1266"/>
      <c r="EVV31" s="1266"/>
      <c r="EVW31" s="1266"/>
      <c r="EVX31" s="1266"/>
      <c r="EVY31" s="1266"/>
      <c r="EVZ31" s="1266"/>
      <c r="EWA31" s="1266"/>
      <c r="EWB31" s="1266"/>
      <c r="EWC31" s="1266"/>
      <c r="EWD31" s="1266"/>
      <c r="EWE31" s="1266"/>
      <c r="EWF31" s="1266"/>
      <c r="EWG31" s="1266"/>
      <c r="EWH31" s="1266"/>
      <c r="EWI31" s="1266"/>
      <c r="EWJ31" s="1266"/>
      <c r="EWK31" s="1266"/>
      <c r="EWL31" s="1266"/>
      <c r="EWM31" s="1266"/>
      <c r="EWN31" s="1266"/>
      <c r="EWO31" s="1266"/>
      <c r="EWP31" s="1266"/>
      <c r="EWQ31" s="1266"/>
      <c r="EWR31" s="1266"/>
      <c r="EWS31" s="1266"/>
      <c r="EWT31" s="1266"/>
      <c r="EWU31" s="1266"/>
      <c r="EWV31" s="1266"/>
      <c r="EWW31" s="1266"/>
      <c r="EWX31" s="1266"/>
      <c r="EWY31" s="1266"/>
      <c r="EWZ31" s="1266"/>
      <c r="EXA31" s="1266"/>
      <c r="EXB31" s="1266"/>
      <c r="EXC31" s="1266"/>
      <c r="EXD31" s="1266"/>
      <c r="EXE31" s="1266"/>
      <c r="EXF31" s="1266"/>
      <c r="EXG31" s="1266"/>
      <c r="EXH31" s="1266"/>
      <c r="EXI31" s="1266"/>
      <c r="EXJ31" s="1266"/>
      <c r="EXK31" s="1266"/>
      <c r="EXL31" s="1266"/>
      <c r="EXM31" s="1266"/>
      <c r="EXN31" s="1266"/>
      <c r="EXO31" s="1266"/>
      <c r="EXP31" s="1266"/>
      <c r="EXQ31" s="1266"/>
      <c r="EXR31" s="1266"/>
      <c r="EXS31" s="1266"/>
      <c r="EXT31" s="1266"/>
      <c r="EXU31" s="1266"/>
      <c r="EXV31" s="1266"/>
      <c r="EXW31" s="1266"/>
      <c r="EXX31" s="1266"/>
      <c r="EXY31" s="1266"/>
      <c r="EXZ31" s="1266"/>
      <c r="EYA31" s="1266"/>
      <c r="EYB31" s="1266"/>
      <c r="EYC31" s="1266"/>
      <c r="EYD31" s="1266"/>
      <c r="EYE31" s="1266"/>
      <c r="EYF31" s="1266"/>
      <c r="EYG31" s="1266"/>
      <c r="EYH31" s="1266"/>
      <c r="EYI31" s="1266"/>
      <c r="EYJ31" s="1266"/>
      <c r="EYK31" s="1266"/>
      <c r="EYL31" s="1266"/>
      <c r="EYM31" s="1266"/>
      <c r="EYN31" s="1266"/>
      <c r="EYO31" s="1266"/>
      <c r="EYP31" s="1266"/>
      <c r="EYQ31" s="1266"/>
      <c r="EYR31" s="1266"/>
      <c r="EYS31" s="1266"/>
      <c r="EYT31" s="1266"/>
      <c r="EYU31" s="1266"/>
      <c r="EYV31" s="1266"/>
      <c r="EYW31" s="1266"/>
      <c r="EYX31" s="1266"/>
      <c r="EYY31" s="1266"/>
      <c r="EYZ31" s="1266"/>
      <c r="EZA31" s="1266"/>
      <c r="EZB31" s="1266"/>
      <c r="EZC31" s="1266"/>
      <c r="EZD31" s="1266"/>
      <c r="EZE31" s="1266"/>
      <c r="EZF31" s="1266"/>
      <c r="EZG31" s="1266"/>
      <c r="EZH31" s="1266"/>
      <c r="EZI31" s="1266"/>
      <c r="EZJ31" s="1266"/>
      <c r="EZK31" s="1266"/>
      <c r="EZL31" s="1266"/>
      <c r="EZM31" s="1266"/>
      <c r="EZN31" s="1266"/>
      <c r="EZO31" s="1266"/>
      <c r="EZP31" s="1266"/>
      <c r="EZQ31" s="1266"/>
      <c r="EZR31" s="1266"/>
      <c r="EZS31" s="1266"/>
      <c r="EZT31" s="1266"/>
      <c r="EZU31" s="1266"/>
      <c r="EZV31" s="1266"/>
      <c r="EZW31" s="1266"/>
      <c r="EZX31" s="1266"/>
      <c r="EZY31" s="1266"/>
      <c r="EZZ31" s="1266"/>
      <c r="FAA31" s="1266"/>
      <c r="FAB31" s="1266"/>
      <c r="FAC31" s="1266"/>
      <c r="FAD31" s="1266"/>
      <c r="FAE31" s="1266"/>
      <c r="FAF31" s="1266"/>
      <c r="FAG31" s="1266"/>
      <c r="FAH31" s="1266"/>
      <c r="FAI31" s="1266"/>
      <c r="FAJ31" s="1266"/>
      <c r="FAK31" s="1266"/>
      <c r="FAL31" s="1266"/>
      <c r="FAM31" s="1266"/>
      <c r="FAN31" s="1266"/>
      <c r="FAO31" s="1266"/>
      <c r="FAP31" s="1266"/>
      <c r="FAQ31" s="1266"/>
      <c r="FAR31" s="1266"/>
      <c r="FAS31" s="1266"/>
      <c r="FAT31" s="1266"/>
      <c r="FAU31" s="1266"/>
      <c r="FAV31" s="1266"/>
      <c r="FAW31" s="1266"/>
      <c r="FAX31" s="1266"/>
      <c r="FAY31" s="1266"/>
      <c r="FAZ31" s="1266"/>
      <c r="FBA31" s="1266"/>
      <c r="FBB31" s="1266"/>
      <c r="FBC31" s="1266"/>
      <c r="FBD31" s="1266"/>
      <c r="FBE31" s="1266"/>
      <c r="FBF31" s="1266"/>
      <c r="FBG31" s="1266"/>
      <c r="FBH31" s="1266"/>
      <c r="FBI31" s="1266"/>
      <c r="FBJ31" s="1266"/>
      <c r="FBK31" s="1266"/>
      <c r="FBL31" s="1266"/>
      <c r="FBM31" s="1266"/>
      <c r="FBN31" s="1266"/>
      <c r="FBO31" s="1266"/>
      <c r="FBP31" s="1266"/>
      <c r="FBQ31" s="1266"/>
      <c r="FBR31" s="1266"/>
      <c r="FBS31" s="1266"/>
      <c r="FBT31" s="1266"/>
      <c r="FBU31" s="1266"/>
      <c r="FBV31" s="1266"/>
      <c r="FBW31" s="1266"/>
      <c r="FBX31" s="1266"/>
      <c r="FBY31" s="1266"/>
      <c r="FBZ31" s="1266"/>
      <c r="FCA31" s="1266"/>
      <c r="FCB31" s="1266"/>
      <c r="FCC31" s="1266"/>
      <c r="FCD31" s="1266"/>
      <c r="FCE31" s="1266"/>
      <c r="FCF31" s="1266"/>
      <c r="FCG31" s="1266"/>
      <c r="FCH31" s="1266"/>
      <c r="FCI31" s="1266"/>
      <c r="FCJ31" s="1266"/>
      <c r="FCK31" s="1266"/>
      <c r="FCL31" s="1266"/>
      <c r="FCM31" s="1266"/>
      <c r="FCN31" s="1266"/>
      <c r="FCO31" s="1266"/>
      <c r="FCP31" s="1266"/>
      <c r="FCQ31" s="1266"/>
      <c r="FCR31" s="1266"/>
      <c r="FCS31" s="1266"/>
      <c r="FCT31" s="1266"/>
      <c r="FCU31" s="1266"/>
      <c r="FCV31" s="1266"/>
      <c r="FCW31" s="1266"/>
      <c r="FCX31" s="1266"/>
      <c r="FCY31" s="1266"/>
      <c r="FCZ31" s="1266"/>
      <c r="FDA31" s="1266"/>
      <c r="FDB31" s="1266"/>
      <c r="FDC31" s="1266"/>
      <c r="FDD31" s="1266"/>
      <c r="FDE31" s="1266"/>
      <c r="FDF31" s="1266"/>
      <c r="FDG31" s="1266"/>
      <c r="FDH31" s="1266"/>
      <c r="FDI31" s="1266"/>
      <c r="FDJ31" s="1266"/>
      <c r="FDK31" s="1266"/>
      <c r="FDL31" s="1266"/>
      <c r="FDM31" s="1266"/>
      <c r="FDN31" s="1266"/>
      <c r="FDO31" s="1266"/>
      <c r="FDP31" s="1266"/>
      <c r="FDQ31" s="1266"/>
      <c r="FDR31" s="1266"/>
      <c r="FDS31" s="1266"/>
      <c r="FDT31" s="1266"/>
      <c r="FDU31" s="1266"/>
      <c r="FDV31" s="1266"/>
      <c r="FDW31" s="1266"/>
      <c r="FDX31" s="1266"/>
      <c r="FDY31" s="1266"/>
      <c r="FDZ31" s="1266"/>
      <c r="FEA31" s="1266"/>
      <c r="FEB31" s="1266"/>
      <c r="FEC31" s="1266"/>
      <c r="FED31" s="1266"/>
      <c r="FEE31" s="1266"/>
      <c r="FEF31" s="1266"/>
      <c r="FEG31" s="1266"/>
      <c r="FEH31" s="1266"/>
      <c r="FEI31" s="1266"/>
      <c r="FEJ31" s="1266"/>
      <c r="FEK31" s="1266"/>
      <c r="FEL31" s="1266"/>
      <c r="FEM31" s="1266"/>
      <c r="FEN31" s="1266"/>
      <c r="FEO31" s="1266"/>
      <c r="FEP31" s="1266"/>
      <c r="FEQ31" s="1266"/>
      <c r="FER31" s="1266"/>
      <c r="FES31" s="1266"/>
      <c r="FET31" s="1266"/>
      <c r="FEU31" s="1266"/>
      <c r="FEV31" s="1266"/>
      <c r="FEW31" s="1266"/>
      <c r="FEX31" s="1266"/>
      <c r="FEY31" s="1266"/>
      <c r="FEZ31" s="1266"/>
      <c r="FFA31" s="1266"/>
      <c r="FFB31" s="1266"/>
      <c r="FFC31" s="1266"/>
      <c r="FFD31" s="1266"/>
      <c r="FFE31" s="1266"/>
      <c r="FFF31" s="1266"/>
      <c r="FFG31" s="1266"/>
      <c r="FFH31" s="1266"/>
      <c r="FFI31" s="1266"/>
      <c r="FFJ31" s="1266"/>
      <c r="FFK31" s="1266"/>
      <c r="FFL31" s="1266"/>
      <c r="FFM31" s="1266"/>
      <c r="FFN31" s="1266"/>
      <c r="FFO31" s="1266"/>
      <c r="FFP31" s="1266"/>
      <c r="FFQ31" s="1266"/>
      <c r="FFR31" s="1266"/>
      <c r="FFS31" s="1266"/>
      <c r="FFT31" s="1266"/>
      <c r="FFU31" s="1266"/>
      <c r="FFV31" s="1266"/>
      <c r="FFW31" s="1266"/>
      <c r="FFX31" s="1266"/>
      <c r="FFY31" s="1266"/>
      <c r="FFZ31" s="1266"/>
      <c r="FGA31" s="1266"/>
      <c r="FGB31" s="1266"/>
      <c r="FGC31" s="1266"/>
      <c r="FGD31" s="1266"/>
      <c r="FGE31" s="1266"/>
      <c r="FGF31" s="1266"/>
      <c r="FGG31" s="1266"/>
      <c r="FGH31" s="1266"/>
      <c r="FGI31" s="1266"/>
      <c r="FGJ31" s="1266"/>
      <c r="FGK31" s="1266"/>
      <c r="FGL31" s="1266"/>
      <c r="FGM31" s="1266"/>
      <c r="FGN31" s="1266"/>
      <c r="FGO31" s="1266"/>
      <c r="FGP31" s="1266"/>
      <c r="FGQ31" s="1266"/>
      <c r="FGR31" s="1266"/>
      <c r="FGS31" s="1266"/>
      <c r="FGT31" s="1266"/>
      <c r="FGU31" s="1266"/>
      <c r="FGV31" s="1266"/>
      <c r="FGW31" s="1266"/>
      <c r="FGX31" s="1266"/>
      <c r="FGY31" s="1266"/>
      <c r="FGZ31" s="1266"/>
      <c r="FHA31" s="1266"/>
      <c r="FHB31" s="1266"/>
      <c r="FHC31" s="1266"/>
      <c r="FHD31" s="1266"/>
      <c r="FHE31" s="1266"/>
      <c r="FHF31" s="1266"/>
      <c r="FHG31" s="1266"/>
      <c r="FHH31" s="1266"/>
      <c r="FHI31" s="1266"/>
      <c r="FHJ31" s="1266"/>
      <c r="FHK31" s="1266"/>
      <c r="FHL31" s="1266"/>
      <c r="FHM31" s="1266"/>
      <c r="FHN31" s="1266"/>
      <c r="FHO31" s="1266"/>
      <c r="FHP31" s="1266"/>
      <c r="FHQ31" s="1266"/>
      <c r="FHR31" s="1266"/>
      <c r="FHS31" s="1266"/>
      <c r="FHT31" s="1266"/>
      <c r="FHU31" s="1266"/>
      <c r="FHV31" s="1266"/>
      <c r="FHW31" s="1266"/>
      <c r="FHX31" s="1266"/>
      <c r="FHY31" s="1266"/>
      <c r="FHZ31" s="1266"/>
      <c r="FIA31" s="1266"/>
      <c r="FIB31" s="1266"/>
      <c r="FIC31" s="1266"/>
      <c r="FID31" s="1266"/>
      <c r="FIE31" s="1266"/>
      <c r="FIF31" s="1266"/>
      <c r="FIG31" s="1266"/>
      <c r="FIH31" s="1266"/>
      <c r="FII31" s="1266"/>
      <c r="FIJ31" s="1266"/>
      <c r="FIK31" s="1266"/>
      <c r="FIL31" s="1266"/>
      <c r="FIM31" s="1266"/>
      <c r="FIN31" s="1266"/>
      <c r="FIO31" s="1266"/>
      <c r="FIP31" s="1266"/>
      <c r="FIQ31" s="1266"/>
      <c r="FIR31" s="1266"/>
      <c r="FIS31" s="1266"/>
      <c r="FIT31" s="1266"/>
      <c r="FIU31" s="1266"/>
      <c r="FIV31" s="1266"/>
      <c r="FIW31" s="1266"/>
      <c r="FIX31" s="1266"/>
      <c r="FIY31" s="1266"/>
      <c r="FIZ31" s="1266"/>
      <c r="FJA31" s="1266"/>
      <c r="FJB31" s="1266"/>
      <c r="FJC31" s="1266"/>
      <c r="FJD31" s="1266"/>
      <c r="FJE31" s="1266"/>
      <c r="FJF31" s="1266"/>
      <c r="FJG31" s="1266"/>
      <c r="FJH31" s="1266"/>
      <c r="FJI31" s="1266"/>
      <c r="FJJ31" s="1266"/>
      <c r="FJK31" s="1266"/>
      <c r="FJL31" s="1266"/>
      <c r="FJM31" s="1266"/>
      <c r="FJN31" s="1266"/>
      <c r="FJO31" s="1266"/>
      <c r="FJP31" s="1266"/>
      <c r="FJQ31" s="1266"/>
      <c r="FJR31" s="1266"/>
      <c r="FJS31" s="1266"/>
      <c r="FJT31" s="1266"/>
      <c r="FJU31" s="1266"/>
      <c r="FJV31" s="1266"/>
      <c r="FJW31" s="1266"/>
      <c r="FJX31" s="1266"/>
      <c r="FJY31" s="1266"/>
      <c r="FJZ31" s="1266"/>
      <c r="FKA31" s="1266"/>
      <c r="FKB31" s="1266"/>
      <c r="FKC31" s="1266"/>
      <c r="FKD31" s="1266"/>
      <c r="FKE31" s="1266"/>
      <c r="FKF31" s="1266"/>
      <c r="FKG31" s="1266"/>
      <c r="FKH31" s="1266"/>
      <c r="FKI31" s="1266"/>
      <c r="FKJ31" s="1266"/>
      <c r="FKK31" s="1266"/>
      <c r="FKL31" s="1266"/>
      <c r="FKM31" s="1266"/>
      <c r="FKN31" s="1266"/>
      <c r="FKO31" s="1266"/>
      <c r="FKP31" s="1266"/>
      <c r="FKQ31" s="1266"/>
      <c r="FKR31" s="1266"/>
      <c r="FKS31" s="1266"/>
      <c r="FKT31" s="1266"/>
      <c r="FKU31" s="1266"/>
      <c r="FKV31" s="1266"/>
      <c r="FKW31" s="1266"/>
      <c r="FKX31" s="1266"/>
      <c r="FKY31" s="1266"/>
      <c r="FKZ31" s="1266"/>
      <c r="FLA31" s="1266"/>
      <c r="FLB31" s="1266"/>
      <c r="FLC31" s="1266"/>
      <c r="FLD31" s="1266"/>
      <c r="FLE31" s="1266"/>
      <c r="FLF31" s="1266"/>
      <c r="FLG31" s="1266"/>
      <c r="FLH31" s="1266"/>
      <c r="FLI31" s="1266"/>
      <c r="FLJ31" s="1266"/>
      <c r="FLK31" s="1266"/>
      <c r="FLL31" s="1266"/>
      <c r="FLM31" s="1266"/>
      <c r="FLN31" s="1266"/>
      <c r="FLO31" s="1266"/>
      <c r="FLP31" s="1266"/>
      <c r="FLQ31" s="1266"/>
      <c r="FLR31" s="1266"/>
      <c r="FLS31" s="1266"/>
      <c r="FLT31" s="1266"/>
      <c r="FLU31" s="1266"/>
      <c r="FLV31" s="1266"/>
      <c r="FLW31" s="1266"/>
      <c r="FLX31" s="1266"/>
      <c r="FLY31" s="1266"/>
      <c r="FLZ31" s="1266"/>
      <c r="FMA31" s="1266"/>
      <c r="FMB31" s="1266"/>
      <c r="FMC31" s="1266"/>
      <c r="FMD31" s="1266"/>
      <c r="FME31" s="1266"/>
      <c r="FMF31" s="1266"/>
      <c r="FMG31" s="1266"/>
      <c r="FMH31" s="1266"/>
      <c r="FMI31" s="1266"/>
      <c r="FMJ31" s="1266"/>
      <c r="FMK31" s="1266"/>
      <c r="FML31" s="1266"/>
      <c r="FMM31" s="1266"/>
      <c r="FMN31" s="1266"/>
      <c r="FMO31" s="1266"/>
      <c r="FMP31" s="1266"/>
      <c r="FMQ31" s="1266"/>
      <c r="FMR31" s="1266"/>
      <c r="FMS31" s="1266"/>
      <c r="FMT31" s="1266"/>
      <c r="FMU31" s="1266"/>
      <c r="FMV31" s="1266"/>
      <c r="FMW31" s="1266"/>
      <c r="FMX31" s="1266"/>
      <c r="FMY31" s="1266"/>
      <c r="FMZ31" s="1266"/>
      <c r="FNA31" s="1266"/>
      <c r="FNB31" s="1266"/>
      <c r="FNC31" s="1266"/>
      <c r="FND31" s="1266"/>
      <c r="FNE31" s="1266"/>
      <c r="FNF31" s="1266"/>
      <c r="FNG31" s="1266"/>
      <c r="FNH31" s="1266"/>
      <c r="FNI31" s="1266"/>
      <c r="FNJ31" s="1266"/>
      <c r="FNK31" s="1266"/>
      <c r="FNL31" s="1266"/>
      <c r="FNM31" s="1266"/>
      <c r="FNN31" s="1266"/>
      <c r="FNO31" s="1266"/>
      <c r="FNP31" s="1266"/>
      <c r="FNQ31" s="1266"/>
      <c r="FNR31" s="1266"/>
      <c r="FNS31" s="1266"/>
      <c r="FNT31" s="1266"/>
      <c r="FNU31" s="1266"/>
      <c r="FNV31" s="1266"/>
      <c r="FNW31" s="1266"/>
      <c r="FNX31" s="1266"/>
      <c r="FNY31" s="1266"/>
      <c r="FNZ31" s="1266"/>
      <c r="FOA31" s="1266"/>
      <c r="FOB31" s="1266"/>
      <c r="FOC31" s="1266"/>
      <c r="FOD31" s="1266"/>
      <c r="FOE31" s="1266"/>
      <c r="FOF31" s="1266"/>
      <c r="FOG31" s="1266"/>
      <c r="FOH31" s="1266"/>
      <c r="FOI31" s="1266"/>
      <c r="FOJ31" s="1266"/>
      <c r="FOK31" s="1266"/>
      <c r="FOL31" s="1266"/>
      <c r="FOM31" s="1266"/>
      <c r="FON31" s="1266"/>
      <c r="FOO31" s="1266"/>
      <c r="FOP31" s="1266"/>
      <c r="FOQ31" s="1266"/>
      <c r="FOR31" s="1266"/>
      <c r="FOS31" s="1266"/>
      <c r="FOT31" s="1266"/>
      <c r="FOU31" s="1266"/>
      <c r="FOV31" s="1266"/>
      <c r="FOW31" s="1266"/>
      <c r="FOX31" s="1266"/>
      <c r="FOY31" s="1266"/>
      <c r="FOZ31" s="1266"/>
      <c r="FPA31" s="1266"/>
      <c r="FPB31" s="1266"/>
      <c r="FPC31" s="1266"/>
      <c r="FPD31" s="1266"/>
      <c r="FPE31" s="1266"/>
      <c r="FPF31" s="1266"/>
      <c r="FPG31" s="1266"/>
      <c r="FPH31" s="1266"/>
      <c r="FPI31" s="1266"/>
      <c r="FPJ31" s="1266"/>
      <c r="FPK31" s="1266"/>
      <c r="FPL31" s="1266"/>
      <c r="FPM31" s="1266"/>
      <c r="FPN31" s="1266"/>
      <c r="FPO31" s="1266"/>
      <c r="FPP31" s="1266"/>
      <c r="FPQ31" s="1266"/>
      <c r="FPR31" s="1266"/>
      <c r="FPS31" s="1266"/>
      <c r="FPT31" s="1266"/>
      <c r="FPU31" s="1266"/>
      <c r="FPV31" s="1266"/>
      <c r="FPW31" s="1266"/>
      <c r="FPX31" s="1266"/>
      <c r="FPY31" s="1266"/>
      <c r="FPZ31" s="1266"/>
      <c r="FQA31" s="1266"/>
      <c r="FQB31" s="1266"/>
      <c r="FQC31" s="1266"/>
      <c r="FQD31" s="1266"/>
      <c r="FQE31" s="1266"/>
      <c r="FQF31" s="1266"/>
      <c r="FQG31" s="1266"/>
      <c r="FQH31" s="1266"/>
      <c r="FQI31" s="1266"/>
      <c r="FQJ31" s="1266"/>
      <c r="FQK31" s="1266"/>
      <c r="FQL31" s="1266"/>
      <c r="FQM31" s="1266"/>
      <c r="FQN31" s="1266"/>
      <c r="FQO31" s="1266"/>
      <c r="FQP31" s="1266"/>
      <c r="FQQ31" s="1266"/>
      <c r="FQR31" s="1266"/>
      <c r="FQS31" s="1266"/>
      <c r="FQT31" s="1266"/>
      <c r="FQU31" s="1266"/>
      <c r="FQV31" s="1266"/>
      <c r="FQW31" s="1266"/>
      <c r="FQX31" s="1266"/>
      <c r="FQY31" s="1266"/>
      <c r="FQZ31" s="1266"/>
      <c r="FRA31" s="1266"/>
      <c r="FRB31" s="1266"/>
      <c r="FRC31" s="1266"/>
      <c r="FRD31" s="1266"/>
      <c r="FRE31" s="1266"/>
      <c r="FRF31" s="1266"/>
      <c r="FRG31" s="1266"/>
      <c r="FRH31" s="1266"/>
      <c r="FRI31" s="1266"/>
      <c r="FRJ31" s="1266"/>
      <c r="FRK31" s="1266"/>
      <c r="FRL31" s="1266"/>
      <c r="FRM31" s="1266"/>
      <c r="FRN31" s="1266"/>
      <c r="FRO31" s="1266"/>
      <c r="FRP31" s="1266"/>
      <c r="FRQ31" s="1266"/>
      <c r="FRR31" s="1266"/>
      <c r="FRS31" s="1266"/>
      <c r="FRT31" s="1266"/>
      <c r="FRU31" s="1266"/>
      <c r="FRV31" s="1266"/>
      <c r="FRW31" s="1266"/>
      <c r="FRX31" s="1266"/>
      <c r="FRY31" s="1266"/>
      <c r="FRZ31" s="1266"/>
      <c r="FSA31" s="1266"/>
      <c r="FSB31" s="1266"/>
      <c r="FSC31" s="1266"/>
      <c r="FSD31" s="1266"/>
      <c r="FSE31" s="1266"/>
      <c r="FSF31" s="1266"/>
      <c r="FSG31" s="1266"/>
      <c r="FSH31" s="1266"/>
      <c r="FSI31" s="1266"/>
      <c r="FSJ31" s="1266"/>
      <c r="FSK31" s="1266"/>
      <c r="FSL31" s="1266"/>
      <c r="FSM31" s="1266"/>
      <c r="FSN31" s="1266"/>
      <c r="FSO31" s="1266"/>
      <c r="FSP31" s="1266"/>
      <c r="FSQ31" s="1266"/>
      <c r="FSR31" s="1266"/>
      <c r="FSS31" s="1266"/>
      <c r="FST31" s="1266"/>
      <c r="FSU31" s="1266"/>
      <c r="FSV31" s="1266"/>
      <c r="FSW31" s="1266"/>
      <c r="FSX31" s="1266"/>
      <c r="FSY31" s="1266"/>
      <c r="FSZ31" s="1266"/>
      <c r="FTA31" s="1266"/>
      <c r="FTB31" s="1266"/>
      <c r="FTC31" s="1266"/>
      <c r="FTD31" s="1266"/>
      <c r="FTE31" s="1266"/>
      <c r="FTF31" s="1266"/>
      <c r="FTG31" s="1266"/>
      <c r="FTH31" s="1266"/>
      <c r="FTI31" s="1266"/>
      <c r="FTJ31" s="1266"/>
      <c r="FTK31" s="1266"/>
      <c r="FTL31" s="1266"/>
      <c r="FTM31" s="1266"/>
      <c r="FTN31" s="1266"/>
      <c r="FTO31" s="1266"/>
      <c r="FTP31" s="1266"/>
      <c r="FTQ31" s="1266"/>
      <c r="FTR31" s="1266"/>
      <c r="FTS31" s="1266"/>
      <c r="FTT31" s="1266"/>
      <c r="FTU31" s="1266"/>
      <c r="FTV31" s="1266"/>
      <c r="FTW31" s="1266"/>
      <c r="FTX31" s="1266"/>
      <c r="FTY31" s="1266"/>
      <c r="FTZ31" s="1266"/>
      <c r="FUA31" s="1266"/>
      <c r="FUB31" s="1266"/>
      <c r="FUC31" s="1266"/>
      <c r="FUD31" s="1266"/>
      <c r="FUE31" s="1266"/>
      <c r="FUF31" s="1266"/>
      <c r="FUG31" s="1266"/>
      <c r="FUH31" s="1266"/>
      <c r="FUI31" s="1266"/>
      <c r="FUJ31" s="1266"/>
      <c r="FUK31" s="1266"/>
      <c r="FUL31" s="1266"/>
      <c r="FUM31" s="1266"/>
      <c r="FUN31" s="1266"/>
      <c r="FUO31" s="1266"/>
      <c r="FUP31" s="1266"/>
      <c r="FUQ31" s="1266"/>
      <c r="FUR31" s="1266"/>
      <c r="FUS31" s="1266"/>
      <c r="FUT31" s="1266"/>
      <c r="FUU31" s="1266"/>
      <c r="FUV31" s="1266"/>
      <c r="FUW31" s="1266"/>
      <c r="FUX31" s="1266"/>
      <c r="FUY31" s="1266"/>
      <c r="FUZ31" s="1266"/>
      <c r="FVA31" s="1266"/>
      <c r="FVB31" s="1266"/>
      <c r="FVC31" s="1266"/>
      <c r="FVD31" s="1266"/>
      <c r="FVE31" s="1266"/>
      <c r="FVF31" s="1266"/>
      <c r="FVG31" s="1266"/>
      <c r="FVH31" s="1266"/>
      <c r="FVI31" s="1266"/>
      <c r="FVJ31" s="1266"/>
      <c r="FVK31" s="1266"/>
      <c r="FVL31" s="1266"/>
      <c r="FVM31" s="1266"/>
      <c r="FVN31" s="1266"/>
      <c r="FVO31" s="1266"/>
      <c r="FVP31" s="1266"/>
      <c r="FVQ31" s="1266"/>
      <c r="FVR31" s="1266"/>
      <c r="FVS31" s="1266"/>
      <c r="FVT31" s="1266"/>
      <c r="FVU31" s="1266"/>
      <c r="FVV31" s="1266"/>
      <c r="FVW31" s="1266"/>
      <c r="FVX31" s="1266"/>
      <c r="FVY31" s="1266"/>
      <c r="FVZ31" s="1266"/>
      <c r="FWA31" s="1266"/>
      <c r="FWB31" s="1266"/>
      <c r="FWC31" s="1266"/>
      <c r="FWD31" s="1266"/>
      <c r="FWE31" s="1266"/>
      <c r="FWF31" s="1266"/>
      <c r="FWG31" s="1266"/>
      <c r="FWH31" s="1266"/>
      <c r="FWI31" s="1266"/>
      <c r="FWJ31" s="1266"/>
      <c r="FWK31" s="1266"/>
      <c r="FWL31" s="1266"/>
      <c r="FWM31" s="1266"/>
      <c r="FWN31" s="1266"/>
      <c r="FWO31" s="1266"/>
      <c r="FWP31" s="1266"/>
      <c r="FWQ31" s="1266"/>
      <c r="FWR31" s="1266"/>
      <c r="FWS31" s="1266"/>
      <c r="FWT31" s="1266"/>
      <c r="FWU31" s="1266"/>
      <c r="FWV31" s="1266"/>
      <c r="FWW31" s="1266"/>
      <c r="FWX31" s="1266"/>
      <c r="FWY31" s="1266"/>
      <c r="FWZ31" s="1266"/>
      <c r="FXA31" s="1266"/>
      <c r="FXB31" s="1266"/>
      <c r="FXC31" s="1266"/>
      <c r="FXD31" s="1266"/>
      <c r="FXE31" s="1266"/>
      <c r="FXF31" s="1266"/>
      <c r="FXG31" s="1266"/>
      <c r="FXH31" s="1266"/>
      <c r="FXI31" s="1266"/>
      <c r="FXJ31" s="1266"/>
      <c r="FXK31" s="1266"/>
      <c r="FXL31" s="1266"/>
      <c r="FXM31" s="1266"/>
      <c r="FXN31" s="1266"/>
      <c r="FXO31" s="1266"/>
      <c r="FXP31" s="1266"/>
      <c r="FXQ31" s="1266"/>
      <c r="FXR31" s="1266"/>
      <c r="FXS31" s="1266"/>
      <c r="FXT31" s="1266"/>
      <c r="FXU31" s="1266"/>
      <c r="FXV31" s="1266"/>
      <c r="FXW31" s="1266"/>
      <c r="FXX31" s="1266"/>
      <c r="FXY31" s="1266"/>
      <c r="FXZ31" s="1266"/>
      <c r="FYA31" s="1266"/>
      <c r="FYB31" s="1266"/>
      <c r="FYC31" s="1266"/>
      <c r="FYD31" s="1266"/>
      <c r="FYE31" s="1266"/>
      <c r="FYF31" s="1266"/>
      <c r="FYG31" s="1266"/>
      <c r="FYH31" s="1266"/>
      <c r="FYI31" s="1266"/>
      <c r="FYJ31" s="1266"/>
      <c r="FYK31" s="1266"/>
      <c r="FYL31" s="1266"/>
      <c r="FYM31" s="1266"/>
      <c r="FYN31" s="1266"/>
      <c r="FYO31" s="1266"/>
      <c r="FYP31" s="1266"/>
      <c r="FYQ31" s="1266"/>
      <c r="FYR31" s="1266"/>
      <c r="FYS31" s="1266"/>
      <c r="FYT31" s="1266"/>
      <c r="FYU31" s="1266"/>
      <c r="FYV31" s="1266"/>
      <c r="FYW31" s="1266"/>
      <c r="FYX31" s="1266"/>
      <c r="FYY31" s="1266"/>
      <c r="FYZ31" s="1266"/>
      <c r="FZA31" s="1266"/>
      <c r="FZB31" s="1266"/>
      <c r="FZC31" s="1266"/>
      <c r="FZD31" s="1266"/>
      <c r="FZE31" s="1266"/>
      <c r="FZF31" s="1266"/>
      <c r="FZG31" s="1266"/>
      <c r="FZH31" s="1266"/>
      <c r="FZI31" s="1266"/>
      <c r="FZJ31" s="1266"/>
      <c r="FZK31" s="1266"/>
      <c r="FZL31" s="1266"/>
      <c r="FZM31" s="1266"/>
      <c r="FZN31" s="1266"/>
      <c r="FZO31" s="1266"/>
      <c r="FZP31" s="1266"/>
      <c r="FZQ31" s="1266"/>
      <c r="FZR31" s="1266"/>
      <c r="FZS31" s="1266"/>
      <c r="FZT31" s="1266"/>
      <c r="FZU31" s="1266"/>
      <c r="FZV31" s="1266"/>
      <c r="FZW31" s="1266"/>
      <c r="FZX31" s="1266"/>
      <c r="FZY31" s="1266"/>
      <c r="FZZ31" s="1266"/>
      <c r="GAA31" s="1266"/>
      <c r="GAB31" s="1266"/>
      <c r="GAC31" s="1266"/>
      <c r="GAD31" s="1266"/>
      <c r="GAE31" s="1266"/>
      <c r="GAF31" s="1266"/>
      <c r="GAG31" s="1266"/>
      <c r="GAH31" s="1266"/>
      <c r="GAI31" s="1266"/>
      <c r="GAJ31" s="1266"/>
      <c r="GAK31" s="1266"/>
      <c r="GAL31" s="1266"/>
      <c r="GAM31" s="1266"/>
      <c r="GAN31" s="1266"/>
      <c r="GAO31" s="1266"/>
      <c r="GAP31" s="1266"/>
      <c r="GAQ31" s="1266"/>
      <c r="GAR31" s="1266"/>
      <c r="GAS31" s="1266"/>
      <c r="GAT31" s="1266"/>
      <c r="GAU31" s="1266"/>
      <c r="GAV31" s="1266"/>
      <c r="GAW31" s="1266"/>
      <c r="GAX31" s="1266"/>
      <c r="GAY31" s="1266"/>
      <c r="GAZ31" s="1266"/>
      <c r="GBA31" s="1266"/>
      <c r="GBB31" s="1266"/>
      <c r="GBC31" s="1266"/>
      <c r="GBD31" s="1266"/>
      <c r="GBE31" s="1266"/>
      <c r="GBF31" s="1266"/>
      <c r="GBG31" s="1266"/>
      <c r="GBH31" s="1266"/>
      <c r="GBI31" s="1266"/>
      <c r="GBJ31" s="1266"/>
      <c r="GBK31" s="1266"/>
      <c r="GBL31" s="1266"/>
      <c r="GBM31" s="1266"/>
      <c r="GBN31" s="1266"/>
      <c r="GBO31" s="1266"/>
      <c r="GBP31" s="1266"/>
      <c r="GBQ31" s="1266"/>
      <c r="GBR31" s="1266"/>
      <c r="GBS31" s="1266"/>
      <c r="GBT31" s="1266"/>
      <c r="GBU31" s="1266"/>
      <c r="GBV31" s="1266"/>
      <c r="GBW31" s="1266"/>
      <c r="GBX31" s="1266"/>
      <c r="GBY31" s="1266"/>
      <c r="GBZ31" s="1266"/>
      <c r="GCA31" s="1266"/>
      <c r="GCB31" s="1266"/>
      <c r="GCC31" s="1266"/>
      <c r="GCD31" s="1266"/>
      <c r="GCE31" s="1266"/>
      <c r="GCF31" s="1266"/>
      <c r="GCG31" s="1266"/>
      <c r="GCH31" s="1266"/>
      <c r="GCI31" s="1266"/>
      <c r="GCJ31" s="1266"/>
      <c r="GCK31" s="1266"/>
      <c r="GCL31" s="1266"/>
      <c r="GCM31" s="1266"/>
      <c r="GCN31" s="1266"/>
      <c r="GCO31" s="1266"/>
      <c r="GCP31" s="1266"/>
      <c r="GCQ31" s="1266"/>
      <c r="GCR31" s="1266"/>
      <c r="GCS31" s="1266"/>
      <c r="GCT31" s="1266"/>
      <c r="GCU31" s="1266"/>
      <c r="GCV31" s="1266"/>
      <c r="GCW31" s="1266"/>
      <c r="GCX31" s="1266"/>
      <c r="GCY31" s="1266"/>
      <c r="GCZ31" s="1266"/>
      <c r="GDA31" s="1266"/>
      <c r="GDB31" s="1266"/>
      <c r="GDC31" s="1266"/>
      <c r="GDD31" s="1266"/>
      <c r="GDE31" s="1266"/>
      <c r="GDF31" s="1266"/>
      <c r="GDG31" s="1266"/>
      <c r="GDH31" s="1266"/>
      <c r="GDI31" s="1266"/>
      <c r="GDJ31" s="1266"/>
      <c r="GDK31" s="1266"/>
      <c r="GDL31" s="1266"/>
      <c r="GDM31" s="1266"/>
      <c r="GDN31" s="1266"/>
      <c r="GDO31" s="1266"/>
      <c r="GDP31" s="1266"/>
      <c r="GDQ31" s="1266"/>
      <c r="GDR31" s="1266"/>
      <c r="GDS31" s="1266"/>
      <c r="GDT31" s="1266"/>
      <c r="GDU31" s="1266"/>
      <c r="GDV31" s="1266"/>
      <c r="GDW31" s="1266"/>
      <c r="GDX31" s="1266"/>
      <c r="GDY31" s="1266"/>
      <c r="GDZ31" s="1266"/>
      <c r="GEA31" s="1266"/>
      <c r="GEB31" s="1266"/>
      <c r="GEC31" s="1266"/>
      <c r="GED31" s="1266"/>
      <c r="GEE31" s="1266"/>
      <c r="GEF31" s="1266"/>
      <c r="GEG31" s="1266"/>
      <c r="GEH31" s="1266"/>
      <c r="GEI31" s="1266"/>
      <c r="GEJ31" s="1266"/>
      <c r="GEK31" s="1266"/>
      <c r="GEL31" s="1266"/>
      <c r="GEM31" s="1266"/>
      <c r="GEN31" s="1266"/>
      <c r="GEO31" s="1266"/>
      <c r="GEP31" s="1266"/>
      <c r="GEQ31" s="1266"/>
      <c r="GER31" s="1266"/>
      <c r="GES31" s="1266"/>
      <c r="GET31" s="1266"/>
      <c r="GEU31" s="1266"/>
      <c r="GEV31" s="1266"/>
      <c r="GEW31" s="1266"/>
      <c r="GEX31" s="1266"/>
      <c r="GEY31" s="1266"/>
      <c r="GEZ31" s="1266"/>
      <c r="GFA31" s="1266"/>
      <c r="GFB31" s="1266"/>
      <c r="GFC31" s="1266"/>
      <c r="GFD31" s="1266"/>
      <c r="GFE31" s="1266"/>
      <c r="GFF31" s="1266"/>
      <c r="GFG31" s="1266"/>
      <c r="GFH31" s="1266"/>
      <c r="GFI31" s="1266"/>
      <c r="GFJ31" s="1266"/>
      <c r="GFK31" s="1266"/>
      <c r="GFL31" s="1266"/>
      <c r="GFM31" s="1266"/>
      <c r="GFN31" s="1266"/>
      <c r="GFO31" s="1266"/>
      <c r="GFP31" s="1266"/>
      <c r="GFQ31" s="1266"/>
      <c r="GFR31" s="1266"/>
      <c r="GFS31" s="1266"/>
      <c r="GFT31" s="1266"/>
      <c r="GFU31" s="1266"/>
      <c r="GFV31" s="1266"/>
      <c r="GFW31" s="1266"/>
      <c r="GFX31" s="1266"/>
      <c r="GFY31" s="1266"/>
      <c r="GFZ31" s="1266"/>
      <c r="GGA31" s="1266"/>
      <c r="GGB31" s="1266"/>
      <c r="GGC31" s="1266"/>
      <c r="GGD31" s="1266"/>
      <c r="GGE31" s="1266"/>
      <c r="GGF31" s="1266"/>
      <c r="GGG31" s="1266"/>
      <c r="GGH31" s="1266"/>
      <c r="GGI31" s="1266"/>
      <c r="GGJ31" s="1266"/>
      <c r="GGK31" s="1266"/>
      <c r="GGL31" s="1266"/>
      <c r="GGM31" s="1266"/>
      <c r="GGN31" s="1266"/>
      <c r="GGO31" s="1266"/>
      <c r="GGP31" s="1266"/>
      <c r="GGQ31" s="1266"/>
      <c r="GGR31" s="1266"/>
      <c r="GGS31" s="1266"/>
      <c r="GGT31" s="1266"/>
      <c r="GGU31" s="1266"/>
      <c r="GGV31" s="1266"/>
      <c r="GGW31" s="1266"/>
      <c r="GGX31" s="1266"/>
      <c r="GGY31" s="1266"/>
      <c r="GGZ31" s="1266"/>
      <c r="GHA31" s="1266"/>
      <c r="GHB31" s="1266"/>
      <c r="GHC31" s="1266"/>
      <c r="GHD31" s="1266"/>
      <c r="GHE31" s="1266"/>
      <c r="GHF31" s="1266"/>
      <c r="GHG31" s="1266"/>
      <c r="GHH31" s="1266"/>
      <c r="GHI31" s="1266"/>
      <c r="GHJ31" s="1266"/>
      <c r="GHK31" s="1266"/>
      <c r="GHL31" s="1266"/>
      <c r="GHM31" s="1266"/>
      <c r="GHN31" s="1266"/>
      <c r="GHO31" s="1266"/>
      <c r="GHP31" s="1266"/>
      <c r="GHQ31" s="1266"/>
      <c r="GHR31" s="1266"/>
      <c r="GHS31" s="1266"/>
      <c r="GHT31" s="1266"/>
      <c r="GHU31" s="1266"/>
      <c r="GHV31" s="1266"/>
      <c r="GHW31" s="1266"/>
      <c r="GHX31" s="1266"/>
      <c r="GHY31" s="1266"/>
      <c r="GHZ31" s="1266"/>
      <c r="GIA31" s="1266"/>
      <c r="GIB31" s="1266"/>
      <c r="GIC31" s="1266"/>
      <c r="GID31" s="1266"/>
      <c r="GIE31" s="1266"/>
      <c r="GIF31" s="1266"/>
      <c r="GIG31" s="1266"/>
      <c r="GIH31" s="1266"/>
      <c r="GII31" s="1266"/>
      <c r="GIJ31" s="1266"/>
      <c r="GIK31" s="1266"/>
      <c r="GIL31" s="1266"/>
      <c r="GIM31" s="1266"/>
      <c r="GIN31" s="1266"/>
      <c r="GIO31" s="1266"/>
      <c r="GIP31" s="1266"/>
      <c r="GIQ31" s="1266"/>
      <c r="GIR31" s="1266"/>
      <c r="GIS31" s="1266"/>
      <c r="GIT31" s="1266"/>
      <c r="GIU31" s="1266"/>
      <c r="GIV31" s="1266"/>
      <c r="GIW31" s="1266"/>
      <c r="GIX31" s="1266"/>
      <c r="GIY31" s="1266"/>
      <c r="GIZ31" s="1266"/>
      <c r="GJA31" s="1266"/>
      <c r="GJB31" s="1266"/>
      <c r="GJC31" s="1266"/>
      <c r="GJD31" s="1266"/>
      <c r="GJE31" s="1266"/>
      <c r="GJF31" s="1266"/>
      <c r="GJG31" s="1266"/>
      <c r="GJH31" s="1266"/>
      <c r="GJI31" s="1266"/>
      <c r="GJJ31" s="1266"/>
      <c r="GJK31" s="1266"/>
      <c r="GJL31" s="1266"/>
      <c r="GJM31" s="1266"/>
      <c r="GJN31" s="1266"/>
      <c r="GJO31" s="1266"/>
      <c r="GJP31" s="1266"/>
      <c r="GJQ31" s="1266"/>
      <c r="GJR31" s="1266"/>
      <c r="GJS31" s="1266"/>
      <c r="GJT31" s="1266"/>
      <c r="GJU31" s="1266"/>
      <c r="GJV31" s="1266"/>
      <c r="GJW31" s="1266"/>
      <c r="GJX31" s="1266"/>
      <c r="GJY31" s="1266"/>
      <c r="GJZ31" s="1266"/>
      <c r="GKA31" s="1266"/>
      <c r="GKB31" s="1266"/>
      <c r="GKC31" s="1266"/>
      <c r="GKD31" s="1266"/>
      <c r="GKE31" s="1266"/>
      <c r="GKF31" s="1266"/>
      <c r="GKG31" s="1266"/>
      <c r="GKH31" s="1266"/>
      <c r="GKI31" s="1266"/>
      <c r="GKJ31" s="1266"/>
      <c r="GKK31" s="1266"/>
      <c r="GKL31" s="1266"/>
      <c r="GKM31" s="1266"/>
      <c r="GKN31" s="1266"/>
      <c r="GKO31" s="1266"/>
      <c r="GKP31" s="1266"/>
      <c r="GKQ31" s="1266"/>
      <c r="GKR31" s="1266"/>
      <c r="GKS31" s="1266"/>
      <c r="GKT31" s="1266"/>
      <c r="GKU31" s="1266"/>
      <c r="GKV31" s="1266"/>
      <c r="GKW31" s="1266"/>
      <c r="GKX31" s="1266"/>
      <c r="GKY31" s="1266"/>
      <c r="GKZ31" s="1266"/>
      <c r="GLA31" s="1266"/>
      <c r="GLB31" s="1266"/>
      <c r="GLC31" s="1266"/>
      <c r="GLD31" s="1266"/>
      <c r="GLE31" s="1266"/>
      <c r="GLF31" s="1266"/>
      <c r="GLG31" s="1266"/>
      <c r="GLH31" s="1266"/>
      <c r="GLI31" s="1266"/>
      <c r="GLJ31" s="1266"/>
      <c r="GLK31" s="1266"/>
      <c r="GLL31" s="1266"/>
      <c r="GLM31" s="1266"/>
      <c r="GLN31" s="1266"/>
      <c r="GLO31" s="1266"/>
      <c r="GLP31" s="1266"/>
      <c r="GLQ31" s="1266"/>
      <c r="GLR31" s="1266"/>
      <c r="GLS31" s="1266"/>
      <c r="GLT31" s="1266"/>
      <c r="GLU31" s="1266"/>
      <c r="GLV31" s="1266"/>
      <c r="GLW31" s="1266"/>
      <c r="GLX31" s="1266"/>
      <c r="GLY31" s="1266"/>
      <c r="GLZ31" s="1266"/>
      <c r="GMA31" s="1266"/>
      <c r="GMB31" s="1266"/>
      <c r="GMC31" s="1266"/>
      <c r="GMD31" s="1266"/>
      <c r="GME31" s="1266"/>
      <c r="GMF31" s="1266"/>
      <c r="GMG31" s="1266"/>
      <c r="GMH31" s="1266"/>
      <c r="GMI31" s="1266"/>
      <c r="GMJ31" s="1266"/>
      <c r="GMK31" s="1266"/>
      <c r="GML31" s="1266"/>
      <c r="GMM31" s="1266"/>
      <c r="GMN31" s="1266"/>
      <c r="GMO31" s="1266"/>
      <c r="GMP31" s="1266"/>
      <c r="GMQ31" s="1266"/>
      <c r="GMR31" s="1266"/>
      <c r="GMS31" s="1266"/>
      <c r="GMT31" s="1266"/>
      <c r="GMU31" s="1266"/>
      <c r="GMV31" s="1266"/>
      <c r="GMW31" s="1266"/>
      <c r="GMX31" s="1266"/>
      <c r="GMY31" s="1266"/>
      <c r="GMZ31" s="1266"/>
      <c r="GNA31" s="1266"/>
      <c r="GNB31" s="1266"/>
      <c r="GNC31" s="1266"/>
      <c r="GND31" s="1266"/>
      <c r="GNE31" s="1266"/>
      <c r="GNF31" s="1266"/>
      <c r="GNG31" s="1266"/>
      <c r="GNH31" s="1266"/>
      <c r="GNI31" s="1266"/>
      <c r="GNJ31" s="1266"/>
      <c r="GNK31" s="1266"/>
      <c r="GNL31" s="1266"/>
      <c r="GNM31" s="1266"/>
      <c r="GNN31" s="1266"/>
      <c r="GNO31" s="1266"/>
      <c r="GNP31" s="1266"/>
      <c r="GNQ31" s="1266"/>
      <c r="GNR31" s="1266"/>
      <c r="GNS31" s="1266"/>
      <c r="GNT31" s="1266"/>
      <c r="GNU31" s="1266"/>
      <c r="GNV31" s="1266"/>
      <c r="GNW31" s="1266"/>
      <c r="GNX31" s="1266"/>
      <c r="GNY31" s="1266"/>
      <c r="GNZ31" s="1266"/>
      <c r="GOA31" s="1266"/>
      <c r="GOB31" s="1266"/>
      <c r="GOC31" s="1266"/>
      <c r="GOD31" s="1266"/>
      <c r="GOE31" s="1266"/>
      <c r="GOF31" s="1266"/>
      <c r="GOG31" s="1266"/>
      <c r="GOH31" s="1266"/>
      <c r="GOI31" s="1266"/>
      <c r="GOJ31" s="1266"/>
      <c r="GOK31" s="1266"/>
      <c r="GOL31" s="1266"/>
      <c r="GOM31" s="1266"/>
      <c r="GON31" s="1266"/>
      <c r="GOO31" s="1266"/>
      <c r="GOP31" s="1266"/>
      <c r="GOQ31" s="1266"/>
      <c r="GOR31" s="1266"/>
      <c r="GOS31" s="1266"/>
      <c r="GOT31" s="1266"/>
      <c r="GOU31" s="1266"/>
      <c r="GOV31" s="1266"/>
      <c r="GOW31" s="1266"/>
      <c r="GOX31" s="1266"/>
      <c r="GOY31" s="1266"/>
      <c r="GOZ31" s="1266"/>
      <c r="GPA31" s="1266"/>
      <c r="GPB31" s="1266"/>
      <c r="GPC31" s="1266"/>
      <c r="GPD31" s="1266"/>
      <c r="GPE31" s="1266"/>
      <c r="GPF31" s="1266"/>
      <c r="GPG31" s="1266"/>
      <c r="GPH31" s="1266"/>
      <c r="GPI31" s="1266"/>
      <c r="GPJ31" s="1266"/>
      <c r="GPK31" s="1266"/>
      <c r="GPL31" s="1266"/>
      <c r="GPM31" s="1266"/>
      <c r="GPN31" s="1266"/>
      <c r="GPO31" s="1266"/>
      <c r="GPP31" s="1266"/>
      <c r="GPQ31" s="1266"/>
      <c r="GPR31" s="1266"/>
      <c r="GPS31" s="1266"/>
      <c r="GPT31" s="1266"/>
      <c r="GPU31" s="1266"/>
      <c r="GPV31" s="1266"/>
      <c r="GPW31" s="1266"/>
      <c r="GPX31" s="1266"/>
      <c r="GPY31" s="1266"/>
      <c r="GPZ31" s="1266"/>
      <c r="GQA31" s="1266"/>
      <c r="GQB31" s="1266"/>
      <c r="GQC31" s="1266"/>
      <c r="GQD31" s="1266"/>
      <c r="GQE31" s="1266"/>
      <c r="GQF31" s="1266"/>
      <c r="GQG31" s="1266"/>
      <c r="GQH31" s="1266"/>
      <c r="GQI31" s="1266"/>
      <c r="GQJ31" s="1266"/>
      <c r="GQK31" s="1266"/>
      <c r="GQL31" s="1266"/>
      <c r="GQM31" s="1266"/>
      <c r="GQN31" s="1266"/>
      <c r="GQO31" s="1266"/>
      <c r="GQP31" s="1266"/>
      <c r="GQQ31" s="1266"/>
      <c r="GQR31" s="1266"/>
      <c r="GQS31" s="1266"/>
      <c r="GQT31" s="1266"/>
      <c r="GQU31" s="1266"/>
      <c r="GQV31" s="1266"/>
      <c r="GQW31" s="1266"/>
      <c r="GQX31" s="1266"/>
      <c r="GQY31" s="1266"/>
      <c r="GQZ31" s="1266"/>
      <c r="GRA31" s="1266"/>
      <c r="GRB31" s="1266"/>
      <c r="GRC31" s="1266"/>
      <c r="GRD31" s="1266"/>
      <c r="GRE31" s="1266"/>
      <c r="GRF31" s="1266"/>
      <c r="GRG31" s="1266"/>
      <c r="GRH31" s="1266"/>
      <c r="GRI31" s="1266"/>
      <c r="GRJ31" s="1266"/>
      <c r="GRK31" s="1266"/>
      <c r="GRL31" s="1266"/>
      <c r="GRM31" s="1266"/>
      <c r="GRN31" s="1266"/>
      <c r="GRO31" s="1266"/>
      <c r="GRP31" s="1266"/>
      <c r="GRQ31" s="1266"/>
      <c r="GRR31" s="1266"/>
      <c r="GRS31" s="1266"/>
      <c r="GRT31" s="1266"/>
      <c r="GRU31" s="1266"/>
      <c r="GRV31" s="1266"/>
      <c r="GRW31" s="1266"/>
      <c r="GRX31" s="1266"/>
      <c r="GRY31" s="1266"/>
      <c r="GRZ31" s="1266"/>
      <c r="GSA31" s="1266"/>
      <c r="GSB31" s="1266"/>
      <c r="GSC31" s="1266"/>
      <c r="GSD31" s="1266"/>
      <c r="GSE31" s="1266"/>
      <c r="GSF31" s="1266"/>
      <c r="GSG31" s="1266"/>
      <c r="GSH31" s="1266"/>
      <c r="GSI31" s="1266"/>
      <c r="GSJ31" s="1266"/>
      <c r="GSK31" s="1266"/>
      <c r="GSL31" s="1266"/>
      <c r="GSM31" s="1266"/>
      <c r="GSN31" s="1266"/>
      <c r="GSO31" s="1266"/>
      <c r="GSP31" s="1266"/>
      <c r="GSQ31" s="1266"/>
      <c r="GSR31" s="1266"/>
      <c r="GSS31" s="1266"/>
      <c r="GST31" s="1266"/>
      <c r="GSU31" s="1266"/>
      <c r="GSV31" s="1266"/>
      <c r="GSW31" s="1266"/>
      <c r="GSX31" s="1266"/>
      <c r="GSY31" s="1266"/>
      <c r="GSZ31" s="1266"/>
      <c r="GTA31" s="1266"/>
      <c r="GTB31" s="1266"/>
      <c r="GTC31" s="1266"/>
      <c r="GTD31" s="1266"/>
      <c r="GTE31" s="1266"/>
      <c r="GTF31" s="1266"/>
      <c r="GTG31" s="1266"/>
      <c r="GTH31" s="1266"/>
      <c r="GTI31" s="1266"/>
      <c r="GTJ31" s="1266"/>
      <c r="GTK31" s="1266"/>
      <c r="GTL31" s="1266"/>
      <c r="GTM31" s="1266"/>
      <c r="GTN31" s="1266"/>
      <c r="GTO31" s="1266"/>
      <c r="GTP31" s="1266"/>
      <c r="GTQ31" s="1266"/>
      <c r="GTR31" s="1266"/>
      <c r="GTS31" s="1266"/>
      <c r="GTT31" s="1266"/>
      <c r="GTU31" s="1266"/>
      <c r="GTV31" s="1266"/>
      <c r="GTW31" s="1266"/>
      <c r="GTX31" s="1266"/>
      <c r="GTY31" s="1266"/>
      <c r="GTZ31" s="1266"/>
      <c r="GUA31" s="1266"/>
      <c r="GUB31" s="1266"/>
      <c r="GUC31" s="1266"/>
      <c r="GUD31" s="1266"/>
      <c r="GUE31" s="1266"/>
      <c r="GUF31" s="1266"/>
      <c r="GUG31" s="1266"/>
      <c r="GUH31" s="1266"/>
      <c r="GUI31" s="1266"/>
      <c r="GUJ31" s="1266"/>
      <c r="GUK31" s="1266"/>
      <c r="GUL31" s="1266"/>
      <c r="GUM31" s="1266"/>
      <c r="GUN31" s="1266"/>
      <c r="GUO31" s="1266"/>
      <c r="GUP31" s="1266"/>
      <c r="GUQ31" s="1266"/>
      <c r="GUR31" s="1266"/>
      <c r="GUS31" s="1266"/>
      <c r="GUT31" s="1266"/>
      <c r="GUU31" s="1266"/>
      <c r="GUV31" s="1266"/>
      <c r="GUW31" s="1266"/>
      <c r="GUX31" s="1266"/>
      <c r="GUY31" s="1266"/>
      <c r="GUZ31" s="1266"/>
      <c r="GVA31" s="1266"/>
      <c r="GVB31" s="1266"/>
      <c r="GVC31" s="1266"/>
      <c r="GVD31" s="1266"/>
      <c r="GVE31" s="1266"/>
      <c r="GVF31" s="1266"/>
      <c r="GVG31" s="1266"/>
      <c r="GVH31" s="1266"/>
      <c r="GVI31" s="1266"/>
      <c r="GVJ31" s="1266"/>
      <c r="GVK31" s="1266"/>
      <c r="GVL31" s="1266"/>
      <c r="GVM31" s="1266"/>
      <c r="GVN31" s="1266"/>
      <c r="GVO31" s="1266"/>
      <c r="GVP31" s="1266"/>
      <c r="GVQ31" s="1266"/>
      <c r="GVR31" s="1266"/>
      <c r="GVS31" s="1266"/>
      <c r="GVT31" s="1266"/>
      <c r="GVU31" s="1266"/>
      <c r="GVV31" s="1266"/>
      <c r="GVW31" s="1266"/>
      <c r="GVX31" s="1266"/>
      <c r="GVY31" s="1266"/>
      <c r="GVZ31" s="1266"/>
      <c r="GWA31" s="1266"/>
      <c r="GWB31" s="1266"/>
      <c r="GWC31" s="1266"/>
      <c r="GWD31" s="1266"/>
      <c r="GWE31" s="1266"/>
      <c r="GWF31" s="1266"/>
      <c r="GWG31" s="1266"/>
      <c r="GWH31" s="1266"/>
      <c r="GWI31" s="1266"/>
      <c r="GWJ31" s="1266"/>
      <c r="GWK31" s="1266"/>
      <c r="GWL31" s="1266"/>
      <c r="GWM31" s="1266"/>
      <c r="GWN31" s="1266"/>
      <c r="GWO31" s="1266"/>
      <c r="GWP31" s="1266"/>
      <c r="GWQ31" s="1266"/>
      <c r="GWR31" s="1266"/>
      <c r="GWS31" s="1266"/>
      <c r="GWT31" s="1266"/>
      <c r="GWU31" s="1266"/>
      <c r="GWV31" s="1266"/>
      <c r="GWW31" s="1266"/>
      <c r="GWX31" s="1266"/>
      <c r="GWY31" s="1266"/>
      <c r="GWZ31" s="1266"/>
      <c r="GXA31" s="1266"/>
      <c r="GXB31" s="1266"/>
      <c r="GXC31" s="1266"/>
      <c r="GXD31" s="1266"/>
      <c r="GXE31" s="1266"/>
      <c r="GXF31" s="1266"/>
      <c r="GXG31" s="1266"/>
      <c r="GXH31" s="1266"/>
      <c r="GXI31" s="1266"/>
      <c r="GXJ31" s="1266"/>
      <c r="GXK31" s="1266"/>
      <c r="GXL31" s="1266"/>
      <c r="GXM31" s="1266"/>
      <c r="GXN31" s="1266"/>
      <c r="GXO31" s="1266"/>
      <c r="GXP31" s="1266"/>
      <c r="GXQ31" s="1266"/>
      <c r="GXR31" s="1266"/>
      <c r="GXS31" s="1266"/>
      <c r="GXT31" s="1266"/>
      <c r="GXU31" s="1266"/>
      <c r="GXV31" s="1266"/>
      <c r="GXW31" s="1266"/>
      <c r="GXX31" s="1266"/>
      <c r="GXY31" s="1266"/>
      <c r="GXZ31" s="1266"/>
      <c r="GYA31" s="1266"/>
      <c r="GYB31" s="1266"/>
      <c r="GYC31" s="1266"/>
      <c r="GYD31" s="1266"/>
      <c r="GYE31" s="1266"/>
      <c r="GYF31" s="1266"/>
      <c r="GYG31" s="1266"/>
      <c r="GYH31" s="1266"/>
      <c r="GYI31" s="1266"/>
      <c r="GYJ31" s="1266"/>
      <c r="GYK31" s="1266"/>
      <c r="GYL31" s="1266"/>
      <c r="GYM31" s="1266"/>
      <c r="GYN31" s="1266"/>
      <c r="GYO31" s="1266"/>
      <c r="GYP31" s="1266"/>
      <c r="GYQ31" s="1266"/>
      <c r="GYR31" s="1266"/>
      <c r="GYS31" s="1266"/>
      <c r="GYT31" s="1266"/>
      <c r="GYU31" s="1266"/>
      <c r="GYV31" s="1266"/>
      <c r="GYW31" s="1266"/>
      <c r="GYX31" s="1266"/>
      <c r="GYY31" s="1266"/>
      <c r="GYZ31" s="1266"/>
      <c r="GZA31" s="1266"/>
      <c r="GZB31" s="1266"/>
      <c r="GZC31" s="1266"/>
      <c r="GZD31" s="1266"/>
      <c r="GZE31" s="1266"/>
      <c r="GZF31" s="1266"/>
      <c r="GZG31" s="1266"/>
      <c r="GZH31" s="1266"/>
      <c r="GZI31" s="1266"/>
      <c r="GZJ31" s="1266"/>
      <c r="GZK31" s="1266"/>
      <c r="GZL31" s="1266"/>
      <c r="GZM31" s="1266"/>
      <c r="GZN31" s="1266"/>
      <c r="GZO31" s="1266"/>
      <c r="GZP31" s="1266"/>
      <c r="GZQ31" s="1266"/>
      <c r="GZR31" s="1266"/>
      <c r="GZS31" s="1266"/>
      <c r="GZT31" s="1266"/>
      <c r="GZU31" s="1266"/>
      <c r="GZV31" s="1266"/>
      <c r="GZW31" s="1266"/>
      <c r="GZX31" s="1266"/>
      <c r="GZY31" s="1266"/>
      <c r="GZZ31" s="1266"/>
      <c r="HAA31" s="1266"/>
      <c r="HAB31" s="1266"/>
      <c r="HAC31" s="1266"/>
      <c r="HAD31" s="1266"/>
      <c r="HAE31" s="1266"/>
      <c r="HAF31" s="1266"/>
      <c r="HAG31" s="1266"/>
      <c r="HAH31" s="1266"/>
      <c r="HAI31" s="1266"/>
      <c r="HAJ31" s="1266"/>
      <c r="HAK31" s="1266"/>
      <c r="HAL31" s="1266"/>
      <c r="HAM31" s="1266"/>
      <c r="HAN31" s="1266"/>
      <c r="HAO31" s="1266"/>
      <c r="HAP31" s="1266"/>
      <c r="HAQ31" s="1266"/>
      <c r="HAR31" s="1266"/>
      <c r="HAS31" s="1266"/>
      <c r="HAT31" s="1266"/>
      <c r="HAU31" s="1266"/>
      <c r="HAV31" s="1266"/>
      <c r="HAW31" s="1266"/>
      <c r="HAX31" s="1266"/>
      <c r="HAY31" s="1266"/>
      <c r="HAZ31" s="1266"/>
      <c r="HBA31" s="1266"/>
      <c r="HBB31" s="1266"/>
      <c r="HBC31" s="1266"/>
      <c r="HBD31" s="1266"/>
      <c r="HBE31" s="1266"/>
      <c r="HBF31" s="1266"/>
      <c r="HBG31" s="1266"/>
      <c r="HBH31" s="1266"/>
      <c r="HBI31" s="1266"/>
      <c r="HBJ31" s="1266"/>
      <c r="HBK31" s="1266"/>
      <c r="HBL31" s="1266"/>
      <c r="HBM31" s="1266"/>
      <c r="HBN31" s="1266"/>
      <c r="HBO31" s="1266"/>
      <c r="HBP31" s="1266"/>
      <c r="HBQ31" s="1266"/>
      <c r="HBR31" s="1266"/>
      <c r="HBS31" s="1266"/>
      <c r="HBT31" s="1266"/>
      <c r="HBU31" s="1266"/>
      <c r="HBV31" s="1266"/>
      <c r="HBW31" s="1266"/>
      <c r="HBX31" s="1266"/>
      <c r="HBY31" s="1266"/>
      <c r="HBZ31" s="1266"/>
      <c r="HCA31" s="1266"/>
      <c r="HCB31" s="1266"/>
      <c r="HCC31" s="1266"/>
      <c r="HCD31" s="1266"/>
      <c r="HCE31" s="1266"/>
      <c r="HCF31" s="1266"/>
      <c r="HCG31" s="1266"/>
      <c r="HCH31" s="1266"/>
      <c r="HCI31" s="1266"/>
      <c r="HCJ31" s="1266"/>
      <c r="HCK31" s="1266"/>
      <c r="HCL31" s="1266"/>
      <c r="HCM31" s="1266"/>
      <c r="HCN31" s="1266"/>
      <c r="HCO31" s="1266"/>
      <c r="HCP31" s="1266"/>
      <c r="HCQ31" s="1266"/>
      <c r="HCR31" s="1266"/>
      <c r="HCS31" s="1266"/>
      <c r="HCT31" s="1266"/>
      <c r="HCU31" s="1266"/>
      <c r="HCV31" s="1266"/>
      <c r="HCW31" s="1266"/>
      <c r="HCX31" s="1266"/>
      <c r="HCY31" s="1266"/>
      <c r="HCZ31" s="1266"/>
      <c r="HDA31" s="1266"/>
      <c r="HDB31" s="1266"/>
      <c r="HDC31" s="1266"/>
      <c r="HDD31" s="1266"/>
      <c r="HDE31" s="1266"/>
      <c r="HDF31" s="1266"/>
      <c r="HDG31" s="1266"/>
      <c r="HDH31" s="1266"/>
      <c r="HDI31" s="1266"/>
      <c r="HDJ31" s="1266"/>
      <c r="HDK31" s="1266"/>
      <c r="HDL31" s="1266"/>
      <c r="HDM31" s="1266"/>
      <c r="HDN31" s="1266"/>
      <c r="HDO31" s="1266"/>
      <c r="HDP31" s="1266"/>
      <c r="HDQ31" s="1266"/>
      <c r="HDR31" s="1266"/>
      <c r="HDS31" s="1266"/>
      <c r="HDT31" s="1266"/>
      <c r="HDU31" s="1266"/>
      <c r="HDV31" s="1266"/>
      <c r="HDW31" s="1266"/>
      <c r="HDX31" s="1266"/>
      <c r="HDY31" s="1266"/>
      <c r="HDZ31" s="1266"/>
      <c r="HEA31" s="1266"/>
      <c r="HEB31" s="1266"/>
      <c r="HEC31" s="1266"/>
      <c r="HED31" s="1266"/>
      <c r="HEE31" s="1266"/>
      <c r="HEF31" s="1266"/>
      <c r="HEG31" s="1266"/>
      <c r="HEH31" s="1266"/>
      <c r="HEI31" s="1266"/>
      <c r="HEJ31" s="1266"/>
      <c r="HEK31" s="1266"/>
      <c r="HEL31" s="1266"/>
      <c r="HEM31" s="1266"/>
      <c r="HEN31" s="1266"/>
      <c r="HEO31" s="1266"/>
      <c r="HEP31" s="1266"/>
      <c r="HEQ31" s="1266"/>
      <c r="HER31" s="1266"/>
      <c r="HES31" s="1266"/>
      <c r="HET31" s="1266"/>
      <c r="HEU31" s="1266"/>
      <c r="HEV31" s="1266"/>
      <c r="HEW31" s="1266"/>
      <c r="HEX31" s="1266"/>
      <c r="HEY31" s="1266"/>
      <c r="HEZ31" s="1266"/>
      <c r="HFA31" s="1266"/>
      <c r="HFB31" s="1266"/>
      <c r="HFC31" s="1266"/>
      <c r="HFD31" s="1266"/>
      <c r="HFE31" s="1266"/>
      <c r="HFF31" s="1266"/>
      <c r="HFG31" s="1266"/>
      <c r="HFH31" s="1266"/>
      <c r="HFI31" s="1266"/>
      <c r="HFJ31" s="1266"/>
      <c r="HFK31" s="1266"/>
      <c r="HFL31" s="1266"/>
      <c r="HFM31" s="1266"/>
      <c r="HFN31" s="1266"/>
      <c r="HFO31" s="1266"/>
      <c r="HFP31" s="1266"/>
      <c r="HFQ31" s="1266"/>
      <c r="HFR31" s="1266"/>
      <c r="HFS31" s="1266"/>
      <c r="HFT31" s="1266"/>
      <c r="HFU31" s="1266"/>
      <c r="HFV31" s="1266"/>
      <c r="HFW31" s="1266"/>
      <c r="HFX31" s="1266"/>
      <c r="HFY31" s="1266"/>
      <c r="HFZ31" s="1266"/>
      <c r="HGA31" s="1266"/>
      <c r="HGB31" s="1266"/>
      <c r="HGC31" s="1266"/>
      <c r="HGD31" s="1266"/>
      <c r="HGE31" s="1266"/>
      <c r="HGF31" s="1266"/>
      <c r="HGG31" s="1266"/>
      <c r="HGH31" s="1266"/>
      <c r="HGI31" s="1266"/>
      <c r="HGJ31" s="1266"/>
      <c r="HGK31" s="1266"/>
      <c r="HGL31" s="1266"/>
      <c r="HGM31" s="1266"/>
      <c r="HGN31" s="1266"/>
      <c r="HGO31" s="1266"/>
      <c r="HGP31" s="1266"/>
      <c r="HGQ31" s="1266"/>
      <c r="HGR31" s="1266"/>
      <c r="HGS31" s="1266"/>
      <c r="HGT31" s="1266"/>
      <c r="HGU31" s="1266"/>
      <c r="HGV31" s="1266"/>
      <c r="HGW31" s="1266"/>
      <c r="HGX31" s="1266"/>
      <c r="HGY31" s="1266"/>
      <c r="HGZ31" s="1266"/>
      <c r="HHA31" s="1266"/>
      <c r="HHB31" s="1266"/>
      <c r="HHC31" s="1266"/>
      <c r="HHD31" s="1266"/>
      <c r="HHE31" s="1266"/>
      <c r="HHF31" s="1266"/>
      <c r="HHG31" s="1266"/>
      <c r="HHH31" s="1266"/>
      <c r="HHI31" s="1266"/>
      <c r="HHJ31" s="1266"/>
      <c r="HHK31" s="1266"/>
      <c r="HHL31" s="1266"/>
      <c r="HHM31" s="1266"/>
      <c r="HHN31" s="1266"/>
      <c r="HHO31" s="1266"/>
      <c r="HHP31" s="1266"/>
      <c r="HHQ31" s="1266"/>
      <c r="HHR31" s="1266"/>
      <c r="HHS31" s="1266"/>
      <c r="HHT31" s="1266"/>
      <c r="HHU31" s="1266"/>
      <c r="HHV31" s="1266"/>
      <c r="HHW31" s="1266"/>
      <c r="HHX31" s="1266"/>
      <c r="HHY31" s="1266"/>
      <c r="HHZ31" s="1266"/>
      <c r="HIA31" s="1266"/>
      <c r="HIB31" s="1266"/>
      <c r="HIC31" s="1266"/>
      <c r="HID31" s="1266"/>
      <c r="HIE31" s="1266"/>
      <c r="HIF31" s="1266"/>
      <c r="HIG31" s="1266"/>
      <c r="HIH31" s="1266"/>
      <c r="HII31" s="1266"/>
      <c r="HIJ31" s="1266"/>
      <c r="HIK31" s="1266"/>
      <c r="HIL31" s="1266"/>
      <c r="HIM31" s="1266"/>
      <c r="HIN31" s="1266"/>
      <c r="HIO31" s="1266"/>
      <c r="HIP31" s="1266"/>
      <c r="HIQ31" s="1266"/>
      <c r="HIR31" s="1266"/>
      <c r="HIS31" s="1266"/>
      <c r="HIT31" s="1266"/>
      <c r="HIU31" s="1266"/>
      <c r="HIV31" s="1266"/>
      <c r="HIW31" s="1266"/>
      <c r="HIX31" s="1266"/>
      <c r="HIY31" s="1266"/>
      <c r="HIZ31" s="1266"/>
      <c r="HJA31" s="1266"/>
      <c r="HJB31" s="1266"/>
      <c r="HJC31" s="1266"/>
      <c r="HJD31" s="1266"/>
      <c r="HJE31" s="1266"/>
      <c r="HJF31" s="1266"/>
      <c r="HJG31" s="1266"/>
      <c r="HJH31" s="1266"/>
      <c r="HJI31" s="1266"/>
      <c r="HJJ31" s="1266"/>
      <c r="HJK31" s="1266"/>
      <c r="HJL31" s="1266"/>
      <c r="HJM31" s="1266"/>
      <c r="HJN31" s="1266"/>
      <c r="HJO31" s="1266"/>
      <c r="HJP31" s="1266"/>
      <c r="HJQ31" s="1266"/>
      <c r="HJR31" s="1266"/>
      <c r="HJS31" s="1266"/>
      <c r="HJT31" s="1266"/>
      <c r="HJU31" s="1266"/>
      <c r="HJV31" s="1266"/>
      <c r="HJW31" s="1266"/>
      <c r="HJX31" s="1266"/>
      <c r="HJY31" s="1266"/>
      <c r="HJZ31" s="1266"/>
      <c r="HKA31" s="1266"/>
      <c r="HKB31" s="1266"/>
      <c r="HKC31" s="1266"/>
      <c r="HKD31" s="1266"/>
      <c r="HKE31" s="1266"/>
      <c r="HKF31" s="1266"/>
      <c r="HKG31" s="1266"/>
      <c r="HKH31" s="1266"/>
      <c r="HKI31" s="1266"/>
      <c r="HKJ31" s="1266"/>
      <c r="HKK31" s="1266"/>
      <c r="HKL31" s="1266"/>
      <c r="HKM31" s="1266"/>
      <c r="HKN31" s="1266"/>
      <c r="HKO31" s="1266"/>
      <c r="HKP31" s="1266"/>
      <c r="HKQ31" s="1266"/>
      <c r="HKR31" s="1266"/>
      <c r="HKS31" s="1266"/>
      <c r="HKT31" s="1266"/>
      <c r="HKU31" s="1266"/>
      <c r="HKV31" s="1266"/>
      <c r="HKW31" s="1266"/>
      <c r="HKX31" s="1266"/>
      <c r="HKY31" s="1266"/>
      <c r="HKZ31" s="1266"/>
      <c r="HLA31" s="1266"/>
      <c r="HLB31" s="1266"/>
      <c r="HLC31" s="1266"/>
      <c r="HLD31" s="1266"/>
      <c r="HLE31" s="1266"/>
      <c r="HLF31" s="1266"/>
      <c r="HLG31" s="1266"/>
      <c r="HLH31" s="1266"/>
      <c r="HLI31" s="1266"/>
      <c r="HLJ31" s="1266"/>
      <c r="HLK31" s="1266"/>
      <c r="HLL31" s="1266"/>
      <c r="HLM31" s="1266"/>
      <c r="HLN31" s="1266"/>
      <c r="HLO31" s="1266"/>
      <c r="HLP31" s="1266"/>
      <c r="HLQ31" s="1266"/>
      <c r="HLR31" s="1266"/>
      <c r="HLS31" s="1266"/>
      <c r="HLT31" s="1266"/>
      <c r="HLU31" s="1266"/>
      <c r="HLV31" s="1266"/>
      <c r="HLW31" s="1266"/>
      <c r="HLX31" s="1266"/>
      <c r="HLY31" s="1266"/>
      <c r="HLZ31" s="1266"/>
      <c r="HMA31" s="1266"/>
      <c r="HMB31" s="1266"/>
      <c r="HMC31" s="1266"/>
      <c r="HMD31" s="1266"/>
      <c r="HME31" s="1266"/>
      <c r="HMF31" s="1266"/>
      <c r="HMG31" s="1266"/>
      <c r="HMH31" s="1266"/>
      <c r="HMI31" s="1266"/>
      <c r="HMJ31" s="1266"/>
      <c r="HMK31" s="1266"/>
      <c r="HML31" s="1266"/>
      <c r="HMM31" s="1266"/>
      <c r="HMN31" s="1266"/>
      <c r="HMO31" s="1266"/>
      <c r="HMP31" s="1266"/>
      <c r="HMQ31" s="1266"/>
      <c r="HMR31" s="1266"/>
      <c r="HMS31" s="1266"/>
      <c r="HMT31" s="1266"/>
      <c r="HMU31" s="1266"/>
      <c r="HMV31" s="1266"/>
      <c r="HMW31" s="1266"/>
      <c r="HMX31" s="1266"/>
      <c r="HMY31" s="1266"/>
      <c r="HMZ31" s="1266"/>
      <c r="HNA31" s="1266"/>
      <c r="HNB31" s="1266"/>
      <c r="HNC31" s="1266"/>
      <c r="HND31" s="1266"/>
      <c r="HNE31" s="1266"/>
      <c r="HNF31" s="1266"/>
      <c r="HNG31" s="1266"/>
      <c r="HNH31" s="1266"/>
      <c r="HNI31" s="1266"/>
      <c r="HNJ31" s="1266"/>
      <c r="HNK31" s="1266"/>
      <c r="HNL31" s="1266"/>
      <c r="HNM31" s="1266"/>
      <c r="HNN31" s="1266"/>
      <c r="HNO31" s="1266"/>
      <c r="HNP31" s="1266"/>
      <c r="HNQ31" s="1266"/>
      <c r="HNR31" s="1266"/>
      <c r="HNS31" s="1266"/>
      <c r="HNT31" s="1266"/>
      <c r="HNU31" s="1266"/>
      <c r="HNV31" s="1266"/>
      <c r="HNW31" s="1266"/>
      <c r="HNX31" s="1266"/>
      <c r="HNY31" s="1266"/>
      <c r="HNZ31" s="1266"/>
      <c r="HOA31" s="1266"/>
      <c r="HOB31" s="1266"/>
      <c r="HOC31" s="1266"/>
      <c r="HOD31" s="1266"/>
      <c r="HOE31" s="1266"/>
      <c r="HOF31" s="1266"/>
      <c r="HOG31" s="1266"/>
      <c r="HOH31" s="1266"/>
      <c r="HOI31" s="1266"/>
      <c r="HOJ31" s="1266"/>
      <c r="HOK31" s="1266"/>
      <c r="HOL31" s="1266"/>
      <c r="HOM31" s="1266"/>
      <c r="HON31" s="1266"/>
      <c r="HOO31" s="1266"/>
      <c r="HOP31" s="1266"/>
      <c r="HOQ31" s="1266"/>
      <c r="HOR31" s="1266"/>
      <c r="HOS31" s="1266"/>
      <c r="HOT31" s="1266"/>
      <c r="HOU31" s="1266"/>
      <c r="HOV31" s="1266"/>
      <c r="HOW31" s="1266"/>
      <c r="HOX31" s="1266"/>
      <c r="HOY31" s="1266"/>
      <c r="HOZ31" s="1266"/>
      <c r="HPA31" s="1266"/>
      <c r="HPB31" s="1266"/>
      <c r="HPC31" s="1266"/>
      <c r="HPD31" s="1266"/>
      <c r="HPE31" s="1266"/>
      <c r="HPF31" s="1266"/>
      <c r="HPG31" s="1266"/>
      <c r="HPH31" s="1266"/>
      <c r="HPI31" s="1266"/>
      <c r="HPJ31" s="1266"/>
      <c r="HPK31" s="1266"/>
      <c r="HPL31" s="1266"/>
      <c r="HPM31" s="1266"/>
      <c r="HPN31" s="1266"/>
      <c r="HPO31" s="1266"/>
      <c r="HPP31" s="1266"/>
      <c r="HPQ31" s="1266"/>
      <c r="HPR31" s="1266"/>
      <c r="HPS31" s="1266"/>
      <c r="HPT31" s="1266"/>
      <c r="HPU31" s="1266"/>
      <c r="HPV31" s="1266"/>
      <c r="HPW31" s="1266"/>
      <c r="HPX31" s="1266"/>
      <c r="HPY31" s="1266"/>
      <c r="HPZ31" s="1266"/>
      <c r="HQA31" s="1266"/>
      <c r="HQB31" s="1266"/>
      <c r="HQC31" s="1266"/>
      <c r="HQD31" s="1266"/>
      <c r="HQE31" s="1266"/>
      <c r="HQF31" s="1266"/>
      <c r="HQG31" s="1266"/>
      <c r="HQH31" s="1266"/>
      <c r="HQI31" s="1266"/>
      <c r="HQJ31" s="1266"/>
      <c r="HQK31" s="1266"/>
      <c r="HQL31" s="1266"/>
      <c r="HQM31" s="1266"/>
      <c r="HQN31" s="1266"/>
      <c r="HQO31" s="1266"/>
      <c r="HQP31" s="1266"/>
      <c r="HQQ31" s="1266"/>
      <c r="HQR31" s="1266"/>
      <c r="HQS31" s="1266"/>
      <c r="HQT31" s="1266"/>
      <c r="HQU31" s="1266"/>
      <c r="HQV31" s="1266"/>
      <c r="HQW31" s="1266"/>
      <c r="HQX31" s="1266"/>
      <c r="HQY31" s="1266"/>
      <c r="HQZ31" s="1266"/>
      <c r="HRA31" s="1266"/>
      <c r="HRB31" s="1266"/>
      <c r="HRC31" s="1266"/>
      <c r="HRD31" s="1266"/>
      <c r="HRE31" s="1266"/>
      <c r="HRF31" s="1266"/>
      <c r="HRG31" s="1266"/>
      <c r="HRH31" s="1266"/>
      <c r="HRI31" s="1266"/>
      <c r="HRJ31" s="1266"/>
      <c r="HRK31" s="1266"/>
      <c r="HRL31" s="1266"/>
      <c r="HRM31" s="1266"/>
      <c r="HRN31" s="1266"/>
      <c r="HRO31" s="1266"/>
      <c r="HRP31" s="1266"/>
      <c r="HRQ31" s="1266"/>
      <c r="HRR31" s="1266"/>
      <c r="HRS31" s="1266"/>
      <c r="HRT31" s="1266"/>
      <c r="HRU31" s="1266"/>
      <c r="HRV31" s="1266"/>
      <c r="HRW31" s="1266"/>
      <c r="HRX31" s="1266"/>
      <c r="HRY31" s="1266"/>
      <c r="HRZ31" s="1266"/>
      <c r="HSA31" s="1266"/>
      <c r="HSB31" s="1266"/>
      <c r="HSC31" s="1266"/>
      <c r="HSD31" s="1266"/>
      <c r="HSE31" s="1266"/>
      <c r="HSF31" s="1266"/>
      <c r="HSG31" s="1266"/>
      <c r="HSH31" s="1266"/>
      <c r="HSI31" s="1266"/>
      <c r="HSJ31" s="1266"/>
      <c r="HSK31" s="1266"/>
      <c r="HSL31" s="1266"/>
      <c r="HSM31" s="1266"/>
      <c r="HSN31" s="1266"/>
      <c r="HSO31" s="1266"/>
      <c r="HSP31" s="1266"/>
      <c r="HSQ31" s="1266"/>
      <c r="HSR31" s="1266"/>
      <c r="HSS31" s="1266"/>
      <c r="HST31" s="1266"/>
      <c r="HSU31" s="1266"/>
      <c r="HSV31" s="1266"/>
      <c r="HSW31" s="1266"/>
      <c r="HSX31" s="1266"/>
      <c r="HSY31" s="1266"/>
      <c r="HSZ31" s="1266"/>
      <c r="HTA31" s="1266"/>
      <c r="HTB31" s="1266"/>
      <c r="HTC31" s="1266"/>
      <c r="HTD31" s="1266"/>
      <c r="HTE31" s="1266"/>
      <c r="HTF31" s="1266"/>
      <c r="HTG31" s="1266"/>
      <c r="HTH31" s="1266"/>
      <c r="HTI31" s="1266"/>
      <c r="HTJ31" s="1266"/>
      <c r="HTK31" s="1266"/>
      <c r="HTL31" s="1266"/>
      <c r="HTM31" s="1266"/>
      <c r="HTN31" s="1266"/>
      <c r="HTO31" s="1266"/>
      <c r="HTP31" s="1266"/>
      <c r="HTQ31" s="1266"/>
      <c r="HTR31" s="1266"/>
      <c r="HTS31" s="1266"/>
      <c r="HTT31" s="1266"/>
      <c r="HTU31" s="1266"/>
      <c r="HTV31" s="1266"/>
      <c r="HTW31" s="1266"/>
      <c r="HTX31" s="1266"/>
      <c r="HTY31" s="1266"/>
      <c r="HTZ31" s="1266"/>
      <c r="HUA31" s="1266"/>
      <c r="HUB31" s="1266"/>
      <c r="HUC31" s="1266"/>
      <c r="HUD31" s="1266"/>
      <c r="HUE31" s="1266"/>
      <c r="HUF31" s="1266"/>
      <c r="HUG31" s="1266"/>
      <c r="HUH31" s="1266"/>
      <c r="HUI31" s="1266"/>
      <c r="HUJ31" s="1266"/>
      <c r="HUK31" s="1266"/>
      <c r="HUL31" s="1266"/>
      <c r="HUM31" s="1266"/>
      <c r="HUN31" s="1266"/>
      <c r="HUO31" s="1266"/>
      <c r="HUP31" s="1266"/>
      <c r="HUQ31" s="1266"/>
      <c r="HUR31" s="1266"/>
      <c r="HUS31" s="1266"/>
      <c r="HUT31" s="1266"/>
      <c r="HUU31" s="1266"/>
      <c r="HUV31" s="1266"/>
      <c r="HUW31" s="1266"/>
      <c r="HUX31" s="1266"/>
      <c r="HUY31" s="1266"/>
      <c r="HUZ31" s="1266"/>
      <c r="HVA31" s="1266"/>
      <c r="HVB31" s="1266"/>
      <c r="HVC31" s="1266"/>
      <c r="HVD31" s="1266"/>
      <c r="HVE31" s="1266"/>
      <c r="HVF31" s="1266"/>
      <c r="HVG31" s="1266"/>
      <c r="HVH31" s="1266"/>
      <c r="HVI31" s="1266"/>
      <c r="HVJ31" s="1266"/>
      <c r="HVK31" s="1266"/>
      <c r="HVL31" s="1266"/>
      <c r="HVM31" s="1266"/>
      <c r="HVN31" s="1266"/>
      <c r="HVO31" s="1266"/>
      <c r="HVP31" s="1266"/>
      <c r="HVQ31" s="1266"/>
      <c r="HVR31" s="1266"/>
      <c r="HVS31" s="1266"/>
      <c r="HVT31" s="1266"/>
      <c r="HVU31" s="1266"/>
      <c r="HVV31" s="1266"/>
      <c r="HVW31" s="1266"/>
      <c r="HVX31" s="1266"/>
      <c r="HVY31" s="1266"/>
      <c r="HVZ31" s="1266"/>
      <c r="HWA31" s="1266"/>
      <c r="HWB31" s="1266"/>
      <c r="HWC31" s="1266"/>
      <c r="HWD31" s="1266"/>
      <c r="HWE31" s="1266"/>
      <c r="HWF31" s="1266"/>
      <c r="HWG31" s="1266"/>
      <c r="HWH31" s="1266"/>
      <c r="HWI31" s="1266"/>
      <c r="HWJ31" s="1266"/>
      <c r="HWK31" s="1266"/>
      <c r="HWL31" s="1266"/>
      <c r="HWM31" s="1266"/>
      <c r="HWN31" s="1266"/>
      <c r="HWO31" s="1266"/>
      <c r="HWP31" s="1266"/>
      <c r="HWQ31" s="1266"/>
      <c r="HWR31" s="1266"/>
      <c r="HWS31" s="1266"/>
      <c r="HWT31" s="1266"/>
      <c r="HWU31" s="1266"/>
      <c r="HWV31" s="1266"/>
      <c r="HWW31" s="1266"/>
      <c r="HWX31" s="1266"/>
      <c r="HWY31" s="1266"/>
      <c r="HWZ31" s="1266"/>
      <c r="HXA31" s="1266"/>
      <c r="HXB31" s="1266"/>
      <c r="HXC31" s="1266"/>
      <c r="HXD31" s="1266"/>
      <c r="HXE31" s="1266"/>
      <c r="HXF31" s="1266"/>
      <c r="HXG31" s="1266"/>
      <c r="HXH31" s="1266"/>
      <c r="HXI31" s="1266"/>
      <c r="HXJ31" s="1266"/>
      <c r="HXK31" s="1266"/>
      <c r="HXL31" s="1266"/>
      <c r="HXM31" s="1266"/>
      <c r="HXN31" s="1266"/>
      <c r="HXO31" s="1266"/>
      <c r="HXP31" s="1266"/>
      <c r="HXQ31" s="1266"/>
      <c r="HXR31" s="1266"/>
      <c r="HXS31" s="1266"/>
      <c r="HXT31" s="1266"/>
      <c r="HXU31" s="1266"/>
      <c r="HXV31" s="1266"/>
      <c r="HXW31" s="1266"/>
      <c r="HXX31" s="1266"/>
      <c r="HXY31" s="1266"/>
      <c r="HXZ31" s="1266"/>
      <c r="HYA31" s="1266"/>
      <c r="HYB31" s="1266"/>
      <c r="HYC31" s="1266"/>
      <c r="HYD31" s="1266"/>
      <c r="HYE31" s="1266"/>
      <c r="HYF31" s="1266"/>
      <c r="HYG31" s="1266"/>
      <c r="HYH31" s="1266"/>
      <c r="HYI31" s="1266"/>
      <c r="HYJ31" s="1266"/>
      <c r="HYK31" s="1266"/>
      <c r="HYL31" s="1266"/>
      <c r="HYM31" s="1266"/>
      <c r="HYN31" s="1266"/>
      <c r="HYO31" s="1266"/>
      <c r="HYP31" s="1266"/>
      <c r="HYQ31" s="1266"/>
      <c r="HYR31" s="1266"/>
      <c r="HYS31" s="1266"/>
      <c r="HYT31" s="1266"/>
      <c r="HYU31" s="1266"/>
      <c r="HYV31" s="1266"/>
      <c r="HYW31" s="1266"/>
      <c r="HYX31" s="1266"/>
      <c r="HYY31" s="1266"/>
      <c r="HYZ31" s="1266"/>
      <c r="HZA31" s="1266"/>
      <c r="HZB31" s="1266"/>
      <c r="HZC31" s="1266"/>
      <c r="HZD31" s="1266"/>
      <c r="HZE31" s="1266"/>
      <c r="HZF31" s="1266"/>
      <c r="HZG31" s="1266"/>
      <c r="HZH31" s="1266"/>
      <c r="HZI31" s="1266"/>
      <c r="HZJ31" s="1266"/>
      <c r="HZK31" s="1266"/>
      <c r="HZL31" s="1266"/>
      <c r="HZM31" s="1266"/>
      <c r="HZN31" s="1266"/>
      <c r="HZO31" s="1266"/>
      <c r="HZP31" s="1266"/>
      <c r="HZQ31" s="1266"/>
      <c r="HZR31" s="1266"/>
      <c r="HZS31" s="1266"/>
      <c r="HZT31" s="1266"/>
      <c r="HZU31" s="1266"/>
      <c r="HZV31" s="1266"/>
      <c r="HZW31" s="1266"/>
      <c r="HZX31" s="1266"/>
      <c r="HZY31" s="1266"/>
      <c r="HZZ31" s="1266"/>
      <c r="IAA31" s="1266"/>
      <c r="IAB31" s="1266"/>
      <c r="IAC31" s="1266"/>
      <c r="IAD31" s="1266"/>
      <c r="IAE31" s="1266"/>
      <c r="IAF31" s="1266"/>
      <c r="IAG31" s="1266"/>
      <c r="IAH31" s="1266"/>
      <c r="IAI31" s="1266"/>
      <c r="IAJ31" s="1266"/>
      <c r="IAK31" s="1266"/>
      <c r="IAL31" s="1266"/>
      <c r="IAM31" s="1266"/>
      <c r="IAN31" s="1266"/>
      <c r="IAO31" s="1266"/>
      <c r="IAP31" s="1266"/>
      <c r="IAQ31" s="1266"/>
      <c r="IAR31" s="1266"/>
      <c r="IAS31" s="1266"/>
      <c r="IAT31" s="1266"/>
      <c r="IAU31" s="1266"/>
      <c r="IAV31" s="1266"/>
      <c r="IAW31" s="1266"/>
      <c r="IAX31" s="1266"/>
      <c r="IAY31" s="1266"/>
      <c r="IAZ31" s="1266"/>
      <c r="IBA31" s="1266"/>
      <c r="IBB31" s="1266"/>
      <c r="IBC31" s="1266"/>
      <c r="IBD31" s="1266"/>
      <c r="IBE31" s="1266"/>
      <c r="IBF31" s="1266"/>
      <c r="IBG31" s="1266"/>
      <c r="IBH31" s="1266"/>
      <c r="IBI31" s="1266"/>
      <c r="IBJ31" s="1266"/>
      <c r="IBK31" s="1266"/>
      <c r="IBL31" s="1266"/>
      <c r="IBM31" s="1266"/>
      <c r="IBN31" s="1266"/>
      <c r="IBO31" s="1266"/>
      <c r="IBP31" s="1266"/>
      <c r="IBQ31" s="1266"/>
      <c r="IBR31" s="1266"/>
      <c r="IBS31" s="1266"/>
      <c r="IBT31" s="1266"/>
      <c r="IBU31" s="1266"/>
      <c r="IBV31" s="1266"/>
      <c r="IBW31" s="1266"/>
      <c r="IBX31" s="1266"/>
      <c r="IBY31" s="1266"/>
      <c r="IBZ31" s="1266"/>
      <c r="ICA31" s="1266"/>
      <c r="ICB31" s="1266"/>
      <c r="ICC31" s="1266"/>
      <c r="ICD31" s="1266"/>
      <c r="ICE31" s="1266"/>
      <c r="ICF31" s="1266"/>
      <c r="ICG31" s="1266"/>
      <c r="ICH31" s="1266"/>
      <c r="ICI31" s="1266"/>
      <c r="ICJ31" s="1266"/>
      <c r="ICK31" s="1266"/>
      <c r="ICL31" s="1266"/>
      <c r="ICM31" s="1266"/>
      <c r="ICN31" s="1266"/>
      <c r="ICO31" s="1266"/>
      <c r="ICP31" s="1266"/>
      <c r="ICQ31" s="1266"/>
      <c r="ICR31" s="1266"/>
      <c r="ICS31" s="1266"/>
      <c r="ICT31" s="1266"/>
      <c r="ICU31" s="1266"/>
      <c r="ICV31" s="1266"/>
      <c r="ICW31" s="1266"/>
      <c r="ICX31" s="1266"/>
      <c r="ICY31" s="1266"/>
      <c r="ICZ31" s="1266"/>
      <c r="IDA31" s="1266"/>
      <c r="IDB31" s="1266"/>
      <c r="IDC31" s="1266"/>
      <c r="IDD31" s="1266"/>
      <c r="IDE31" s="1266"/>
      <c r="IDF31" s="1266"/>
      <c r="IDG31" s="1266"/>
      <c r="IDH31" s="1266"/>
      <c r="IDI31" s="1266"/>
      <c r="IDJ31" s="1266"/>
      <c r="IDK31" s="1266"/>
      <c r="IDL31" s="1266"/>
      <c r="IDM31" s="1266"/>
      <c r="IDN31" s="1266"/>
      <c r="IDO31" s="1266"/>
      <c r="IDP31" s="1266"/>
      <c r="IDQ31" s="1266"/>
      <c r="IDR31" s="1266"/>
      <c r="IDS31" s="1266"/>
      <c r="IDT31" s="1266"/>
      <c r="IDU31" s="1266"/>
      <c r="IDV31" s="1266"/>
      <c r="IDW31" s="1266"/>
      <c r="IDX31" s="1266"/>
      <c r="IDY31" s="1266"/>
      <c r="IDZ31" s="1266"/>
      <c r="IEA31" s="1266"/>
      <c r="IEB31" s="1266"/>
      <c r="IEC31" s="1266"/>
      <c r="IED31" s="1266"/>
      <c r="IEE31" s="1266"/>
      <c r="IEF31" s="1266"/>
      <c r="IEG31" s="1266"/>
      <c r="IEH31" s="1266"/>
      <c r="IEI31" s="1266"/>
      <c r="IEJ31" s="1266"/>
      <c r="IEK31" s="1266"/>
      <c r="IEL31" s="1266"/>
      <c r="IEM31" s="1266"/>
      <c r="IEN31" s="1266"/>
      <c r="IEO31" s="1266"/>
      <c r="IEP31" s="1266"/>
      <c r="IEQ31" s="1266"/>
      <c r="IER31" s="1266"/>
      <c r="IES31" s="1266"/>
      <c r="IET31" s="1266"/>
      <c r="IEU31" s="1266"/>
      <c r="IEV31" s="1266"/>
      <c r="IEW31" s="1266"/>
      <c r="IEX31" s="1266"/>
      <c r="IEY31" s="1266"/>
      <c r="IEZ31" s="1266"/>
      <c r="IFA31" s="1266"/>
      <c r="IFB31" s="1266"/>
      <c r="IFC31" s="1266"/>
      <c r="IFD31" s="1266"/>
      <c r="IFE31" s="1266"/>
      <c r="IFF31" s="1266"/>
      <c r="IFG31" s="1266"/>
      <c r="IFH31" s="1266"/>
      <c r="IFI31" s="1266"/>
      <c r="IFJ31" s="1266"/>
      <c r="IFK31" s="1266"/>
      <c r="IFL31" s="1266"/>
      <c r="IFM31" s="1266"/>
      <c r="IFN31" s="1266"/>
      <c r="IFO31" s="1266"/>
      <c r="IFP31" s="1266"/>
      <c r="IFQ31" s="1266"/>
      <c r="IFR31" s="1266"/>
      <c r="IFS31" s="1266"/>
      <c r="IFT31" s="1266"/>
      <c r="IFU31" s="1266"/>
      <c r="IFV31" s="1266"/>
      <c r="IFW31" s="1266"/>
      <c r="IFX31" s="1266"/>
      <c r="IFY31" s="1266"/>
      <c r="IFZ31" s="1266"/>
      <c r="IGA31" s="1266"/>
      <c r="IGB31" s="1266"/>
      <c r="IGC31" s="1266"/>
      <c r="IGD31" s="1266"/>
      <c r="IGE31" s="1266"/>
      <c r="IGF31" s="1266"/>
      <c r="IGG31" s="1266"/>
      <c r="IGH31" s="1266"/>
      <c r="IGI31" s="1266"/>
      <c r="IGJ31" s="1266"/>
      <c r="IGK31" s="1266"/>
      <c r="IGL31" s="1266"/>
      <c r="IGM31" s="1266"/>
      <c r="IGN31" s="1266"/>
      <c r="IGO31" s="1266"/>
      <c r="IGP31" s="1266"/>
      <c r="IGQ31" s="1266"/>
      <c r="IGR31" s="1266"/>
      <c r="IGS31" s="1266"/>
      <c r="IGT31" s="1266"/>
      <c r="IGU31" s="1266"/>
      <c r="IGV31" s="1266"/>
      <c r="IGW31" s="1266"/>
      <c r="IGX31" s="1266"/>
      <c r="IGY31" s="1266"/>
      <c r="IGZ31" s="1266"/>
      <c r="IHA31" s="1266"/>
      <c r="IHB31" s="1266"/>
      <c r="IHC31" s="1266"/>
      <c r="IHD31" s="1266"/>
      <c r="IHE31" s="1266"/>
      <c r="IHF31" s="1266"/>
      <c r="IHG31" s="1266"/>
      <c r="IHH31" s="1266"/>
      <c r="IHI31" s="1266"/>
      <c r="IHJ31" s="1266"/>
      <c r="IHK31" s="1266"/>
      <c r="IHL31" s="1266"/>
      <c r="IHM31" s="1266"/>
      <c r="IHN31" s="1266"/>
      <c r="IHO31" s="1266"/>
      <c r="IHP31" s="1266"/>
      <c r="IHQ31" s="1266"/>
      <c r="IHR31" s="1266"/>
      <c r="IHS31" s="1266"/>
      <c r="IHT31" s="1266"/>
      <c r="IHU31" s="1266"/>
      <c r="IHV31" s="1266"/>
      <c r="IHW31" s="1266"/>
      <c r="IHX31" s="1266"/>
      <c r="IHY31" s="1266"/>
      <c r="IHZ31" s="1266"/>
      <c r="IIA31" s="1266"/>
      <c r="IIB31" s="1266"/>
      <c r="IIC31" s="1266"/>
      <c r="IID31" s="1266"/>
      <c r="IIE31" s="1266"/>
      <c r="IIF31" s="1266"/>
      <c r="IIG31" s="1266"/>
      <c r="IIH31" s="1266"/>
      <c r="III31" s="1266"/>
      <c r="IIJ31" s="1266"/>
      <c r="IIK31" s="1266"/>
      <c r="IIL31" s="1266"/>
      <c r="IIM31" s="1266"/>
      <c r="IIN31" s="1266"/>
      <c r="IIO31" s="1266"/>
      <c r="IIP31" s="1266"/>
      <c r="IIQ31" s="1266"/>
      <c r="IIR31" s="1266"/>
      <c r="IIS31" s="1266"/>
      <c r="IIT31" s="1266"/>
      <c r="IIU31" s="1266"/>
      <c r="IIV31" s="1266"/>
      <c r="IIW31" s="1266"/>
      <c r="IIX31" s="1266"/>
      <c r="IIY31" s="1266"/>
      <c r="IIZ31" s="1266"/>
      <c r="IJA31" s="1266"/>
      <c r="IJB31" s="1266"/>
      <c r="IJC31" s="1266"/>
      <c r="IJD31" s="1266"/>
      <c r="IJE31" s="1266"/>
      <c r="IJF31" s="1266"/>
      <c r="IJG31" s="1266"/>
      <c r="IJH31" s="1266"/>
      <c r="IJI31" s="1266"/>
      <c r="IJJ31" s="1266"/>
      <c r="IJK31" s="1266"/>
      <c r="IJL31" s="1266"/>
      <c r="IJM31" s="1266"/>
      <c r="IJN31" s="1266"/>
      <c r="IJO31" s="1266"/>
      <c r="IJP31" s="1266"/>
      <c r="IJQ31" s="1266"/>
      <c r="IJR31" s="1266"/>
      <c r="IJS31" s="1266"/>
      <c r="IJT31" s="1266"/>
      <c r="IJU31" s="1266"/>
      <c r="IJV31" s="1266"/>
      <c r="IJW31" s="1266"/>
      <c r="IJX31" s="1266"/>
      <c r="IJY31" s="1266"/>
      <c r="IJZ31" s="1266"/>
      <c r="IKA31" s="1266"/>
      <c r="IKB31" s="1266"/>
      <c r="IKC31" s="1266"/>
      <c r="IKD31" s="1266"/>
      <c r="IKE31" s="1266"/>
      <c r="IKF31" s="1266"/>
      <c r="IKG31" s="1266"/>
      <c r="IKH31" s="1266"/>
      <c r="IKI31" s="1266"/>
      <c r="IKJ31" s="1266"/>
      <c r="IKK31" s="1266"/>
      <c r="IKL31" s="1266"/>
      <c r="IKM31" s="1266"/>
      <c r="IKN31" s="1266"/>
      <c r="IKO31" s="1266"/>
      <c r="IKP31" s="1266"/>
      <c r="IKQ31" s="1266"/>
      <c r="IKR31" s="1266"/>
      <c r="IKS31" s="1266"/>
      <c r="IKT31" s="1266"/>
      <c r="IKU31" s="1266"/>
      <c r="IKV31" s="1266"/>
      <c r="IKW31" s="1266"/>
      <c r="IKX31" s="1266"/>
      <c r="IKY31" s="1266"/>
      <c r="IKZ31" s="1266"/>
      <c r="ILA31" s="1266"/>
      <c r="ILB31" s="1266"/>
      <c r="ILC31" s="1266"/>
      <c r="ILD31" s="1266"/>
      <c r="ILE31" s="1266"/>
      <c r="ILF31" s="1266"/>
      <c r="ILG31" s="1266"/>
      <c r="ILH31" s="1266"/>
      <c r="ILI31" s="1266"/>
      <c r="ILJ31" s="1266"/>
      <c r="ILK31" s="1266"/>
      <c r="ILL31" s="1266"/>
      <c r="ILM31" s="1266"/>
      <c r="ILN31" s="1266"/>
      <c r="ILO31" s="1266"/>
      <c r="ILP31" s="1266"/>
      <c r="ILQ31" s="1266"/>
      <c r="ILR31" s="1266"/>
      <c r="ILS31" s="1266"/>
      <c r="ILT31" s="1266"/>
      <c r="ILU31" s="1266"/>
      <c r="ILV31" s="1266"/>
      <c r="ILW31" s="1266"/>
      <c r="ILX31" s="1266"/>
      <c r="ILY31" s="1266"/>
      <c r="ILZ31" s="1266"/>
      <c r="IMA31" s="1266"/>
      <c r="IMB31" s="1266"/>
      <c r="IMC31" s="1266"/>
      <c r="IMD31" s="1266"/>
      <c r="IME31" s="1266"/>
      <c r="IMF31" s="1266"/>
      <c r="IMG31" s="1266"/>
      <c r="IMH31" s="1266"/>
      <c r="IMI31" s="1266"/>
      <c r="IMJ31" s="1266"/>
      <c r="IMK31" s="1266"/>
      <c r="IML31" s="1266"/>
      <c r="IMM31" s="1266"/>
      <c r="IMN31" s="1266"/>
      <c r="IMO31" s="1266"/>
      <c r="IMP31" s="1266"/>
      <c r="IMQ31" s="1266"/>
      <c r="IMR31" s="1266"/>
      <c r="IMS31" s="1266"/>
      <c r="IMT31" s="1266"/>
      <c r="IMU31" s="1266"/>
      <c r="IMV31" s="1266"/>
      <c r="IMW31" s="1266"/>
      <c r="IMX31" s="1266"/>
      <c r="IMY31" s="1266"/>
      <c r="IMZ31" s="1266"/>
      <c r="INA31" s="1266"/>
      <c r="INB31" s="1266"/>
      <c r="INC31" s="1266"/>
      <c r="IND31" s="1266"/>
      <c r="INE31" s="1266"/>
      <c r="INF31" s="1266"/>
      <c r="ING31" s="1266"/>
      <c r="INH31" s="1266"/>
      <c r="INI31" s="1266"/>
      <c r="INJ31" s="1266"/>
      <c r="INK31" s="1266"/>
      <c r="INL31" s="1266"/>
      <c r="INM31" s="1266"/>
      <c r="INN31" s="1266"/>
      <c r="INO31" s="1266"/>
      <c r="INP31" s="1266"/>
      <c r="INQ31" s="1266"/>
      <c r="INR31" s="1266"/>
      <c r="INS31" s="1266"/>
      <c r="INT31" s="1266"/>
      <c r="INU31" s="1266"/>
      <c r="INV31" s="1266"/>
      <c r="INW31" s="1266"/>
      <c r="INX31" s="1266"/>
      <c r="INY31" s="1266"/>
      <c r="INZ31" s="1266"/>
      <c r="IOA31" s="1266"/>
      <c r="IOB31" s="1266"/>
      <c r="IOC31" s="1266"/>
      <c r="IOD31" s="1266"/>
      <c r="IOE31" s="1266"/>
      <c r="IOF31" s="1266"/>
      <c r="IOG31" s="1266"/>
      <c r="IOH31" s="1266"/>
      <c r="IOI31" s="1266"/>
      <c r="IOJ31" s="1266"/>
      <c r="IOK31" s="1266"/>
      <c r="IOL31" s="1266"/>
      <c r="IOM31" s="1266"/>
      <c r="ION31" s="1266"/>
      <c r="IOO31" s="1266"/>
      <c r="IOP31" s="1266"/>
      <c r="IOQ31" s="1266"/>
      <c r="IOR31" s="1266"/>
      <c r="IOS31" s="1266"/>
      <c r="IOT31" s="1266"/>
      <c r="IOU31" s="1266"/>
      <c r="IOV31" s="1266"/>
      <c r="IOW31" s="1266"/>
      <c r="IOX31" s="1266"/>
      <c r="IOY31" s="1266"/>
      <c r="IOZ31" s="1266"/>
      <c r="IPA31" s="1266"/>
      <c r="IPB31" s="1266"/>
      <c r="IPC31" s="1266"/>
      <c r="IPD31" s="1266"/>
      <c r="IPE31" s="1266"/>
      <c r="IPF31" s="1266"/>
      <c r="IPG31" s="1266"/>
      <c r="IPH31" s="1266"/>
      <c r="IPI31" s="1266"/>
      <c r="IPJ31" s="1266"/>
      <c r="IPK31" s="1266"/>
      <c r="IPL31" s="1266"/>
      <c r="IPM31" s="1266"/>
      <c r="IPN31" s="1266"/>
      <c r="IPO31" s="1266"/>
      <c r="IPP31" s="1266"/>
      <c r="IPQ31" s="1266"/>
      <c r="IPR31" s="1266"/>
      <c r="IPS31" s="1266"/>
      <c r="IPT31" s="1266"/>
      <c r="IPU31" s="1266"/>
      <c r="IPV31" s="1266"/>
      <c r="IPW31" s="1266"/>
      <c r="IPX31" s="1266"/>
      <c r="IPY31" s="1266"/>
      <c r="IPZ31" s="1266"/>
      <c r="IQA31" s="1266"/>
      <c r="IQB31" s="1266"/>
      <c r="IQC31" s="1266"/>
      <c r="IQD31" s="1266"/>
      <c r="IQE31" s="1266"/>
      <c r="IQF31" s="1266"/>
      <c r="IQG31" s="1266"/>
      <c r="IQH31" s="1266"/>
      <c r="IQI31" s="1266"/>
      <c r="IQJ31" s="1266"/>
      <c r="IQK31" s="1266"/>
      <c r="IQL31" s="1266"/>
      <c r="IQM31" s="1266"/>
      <c r="IQN31" s="1266"/>
      <c r="IQO31" s="1266"/>
      <c r="IQP31" s="1266"/>
      <c r="IQQ31" s="1266"/>
      <c r="IQR31" s="1266"/>
      <c r="IQS31" s="1266"/>
      <c r="IQT31" s="1266"/>
      <c r="IQU31" s="1266"/>
      <c r="IQV31" s="1266"/>
      <c r="IQW31" s="1266"/>
      <c r="IQX31" s="1266"/>
      <c r="IQY31" s="1266"/>
      <c r="IQZ31" s="1266"/>
      <c r="IRA31" s="1266"/>
      <c r="IRB31" s="1266"/>
      <c r="IRC31" s="1266"/>
      <c r="IRD31" s="1266"/>
      <c r="IRE31" s="1266"/>
      <c r="IRF31" s="1266"/>
      <c r="IRG31" s="1266"/>
      <c r="IRH31" s="1266"/>
      <c r="IRI31" s="1266"/>
      <c r="IRJ31" s="1266"/>
      <c r="IRK31" s="1266"/>
      <c r="IRL31" s="1266"/>
      <c r="IRM31" s="1266"/>
      <c r="IRN31" s="1266"/>
      <c r="IRO31" s="1266"/>
      <c r="IRP31" s="1266"/>
      <c r="IRQ31" s="1266"/>
      <c r="IRR31" s="1266"/>
      <c r="IRS31" s="1266"/>
      <c r="IRT31" s="1266"/>
      <c r="IRU31" s="1266"/>
      <c r="IRV31" s="1266"/>
      <c r="IRW31" s="1266"/>
      <c r="IRX31" s="1266"/>
      <c r="IRY31" s="1266"/>
      <c r="IRZ31" s="1266"/>
      <c r="ISA31" s="1266"/>
      <c r="ISB31" s="1266"/>
      <c r="ISC31" s="1266"/>
      <c r="ISD31" s="1266"/>
      <c r="ISE31" s="1266"/>
      <c r="ISF31" s="1266"/>
      <c r="ISG31" s="1266"/>
      <c r="ISH31" s="1266"/>
      <c r="ISI31" s="1266"/>
      <c r="ISJ31" s="1266"/>
      <c r="ISK31" s="1266"/>
      <c r="ISL31" s="1266"/>
      <c r="ISM31" s="1266"/>
      <c r="ISN31" s="1266"/>
      <c r="ISO31" s="1266"/>
      <c r="ISP31" s="1266"/>
      <c r="ISQ31" s="1266"/>
      <c r="ISR31" s="1266"/>
      <c r="ISS31" s="1266"/>
      <c r="IST31" s="1266"/>
      <c r="ISU31" s="1266"/>
      <c r="ISV31" s="1266"/>
      <c r="ISW31" s="1266"/>
      <c r="ISX31" s="1266"/>
      <c r="ISY31" s="1266"/>
      <c r="ISZ31" s="1266"/>
      <c r="ITA31" s="1266"/>
      <c r="ITB31" s="1266"/>
      <c r="ITC31" s="1266"/>
      <c r="ITD31" s="1266"/>
      <c r="ITE31" s="1266"/>
      <c r="ITF31" s="1266"/>
      <c r="ITG31" s="1266"/>
      <c r="ITH31" s="1266"/>
      <c r="ITI31" s="1266"/>
      <c r="ITJ31" s="1266"/>
      <c r="ITK31" s="1266"/>
      <c r="ITL31" s="1266"/>
      <c r="ITM31" s="1266"/>
      <c r="ITN31" s="1266"/>
      <c r="ITO31" s="1266"/>
      <c r="ITP31" s="1266"/>
      <c r="ITQ31" s="1266"/>
      <c r="ITR31" s="1266"/>
      <c r="ITS31" s="1266"/>
      <c r="ITT31" s="1266"/>
      <c r="ITU31" s="1266"/>
      <c r="ITV31" s="1266"/>
      <c r="ITW31" s="1266"/>
      <c r="ITX31" s="1266"/>
      <c r="ITY31" s="1266"/>
      <c r="ITZ31" s="1266"/>
      <c r="IUA31" s="1266"/>
      <c r="IUB31" s="1266"/>
      <c r="IUC31" s="1266"/>
      <c r="IUD31" s="1266"/>
      <c r="IUE31" s="1266"/>
      <c r="IUF31" s="1266"/>
      <c r="IUG31" s="1266"/>
      <c r="IUH31" s="1266"/>
      <c r="IUI31" s="1266"/>
      <c r="IUJ31" s="1266"/>
      <c r="IUK31" s="1266"/>
      <c r="IUL31" s="1266"/>
      <c r="IUM31" s="1266"/>
      <c r="IUN31" s="1266"/>
      <c r="IUO31" s="1266"/>
      <c r="IUP31" s="1266"/>
      <c r="IUQ31" s="1266"/>
      <c r="IUR31" s="1266"/>
      <c r="IUS31" s="1266"/>
      <c r="IUT31" s="1266"/>
      <c r="IUU31" s="1266"/>
      <c r="IUV31" s="1266"/>
      <c r="IUW31" s="1266"/>
      <c r="IUX31" s="1266"/>
      <c r="IUY31" s="1266"/>
      <c r="IUZ31" s="1266"/>
      <c r="IVA31" s="1266"/>
      <c r="IVB31" s="1266"/>
      <c r="IVC31" s="1266"/>
      <c r="IVD31" s="1266"/>
      <c r="IVE31" s="1266"/>
      <c r="IVF31" s="1266"/>
      <c r="IVG31" s="1266"/>
      <c r="IVH31" s="1266"/>
      <c r="IVI31" s="1266"/>
      <c r="IVJ31" s="1266"/>
      <c r="IVK31" s="1266"/>
      <c r="IVL31" s="1266"/>
      <c r="IVM31" s="1266"/>
      <c r="IVN31" s="1266"/>
      <c r="IVO31" s="1266"/>
      <c r="IVP31" s="1266"/>
      <c r="IVQ31" s="1266"/>
      <c r="IVR31" s="1266"/>
      <c r="IVS31" s="1266"/>
      <c r="IVT31" s="1266"/>
      <c r="IVU31" s="1266"/>
      <c r="IVV31" s="1266"/>
      <c r="IVW31" s="1266"/>
      <c r="IVX31" s="1266"/>
      <c r="IVY31" s="1266"/>
      <c r="IVZ31" s="1266"/>
      <c r="IWA31" s="1266"/>
      <c r="IWB31" s="1266"/>
      <c r="IWC31" s="1266"/>
      <c r="IWD31" s="1266"/>
      <c r="IWE31" s="1266"/>
      <c r="IWF31" s="1266"/>
      <c r="IWG31" s="1266"/>
      <c r="IWH31" s="1266"/>
      <c r="IWI31" s="1266"/>
      <c r="IWJ31" s="1266"/>
      <c r="IWK31" s="1266"/>
      <c r="IWL31" s="1266"/>
      <c r="IWM31" s="1266"/>
      <c r="IWN31" s="1266"/>
      <c r="IWO31" s="1266"/>
      <c r="IWP31" s="1266"/>
      <c r="IWQ31" s="1266"/>
      <c r="IWR31" s="1266"/>
      <c r="IWS31" s="1266"/>
      <c r="IWT31" s="1266"/>
      <c r="IWU31" s="1266"/>
      <c r="IWV31" s="1266"/>
      <c r="IWW31" s="1266"/>
      <c r="IWX31" s="1266"/>
      <c r="IWY31" s="1266"/>
      <c r="IWZ31" s="1266"/>
      <c r="IXA31" s="1266"/>
      <c r="IXB31" s="1266"/>
      <c r="IXC31" s="1266"/>
      <c r="IXD31" s="1266"/>
      <c r="IXE31" s="1266"/>
      <c r="IXF31" s="1266"/>
      <c r="IXG31" s="1266"/>
      <c r="IXH31" s="1266"/>
      <c r="IXI31" s="1266"/>
      <c r="IXJ31" s="1266"/>
      <c r="IXK31" s="1266"/>
      <c r="IXL31" s="1266"/>
      <c r="IXM31" s="1266"/>
      <c r="IXN31" s="1266"/>
      <c r="IXO31" s="1266"/>
      <c r="IXP31" s="1266"/>
      <c r="IXQ31" s="1266"/>
      <c r="IXR31" s="1266"/>
      <c r="IXS31" s="1266"/>
      <c r="IXT31" s="1266"/>
      <c r="IXU31" s="1266"/>
      <c r="IXV31" s="1266"/>
      <c r="IXW31" s="1266"/>
      <c r="IXX31" s="1266"/>
      <c r="IXY31" s="1266"/>
      <c r="IXZ31" s="1266"/>
      <c r="IYA31" s="1266"/>
      <c r="IYB31" s="1266"/>
      <c r="IYC31" s="1266"/>
      <c r="IYD31" s="1266"/>
      <c r="IYE31" s="1266"/>
      <c r="IYF31" s="1266"/>
      <c r="IYG31" s="1266"/>
      <c r="IYH31" s="1266"/>
      <c r="IYI31" s="1266"/>
      <c r="IYJ31" s="1266"/>
      <c r="IYK31" s="1266"/>
      <c r="IYL31" s="1266"/>
      <c r="IYM31" s="1266"/>
      <c r="IYN31" s="1266"/>
      <c r="IYO31" s="1266"/>
      <c r="IYP31" s="1266"/>
      <c r="IYQ31" s="1266"/>
      <c r="IYR31" s="1266"/>
      <c r="IYS31" s="1266"/>
      <c r="IYT31" s="1266"/>
      <c r="IYU31" s="1266"/>
      <c r="IYV31" s="1266"/>
      <c r="IYW31" s="1266"/>
      <c r="IYX31" s="1266"/>
      <c r="IYY31" s="1266"/>
      <c r="IYZ31" s="1266"/>
      <c r="IZA31" s="1266"/>
      <c r="IZB31" s="1266"/>
      <c r="IZC31" s="1266"/>
      <c r="IZD31" s="1266"/>
      <c r="IZE31" s="1266"/>
      <c r="IZF31" s="1266"/>
      <c r="IZG31" s="1266"/>
      <c r="IZH31" s="1266"/>
      <c r="IZI31" s="1266"/>
      <c r="IZJ31" s="1266"/>
      <c r="IZK31" s="1266"/>
      <c r="IZL31" s="1266"/>
      <c r="IZM31" s="1266"/>
      <c r="IZN31" s="1266"/>
      <c r="IZO31" s="1266"/>
      <c r="IZP31" s="1266"/>
      <c r="IZQ31" s="1266"/>
      <c r="IZR31" s="1266"/>
      <c r="IZS31" s="1266"/>
      <c r="IZT31" s="1266"/>
      <c r="IZU31" s="1266"/>
      <c r="IZV31" s="1266"/>
      <c r="IZW31" s="1266"/>
      <c r="IZX31" s="1266"/>
      <c r="IZY31" s="1266"/>
      <c r="IZZ31" s="1266"/>
      <c r="JAA31" s="1266"/>
      <c r="JAB31" s="1266"/>
      <c r="JAC31" s="1266"/>
      <c r="JAD31" s="1266"/>
      <c r="JAE31" s="1266"/>
      <c r="JAF31" s="1266"/>
      <c r="JAG31" s="1266"/>
      <c r="JAH31" s="1266"/>
      <c r="JAI31" s="1266"/>
      <c r="JAJ31" s="1266"/>
      <c r="JAK31" s="1266"/>
      <c r="JAL31" s="1266"/>
      <c r="JAM31" s="1266"/>
      <c r="JAN31" s="1266"/>
      <c r="JAO31" s="1266"/>
      <c r="JAP31" s="1266"/>
      <c r="JAQ31" s="1266"/>
      <c r="JAR31" s="1266"/>
      <c r="JAS31" s="1266"/>
      <c r="JAT31" s="1266"/>
      <c r="JAU31" s="1266"/>
      <c r="JAV31" s="1266"/>
      <c r="JAW31" s="1266"/>
      <c r="JAX31" s="1266"/>
      <c r="JAY31" s="1266"/>
      <c r="JAZ31" s="1266"/>
      <c r="JBA31" s="1266"/>
      <c r="JBB31" s="1266"/>
      <c r="JBC31" s="1266"/>
      <c r="JBD31" s="1266"/>
      <c r="JBE31" s="1266"/>
      <c r="JBF31" s="1266"/>
      <c r="JBG31" s="1266"/>
      <c r="JBH31" s="1266"/>
      <c r="JBI31" s="1266"/>
      <c r="JBJ31" s="1266"/>
      <c r="JBK31" s="1266"/>
      <c r="JBL31" s="1266"/>
      <c r="JBM31" s="1266"/>
      <c r="JBN31" s="1266"/>
      <c r="JBO31" s="1266"/>
      <c r="JBP31" s="1266"/>
      <c r="JBQ31" s="1266"/>
      <c r="JBR31" s="1266"/>
      <c r="JBS31" s="1266"/>
      <c r="JBT31" s="1266"/>
      <c r="JBU31" s="1266"/>
      <c r="JBV31" s="1266"/>
      <c r="JBW31" s="1266"/>
      <c r="JBX31" s="1266"/>
      <c r="JBY31" s="1266"/>
      <c r="JBZ31" s="1266"/>
      <c r="JCA31" s="1266"/>
      <c r="JCB31" s="1266"/>
      <c r="JCC31" s="1266"/>
      <c r="JCD31" s="1266"/>
      <c r="JCE31" s="1266"/>
      <c r="JCF31" s="1266"/>
      <c r="JCG31" s="1266"/>
      <c r="JCH31" s="1266"/>
      <c r="JCI31" s="1266"/>
      <c r="JCJ31" s="1266"/>
      <c r="JCK31" s="1266"/>
      <c r="JCL31" s="1266"/>
      <c r="JCM31" s="1266"/>
      <c r="JCN31" s="1266"/>
      <c r="JCO31" s="1266"/>
      <c r="JCP31" s="1266"/>
      <c r="JCQ31" s="1266"/>
      <c r="JCR31" s="1266"/>
      <c r="JCS31" s="1266"/>
      <c r="JCT31" s="1266"/>
      <c r="JCU31" s="1266"/>
      <c r="JCV31" s="1266"/>
      <c r="JCW31" s="1266"/>
      <c r="JCX31" s="1266"/>
      <c r="JCY31" s="1266"/>
      <c r="JCZ31" s="1266"/>
      <c r="JDA31" s="1266"/>
      <c r="JDB31" s="1266"/>
      <c r="JDC31" s="1266"/>
      <c r="JDD31" s="1266"/>
      <c r="JDE31" s="1266"/>
      <c r="JDF31" s="1266"/>
      <c r="JDG31" s="1266"/>
      <c r="JDH31" s="1266"/>
      <c r="JDI31" s="1266"/>
      <c r="JDJ31" s="1266"/>
      <c r="JDK31" s="1266"/>
      <c r="JDL31" s="1266"/>
      <c r="JDM31" s="1266"/>
      <c r="JDN31" s="1266"/>
      <c r="JDO31" s="1266"/>
      <c r="JDP31" s="1266"/>
      <c r="JDQ31" s="1266"/>
      <c r="JDR31" s="1266"/>
      <c r="JDS31" s="1266"/>
      <c r="JDT31" s="1266"/>
      <c r="JDU31" s="1266"/>
      <c r="JDV31" s="1266"/>
      <c r="JDW31" s="1266"/>
      <c r="JDX31" s="1266"/>
      <c r="JDY31" s="1266"/>
      <c r="JDZ31" s="1266"/>
      <c r="JEA31" s="1266"/>
      <c r="JEB31" s="1266"/>
      <c r="JEC31" s="1266"/>
      <c r="JED31" s="1266"/>
      <c r="JEE31" s="1266"/>
      <c r="JEF31" s="1266"/>
      <c r="JEG31" s="1266"/>
      <c r="JEH31" s="1266"/>
      <c r="JEI31" s="1266"/>
      <c r="JEJ31" s="1266"/>
      <c r="JEK31" s="1266"/>
      <c r="JEL31" s="1266"/>
      <c r="JEM31" s="1266"/>
      <c r="JEN31" s="1266"/>
      <c r="JEO31" s="1266"/>
      <c r="JEP31" s="1266"/>
      <c r="JEQ31" s="1266"/>
      <c r="JER31" s="1266"/>
      <c r="JES31" s="1266"/>
      <c r="JET31" s="1266"/>
      <c r="JEU31" s="1266"/>
      <c r="JEV31" s="1266"/>
      <c r="JEW31" s="1266"/>
      <c r="JEX31" s="1266"/>
      <c r="JEY31" s="1266"/>
      <c r="JEZ31" s="1266"/>
      <c r="JFA31" s="1266"/>
      <c r="JFB31" s="1266"/>
      <c r="JFC31" s="1266"/>
      <c r="JFD31" s="1266"/>
      <c r="JFE31" s="1266"/>
      <c r="JFF31" s="1266"/>
      <c r="JFG31" s="1266"/>
      <c r="JFH31" s="1266"/>
      <c r="JFI31" s="1266"/>
      <c r="JFJ31" s="1266"/>
      <c r="JFK31" s="1266"/>
      <c r="JFL31" s="1266"/>
      <c r="JFM31" s="1266"/>
      <c r="JFN31" s="1266"/>
      <c r="JFO31" s="1266"/>
      <c r="JFP31" s="1266"/>
      <c r="JFQ31" s="1266"/>
      <c r="JFR31" s="1266"/>
      <c r="JFS31" s="1266"/>
      <c r="JFT31" s="1266"/>
      <c r="JFU31" s="1266"/>
      <c r="JFV31" s="1266"/>
      <c r="JFW31" s="1266"/>
      <c r="JFX31" s="1266"/>
      <c r="JFY31" s="1266"/>
      <c r="JFZ31" s="1266"/>
      <c r="JGA31" s="1266"/>
      <c r="JGB31" s="1266"/>
      <c r="JGC31" s="1266"/>
      <c r="JGD31" s="1266"/>
      <c r="JGE31" s="1266"/>
      <c r="JGF31" s="1266"/>
      <c r="JGG31" s="1266"/>
      <c r="JGH31" s="1266"/>
      <c r="JGI31" s="1266"/>
      <c r="JGJ31" s="1266"/>
      <c r="JGK31" s="1266"/>
      <c r="JGL31" s="1266"/>
      <c r="JGM31" s="1266"/>
      <c r="JGN31" s="1266"/>
      <c r="JGO31" s="1266"/>
      <c r="JGP31" s="1266"/>
      <c r="JGQ31" s="1266"/>
      <c r="JGR31" s="1266"/>
      <c r="JGS31" s="1266"/>
      <c r="JGT31" s="1266"/>
      <c r="JGU31" s="1266"/>
      <c r="JGV31" s="1266"/>
      <c r="JGW31" s="1266"/>
      <c r="JGX31" s="1266"/>
      <c r="JGY31" s="1266"/>
      <c r="JGZ31" s="1266"/>
      <c r="JHA31" s="1266"/>
      <c r="JHB31" s="1266"/>
      <c r="JHC31" s="1266"/>
      <c r="JHD31" s="1266"/>
      <c r="JHE31" s="1266"/>
      <c r="JHF31" s="1266"/>
      <c r="JHG31" s="1266"/>
      <c r="JHH31" s="1266"/>
      <c r="JHI31" s="1266"/>
      <c r="JHJ31" s="1266"/>
      <c r="JHK31" s="1266"/>
      <c r="JHL31" s="1266"/>
      <c r="JHM31" s="1266"/>
      <c r="JHN31" s="1266"/>
      <c r="JHO31" s="1266"/>
      <c r="JHP31" s="1266"/>
      <c r="JHQ31" s="1266"/>
      <c r="JHR31" s="1266"/>
      <c r="JHS31" s="1266"/>
      <c r="JHT31" s="1266"/>
      <c r="JHU31" s="1266"/>
      <c r="JHV31" s="1266"/>
      <c r="JHW31" s="1266"/>
      <c r="JHX31" s="1266"/>
      <c r="JHY31" s="1266"/>
      <c r="JHZ31" s="1266"/>
      <c r="JIA31" s="1266"/>
      <c r="JIB31" s="1266"/>
      <c r="JIC31" s="1266"/>
      <c r="JID31" s="1266"/>
      <c r="JIE31" s="1266"/>
      <c r="JIF31" s="1266"/>
      <c r="JIG31" s="1266"/>
      <c r="JIH31" s="1266"/>
      <c r="JII31" s="1266"/>
      <c r="JIJ31" s="1266"/>
      <c r="JIK31" s="1266"/>
      <c r="JIL31" s="1266"/>
      <c r="JIM31" s="1266"/>
      <c r="JIN31" s="1266"/>
      <c r="JIO31" s="1266"/>
      <c r="JIP31" s="1266"/>
      <c r="JIQ31" s="1266"/>
      <c r="JIR31" s="1266"/>
      <c r="JIS31" s="1266"/>
      <c r="JIT31" s="1266"/>
      <c r="JIU31" s="1266"/>
      <c r="JIV31" s="1266"/>
      <c r="JIW31" s="1266"/>
      <c r="JIX31" s="1266"/>
      <c r="JIY31" s="1266"/>
      <c r="JIZ31" s="1266"/>
      <c r="JJA31" s="1266"/>
      <c r="JJB31" s="1266"/>
      <c r="JJC31" s="1266"/>
      <c r="JJD31" s="1266"/>
      <c r="JJE31" s="1266"/>
      <c r="JJF31" s="1266"/>
      <c r="JJG31" s="1266"/>
      <c r="JJH31" s="1266"/>
      <c r="JJI31" s="1266"/>
      <c r="JJJ31" s="1266"/>
      <c r="JJK31" s="1266"/>
      <c r="JJL31" s="1266"/>
      <c r="JJM31" s="1266"/>
      <c r="JJN31" s="1266"/>
      <c r="JJO31" s="1266"/>
      <c r="JJP31" s="1266"/>
      <c r="JJQ31" s="1266"/>
      <c r="JJR31" s="1266"/>
      <c r="JJS31" s="1266"/>
      <c r="JJT31" s="1266"/>
      <c r="JJU31" s="1266"/>
      <c r="JJV31" s="1266"/>
      <c r="JJW31" s="1266"/>
      <c r="JJX31" s="1266"/>
      <c r="JJY31" s="1266"/>
      <c r="JJZ31" s="1266"/>
      <c r="JKA31" s="1266"/>
      <c r="JKB31" s="1266"/>
      <c r="JKC31" s="1266"/>
      <c r="JKD31" s="1266"/>
      <c r="JKE31" s="1266"/>
      <c r="JKF31" s="1266"/>
      <c r="JKG31" s="1266"/>
      <c r="JKH31" s="1266"/>
      <c r="JKI31" s="1266"/>
      <c r="JKJ31" s="1266"/>
      <c r="JKK31" s="1266"/>
      <c r="JKL31" s="1266"/>
      <c r="JKM31" s="1266"/>
      <c r="JKN31" s="1266"/>
      <c r="JKO31" s="1266"/>
      <c r="JKP31" s="1266"/>
      <c r="JKQ31" s="1266"/>
      <c r="JKR31" s="1266"/>
      <c r="JKS31" s="1266"/>
      <c r="JKT31" s="1266"/>
      <c r="JKU31" s="1266"/>
      <c r="JKV31" s="1266"/>
      <c r="JKW31" s="1266"/>
      <c r="JKX31" s="1266"/>
      <c r="JKY31" s="1266"/>
      <c r="JKZ31" s="1266"/>
      <c r="JLA31" s="1266"/>
      <c r="JLB31" s="1266"/>
      <c r="JLC31" s="1266"/>
      <c r="JLD31" s="1266"/>
      <c r="JLE31" s="1266"/>
      <c r="JLF31" s="1266"/>
      <c r="JLG31" s="1266"/>
      <c r="JLH31" s="1266"/>
      <c r="JLI31" s="1266"/>
      <c r="JLJ31" s="1266"/>
      <c r="JLK31" s="1266"/>
      <c r="JLL31" s="1266"/>
      <c r="JLM31" s="1266"/>
      <c r="JLN31" s="1266"/>
      <c r="JLO31" s="1266"/>
      <c r="JLP31" s="1266"/>
      <c r="JLQ31" s="1266"/>
      <c r="JLR31" s="1266"/>
      <c r="JLS31" s="1266"/>
      <c r="JLT31" s="1266"/>
      <c r="JLU31" s="1266"/>
      <c r="JLV31" s="1266"/>
      <c r="JLW31" s="1266"/>
      <c r="JLX31" s="1266"/>
      <c r="JLY31" s="1266"/>
      <c r="JLZ31" s="1266"/>
      <c r="JMA31" s="1266"/>
      <c r="JMB31" s="1266"/>
      <c r="JMC31" s="1266"/>
      <c r="JMD31" s="1266"/>
      <c r="JME31" s="1266"/>
      <c r="JMF31" s="1266"/>
      <c r="JMG31" s="1266"/>
      <c r="JMH31" s="1266"/>
      <c r="JMI31" s="1266"/>
      <c r="JMJ31" s="1266"/>
      <c r="JMK31" s="1266"/>
      <c r="JML31" s="1266"/>
      <c r="JMM31" s="1266"/>
      <c r="JMN31" s="1266"/>
      <c r="JMO31" s="1266"/>
      <c r="JMP31" s="1266"/>
      <c r="JMQ31" s="1266"/>
      <c r="JMR31" s="1266"/>
      <c r="JMS31" s="1266"/>
      <c r="JMT31" s="1266"/>
      <c r="JMU31" s="1266"/>
      <c r="JMV31" s="1266"/>
      <c r="JMW31" s="1266"/>
      <c r="JMX31" s="1266"/>
      <c r="JMY31" s="1266"/>
      <c r="JMZ31" s="1266"/>
      <c r="JNA31" s="1266"/>
      <c r="JNB31" s="1266"/>
      <c r="JNC31" s="1266"/>
      <c r="JND31" s="1266"/>
      <c r="JNE31" s="1266"/>
      <c r="JNF31" s="1266"/>
      <c r="JNG31" s="1266"/>
      <c r="JNH31" s="1266"/>
      <c r="JNI31" s="1266"/>
      <c r="JNJ31" s="1266"/>
      <c r="JNK31" s="1266"/>
      <c r="JNL31" s="1266"/>
      <c r="JNM31" s="1266"/>
      <c r="JNN31" s="1266"/>
      <c r="JNO31" s="1266"/>
      <c r="JNP31" s="1266"/>
      <c r="JNQ31" s="1266"/>
      <c r="JNR31" s="1266"/>
      <c r="JNS31" s="1266"/>
      <c r="JNT31" s="1266"/>
      <c r="JNU31" s="1266"/>
      <c r="JNV31" s="1266"/>
      <c r="JNW31" s="1266"/>
      <c r="JNX31" s="1266"/>
      <c r="JNY31" s="1266"/>
      <c r="JNZ31" s="1266"/>
      <c r="JOA31" s="1266"/>
      <c r="JOB31" s="1266"/>
      <c r="JOC31" s="1266"/>
      <c r="JOD31" s="1266"/>
      <c r="JOE31" s="1266"/>
      <c r="JOF31" s="1266"/>
      <c r="JOG31" s="1266"/>
      <c r="JOH31" s="1266"/>
      <c r="JOI31" s="1266"/>
      <c r="JOJ31" s="1266"/>
      <c r="JOK31" s="1266"/>
      <c r="JOL31" s="1266"/>
      <c r="JOM31" s="1266"/>
      <c r="JON31" s="1266"/>
      <c r="JOO31" s="1266"/>
      <c r="JOP31" s="1266"/>
      <c r="JOQ31" s="1266"/>
      <c r="JOR31" s="1266"/>
      <c r="JOS31" s="1266"/>
      <c r="JOT31" s="1266"/>
      <c r="JOU31" s="1266"/>
      <c r="JOV31" s="1266"/>
      <c r="JOW31" s="1266"/>
      <c r="JOX31" s="1266"/>
      <c r="JOY31" s="1266"/>
      <c r="JOZ31" s="1266"/>
      <c r="JPA31" s="1266"/>
      <c r="JPB31" s="1266"/>
      <c r="JPC31" s="1266"/>
      <c r="JPD31" s="1266"/>
      <c r="JPE31" s="1266"/>
      <c r="JPF31" s="1266"/>
      <c r="JPG31" s="1266"/>
      <c r="JPH31" s="1266"/>
      <c r="JPI31" s="1266"/>
      <c r="JPJ31" s="1266"/>
      <c r="JPK31" s="1266"/>
      <c r="JPL31" s="1266"/>
      <c r="JPM31" s="1266"/>
      <c r="JPN31" s="1266"/>
      <c r="JPO31" s="1266"/>
      <c r="JPP31" s="1266"/>
      <c r="JPQ31" s="1266"/>
      <c r="JPR31" s="1266"/>
      <c r="JPS31" s="1266"/>
      <c r="JPT31" s="1266"/>
      <c r="JPU31" s="1266"/>
      <c r="JPV31" s="1266"/>
      <c r="JPW31" s="1266"/>
      <c r="JPX31" s="1266"/>
      <c r="JPY31" s="1266"/>
      <c r="JPZ31" s="1266"/>
      <c r="JQA31" s="1266"/>
      <c r="JQB31" s="1266"/>
      <c r="JQC31" s="1266"/>
      <c r="JQD31" s="1266"/>
      <c r="JQE31" s="1266"/>
      <c r="JQF31" s="1266"/>
      <c r="JQG31" s="1266"/>
      <c r="JQH31" s="1266"/>
      <c r="JQI31" s="1266"/>
      <c r="JQJ31" s="1266"/>
      <c r="JQK31" s="1266"/>
      <c r="JQL31" s="1266"/>
      <c r="JQM31" s="1266"/>
      <c r="JQN31" s="1266"/>
      <c r="JQO31" s="1266"/>
      <c r="JQP31" s="1266"/>
      <c r="JQQ31" s="1266"/>
      <c r="JQR31" s="1266"/>
      <c r="JQS31" s="1266"/>
      <c r="JQT31" s="1266"/>
      <c r="JQU31" s="1266"/>
      <c r="JQV31" s="1266"/>
      <c r="JQW31" s="1266"/>
      <c r="JQX31" s="1266"/>
      <c r="JQY31" s="1266"/>
      <c r="JQZ31" s="1266"/>
      <c r="JRA31" s="1266"/>
      <c r="JRB31" s="1266"/>
      <c r="JRC31" s="1266"/>
      <c r="JRD31" s="1266"/>
      <c r="JRE31" s="1266"/>
      <c r="JRF31" s="1266"/>
      <c r="JRG31" s="1266"/>
      <c r="JRH31" s="1266"/>
      <c r="JRI31" s="1266"/>
      <c r="JRJ31" s="1266"/>
      <c r="JRK31" s="1266"/>
      <c r="JRL31" s="1266"/>
      <c r="JRM31" s="1266"/>
      <c r="JRN31" s="1266"/>
      <c r="JRO31" s="1266"/>
      <c r="JRP31" s="1266"/>
      <c r="JRQ31" s="1266"/>
      <c r="JRR31" s="1266"/>
      <c r="JRS31" s="1266"/>
      <c r="JRT31" s="1266"/>
      <c r="JRU31" s="1266"/>
      <c r="JRV31" s="1266"/>
      <c r="JRW31" s="1266"/>
      <c r="JRX31" s="1266"/>
      <c r="JRY31" s="1266"/>
      <c r="JRZ31" s="1266"/>
      <c r="JSA31" s="1266"/>
      <c r="JSB31" s="1266"/>
      <c r="JSC31" s="1266"/>
      <c r="JSD31" s="1266"/>
      <c r="JSE31" s="1266"/>
      <c r="JSF31" s="1266"/>
      <c r="JSG31" s="1266"/>
      <c r="JSH31" s="1266"/>
      <c r="JSI31" s="1266"/>
      <c r="JSJ31" s="1266"/>
      <c r="JSK31" s="1266"/>
      <c r="JSL31" s="1266"/>
      <c r="JSM31" s="1266"/>
      <c r="JSN31" s="1266"/>
      <c r="JSO31" s="1266"/>
      <c r="JSP31" s="1266"/>
      <c r="JSQ31" s="1266"/>
      <c r="JSR31" s="1266"/>
      <c r="JSS31" s="1266"/>
      <c r="JST31" s="1266"/>
      <c r="JSU31" s="1266"/>
      <c r="JSV31" s="1266"/>
      <c r="JSW31" s="1266"/>
      <c r="JSX31" s="1266"/>
      <c r="JSY31" s="1266"/>
      <c r="JSZ31" s="1266"/>
      <c r="JTA31" s="1266"/>
      <c r="JTB31" s="1266"/>
      <c r="JTC31" s="1266"/>
      <c r="JTD31" s="1266"/>
      <c r="JTE31" s="1266"/>
      <c r="JTF31" s="1266"/>
      <c r="JTG31" s="1266"/>
      <c r="JTH31" s="1266"/>
      <c r="JTI31" s="1266"/>
      <c r="JTJ31" s="1266"/>
      <c r="JTK31" s="1266"/>
      <c r="JTL31" s="1266"/>
      <c r="JTM31" s="1266"/>
      <c r="JTN31" s="1266"/>
      <c r="JTO31" s="1266"/>
      <c r="JTP31" s="1266"/>
      <c r="JTQ31" s="1266"/>
      <c r="JTR31" s="1266"/>
      <c r="JTS31" s="1266"/>
      <c r="JTT31" s="1266"/>
      <c r="JTU31" s="1266"/>
      <c r="JTV31" s="1266"/>
      <c r="JTW31" s="1266"/>
      <c r="JTX31" s="1266"/>
      <c r="JTY31" s="1266"/>
      <c r="JTZ31" s="1266"/>
      <c r="JUA31" s="1266"/>
      <c r="JUB31" s="1266"/>
      <c r="JUC31" s="1266"/>
      <c r="JUD31" s="1266"/>
      <c r="JUE31" s="1266"/>
      <c r="JUF31" s="1266"/>
      <c r="JUG31" s="1266"/>
      <c r="JUH31" s="1266"/>
      <c r="JUI31" s="1266"/>
      <c r="JUJ31" s="1266"/>
      <c r="JUK31" s="1266"/>
      <c r="JUL31" s="1266"/>
      <c r="JUM31" s="1266"/>
      <c r="JUN31" s="1266"/>
      <c r="JUO31" s="1266"/>
      <c r="JUP31" s="1266"/>
      <c r="JUQ31" s="1266"/>
      <c r="JUR31" s="1266"/>
      <c r="JUS31" s="1266"/>
      <c r="JUT31" s="1266"/>
      <c r="JUU31" s="1266"/>
      <c r="JUV31" s="1266"/>
      <c r="JUW31" s="1266"/>
      <c r="JUX31" s="1266"/>
      <c r="JUY31" s="1266"/>
      <c r="JUZ31" s="1266"/>
      <c r="JVA31" s="1266"/>
      <c r="JVB31" s="1266"/>
      <c r="JVC31" s="1266"/>
      <c r="JVD31" s="1266"/>
      <c r="JVE31" s="1266"/>
      <c r="JVF31" s="1266"/>
      <c r="JVG31" s="1266"/>
      <c r="JVH31" s="1266"/>
      <c r="JVI31" s="1266"/>
      <c r="JVJ31" s="1266"/>
      <c r="JVK31" s="1266"/>
      <c r="JVL31" s="1266"/>
      <c r="JVM31" s="1266"/>
      <c r="JVN31" s="1266"/>
      <c r="JVO31" s="1266"/>
      <c r="JVP31" s="1266"/>
      <c r="JVQ31" s="1266"/>
      <c r="JVR31" s="1266"/>
      <c r="JVS31" s="1266"/>
      <c r="JVT31" s="1266"/>
      <c r="JVU31" s="1266"/>
      <c r="JVV31" s="1266"/>
      <c r="JVW31" s="1266"/>
      <c r="JVX31" s="1266"/>
      <c r="JVY31" s="1266"/>
      <c r="JVZ31" s="1266"/>
      <c r="JWA31" s="1266"/>
      <c r="JWB31" s="1266"/>
      <c r="JWC31" s="1266"/>
      <c r="JWD31" s="1266"/>
      <c r="JWE31" s="1266"/>
      <c r="JWF31" s="1266"/>
      <c r="JWG31" s="1266"/>
      <c r="JWH31" s="1266"/>
      <c r="JWI31" s="1266"/>
      <c r="JWJ31" s="1266"/>
      <c r="JWK31" s="1266"/>
      <c r="JWL31" s="1266"/>
      <c r="JWM31" s="1266"/>
      <c r="JWN31" s="1266"/>
      <c r="JWO31" s="1266"/>
      <c r="JWP31" s="1266"/>
      <c r="JWQ31" s="1266"/>
      <c r="JWR31" s="1266"/>
      <c r="JWS31" s="1266"/>
      <c r="JWT31" s="1266"/>
      <c r="JWU31" s="1266"/>
      <c r="JWV31" s="1266"/>
      <c r="JWW31" s="1266"/>
      <c r="JWX31" s="1266"/>
      <c r="JWY31" s="1266"/>
      <c r="JWZ31" s="1266"/>
      <c r="JXA31" s="1266"/>
      <c r="JXB31" s="1266"/>
      <c r="JXC31" s="1266"/>
      <c r="JXD31" s="1266"/>
      <c r="JXE31" s="1266"/>
      <c r="JXF31" s="1266"/>
      <c r="JXG31" s="1266"/>
      <c r="JXH31" s="1266"/>
      <c r="JXI31" s="1266"/>
      <c r="JXJ31" s="1266"/>
      <c r="JXK31" s="1266"/>
      <c r="JXL31" s="1266"/>
      <c r="JXM31" s="1266"/>
      <c r="JXN31" s="1266"/>
      <c r="JXO31" s="1266"/>
      <c r="JXP31" s="1266"/>
      <c r="JXQ31" s="1266"/>
      <c r="JXR31" s="1266"/>
      <c r="JXS31" s="1266"/>
      <c r="JXT31" s="1266"/>
      <c r="JXU31" s="1266"/>
      <c r="JXV31" s="1266"/>
      <c r="JXW31" s="1266"/>
      <c r="JXX31" s="1266"/>
      <c r="JXY31" s="1266"/>
      <c r="JXZ31" s="1266"/>
      <c r="JYA31" s="1266"/>
      <c r="JYB31" s="1266"/>
      <c r="JYC31" s="1266"/>
      <c r="JYD31" s="1266"/>
      <c r="JYE31" s="1266"/>
      <c r="JYF31" s="1266"/>
      <c r="JYG31" s="1266"/>
      <c r="JYH31" s="1266"/>
      <c r="JYI31" s="1266"/>
      <c r="JYJ31" s="1266"/>
      <c r="JYK31" s="1266"/>
      <c r="JYL31" s="1266"/>
      <c r="JYM31" s="1266"/>
      <c r="JYN31" s="1266"/>
      <c r="JYO31" s="1266"/>
      <c r="JYP31" s="1266"/>
      <c r="JYQ31" s="1266"/>
      <c r="JYR31" s="1266"/>
      <c r="JYS31" s="1266"/>
      <c r="JYT31" s="1266"/>
      <c r="JYU31" s="1266"/>
      <c r="JYV31" s="1266"/>
      <c r="JYW31" s="1266"/>
      <c r="JYX31" s="1266"/>
      <c r="JYY31" s="1266"/>
      <c r="JYZ31" s="1266"/>
      <c r="JZA31" s="1266"/>
      <c r="JZB31" s="1266"/>
      <c r="JZC31" s="1266"/>
      <c r="JZD31" s="1266"/>
      <c r="JZE31" s="1266"/>
      <c r="JZF31" s="1266"/>
      <c r="JZG31" s="1266"/>
      <c r="JZH31" s="1266"/>
      <c r="JZI31" s="1266"/>
      <c r="JZJ31" s="1266"/>
      <c r="JZK31" s="1266"/>
      <c r="JZL31" s="1266"/>
      <c r="JZM31" s="1266"/>
      <c r="JZN31" s="1266"/>
      <c r="JZO31" s="1266"/>
      <c r="JZP31" s="1266"/>
      <c r="JZQ31" s="1266"/>
      <c r="JZR31" s="1266"/>
      <c r="JZS31" s="1266"/>
      <c r="JZT31" s="1266"/>
      <c r="JZU31" s="1266"/>
      <c r="JZV31" s="1266"/>
      <c r="JZW31" s="1266"/>
      <c r="JZX31" s="1266"/>
      <c r="JZY31" s="1266"/>
      <c r="JZZ31" s="1266"/>
      <c r="KAA31" s="1266"/>
      <c r="KAB31" s="1266"/>
      <c r="KAC31" s="1266"/>
      <c r="KAD31" s="1266"/>
      <c r="KAE31" s="1266"/>
      <c r="KAF31" s="1266"/>
      <c r="KAG31" s="1266"/>
      <c r="KAH31" s="1266"/>
      <c r="KAI31" s="1266"/>
      <c r="KAJ31" s="1266"/>
      <c r="KAK31" s="1266"/>
      <c r="KAL31" s="1266"/>
      <c r="KAM31" s="1266"/>
      <c r="KAN31" s="1266"/>
      <c r="KAO31" s="1266"/>
      <c r="KAP31" s="1266"/>
      <c r="KAQ31" s="1266"/>
      <c r="KAR31" s="1266"/>
      <c r="KAS31" s="1266"/>
      <c r="KAT31" s="1266"/>
      <c r="KAU31" s="1266"/>
      <c r="KAV31" s="1266"/>
      <c r="KAW31" s="1266"/>
      <c r="KAX31" s="1266"/>
      <c r="KAY31" s="1266"/>
      <c r="KAZ31" s="1266"/>
      <c r="KBA31" s="1266"/>
      <c r="KBB31" s="1266"/>
      <c r="KBC31" s="1266"/>
      <c r="KBD31" s="1266"/>
      <c r="KBE31" s="1266"/>
      <c r="KBF31" s="1266"/>
      <c r="KBG31" s="1266"/>
      <c r="KBH31" s="1266"/>
      <c r="KBI31" s="1266"/>
      <c r="KBJ31" s="1266"/>
      <c r="KBK31" s="1266"/>
      <c r="KBL31" s="1266"/>
      <c r="KBM31" s="1266"/>
      <c r="KBN31" s="1266"/>
      <c r="KBO31" s="1266"/>
      <c r="KBP31" s="1266"/>
      <c r="KBQ31" s="1266"/>
      <c r="KBR31" s="1266"/>
      <c r="KBS31" s="1266"/>
      <c r="KBT31" s="1266"/>
      <c r="KBU31" s="1266"/>
      <c r="KBV31" s="1266"/>
      <c r="KBW31" s="1266"/>
      <c r="KBX31" s="1266"/>
      <c r="KBY31" s="1266"/>
      <c r="KBZ31" s="1266"/>
      <c r="KCA31" s="1266"/>
      <c r="KCB31" s="1266"/>
      <c r="KCC31" s="1266"/>
      <c r="KCD31" s="1266"/>
      <c r="KCE31" s="1266"/>
      <c r="KCF31" s="1266"/>
      <c r="KCG31" s="1266"/>
      <c r="KCH31" s="1266"/>
      <c r="KCI31" s="1266"/>
      <c r="KCJ31" s="1266"/>
      <c r="KCK31" s="1266"/>
      <c r="KCL31" s="1266"/>
      <c r="KCM31" s="1266"/>
      <c r="KCN31" s="1266"/>
      <c r="KCO31" s="1266"/>
      <c r="KCP31" s="1266"/>
      <c r="KCQ31" s="1266"/>
      <c r="KCR31" s="1266"/>
      <c r="KCS31" s="1266"/>
      <c r="KCT31" s="1266"/>
      <c r="KCU31" s="1266"/>
      <c r="KCV31" s="1266"/>
      <c r="KCW31" s="1266"/>
      <c r="KCX31" s="1266"/>
      <c r="KCY31" s="1266"/>
      <c r="KCZ31" s="1266"/>
      <c r="KDA31" s="1266"/>
      <c r="KDB31" s="1266"/>
      <c r="KDC31" s="1266"/>
      <c r="KDD31" s="1266"/>
      <c r="KDE31" s="1266"/>
      <c r="KDF31" s="1266"/>
      <c r="KDG31" s="1266"/>
      <c r="KDH31" s="1266"/>
      <c r="KDI31" s="1266"/>
      <c r="KDJ31" s="1266"/>
      <c r="KDK31" s="1266"/>
      <c r="KDL31" s="1266"/>
      <c r="KDM31" s="1266"/>
      <c r="KDN31" s="1266"/>
      <c r="KDO31" s="1266"/>
      <c r="KDP31" s="1266"/>
      <c r="KDQ31" s="1266"/>
      <c r="KDR31" s="1266"/>
      <c r="KDS31" s="1266"/>
      <c r="KDT31" s="1266"/>
      <c r="KDU31" s="1266"/>
      <c r="KDV31" s="1266"/>
      <c r="KDW31" s="1266"/>
      <c r="KDX31" s="1266"/>
      <c r="KDY31" s="1266"/>
      <c r="KDZ31" s="1266"/>
      <c r="KEA31" s="1266"/>
      <c r="KEB31" s="1266"/>
      <c r="KEC31" s="1266"/>
      <c r="KED31" s="1266"/>
      <c r="KEE31" s="1266"/>
      <c r="KEF31" s="1266"/>
      <c r="KEG31" s="1266"/>
      <c r="KEH31" s="1266"/>
      <c r="KEI31" s="1266"/>
      <c r="KEJ31" s="1266"/>
      <c r="KEK31" s="1266"/>
      <c r="KEL31" s="1266"/>
      <c r="KEM31" s="1266"/>
      <c r="KEN31" s="1266"/>
      <c r="KEO31" s="1266"/>
      <c r="KEP31" s="1266"/>
      <c r="KEQ31" s="1266"/>
      <c r="KER31" s="1266"/>
      <c r="KES31" s="1266"/>
      <c r="KET31" s="1266"/>
      <c r="KEU31" s="1266"/>
      <c r="KEV31" s="1266"/>
      <c r="KEW31" s="1266"/>
      <c r="KEX31" s="1266"/>
      <c r="KEY31" s="1266"/>
      <c r="KEZ31" s="1266"/>
      <c r="KFA31" s="1266"/>
      <c r="KFB31" s="1266"/>
      <c r="KFC31" s="1266"/>
      <c r="KFD31" s="1266"/>
      <c r="KFE31" s="1266"/>
      <c r="KFF31" s="1266"/>
      <c r="KFG31" s="1266"/>
      <c r="KFH31" s="1266"/>
      <c r="KFI31" s="1266"/>
      <c r="KFJ31" s="1266"/>
      <c r="KFK31" s="1266"/>
      <c r="KFL31" s="1266"/>
      <c r="KFM31" s="1266"/>
      <c r="KFN31" s="1266"/>
      <c r="KFO31" s="1266"/>
      <c r="KFP31" s="1266"/>
      <c r="KFQ31" s="1266"/>
      <c r="KFR31" s="1266"/>
      <c r="KFS31" s="1266"/>
      <c r="KFT31" s="1266"/>
      <c r="KFU31" s="1266"/>
      <c r="KFV31" s="1266"/>
      <c r="KFW31" s="1266"/>
      <c r="KFX31" s="1266"/>
      <c r="KFY31" s="1266"/>
      <c r="KFZ31" s="1266"/>
      <c r="KGA31" s="1266"/>
      <c r="KGB31" s="1266"/>
      <c r="KGC31" s="1266"/>
      <c r="KGD31" s="1266"/>
      <c r="KGE31" s="1266"/>
      <c r="KGF31" s="1266"/>
      <c r="KGG31" s="1266"/>
      <c r="KGH31" s="1266"/>
      <c r="KGI31" s="1266"/>
      <c r="KGJ31" s="1266"/>
      <c r="KGK31" s="1266"/>
      <c r="KGL31" s="1266"/>
      <c r="KGM31" s="1266"/>
      <c r="KGN31" s="1266"/>
      <c r="KGO31" s="1266"/>
      <c r="KGP31" s="1266"/>
      <c r="KGQ31" s="1266"/>
      <c r="KGR31" s="1266"/>
      <c r="KGS31" s="1266"/>
      <c r="KGT31" s="1266"/>
      <c r="KGU31" s="1266"/>
      <c r="KGV31" s="1266"/>
      <c r="KGW31" s="1266"/>
      <c r="KGX31" s="1266"/>
      <c r="KGY31" s="1266"/>
      <c r="KGZ31" s="1266"/>
      <c r="KHA31" s="1266"/>
      <c r="KHB31" s="1266"/>
      <c r="KHC31" s="1266"/>
      <c r="KHD31" s="1266"/>
      <c r="KHE31" s="1266"/>
      <c r="KHF31" s="1266"/>
      <c r="KHG31" s="1266"/>
      <c r="KHH31" s="1266"/>
      <c r="KHI31" s="1266"/>
      <c r="KHJ31" s="1266"/>
      <c r="KHK31" s="1266"/>
      <c r="KHL31" s="1266"/>
      <c r="KHM31" s="1266"/>
      <c r="KHN31" s="1266"/>
      <c r="KHO31" s="1266"/>
      <c r="KHP31" s="1266"/>
      <c r="KHQ31" s="1266"/>
      <c r="KHR31" s="1266"/>
      <c r="KHS31" s="1266"/>
      <c r="KHT31" s="1266"/>
      <c r="KHU31" s="1266"/>
      <c r="KHV31" s="1266"/>
      <c r="KHW31" s="1266"/>
      <c r="KHX31" s="1266"/>
      <c r="KHY31" s="1266"/>
      <c r="KHZ31" s="1266"/>
      <c r="KIA31" s="1266"/>
      <c r="KIB31" s="1266"/>
      <c r="KIC31" s="1266"/>
      <c r="KID31" s="1266"/>
      <c r="KIE31" s="1266"/>
      <c r="KIF31" s="1266"/>
      <c r="KIG31" s="1266"/>
      <c r="KIH31" s="1266"/>
      <c r="KII31" s="1266"/>
      <c r="KIJ31" s="1266"/>
      <c r="KIK31" s="1266"/>
      <c r="KIL31" s="1266"/>
      <c r="KIM31" s="1266"/>
      <c r="KIN31" s="1266"/>
      <c r="KIO31" s="1266"/>
      <c r="KIP31" s="1266"/>
      <c r="KIQ31" s="1266"/>
      <c r="KIR31" s="1266"/>
      <c r="KIS31" s="1266"/>
      <c r="KIT31" s="1266"/>
      <c r="KIU31" s="1266"/>
      <c r="KIV31" s="1266"/>
      <c r="KIW31" s="1266"/>
      <c r="KIX31" s="1266"/>
      <c r="KIY31" s="1266"/>
      <c r="KIZ31" s="1266"/>
      <c r="KJA31" s="1266"/>
      <c r="KJB31" s="1266"/>
      <c r="KJC31" s="1266"/>
      <c r="KJD31" s="1266"/>
      <c r="KJE31" s="1266"/>
      <c r="KJF31" s="1266"/>
      <c r="KJG31" s="1266"/>
      <c r="KJH31" s="1266"/>
      <c r="KJI31" s="1266"/>
      <c r="KJJ31" s="1266"/>
      <c r="KJK31" s="1266"/>
      <c r="KJL31" s="1266"/>
      <c r="KJM31" s="1266"/>
      <c r="KJN31" s="1266"/>
      <c r="KJO31" s="1266"/>
      <c r="KJP31" s="1266"/>
      <c r="KJQ31" s="1266"/>
      <c r="KJR31" s="1266"/>
      <c r="KJS31" s="1266"/>
      <c r="KJT31" s="1266"/>
      <c r="KJU31" s="1266"/>
      <c r="KJV31" s="1266"/>
      <c r="KJW31" s="1266"/>
      <c r="KJX31" s="1266"/>
      <c r="KJY31" s="1266"/>
      <c r="KJZ31" s="1266"/>
      <c r="KKA31" s="1266"/>
      <c r="KKB31" s="1266"/>
      <c r="KKC31" s="1266"/>
      <c r="KKD31" s="1266"/>
      <c r="KKE31" s="1266"/>
      <c r="KKF31" s="1266"/>
      <c r="KKG31" s="1266"/>
      <c r="KKH31" s="1266"/>
      <c r="KKI31" s="1266"/>
      <c r="KKJ31" s="1266"/>
      <c r="KKK31" s="1266"/>
      <c r="KKL31" s="1266"/>
      <c r="KKM31" s="1266"/>
      <c r="KKN31" s="1266"/>
      <c r="KKO31" s="1266"/>
      <c r="KKP31" s="1266"/>
      <c r="KKQ31" s="1266"/>
      <c r="KKR31" s="1266"/>
      <c r="KKS31" s="1266"/>
      <c r="KKT31" s="1266"/>
      <c r="KKU31" s="1266"/>
      <c r="KKV31" s="1266"/>
      <c r="KKW31" s="1266"/>
      <c r="KKX31" s="1266"/>
      <c r="KKY31" s="1266"/>
      <c r="KKZ31" s="1266"/>
      <c r="KLA31" s="1266"/>
      <c r="KLB31" s="1266"/>
      <c r="KLC31" s="1266"/>
      <c r="KLD31" s="1266"/>
      <c r="KLE31" s="1266"/>
      <c r="KLF31" s="1266"/>
      <c r="KLG31" s="1266"/>
      <c r="KLH31" s="1266"/>
      <c r="KLI31" s="1266"/>
      <c r="KLJ31" s="1266"/>
      <c r="KLK31" s="1266"/>
      <c r="KLL31" s="1266"/>
      <c r="KLM31" s="1266"/>
      <c r="KLN31" s="1266"/>
      <c r="KLO31" s="1266"/>
      <c r="KLP31" s="1266"/>
      <c r="KLQ31" s="1266"/>
      <c r="KLR31" s="1266"/>
      <c r="KLS31" s="1266"/>
      <c r="KLT31" s="1266"/>
      <c r="KLU31" s="1266"/>
      <c r="KLV31" s="1266"/>
      <c r="KLW31" s="1266"/>
      <c r="KLX31" s="1266"/>
      <c r="KLY31" s="1266"/>
      <c r="KLZ31" s="1266"/>
      <c r="KMA31" s="1266"/>
      <c r="KMB31" s="1266"/>
      <c r="KMC31" s="1266"/>
      <c r="KMD31" s="1266"/>
      <c r="KME31" s="1266"/>
      <c r="KMF31" s="1266"/>
      <c r="KMG31" s="1266"/>
      <c r="KMH31" s="1266"/>
      <c r="KMI31" s="1266"/>
      <c r="KMJ31" s="1266"/>
      <c r="KMK31" s="1266"/>
      <c r="KML31" s="1266"/>
      <c r="KMM31" s="1266"/>
      <c r="KMN31" s="1266"/>
      <c r="KMO31" s="1266"/>
      <c r="KMP31" s="1266"/>
      <c r="KMQ31" s="1266"/>
      <c r="KMR31" s="1266"/>
      <c r="KMS31" s="1266"/>
      <c r="KMT31" s="1266"/>
      <c r="KMU31" s="1266"/>
      <c r="KMV31" s="1266"/>
      <c r="KMW31" s="1266"/>
      <c r="KMX31" s="1266"/>
      <c r="KMY31" s="1266"/>
      <c r="KMZ31" s="1266"/>
      <c r="KNA31" s="1266"/>
      <c r="KNB31" s="1266"/>
      <c r="KNC31" s="1266"/>
      <c r="KND31" s="1266"/>
      <c r="KNE31" s="1266"/>
      <c r="KNF31" s="1266"/>
      <c r="KNG31" s="1266"/>
      <c r="KNH31" s="1266"/>
      <c r="KNI31" s="1266"/>
      <c r="KNJ31" s="1266"/>
      <c r="KNK31" s="1266"/>
      <c r="KNL31" s="1266"/>
      <c r="KNM31" s="1266"/>
      <c r="KNN31" s="1266"/>
      <c r="KNO31" s="1266"/>
      <c r="KNP31" s="1266"/>
      <c r="KNQ31" s="1266"/>
      <c r="KNR31" s="1266"/>
      <c r="KNS31" s="1266"/>
      <c r="KNT31" s="1266"/>
      <c r="KNU31" s="1266"/>
      <c r="KNV31" s="1266"/>
      <c r="KNW31" s="1266"/>
      <c r="KNX31" s="1266"/>
      <c r="KNY31" s="1266"/>
      <c r="KNZ31" s="1266"/>
      <c r="KOA31" s="1266"/>
      <c r="KOB31" s="1266"/>
      <c r="KOC31" s="1266"/>
      <c r="KOD31" s="1266"/>
      <c r="KOE31" s="1266"/>
      <c r="KOF31" s="1266"/>
      <c r="KOG31" s="1266"/>
      <c r="KOH31" s="1266"/>
      <c r="KOI31" s="1266"/>
      <c r="KOJ31" s="1266"/>
      <c r="KOK31" s="1266"/>
      <c r="KOL31" s="1266"/>
      <c r="KOM31" s="1266"/>
      <c r="KON31" s="1266"/>
      <c r="KOO31" s="1266"/>
      <c r="KOP31" s="1266"/>
      <c r="KOQ31" s="1266"/>
      <c r="KOR31" s="1266"/>
      <c r="KOS31" s="1266"/>
      <c r="KOT31" s="1266"/>
      <c r="KOU31" s="1266"/>
      <c r="KOV31" s="1266"/>
      <c r="KOW31" s="1266"/>
      <c r="KOX31" s="1266"/>
      <c r="KOY31" s="1266"/>
      <c r="KOZ31" s="1266"/>
      <c r="KPA31" s="1266"/>
      <c r="KPB31" s="1266"/>
      <c r="KPC31" s="1266"/>
      <c r="KPD31" s="1266"/>
      <c r="KPE31" s="1266"/>
      <c r="KPF31" s="1266"/>
      <c r="KPG31" s="1266"/>
      <c r="KPH31" s="1266"/>
      <c r="KPI31" s="1266"/>
      <c r="KPJ31" s="1266"/>
      <c r="KPK31" s="1266"/>
      <c r="KPL31" s="1266"/>
      <c r="KPM31" s="1266"/>
      <c r="KPN31" s="1266"/>
      <c r="KPO31" s="1266"/>
      <c r="KPP31" s="1266"/>
      <c r="KPQ31" s="1266"/>
      <c r="KPR31" s="1266"/>
      <c r="KPS31" s="1266"/>
      <c r="KPT31" s="1266"/>
      <c r="KPU31" s="1266"/>
      <c r="KPV31" s="1266"/>
      <c r="KPW31" s="1266"/>
      <c r="KPX31" s="1266"/>
      <c r="KPY31" s="1266"/>
      <c r="KPZ31" s="1266"/>
      <c r="KQA31" s="1266"/>
      <c r="KQB31" s="1266"/>
      <c r="KQC31" s="1266"/>
      <c r="KQD31" s="1266"/>
      <c r="KQE31" s="1266"/>
      <c r="KQF31" s="1266"/>
      <c r="KQG31" s="1266"/>
      <c r="KQH31" s="1266"/>
      <c r="KQI31" s="1266"/>
      <c r="KQJ31" s="1266"/>
      <c r="KQK31" s="1266"/>
      <c r="KQL31" s="1266"/>
      <c r="KQM31" s="1266"/>
      <c r="KQN31" s="1266"/>
      <c r="KQO31" s="1266"/>
      <c r="KQP31" s="1266"/>
      <c r="KQQ31" s="1266"/>
      <c r="KQR31" s="1266"/>
      <c r="KQS31" s="1266"/>
      <c r="KQT31" s="1266"/>
      <c r="KQU31" s="1266"/>
      <c r="KQV31" s="1266"/>
      <c r="KQW31" s="1266"/>
      <c r="KQX31" s="1266"/>
      <c r="KQY31" s="1266"/>
      <c r="KQZ31" s="1266"/>
      <c r="KRA31" s="1266"/>
      <c r="KRB31" s="1266"/>
      <c r="KRC31" s="1266"/>
      <c r="KRD31" s="1266"/>
      <c r="KRE31" s="1266"/>
      <c r="KRF31" s="1266"/>
      <c r="KRG31" s="1266"/>
      <c r="KRH31" s="1266"/>
      <c r="KRI31" s="1266"/>
      <c r="KRJ31" s="1266"/>
      <c r="KRK31" s="1266"/>
      <c r="KRL31" s="1266"/>
      <c r="KRM31" s="1266"/>
      <c r="KRN31" s="1266"/>
      <c r="KRO31" s="1266"/>
      <c r="KRP31" s="1266"/>
      <c r="KRQ31" s="1266"/>
      <c r="KRR31" s="1266"/>
      <c r="KRS31" s="1266"/>
      <c r="KRT31" s="1266"/>
      <c r="KRU31" s="1266"/>
      <c r="KRV31" s="1266"/>
      <c r="KRW31" s="1266"/>
      <c r="KRX31" s="1266"/>
      <c r="KRY31" s="1266"/>
      <c r="KRZ31" s="1266"/>
      <c r="KSA31" s="1266"/>
      <c r="KSB31" s="1266"/>
      <c r="KSC31" s="1266"/>
      <c r="KSD31" s="1266"/>
      <c r="KSE31" s="1266"/>
      <c r="KSF31" s="1266"/>
      <c r="KSG31" s="1266"/>
      <c r="KSH31" s="1266"/>
      <c r="KSI31" s="1266"/>
      <c r="KSJ31" s="1266"/>
      <c r="KSK31" s="1266"/>
      <c r="KSL31" s="1266"/>
      <c r="KSM31" s="1266"/>
      <c r="KSN31" s="1266"/>
      <c r="KSO31" s="1266"/>
      <c r="KSP31" s="1266"/>
      <c r="KSQ31" s="1266"/>
      <c r="KSR31" s="1266"/>
      <c r="KSS31" s="1266"/>
      <c r="KST31" s="1266"/>
      <c r="KSU31" s="1266"/>
      <c r="KSV31" s="1266"/>
      <c r="KSW31" s="1266"/>
      <c r="KSX31" s="1266"/>
      <c r="KSY31" s="1266"/>
      <c r="KSZ31" s="1266"/>
      <c r="KTA31" s="1266"/>
      <c r="KTB31" s="1266"/>
      <c r="KTC31" s="1266"/>
      <c r="KTD31" s="1266"/>
      <c r="KTE31" s="1266"/>
      <c r="KTF31" s="1266"/>
      <c r="KTG31" s="1266"/>
      <c r="KTH31" s="1266"/>
      <c r="KTI31" s="1266"/>
      <c r="KTJ31" s="1266"/>
      <c r="KTK31" s="1266"/>
      <c r="KTL31" s="1266"/>
      <c r="KTM31" s="1266"/>
      <c r="KTN31" s="1266"/>
      <c r="KTO31" s="1266"/>
      <c r="KTP31" s="1266"/>
      <c r="KTQ31" s="1266"/>
      <c r="KTR31" s="1266"/>
      <c r="KTS31" s="1266"/>
      <c r="KTT31" s="1266"/>
      <c r="KTU31" s="1266"/>
      <c r="KTV31" s="1266"/>
      <c r="KTW31" s="1266"/>
      <c r="KTX31" s="1266"/>
      <c r="KTY31" s="1266"/>
      <c r="KTZ31" s="1266"/>
      <c r="KUA31" s="1266"/>
      <c r="KUB31" s="1266"/>
      <c r="KUC31" s="1266"/>
      <c r="KUD31" s="1266"/>
      <c r="KUE31" s="1266"/>
      <c r="KUF31" s="1266"/>
      <c r="KUG31" s="1266"/>
      <c r="KUH31" s="1266"/>
      <c r="KUI31" s="1266"/>
      <c r="KUJ31" s="1266"/>
      <c r="KUK31" s="1266"/>
      <c r="KUL31" s="1266"/>
      <c r="KUM31" s="1266"/>
      <c r="KUN31" s="1266"/>
      <c r="KUO31" s="1266"/>
      <c r="KUP31" s="1266"/>
      <c r="KUQ31" s="1266"/>
      <c r="KUR31" s="1266"/>
      <c r="KUS31" s="1266"/>
      <c r="KUT31" s="1266"/>
      <c r="KUU31" s="1266"/>
      <c r="KUV31" s="1266"/>
      <c r="KUW31" s="1266"/>
      <c r="KUX31" s="1266"/>
      <c r="KUY31" s="1266"/>
      <c r="KUZ31" s="1266"/>
      <c r="KVA31" s="1266"/>
      <c r="KVB31" s="1266"/>
      <c r="KVC31" s="1266"/>
      <c r="KVD31" s="1266"/>
      <c r="KVE31" s="1266"/>
      <c r="KVF31" s="1266"/>
      <c r="KVG31" s="1266"/>
      <c r="KVH31" s="1266"/>
      <c r="KVI31" s="1266"/>
      <c r="KVJ31" s="1266"/>
      <c r="KVK31" s="1266"/>
      <c r="KVL31" s="1266"/>
      <c r="KVM31" s="1266"/>
      <c r="KVN31" s="1266"/>
      <c r="KVO31" s="1266"/>
      <c r="KVP31" s="1266"/>
      <c r="KVQ31" s="1266"/>
      <c r="KVR31" s="1266"/>
      <c r="KVS31" s="1266"/>
      <c r="KVT31" s="1266"/>
      <c r="KVU31" s="1266"/>
      <c r="KVV31" s="1266"/>
      <c r="KVW31" s="1266"/>
      <c r="KVX31" s="1266"/>
      <c r="KVY31" s="1266"/>
      <c r="KVZ31" s="1266"/>
      <c r="KWA31" s="1266"/>
      <c r="KWB31" s="1266"/>
      <c r="KWC31" s="1266"/>
      <c r="KWD31" s="1266"/>
      <c r="KWE31" s="1266"/>
      <c r="KWF31" s="1266"/>
      <c r="KWG31" s="1266"/>
      <c r="KWH31" s="1266"/>
      <c r="KWI31" s="1266"/>
      <c r="KWJ31" s="1266"/>
      <c r="KWK31" s="1266"/>
      <c r="KWL31" s="1266"/>
      <c r="KWM31" s="1266"/>
      <c r="KWN31" s="1266"/>
      <c r="KWO31" s="1266"/>
      <c r="KWP31" s="1266"/>
      <c r="KWQ31" s="1266"/>
      <c r="KWR31" s="1266"/>
      <c r="KWS31" s="1266"/>
      <c r="KWT31" s="1266"/>
      <c r="KWU31" s="1266"/>
      <c r="KWV31" s="1266"/>
      <c r="KWW31" s="1266"/>
      <c r="KWX31" s="1266"/>
      <c r="KWY31" s="1266"/>
      <c r="KWZ31" s="1266"/>
      <c r="KXA31" s="1266"/>
      <c r="KXB31" s="1266"/>
      <c r="KXC31" s="1266"/>
      <c r="KXD31" s="1266"/>
      <c r="KXE31" s="1266"/>
      <c r="KXF31" s="1266"/>
      <c r="KXG31" s="1266"/>
      <c r="KXH31" s="1266"/>
      <c r="KXI31" s="1266"/>
      <c r="KXJ31" s="1266"/>
      <c r="KXK31" s="1266"/>
      <c r="KXL31" s="1266"/>
      <c r="KXM31" s="1266"/>
      <c r="KXN31" s="1266"/>
      <c r="KXO31" s="1266"/>
      <c r="KXP31" s="1266"/>
      <c r="KXQ31" s="1266"/>
      <c r="KXR31" s="1266"/>
      <c r="KXS31" s="1266"/>
      <c r="KXT31" s="1266"/>
      <c r="KXU31" s="1266"/>
      <c r="KXV31" s="1266"/>
      <c r="KXW31" s="1266"/>
      <c r="KXX31" s="1266"/>
      <c r="KXY31" s="1266"/>
      <c r="KXZ31" s="1266"/>
      <c r="KYA31" s="1266"/>
      <c r="KYB31" s="1266"/>
      <c r="KYC31" s="1266"/>
      <c r="KYD31" s="1266"/>
      <c r="KYE31" s="1266"/>
      <c r="KYF31" s="1266"/>
      <c r="KYG31" s="1266"/>
      <c r="KYH31" s="1266"/>
      <c r="KYI31" s="1266"/>
      <c r="KYJ31" s="1266"/>
      <c r="KYK31" s="1266"/>
      <c r="KYL31" s="1266"/>
      <c r="KYM31" s="1266"/>
      <c r="KYN31" s="1266"/>
      <c r="KYO31" s="1266"/>
      <c r="KYP31" s="1266"/>
      <c r="KYQ31" s="1266"/>
      <c r="KYR31" s="1266"/>
      <c r="KYS31" s="1266"/>
      <c r="KYT31" s="1266"/>
      <c r="KYU31" s="1266"/>
      <c r="KYV31" s="1266"/>
      <c r="KYW31" s="1266"/>
      <c r="KYX31" s="1266"/>
      <c r="KYY31" s="1266"/>
      <c r="KYZ31" s="1266"/>
      <c r="KZA31" s="1266"/>
      <c r="KZB31" s="1266"/>
      <c r="KZC31" s="1266"/>
      <c r="KZD31" s="1266"/>
      <c r="KZE31" s="1266"/>
      <c r="KZF31" s="1266"/>
      <c r="KZG31" s="1266"/>
      <c r="KZH31" s="1266"/>
      <c r="KZI31" s="1266"/>
      <c r="KZJ31" s="1266"/>
      <c r="KZK31" s="1266"/>
      <c r="KZL31" s="1266"/>
      <c r="KZM31" s="1266"/>
      <c r="KZN31" s="1266"/>
      <c r="KZO31" s="1266"/>
      <c r="KZP31" s="1266"/>
      <c r="KZQ31" s="1266"/>
      <c r="KZR31" s="1266"/>
      <c r="KZS31" s="1266"/>
      <c r="KZT31" s="1266"/>
      <c r="KZU31" s="1266"/>
      <c r="KZV31" s="1266"/>
      <c r="KZW31" s="1266"/>
      <c r="KZX31" s="1266"/>
      <c r="KZY31" s="1266"/>
      <c r="KZZ31" s="1266"/>
      <c r="LAA31" s="1266"/>
      <c r="LAB31" s="1266"/>
      <c r="LAC31" s="1266"/>
      <c r="LAD31" s="1266"/>
      <c r="LAE31" s="1266"/>
      <c r="LAF31" s="1266"/>
      <c r="LAG31" s="1266"/>
      <c r="LAH31" s="1266"/>
      <c r="LAI31" s="1266"/>
      <c r="LAJ31" s="1266"/>
      <c r="LAK31" s="1266"/>
      <c r="LAL31" s="1266"/>
      <c r="LAM31" s="1266"/>
      <c r="LAN31" s="1266"/>
      <c r="LAO31" s="1266"/>
      <c r="LAP31" s="1266"/>
      <c r="LAQ31" s="1266"/>
      <c r="LAR31" s="1266"/>
      <c r="LAS31" s="1266"/>
      <c r="LAT31" s="1266"/>
      <c r="LAU31" s="1266"/>
      <c r="LAV31" s="1266"/>
      <c r="LAW31" s="1266"/>
      <c r="LAX31" s="1266"/>
      <c r="LAY31" s="1266"/>
      <c r="LAZ31" s="1266"/>
      <c r="LBA31" s="1266"/>
      <c r="LBB31" s="1266"/>
      <c r="LBC31" s="1266"/>
      <c r="LBD31" s="1266"/>
      <c r="LBE31" s="1266"/>
      <c r="LBF31" s="1266"/>
      <c r="LBG31" s="1266"/>
      <c r="LBH31" s="1266"/>
      <c r="LBI31" s="1266"/>
      <c r="LBJ31" s="1266"/>
      <c r="LBK31" s="1266"/>
      <c r="LBL31" s="1266"/>
      <c r="LBM31" s="1266"/>
      <c r="LBN31" s="1266"/>
      <c r="LBO31" s="1266"/>
      <c r="LBP31" s="1266"/>
      <c r="LBQ31" s="1266"/>
      <c r="LBR31" s="1266"/>
      <c r="LBS31" s="1266"/>
      <c r="LBT31" s="1266"/>
      <c r="LBU31" s="1266"/>
      <c r="LBV31" s="1266"/>
      <c r="LBW31" s="1266"/>
      <c r="LBX31" s="1266"/>
      <c r="LBY31" s="1266"/>
      <c r="LBZ31" s="1266"/>
      <c r="LCA31" s="1266"/>
      <c r="LCB31" s="1266"/>
      <c r="LCC31" s="1266"/>
      <c r="LCD31" s="1266"/>
      <c r="LCE31" s="1266"/>
      <c r="LCF31" s="1266"/>
      <c r="LCG31" s="1266"/>
      <c r="LCH31" s="1266"/>
      <c r="LCI31" s="1266"/>
      <c r="LCJ31" s="1266"/>
      <c r="LCK31" s="1266"/>
      <c r="LCL31" s="1266"/>
      <c r="LCM31" s="1266"/>
      <c r="LCN31" s="1266"/>
      <c r="LCO31" s="1266"/>
      <c r="LCP31" s="1266"/>
      <c r="LCQ31" s="1266"/>
      <c r="LCR31" s="1266"/>
      <c r="LCS31" s="1266"/>
      <c r="LCT31" s="1266"/>
      <c r="LCU31" s="1266"/>
      <c r="LCV31" s="1266"/>
      <c r="LCW31" s="1266"/>
      <c r="LCX31" s="1266"/>
      <c r="LCY31" s="1266"/>
      <c r="LCZ31" s="1266"/>
      <c r="LDA31" s="1266"/>
      <c r="LDB31" s="1266"/>
      <c r="LDC31" s="1266"/>
      <c r="LDD31" s="1266"/>
      <c r="LDE31" s="1266"/>
      <c r="LDF31" s="1266"/>
      <c r="LDG31" s="1266"/>
      <c r="LDH31" s="1266"/>
      <c r="LDI31" s="1266"/>
      <c r="LDJ31" s="1266"/>
      <c r="LDK31" s="1266"/>
      <c r="LDL31" s="1266"/>
      <c r="LDM31" s="1266"/>
      <c r="LDN31" s="1266"/>
      <c r="LDO31" s="1266"/>
      <c r="LDP31" s="1266"/>
      <c r="LDQ31" s="1266"/>
      <c r="LDR31" s="1266"/>
      <c r="LDS31" s="1266"/>
      <c r="LDT31" s="1266"/>
      <c r="LDU31" s="1266"/>
      <c r="LDV31" s="1266"/>
      <c r="LDW31" s="1266"/>
      <c r="LDX31" s="1266"/>
      <c r="LDY31" s="1266"/>
      <c r="LDZ31" s="1266"/>
      <c r="LEA31" s="1266"/>
      <c r="LEB31" s="1266"/>
      <c r="LEC31" s="1266"/>
      <c r="LED31" s="1266"/>
      <c r="LEE31" s="1266"/>
      <c r="LEF31" s="1266"/>
      <c r="LEG31" s="1266"/>
      <c r="LEH31" s="1266"/>
      <c r="LEI31" s="1266"/>
      <c r="LEJ31" s="1266"/>
      <c r="LEK31" s="1266"/>
      <c r="LEL31" s="1266"/>
      <c r="LEM31" s="1266"/>
      <c r="LEN31" s="1266"/>
      <c r="LEO31" s="1266"/>
      <c r="LEP31" s="1266"/>
      <c r="LEQ31" s="1266"/>
      <c r="LER31" s="1266"/>
      <c r="LES31" s="1266"/>
      <c r="LET31" s="1266"/>
      <c r="LEU31" s="1266"/>
      <c r="LEV31" s="1266"/>
      <c r="LEW31" s="1266"/>
      <c r="LEX31" s="1266"/>
      <c r="LEY31" s="1266"/>
      <c r="LEZ31" s="1266"/>
      <c r="LFA31" s="1266"/>
      <c r="LFB31" s="1266"/>
      <c r="LFC31" s="1266"/>
      <c r="LFD31" s="1266"/>
      <c r="LFE31" s="1266"/>
      <c r="LFF31" s="1266"/>
      <c r="LFG31" s="1266"/>
      <c r="LFH31" s="1266"/>
      <c r="LFI31" s="1266"/>
      <c r="LFJ31" s="1266"/>
      <c r="LFK31" s="1266"/>
      <c r="LFL31" s="1266"/>
      <c r="LFM31" s="1266"/>
      <c r="LFN31" s="1266"/>
      <c r="LFO31" s="1266"/>
      <c r="LFP31" s="1266"/>
      <c r="LFQ31" s="1266"/>
      <c r="LFR31" s="1266"/>
      <c r="LFS31" s="1266"/>
      <c r="LFT31" s="1266"/>
      <c r="LFU31" s="1266"/>
      <c r="LFV31" s="1266"/>
      <c r="LFW31" s="1266"/>
      <c r="LFX31" s="1266"/>
      <c r="LFY31" s="1266"/>
      <c r="LFZ31" s="1266"/>
      <c r="LGA31" s="1266"/>
      <c r="LGB31" s="1266"/>
      <c r="LGC31" s="1266"/>
      <c r="LGD31" s="1266"/>
      <c r="LGE31" s="1266"/>
      <c r="LGF31" s="1266"/>
      <c r="LGG31" s="1266"/>
      <c r="LGH31" s="1266"/>
      <c r="LGI31" s="1266"/>
      <c r="LGJ31" s="1266"/>
      <c r="LGK31" s="1266"/>
      <c r="LGL31" s="1266"/>
      <c r="LGM31" s="1266"/>
      <c r="LGN31" s="1266"/>
      <c r="LGO31" s="1266"/>
      <c r="LGP31" s="1266"/>
      <c r="LGQ31" s="1266"/>
      <c r="LGR31" s="1266"/>
      <c r="LGS31" s="1266"/>
      <c r="LGT31" s="1266"/>
      <c r="LGU31" s="1266"/>
      <c r="LGV31" s="1266"/>
      <c r="LGW31" s="1266"/>
      <c r="LGX31" s="1266"/>
      <c r="LGY31" s="1266"/>
      <c r="LGZ31" s="1266"/>
      <c r="LHA31" s="1266"/>
      <c r="LHB31" s="1266"/>
      <c r="LHC31" s="1266"/>
      <c r="LHD31" s="1266"/>
      <c r="LHE31" s="1266"/>
      <c r="LHF31" s="1266"/>
      <c r="LHG31" s="1266"/>
      <c r="LHH31" s="1266"/>
      <c r="LHI31" s="1266"/>
      <c r="LHJ31" s="1266"/>
      <c r="LHK31" s="1266"/>
      <c r="LHL31" s="1266"/>
      <c r="LHM31" s="1266"/>
      <c r="LHN31" s="1266"/>
      <c r="LHO31" s="1266"/>
      <c r="LHP31" s="1266"/>
      <c r="LHQ31" s="1266"/>
      <c r="LHR31" s="1266"/>
      <c r="LHS31" s="1266"/>
      <c r="LHT31" s="1266"/>
      <c r="LHU31" s="1266"/>
      <c r="LHV31" s="1266"/>
      <c r="LHW31" s="1266"/>
      <c r="LHX31" s="1266"/>
      <c r="LHY31" s="1266"/>
      <c r="LHZ31" s="1266"/>
      <c r="LIA31" s="1266"/>
      <c r="LIB31" s="1266"/>
      <c r="LIC31" s="1266"/>
      <c r="LID31" s="1266"/>
      <c r="LIE31" s="1266"/>
      <c r="LIF31" s="1266"/>
      <c r="LIG31" s="1266"/>
      <c r="LIH31" s="1266"/>
      <c r="LII31" s="1266"/>
      <c r="LIJ31" s="1266"/>
      <c r="LIK31" s="1266"/>
      <c r="LIL31" s="1266"/>
      <c r="LIM31" s="1266"/>
      <c r="LIN31" s="1266"/>
      <c r="LIO31" s="1266"/>
      <c r="LIP31" s="1266"/>
      <c r="LIQ31" s="1266"/>
      <c r="LIR31" s="1266"/>
      <c r="LIS31" s="1266"/>
      <c r="LIT31" s="1266"/>
      <c r="LIU31" s="1266"/>
      <c r="LIV31" s="1266"/>
      <c r="LIW31" s="1266"/>
      <c r="LIX31" s="1266"/>
      <c r="LIY31" s="1266"/>
      <c r="LIZ31" s="1266"/>
      <c r="LJA31" s="1266"/>
      <c r="LJB31" s="1266"/>
      <c r="LJC31" s="1266"/>
      <c r="LJD31" s="1266"/>
      <c r="LJE31" s="1266"/>
      <c r="LJF31" s="1266"/>
      <c r="LJG31" s="1266"/>
      <c r="LJH31" s="1266"/>
      <c r="LJI31" s="1266"/>
      <c r="LJJ31" s="1266"/>
      <c r="LJK31" s="1266"/>
      <c r="LJL31" s="1266"/>
      <c r="LJM31" s="1266"/>
      <c r="LJN31" s="1266"/>
      <c r="LJO31" s="1266"/>
      <c r="LJP31" s="1266"/>
      <c r="LJQ31" s="1266"/>
      <c r="LJR31" s="1266"/>
      <c r="LJS31" s="1266"/>
      <c r="LJT31" s="1266"/>
      <c r="LJU31" s="1266"/>
      <c r="LJV31" s="1266"/>
      <c r="LJW31" s="1266"/>
      <c r="LJX31" s="1266"/>
      <c r="LJY31" s="1266"/>
      <c r="LJZ31" s="1266"/>
      <c r="LKA31" s="1266"/>
      <c r="LKB31" s="1266"/>
      <c r="LKC31" s="1266"/>
      <c r="LKD31" s="1266"/>
      <c r="LKE31" s="1266"/>
      <c r="LKF31" s="1266"/>
      <c r="LKG31" s="1266"/>
      <c r="LKH31" s="1266"/>
      <c r="LKI31" s="1266"/>
      <c r="LKJ31" s="1266"/>
      <c r="LKK31" s="1266"/>
      <c r="LKL31" s="1266"/>
      <c r="LKM31" s="1266"/>
      <c r="LKN31" s="1266"/>
      <c r="LKO31" s="1266"/>
      <c r="LKP31" s="1266"/>
      <c r="LKQ31" s="1266"/>
      <c r="LKR31" s="1266"/>
      <c r="LKS31" s="1266"/>
      <c r="LKT31" s="1266"/>
      <c r="LKU31" s="1266"/>
      <c r="LKV31" s="1266"/>
      <c r="LKW31" s="1266"/>
      <c r="LKX31" s="1266"/>
      <c r="LKY31" s="1266"/>
      <c r="LKZ31" s="1266"/>
      <c r="LLA31" s="1266"/>
      <c r="LLB31" s="1266"/>
      <c r="LLC31" s="1266"/>
      <c r="LLD31" s="1266"/>
      <c r="LLE31" s="1266"/>
      <c r="LLF31" s="1266"/>
      <c r="LLG31" s="1266"/>
      <c r="LLH31" s="1266"/>
      <c r="LLI31" s="1266"/>
      <c r="LLJ31" s="1266"/>
      <c r="LLK31" s="1266"/>
      <c r="LLL31" s="1266"/>
      <c r="LLM31" s="1266"/>
      <c r="LLN31" s="1266"/>
      <c r="LLO31" s="1266"/>
      <c r="LLP31" s="1266"/>
      <c r="LLQ31" s="1266"/>
      <c r="LLR31" s="1266"/>
      <c r="LLS31" s="1266"/>
      <c r="LLT31" s="1266"/>
      <c r="LLU31" s="1266"/>
      <c r="LLV31" s="1266"/>
      <c r="LLW31" s="1266"/>
      <c r="LLX31" s="1266"/>
      <c r="LLY31" s="1266"/>
      <c r="LLZ31" s="1266"/>
      <c r="LMA31" s="1266"/>
      <c r="LMB31" s="1266"/>
      <c r="LMC31" s="1266"/>
      <c r="LMD31" s="1266"/>
      <c r="LME31" s="1266"/>
      <c r="LMF31" s="1266"/>
      <c r="LMG31" s="1266"/>
      <c r="LMH31" s="1266"/>
      <c r="LMI31" s="1266"/>
      <c r="LMJ31" s="1266"/>
      <c r="LMK31" s="1266"/>
      <c r="LML31" s="1266"/>
      <c r="LMM31" s="1266"/>
      <c r="LMN31" s="1266"/>
      <c r="LMO31" s="1266"/>
      <c r="LMP31" s="1266"/>
      <c r="LMQ31" s="1266"/>
      <c r="LMR31" s="1266"/>
      <c r="LMS31" s="1266"/>
      <c r="LMT31" s="1266"/>
      <c r="LMU31" s="1266"/>
      <c r="LMV31" s="1266"/>
      <c r="LMW31" s="1266"/>
      <c r="LMX31" s="1266"/>
      <c r="LMY31" s="1266"/>
      <c r="LMZ31" s="1266"/>
      <c r="LNA31" s="1266"/>
      <c r="LNB31" s="1266"/>
      <c r="LNC31" s="1266"/>
      <c r="LND31" s="1266"/>
      <c r="LNE31" s="1266"/>
      <c r="LNF31" s="1266"/>
      <c r="LNG31" s="1266"/>
      <c r="LNH31" s="1266"/>
      <c r="LNI31" s="1266"/>
      <c r="LNJ31" s="1266"/>
      <c r="LNK31" s="1266"/>
      <c r="LNL31" s="1266"/>
      <c r="LNM31" s="1266"/>
      <c r="LNN31" s="1266"/>
      <c r="LNO31" s="1266"/>
      <c r="LNP31" s="1266"/>
      <c r="LNQ31" s="1266"/>
      <c r="LNR31" s="1266"/>
      <c r="LNS31" s="1266"/>
      <c r="LNT31" s="1266"/>
      <c r="LNU31" s="1266"/>
      <c r="LNV31" s="1266"/>
      <c r="LNW31" s="1266"/>
      <c r="LNX31" s="1266"/>
      <c r="LNY31" s="1266"/>
      <c r="LNZ31" s="1266"/>
      <c r="LOA31" s="1266"/>
      <c r="LOB31" s="1266"/>
      <c r="LOC31" s="1266"/>
      <c r="LOD31" s="1266"/>
      <c r="LOE31" s="1266"/>
      <c r="LOF31" s="1266"/>
      <c r="LOG31" s="1266"/>
      <c r="LOH31" s="1266"/>
      <c r="LOI31" s="1266"/>
      <c r="LOJ31" s="1266"/>
      <c r="LOK31" s="1266"/>
      <c r="LOL31" s="1266"/>
      <c r="LOM31" s="1266"/>
      <c r="LON31" s="1266"/>
      <c r="LOO31" s="1266"/>
      <c r="LOP31" s="1266"/>
      <c r="LOQ31" s="1266"/>
      <c r="LOR31" s="1266"/>
      <c r="LOS31" s="1266"/>
      <c r="LOT31" s="1266"/>
      <c r="LOU31" s="1266"/>
      <c r="LOV31" s="1266"/>
      <c r="LOW31" s="1266"/>
      <c r="LOX31" s="1266"/>
      <c r="LOY31" s="1266"/>
      <c r="LOZ31" s="1266"/>
      <c r="LPA31" s="1266"/>
      <c r="LPB31" s="1266"/>
      <c r="LPC31" s="1266"/>
      <c r="LPD31" s="1266"/>
      <c r="LPE31" s="1266"/>
      <c r="LPF31" s="1266"/>
      <c r="LPG31" s="1266"/>
      <c r="LPH31" s="1266"/>
      <c r="LPI31" s="1266"/>
      <c r="LPJ31" s="1266"/>
      <c r="LPK31" s="1266"/>
      <c r="LPL31" s="1266"/>
      <c r="LPM31" s="1266"/>
      <c r="LPN31" s="1266"/>
      <c r="LPO31" s="1266"/>
      <c r="LPP31" s="1266"/>
      <c r="LPQ31" s="1266"/>
      <c r="LPR31" s="1266"/>
      <c r="LPS31" s="1266"/>
      <c r="LPT31" s="1266"/>
      <c r="LPU31" s="1266"/>
      <c r="LPV31" s="1266"/>
      <c r="LPW31" s="1266"/>
      <c r="LPX31" s="1266"/>
      <c r="LPY31" s="1266"/>
      <c r="LPZ31" s="1266"/>
      <c r="LQA31" s="1266"/>
      <c r="LQB31" s="1266"/>
      <c r="LQC31" s="1266"/>
      <c r="LQD31" s="1266"/>
      <c r="LQE31" s="1266"/>
      <c r="LQF31" s="1266"/>
      <c r="LQG31" s="1266"/>
      <c r="LQH31" s="1266"/>
      <c r="LQI31" s="1266"/>
      <c r="LQJ31" s="1266"/>
      <c r="LQK31" s="1266"/>
      <c r="LQL31" s="1266"/>
      <c r="LQM31" s="1266"/>
      <c r="LQN31" s="1266"/>
      <c r="LQO31" s="1266"/>
      <c r="LQP31" s="1266"/>
      <c r="LQQ31" s="1266"/>
      <c r="LQR31" s="1266"/>
      <c r="LQS31" s="1266"/>
      <c r="LQT31" s="1266"/>
      <c r="LQU31" s="1266"/>
      <c r="LQV31" s="1266"/>
      <c r="LQW31" s="1266"/>
      <c r="LQX31" s="1266"/>
      <c r="LQY31" s="1266"/>
      <c r="LQZ31" s="1266"/>
      <c r="LRA31" s="1266"/>
      <c r="LRB31" s="1266"/>
      <c r="LRC31" s="1266"/>
      <c r="LRD31" s="1266"/>
      <c r="LRE31" s="1266"/>
      <c r="LRF31" s="1266"/>
      <c r="LRG31" s="1266"/>
      <c r="LRH31" s="1266"/>
      <c r="LRI31" s="1266"/>
      <c r="LRJ31" s="1266"/>
      <c r="LRK31" s="1266"/>
      <c r="LRL31" s="1266"/>
      <c r="LRM31" s="1266"/>
      <c r="LRN31" s="1266"/>
      <c r="LRO31" s="1266"/>
      <c r="LRP31" s="1266"/>
      <c r="LRQ31" s="1266"/>
      <c r="LRR31" s="1266"/>
      <c r="LRS31" s="1266"/>
      <c r="LRT31" s="1266"/>
      <c r="LRU31" s="1266"/>
      <c r="LRV31" s="1266"/>
      <c r="LRW31" s="1266"/>
      <c r="LRX31" s="1266"/>
      <c r="LRY31" s="1266"/>
      <c r="LRZ31" s="1266"/>
      <c r="LSA31" s="1266"/>
      <c r="LSB31" s="1266"/>
      <c r="LSC31" s="1266"/>
      <c r="LSD31" s="1266"/>
      <c r="LSE31" s="1266"/>
      <c r="LSF31" s="1266"/>
      <c r="LSG31" s="1266"/>
      <c r="LSH31" s="1266"/>
      <c r="LSI31" s="1266"/>
      <c r="LSJ31" s="1266"/>
      <c r="LSK31" s="1266"/>
      <c r="LSL31" s="1266"/>
      <c r="LSM31" s="1266"/>
      <c r="LSN31" s="1266"/>
      <c r="LSO31" s="1266"/>
      <c r="LSP31" s="1266"/>
      <c r="LSQ31" s="1266"/>
      <c r="LSR31" s="1266"/>
      <c r="LSS31" s="1266"/>
      <c r="LST31" s="1266"/>
      <c r="LSU31" s="1266"/>
      <c r="LSV31" s="1266"/>
      <c r="LSW31" s="1266"/>
      <c r="LSX31" s="1266"/>
      <c r="LSY31" s="1266"/>
      <c r="LSZ31" s="1266"/>
      <c r="LTA31" s="1266"/>
      <c r="LTB31" s="1266"/>
      <c r="LTC31" s="1266"/>
      <c r="LTD31" s="1266"/>
      <c r="LTE31" s="1266"/>
      <c r="LTF31" s="1266"/>
      <c r="LTG31" s="1266"/>
      <c r="LTH31" s="1266"/>
      <c r="LTI31" s="1266"/>
      <c r="LTJ31" s="1266"/>
      <c r="LTK31" s="1266"/>
      <c r="LTL31" s="1266"/>
      <c r="LTM31" s="1266"/>
      <c r="LTN31" s="1266"/>
      <c r="LTO31" s="1266"/>
      <c r="LTP31" s="1266"/>
      <c r="LTQ31" s="1266"/>
      <c r="LTR31" s="1266"/>
      <c r="LTS31" s="1266"/>
      <c r="LTT31" s="1266"/>
      <c r="LTU31" s="1266"/>
      <c r="LTV31" s="1266"/>
      <c r="LTW31" s="1266"/>
      <c r="LTX31" s="1266"/>
      <c r="LTY31" s="1266"/>
      <c r="LTZ31" s="1266"/>
      <c r="LUA31" s="1266"/>
      <c r="LUB31" s="1266"/>
      <c r="LUC31" s="1266"/>
      <c r="LUD31" s="1266"/>
      <c r="LUE31" s="1266"/>
      <c r="LUF31" s="1266"/>
      <c r="LUG31" s="1266"/>
      <c r="LUH31" s="1266"/>
      <c r="LUI31" s="1266"/>
      <c r="LUJ31" s="1266"/>
      <c r="LUK31" s="1266"/>
      <c r="LUL31" s="1266"/>
      <c r="LUM31" s="1266"/>
      <c r="LUN31" s="1266"/>
      <c r="LUO31" s="1266"/>
      <c r="LUP31" s="1266"/>
      <c r="LUQ31" s="1266"/>
      <c r="LUR31" s="1266"/>
      <c r="LUS31" s="1266"/>
      <c r="LUT31" s="1266"/>
      <c r="LUU31" s="1266"/>
      <c r="LUV31" s="1266"/>
      <c r="LUW31" s="1266"/>
      <c r="LUX31" s="1266"/>
      <c r="LUY31" s="1266"/>
      <c r="LUZ31" s="1266"/>
      <c r="LVA31" s="1266"/>
      <c r="LVB31" s="1266"/>
      <c r="LVC31" s="1266"/>
      <c r="LVD31" s="1266"/>
      <c r="LVE31" s="1266"/>
      <c r="LVF31" s="1266"/>
      <c r="LVG31" s="1266"/>
      <c r="LVH31" s="1266"/>
      <c r="LVI31" s="1266"/>
      <c r="LVJ31" s="1266"/>
      <c r="LVK31" s="1266"/>
      <c r="LVL31" s="1266"/>
      <c r="LVM31" s="1266"/>
      <c r="LVN31" s="1266"/>
      <c r="LVO31" s="1266"/>
      <c r="LVP31" s="1266"/>
      <c r="LVQ31" s="1266"/>
      <c r="LVR31" s="1266"/>
      <c r="LVS31" s="1266"/>
      <c r="LVT31" s="1266"/>
      <c r="LVU31" s="1266"/>
      <c r="LVV31" s="1266"/>
      <c r="LVW31" s="1266"/>
      <c r="LVX31" s="1266"/>
      <c r="LVY31" s="1266"/>
      <c r="LVZ31" s="1266"/>
      <c r="LWA31" s="1266"/>
      <c r="LWB31" s="1266"/>
      <c r="LWC31" s="1266"/>
      <c r="LWD31" s="1266"/>
      <c r="LWE31" s="1266"/>
      <c r="LWF31" s="1266"/>
      <c r="LWG31" s="1266"/>
      <c r="LWH31" s="1266"/>
      <c r="LWI31" s="1266"/>
      <c r="LWJ31" s="1266"/>
      <c r="LWK31" s="1266"/>
      <c r="LWL31" s="1266"/>
      <c r="LWM31" s="1266"/>
      <c r="LWN31" s="1266"/>
      <c r="LWO31" s="1266"/>
      <c r="LWP31" s="1266"/>
      <c r="LWQ31" s="1266"/>
      <c r="LWR31" s="1266"/>
      <c r="LWS31" s="1266"/>
      <c r="LWT31" s="1266"/>
      <c r="LWU31" s="1266"/>
      <c r="LWV31" s="1266"/>
      <c r="LWW31" s="1266"/>
      <c r="LWX31" s="1266"/>
      <c r="LWY31" s="1266"/>
      <c r="LWZ31" s="1266"/>
      <c r="LXA31" s="1266"/>
      <c r="LXB31" s="1266"/>
      <c r="LXC31" s="1266"/>
      <c r="LXD31" s="1266"/>
      <c r="LXE31" s="1266"/>
      <c r="LXF31" s="1266"/>
      <c r="LXG31" s="1266"/>
      <c r="LXH31" s="1266"/>
      <c r="LXI31" s="1266"/>
      <c r="LXJ31" s="1266"/>
      <c r="LXK31" s="1266"/>
      <c r="LXL31" s="1266"/>
      <c r="LXM31" s="1266"/>
      <c r="LXN31" s="1266"/>
      <c r="LXO31" s="1266"/>
      <c r="LXP31" s="1266"/>
      <c r="LXQ31" s="1266"/>
      <c r="LXR31" s="1266"/>
      <c r="LXS31" s="1266"/>
      <c r="LXT31" s="1266"/>
      <c r="LXU31" s="1266"/>
      <c r="LXV31" s="1266"/>
      <c r="LXW31" s="1266"/>
      <c r="LXX31" s="1266"/>
      <c r="LXY31" s="1266"/>
      <c r="LXZ31" s="1266"/>
      <c r="LYA31" s="1266"/>
      <c r="LYB31" s="1266"/>
      <c r="LYC31" s="1266"/>
      <c r="LYD31" s="1266"/>
      <c r="LYE31" s="1266"/>
      <c r="LYF31" s="1266"/>
      <c r="LYG31" s="1266"/>
      <c r="LYH31" s="1266"/>
      <c r="LYI31" s="1266"/>
      <c r="LYJ31" s="1266"/>
      <c r="LYK31" s="1266"/>
      <c r="LYL31" s="1266"/>
      <c r="LYM31" s="1266"/>
      <c r="LYN31" s="1266"/>
      <c r="LYO31" s="1266"/>
      <c r="LYP31" s="1266"/>
      <c r="LYQ31" s="1266"/>
      <c r="LYR31" s="1266"/>
      <c r="LYS31" s="1266"/>
      <c r="LYT31" s="1266"/>
      <c r="LYU31" s="1266"/>
      <c r="LYV31" s="1266"/>
      <c r="LYW31" s="1266"/>
      <c r="LYX31" s="1266"/>
      <c r="LYY31" s="1266"/>
      <c r="LYZ31" s="1266"/>
      <c r="LZA31" s="1266"/>
      <c r="LZB31" s="1266"/>
      <c r="LZC31" s="1266"/>
      <c r="LZD31" s="1266"/>
      <c r="LZE31" s="1266"/>
      <c r="LZF31" s="1266"/>
      <c r="LZG31" s="1266"/>
      <c r="LZH31" s="1266"/>
      <c r="LZI31" s="1266"/>
      <c r="LZJ31" s="1266"/>
      <c r="LZK31" s="1266"/>
      <c r="LZL31" s="1266"/>
      <c r="LZM31" s="1266"/>
      <c r="LZN31" s="1266"/>
      <c r="LZO31" s="1266"/>
      <c r="LZP31" s="1266"/>
      <c r="LZQ31" s="1266"/>
      <c r="LZR31" s="1266"/>
      <c r="LZS31" s="1266"/>
      <c r="LZT31" s="1266"/>
      <c r="LZU31" s="1266"/>
      <c r="LZV31" s="1266"/>
      <c r="LZW31" s="1266"/>
      <c r="LZX31" s="1266"/>
      <c r="LZY31" s="1266"/>
      <c r="LZZ31" s="1266"/>
      <c r="MAA31" s="1266"/>
      <c r="MAB31" s="1266"/>
      <c r="MAC31" s="1266"/>
      <c r="MAD31" s="1266"/>
      <c r="MAE31" s="1266"/>
      <c r="MAF31" s="1266"/>
      <c r="MAG31" s="1266"/>
      <c r="MAH31" s="1266"/>
      <c r="MAI31" s="1266"/>
      <c r="MAJ31" s="1266"/>
      <c r="MAK31" s="1266"/>
      <c r="MAL31" s="1266"/>
      <c r="MAM31" s="1266"/>
      <c r="MAN31" s="1266"/>
      <c r="MAO31" s="1266"/>
      <c r="MAP31" s="1266"/>
      <c r="MAQ31" s="1266"/>
      <c r="MAR31" s="1266"/>
      <c r="MAS31" s="1266"/>
      <c r="MAT31" s="1266"/>
      <c r="MAU31" s="1266"/>
      <c r="MAV31" s="1266"/>
      <c r="MAW31" s="1266"/>
      <c r="MAX31" s="1266"/>
      <c r="MAY31" s="1266"/>
      <c r="MAZ31" s="1266"/>
      <c r="MBA31" s="1266"/>
      <c r="MBB31" s="1266"/>
      <c r="MBC31" s="1266"/>
      <c r="MBD31" s="1266"/>
      <c r="MBE31" s="1266"/>
      <c r="MBF31" s="1266"/>
      <c r="MBG31" s="1266"/>
      <c r="MBH31" s="1266"/>
      <c r="MBI31" s="1266"/>
      <c r="MBJ31" s="1266"/>
      <c r="MBK31" s="1266"/>
      <c r="MBL31" s="1266"/>
      <c r="MBM31" s="1266"/>
      <c r="MBN31" s="1266"/>
      <c r="MBO31" s="1266"/>
      <c r="MBP31" s="1266"/>
      <c r="MBQ31" s="1266"/>
      <c r="MBR31" s="1266"/>
      <c r="MBS31" s="1266"/>
      <c r="MBT31" s="1266"/>
      <c r="MBU31" s="1266"/>
      <c r="MBV31" s="1266"/>
      <c r="MBW31" s="1266"/>
      <c r="MBX31" s="1266"/>
      <c r="MBY31" s="1266"/>
      <c r="MBZ31" s="1266"/>
      <c r="MCA31" s="1266"/>
      <c r="MCB31" s="1266"/>
      <c r="MCC31" s="1266"/>
      <c r="MCD31" s="1266"/>
      <c r="MCE31" s="1266"/>
      <c r="MCF31" s="1266"/>
      <c r="MCG31" s="1266"/>
      <c r="MCH31" s="1266"/>
      <c r="MCI31" s="1266"/>
      <c r="MCJ31" s="1266"/>
      <c r="MCK31" s="1266"/>
      <c r="MCL31" s="1266"/>
      <c r="MCM31" s="1266"/>
      <c r="MCN31" s="1266"/>
      <c r="MCO31" s="1266"/>
      <c r="MCP31" s="1266"/>
      <c r="MCQ31" s="1266"/>
      <c r="MCR31" s="1266"/>
      <c r="MCS31" s="1266"/>
      <c r="MCT31" s="1266"/>
      <c r="MCU31" s="1266"/>
      <c r="MCV31" s="1266"/>
      <c r="MCW31" s="1266"/>
      <c r="MCX31" s="1266"/>
      <c r="MCY31" s="1266"/>
      <c r="MCZ31" s="1266"/>
      <c r="MDA31" s="1266"/>
      <c r="MDB31" s="1266"/>
      <c r="MDC31" s="1266"/>
      <c r="MDD31" s="1266"/>
      <c r="MDE31" s="1266"/>
      <c r="MDF31" s="1266"/>
      <c r="MDG31" s="1266"/>
      <c r="MDH31" s="1266"/>
      <c r="MDI31" s="1266"/>
      <c r="MDJ31" s="1266"/>
      <c r="MDK31" s="1266"/>
      <c r="MDL31" s="1266"/>
      <c r="MDM31" s="1266"/>
      <c r="MDN31" s="1266"/>
      <c r="MDO31" s="1266"/>
      <c r="MDP31" s="1266"/>
      <c r="MDQ31" s="1266"/>
      <c r="MDR31" s="1266"/>
      <c r="MDS31" s="1266"/>
      <c r="MDT31" s="1266"/>
      <c r="MDU31" s="1266"/>
      <c r="MDV31" s="1266"/>
      <c r="MDW31" s="1266"/>
      <c r="MDX31" s="1266"/>
      <c r="MDY31" s="1266"/>
      <c r="MDZ31" s="1266"/>
      <c r="MEA31" s="1266"/>
      <c r="MEB31" s="1266"/>
      <c r="MEC31" s="1266"/>
      <c r="MED31" s="1266"/>
      <c r="MEE31" s="1266"/>
      <c r="MEF31" s="1266"/>
      <c r="MEG31" s="1266"/>
      <c r="MEH31" s="1266"/>
      <c r="MEI31" s="1266"/>
      <c r="MEJ31" s="1266"/>
      <c r="MEK31" s="1266"/>
      <c r="MEL31" s="1266"/>
      <c r="MEM31" s="1266"/>
      <c r="MEN31" s="1266"/>
      <c r="MEO31" s="1266"/>
      <c r="MEP31" s="1266"/>
      <c r="MEQ31" s="1266"/>
      <c r="MER31" s="1266"/>
      <c r="MES31" s="1266"/>
      <c r="MET31" s="1266"/>
      <c r="MEU31" s="1266"/>
      <c r="MEV31" s="1266"/>
      <c r="MEW31" s="1266"/>
      <c r="MEX31" s="1266"/>
      <c r="MEY31" s="1266"/>
      <c r="MEZ31" s="1266"/>
      <c r="MFA31" s="1266"/>
      <c r="MFB31" s="1266"/>
      <c r="MFC31" s="1266"/>
      <c r="MFD31" s="1266"/>
      <c r="MFE31" s="1266"/>
      <c r="MFF31" s="1266"/>
      <c r="MFG31" s="1266"/>
      <c r="MFH31" s="1266"/>
      <c r="MFI31" s="1266"/>
      <c r="MFJ31" s="1266"/>
      <c r="MFK31" s="1266"/>
      <c r="MFL31" s="1266"/>
      <c r="MFM31" s="1266"/>
      <c r="MFN31" s="1266"/>
      <c r="MFO31" s="1266"/>
      <c r="MFP31" s="1266"/>
      <c r="MFQ31" s="1266"/>
      <c r="MFR31" s="1266"/>
      <c r="MFS31" s="1266"/>
      <c r="MFT31" s="1266"/>
      <c r="MFU31" s="1266"/>
      <c r="MFV31" s="1266"/>
      <c r="MFW31" s="1266"/>
      <c r="MFX31" s="1266"/>
      <c r="MFY31" s="1266"/>
      <c r="MFZ31" s="1266"/>
      <c r="MGA31" s="1266"/>
      <c r="MGB31" s="1266"/>
      <c r="MGC31" s="1266"/>
      <c r="MGD31" s="1266"/>
      <c r="MGE31" s="1266"/>
      <c r="MGF31" s="1266"/>
      <c r="MGG31" s="1266"/>
      <c r="MGH31" s="1266"/>
      <c r="MGI31" s="1266"/>
      <c r="MGJ31" s="1266"/>
      <c r="MGK31" s="1266"/>
      <c r="MGL31" s="1266"/>
      <c r="MGM31" s="1266"/>
      <c r="MGN31" s="1266"/>
      <c r="MGO31" s="1266"/>
      <c r="MGP31" s="1266"/>
      <c r="MGQ31" s="1266"/>
      <c r="MGR31" s="1266"/>
      <c r="MGS31" s="1266"/>
      <c r="MGT31" s="1266"/>
      <c r="MGU31" s="1266"/>
      <c r="MGV31" s="1266"/>
      <c r="MGW31" s="1266"/>
      <c r="MGX31" s="1266"/>
      <c r="MGY31" s="1266"/>
      <c r="MGZ31" s="1266"/>
      <c r="MHA31" s="1266"/>
      <c r="MHB31" s="1266"/>
      <c r="MHC31" s="1266"/>
      <c r="MHD31" s="1266"/>
      <c r="MHE31" s="1266"/>
      <c r="MHF31" s="1266"/>
      <c r="MHG31" s="1266"/>
      <c r="MHH31" s="1266"/>
      <c r="MHI31" s="1266"/>
      <c r="MHJ31" s="1266"/>
      <c r="MHK31" s="1266"/>
      <c r="MHL31" s="1266"/>
      <c r="MHM31" s="1266"/>
      <c r="MHN31" s="1266"/>
      <c r="MHO31" s="1266"/>
      <c r="MHP31" s="1266"/>
      <c r="MHQ31" s="1266"/>
      <c r="MHR31" s="1266"/>
      <c r="MHS31" s="1266"/>
      <c r="MHT31" s="1266"/>
      <c r="MHU31" s="1266"/>
      <c r="MHV31" s="1266"/>
      <c r="MHW31" s="1266"/>
      <c r="MHX31" s="1266"/>
      <c r="MHY31" s="1266"/>
      <c r="MHZ31" s="1266"/>
      <c r="MIA31" s="1266"/>
      <c r="MIB31" s="1266"/>
      <c r="MIC31" s="1266"/>
      <c r="MID31" s="1266"/>
      <c r="MIE31" s="1266"/>
      <c r="MIF31" s="1266"/>
      <c r="MIG31" s="1266"/>
      <c r="MIH31" s="1266"/>
      <c r="MII31" s="1266"/>
      <c r="MIJ31" s="1266"/>
      <c r="MIK31" s="1266"/>
      <c r="MIL31" s="1266"/>
      <c r="MIM31" s="1266"/>
      <c r="MIN31" s="1266"/>
      <c r="MIO31" s="1266"/>
      <c r="MIP31" s="1266"/>
      <c r="MIQ31" s="1266"/>
      <c r="MIR31" s="1266"/>
      <c r="MIS31" s="1266"/>
      <c r="MIT31" s="1266"/>
      <c r="MIU31" s="1266"/>
      <c r="MIV31" s="1266"/>
      <c r="MIW31" s="1266"/>
      <c r="MIX31" s="1266"/>
      <c r="MIY31" s="1266"/>
      <c r="MIZ31" s="1266"/>
      <c r="MJA31" s="1266"/>
      <c r="MJB31" s="1266"/>
      <c r="MJC31" s="1266"/>
      <c r="MJD31" s="1266"/>
      <c r="MJE31" s="1266"/>
      <c r="MJF31" s="1266"/>
      <c r="MJG31" s="1266"/>
      <c r="MJH31" s="1266"/>
      <c r="MJI31" s="1266"/>
      <c r="MJJ31" s="1266"/>
      <c r="MJK31" s="1266"/>
      <c r="MJL31" s="1266"/>
      <c r="MJM31" s="1266"/>
      <c r="MJN31" s="1266"/>
      <c r="MJO31" s="1266"/>
      <c r="MJP31" s="1266"/>
      <c r="MJQ31" s="1266"/>
      <c r="MJR31" s="1266"/>
      <c r="MJS31" s="1266"/>
      <c r="MJT31" s="1266"/>
      <c r="MJU31" s="1266"/>
      <c r="MJV31" s="1266"/>
      <c r="MJW31" s="1266"/>
      <c r="MJX31" s="1266"/>
      <c r="MJY31" s="1266"/>
      <c r="MJZ31" s="1266"/>
      <c r="MKA31" s="1266"/>
      <c r="MKB31" s="1266"/>
      <c r="MKC31" s="1266"/>
      <c r="MKD31" s="1266"/>
      <c r="MKE31" s="1266"/>
      <c r="MKF31" s="1266"/>
      <c r="MKG31" s="1266"/>
      <c r="MKH31" s="1266"/>
      <c r="MKI31" s="1266"/>
      <c r="MKJ31" s="1266"/>
      <c r="MKK31" s="1266"/>
      <c r="MKL31" s="1266"/>
      <c r="MKM31" s="1266"/>
      <c r="MKN31" s="1266"/>
      <c r="MKO31" s="1266"/>
      <c r="MKP31" s="1266"/>
      <c r="MKQ31" s="1266"/>
      <c r="MKR31" s="1266"/>
      <c r="MKS31" s="1266"/>
      <c r="MKT31" s="1266"/>
      <c r="MKU31" s="1266"/>
      <c r="MKV31" s="1266"/>
      <c r="MKW31" s="1266"/>
      <c r="MKX31" s="1266"/>
      <c r="MKY31" s="1266"/>
      <c r="MKZ31" s="1266"/>
      <c r="MLA31" s="1266"/>
      <c r="MLB31" s="1266"/>
      <c r="MLC31" s="1266"/>
      <c r="MLD31" s="1266"/>
      <c r="MLE31" s="1266"/>
      <c r="MLF31" s="1266"/>
      <c r="MLG31" s="1266"/>
      <c r="MLH31" s="1266"/>
      <c r="MLI31" s="1266"/>
      <c r="MLJ31" s="1266"/>
      <c r="MLK31" s="1266"/>
      <c r="MLL31" s="1266"/>
      <c r="MLM31" s="1266"/>
      <c r="MLN31" s="1266"/>
      <c r="MLO31" s="1266"/>
      <c r="MLP31" s="1266"/>
      <c r="MLQ31" s="1266"/>
      <c r="MLR31" s="1266"/>
      <c r="MLS31" s="1266"/>
      <c r="MLT31" s="1266"/>
      <c r="MLU31" s="1266"/>
      <c r="MLV31" s="1266"/>
      <c r="MLW31" s="1266"/>
      <c r="MLX31" s="1266"/>
      <c r="MLY31" s="1266"/>
      <c r="MLZ31" s="1266"/>
      <c r="MMA31" s="1266"/>
      <c r="MMB31" s="1266"/>
      <c r="MMC31" s="1266"/>
      <c r="MMD31" s="1266"/>
      <c r="MME31" s="1266"/>
      <c r="MMF31" s="1266"/>
      <c r="MMG31" s="1266"/>
      <c r="MMH31" s="1266"/>
      <c r="MMI31" s="1266"/>
      <c r="MMJ31" s="1266"/>
      <c r="MMK31" s="1266"/>
      <c r="MML31" s="1266"/>
      <c r="MMM31" s="1266"/>
      <c r="MMN31" s="1266"/>
      <c r="MMO31" s="1266"/>
      <c r="MMP31" s="1266"/>
      <c r="MMQ31" s="1266"/>
      <c r="MMR31" s="1266"/>
      <c r="MMS31" s="1266"/>
      <c r="MMT31" s="1266"/>
      <c r="MMU31" s="1266"/>
      <c r="MMV31" s="1266"/>
      <c r="MMW31" s="1266"/>
      <c r="MMX31" s="1266"/>
      <c r="MMY31" s="1266"/>
      <c r="MMZ31" s="1266"/>
      <c r="MNA31" s="1266"/>
      <c r="MNB31" s="1266"/>
      <c r="MNC31" s="1266"/>
      <c r="MND31" s="1266"/>
      <c r="MNE31" s="1266"/>
      <c r="MNF31" s="1266"/>
      <c r="MNG31" s="1266"/>
      <c r="MNH31" s="1266"/>
      <c r="MNI31" s="1266"/>
      <c r="MNJ31" s="1266"/>
      <c r="MNK31" s="1266"/>
      <c r="MNL31" s="1266"/>
      <c r="MNM31" s="1266"/>
      <c r="MNN31" s="1266"/>
      <c r="MNO31" s="1266"/>
      <c r="MNP31" s="1266"/>
      <c r="MNQ31" s="1266"/>
      <c r="MNR31" s="1266"/>
      <c r="MNS31" s="1266"/>
      <c r="MNT31" s="1266"/>
      <c r="MNU31" s="1266"/>
      <c r="MNV31" s="1266"/>
      <c r="MNW31" s="1266"/>
      <c r="MNX31" s="1266"/>
      <c r="MNY31" s="1266"/>
      <c r="MNZ31" s="1266"/>
      <c r="MOA31" s="1266"/>
      <c r="MOB31" s="1266"/>
      <c r="MOC31" s="1266"/>
      <c r="MOD31" s="1266"/>
      <c r="MOE31" s="1266"/>
      <c r="MOF31" s="1266"/>
      <c r="MOG31" s="1266"/>
      <c r="MOH31" s="1266"/>
      <c r="MOI31" s="1266"/>
      <c r="MOJ31" s="1266"/>
      <c r="MOK31" s="1266"/>
      <c r="MOL31" s="1266"/>
      <c r="MOM31" s="1266"/>
      <c r="MON31" s="1266"/>
      <c r="MOO31" s="1266"/>
      <c r="MOP31" s="1266"/>
      <c r="MOQ31" s="1266"/>
      <c r="MOR31" s="1266"/>
      <c r="MOS31" s="1266"/>
      <c r="MOT31" s="1266"/>
      <c r="MOU31" s="1266"/>
      <c r="MOV31" s="1266"/>
      <c r="MOW31" s="1266"/>
      <c r="MOX31" s="1266"/>
      <c r="MOY31" s="1266"/>
      <c r="MOZ31" s="1266"/>
      <c r="MPA31" s="1266"/>
      <c r="MPB31" s="1266"/>
      <c r="MPC31" s="1266"/>
      <c r="MPD31" s="1266"/>
      <c r="MPE31" s="1266"/>
      <c r="MPF31" s="1266"/>
      <c r="MPG31" s="1266"/>
      <c r="MPH31" s="1266"/>
      <c r="MPI31" s="1266"/>
      <c r="MPJ31" s="1266"/>
      <c r="MPK31" s="1266"/>
      <c r="MPL31" s="1266"/>
      <c r="MPM31" s="1266"/>
      <c r="MPN31" s="1266"/>
      <c r="MPO31" s="1266"/>
      <c r="MPP31" s="1266"/>
      <c r="MPQ31" s="1266"/>
      <c r="MPR31" s="1266"/>
      <c r="MPS31" s="1266"/>
      <c r="MPT31" s="1266"/>
      <c r="MPU31" s="1266"/>
      <c r="MPV31" s="1266"/>
      <c r="MPW31" s="1266"/>
      <c r="MPX31" s="1266"/>
      <c r="MPY31" s="1266"/>
      <c r="MPZ31" s="1266"/>
      <c r="MQA31" s="1266"/>
      <c r="MQB31" s="1266"/>
      <c r="MQC31" s="1266"/>
      <c r="MQD31" s="1266"/>
      <c r="MQE31" s="1266"/>
      <c r="MQF31" s="1266"/>
      <c r="MQG31" s="1266"/>
      <c r="MQH31" s="1266"/>
      <c r="MQI31" s="1266"/>
      <c r="MQJ31" s="1266"/>
      <c r="MQK31" s="1266"/>
      <c r="MQL31" s="1266"/>
      <c r="MQM31" s="1266"/>
      <c r="MQN31" s="1266"/>
      <c r="MQO31" s="1266"/>
      <c r="MQP31" s="1266"/>
      <c r="MQQ31" s="1266"/>
      <c r="MQR31" s="1266"/>
      <c r="MQS31" s="1266"/>
      <c r="MQT31" s="1266"/>
      <c r="MQU31" s="1266"/>
      <c r="MQV31" s="1266"/>
      <c r="MQW31" s="1266"/>
      <c r="MQX31" s="1266"/>
      <c r="MQY31" s="1266"/>
      <c r="MQZ31" s="1266"/>
      <c r="MRA31" s="1266"/>
      <c r="MRB31" s="1266"/>
      <c r="MRC31" s="1266"/>
      <c r="MRD31" s="1266"/>
      <c r="MRE31" s="1266"/>
      <c r="MRF31" s="1266"/>
      <c r="MRG31" s="1266"/>
      <c r="MRH31" s="1266"/>
      <c r="MRI31" s="1266"/>
      <c r="MRJ31" s="1266"/>
      <c r="MRK31" s="1266"/>
      <c r="MRL31" s="1266"/>
      <c r="MRM31" s="1266"/>
      <c r="MRN31" s="1266"/>
      <c r="MRO31" s="1266"/>
      <c r="MRP31" s="1266"/>
      <c r="MRQ31" s="1266"/>
      <c r="MRR31" s="1266"/>
      <c r="MRS31" s="1266"/>
      <c r="MRT31" s="1266"/>
      <c r="MRU31" s="1266"/>
      <c r="MRV31" s="1266"/>
      <c r="MRW31" s="1266"/>
      <c r="MRX31" s="1266"/>
      <c r="MRY31" s="1266"/>
      <c r="MRZ31" s="1266"/>
      <c r="MSA31" s="1266"/>
      <c r="MSB31" s="1266"/>
      <c r="MSC31" s="1266"/>
      <c r="MSD31" s="1266"/>
      <c r="MSE31" s="1266"/>
      <c r="MSF31" s="1266"/>
      <c r="MSG31" s="1266"/>
      <c r="MSH31" s="1266"/>
      <c r="MSI31" s="1266"/>
      <c r="MSJ31" s="1266"/>
      <c r="MSK31" s="1266"/>
      <c r="MSL31" s="1266"/>
      <c r="MSM31" s="1266"/>
      <c r="MSN31" s="1266"/>
      <c r="MSO31" s="1266"/>
      <c r="MSP31" s="1266"/>
      <c r="MSQ31" s="1266"/>
      <c r="MSR31" s="1266"/>
      <c r="MSS31" s="1266"/>
      <c r="MST31" s="1266"/>
      <c r="MSU31" s="1266"/>
      <c r="MSV31" s="1266"/>
      <c r="MSW31" s="1266"/>
      <c r="MSX31" s="1266"/>
      <c r="MSY31" s="1266"/>
      <c r="MSZ31" s="1266"/>
      <c r="MTA31" s="1266"/>
      <c r="MTB31" s="1266"/>
      <c r="MTC31" s="1266"/>
      <c r="MTD31" s="1266"/>
      <c r="MTE31" s="1266"/>
      <c r="MTF31" s="1266"/>
      <c r="MTG31" s="1266"/>
      <c r="MTH31" s="1266"/>
      <c r="MTI31" s="1266"/>
      <c r="MTJ31" s="1266"/>
      <c r="MTK31" s="1266"/>
      <c r="MTL31" s="1266"/>
      <c r="MTM31" s="1266"/>
      <c r="MTN31" s="1266"/>
      <c r="MTO31" s="1266"/>
      <c r="MTP31" s="1266"/>
      <c r="MTQ31" s="1266"/>
      <c r="MTR31" s="1266"/>
      <c r="MTS31" s="1266"/>
      <c r="MTT31" s="1266"/>
      <c r="MTU31" s="1266"/>
      <c r="MTV31" s="1266"/>
      <c r="MTW31" s="1266"/>
      <c r="MTX31" s="1266"/>
      <c r="MTY31" s="1266"/>
      <c r="MTZ31" s="1266"/>
      <c r="MUA31" s="1266"/>
      <c r="MUB31" s="1266"/>
      <c r="MUC31" s="1266"/>
      <c r="MUD31" s="1266"/>
      <c r="MUE31" s="1266"/>
      <c r="MUF31" s="1266"/>
      <c r="MUG31" s="1266"/>
      <c r="MUH31" s="1266"/>
      <c r="MUI31" s="1266"/>
      <c r="MUJ31" s="1266"/>
      <c r="MUK31" s="1266"/>
      <c r="MUL31" s="1266"/>
      <c r="MUM31" s="1266"/>
      <c r="MUN31" s="1266"/>
      <c r="MUO31" s="1266"/>
      <c r="MUP31" s="1266"/>
      <c r="MUQ31" s="1266"/>
      <c r="MUR31" s="1266"/>
      <c r="MUS31" s="1266"/>
      <c r="MUT31" s="1266"/>
      <c r="MUU31" s="1266"/>
      <c r="MUV31" s="1266"/>
      <c r="MUW31" s="1266"/>
      <c r="MUX31" s="1266"/>
      <c r="MUY31" s="1266"/>
      <c r="MUZ31" s="1266"/>
      <c r="MVA31" s="1266"/>
      <c r="MVB31" s="1266"/>
      <c r="MVC31" s="1266"/>
      <c r="MVD31" s="1266"/>
      <c r="MVE31" s="1266"/>
      <c r="MVF31" s="1266"/>
      <c r="MVG31" s="1266"/>
      <c r="MVH31" s="1266"/>
      <c r="MVI31" s="1266"/>
      <c r="MVJ31" s="1266"/>
      <c r="MVK31" s="1266"/>
      <c r="MVL31" s="1266"/>
      <c r="MVM31" s="1266"/>
      <c r="MVN31" s="1266"/>
      <c r="MVO31" s="1266"/>
      <c r="MVP31" s="1266"/>
      <c r="MVQ31" s="1266"/>
      <c r="MVR31" s="1266"/>
      <c r="MVS31" s="1266"/>
      <c r="MVT31" s="1266"/>
      <c r="MVU31" s="1266"/>
      <c r="MVV31" s="1266"/>
      <c r="MVW31" s="1266"/>
      <c r="MVX31" s="1266"/>
      <c r="MVY31" s="1266"/>
      <c r="MVZ31" s="1266"/>
      <c r="MWA31" s="1266"/>
      <c r="MWB31" s="1266"/>
      <c r="MWC31" s="1266"/>
      <c r="MWD31" s="1266"/>
      <c r="MWE31" s="1266"/>
      <c r="MWF31" s="1266"/>
      <c r="MWG31" s="1266"/>
      <c r="MWH31" s="1266"/>
      <c r="MWI31" s="1266"/>
      <c r="MWJ31" s="1266"/>
      <c r="MWK31" s="1266"/>
      <c r="MWL31" s="1266"/>
      <c r="MWM31" s="1266"/>
      <c r="MWN31" s="1266"/>
      <c r="MWO31" s="1266"/>
      <c r="MWP31" s="1266"/>
      <c r="MWQ31" s="1266"/>
      <c r="MWR31" s="1266"/>
      <c r="MWS31" s="1266"/>
      <c r="MWT31" s="1266"/>
      <c r="MWU31" s="1266"/>
      <c r="MWV31" s="1266"/>
      <c r="MWW31" s="1266"/>
      <c r="MWX31" s="1266"/>
      <c r="MWY31" s="1266"/>
      <c r="MWZ31" s="1266"/>
      <c r="MXA31" s="1266"/>
      <c r="MXB31" s="1266"/>
      <c r="MXC31" s="1266"/>
      <c r="MXD31" s="1266"/>
      <c r="MXE31" s="1266"/>
      <c r="MXF31" s="1266"/>
      <c r="MXG31" s="1266"/>
      <c r="MXH31" s="1266"/>
      <c r="MXI31" s="1266"/>
      <c r="MXJ31" s="1266"/>
      <c r="MXK31" s="1266"/>
      <c r="MXL31" s="1266"/>
      <c r="MXM31" s="1266"/>
      <c r="MXN31" s="1266"/>
      <c r="MXO31" s="1266"/>
      <c r="MXP31" s="1266"/>
      <c r="MXQ31" s="1266"/>
      <c r="MXR31" s="1266"/>
      <c r="MXS31" s="1266"/>
      <c r="MXT31" s="1266"/>
      <c r="MXU31" s="1266"/>
      <c r="MXV31" s="1266"/>
      <c r="MXW31" s="1266"/>
      <c r="MXX31" s="1266"/>
      <c r="MXY31" s="1266"/>
      <c r="MXZ31" s="1266"/>
      <c r="MYA31" s="1266"/>
      <c r="MYB31" s="1266"/>
      <c r="MYC31" s="1266"/>
      <c r="MYD31" s="1266"/>
      <c r="MYE31" s="1266"/>
      <c r="MYF31" s="1266"/>
      <c r="MYG31" s="1266"/>
      <c r="MYH31" s="1266"/>
      <c r="MYI31" s="1266"/>
      <c r="MYJ31" s="1266"/>
      <c r="MYK31" s="1266"/>
      <c r="MYL31" s="1266"/>
      <c r="MYM31" s="1266"/>
      <c r="MYN31" s="1266"/>
      <c r="MYO31" s="1266"/>
      <c r="MYP31" s="1266"/>
      <c r="MYQ31" s="1266"/>
      <c r="MYR31" s="1266"/>
      <c r="MYS31" s="1266"/>
      <c r="MYT31" s="1266"/>
      <c r="MYU31" s="1266"/>
      <c r="MYV31" s="1266"/>
      <c r="MYW31" s="1266"/>
      <c r="MYX31" s="1266"/>
      <c r="MYY31" s="1266"/>
      <c r="MYZ31" s="1266"/>
      <c r="MZA31" s="1266"/>
      <c r="MZB31" s="1266"/>
      <c r="MZC31" s="1266"/>
      <c r="MZD31" s="1266"/>
      <c r="MZE31" s="1266"/>
      <c r="MZF31" s="1266"/>
      <c r="MZG31" s="1266"/>
      <c r="MZH31" s="1266"/>
      <c r="MZI31" s="1266"/>
      <c r="MZJ31" s="1266"/>
      <c r="MZK31" s="1266"/>
      <c r="MZL31" s="1266"/>
      <c r="MZM31" s="1266"/>
      <c r="MZN31" s="1266"/>
      <c r="MZO31" s="1266"/>
      <c r="MZP31" s="1266"/>
      <c r="MZQ31" s="1266"/>
      <c r="MZR31" s="1266"/>
      <c r="MZS31" s="1266"/>
      <c r="MZT31" s="1266"/>
      <c r="MZU31" s="1266"/>
      <c r="MZV31" s="1266"/>
      <c r="MZW31" s="1266"/>
      <c r="MZX31" s="1266"/>
      <c r="MZY31" s="1266"/>
      <c r="MZZ31" s="1266"/>
      <c r="NAA31" s="1266"/>
      <c r="NAB31" s="1266"/>
      <c r="NAC31" s="1266"/>
      <c r="NAD31" s="1266"/>
      <c r="NAE31" s="1266"/>
      <c r="NAF31" s="1266"/>
      <c r="NAG31" s="1266"/>
      <c r="NAH31" s="1266"/>
      <c r="NAI31" s="1266"/>
      <c r="NAJ31" s="1266"/>
      <c r="NAK31" s="1266"/>
      <c r="NAL31" s="1266"/>
      <c r="NAM31" s="1266"/>
      <c r="NAN31" s="1266"/>
      <c r="NAO31" s="1266"/>
      <c r="NAP31" s="1266"/>
      <c r="NAQ31" s="1266"/>
      <c r="NAR31" s="1266"/>
      <c r="NAS31" s="1266"/>
      <c r="NAT31" s="1266"/>
      <c r="NAU31" s="1266"/>
      <c r="NAV31" s="1266"/>
      <c r="NAW31" s="1266"/>
      <c r="NAX31" s="1266"/>
      <c r="NAY31" s="1266"/>
      <c r="NAZ31" s="1266"/>
      <c r="NBA31" s="1266"/>
      <c r="NBB31" s="1266"/>
      <c r="NBC31" s="1266"/>
      <c r="NBD31" s="1266"/>
      <c r="NBE31" s="1266"/>
      <c r="NBF31" s="1266"/>
      <c r="NBG31" s="1266"/>
      <c r="NBH31" s="1266"/>
      <c r="NBI31" s="1266"/>
      <c r="NBJ31" s="1266"/>
      <c r="NBK31" s="1266"/>
      <c r="NBL31" s="1266"/>
      <c r="NBM31" s="1266"/>
      <c r="NBN31" s="1266"/>
      <c r="NBO31" s="1266"/>
      <c r="NBP31" s="1266"/>
      <c r="NBQ31" s="1266"/>
      <c r="NBR31" s="1266"/>
      <c r="NBS31" s="1266"/>
      <c r="NBT31" s="1266"/>
      <c r="NBU31" s="1266"/>
      <c r="NBV31" s="1266"/>
      <c r="NBW31" s="1266"/>
      <c r="NBX31" s="1266"/>
      <c r="NBY31" s="1266"/>
      <c r="NBZ31" s="1266"/>
      <c r="NCA31" s="1266"/>
      <c r="NCB31" s="1266"/>
      <c r="NCC31" s="1266"/>
      <c r="NCD31" s="1266"/>
      <c r="NCE31" s="1266"/>
      <c r="NCF31" s="1266"/>
      <c r="NCG31" s="1266"/>
      <c r="NCH31" s="1266"/>
      <c r="NCI31" s="1266"/>
      <c r="NCJ31" s="1266"/>
      <c r="NCK31" s="1266"/>
      <c r="NCL31" s="1266"/>
      <c r="NCM31" s="1266"/>
      <c r="NCN31" s="1266"/>
      <c r="NCO31" s="1266"/>
      <c r="NCP31" s="1266"/>
      <c r="NCQ31" s="1266"/>
      <c r="NCR31" s="1266"/>
      <c r="NCS31" s="1266"/>
      <c r="NCT31" s="1266"/>
      <c r="NCU31" s="1266"/>
      <c r="NCV31" s="1266"/>
      <c r="NCW31" s="1266"/>
      <c r="NCX31" s="1266"/>
      <c r="NCY31" s="1266"/>
      <c r="NCZ31" s="1266"/>
      <c r="NDA31" s="1266"/>
      <c r="NDB31" s="1266"/>
      <c r="NDC31" s="1266"/>
      <c r="NDD31" s="1266"/>
      <c r="NDE31" s="1266"/>
      <c r="NDF31" s="1266"/>
      <c r="NDG31" s="1266"/>
      <c r="NDH31" s="1266"/>
      <c r="NDI31" s="1266"/>
      <c r="NDJ31" s="1266"/>
      <c r="NDK31" s="1266"/>
      <c r="NDL31" s="1266"/>
      <c r="NDM31" s="1266"/>
      <c r="NDN31" s="1266"/>
      <c r="NDO31" s="1266"/>
      <c r="NDP31" s="1266"/>
      <c r="NDQ31" s="1266"/>
      <c r="NDR31" s="1266"/>
      <c r="NDS31" s="1266"/>
      <c r="NDT31" s="1266"/>
      <c r="NDU31" s="1266"/>
      <c r="NDV31" s="1266"/>
      <c r="NDW31" s="1266"/>
      <c r="NDX31" s="1266"/>
      <c r="NDY31" s="1266"/>
      <c r="NDZ31" s="1266"/>
      <c r="NEA31" s="1266"/>
      <c r="NEB31" s="1266"/>
      <c r="NEC31" s="1266"/>
      <c r="NED31" s="1266"/>
      <c r="NEE31" s="1266"/>
      <c r="NEF31" s="1266"/>
      <c r="NEG31" s="1266"/>
      <c r="NEH31" s="1266"/>
      <c r="NEI31" s="1266"/>
      <c r="NEJ31" s="1266"/>
      <c r="NEK31" s="1266"/>
      <c r="NEL31" s="1266"/>
      <c r="NEM31" s="1266"/>
      <c r="NEN31" s="1266"/>
      <c r="NEO31" s="1266"/>
      <c r="NEP31" s="1266"/>
      <c r="NEQ31" s="1266"/>
      <c r="NER31" s="1266"/>
      <c r="NES31" s="1266"/>
      <c r="NET31" s="1266"/>
      <c r="NEU31" s="1266"/>
      <c r="NEV31" s="1266"/>
      <c r="NEW31" s="1266"/>
      <c r="NEX31" s="1266"/>
      <c r="NEY31" s="1266"/>
      <c r="NEZ31" s="1266"/>
      <c r="NFA31" s="1266"/>
      <c r="NFB31" s="1266"/>
      <c r="NFC31" s="1266"/>
      <c r="NFD31" s="1266"/>
      <c r="NFE31" s="1266"/>
      <c r="NFF31" s="1266"/>
      <c r="NFG31" s="1266"/>
      <c r="NFH31" s="1266"/>
      <c r="NFI31" s="1266"/>
      <c r="NFJ31" s="1266"/>
      <c r="NFK31" s="1266"/>
      <c r="NFL31" s="1266"/>
      <c r="NFM31" s="1266"/>
      <c r="NFN31" s="1266"/>
      <c r="NFO31" s="1266"/>
      <c r="NFP31" s="1266"/>
      <c r="NFQ31" s="1266"/>
      <c r="NFR31" s="1266"/>
      <c r="NFS31" s="1266"/>
      <c r="NFT31" s="1266"/>
      <c r="NFU31" s="1266"/>
      <c r="NFV31" s="1266"/>
      <c r="NFW31" s="1266"/>
      <c r="NFX31" s="1266"/>
      <c r="NFY31" s="1266"/>
      <c r="NFZ31" s="1266"/>
      <c r="NGA31" s="1266"/>
      <c r="NGB31" s="1266"/>
      <c r="NGC31" s="1266"/>
      <c r="NGD31" s="1266"/>
      <c r="NGE31" s="1266"/>
      <c r="NGF31" s="1266"/>
      <c r="NGG31" s="1266"/>
      <c r="NGH31" s="1266"/>
      <c r="NGI31" s="1266"/>
      <c r="NGJ31" s="1266"/>
      <c r="NGK31" s="1266"/>
      <c r="NGL31" s="1266"/>
      <c r="NGM31" s="1266"/>
      <c r="NGN31" s="1266"/>
      <c r="NGO31" s="1266"/>
      <c r="NGP31" s="1266"/>
      <c r="NGQ31" s="1266"/>
      <c r="NGR31" s="1266"/>
      <c r="NGS31" s="1266"/>
      <c r="NGT31" s="1266"/>
      <c r="NGU31" s="1266"/>
      <c r="NGV31" s="1266"/>
      <c r="NGW31" s="1266"/>
      <c r="NGX31" s="1266"/>
      <c r="NGY31" s="1266"/>
      <c r="NGZ31" s="1266"/>
      <c r="NHA31" s="1266"/>
      <c r="NHB31" s="1266"/>
      <c r="NHC31" s="1266"/>
      <c r="NHD31" s="1266"/>
      <c r="NHE31" s="1266"/>
      <c r="NHF31" s="1266"/>
      <c r="NHG31" s="1266"/>
      <c r="NHH31" s="1266"/>
      <c r="NHI31" s="1266"/>
      <c r="NHJ31" s="1266"/>
      <c r="NHK31" s="1266"/>
      <c r="NHL31" s="1266"/>
      <c r="NHM31" s="1266"/>
      <c r="NHN31" s="1266"/>
      <c r="NHO31" s="1266"/>
      <c r="NHP31" s="1266"/>
      <c r="NHQ31" s="1266"/>
      <c r="NHR31" s="1266"/>
      <c r="NHS31" s="1266"/>
      <c r="NHT31" s="1266"/>
      <c r="NHU31" s="1266"/>
      <c r="NHV31" s="1266"/>
      <c r="NHW31" s="1266"/>
      <c r="NHX31" s="1266"/>
      <c r="NHY31" s="1266"/>
      <c r="NHZ31" s="1266"/>
      <c r="NIA31" s="1266"/>
      <c r="NIB31" s="1266"/>
      <c r="NIC31" s="1266"/>
      <c r="NID31" s="1266"/>
      <c r="NIE31" s="1266"/>
      <c r="NIF31" s="1266"/>
      <c r="NIG31" s="1266"/>
      <c r="NIH31" s="1266"/>
      <c r="NII31" s="1266"/>
      <c r="NIJ31" s="1266"/>
      <c r="NIK31" s="1266"/>
      <c r="NIL31" s="1266"/>
      <c r="NIM31" s="1266"/>
      <c r="NIN31" s="1266"/>
      <c r="NIO31" s="1266"/>
      <c r="NIP31" s="1266"/>
      <c r="NIQ31" s="1266"/>
      <c r="NIR31" s="1266"/>
      <c r="NIS31" s="1266"/>
      <c r="NIT31" s="1266"/>
      <c r="NIU31" s="1266"/>
      <c r="NIV31" s="1266"/>
      <c r="NIW31" s="1266"/>
      <c r="NIX31" s="1266"/>
      <c r="NIY31" s="1266"/>
      <c r="NIZ31" s="1266"/>
      <c r="NJA31" s="1266"/>
      <c r="NJB31" s="1266"/>
      <c r="NJC31" s="1266"/>
      <c r="NJD31" s="1266"/>
      <c r="NJE31" s="1266"/>
      <c r="NJF31" s="1266"/>
      <c r="NJG31" s="1266"/>
      <c r="NJH31" s="1266"/>
      <c r="NJI31" s="1266"/>
      <c r="NJJ31" s="1266"/>
      <c r="NJK31" s="1266"/>
      <c r="NJL31" s="1266"/>
      <c r="NJM31" s="1266"/>
      <c r="NJN31" s="1266"/>
      <c r="NJO31" s="1266"/>
      <c r="NJP31" s="1266"/>
      <c r="NJQ31" s="1266"/>
      <c r="NJR31" s="1266"/>
      <c r="NJS31" s="1266"/>
      <c r="NJT31" s="1266"/>
      <c r="NJU31" s="1266"/>
      <c r="NJV31" s="1266"/>
      <c r="NJW31" s="1266"/>
      <c r="NJX31" s="1266"/>
      <c r="NJY31" s="1266"/>
      <c r="NJZ31" s="1266"/>
      <c r="NKA31" s="1266"/>
      <c r="NKB31" s="1266"/>
      <c r="NKC31" s="1266"/>
      <c r="NKD31" s="1266"/>
      <c r="NKE31" s="1266"/>
      <c r="NKF31" s="1266"/>
      <c r="NKG31" s="1266"/>
      <c r="NKH31" s="1266"/>
      <c r="NKI31" s="1266"/>
      <c r="NKJ31" s="1266"/>
      <c r="NKK31" s="1266"/>
      <c r="NKL31" s="1266"/>
      <c r="NKM31" s="1266"/>
      <c r="NKN31" s="1266"/>
      <c r="NKO31" s="1266"/>
      <c r="NKP31" s="1266"/>
      <c r="NKQ31" s="1266"/>
      <c r="NKR31" s="1266"/>
      <c r="NKS31" s="1266"/>
      <c r="NKT31" s="1266"/>
      <c r="NKU31" s="1266"/>
      <c r="NKV31" s="1266"/>
      <c r="NKW31" s="1266"/>
      <c r="NKX31" s="1266"/>
      <c r="NKY31" s="1266"/>
      <c r="NKZ31" s="1266"/>
      <c r="NLA31" s="1266"/>
      <c r="NLB31" s="1266"/>
      <c r="NLC31" s="1266"/>
      <c r="NLD31" s="1266"/>
      <c r="NLE31" s="1266"/>
      <c r="NLF31" s="1266"/>
      <c r="NLG31" s="1266"/>
      <c r="NLH31" s="1266"/>
      <c r="NLI31" s="1266"/>
      <c r="NLJ31" s="1266"/>
      <c r="NLK31" s="1266"/>
      <c r="NLL31" s="1266"/>
      <c r="NLM31" s="1266"/>
      <c r="NLN31" s="1266"/>
      <c r="NLO31" s="1266"/>
      <c r="NLP31" s="1266"/>
      <c r="NLQ31" s="1266"/>
      <c r="NLR31" s="1266"/>
      <c r="NLS31" s="1266"/>
      <c r="NLT31" s="1266"/>
      <c r="NLU31" s="1266"/>
      <c r="NLV31" s="1266"/>
      <c r="NLW31" s="1266"/>
      <c r="NLX31" s="1266"/>
      <c r="NLY31" s="1266"/>
      <c r="NLZ31" s="1266"/>
      <c r="NMA31" s="1266"/>
      <c r="NMB31" s="1266"/>
      <c r="NMC31" s="1266"/>
      <c r="NMD31" s="1266"/>
      <c r="NME31" s="1266"/>
      <c r="NMF31" s="1266"/>
      <c r="NMG31" s="1266"/>
      <c r="NMH31" s="1266"/>
      <c r="NMI31" s="1266"/>
      <c r="NMJ31" s="1266"/>
      <c r="NMK31" s="1266"/>
      <c r="NML31" s="1266"/>
      <c r="NMM31" s="1266"/>
      <c r="NMN31" s="1266"/>
      <c r="NMO31" s="1266"/>
      <c r="NMP31" s="1266"/>
      <c r="NMQ31" s="1266"/>
      <c r="NMR31" s="1266"/>
      <c r="NMS31" s="1266"/>
      <c r="NMT31" s="1266"/>
      <c r="NMU31" s="1266"/>
      <c r="NMV31" s="1266"/>
      <c r="NMW31" s="1266"/>
      <c r="NMX31" s="1266"/>
      <c r="NMY31" s="1266"/>
      <c r="NMZ31" s="1266"/>
      <c r="NNA31" s="1266"/>
      <c r="NNB31" s="1266"/>
      <c r="NNC31" s="1266"/>
      <c r="NND31" s="1266"/>
      <c r="NNE31" s="1266"/>
      <c r="NNF31" s="1266"/>
      <c r="NNG31" s="1266"/>
      <c r="NNH31" s="1266"/>
      <c r="NNI31" s="1266"/>
      <c r="NNJ31" s="1266"/>
      <c r="NNK31" s="1266"/>
      <c r="NNL31" s="1266"/>
      <c r="NNM31" s="1266"/>
      <c r="NNN31" s="1266"/>
      <c r="NNO31" s="1266"/>
      <c r="NNP31" s="1266"/>
      <c r="NNQ31" s="1266"/>
      <c r="NNR31" s="1266"/>
      <c r="NNS31" s="1266"/>
      <c r="NNT31" s="1266"/>
      <c r="NNU31" s="1266"/>
      <c r="NNV31" s="1266"/>
      <c r="NNW31" s="1266"/>
      <c r="NNX31" s="1266"/>
      <c r="NNY31" s="1266"/>
      <c r="NNZ31" s="1266"/>
      <c r="NOA31" s="1266"/>
      <c r="NOB31" s="1266"/>
      <c r="NOC31" s="1266"/>
      <c r="NOD31" s="1266"/>
      <c r="NOE31" s="1266"/>
      <c r="NOF31" s="1266"/>
      <c r="NOG31" s="1266"/>
      <c r="NOH31" s="1266"/>
      <c r="NOI31" s="1266"/>
      <c r="NOJ31" s="1266"/>
      <c r="NOK31" s="1266"/>
      <c r="NOL31" s="1266"/>
      <c r="NOM31" s="1266"/>
      <c r="NON31" s="1266"/>
      <c r="NOO31" s="1266"/>
      <c r="NOP31" s="1266"/>
      <c r="NOQ31" s="1266"/>
      <c r="NOR31" s="1266"/>
      <c r="NOS31" s="1266"/>
      <c r="NOT31" s="1266"/>
      <c r="NOU31" s="1266"/>
      <c r="NOV31" s="1266"/>
      <c r="NOW31" s="1266"/>
      <c r="NOX31" s="1266"/>
      <c r="NOY31" s="1266"/>
      <c r="NOZ31" s="1266"/>
      <c r="NPA31" s="1266"/>
      <c r="NPB31" s="1266"/>
      <c r="NPC31" s="1266"/>
      <c r="NPD31" s="1266"/>
      <c r="NPE31" s="1266"/>
      <c r="NPF31" s="1266"/>
      <c r="NPG31" s="1266"/>
      <c r="NPH31" s="1266"/>
      <c r="NPI31" s="1266"/>
      <c r="NPJ31" s="1266"/>
      <c r="NPK31" s="1266"/>
      <c r="NPL31" s="1266"/>
      <c r="NPM31" s="1266"/>
      <c r="NPN31" s="1266"/>
      <c r="NPO31" s="1266"/>
      <c r="NPP31" s="1266"/>
      <c r="NPQ31" s="1266"/>
      <c r="NPR31" s="1266"/>
      <c r="NPS31" s="1266"/>
      <c r="NPT31" s="1266"/>
      <c r="NPU31" s="1266"/>
      <c r="NPV31" s="1266"/>
      <c r="NPW31" s="1266"/>
      <c r="NPX31" s="1266"/>
      <c r="NPY31" s="1266"/>
      <c r="NPZ31" s="1266"/>
      <c r="NQA31" s="1266"/>
      <c r="NQB31" s="1266"/>
      <c r="NQC31" s="1266"/>
      <c r="NQD31" s="1266"/>
      <c r="NQE31" s="1266"/>
      <c r="NQF31" s="1266"/>
      <c r="NQG31" s="1266"/>
      <c r="NQH31" s="1266"/>
      <c r="NQI31" s="1266"/>
      <c r="NQJ31" s="1266"/>
      <c r="NQK31" s="1266"/>
      <c r="NQL31" s="1266"/>
      <c r="NQM31" s="1266"/>
      <c r="NQN31" s="1266"/>
      <c r="NQO31" s="1266"/>
      <c r="NQP31" s="1266"/>
      <c r="NQQ31" s="1266"/>
      <c r="NQR31" s="1266"/>
      <c r="NQS31" s="1266"/>
      <c r="NQT31" s="1266"/>
      <c r="NQU31" s="1266"/>
      <c r="NQV31" s="1266"/>
      <c r="NQW31" s="1266"/>
      <c r="NQX31" s="1266"/>
      <c r="NQY31" s="1266"/>
      <c r="NQZ31" s="1266"/>
      <c r="NRA31" s="1266"/>
      <c r="NRB31" s="1266"/>
      <c r="NRC31" s="1266"/>
      <c r="NRD31" s="1266"/>
      <c r="NRE31" s="1266"/>
      <c r="NRF31" s="1266"/>
      <c r="NRG31" s="1266"/>
      <c r="NRH31" s="1266"/>
      <c r="NRI31" s="1266"/>
      <c r="NRJ31" s="1266"/>
      <c r="NRK31" s="1266"/>
      <c r="NRL31" s="1266"/>
      <c r="NRM31" s="1266"/>
      <c r="NRN31" s="1266"/>
      <c r="NRO31" s="1266"/>
      <c r="NRP31" s="1266"/>
      <c r="NRQ31" s="1266"/>
      <c r="NRR31" s="1266"/>
      <c r="NRS31" s="1266"/>
      <c r="NRT31" s="1266"/>
      <c r="NRU31" s="1266"/>
      <c r="NRV31" s="1266"/>
      <c r="NRW31" s="1266"/>
      <c r="NRX31" s="1266"/>
      <c r="NRY31" s="1266"/>
      <c r="NRZ31" s="1266"/>
      <c r="NSA31" s="1266"/>
      <c r="NSB31" s="1266"/>
      <c r="NSC31" s="1266"/>
      <c r="NSD31" s="1266"/>
      <c r="NSE31" s="1266"/>
      <c r="NSF31" s="1266"/>
      <c r="NSG31" s="1266"/>
      <c r="NSH31" s="1266"/>
      <c r="NSI31" s="1266"/>
      <c r="NSJ31" s="1266"/>
      <c r="NSK31" s="1266"/>
      <c r="NSL31" s="1266"/>
      <c r="NSM31" s="1266"/>
      <c r="NSN31" s="1266"/>
      <c r="NSO31" s="1266"/>
      <c r="NSP31" s="1266"/>
      <c r="NSQ31" s="1266"/>
      <c r="NSR31" s="1266"/>
      <c r="NSS31" s="1266"/>
      <c r="NST31" s="1266"/>
      <c r="NSU31" s="1266"/>
      <c r="NSV31" s="1266"/>
      <c r="NSW31" s="1266"/>
      <c r="NSX31" s="1266"/>
      <c r="NSY31" s="1266"/>
      <c r="NSZ31" s="1266"/>
      <c r="NTA31" s="1266"/>
      <c r="NTB31" s="1266"/>
      <c r="NTC31" s="1266"/>
      <c r="NTD31" s="1266"/>
      <c r="NTE31" s="1266"/>
      <c r="NTF31" s="1266"/>
      <c r="NTG31" s="1266"/>
      <c r="NTH31" s="1266"/>
      <c r="NTI31" s="1266"/>
      <c r="NTJ31" s="1266"/>
      <c r="NTK31" s="1266"/>
      <c r="NTL31" s="1266"/>
      <c r="NTM31" s="1266"/>
      <c r="NTN31" s="1266"/>
      <c r="NTO31" s="1266"/>
      <c r="NTP31" s="1266"/>
      <c r="NTQ31" s="1266"/>
      <c r="NTR31" s="1266"/>
      <c r="NTS31" s="1266"/>
      <c r="NTT31" s="1266"/>
      <c r="NTU31" s="1266"/>
      <c r="NTV31" s="1266"/>
      <c r="NTW31" s="1266"/>
      <c r="NTX31" s="1266"/>
      <c r="NTY31" s="1266"/>
      <c r="NTZ31" s="1266"/>
      <c r="NUA31" s="1266"/>
      <c r="NUB31" s="1266"/>
      <c r="NUC31" s="1266"/>
      <c r="NUD31" s="1266"/>
      <c r="NUE31" s="1266"/>
      <c r="NUF31" s="1266"/>
      <c r="NUG31" s="1266"/>
      <c r="NUH31" s="1266"/>
      <c r="NUI31" s="1266"/>
      <c r="NUJ31" s="1266"/>
      <c r="NUK31" s="1266"/>
      <c r="NUL31" s="1266"/>
      <c r="NUM31" s="1266"/>
      <c r="NUN31" s="1266"/>
      <c r="NUO31" s="1266"/>
      <c r="NUP31" s="1266"/>
      <c r="NUQ31" s="1266"/>
      <c r="NUR31" s="1266"/>
      <c r="NUS31" s="1266"/>
      <c r="NUT31" s="1266"/>
      <c r="NUU31" s="1266"/>
      <c r="NUV31" s="1266"/>
      <c r="NUW31" s="1266"/>
      <c r="NUX31" s="1266"/>
      <c r="NUY31" s="1266"/>
      <c r="NUZ31" s="1266"/>
      <c r="NVA31" s="1266"/>
      <c r="NVB31" s="1266"/>
      <c r="NVC31" s="1266"/>
      <c r="NVD31" s="1266"/>
      <c r="NVE31" s="1266"/>
      <c r="NVF31" s="1266"/>
      <c r="NVG31" s="1266"/>
      <c r="NVH31" s="1266"/>
      <c r="NVI31" s="1266"/>
      <c r="NVJ31" s="1266"/>
      <c r="NVK31" s="1266"/>
      <c r="NVL31" s="1266"/>
      <c r="NVM31" s="1266"/>
      <c r="NVN31" s="1266"/>
      <c r="NVO31" s="1266"/>
      <c r="NVP31" s="1266"/>
      <c r="NVQ31" s="1266"/>
      <c r="NVR31" s="1266"/>
      <c r="NVS31" s="1266"/>
      <c r="NVT31" s="1266"/>
      <c r="NVU31" s="1266"/>
      <c r="NVV31" s="1266"/>
      <c r="NVW31" s="1266"/>
      <c r="NVX31" s="1266"/>
      <c r="NVY31" s="1266"/>
      <c r="NVZ31" s="1266"/>
      <c r="NWA31" s="1266"/>
      <c r="NWB31" s="1266"/>
      <c r="NWC31" s="1266"/>
      <c r="NWD31" s="1266"/>
      <c r="NWE31" s="1266"/>
      <c r="NWF31" s="1266"/>
      <c r="NWG31" s="1266"/>
      <c r="NWH31" s="1266"/>
      <c r="NWI31" s="1266"/>
      <c r="NWJ31" s="1266"/>
      <c r="NWK31" s="1266"/>
      <c r="NWL31" s="1266"/>
      <c r="NWM31" s="1266"/>
      <c r="NWN31" s="1266"/>
      <c r="NWO31" s="1266"/>
      <c r="NWP31" s="1266"/>
      <c r="NWQ31" s="1266"/>
      <c r="NWR31" s="1266"/>
      <c r="NWS31" s="1266"/>
      <c r="NWT31" s="1266"/>
      <c r="NWU31" s="1266"/>
      <c r="NWV31" s="1266"/>
      <c r="NWW31" s="1266"/>
      <c r="NWX31" s="1266"/>
      <c r="NWY31" s="1266"/>
      <c r="NWZ31" s="1266"/>
      <c r="NXA31" s="1266"/>
      <c r="NXB31" s="1266"/>
      <c r="NXC31" s="1266"/>
      <c r="NXD31" s="1266"/>
      <c r="NXE31" s="1266"/>
      <c r="NXF31" s="1266"/>
      <c r="NXG31" s="1266"/>
      <c r="NXH31" s="1266"/>
      <c r="NXI31" s="1266"/>
      <c r="NXJ31" s="1266"/>
      <c r="NXK31" s="1266"/>
      <c r="NXL31" s="1266"/>
      <c r="NXM31" s="1266"/>
      <c r="NXN31" s="1266"/>
      <c r="NXO31" s="1266"/>
      <c r="NXP31" s="1266"/>
      <c r="NXQ31" s="1266"/>
      <c r="NXR31" s="1266"/>
      <c r="NXS31" s="1266"/>
      <c r="NXT31" s="1266"/>
      <c r="NXU31" s="1266"/>
      <c r="NXV31" s="1266"/>
      <c r="NXW31" s="1266"/>
      <c r="NXX31" s="1266"/>
      <c r="NXY31" s="1266"/>
      <c r="NXZ31" s="1266"/>
      <c r="NYA31" s="1266"/>
      <c r="NYB31" s="1266"/>
      <c r="NYC31" s="1266"/>
      <c r="NYD31" s="1266"/>
      <c r="NYE31" s="1266"/>
      <c r="NYF31" s="1266"/>
      <c r="NYG31" s="1266"/>
      <c r="NYH31" s="1266"/>
      <c r="NYI31" s="1266"/>
      <c r="NYJ31" s="1266"/>
      <c r="NYK31" s="1266"/>
      <c r="NYL31" s="1266"/>
      <c r="NYM31" s="1266"/>
      <c r="NYN31" s="1266"/>
      <c r="NYO31" s="1266"/>
      <c r="NYP31" s="1266"/>
      <c r="NYQ31" s="1266"/>
      <c r="NYR31" s="1266"/>
      <c r="NYS31" s="1266"/>
      <c r="NYT31" s="1266"/>
      <c r="NYU31" s="1266"/>
      <c r="NYV31" s="1266"/>
      <c r="NYW31" s="1266"/>
      <c r="NYX31" s="1266"/>
      <c r="NYY31" s="1266"/>
      <c r="NYZ31" s="1266"/>
      <c r="NZA31" s="1266"/>
      <c r="NZB31" s="1266"/>
      <c r="NZC31" s="1266"/>
      <c r="NZD31" s="1266"/>
      <c r="NZE31" s="1266"/>
      <c r="NZF31" s="1266"/>
      <c r="NZG31" s="1266"/>
      <c r="NZH31" s="1266"/>
      <c r="NZI31" s="1266"/>
      <c r="NZJ31" s="1266"/>
      <c r="NZK31" s="1266"/>
      <c r="NZL31" s="1266"/>
      <c r="NZM31" s="1266"/>
      <c r="NZN31" s="1266"/>
      <c r="NZO31" s="1266"/>
      <c r="NZP31" s="1266"/>
      <c r="NZQ31" s="1266"/>
      <c r="NZR31" s="1266"/>
      <c r="NZS31" s="1266"/>
      <c r="NZT31" s="1266"/>
      <c r="NZU31" s="1266"/>
      <c r="NZV31" s="1266"/>
      <c r="NZW31" s="1266"/>
      <c r="NZX31" s="1266"/>
      <c r="NZY31" s="1266"/>
      <c r="NZZ31" s="1266"/>
      <c r="OAA31" s="1266"/>
      <c r="OAB31" s="1266"/>
      <c r="OAC31" s="1266"/>
      <c r="OAD31" s="1266"/>
      <c r="OAE31" s="1266"/>
      <c r="OAF31" s="1266"/>
      <c r="OAG31" s="1266"/>
      <c r="OAH31" s="1266"/>
      <c r="OAI31" s="1266"/>
      <c r="OAJ31" s="1266"/>
      <c r="OAK31" s="1266"/>
      <c r="OAL31" s="1266"/>
      <c r="OAM31" s="1266"/>
      <c r="OAN31" s="1266"/>
      <c r="OAO31" s="1266"/>
      <c r="OAP31" s="1266"/>
      <c r="OAQ31" s="1266"/>
      <c r="OAR31" s="1266"/>
      <c r="OAS31" s="1266"/>
      <c r="OAT31" s="1266"/>
      <c r="OAU31" s="1266"/>
      <c r="OAV31" s="1266"/>
      <c r="OAW31" s="1266"/>
      <c r="OAX31" s="1266"/>
      <c r="OAY31" s="1266"/>
      <c r="OAZ31" s="1266"/>
      <c r="OBA31" s="1266"/>
      <c r="OBB31" s="1266"/>
      <c r="OBC31" s="1266"/>
      <c r="OBD31" s="1266"/>
      <c r="OBE31" s="1266"/>
      <c r="OBF31" s="1266"/>
      <c r="OBG31" s="1266"/>
      <c r="OBH31" s="1266"/>
      <c r="OBI31" s="1266"/>
      <c r="OBJ31" s="1266"/>
      <c r="OBK31" s="1266"/>
      <c r="OBL31" s="1266"/>
      <c r="OBM31" s="1266"/>
      <c r="OBN31" s="1266"/>
      <c r="OBO31" s="1266"/>
      <c r="OBP31" s="1266"/>
      <c r="OBQ31" s="1266"/>
      <c r="OBR31" s="1266"/>
      <c r="OBS31" s="1266"/>
      <c r="OBT31" s="1266"/>
      <c r="OBU31" s="1266"/>
      <c r="OBV31" s="1266"/>
      <c r="OBW31" s="1266"/>
      <c r="OBX31" s="1266"/>
      <c r="OBY31" s="1266"/>
      <c r="OBZ31" s="1266"/>
      <c r="OCA31" s="1266"/>
      <c r="OCB31" s="1266"/>
      <c r="OCC31" s="1266"/>
      <c r="OCD31" s="1266"/>
      <c r="OCE31" s="1266"/>
      <c r="OCF31" s="1266"/>
      <c r="OCG31" s="1266"/>
      <c r="OCH31" s="1266"/>
      <c r="OCI31" s="1266"/>
      <c r="OCJ31" s="1266"/>
      <c r="OCK31" s="1266"/>
      <c r="OCL31" s="1266"/>
      <c r="OCM31" s="1266"/>
      <c r="OCN31" s="1266"/>
      <c r="OCO31" s="1266"/>
      <c r="OCP31" s="1266"/>
      <c r="OCQ31" s="1266"/>
      <c r="OCR31" s="1266"/>
      <c r="OCS31" s="1266"/>
      <c r="OCT31" s="1266"/>
      <c r="OCU31" s="1266"/>
      <c r="OCV31" s="1266"/>
      <c r="OCW31" s="1266"/>
      <c r="OCX31" s="1266"/>
      <c r="OCY31" s="1266"/>
      <c r="OCZ31" s="1266"/>
      <c r="ODA31" s="1266"/>
      <c r="ODB31" s="1266"/>
      <c r="ODC31" s="1266"/>
      <c r="ODD31" s="1266"/>
      <c r="ODE31" s="1266"/>
      <c r="ODF31" s="1266"/>
      <c r="ODG31" s="1266"/>
      <c r="ODH31" s="1266"/>
      <c r="ODI31" s="1266"/>
      <c r="ODJ31" s="1266"/>
      <c r="ODK31" s="1266"/>
      <c r="ODL31" s="1266"/>
      <c r="ODM31" s="1266"/>
      <c r="ODN31" s="1266"/>
      <c r="ODO31" s="1266"/>
      <c r="ODP31" s="1266"/>
      <c r="ODQ31" s="1266"/>
      <c r="ODR31" s="1266"/>
      <c r="ODS31" s="1266"/>
      <c r="ODT31" s="1266"/>
      <c r="ODU31" s="1266"/>
      <c r="ODV31" s="1266"/>
      <c r="ODW31" s="1266"/>
      <c r="ODX31" s="1266"/>
      <c r="ODY31" s="1266"/>
      <c r="ODZ31" s="1266"/>
      <c r="OEA31" s="1266"/>
      <c r="OEB31" s="1266"/>
      <c r="OEC31" s="1266"/>
      <c r="OED31" s="1266"/>
      <c r="OEE31" s="1266"/>
      <c r="OEF31" s="1266"/>
      <c r="OEG31" s="1266"/>
      <c r="OEH31" s="1266"/>
      <c r="OEI31" s="1266"/>
      <c r="OEJ31" s="1266"/>
      <c r="OEK31" s="1266"/>
      <c r="OEL31" s="1266"/>
      <c r="OEM31" s="1266"/>
      <c r="OEN31" s="1266"/>
      <c r="OEO31" s="1266"/>
      <c r="OEP31" s="1266"/>
      <c r="OEQ31" s="1266"/>
      <c r="OER31" s="1266"/>
      <c r="OES31" s="1266"/>
      <c r="OET31" s="1266"/>
      <c r="OEU31" s="1266"/>
      <c r="OEV31" s="1266"/>
      <c r="OEW31" s="1266"/>
      <c r="OEX31" s="1266"/>
      <c r="OEY31" s="1266"/>
      <c r="OEZ31" s="1266"/>
      <c r="OFA31" s="1266"/>
      <c r="OFB31" s="1266"/>
      <c r="OFC31" s="1266"/>
      <c r="OFD31" s="1266"/>
      <c r="OFE31" s="1266"/>
      <c r="OFF31" s="1266"/>
      <c r="OFG31" s="1266"/>
      <c r="OFH31" s="1266"/>
      <c r="OFI31" s="1266"/>
      <c r="OFJ31" s="1266"/>
      <c r="OFK31" s="1266"/>
      <c r="OFL31" s="1266"/>
      <c r="OFM31" s="1266"/>
      <c r="OFN31" s="1266"/>
      <c r="OFO31" s="1266"/>
      <c r="OFP31" s="1266"/>
      <c r="OFQ31" s="1266"/>
      <c r="OFR31" s="1266"/>
      <c r="OFS31" s="1266"/>
      <c r="OFT31" s="1266"/>
      <c r="OFU31" s="1266"/>
      <c r="OFV31" s="1266"/>
      <c r="OFW31" s="1266"/>
      <c r="OFX31" s="1266"/>
      <c r="OFY31" s="1266"/>
      <c r="OFZ31" s="1266"/>
      <c r="OGA31" s="1266"/>
      <c r="OGB31" s="1266"/>
      <c r="OGC31" s="1266"/>
      <c r="OGD31" s="1266"/>
      <c r="OGE31" s="1266"/>
      <c r="OGF31" s="1266"/>
      <c r="OGG31" s="1266"/>
      <c r="OGH31" s="1266"/>
      <c r="OGI31" s="1266"/>
      <c r="OGJ31" s="1266"/>
      <c r="OGK31" s="1266"/>
      <c r="OGL31" s="1266"/>
      <c r="OGM31" s="1266"/>
      <c r="OGN31" s="1266"/>
      <c r="OGO31" s="1266"/>
      <c r="OGP31" s="1266"/>
      <c r="OGQ31" s="1266"/>
      <c r="OGR31" s="1266"/>
      <c r="OGS31" s="1266"/>
      <c r="OGT31" s="1266"/>
      <c r="OGU31" s="1266"/>
      <c r="OGV31" s="1266"/>
      <c r="OGW31" s="1266"/>
      <c r="OGX31" s="1266"/>
      <c r="OGY31" s="1266"/>
      <c r="OGZ31" s="1266"/>
      <c r="OHA31" s="1266"/>
      <c r="OHB31" s="1266"/>
      <c r="OHC31" s="1266"/>
      <c r="OHD31" s="1266"/>
      <c r="OHE31" s="1266"/>
      <c r="OHF31" s="1266"/>
      <c r="OHG31" s="1266"/>
      <c r="OHH31" s="1266"/>
      <c r="OHI31" s="1266"/>
      <c r="OHJ31" s="1266"/>
      <c r="OHK31" s="1266"/>
      <c r="OHL31" s="1266"/>
      <c r="OHM31" s="1266"/>
      <c r="OHN31" s="1266"/>
      <c r="OHO31" s="1266"/>
      <c r="OHP31" s="1266"/>
      <c r="OHQ31" s="1266"/>
      <c r="OHR31" s="1266"/>
      <c r="OHS31" s="1266"/>
      <c r="OHT31" s="1266"/>
      <c r="OHU31" s="1266"/>
      <c r="OHV31" s="1266"/>
      <c r="OHW31" s="1266"/>
      <c r="OHX31" s="1266"/>
      <c r="OHY31" s="1266"/>
      <c r="OHZ31" s="1266"/>
      <c r="OIA31" s="1266"/>
      <c r="OIB31" s="1266"/>
      <c r="OIC31" s="1266"/>
      <c r="OID31" s="1266"/>
      <c r="OIE31" s="1266"/>
      <c r="OIF31" s="1266"/>
      <c r="OIG31" s="1266"/>
      <c r="OIH31" s="1266"/>
      <c r="OII31" s="1266"/>
      <c r="OIJ31" s="1266"/>
      <c r="OIK31" s="1266"/>
      <c r="OIL31" s="1266"/>
      <c r="OIM31" s="1266"/>
      <c r="OIN31" s="1266"/>
      <c r="OIO31" s="1266"/>
      <c r="OIP31" s="1266"/>
      <c r="OIQ31" s="1266"/>
      <c r="OIR31" s="1266"/>
      <c r="OIS31" s="1266"/>
      <c r="OIT31" s="1266"/>
      <c r="OIU31" s="1266"/>
      <c r="OIV31" s="1266"/>
      <c r="OIW31" s="1266"/>
      <c r="OIX31" s="1266"/>
      <c r="OIY31" s="1266"/>
      <c r="OIZ31" s="1266"/>
      <c r="OJA31" s="1266"/>
      <c r="OJB31" s="1266"/>
      <c r="OJC31" s="1266"/>
      <c r="OJD31" s="1266"/>
      <c r="OJE31" s="1266"/>
      <c r="OJF31" s="1266"/>
      <c r="OJG31" s="1266"/>
      <c r="OJH31" s="1266"/>
      <c r="OJI31" s="1266"/>
      <c r="OJJ31" s="1266"/>
      <c r="OJK31" s="1266"/>
      <c r="OJL31" s="1266"/>
      <c r="OJM31" s="1266"/>
      <c r="OJN31" s="1266"/>
      <c r="OJO31" s="1266"/>
      <c r="OJP31" s="1266"/>
      <c r="OJQ31" s="1266"/>
      <c r="OJR31" s="1266"/>
      <c r="OJS31" s="1266"/>
      <c r="OJT31" s="1266"/>
      <c r="OJU31" s="1266"/>
      <c r="OJV31" s="1266"/>
      <c r="OJW31" s="1266"/>
      <c r="OJX31" s="1266"/>
      <c r="OJY31" s="1266"/>
      <c r="OJZ31" s="1266"/>
      <c r="OKA31" s="1266"/>
      <c r="OKB31" s="1266"/>
      <c r="OKC31" s="1266"/>
      <c r="OKD31" s="1266"/>
      <c r="OKE31" s="1266"/>
      <c r="OKF31" s="1266"/>
      <c r="OKG31" s="1266"/>
      <c r="OKH31" s="1266"/>
      <c r="OKI31" s="1266"/>
      <c r="OKJ31" s="1266"/>
      <c r="OKK31" s="1266"/>
      <c r="OKL31" s="1266"/>
      <c r="OKM31" s="1266"/>
      <c r="OKN31" s="1266"/>
      <c r="OKO31" s="1266"/>
      <c r="OKP31" s="1266"/>
      <c r="OKQ31" s="1266"/>
      <c r="OKR31" s="1266"/>
      <c r="OKS31" s="1266"/>
      <c r="OKT31" s="1266"/>
      <c r="OKU31" s="1266"/>
      <c r="OKV31" s="1266"/>
      <c r="OKW31" s="1266"/>
      <c r="OKX31" s="1266"/>
      <c r="OKY31" s="1266"/>
      <c r="OKZ31" s="1266"/>
      <c r="OLA31" s="1266"/>
      <c r="OLB31" s="1266"/>
      <c r="OLC31" s="1266"/>
      <c r="OLD31" s="1266"/>
      <c r="OLE31" s="1266"/>
      <c r="OLF31" s="1266"/>
      <c r="OLG31" s="1266"/>
      <c r="OLH31" s="1266"/>
      <c r="OLI31" s="1266"/>
      <c r="OLJ31" s="1266"/>
      <c r="OLK31" s="1266"/>
      <c r="OLL31" s="1266"/>
      <c r="OLM31" s="1266"/>
      <c r="OLN31" s="1266"/>
      <c r="OLO31" s="1266"/>
      <c r="OLP31" s="1266"/>
      <c r="OLQ31" s="1266"/>
      <c r="OLR31" s="1266"/>
      <c r="OLS31" s="1266"/>
      <c r="OLT31" s="1266"/>
      <c r="OLU31" s="1266"/>
      <c r="OLV31" s="1266"/>
      <c r="OLW31" s="1266"/>
      <c r="OLX31" s="1266"/>
      <c r="OLY31" s="1266"/>
      <c r="OLZ31" s="1266"/>
      <c r="OMA31" s="1266"/>
      <c r="OMB31" s="1266"/>
      <c r="OMC31" s="1266"/>
      <c r="OMD31" s="1266"/>
      <c r="OME31" s="1266"/>
      <c r="OMF31" s="1266"/>
      <c r="OMG31" s="1266"/>
      <c r="OMH31" s="1266"/>
      <c r="OMI31" s="1266"/>
      <c r="OMJ31" s="1266"/>
      <c r="OMK31" s="1266"/>
      <c r="OML31" s="1266"/>
      <c r="OMM31" s="1266"/>
      <c r="OMN31" s="1266"/>
      <c r="OMO31" s="1266"/>
      <c r="OMP31" s="1266"/>
      <c r="OMQ31" s="1266"/>
      <c r="OMR31" s="1266"/>
      <c r="OMS31" s="1266"/>
      <c r="OMT31" s="1266"/>
      <c r="OMU31" s="1266"/>
      <c r="OMV31" s="1266"/>
      <c r="OMW31" s="1266"/>
      <c r="OMX31" s="1266"/>
      <c r="OMY31" s="1266"/>
      <c r="OMZ31" s="1266"/>
      <c r="ONA31" s="1266"/>
      <c r="ONB31" s="1266"/>
      <c r="ONC31" s="1266"/>
      <c r="OND31" s="1266"/>
      <c r="ONE31" s="1266"/>
      <c r="ONF31" s="1266"/>
      <c r="ONG31" s="1266"/>
      <c r="ONH31" s="1266"/>
      <c r="ONI31" s="1266"/>
      <c r="ONJ31" s="1266"/>
      <c r="ONK31" s="1266"/>
      <c r="ONL31" s="1266"/>
      <c r="ONM31" s="1266"/>
      <c r="ONN31" s="1266"/>
      <c r="ONO31" s="1266"/>
      <c r="ONP31" s="1266"/>
      <c r="ONQ31" s="1266"/>
      <c r="ONR31" s="1266"/>
      <c r="ONS31" s="1266"/>
      <c r="ONT31" s="1266"/>
      <c r="ONU31" s="1266"/>
      <c r="ONV31" s="1266"/>
      <c r="ONW31" s="1266"/>
      <c r="ONX31" s="1266"/>
      <c r="ONY31" s="1266"/>
      <c r="ONZ31" s="1266"/>
      <c r="OOA31" s="1266"/>
      <c r="OOB31" s="1266"/>
      <c r="OOC31" s="1266"/>
      <c r="OOD31" s="1266"/>
      <c r="OOE31" s="1266"/>
      <c r="OOF31" s="1266"/>
      <c r="OOG31" s="1266"/>
      <c r="OOH31" s="1266"/>
      <c r="OOI31" s="1266"/>
      <c r="OOJ31" s="1266"/>
      <c r="OOK31" s="1266"/>
      <c r="OOL31" s="1266"/>
      <c r="OOM31" s="1266"/>
      <c r="OON31" s="1266"/>
      <c r="OOO31" s="1266"/>
      <c r="OOP31" s="1266"/>
      <c r="OOQ31" s="1266"/>
      <c r="OOR31" s="1266"/>
      <c r="OOS31" s="1266"/>
      <c r="OOT31" s="1266"/>
      <c r="OOU31" s="1266"/>
      <c r="OOV31" s="1266"/>
      <c r="OOW31" s="1266"/>
      <c r="OOX31" s="1266"/>
      <c r="OOY31" s="1266"/>
      <c r="OOZ31" s="1266"/>
      <c r="OPA31" s="1266"/>
      <c r="OPB31" s="1266"/>
      <c r="OPC31" s="1266"/>
      <c r="OPD31" s="1266"/>
      <c r="OPE31" s="1266"/>
      <c r="OPF31" s="1266"/>
      <c r="OPG31" s="1266"/>
      <c r="OPH31" s="1266"/>
      <c r="OPI31" s="1266"/>
      <c r="OPJ31" s="1266"/>
      <c r="OPK31" s="1266"/>
      <c r="OPL31" s="1266"/>
      <c r="OPM31" s="1266"/>
      <c r="OPN31" s="1266"/>
      <c r="OPO31" s="1266"/>
      <c r="OPP31" s="1266"/>
      <c r="OPQ31" s="1266"/>
      <c r="OPR31" s="1266"/>
      <c r="OPS31" s="1266"/>
      <c r="OPT31" s="1266"/>
      <c r="OPU31" s="1266"/>
      <c r="OPV31" s="1266"/>
      <c r="OPW31" s="1266"/>
      <c r="OPX31" s="1266"/>
      <c r="OPY31" s="1266"/>
      <c r="OPZ31" s="1266"/>
      <c r="OQA31" s="1266"/>
      <c r="OQB31" s="1266"/>
      <c r="OQC31" s="1266"/>
      <c r="OQD31" s="1266"/>
      <c r="OQE31" s="1266"/>
      <c r="OQF31" s="1266"/>
      <c r="OQG31" s="1266"/>
      <c r="OQH31" s="1266"/>
      <c r="OQI31" s="1266"/>
      <c r="OQJ31" s="1266"/>
      <c r="OQK31" s="1266"/>
      <c r="OQL31" s="1266"/>
      <c r="OQM31" s="1266"/>
      <c r="OQN31" s="1266"/>
      <c r="OQO31" s="1266"/>
      <c r="OQP31" s="1266"/>
      <c r="OQQ31" s="1266"/>
      <c r="OQR31" s="1266"/>
      <c r="OQS31" s="1266"/>
      <c r="OQT31" s="1266"/>
      <c r="OQU31" s="1266"/>
      <c r="OQV31" s="1266"/>
      <c r="OQW31" s="1266"/>
      <c r="OQX31" s="1266"/>
      <c r="OQY31" s="1266"/>
      <c r="OQZ31" s="1266"/>
      <c r="ORA31" s="1266"/>
      <c r="ORB31" s="1266"/>
      <c r="ORC31" s="1266"/>
      <c r="ORD31" s="1266"/>
      <c r="ORE31" s="1266"/>
      <c r="ORF31" s="1266"/>
      <c r="ORG31" s="1266"/>
      <c r="ORH31" s="1266"/>
      <c r="ORI31" s="1266"/>
      <c r="ORJ31" s="1266"/>
      <c r="ORK31" s="1266"/>
      <c r="ORL31" s="1266"/>
      <c r="ORM31" s="1266"/>
      <c r="ORN31" s="1266"/>
      <c r="ORO31" s="1266"/>
      <c r="ORP31" s="1266"/>
      <c r="ORQ31" s="1266"/>
      <c r="ORR31" s="1266"/>
      <c r="ORS31" s="1266"/>
      <c r="ORT31" s="1266"/>
      <c r="ORU31" s="1266"/>
      <c r="ORV31" s="1266"/>
      <c r="ORW31" s="1266"/>
      <c r="ORX31" s="1266"/>
      <c r="ORY31" s="1266"/>
      <c r="ORZ31" s="1266"/>
      <c r="OSA31" s="1266"/>
      <c r="OSB31" s="1266"/>
      <c r="OSC31" s="1266"/>
      <c r="OSD31" s="1266"/>
      <c r="OSE31" s="1266"/>
      <c r="OSF31" s="1266"/>
      <c r="OSG31" s="1266"/>
      <c r="OSH31" s="1266"/>
      <c r="OSI31" s="1266"/>
      <c r="OSJ31" s="1266"/>
      <c r="OSK31" s="1266"/>
      <c r="OSL31" s="1266"/>
      <c r="OSM31" s="1266"/>
      <c r="OSN31" s="1266"/>
      <c r="OSO31" s="1266"/>
      <c r="OSP31" s="1266"/>
      <c r="OSQ31" s="1266"/>
      <c r="OSR31" s="1266"/>
      <c r="OSS31" s="1266"/>
      <c r="OST31" s="1266"/>
      <c r="OSU31" s="1266"/>
      <c r="OSV31" s="1266"/>
      <c r="OSW31" s="1266"/>
      <c r="OSX31" s="1266"/>
      <c r="OSY31" s="1266"/>
      <c r="OSZ31" s="1266"/>
      <c r="OTA31" s="1266"/>
      <c r="OTB31" s="1266"/>
      <c r="OTC31" s="1266"/>
      <c r="OTD31" s="1266"/>
      <c r="OTE31" s="1266"/>
      <c r="OTF31" s="1266"/>
      <c r="OTG31" s="1266"/>
      <c r="OTH31" s="1266"/>
      <c r="OTI31" s="1266"/>
      <c r="OTJ31" s="1266"/>
      <c r="OTK31" s="1266"/>
      <c r="OTL31" s="1266"/>
      <c r="OTM31" s="1266"/>
      <c r="OTN31" s="1266"/>
      <c r="OTO31" s="1266"/>
      <c r="OTP31" s="1266"/>
      <c r="OTQ31" s="1266"/>
      <c r="OTR31" s="1266"/>
      <c r="OTS31" s="1266"/>
      <c r="OTT31" s="1266"/>
      <c r="OTU31" s="1266"/>
      <c r="OTV31" s="1266"/>
      <c r="OTW31" s="1266"/>
      <c r="OTX31" s="1266"/>
      <c r="OTY31" s="1266"/>
      <c r="OTZ31" s="1266"/>
      <c r="OUA31" s="1266"/>
      <c r="OUB31" s="1266"/>
      <c r="OUC31" s="1266"/>
      <c r="OUD31" s="1266"/>
      <c r="OUE31" s="1266"/>
      <c r="OUF31" s="1266"/>
      <c r="OUG31" s="1266"/>
      <c r="OUH31" s="1266"/>
      <c r="OUI31" s="1266"/>
      <c r="OUJ31" s="1266"/>
      <c r="OUK31" s="1266"/>
      <c r="OUL31" s="1266"/>
      <c r="OUM31" s="1266"/>
      <c r="OUN31" s="1266"/>
      <c r="OUO31" s="1266"/>
      <c r="OUP31" s="1266"/>
      <c r="OUQ31" s="1266"/>
      <c r="OUR31" s="1266"/>
      <c r="OUS31" s="1266"/>
      <c r="OUT31" s="1266"/>
      <c r="OUU31" s="1266"/>
      <c r="OUV31" s="1266"/>
      <c r="OUW31" s="1266"/>
      <c r="OUX31" s="1266"/>
      <c r="OUY31" s="1266"/>
      <c r="OUZ31" s="1266"/>
      <c r="OVA31" s="1266"/>
      <c r="OVB31" s="1266"/>
      <c r="OVC31" s="1266"/>
      <c r="OVD31" s="1266"/>
      <c r="OVE31" s="1266"/>
      <c r="OVF31" s="1266"/>
      <c r="OVG31" s="1266"/>
      <c r="OVH31" s="1266"/>
      <c r="OVI31" s="1266"/>
      <c r="OVJ31" s="1266"/>
      <c r="OVK31" s="1266"/>
      <c r="OVL31" s="1266"/>
      <c r="OVM31" s="1266"/>
      <c r="OVN31" s="1266"/>
      <c r="OVO31" s="1266"/>
      <c r="OVP31" s="1266"/>
      <c r="OVQ31" s="1266"/>
      <c r="OVR31" s="1266"/>
      <c r="OVS31" s="1266"/>
      <c r="OVT31" s="1266"/>
      <c r="OVU31" s="1266"/>
      <c r="OVV31" s="1266"/>
      <c r="OVW31" s="1266"/>
      <c r="OVX31" s="1266"/>
      <c r="OVY31" s="1266"/>
      <c r="OVZ31" s="1266"/>
      <c r="OWA31" s="1266"/>
      <c r="OWB31" s="1266"/>
      <c r="OWC31" s="1266"/>
      <c r="OWD31" s="1266"/>
      <c r="OWE31" s="1266"/>
      <c r="OWF31" s="1266"/>
      <c r="OWG31" s="1266"/>
      <c r="OWH31" s="1266"/>
      <c r="OWI31" s="1266"/>
      <c r="OWJ31" s="1266"/>
      <c r="OWK31" s="1266"/>
      <c r="OWL31" s="1266"/>
      <c r="OWM31" s="1266"/>
      <c r="OWN31" s="1266"/>
      <c r="OWO31" s="1266"/>
      <c r="OWP31" s="1266"/>
      <c r="OWQ31" s="1266"/>
      <c r="OWR31" s="1266"/>
      <c r="OWS31" s="1266"/>
      <c r="OWT31" s="1266"/>
      <c r="OWU31" s="1266"/>
      <c r="OWV31" s="1266"/>
      <c r="OWW31" s="1266"/>
      <c r="OWX31" s="1266"/>
      <c r="OWY31" s="1266"/>
      <c r="OWZ31" s="1266"/>
      <c r="OXA31" s="1266"/>
      <c r="OXB31" s="1266"/>
      <c r="OXC31" s="1266"/>
      <c r="OXD31" s="1266"/>
      <c r="OXE31" s="1266"/>
      <c r="OXF31" s="1266"/>
      <c r="OXG31" s="1266"/>
      <c r="OXH31" s="1266"/>
      <c r="OXI31" s="1266"/>
      <c r="OXJ31" s="1266"/>
      <c r="OXK31" s="1266"/>
      <c r="OXL31" s="1266"/>
      <c r="OXM31" s="1266"/>
      <c r="OXN31" s="1266"/>
      <c r="OXO31" s="1266"/>
      <c r="OXP31" s="1266"/>
      <c r="OXQ31" s="1266"/>
      <c r="OXR31" s="1266"/>
      <c r="OXS31" s="1266"/>
      <c r="OXT31" s="1266"/>
      <c r="OXU31" s="1266"/>
      <c r="OXV31" s="1266"/>
      <c r="OXW31" s="1266"/>
      <c r="OXX31" s="1266"/>
      <c r="OXY31" s="1266"/>
      <c r="OXZ31" s="1266"/>
      <c r="OYA31" s="1266"/>
      <c r="OYB31" s="1266"/>
      <c r="OYC31" s="1266"/>
      <c r="OYD31" s="1266"/>
      <c r="OYE31" s="1266"/>
      <c r="OYF31" s="1266"/>
      <c r="OYG31" s="1266"/>
      <c r="OYH31" s="1266"/>
      <c r="OYI31" s="1266"/>
      <c r="OYJ31" s="1266"/>
      <c r="OYK31" s="1266"/>
      <c r="OYL31" s="1266"/>
      <c r="OYM31" s="1266"/>
      <c r="OYN31" s="1266"/>
      <c r="OYO31" s="1266"/>
      <c r="OYP31" s="1266"/>
      <c r="OYQ31" s="1266"/>
      <c r="OYR31" s="1266"/>
      <c r="OYS31" s="1266"/>
      <c r="OYT31" s="1266"/>
      <c r="OYU31" s="1266"/>
      <c r="OYV31" s="1266"/>
      <c r="OYW31" s="1266"/>
      <c r="OYX31" s="1266"/>
      <c r="OYY31" s="1266"/>
      <c r="OYZ31" s="1266"/>
      <c r="OZA31" s="1266"/>
      <c r="OZB31" s="1266"/>
      <c r="OZC31" s="1266"/>
      <c r="OZD31" s="1266"/>
      <c r="OZE31" s="1266"/>
      <c r="OZF31" s="1266"/>
      <c r="OZG31" s="1266"/>
      <c r="OZH31" s="1266"/>
      <c r="OZI31" s="1266"/>
      <c r="OZJ31" s="1266"/>
      <c r="OZK31" s="1266"/>
      <c r="OZL31" s="1266"/>
      <c r="OZM31" s="1266"/>
      <c r="OZN31" s="1266"/>
      <c r="OZO31" s="1266"/>
      <c r="OZP31" s="1266"/>
      <c r="OZQ31" s="1266"/>
      <c r="OZR31" s="1266"/>
      <c r="OZS31" s="1266"/>
      <c r="OZT31" s="1266"/>
      <c r="OZU31" s="1266"/>
      <c r="OZV31" s="1266"/>
      <c r="OZW31" s="1266"/>
      <c r="OZX31" s="1266"/>
      <c r="OZY31" s="1266"/>
      <c r="OZZ31" s="1266"/>
      <c r="PAA31" s="1266"/>
      <c r="PAB31" s="1266"/>
      <c r="PAC31" s="1266"/>
      <c r="PAD31" s="1266"/>
      <c r="PAE31" s="1266"/>
      <c r="PAF31" s="1266"/>
      <c r="PAG31" s="1266"/>
      <c r="PAH31" s="1266"/>
      <c r="PAI31" s="1266"/>
      <c r="PAJ31" s="1266"/>
      <c r="PAK31" s="1266"/>
      <c r="PAL31" s="1266"/>
      <c r="PAM31" s="1266"/>
      <c r="PAN31" s="1266"/>
      <c r="PAO31" s="1266"/>
      <c r="PAP31" s="1266"/>
      <c r="PAQ31" s="1266"/>
      <c r="PAR31" s="1266"/>
      <c r="PAS31" s="1266"/>
      <c r="PAT31" s="1266"/>
      <c r="PAU31" s="1266"/>
      <c r="PAV31" s="1266"/>
      <c r="PAW31" s="1266"/>
      <c r="PAX31" s="1266"/>
      <c r="PAY31" s="1266"/>
      <c r="PAZ31" s="1266"/>
      <c r="PBA31" s="1266"/>
      <c r="PBB31" s="1266"/>
      <c r="PBC31" s="1266"/>
      <c r="PBD31" s="1266"/>
      <c r="PBE31" s="1266"/>
      <c r="PBF31" s="1266"/>
      <c r="PBG31" s="1266"/>
      <c r="PBH31" s="1266"/>
      <c r="PBI31" s="1266"/>
      <c r="PBJ31" s="1266"/>
      <c r="PBK31" s="1266"/>
      <c r="PBL31" s="1266"/>
      <c r="PBM31" s="1266"/>
      <c r="PBN31" s="1266"/>
      <c r="PBO31" s="1266"/>
      <c r="PBP31" s="1266"/>
      <c r="PBQ31" s="1266"/>
      <c r="PBR31" s="1266"/>
      <c r="PBS31" s="1266"/>
      <c r="PBT31" s="1266"/>
      <c r="PBU31" s="1266"/>
      <c r="PBV31" s="1266"/>
      <c r="PBW31" s="1266"/>
      <c r="PBX31" s="1266"/>
      <c r="PBY31" s="1266"/>
      <c r="PBZ31" s="1266"/>
      <c r="PCA31" s="1266"/>
      <c r="PCB31" s="1266"/>
      <c r="PCC31" s="1266"/>
      <c r="PCD31" s="1266"/>
      <c r="PCE31" s="1266"/>
      <c r="PCF31" s="1266"/>
      <c r="PCG31" s="1266"/>
      <c r="PCH31" s="1266"/>
      <c r="PCI31" s="1266"/>
      <c r="PCJ31" s="1266"/>
      <c r="PCK31" s="1266"/>
      <c r="PCL31" s="1266"/>
      <c r="PCM31" s="1266"/>
      <c r="PCN31" s="1266"/>
      <c r="PCO31" s="1266"/>
      <c r="PCP31" s="1266"/>
      <c r="PCQ31" s="1266"/>
      <c r="PCR31" s="1266"/>
      <c r="PCS31" s="1266"/>
      <c r="PCT31" s="1266"/>
      <c r="PCU31" s="1266"/>
      <c r="PCV31" s="1266"/>
      <c r="PCW31" s="1266"/>
      <c r="PCX31" s="1266"/>
      <c r="PCY31" s="1266"/>
      <c r="PCZ31" s="1266"/>
      <c r="PDA31" s="1266"/>
      <c r="PDB31" s="1266"/>
      <c r="PDC31" s="1266"/>
      <c r="PDD31" s="1266"/>
      <c r="PDE31" s="1266"/>
      <c r="PDF31" s="1266"/>
      <c r="PDG31" s="1266"/>
      <c r="PDH31" s="1266"/>
      <c r="PDI31" s="1266"/>
      <c r="PDJ31" s="1266"/>
      <c r="PDK31" s="1266"/>
      <c r="PDL31" s="1266"/>
      <c r="PDM31" s="1266"/>
      <c r="PDN31" s="1266"/>
      <c r="PDO31" s="1266"/>
      <c r="PDP31" s="1266"/>
      <c r="PDQ31" s="1266"/>
      <c r="PDR31" s="1266"/>
      <c r="PDS31" s="1266"/>
      <c r="PDT31" s="1266"/>
      <c r="PDU31" s="1266"/>
      <c r="PDV31" s="1266"/>
      <c r="PDW31" s="1266"/>
      <c r="PDX31" s="1266"/>
      <c r="PDY31" s="1266"/>
      <c r="PDZ31" s="1266"/>
      <c r="PEA31" s="1266"/>
      <c r="PEB31" s="1266"/>
      <c r="PEC31" s="1266"/>
      <c r="PED31" s="1266"/>
      <c r="PEE31" s="1266"/>
      <c r="PEF31" s="1266"/>
      <c r="PEG31" s="1266"/>
      <c r="PEH31" s="1266"/>
      <c r="PEI31" s="1266"/>
      <c r="PEJ31" s="1266"/>
      <c r="PEK31" s="1266"/>
      <c r="PEL31" s="1266"/>
      <c r="PEM31" s="1266"/>
      <c r="PEN31" s="1266"/>
      <c r="PEO31" s="1266"/>
      <c r="PEP31" s="1266"/>
      <c r="PEQ31" s="1266"/>
      <c r="PER31" s="1266"/>
      <c r="PES31" s="1266"/>
      <c r="PET31" s="1266"/>
      <c r="PEU31" s="1266"/>
      <c r="PEV31" s="1266"/>
      <c r="PEW31" s="1266"/>
      <c r="PEX31" s="1266"/>
      <c r="PEY31" s="1266"/>
      <c r="PEZ31" s="1266"/>
      <c r="PFA31" s="1266"/>
      <c r="PFB31" s="1266"/>
      <c r="PFC31" s="1266"/>
      <c r="PFD31" s="1266"/>
      <c r="PFE31" s="1266"/>
      <c r="PFF31" s="1266"/>
      <c r="PFG31" s="1266"/>
      <c r="PFH31" s="1266"/>
      <c r="PFI31" s="1266"/>
      <c r="PFJ31" s="1266"/>
      <c r="PFK31" s="1266"/>
      <c r="PFL31" s="1266"/>
      <c r="PFM31" s="1266"/>
      <c r="PFN31" s="1266"/>
      <c r="PFO31" s="1266"/>
      <c r="PFP31" s="1266"/>
      <c r="PFQ31" s="1266"/>
      <c r="PFR31" s="1266"/>
      <c r="PFS31" s="1266"/>
      <c r="PFT31" s="1266"/>
      <c r="PFU31" s="1266"/>
      <c r="PFV31" s="1266"/>
      <c r="PFW31" s="1266"/>
      <c r="PFX31" s="1266"/>
      <c r="PFY31" s="1266"/>
      <c r="PFZ31" s="1266"/>
      <c r="PGA31" s="1266"/>
      <c r="PGB31" s="1266"/>
      <c r="PGC31" s="1266"/>
      <c r="PGD31" s="1266"/>
      <c r="PGE31" s="1266"/>
      <c r="PGF31" s="1266"/>
      <c r="PGG31" s="1266"/>
      <c r="PGH31" s="1266"/>
      <c r="PGI31" s="1266"/>
      <c r="PGJ31" s="1266"/>
      <c r="PGK31" s="1266"/>
      <c r="PGL31" s="1266"/>
      <c r="PGM31" s="1266"/>
      <c r="PGN31" s="1266"/>
      <c r="PGO31" s="1266"/>
      <c r="PGP31" s="1266"/>
      <c r="PGQ31" s="1266"/>
      <c r="PGR31" s="1266"/>
      <c r="PGS31" s="1266"/>
      <c r="PGT31" s="1266"/>
      <c r="PGU31" s="1266"/>
      <c r="PGV31" s="1266"/>
      <c r="PGW31" s="1266"/>
      <c r="PGX31" s="1266"/>
      <c r="PGY31" s="1266"/>
      <c r="PGZ31" s="1266"/>
      <c r="PHA31" s="1266"/>
      <c r="PHB31" s="1266"/>
      <c r="PHC31" s="1266"/>
      <c r="PHD31" s="1266"/>
      <c r="PHE31" s="1266"/>
      <c r="PHF31" s="1266"/>
      <c r="PHG31" s="1266"/>
      <c r="PHH31" s="1266"/>
      <c r="PHI31" s="1266"/>
      <c r="PHJ31" s="1266"/>
      <c r="PHK31" s="1266"/>
      <c r="PHL31" s="1266"/>
      <c r="PHM31" s="1266"/>
      <c r="PHN31" s="1266"/>
      <c r="PHO31" s="1266"/>
      <c r="PHP31" s="1266"/>
      <c r="PHQ31" s="1266"/>
      <c r="PHR31" s="1266"/>
      <c r="PHS31" s="1266"/>
      <c r="PHT31" s="1266"/>
      <c r="PHU31" s="1266"/>
      <c r="PHV31" s="1266"/>
      <c r="PHW31" s="1266"/>
      <c r="PHX31" s="1266"/>
      <c r="PHY31" s="1266"/>
      <c r="PHZ31" s="1266"/>
      <c r="PIA31" s="1266"/>
      <c r="PIB31" s="1266"/>
      <c r="PIC31" s="1266"/>
      <c r="PID31" s="1266"/>
      <c r="PIE31" s="1266"/>
      <c r="PIF31" s="1266"/>
      <c r="PIG31" s="1266"/>
      <c r="PIH31" s="1266"/>
      <c r="PII31" s="1266"/>
      <c r="PIJ31" s="1266"/>
      <c r="PIK31" s="1266"/>
      <c r="PIL31" s="1266"/>
      <c r="PIM31" s="1266"/>
      <c r="PIN31" s="1266"/>
      <c r="PIO31" s="1266"/>
      <c r="PIP31" s="1266"/>
      <c r="PIQ31" s="1266"/>
      <c r="PIR31" s="1266"/>
      <c r="PIS31" s="1266"/>
      <c r="PIT31" s="1266"/>
      <c r="PIU31" s="1266"/>
      <c r="PIV31" s="1266"/>
      <c r="PIW31" s="1266"/>
      <c r="PIX31" s="1266"/>
      <c r="PIY31" s="1266"/>
      <c r="PIZ31" s="1266"/>
      <c r="PJA31" s="1266"/>
      <c r="PJB31" s="1266"/>
      <c r="PJC31" s="1266"/>
      <c r="PJD31" s="1266"/>
      <c r="PJE31" s="1266"/>
      <c r="PJF31" s="1266"/>
      <c r="PJG31" s="1266"/>
      <c r="PJH31" s="1266"/>
      <c r="PJI31" s="1266"/>
      <c r="PJJ31" s="1266"/>
      <c r="PJK31" s="1266"/>
      <c r="PJL31" s="1266"/>
      <c r="PJM31" s="1266"/>
      <c r="PJN31" s="1266"/>
      <c r="PJO31" s="1266"/>
      <c r="PJP31" s="1266"/>
      <c r="PJQ31" s="1266"/>
      <c r="PJR31" s="1266"/>
      <c r="PJS31" s="1266"/>
      <c r="PJT31" s="1266"/>
      <c r="PJU31" s="1266"/>
      <c r="PJV31" s="1266"/>
      <c r="PJW31" s="1266"/>
      <c r="PJX31" s="1266"/>
      <c r="PJY31" s="1266"/>
      <c r="PJZ31" s="1266"/>
      <c r="PKA31" s="1266"/>
      <c r="PKB31" s="1266"/>
      <c r="PKC31" s="1266"/>
      <c r="PKD31" s="1266"/>
      <c r="PKE31" s="1266"/>
      <c r="PKF31" s="1266"/>
      <c r="PKG31" s="1266"/>
      <c r="PKH31" s="1266"/>
      <c r="PKI31" s="1266"/>
      <c r="PKJ31" s="1266"/>
      <c r="PKK31" s="1266"/>
      <c r="PKL31" s="1266"/>
      <c r="PKM31" s="1266"/>
      <c r="PKN31" s="1266"/>
      <c r="PKO31" s="1266"/>
      <c r="PKP31" s="1266"/>
      <c r="PKQ31" s="1266"/>
      <c r="PKR31" s="1266"/>
      <c r="PKS31" s="1266"/>
      <c r="PKT31" s="1266"/>
      <c r="PKU31" s="1266"/>
      <c r="PKV31" s="1266"/>
      <c r="PKW31" s="1266"/>
      <c r="PKX31" s="1266"/>
      <c r="PKY31" s="1266"/>
      <c r="PKZ31" s="1266"/>
      <c r="PLA31" s="1266"/>
      <c r="PLB31" s="1266"/>
      <c r="PLC31" s="1266"/>
      <c r="PLD31" s="1266"/>
      <c r="PLE31" s="1266"/>
      <c r="PLF31" s="1266"/>
      <c r="PLG31" s="1266"/>
      <c r="PLH31" s="1266"/>
      <c r="PLI31" s="1266"/>
      <c r="PLJ31" s="1266"/>
      <c r="PLK31" s="1266"/>
      <c r="PLL31" s="1266"/>
      <c r="PLM31" s="1266"/>
      <c r="PLN31" s="1266"/>
      <c r="PLO31" s="1266"/>
      <c r="PLP31" s="1266"/>
      <c r="PLQ31" s="1266"/>
      <c r="PLR31" s="1266"/>
      <c r="PLS31" s="1266"/>
      <c r="PLT31" s="1266"/>
      <c r="PLU31" s="1266"/>
      <c r="PLV31" s="1266"/>
      <c r="PLW31" s="1266"/>
      <c r="PLX31" s="1266"/>
      <c r="PLY31" s="1266"/>
      <c r="PLZ31" s="1266"/>
      <c r="PMA31" s="1266"/>
      <c r="PMB31" s="1266"/>
      <c r="PMC31" s="1266"/>
      <c r="PMD31" s="1266"/>
      <c r="PME31" s="1266"/>
      <c r="PMF31" s="1266"/>
      <c r="PMG31" s="1266"/>
      <c r="PMH31" s="1266"/>
      <c r="PMI31" s="1266"/>
      <c r="PMJ31" s="1266"/>
      <c r="PMK31" s="1266"/>
      <c r="PML31" s="1266"/>
      <c r="PMM31" s="1266"/>
      <c r="PMN31" s="1266"/>
      <c r="PMO31" s="1266"/>
      <c r="PMP31" s="1266"/>
      <c r="PMQ31" s="1266"/>
      <c r="PMR31" s="1266"/>
      <c r="PMS31" s="1266"/>
      <c r="PMT31" s="1266"/>
      <c r="PMU31" s="1266"/>
      <c r="PMV31" s="1266"/>
      <c r="PMW31" s="1266"/>
      <c r="PMX31" s="1266"/>
      <c r="PMY31" s="1266"/>
      <c r="PMZ31" s="1266"/>
      <c r="PNA31" s="1266"/>
      <c r="PNB31" s="1266"/>
      <c r="PNC31" s="1266"/>
      <c r="PND31" s="1266"/>
      <c r="PNE31" s="1266"/>
      <c r="PNF31" s="1266"/>
      <c r="PNG31" s="1266"/>
      <c r="PNH31" s="1266"/>
      <c r="PNI31" s="1266"/>
      <c r="PNJ31" s="1266"/>
      <c r="PNK31" s="1266"/>
      <c r="PNL31" s="1266"/>
      <c r="PNM31" s="1266"/>
      <c r="PNN31" s="1266"/>
      <c r="PNO31" s="1266"/>
      <c r="PNP31" s="1266"/>
      <c r="PNQ31" s="1266"/>
      <c r="PNR31" s="1266"/>
      <c r="PNS31" s="1266"/>
      <c r="PNT31" s="1266"/>
      <c r="PNU31" s="1266"/>
      <c r="PNV31" s="1266"/>
      <c r="PNW31" s="1266"/>
      <c r="PNX31" s="1266"/>
      <c r="PNY31" s="1266"/>
      <c r="PNZ31" s="1266"/>
      <c r="POA31" s="1266"/>
      <c r="POB31" s="1266"/>
      <c r="POC31" s="1266"/>
      <c r="POD31" s="1266"/>
      <c r="POE31" s="1266"/>
      <c r="POF31" s="1266"/>
      <c r="POG31" s="1266"/>
      <c r="POH31" s="1266"/>
      <c r="POI31" s="1266"/>
      <c r="POJ31" s="1266"/>
      <c r="POK31" s="1266"/>
      <c r="POL31" s="1266"/>
      <c r="POM31" s="1266"/>
      <c r="PON31" s="1266"/>
      <c r="POO31" s="1266"/>
      <c r="POP31" s="1266"/>
      <c r="POQ31" s="1266"/>
      <c r="POR31" s="1266"/>
      <c r="POS31" s="1266"/>
      <c r="POT31" s="1266"/>
      <c r="POU31" s="1266"/>
      <c r="POV31" s="1266"/>
      <c r="POW31" s="1266"/>
      <c r="POX31" s="1266"/>
      <c r="POY31" s="1266"/>
      <c r="POZ31" s="1266"/>
      <c r="PPA31" s="1266"/>
      <c r="PPB31" s="1266"/>
      <c r="PPC31" s="1266"/>
      <c r="PPD31" s="1266"/>
      <c r="PPE31" s="1266"/>
      <c r="PPF31" s="1266"/>
      <c r="PPG31" s="1266"/>
      <c r="PPH31" s="1266"/>
      <c r="PPI31" s="1266"/>
      <c r="PPJ31" s="1266"/>
      <c r="PPK31" s="1266"/>
      <c r="PPL31" s="1266"/>
      <c r="PPM31" s="1266"/>
      <c r="PPN31" s="1266"/>
      <c r="PPO31" s="1266"/>
      <c r="PPP31" s="1266"/>
      <c r="PPQ31" s="1266"/>
      <c r="PPR31" s="1266"/>
      <c r="PPS31" s="1266"/>
      <c r="PPT31" s="1266"/>
      <c r="PPU31" s="1266"/>
      <c r="PPV31" s="1266"/>
      <c r="PPW31" s="1266"/>
      <c r="PPX31" s="1266"/>
      <c r="PPY31" s="1266"/>
      <c r="PPZ31" s="1266"/>
      <c r="PQA31" s="1266"/>
      <c r="PQB31" s="1266"/>
      <c r="PQC31" s="1266"/>
      <c r="PQD31" s="1266"/>
      <c r="PQE31" s="1266"/>
      <c r="PQF31" s="1266"/>
      <c r="PQG31" s="1266"/>
      <c r="PQH31" s="1266"/>
      <c r="PQI31" s="1266"/>
      <c r="PQJ31" s="1266"/>
      <c r="PQK31" s="1266"/>
      <c r="PQL31" s="1266"/>
      <c r="PQM31" s="1266"/>
      <c r="PQN31" s="1266"/>
      <c r="PQO31" s="1266"/>
      <c r="PQP31" s="1266"/>
      <c r="PQQ31" s="1266"/>
      <c r="PQR31" s="1266"/>
      <c r="PQS31" s="1266"/>
      <c r="PQT31" s="1266"/>
      <c r="PQU31" s="1266"/>
      <c r="PQV31" s="1266"/>
      <c r="PQW31" s="1266"/>
      <c r="PQX31" s="1266"/>
      <c r="PQY31" s="1266"/>
      <c r="PQZ31" s="1266"/>
      <c r="PRA31" s="1266"/>
      <c r="PRB31" s="1266"/>
      <c r="PRC31" s="1266"/>
      <c r="PRD31" s="1266"/>
      <c r="PRE31" s="1266"/>
      <c r="PRF31" s="1266"/>
      <c r="PRG31" s="1266"/>
      <c r="PRH31" s="1266"/>
      <c r="PRI31" s="1266"/>
      <c r="PRJ31" s="1266"/>
      <c r="PRK31" s="1266"/>
      <c r="PRL31" s="1266"/>
      <c r="PRM31" s="1266"/>
      <c r="PRN31" s="1266"/>
      <c r="PRO31" s="1266"/>
      <c r="PRP31" s="1266"/>
      <c r="PRQ31" s="1266"/>
      <c r="PRR31" s="1266"/>
      <c r="PRS31" s="1266"/>
      <c r="PRT31" s="1266"/>
      <c r="PRU31" s="1266"/>
      <c r="PRV31" s="1266"/>
      <c r="PRW31" s="1266"/>
      <c r="PRX31" s="1266"/>
      <c r="PRY31" s="1266"/>
      <c r="PRZ31" s="1266"/>
      <c r="PSA31" s="1266"/>
      <c r="PSB31" s="1266"/>
      <c r="PSC31" s="1266"/>
      <c r="PSD31" s="1266"/>
      <c r="PSE31" s="1266"/>
      <c r="PSF31" s="1266"/>
      <c r="PSG31" s="1266"/>
      <c r="PSH31" s="1266"/>
      <c r="PSI31" s="1266"/>
      <c r="PSJ31" s="1266"/>
      <c r="PSK31" s="1266"/>
      <c r="PSL31" s="1266"/>
      <c r="PSM31" s="1266"/>
      <c r="PSN31" s="1266"/>
      <c r="PSO31" s="1266"/>
      <c r="PSP31" s="1266"/>
      <c r="PSQ31" s="1266"/>
      <c r="PSR31" s="1266"/>
      <c r="PSS31" s="1266"/>
      <c r="PST31" s="1266"/>
      <c r="PSU31" s="1266"/>
      <c r="PSV31" s="1266"/>
      <c r="PSW31" s="1266"/>
      <c r="PSX31" s="1266"/>
      <c r="PSY31" s="1266"/>
      <c r="PSZ31" s="1266"/>
      <c r="PTA31" s="1266"/>
      <c r="PTB31" s="1266"/>
      <c r="PTC31" s="1266"/>
      <c r="PTD31" s="1266"/>
      <c r="PTE31" s="1266"/>
      <c r="PTF31" s="1266"/>
      <c r="PTG31" s="1266"/>
      <c r="PTH31" s="1266"/>
      <c r="PTI31" s="1266"/>
      <c r="PTJ31" s="1266"/>
      <c r="PTK31" s="1266"/>
      <c r="PTL31" s="1266"/>
      <c r="PTM31" s="1266"/>
      <c r="PTN31" s="1266"/>
      <c r="PTO31" s="1266"/>
      <c r="PTP31" s="1266"/>
      <c r="PTQ31" s="1266"/>
      <c r="PTR31" s="1266"/>
      <c r="PTS31" s="1266"/>
      <c r="PTT31" s="1266"/>
      <c r="PTU31" s="1266"/>
      <c r="PTV31" s="1266"/>
      <c r="PTW31" s="1266"/>
      <c r="PTX31" s="1266"/>
      <c r="PTY31" s="1266"/>
      <c r="PTZ31" s="1266"/>
      <c r="PUA31" s="1266"/>
      <c r="PUB31" s="1266"/>
      <c r="PUC31" s="1266"/>
      <c r="PUD31" s="1266"/>
      <c r="PUE31" s="1266"/>
      <c r="PUF31" s="1266"/>
      <c r="PUG31" s="1266"/>
      <c r="PUH31" s="1266"/>
      <c r="PUI31" s="1266"/>
      <c r="PUJ31" s="1266"/>
      <c r="PUK31" s="1266"/>
      <c r="PUL31" s="1266"/>
      <c r="PUM31" s="1266"/>
      <c r="PUN31" s="1266"/>
      <c r="PUO31" s="1266"/>
      <c r="PUP31" s="1266"/>
      <c r="PUQ31" s="1266"/>
      <c r="PUR31" s="1266"/>
      <c r="PUS31" s="1266"/>
      <c r="PUT31" s="1266"/>
      <c r="PUU31" s="1266"/>
      <c r="PUV31" s="1266"/>
      <c r="PUW31" s="1266"/>
      <c r="PUX31" s="1266"/>
      <c r="PUY31" s="1266"/>
      <c r="PUZ31" s="1266"/>
      <c r="PVA31" s="1266"/>
      <c r="PVB31" s="1266"/>
      <c r="PVC31" s="1266"/>
      <c r="PVD31" s="1266"/>
      <c r="PVE31" s="1266"/>
      <c r="PVF31" s="1266"/>
      <c r="PVG31" s="1266"/>
      <c r="PVH31" s="1266"/>
      <c r="PVI31" s="1266"/>
      <c r="PVJ31" s="1266"/>
      <c r="PVK31" s="1266"/>
      <c r="PVL31" s="1266"/>
      <c r="PVM31" s="1266"/>
      <c r="PVN31" s="1266"/>
      <c r="PVO31" s="1266"/>
      <c r="PVP31" s="1266"/>
      <c r="PVQ31" s="1266"/>
      <c r="PVR31" s="1266"/>
      <c r="PVS31" s="1266"/>
      <c r="PVT31" s="1266"/>
      <c r="PVU31" s="1266"/>
      <c r="PVV31" s="1266"/>
      <c r="PVW31" s="1266"/>
      <c r="PVX31" s="1266"/>
      <c r="PVY31" s="1266"/>
      <c r="PVZ31" s="1266"/>
      <c r="PWA31" s="1266"/>
      <c r="PWB31" s="1266"/>
      <c r="PWC31" s="1266"/>
      <c r="PWD31" s="1266"/>
      <c r="PWE31" s="1266"/>
      <c r="PWF31" s="1266"/>
      <c r="PWG31" s="1266"/>
      <c r="PWH31" s="1266"/>
      <c r="PWI31" s="1266"/>
      <c r="PWJ31" s="1266"/>
      <c r="PWK31" s="1266"/>
      <c r="PWL31" s="1266"/>
      <c r="PWM31" s="1266"/>
      <c r="PWN31" s="1266"/>
      <c r="PWO31" s="1266"/>
      <c r="PWP31" s="1266"/>
      <c r="PWQ31" s="1266"/>
      <c r="PWR31" s="1266"/>
      <c r="PWS31" s="1266"/>
      <c r="PWT31" s="1266"/>
      <c r="PWU31" s="1266"/>
      <c r="PWV31" s="1266"/>
      <c r="PWW31" s="1266"/>
      <c r="PWX31" s="1266"/>
      <c r="PWY31" s="1266"/>
      <c r="PWZ31" s="1266"/>
      <c r="PXA31" s="1266"/>
      <c r="PXB31" s="1266"/>
      <c r="PXC31" s="1266"/>
      <c r="PXD31" s="1266"/>
      <c r="PXE31" s="1266"/>
      <c r="PXF31" s="1266"/>
      <c r="PXG31" s="1266"/>
      <c r="PXH31" s="1266"/>
      <c r="PXI31" s="1266"/>
      <c r="PXJ31" s="1266"/>
      <c r="PXK31" s="1266"/>
      <c r="PXL31" s="1266"/>
      <c r="PXM31" s="1266"/>
      <c r="PXN31" s="1266"/>
      <c r="PXO31" s="1266"/>
      <c r="PXP31" s="1266"/>
      <c r="PXQ31" s="1266"/>
      <c r="PXR31" s="1266"/>
      <c r="PXS31" s="1266"/>
      <c r="PXT31" s="1266"/>
      <c r="PXU31" s="1266"/>
      <c r="PXV31" s="1266"/>
      <c r="PXW31" s="1266"/>
      <c r="PXX31" s="1266"/>
      <c r="PXY31" s="1266"/>
      <c r="PXZ31" s="1266"/>
      <c r="PYA31" s="1266"/>
      <c r="PYB31" s="1266"/>
      <c r="PYC31" s="1266"/>
      <c r="PYD31" s="1266"/>
      <c r="PYE31" s="1266"/>
      <c r="PYF31" s="1266"/>
      <c r="PYG31" s="1266"/>
      <c r="PYH31" s="1266"/>
      <c r="PYI31" s="1266"/>
      <c r="PYJ31" s="1266"/>
      <c r="PYK31" s="1266"/>
      <c r="PYL31" s="1266"/>
      <c r="PYM31" s="1266"/>
      <c r="PYN31" s="1266"/>
      <c r="PYO31" s="1266"/>
      <c r="PYP31" s="1266"/>
      <c r="PYQ31" s="1266"/>
      <c r="PYR31" s="1266"/>
      <c r="PYS31" s="1266"/>
      <c r="PYT31" s="1266"/>
      <c r="PYU31" s="1266"/>
      <c r="PYV31" s="1266"/>
      <c r="PYW31" s="1266"/>
      <c r="PYX31" s="1266"/>
      <c r="PYY31" s="1266"/>
      <c r="PYZ31" s="1266"/>
      <c r="PZA31" s="1266"/>
      <c r="PZB31" s="1266"/>
      <c r="PZC31" s="1266"/>
      <c r="PZD31" s="1266"/>
      <c r="PZE31" s="1266"/>
      <c r="PZF31" s="1266"/>
      <c r="PZG31" s="1266"/>
      <c r="PZH31" s="1266"/>
      <c r="PZI31" s="1266"/>
      <c r="PZJ31" s="1266"/>
      <c r="PZK31" s="1266"/>
      <c r="PZL31" s="1266"/>
      <c r="PZM31" s="1266"/>
      <c r="PZN31" s="1266"/>
      <c r="PZO31" s="1266"/>
      <c r="PZP31" s="1266"/>
      <c r="PZQ31" s="1266"/>
      <c r="PZR31" s="1266"/>
      <c r="PZS31" s="1266"/>
      <c r="PZT31" s="1266"/>
      <c r="PZU31" s="1266"/>
      <c r="PZV31" s="1266"/>
      <c r="PZW31" s="1266"/>
      <c r="PZX31" s="1266"/>
      <c r="PZY31" s="1266"/>
      <c r="PZZ31" s="1266"/>
      <c r="QAA31" s="1266"/>
      <c r="QAB31" s="1266"/>
      <c r="QAC31" s="1266"/>
      <c r="QAD31" s="1266"/>
      <c r="QAE31" s="1266"/>
      <c r="QAF31" s="1266"/>
      <c r="QAG31" s="1266"/>
      <c r="QAH31" s="1266"/>
      <c r="QAI31" s="1266"/>
      <c r="QAJ31" s="1266"/>
      <c r="QAK31" s="1266"/>
      <c r="QAL31" s="1266"/>
      <c r="QAM31" s="1266"/>
      <c r="QAN31" s="1266"/>
      <c r="QAO31" s="1266"/>
      <c r="QAP31" s="1266"/>
      <c r="QAQ31" s="1266"/>
      <c r="QAR31" s="1266"/>
      <c r="QAS31" s="1266"/>
      <c r="QAT31" s="1266"/>
      <c r="QAU31" s="1266"/>
      <c r="QAV31" s="1266"/>
      <c r="QAW31" s="1266"/>
      <c r="QAX31" s="1266"/>
      <c r="QAY31" s="1266"/>
      <c r="QAZ31" s="1266"/>
      <c r="QBA31" s="1266"/>
      <c r="QBB31" s="1266"/>
      <c r="QBC31" s="1266"/>
      <c r="QBD31" s="1266"/>
      <c r="QBE31" s="1266"/>
      <c r="QBF31" s="1266"/>
      <c r="QBG31" s="1266"/>
      <c r="QBH31" s="1266"/>
      <c r="QBI31" s="1266"/>
      <c r="QBJ31" s="1266"/>
      <c r="QBK31" s="1266"/>
      <c r="QBL31" s="1266"/>
      <c r="QBM31" s="1266"/>
      <c r="QBN31" s="1266"/>
      <c r="QBO31" s="1266"/>
      <c r="QBP31" s="1266"/>
      <c r="QBQ31" s="1266"/>
      <c r="QBR31" s="1266"/>
      <c r="QBS31" s="1266"/>
      <c r="QBT31" s="1266"/>
      <c r="QBU31" s="1266"/>
      <c r="QBV31" s="1266"/>
      <c r="QBW31" s="1266"/>
      <c r="QBX31" s="1266"/>
      <c r="QBY31" s="1266"/>
      <c r="QBZ31" s="1266"/>
      <c r="QCA31" s="1266"/>
      <c r="QCB31" s="1266"/>
      <c r="QCC31" s="1266"/>
      <c r="QCD31" s="1266"/>
      <c r="QCE31" s="1266"/>
      <c r="QCF31" s="1266"/>
      <c r="QCG31" s="1266"/>
      <c r="QCH31" s="1266"/>
      <c r="QCI31" s="1266"/>
      <c r="QCJ31" s="1266"/>
      <c r="QCK31" s="1266"/>
      <c r="QCL31" s="1266"/>
      <c r="QCM31" s="1266"/>
      <c r="QCN31" s="1266"/>
      <c r="QCO31" s="1266"/>
      <c r="QCP31" s="1266"/>
      <c r="QCQ31" s="1266"/>
      <c r="QCR31" s="1266"/>
      <c r="QCS31" s="1266"/>
      <c r="QCT31" s="1266"/>
      <c r="QCU31" s="1266"/>
      <c r="QCV31" s="1266"/>
      <c r="QCW31" s="1266"/>
      <c r="QCX31" s="1266"/>
      <c r="QCY31" s="1266"/>
      <c r="QCZ31" s="1266"/>
      <c r="QDA31" s="1266"/>
      <c r="QDB31" s="1266"/>
      <c r="QDC31" s="1266"/>
      <c r="QDD31" s="1266"/>
      <c r="QDE31" s="1266"/>
      <c r="QDF31" s="1266"/>
      <c r="QDG31" s="1266"/>
      <c r="QDH31" s="1266"/>
      <c r="QDI31" s="1266"/>
      <c r="QDJ31" s="1266"/>
      <c r="QDK31" s="1266"/>
      <c r="QDL31" s="1266"/>
      <c r="QDM31" s="1266"/>
      <c r="QDN31" s="1266"/>
      <c r="QDO31" s="1266"/>
      <c r="QDP31" s="1266"/>
      <c r="QDQ31" s="1266"/>
      <c r="QDR31" s="1266"/>
      <c r="QDS31" s="1266"/>
      <c r="QDT31" s="1266"/>
      <c r="QDU31" s="1266"/>
      <c r="QDV31" s="1266"/>
      <c r="QDW31" s="1266"/>
      <c r="QDX31" s="1266"/>
      <c r="QDY31" s="1266"/>
      <c r="QDZ31" s="1266"/>
      <c r="QEA31" s="1266"/>
      <c r="QEB31" s="1266"/>
      <c r="QEC31" s="1266"/>
      <c r="QED31" s="1266"/>
      <c r="QEE31" s="1266"/>
      <c r="QEF31" s="1266"/>
      <c r="QEG31" s="1266"/>
      <c r="QEH31" s="1266"/>
      <c r="QEI31" s="1266"/>
      <c r="QEJ31" s="1266"/>
      <c r="QEK31" s="1266"/>
      <c r="QEL31" s="1266"/>
      <c r="QEM31" s="1266"/>
      <c r="QEN31" s="1266"/>
      <c r="QEO31" s="1266"/>
      <c r="QEP31" s="1266"/>
      <c r="QEQ31" s="1266"/>
      <c r="QER31" s="1266"/>
      <c r="QES31" s="1266"/>
      <c r="QET31" s="1266"/>
      <c r="QEU31" s="1266"/>
      <c r="QEV31" s="1266"/>
      <c r="QEW31" s="1266"/>
      <c r="QEX31" s="1266"/>
      <c r="QEY31" s="1266"/>
      <c r="QEZ31" s="1266"/>
      <c r="QFA31" s="1266"/>
      <c r="QFB31" s="1266"/>
      <c r="QFC31" s="1266"/>
      <c r="QFD31" s="1266"/>
      <c r="QFE31" s="1266"/>
      <c r="QFF31" s="1266"/>
      <c r="QFG31" s="1266"/>
      <c r="QFH31" s="1266"/>
      <c r="QFI31" s="1266"/>
      <c r="QFJ31" s="1266"/>
      <c r="QFK31" s="1266"/>
      <c r="QFL31" s="1266"/>
      <c r="QFM31" s="1266"/>
      <c r="QFN31" s="1266"/>
      <c r="QFO31" s="1266"/>
      <c r="QFP31" s="1266"/>
      <c r="QFQ31" s="1266"/>
      <c r="QFR31" s="1266"/>
      <c r="QFS31" s="1266"/>
      <c r="QFT31" s="1266"/>
      <c r="QFU31" s="1266"/>
      <c r="QFV31" s="1266"/>
      <c r="QFW31" s="1266"/>
      <c r="QFX31" s="1266"/>
      <c r="QFY31" s="1266"/>
      <c r="QFZ31" s="1266"/>
      <c r="QGA31" s="1266"/>
      <c r="QGB31" s="1266"/>
      <c r="QGC31" s="1266"/>
      <c r="QGD31" s="1266"/>
      <c r="QGE31" s="1266"/>
      <c r="QGF31" s="1266"/>
      <c r="QGG31" s="1266"/>
      <c r="QGH31" s="1266"/>
      <c r="QGI31" s="1266"/>
      <c r="QGJ31" s="1266"/>
      <c r="QGK31" s="1266"/>
      <c r="QGL31" s="1266"/>
      <c r="QGM31" s="1266"/>
      <c r="QGN31" s="1266"/>
      <c r="QGO31" s="1266"/>
      <c r="QGP31" s="1266"/>
      <c r="QGQ31" s="1266"/>
      <c r="QGR31" s="1266"/>
      <c r="QGS31" s="1266"/>
      <c r="QGT31" s="1266"/>
      <c r="QGU31" s="1266"/>
      <c r="QGV31" s="1266"/>
      <c r="QGW31" s="1266"/>
      <c r="QGX31" s="1266"/>
      <c r="QGY31" s="1266"/>
      <c r="QGZ31" s="1266"/>
      <c r="QHA31" s="1266"/>
      <c r="QHB31" s="1266"/>
      <c r="QHC31" s="1266"/>
      <c r="QHD31" s="1266"/>
      <c r="QHE31" s="1266"/>
      <c r="QHF31" s="1266"/>
      <c r="QHG31" s="1266"/>
      <c r="QHH31" s="1266"/>
      <c r="QHI31" s="1266"/>
      <c r="QHJ31" s="1266"/>
      <c r="QHK31" s="1266"/>
      <c r="QHL31" s="1266"/>
      <c r="QHM31" s="1266"/>
      <c r="QHN31" s="1266"/>
      <c r="QHO31" s="1266"/>
      <c r="QHP31" s="1266"/>
      <c r="QHQ31" s="1266"/>
      <c r="QHR31" s="1266"/>
      <c r="QHS31" s="1266"/>
      <c r="QHT31" s="1266"/>
      <c r="QHU31" s="1266"/>
      <c r="QHV31" s="1266"/>
      <c r="QHW31" s="1266"/>
      <c r="QHX31" s="1266"/>
      <c r="QHY31" s="1266"/>
      <c r="QHZ31" s="1266"/>
      <c r="QIA31" s="1266"/>
      <c r="QIB31" s="1266"/>
      <c r="QIC31" s="1266"/>
      <c r="QID31" s="1266"/>
      <c r="QIE31" s="1266"/>
      <c r="QIF31" s="1266"/>
      <c r="QIG31" s="1266"/>
      <c r="QIH31" s="1266"/>
      <c r="QII31" s="1266"/>
      <c r="QIJ31" s="1266"/>
      <c r="QIK31" s="1266"/>
      <c r="QIL31" s="1266"/>
      <c r="QIM31" s="1266"/>
      <c r="QIN31" s="1266"/>
      <c r="QIO31" s="1266"/>
      <c r="QIP31" s="1266"/>
      <c r="QIQ31" s="1266"/>
      <c r="QIR31" s="1266"/>
      <c r="QIS31" s="1266"/>
      <c r="QIT31" s="1266"/>
      <c r="QIU31" s="1266"/>
      <c r="QIV31" s="1266"/>
      <c r="QIW31" s="1266"/>
      <c r="QIX31" s="1266"/>
      <c r="QIY31" s="1266"/>
      <c r="QIZ31" s="1266"/>
      <c r="QJA31" s="1266"/>
      <c r="QJB31" s="1266"/>
      <c r="QJC31" s="1266"/>
      <c r="QJD31" s="1266"/>
      <c r="QJE31" s="1266"/>
      <c r="QJF31" s="1266"/>
      <c r="QJG31" s="1266"/>
      <c r="QJH31" s="1266"/>
      <c r="QJI31" s="1266"/>
      <c r="QJJ31" s="1266"/>
      <c r="QJK31" s="1266"/>
      <c r="QJL31" s="1266"/>
      <c r="QJM31" s="1266"/>
      <c r="QJN31" s="1266"/>
      <c r="QJO31" s="1266"/>
      <c r="QJP31" s="1266"/>
      <c r="QJQ31" s="1266"/>
      <c r="QJR31" s="1266"/>
      <c r="QJS31" s="1266"/>
      <c r="QJT31" s="1266"/>
      <c r="QJU31" s="1266"/>
      <c r="QJV31" s="1266"/>
      <c r="QJW31" s="1266"/>
      <c r="QJX31" s="1266"/>
      <c r="QJY31" s="1266"/>
      <c r="QJZ31" s="1266"/>
      <c r="QKA31" s="1266"/>
      <c r="QKB31" s="1266"/>
      <c r="QKC31" s="1266"/>
      <c r="QKD31" s="1266"/>
      <c r="QKE31" s="1266"/>
      <c r="QKF31" s="1266"/>
      <c r="QKG31" s="1266"/>
      <c r="QKH31" s="1266"/>
      <c r="QKI31" s="1266"/>
      <c r="QKJ31" s="1266"/>
      <c r="QKK31" s="1266"/>
      <c r="QKL31" s="1266"/>
      <c r="QKM31" s="1266"/>
      <c r="QKN31" s="1266"/>
      <c r="QKO31" s="1266"/>
      <c r="QKP31" s="1266"/>
      <c r="QKQ31" s="1266"/>
      <c r="QKR31" s="1266"/>
      <c r="QKS31" s="1266"/>
      <c r="QKT31" s="1266"/>
      <c r="QKU31" s="1266"/>
      <c r="QKV31" s="1266"/>
      <c r="QKW31" s="1266"/>
      <c r="QKX31" s="1266"/>
      <c r="QKY31" s="1266"/>
      <c r="QKZ31" s="1266"/>
      <c r="QLA31" s="1266"/>
      <c r="QLB31" s="1266"/>
      <c r="QLC31" s="1266"/>
      <c r="QLD31" s="1266"/>
      <c r="QLE31" s="1266"/>
      <c r="QLF31" s="1266"/>
      <c r="QLG31" s="1266"/>
      <c r="QLH31" s="1266"/>
      <c r="QLI31" s="1266"/>
      <c r="QLJ31" s="1266"/>
      <c r="QLK31" s="1266"/>
      <c r="QLL31" s="1266"/>
      <c r="QLM31" s="1266"/>
      <c r="QLN31" s="1266"/>
      <c r="QLO31" s="1266"/>
      <c r="QLP31" s="1266"/>
      <c r="QLQ31" s="1266"/>
      <c r="QLR31" s="1266"/>
      <c r="QLS31" s="1266"/>
      <c r="QLT31" s="1266"/>
      <c r="QLU31" s="1266"/>
      <c r="QLV31" s="1266"/>
      <c r="QLW31" s="1266"/>
      <c r="QLX31" s="1266"/>
      <c r="QLY31" s="1266"/>
      <c r="QLZ31" s="1266"/>
      <c r="QMA31" s="1266"/>
      <c r="QMB31" s="1266"/>
      <c r="QMC31" s="1266"/>
      <c r="QMD31" s="1266"/>
      <c r="QME31" s="1266"/>
      <c r="QMF31" s="1266"/>
      <c r="QMG31" s="1266"/>
      <c r="QMH31" s="1266"/>
      <c r="QMI31" s="1266"/>
      <c r="QMJ31" s="1266"/>
      <c r="QMK31" s="1266"/>
      <c r="QML31" s="1266"/>
      <c r="QMM31" s="1266"/>
      <c r="QMN31" s="1266"/>
      <c r="QMO31" s="1266"/>
      <c r="QMP31" s="1266"/>
      <c r="QMQ31" s="1266"/>
      <c r="QMR31" s="1266"/>
      <c r="QMS31" s="1266"/>
      <c r="QMT31" s="1266"/>
      <c r="QMU31" s="1266"/>
      <c r="QMV31" s="1266"/>
      <c r="QMW31" s="1266"/>
      <c r="QMX31" s="1266"/>
      <c r="QMY31" s="1266"/>
      <c r="QMZ31" s="1266"/>
      <c r="QNA31" s="1266"/>
      <c r="QNB31" s="1266"/>
      <c r="QNC31" s="1266"/>
      <c r="QND31" s="1266"/>
      <c r="QNE31" s="1266"/>
      <c r="QNF31" s="1266"/>
      <c r="QNG31" s="1266"/>
      <c r="QNH31" s="1266"/>
      <c r="QNI31" s="1266"/>
      <c r="QNJ31" s="1266"/>
      <c r="QNK31" s="1266"/>
      <c r="QNL31" s="1266"/>
      <c r="QNM31" s="1266"/>
      <c r="QNN31" s="1266"/>
      <c r="QNO31" s="1266"/>
      <c r="QNP31" s="1266"/>
      <c r="QNQ31" s="1266"/>
      <c r="QNR31" s="1266"/>
      <c r="QNS31" s="1266"/>
      <c r="QNT31" s="1266"/>
      <c r="QNU31" s="1266"/>
      <c r="QNV31" s="1266"/>
      <c r="QNW31" s="1266"/>
      <c r="QNX31" s="1266"/>
      <c r="QNY31" s="1266"/>
      <c r="QNZ31" s="1266"/>
      <c r="QOA31" s="1266"/>
      <c r="QOB31" s="1266"/>
      <c r="QOC31" s="1266"/>
      <c r="QOD31" s="1266"/>
      <c r="QOE31" s="1266"/>
      <c r="QOF31" s="1266"/>
      <c r="QOG31" s="1266"/>
      <c r="QOH31" s="1266"/>
      <c r="QOI31" s="1266"/>
      <c r="QOJ31" s="1266"/>
      <c r="QOK31" s="1266"/>
      <c r="QOL31" s="1266"/>
      <c r="QOM31" s="1266"/>
      <c r="QON31" s="1266"/>
      <c r="QOO31" s="1266"/>
      <c r="QOP31" s="1266"/>
      <c r="QOQ31" s="1266"/>
      <c r="QOR31" s="1266"/>
      <c r="QOS31" s="1266"/>
      <c r="QOT31" s="1266"/>
      <c r="QOU31" s="1266"/>
      <c r="QOV31" s="1266"/>
      <c r="QOW31" s="1266"/>
      <c r="QOX31" s="1266"/>
      <c r="QOY31" s="1266"/>
      <c r="QOZ31" s="1266"/>
      <c r="QPA31" s="1266"/>
      <c r="QPB31" s="1266"/>
      <c r="QPC31" s="1266"/>
      <c r="QPD31" s="1266"/>
      <c r="QPE31" s="1266"/>
      <c r="QPF31" s="1266"/>
      <c r="QPG31" s="1266"/>
      <c r="QPH31" s="1266"/>
      <c r="QPI31" s="1266"/>
      <c r="QPJ31" s="1266"/>
      <c r="QPK31" s="1266"/>
      <c r="QPL31" s="1266"/>
      <c r="QPM31" s="1266"/>
      <c r="QPN31" s="1266"/>
      <c r="QPO31" s="1266"/>
      <c r="QPP31" s="1266"/>
      <c r="QPQ31" s="1266"/>
      <c r="QPR31" s="1266"/>
      <c r="QPS31" s="1266"/>
      <c r="QPT31" s="1266"/>
      <c r="QPU31" s="1266"/>
      <c r="QPV31" s="1266"/>
      <c r="QPW31" s="1266"/>
      <c r="QPX31" s="1266"/>
      <c r="QPY31" s="1266"/>
      <c r="QPZ31" s="1266"/>
      <c r="QQA31" s="1266"/>
      <c r="QQB31" s="1266"/>
      <c r="QQC31" s="1266"/>
      <c r="QQD31" s="1266"/>
      <c r="QQE31" s="1266"/>
      <c r="QQF31" s="1266"/>
      <c r="QQG31" s="1266"/>
      <c r="QQH31" s="1266"/>
      <c r="QQI31" s="1266"/>
      <c r="QQJ31" s="1266"/>
      <c r="QQK31" s="1266"/>
      <c r="QQL31" s="1266"/>
      <c r="QQM31" s="1266"/>
      <c r="QQN31" s="1266"/>
      <c r="QQO31" s="1266"/>
      <c r="QQP31" s="1266"/>
      <c r="QQQ31" s="1266"/>
      <c r="QQR31" s="1266"/>
      <c r="QQS31" s="1266"/>
      <c r="QQT31" s="1266"/>
      <c r="QQU31" s="1266"/>
      <c r="QQV31" s="1266"/>
      <c r="QQW31" s="1266"/>
      <c r="QQX31" s="1266"/>
      <c r="QQY31" s="1266"/>
      <c r="QQZ31" s="1266"/>
      <c r="QRA31" s="1266"/>
      <c r="QRB31" s="1266"/>
      <c r="QRC31" s="1266"/>
      <c r="QRD31" s="1266"/>
      <c r="QRE31" s="1266"/>
      <c r="QRF31" s="1266"/>
      <c r="QRG31" s="1266"/>
      <c r="QRH31" s="1266"/>
      <c r="QRI31" s="1266"/>
      <c r="QRJ31" s="1266"/>
      <c r="QRK31" s="1266"/>
      <c r="QRL31" s="1266"/>
      <c r="QRM31" s="1266"/>
      <c r="QRN31" s="1266"/>
      <c r="QRO31" s="1266"/>
      <c r="QRP31" s="1266"/>
      <c r="QRQ31" s="1266"/>
      <c r="QRR31" s="1266"/>
      <c r="QRS31" s="1266"/>
      <c r="QRT31" s="1266"/>
      <c r="QRU31" s="1266"/>
      <c r="QRV31" s="1266"/>
      <c r="QRW31" s="1266"/>
      <c r="QRX31" s="1266"/>
      <c r="QRY31" s="1266"/>
      <c r="QRZ31" s="1266"/>
      <c r="QSA31" s="1266"/>
      <c r="QSB31" s="1266"/>
      <c r="QSC31" s="1266"/>
      <c r="QSD31" s="1266"/>
      <c r="QSE31" s="1266"/>
      <c r="QSF31" s="1266"/>
      <c r="QSG31" s="1266"/>
      <c r="QSH31" s="1266"/>
      <c r="QSI31" s="1266"/>
      <c r="QSJ31" s="1266"/>
      <c r="QSK31" s="1266"/>
      <c r="QSL31" s="1266"/>
      <c r="QSM31" s="1266"/>
      <c r="QSN31" s="1266"/>
      <c r="QSO31" s="1266"/>
      <c r="QSP31" s="1266"/>
      <c r="QSQ31" s="1266"/>
      <c r="QSR31" s="1266"/>
      <c r="QSS31" s="1266"/>
      <c r="QST31" s="1266"/>
      <c r="QSU31" s="1266"/>
      <c r="QSV31" s="1266"/>
      <c r="QSW31" s="1266"/>
      <c r="QSX31" s="1266"/>
      <c r="QSY31" s="1266"/>
      <c r="QSZ31" s="1266"/>
      <c r="QTA31" s="1266"/>
      <c r="QTB31" s="1266"/>
      <c r="QTC31" s="1266"/>
      <c r="QTD31" s="1266"/>
      <c r="QTE31" s="1266"/>
      <c r="QTF31" s="1266"/>
      <c r="QTG31" s="1266"/>
      <c r="QTH31" s="1266"/>
      <c r="QTI31" s="1266"/>
      <c r="QTJ31" s="1266"/>
      <c r="QTK31" s="1266"/>
      <c r="QTL31" s="1266"/>
      <c r="QTM31" s="1266"/>
      <c r="QTN31" s="1266"/>
      <c r="QTO31" s="1266"/>
      <c r="QTP31" s="1266"/>
      <c r="QTQ31" s="1266"/>
      <c r="QTR31" s="1266"/>
      <c r="QTS31" s="1266"/>
      <c r="QTT31" s="1266"/>
      <c r="QTU31" s="1266"/>
      <c r="QTV31" s="1266"/>
      <c r="QTW31" s="1266"/>
      <c r="QTX31" s="1266"/>
      <c r="QTY31" s="1266"/>
      <c r="QTZ31" s="1266"/>
      <c r="QUA31" s="1266"/>
      <c r="QUB31" s="1266"/>
      <c r="QUC31" s="1266"/>
      <c r="QUD31" s="1266"/>
      <c r="QUE31" s="1266"/>
      <c r="QUF31" s="1266"/>
      <c r="QUG31" s="1266"/>
      <c r="QUH31" s="1266"/>
      <c r="QUI31" s="1266"/>
      <c r="QUJ31" s="1266"/>
      <c r="QUK31" s="1266"/>
      <c r="QUL31" s="1266"/>
      <c r="QUM31" s="1266"/>
      <c r="QUN31" s="1266"/>
      <c r="QUO31" s="1266"/>
      <c r="QUP31" s="1266"/>
      <c r="QUQ31" s="1266"/>
      <c r="QUR31" s="1266"/>
      <c r="QUS31" s="1266"/>
      <c r="QUT31" s="1266"/>
      <c r="QUU31" s="1266"/>
      <c r="QUV31" s="1266"/>
      <c r="QUW31" s="1266"/>
      <c r="QUX31" s="1266"/>
      <c r="QUY31" s="1266"/>
      <c r="QUZ31" s="1266"/>
      <c r="QVA31" s="1266"/>
      <c r="QVB31" s="1266"/>
      <c r="QVC31" s="1266"/>
      <c r="QVD31" s="1266"/>
      <c r="QVE31" s="1266"/>
      <c r="QVF31" s="1266"/>
      <c r="QVG31" s="1266"/>
      <c r="QVH31" s="1266"/>
      <c r="QVI31" s="1266"/>
      <c r="QVJ31" s="1266"/>
      <c r="QVK31" s="1266"/>
      <c r="QVL31" s="1266"/>
      <c r="QVM31" s="1266"/>
      <c r="QVN31" s="1266"/>
      <c r="QVO31" s="1266"/>
      <c r="QVP31" s="1266"/>
      <c r="QVQ31" s="1266"/>
      <c r="QVR31" s="1266"/>
      <c r="QVS31" s="1266"/>
      <c r="QVT31" s="1266"/>
      <c r="QVU31" s="1266"/>
      <c r="QVV31" s="1266"/>
      <c r="QVW31" s="1266"/>
      <c r="QVX31" s="1266"/>
      <c r="QVY31" s="1266"/>
      <c r="QVZ31" s="1266"/>
      <c r="QWA31" s="1266"/>
      <c r="QWB31" s="1266"/>
      <c r="QWC31" s="1266"/>
      <c r="QWD31" s="1266"/>
      <c r="QWE31" s="1266"/>
      <c r="QWF31" s="1266"/>
      <c r="QWG31" s="1266"/>
      <c r="QWH31" s="1266"/>
      <c r="QWI31" s="1266"/>
      <c r="QWJ31" s="1266"/>
      <c r="QWK31" s="1266"/>
      <c r="QWL31" s="1266"/>
      <c r="QWM31" s="1266"/>
      <c r="QWN31" s="1266"/>
      <c r="QWO31" s="1266"/>
      <c r="QWP31" s="1266"/>
      <c r="QWQ31" s="1266"/>
      <c r="QWR31" s="1266"/>
      <c r="QWS31" s="1266"/>
      <c r="QWT31" s="1266"/>
      <c r="QWU31" s="1266"/>
      <c r="QWV31" s="1266"/>
      <c r="QWW31" s="1266"/>
      <c r="QWX31" s="1266"/>
      <c r="QWY31" s="1266"/>
      <c r="QWZ31" s="1266"/>
      <c r="QXA31" s="1266"/>
      <c r="QXB31" s="1266"/>
      <c r="QXC31" s="1266"/>
      <c r="QXD31" s="1266"/>
      <c r="QXE31" s="1266"/>
      <c r="QXF31" s="1266"/>
      <c r="QXG31" s="1266"/>
      <c r="QXH31" s="1266"/>
      <c r="QXI31" s="1266"/>
      <c r="QXJ31" s="1266"/>
      <c r="QXK31" s="1266"/>
      <c r="QXL31" s="1266"/>
      <c r="QXM31" s="1266"/>
      <c r="QXN31" s="1266"/>
      <c r="QXO31" s="1266"/>
      <c r="QXP31" s="1266"/>
      <c r="QXQ31" s="1266"/>
      <c r="QXR31" s="1266"/>
      <c r="QXS31" s="1266"/>
      <c r="QXT31" s="1266"/>
      <c r="QXU31" s="1266"/>
      <c r="QXV31" s="1266"/>
      <c r="QXW31" s="1266"/>
      <c r="QXX31" s="1266"/>
      <c r="QXY31" s="1266"/>
      <c r="QXZ31" s="1266"/>
      <c r="QYA31" s="1266"/>
      <c r="QYB31" s="1266"/>
      <c r="QYC31" s="1266"/>
      <c r="QYD31" s="1266"/>
      <c r="QYE31" s="1266"/>
      <c r="QYF31" s="1266"/>
      <c r="QYG31" s="1266"/>
      <c r="QYH31" s="1266"/>
      <c r="QYI31" s="1266"/>
      <c r="QYJ31" s="1266"/>
      <c r="QYK31" s="1266"/>
      <c r="QYL31" s="1266"/>
      <c r="QYM31" s="1266"/>
      <c r="QYN31" s="1266"/>
      <c r="QYO31" s="1266"/>
      <c r="QYP31" s="1266"/>
      <c r="QYQ31" s="1266"/>
      <c r="QYR31" s="1266"/>
      <c r="QYS31" s="1266"/>
      <c r="QYT31" s="1266"/>
      <c r="QYU31" s="1266"/>
      <c r="QYV31" s="1266"/>
      <c r="QYW31" s="1266"/>
      <c r="QYX31" s="1266"/>
      <c r="QYY31" s="1266"/>
      <c r="QYZ31" s="1266"/>
      <c r="QZA31" s="1266"/>
      <c r="QZB31" s="1266"/>
      <c r="QZC31" s="1266"/>
      <c r="QZD31" s="1266"/>
      <c r="QZE31" s="1266"/>
      <c r="QZF31" s="1266"/>
      <c r="QZG31" s="1266"/>
      <c r="QZH31" s="1266"/>
      <c r="QZI31" s="1266"/>
      <c r="QZJ31" s="1266"/>
      <c r="QZK31" s="1266"/>
      <c r="QZL31" s="1266"/>
      <c r="QZM31" s="1266"/>
      <c r="QZN31" s="1266"/>
      <c r="QZO31" s="1266"/>
      <c r="QZP31" s="1266"/>
      <c r="QZQ31" s="1266"/>
      <c r="QZR31" s="1266"/>
      <c r="QZS31" s="1266"/>
      <c r="QZT31" s="1266"/>
      <c r="QZU31" s="1266"/>
      <c r="QZV31" s="1266"/>
      <c r="QZW31" s="1266"/>
      <c r="QZX31" s="1266"/>
      <c r="QZY31" s="1266"/>
      <c r="QZZ31" s="1266"/>
      <c r="RAA31" s="1266"/>
      <c r="RAB31" s="1266"/>
      <c r="RAC31" s="1266"/>
      <c r="RAD31" s="1266"/>
      <c r="RAE31" s="1266"/>
      <c r="RAF31" s="1266"/>
      <c r="RAG31" s="1266"/>
      <c r="RAH31" s="1266"/>
      <c r="RAI31" s="1266"/>
      <c r="RAJ31" s="1266"/>
      <c r="RAK31" s="1266"/>
      <c r="RAL31" s="1266"/>
      <c r="RAM31" s="1266"/>
      <c r="RAN31" s="1266"/>
      <c r="RAO31" s="1266"/>
      <c r="RAP31" s="1266"/>
      <c r="RAQ31" s="1266"/>
      <c r="RAR31" s="1266"/>
      <c r="RAS31" s="1266"/>
      <c r="RAT31" s="1266"/>
      <c r="RAU31" s="1266"/>
      <c r="RAV31" s="1266"/>
      <c r="RAW31" s="1266"/>
      <c r="RAX31" s="1266"/>
      <c r="RAY31" s="1266"/>
      <c r="RAZ31" s="1266"/>
      <c r="RBA31" s="1266"/>
      <c r="RBB31" s="1266"/>
      <c r="RBC31" s="1266"/>
      <c r="RBD31" s="1266"/>
      <c r="RBE31" s="1266"/>
      <c r="RBF31" s="1266"/>
      <c r="RBG31" s="1266"/>
      <c r="RBH31" s="1266"/>
      <c r="RBI31" s="1266"/>
      <c r="RBJ31" s="1266"/>
      <c r="RBK31" s="1266"/>
      <c r="RBL31" s="1266"/>
      <c r="RBM31" s="1266"/>
      <c r="RBN31" s="1266"/>
      <c r="RBO31" s="1266"/>
      <c r="RBP31" s="1266"/>
      <c r="RBQ31" s="1266"/>
      <c r="RBR31" s="1266"/>
      <c r="RBS31" s="1266"/>
      <c r="RBT31" s="1266"/>
      <c r="RBU31" s="1266"/>
      <c r="RBV31" s="1266"/>
      <c r="RBW31" s="1266"/>
      <c r="RBX31" s="1266"/>
      <c r="RBY31" s="1266"/>
      <c r="RBZ31" s="1266"/>
      <c r="RCA31" s="1266"/>
      <c r="RCB31" s="1266"/>
      <c r="RCC31" s="1266"/>
      <c r="RCD31" s="1266"/>
      <c r="RCE31" s="1266"/>
      <c r="RCF31" s="1266"/>
      <c r="RCG31" s="1266"/>
      <c r="RCH31" s="1266"/>
      <c r="RCI31" s="1266"/>
      <c r="RCJ31" s="1266"/>
      <c r="RCK31" s="1266"/>
      <c r="RCL31" s="1266"/>
      <c r="RCM31" s="1266"/>
      <c r="RCN31" s="1266"/>
      <c r="RCO31" s="1266"/>
      <c r="RCP31" s="1266"/>
      <c r="RCQ31" s="1266"/>
      <c r="RCR31" s="1266"/>
      <c r="RCS31" s="1266"/>
      <c r="RCT31" s="1266"/>
      <c r="RCU31" s="1266"/>
      <c r="RCV31" s="1266"/>
      <c r="RCW31" s="1266"/>
      <c r="RCX31" s="1266"/>
      <c r="RCY31" s="1266"/>
      <c r="RCZ31" s="1266"/>
      <c r="RDA31" s="1266"/>
      <c r="RDB31" s="1266"/>
      <c r="RDC31" s="1266"/>
      <c r="RDD31" s="1266"/>
      <c r="RDE31" s="1266"/>
      <c r="RDF31" s="1266"/>
      <c r="RDG31" s="1266"/>
      <c r="RDH31" s="1266"/>
      <c r="RDI31" s="1266"/>
      <c r="RDJ31" s="1266"/>
      <c r="RDK31" s="1266"/>
      <c r="RDL31" s="1266"/>
      <c r="RDM31" s="1266"/>
      <c r="RDN31" s="1266"/>
      <c r="RDO31" s="1266"/>
      <c r="RDP31" s="1266"/>
      <c r="RDQ31" s="1266"/>
      <c r="RDR31" s="1266"/>
      <c r="RDS31" s="1266"/>
      <c r="RDT31" s="1266"/>
      <c r="RDU31" s="1266"/>
      <c r="RDV31" s="1266"/>
      <c r="RDW31" s="1266"/>
      <c r="RDX31" s="1266"/>
      <c r="RDY31" s="1266"/>
      <c r="RDZ31" s="1266"/>
      <c r="REA31" s="1266"/>
      <c r="REB31" s="1266"/>
      <c r="REC31" s="1266"/>
      <c r="RED31" s="1266"/>
      <c r="REE31" s="1266"/>
      <c r="REF31" s="1266"/>
      <c r="REG31" s="1266"/>
      <c r="REH31" s="1266"/>
      <c r="REI31" s="1266"/>
      <c r="REJ31" s="1266"/>
      <c r="REK31" s="1266"/>
      <c r="REL31" s="1266"/>
      <c r="REM31" s="1266"/>
      <c r="REN31" s="1266"/>
      <c r="REO31" s="1266"/>
      <c r="REP31" s="1266"/>
      <c r="REQ31" s="1266"/>
      <c r="RER31" s="1266"/>
      <c r="RES31" s="1266"/>
      <c r="RET31" s="1266"/>
      <c r="REU31" s="1266"/>
      <c r="REV31" s="1266"/>
      <c r="REW31" s="1266"/>
      <c r="REX31" s="1266"/>
      <c r="REY31" s="1266"/>
      <c r="REZ31" s="1266"/>
      <c r="RFA31" s="1266"/>
      <c r="RFB31" s="1266"/>
      <c r="RFC31" s="1266"/>
      <c r="RFD31" s="1266"/>
      <c r="RFE31" s="1266"/>
      <c r="RFF31" s="1266"/>
      <c r="RFG31" s="1266"/>
      <c r="RFH31" s="1266"/>
      <c r="RFI31" s="1266"/>
      <c r="RFJ31" s="1266"/>
      <c r="RFK31" s="1266"/>
      <c r="RFL31" s="1266"/>
      <c r="RFM31" s="1266"/>
      <c r="RFN31" s="1266"/>
      <c r="RFO31" s="1266"/>
      <c r="RFP31" s="1266"/>
      <c r="RFQ31" s="1266"/>
      <c r="RFR31" s="1266"/>
      <c r="RFS31" s="1266"/>
      <c r="RFT31" s="1266"/>
      <c r="RFU31" s="1266"/>
      <c r="RFV31" s="1266"/>
      <c r="RFW31" s="1266"/>
      <c r="RFX31" s="1266"/>
      <c r="RFY31" s="1266"/>
      <c r="RFZ31" s="1266"/>
      <c r="RGA31" s="1266"/>
      <c r="RGB31" s="1266"/>
      <c r="RGC31" s="1266"/>
      <c r="RGD31" s="1266"/>
      <c r="RGE31" s="1266"/>
      <c r="RGF31" s="1266"/>
      <c r="RGG31" s="1266"/>
      <c r="RGH31" s="1266"/>
      <c r="RGI31" s="1266"/>
      <c r="RGJ31" s="1266"/>
      <c r="RGK31" s="1266"/>
      <c r="RGL31" s="1266"/>
      <c r="RGM31" s="1266"/>
      <c r="RGN31" s="1266"/>
      <c r="RGO31" s="1266"/>
      <c r="RGP31" s="1266"/>
      <c r="RGQ31" s="1266"/>
      <c r="RGR31" s="1266"/>
      <c r="RGS31" s="1266"/>
      <c r="RGT31" s="1266"/>
      <c r="RGU31" s="1266"/>
      <c r="RGV31" s="1266"/>
      <c r="RGW31" s="1266"/>
      <c r="RGX31" s="1266"/>
      <c r="RGY31" s="1266"/>
      <c r="RGZ31" s="1266"/>
      <c r="RHA31" s="1266"/>
      <c r="RHB31" s="1266"/>
      <c r="RHC31" s="1266"/>
      <c r="RHD31" s="1266"/>
      <c r="RHE31" s="1266"/>
      <c r="RHF31" s="1266"/>
      <c r="RHG31" s="1266"/>
      <c r="RHH31" s="1266"/>
      <c r="RHI31" s="1266"/>
      <c r="RHJ31" s="1266"/>
      <c r="RHK31" s="1266"/>
      <c r="RHL31" s="1266"/>
      <c r="RHM31" s="1266"/>
      <c r="RHN31" s="1266"/>
      <c r="RHO31" s="1266"/>
      <c r="RHP31" s="1266"/>
      <c r="RHQ31" s="1266"/>
      <c r="RHR31" s="1266"/>
      <c r="RHS31" s="1266"/>
      <c r="RHT31" s="1266"/>
      <c r="RHU31" s="1266"/>
      <c r="RHV31" s="1266"/>
      <c r="RHW31" s="1266"/>
      <c r="RHX31" s="1266"/>
      <c r="RHY31" s="1266"/>
      <c r="RHZ31" s="1266"/>
      <c r="RIA31" s="1266"/>
      <c r="RIB31" s="1266"/>
      <c r="RIC31" s="1266"/>
      <c r="RID31" s="1266"/>
      <c r="RIE31" s="1266"/>
      <c r="RIF31" s="1266"/>
      <c r="RIG31" s="1266"/>
      <c r="RIH31" s="1266"/>
      <c r="RII31" s="1266"/>
      <c r="RIJ31" s="1266"/>
      <c r="RIK31" s="1266"/>
      <c r="RIL31" s="1266"/>
      <c r="RIM31" s="1266"/>
      <c r="RIN31" s="1266"/>
      <c r="RIO31" s="1266"/>
      <c r="RIP31" s="1266"/>
      <c r="RIQ31" s="1266"/>
      <c r="RIR31" s="1266"/>
      <c r="RIS31" s="1266"/>
      <c r="RIT31" s="1266"/>
      <c r="RIU31" s="1266"/>
      <c r="RIV31" s="1266"/>
      <c r="RIW31" s="1266"/>
      <c r="RIX31" s="1266"/>
      <c r="RIY31" s="1266"/>
      <c r="RIZ31" s="1266"/>
      <c r="RJA31" s="1266"/>
      <c r="RJB31" s="1266"/>
      <c r="RJC31" s="1266"/>
      <c r="RJD31" s="1266"/>
      <c r="RJE31" s="1266"/>
      <c r="RJF31" s="1266"/>
      <c r="RJG31" s="1266"/>
      <c r="RJH31" s="1266"/>
      <c r="RJI31" s="1266"/>
      <c r="RJJ31" s="1266"/>
      <c r="RJK31" s="1266"/>
      <c r="RJL31" s="1266"/>
      <c r="RJM31" s="1266"/>
      <c r="RJN31" s="1266"/>
      <c r="RJO31" s="1266"/>
      <c r="RJP31" s="1266"/>
      <c r="RJQ31" s="1266"/>
      <c r="RJR31" s="1266"/>
      <c r="RJS31" s="1266"/>
      <c r="RJT31" s="1266"/>
      <c r="RJU31" s="1266"/>
      <c r="RJV31" s="1266"/>
      <c r="RJW31" s="1266"/>
      <c r="RJX31" s="1266"/>
      <c r="RJY31" s="1266"/>
      <c r="RJZ31" s="1266"/>
      <c r="RKA31" s="1266"/>
      <c r="RKB31" s="1266"/>
      <c r="RKC31" s="1266"/>
      <c r="RKD31" s="1266"/>
      <c r="RKE31" s="1266"/>
      <c r="RKF31" s="1266"/>
      <c r="RKG31" s="1266"/>
      <c r="RKH31" s="1266"/>
      <c r="RKI31" s="1266"/>
      <c r="RKJ31" s="1266"/>
      <c r="RKK31" s="1266"/>
      <c r="RKL31" s="1266"/>
      <c r="RKM31" s="1266"/>
      <c r="RKN31" s="1266"/>
      <c r="RKO31" s="1266"/>
      <c r="RKP31" s="1266"/>
      <c r="RKQ31" s="1266"/>
      <c r="RKR31" s="1266"/>
      <c r="RKS31" s="1266"/>
      <c r="RKT31" s="1266"/>
      <c r="RKU31" s="1266"/>
      <c r="RKV31" s="1266"/>
      <c r="RKW31" s="1266"/>
      <c r="RKX31" s="1266"/>
      <c r="RKY31" s="1266"/>
      <c r="RKZ31" s="1266"/>
      <c r="RLA31" s="1266"/>
      <c r="RLB31" s="1266"/>
      <c r="RLC31" s="1266"/>
      <c r="RLD31" s="1266"/>
      <c r="RLE31" s="1266"/>
      <c r="RLF31" s="1266"/>
      <c r="RLG31" s="1266"/>
      <c r="RLH31" s="1266"/>
      <c r="RLI31" s="1266"/>
      <c r="RLJ31" s="1266"/>
      <c r="RLK31" s="1266"/>
      <c r="RLL31" s="1266"/>
      <c r="RLM31" s="1266"/>
      <c r="RLN31" s="1266"/>
      <c r="RLO31" s="1266"/>
      <c r="RLP31" s="1266"/>
      <c r="RLQ31" s="1266"/>
      <c r="RLR31" s="1266"/>
      <c r="RLS31" s="1266"/>
      <c r="RLT31" s="1266"/>
      <c r="RLU31" s="1266"/>
      <c r="RLV31" s="1266"/>
      <c r="RLW31" s="1266"/>
      <c r="RLX31" s="1266"/>
      <c r="RLY31" s="1266"/>
      <c r="RLZ31" s="1266"/>
      <c r="RMA31" s="1266"/>
      <c r="RMB31" s="1266"/>
      <c r="RMC31" s="1266"/>
      <c r="RMD31" s="1266"/>
      <c r="RME31" s="1266"/>
      <c r="RMF31" s="1266"/>
      <c r="RMG31" s="1266"/>
      <c r="RMH31" s="1266"/>
      <c r="RMI31" s="1266"/>
      <c r="RMJ31" s="1266"/>
      <c r="RMK31" s="1266"/>
      <c r="RML31" s="1266"/>
      <c r="RMM31" s="1266"/>
      <c r="RMN31" s="1266"/>
      <c r="RMO31" s="1266"/>
      <c r="RMP31" s="1266"/>
      <c r="RMQ31" s="1266"/>
      <c r="RMR31" s="1266"/>
      <c r="RMS31" s="1266"/>
      <c r="RMT31" s="1266"/>
      <c r="RMU31" s="1266"/>
      <c r="RMV31" s="1266"/>
      <c r="RMW31" s="1266"/>
      <c r="RMX31" s="1266"/>
      <c r="RMY31" s="1266"/>
      <c r="RMZ31" s="1266"/>
      <c r="RNA31" s="1266"/>
      <c r="RNB31" s="1266"/>
      <c r="RNC31" s="1266"/>
      <c r="RND31" s="1266"/>
      <c r="RNE31" s="1266"/>
      <c r="RNF31" s="1266"/>
      <c r="RNG31" s="1266"/>
      <c r="RNH31" s="1266"/>
      <c r="RNI31" s="1266"/>
      <c r="RNJ31" s="1266"/>
      <c r="RNK31" s="1266"/>
      <c r="RNL31" s="1266"/>
      <c r="RNM31" s="1266"/>
      <c r="RNN31" s="1266"/>
      <c r="RNO31" s="1266"/>
      <c r="RNP31" s="1266"/>
      <c r="RNQ31" s="1266"/>
      <c r="RNR31" s="1266"/>
      <c r="RNS31" s="1266"/>
      <c r="RNT31" s="1266"/>
      <c r="RNU31" s="1266"/>
      <c r="RNV31" s="1266"/>
      <c r="RNW31" s="1266"/>
      <c r="RNX31" s="1266"/>
      <c r="RNY31" s="1266"/>
      <c r="RNZ31" s="1266"/>
      <c r="ROA31" s="1266"/>
      <c r="ROB31" s="1266"/>
      <c r="ROC31" s="1266"/>
      <c r="ROD31" s="1266"/>
      <c r="ROE31" s="1266"/>
      <c r="ROF31" s="1266"/>
      <c r="ROG31" s="1266"/>
      <c r="ROH31" s="1266"/>
      <c r="ROI31" s="1266"/>
      <c r="ROJ31" s="1266"/>
      <c r="ROK31" s="1266"/>
      <c r="ROL31" s="1266"/>
      <c r="ROM31" s="1266"/>
      <c r="RON31" s="1266"/>
      <c r="ROO31" s="1266"/>
      <c r="ROP31" s="1266"/>
      <c r="ROQ31" s="1266"/>
      <c r="ROR31" s="1266"/>
      <c r="ROS31" s="1266"/>
      <c r="ROT31" s="1266"/>
      <c r="ROU31" s="1266"/>
      <c r="ROV31" s="1266"/>
      <c r="ROW31" s="1266"/>
      <c r="ROX31" s="1266"/>
      <c r="ROY31" s="1266"/>
      <c r="ROZ31" s="1266"/>
      <c r="RPA31" s="1266"/>
      <c r="RPB31" s="1266"/>
      <c r="RPC31" s="1266"/>
      <c r="RPD31" s="1266"/>
      <c r="RPE31" s="1266"/>
      <c r="RPF31" s="1266"/>
      <c r="RPG31" s="1266"/>
      <c r="RPH31" s="1266"/>
      <c r="RPI31" s="1266"/>
      <c r="RPJ31" s="1266"/>
      <c r="RPK31" s="1266"/>
      <c r="RPL31" s="1266"/>
      <c r="RPM31" s="1266"/>
      <c r="RPN31" s="1266"/>
      <c r="RPO31" s="1266"/>
      <c r="RPP31" s="1266"/>
      <c r="RPQ31" s="1266"/>
      <c r="RPR31" s="1266"/>
      <c r="RPS31" s="1266"/>
      <c r="RPT31" s="1266"/>
      <c r="RPU31" s="1266"/>
      <c r="RPV31" s="1266"/>
      <c r="RPW31" s="1266"/>
      <c r="RPX31" s="1266"/>
      <c r="RPY31" s="1266"/>
      <c r="RPZ31" s="1266"/>
      <c r="RQA31" s="1266"/>
      <c r="RQB31" s="1266"/>
      <c r="RQC31" s="1266"/>
      <c r="RQD31" s="1266"/>
      <c r="RQE31" s="1266"/>
      <c r="RQF31" s="1266"/>
      <c r="RQG31" s="1266"/>
      <c r="RQH31" s="1266"/>
      <c r="RQI31" s="1266"/>
      <c r="RQJ31" s="1266"/>
      <c r="RQK31" s="1266"/>
      <c r="RQL31" s="1266"/>
      <c r="RQM31" s="1266"/>
      <c r="RQN31" s="1266"/>
      <c r="RQO31" s="1266"/>
      <c r="RQP31" s="1266"/>
      <c r="RQQ31" s="1266"/>
      <c r="RQR31" s="1266"/>
      <c r="RQS31" s="1266"/>
      <c r="RQT31" s="1266"/>
      <c r="RQU31" s="1266"/>
      <c r="RQV31" s="1266"/>
      <c r="RQW31" s="1266"/>
      <c r="RQX31" s="1266"/>
      <c r="RQY31" s="1266"/>
      <c r="RQZ31" s="1266"/>
      <c r="RRA31" s="1266"/>
      <c r="RRB31" s="1266"/>
      <c r="RRC31" s="1266"/>
      <c r="RRD31" s="1266"/>
      <c r="RRE31" s="1266"/>
      <c r="RRF31" s="1266"/>
      <c r="RRG31" s="1266"/>
      <c r="RRH31" s="1266"/>
      <c r="RRI31" s="1266"/>
      <c r="RRJ31" s="1266"/>
      <c r="RRK31" s="1266"/>
      <c r="RRL31" s="1266"/>
      <c r="RRM31" s="1266"/>
      <c r="RRN31" s="1266"/>
      <c r="RRO31" s="1266"/>
      <c r="RRP31" s="1266"/>
      <c r="RRQ31" s="1266"/>
      <c r="RRR31" s="1266"/>
      <c r="RRS31" s="1266"/>
      <c r="RRT31" s="1266"/>
      <c r="RRU31" s="1266"/>
      <c r="RRV31" s="1266"/>
      <c r="RRW31" s="1266"/>
      <c r="RRX31" s="1266"/>
      <c r="RRY31" s="1266"/>
      <c r="RRZ31" s="1266"/>
      <c r="RSA31" s="1266"/>
      <c r="RSB31" s="1266"/>
      <c r="RSC31" s="1266"/>
      <c r="RSD31" s="1266"/>
      <c r="RSE31" s="1266"/>
      <c r="RSF31" s="1266"/>
      <c r="RSG31" s="1266"/>
      <c r="RSH31" s="1266"/>
      <c r="RSI31" s="1266"/>
      <c r="RSJ31" s="1266"/>
      <c r="RSK31" s="1266"/>
      <c r="RSL31" s="1266"/>
      <c r="RSM31" s="1266"/>
      <c r="RSN31" s="1266"/>
      <c r="RSO31" s="1266"/>
      <c r="RSP31" s="1266"/>
      <c r="RSQ31" s="1266"/>
      <c r="RSR31" s="1266"/>
      <c r="RSS31" s="1266"/>
      <c r="RST31" s="1266"/>
      <c r="RSU31" s="1266"/>
      <c r="RSV31" s="1266"/>
      <c r="RSW31" s="1266"/>
      <c r="RSX31" s="1266"/>
      <c r="RSY31" s="1266"/>
      <c r="RSZ31" s="1266"/>
      <c r="RTA31" s="1266"/>
      <c r="RTB31" s="1266"/>
      <c r="RTC31" s="1266"/>
      <c r="RTD31" s="1266"/>
      <c r="RTE31" s="1266"/>
      <c r="RTF31" s="1266"/>
      <c r="RTG31" s="1266"/>
      <c r="RTH31" s="1266"/>
      <c r="RTI31" s="1266"/>
      <c r="RTJ31" s="1266"/>
      <c r="RTK31" s="1266"/>
      <c r="RTL31" s="1266"/>
      <c r="RTM31" s="1266"/>
      <c r="RTN31" s="1266"/>
      <c r="RTO31" s="1266"/>
      <c r="RTP31" s="1266"/>
      <c r="RTQ31" s="1266"/>
      <c r="RTR31" s="1266"/>
      <c r="RTS31" s="1266"/>
      <c r="RTT31" s="1266"/>
      <c r="RTU31" s="1266"/>
      <c r="RTV31" s="1266"/>
      <c r="RTW31" s="1266"/>
      <c r="RTX31" s="1266"/>
      <c r="RTY31" s="1266"/>
      <c r="RTZ31" s="1266"/>
      <c r="RUA31" s="1266"/>
      <c r="RUB31" s="1266"/>
      <c r="RUC31" s="1266"/>
      <c r="RUD31" s="1266"/>
      <c r="RUE31" s="1266"/>
      <c r="RUF31" s="1266"/>
      <c r="RUG31" s="1266"/>
      <c r="RUH31" s="1266"/>
      <c r="RUI31" s="1266"/>
      <c r="RUJ31" s="1266"/>
      <c r="RUK31" s="1266"/>
      <c r="RUL31" s="1266"/>
      <c r="RUM31" s="1266"/>
      <c r="RUN31" s="1266"/>
      <c r="RUO31" s="1266"/>
      <c r="RUP31" s="1266"/>
      <c r="RUQ31" s="1266"/>
      <c r="RUR31" s="1266"/>
      <c r="RUS31" s="1266"/>
      <c r="RUT31" s="1266"/>
      <c r="RUU31" s="1266"/>
      <c r="RUV31" s="1266"/>
      <c r="RUW31" s="1266"/>
      <c r="RUX31" s="1266"/>
      <c r="RUY31" s="1266"/>
      <c r="RUZ31" s="1266"/>
      <c r="RVA31" s="1266"/>
      <c r="RVB31" s="1266"/>
      <c r="RVC31" s="1266"/>
      <c r="RVD31" s="1266"/>
      <c r="RVE31" s="1266"/>
      <c r="RVF31" s="1266"/>
      <c r="RVG31" s="1266"/>
      <c r="RVH31" s="1266"/>
      <c r="RVI31" s="1266"/>
      <c r="RVJ31" s="1266"/>
      <c r="RVK31" s="1266"/>
      <c r="RVL31" s="1266"/>
      <c r="RVM31" s="1266"/>
      <c r="RVN31" s="1266"/>
      <c r="RVO31" s="1266"/>
      <c r="RVP31" s="1266"/>
      <c r="RVQ31" s="1266"/>
      <c r="RVR31" s="1266"/>
      <c r="RVS31" s="1266"/>
      <c r="RVT31" s="1266"/>
      <c r="RVU31" s="1266"/>
      <c r="RVV31" s="1266"/>
      <c r="RVW31" s="1266"/>
      <c r="RVX31" s="1266"/>
      <c r="RVY31" s="1266"/>
      <c r="RVZ31" s="1266"/>
      <c r="RWA31" s="1266"/>
      <c r="RWB31" s="1266"/>
      <c r="RWC31" s="1266"/>
      <c r="RWD31" s="1266"/>
      <c r="RWE31" s="1266"/>
      <c r="RWF31" s="1266"/>
      <c r="RWG31" s="1266"/>
      <c r="RWH31" s="1266"/>
      <c r="RWI31" s="1266"/>
      <c r="RWJ31" s="1266"/>
      <c r="RWK31" s="1266"/>
      <c r="RWL31" s="1266"/>
      <c r="RWM31" s="1266"/>
      <c r="RWN31" s="1266"/>
      <c r="RWO31" s="1266"/>
      <c r="RWP31" s="1266"/>
      <c r="RWQ31" s="1266"/>
      <c r="RWR31" s="1266"/>
      <c r="RWS31" s="1266"/>
      <c r="RWT31" s="1266"/>
      <c r="RWU31" s="1266"/>
      <c r="RWV31" s="1266"/>
      <c r="RWW31" s="1266"/>
      <c r="RWX31" s="1266"/>
      <c r="RWY31" s="1266"/>
      <c r="RWZ31" s="1266"/>
      <c r="RXA31" s="1266"/>
      <c r="RXB31" s="1266"/>
      <c r="RXC31" s="1266"/>
      <c r="RXD31" s="1266"/>
      <c r="RXE31" s="1266"/>
      <c r="RXF31" s="1266"/>
      <c r="RXG31" s="1266"/>
      <c r="RXH31" s="1266"/>
      <c r="RXI31" s="1266"/>
      <c r="RXJ31" s="1266"/>
      <c r="RXK31" s="1266"/>
      <c r="RXL31" s="1266"/>
      <c r="RXM31" s="1266"/>
      <c r="RXN31" s="1266"/>
      <c r="RXO31" s="1266"/>
      <c r="RXP31" s="1266"/>
      <c r="RXQ31" s="1266"/>
      <c r="RXR31" s="1266"/>
      <c r="RXS31" s="1266"/>
      <c r="RXT31" s="1266"/>
      <c r="RXU31" s="1266"/>
      <c r="RXV31" s="1266"/>
      <c r="RXW31" s="1266"/>
      <c r="RXX31" s="1266"/>
      <c r="RXY31" s="1266"/>
      <c r="RXZ31" s="1266"/>
      <c r="RYA31" s="1266"/>
      <c r="RYB31" s="1266"/>
      <c r="RYC31" s="1266"/>
      <c r="RYD31" s="1266"/>
      <c r="RYE31" s="1266"/>
      <c r="RYF31" s="1266"/>
      <c r="RYG31" s="1266"/>
      <c r="RYH31" s="1266"/>
      <c r="RYI31" s="1266"/>
      <c r="RYJ31" s="1266"/>
      <c r="RYK31" s="1266"/>
      <c r="RYL31" s="1266"/>
      <c r="RYM31" s="1266"/>
      <c r="RYN31" s="1266"/>
      <c r="RYO31" s="1266"/>
      <c r="RYP31" s="1266"/>
      <c r="RYQ31" s="1266"/>
      <c r="RYR31" s="1266"/>
      <c r="RYS31" s="1266"/>
      <c r="RYT31" s="1266"/>
      <c r="RYU31" s="1266"/>
      <c r="RYV31" s="1266"/>
      <c r="RYW31" s="1266"/>
      <c r="RYX31" s="1266"/>
      <c r="RYY31" s="1266"/>
      <c r="RYZ31" s="1266"/>
      <c r="RZA31" s="1266"/>
      <c r="RZB31" s="1266"/>
      <c r="RZC31" s="1266"/>
      <c r="RZD31" s="1266"/>
      <c r="RZE31" s="1266"/>
      <c r="RZF31" s="1266"/>
      <c r="RZG31" s="1266"/>
      <c r="RZH31" s="1266"/>
      <c r="RZI31" s="1266"/>
      <c r="RZJ31" s="1266"/>
      <c r="RZK31" s="1266"/>
      <c r="RZL31" s="1266"/>
      <c r="RZM31" s="1266"/>
      <c r="RZN31" s="1266"/>
      <c r="RZO31" s="1266"/>
      <c r="RZP31" s="1266"/>
      <c r="RZQ31" s="1266"/>
      <c r="RZR31" s="1266"/>
      <c r="RZS31" s="1266"/>
      <c r="RZT31" s="1266"/>
      <c r="RZU31" s="1266"/>
      <c r="RZV31" s="1266"/>
      <c r="RZW31" s="1266"/>
      <c r="RZX31" s="1266"/>
      <c r="RZY31" s="1266"/>
      <c r="RZZ31" s="1266"/>
      <c r="SAA31" s="1266"/>
      <c r="SAB31" s="1266"/>
      <c r="SAC31" s="1266"/>
      <c r="SAD31" s="1266"/>
      <c r="SAE31" s="1266"/>
      <c r="SAF31" s="1266"/>
      <c r="SAG31" s="1266"/>
      <c r="SAH31" s="1266"/>
      <c r="SAI31" s="1266"/>
      <c r="SAJ31" s="1266"/>
      <c r="SAK31" s="1266"/>
      <c r="SAL31" s="1266"/>
      <c r="SAM31" s="1266"/>
      <c r="SAN31" s="1266"/>
      <c r="SAO31" s="1266"/>
      <c r="SAP31" s="1266"/>
      <c r="SAQ31" s="1266"/>
      <c r="SAR31" s="1266"/>
      <c r="SAS31" s="1266"/>
      <c r="SAT31" s="1266"/>
      <c r="SAU31" s="1266"/>
      <c r="SAV31" s="1266"/>
      <c r="SAW31" s="1266"/>
      <c r="SAX31" s="1266"/>
      <c r="SAY31" s="1266"/>
      <c r="SAZ31" s="1266"/>
      <c r="SBA31" s="1266"/>
      <c r="SBB31" s="1266"/>
      <c r="SBC31" s="1266"/>
      <c r="SBD31" s="1266"/>
      <c r="SBE31" s="1266"/>
      <c r="SBF31" s="1266"/>
      <c r="SBG31" s="1266"/>
      <c r="SBH31" s="1266"/>
      <c r="SBI31" s="1266"/>
      <c r="SBJ31" s="1266"/>
      <c r="SBK31" s="1266"/>
      <c r="SBL31" s="1266"/>
      <c r="SBM31" s="1266"/>
      <c r="SBN31" s="1266"/>
      <c r="SBO31" s="1266"/>
      <c r="SBP31" s="1266"/>
      <c r="SBQ31" s="1266"/>
      <c r="SBR31" s="1266"/>
      <c r="SBS31" s="1266"/>
      <c r="SBT31" s="1266"/>
      <c r="SBU31" s="1266"/>
      <c r="SBV31" s="1266"/>
      <c r="SBW31" s="1266"/>
      <c r="SBX31" s="1266"/>
      <c r="SBY31" s="1266"/>
      <c r="SBZ31" s="1266"/>
      <c r="SCA31" s="1266"/>
      <c r="SCB31" s="1266"/>
      <c r="SCC31" s="1266"/>
      <c r="SCD31" s="1266"/>
      <c r="SCE31" s="1266"/>
      <c r="SCF31" s="1266"/>
      <c r="SCG31" s="1266"/>
      <c r="SCH31" s="1266"/>
      <c r="SCI31" s="1266"/>
      <c r="SCJ31" s="1266"/>
      <c r="SCK31" s="1266"/>
      <c r="SCL31" s="1266"/>
      <c r="SCM31" s="1266"/>
      <c r="SCN31" s="1266"/>
      <c r="SCO31" s="1266"/>
      <c r="SCP31" s="1266"/>
      <c r="SCQ31" s="1266"/>
      <c r="SCR31" s="1266"/>
      <c r="SCS31" s="1266"/>
      <c r="SCT31" s="1266"/>
      <c r="SCU31" s="1266"/>
      <c r="SCV31" s="1266"/>
      <c r="SCW31" s="1266"/>
      <c r="SCX31" s="1266"/>
      <c r="SCY31" s="1266"/>
      <c r="SCZ31" s="1266"/>
      <c r="SDA31" s="1266"/>
      <c r="SDB31" s="1266"/>
      <c r="SDC31" s="1266"/>
      <c r="SDD31" s="1266"/>
      <c r="SDE31" s="1266"/>
      <c r="SDF31" s="1266"/>
      <c r="SDG31" s="1266"/>
      <c r="SDH31" s="1266"/>
      <c r="SDI31" s="1266"/>
      <c r="SDJ31" s="1266"/>
      <c r="SDK31" s="1266"/>
      <c r="SDL31" s="1266"/>
      <c r="SDM31" s="1266"/>
      <c r="SDN31" s="1266"/>
      <c r="SDO31" s="1266"/>
      <c r="SDP31" s="1266"/>
      <c r="SDQ31" s="1266"/>
      <c r="SDR31" s="1266"/>
      <c r="SDS31" s="1266"/>
      <c r="SDT31" s="1266"/>
      <c r="SDU31" s="1266"/>
      <c r="SDV31" s="1266"/>
      <c r="SDW31" s="1266"/>
      <c r="SDX31" s="1266"/>
      <c r="SDY31" s="1266"/>
      <c r="SDZ31" s="1266"/>
      <c r="SEA31" s="1266"/>
      <c r="SEB31" s="1266"/>
      <c r="SEC31" s="1266"/>
      <c r="SED31" s="1266"/>
      <c r="SEE31" s="1266"/>
      <c r="SEF31" s="1266"/>
      <c r="SEG31" s="1266"/>
      <c r="SEH31" s="1266"/>
      <c r="SEI31" s="1266"/>
      <c r="SEJ31" s="1266"/>
      <c r="SEK31" s="1266"/>
      <c r="SEL31" s="1266"/>
      <c r="SEM31" s="1266"/>
      <c r="SEN31" s="1266"/>
      <c r="SEO31" s="1266"/>
      <c r="SEP31" s="1266"/>
      <c r="SEQ31" s="1266"/>
      <c r="SER31" s="1266"/>
      <c r="SES31" s="1266"/>
      <c r="SET31" s="1266"/>
      <c r="SEU31" s="1266"/>
      <c r="SEV31" s="1266"/>
      <c r="SEW31" s="1266"/>
      <c r="SEX31" s="1266"/>
      <c r="SEY31" s="1266"/>
      <c r="SEZ31" s="1266"/>
      <c r="SFA31" s="1266"/>
      <c r="SFB31" s="1266"/>
      <c r="SFC31" s="1266"/>
      <c r="SFD31" s="1266"/>
      <c r="SFE31" s="1266"/>
      <c r="SFF31" s="1266"/>
      <c r="SFG31" s="1266"/>
      <c r="SFH31" s="1266"/>
      <c r="SFI31" s="1266"/>
      <c r="SFJ31" s="1266"/>
      <c r="SFK31" s="1266"/>
      <c r="SFL31" s="1266"/>
      <c r="SFM31" s="1266"/>
      <c r="SFN31" s="1266"/>
      <c r="SFO31" s="1266"/>
      <c r="SFP31" s="1266"/>
      <c r="SFQ31" s="1266"/>
      <c r="SFR31" s="1266"/>
      <c r="SFS31" s="1266"/>
      <c r="SFT31" s="1266"/>
      <c r="SFU31" s="1266"/>
      <c r="SFV31" s="1266"/>
      <c r="SFW31" s="1266"/>
      <c r="SFX31" s="1266"/>
      <c r="SFY31" s="1266"/>
      <c r="SFZ31" s="1266"/>
      <c r="SGA31" s="1266"/>
      <c r="SGB31" s="1266"/>
      <c r="SGC31" s="1266"/>
      <c r="SGD31" s="1266"/>
      <c r="SGE31" s="1266"/>
      <c r="SGF31" s="1266"/>
      <c r="SGG31" s="1266"/>
      <c r="SGH31" s="1266"/>
      <c r="SGI31" s="1266"/>
      <c r="SGJ31" s="1266"/>
      <c r="SGK31" s="1266"/>
      <c r="SGL31" s="1266"/>
      <c r="SGM31" s="1266"/>
      <c r="SGN31" s="1266"/>
      <c r="SGO31" s="1266"/>
      <c r="SGP31" s="1266"/>
      <c r="SGQ31" s="1266"/>
      <c r="SGR31" s="1266"/>
      <c r="SGS31" s="1266"/>
      <c r="SGT31" s="1266"/>
      <c r="SGU31" s="1266"/>
      <c r="SGV31" s="1266"/>
      <c r="SGW31" s="1266"/>
      <c r="SGX31" s="1266"/>
      <c r="SGY31" s="1266"/>
      <c r="SGZ31" s="1266"/>
      <c r="SHA31" s="1266"/>
      <c r="SHB31" s="1266"/>
      <c r="SHC31" s="1266"/>
      <c r="SHD31" s="1266"/>
      <c r="SHE31" s="1266"/>
      <c r="SHF31" s="1266"/>
      <c r="SHG31" s="1266"/>
      <c r="SHH31" s="1266"/>
      <c r="SHI31" s="1266"/>
      <c r="SHJ31" s="1266"/>
      <c r="SHK31" s="1266"/>
      <c r="SHL31" s="1266"/>
      <c r="SHM31" s="1266"/>
      <c r="SHN31" s="1266"/>
      <c r="SHO31" s="1266"/>
      <c r="SHP31" s="1266"/>
      <c r="SHQ31" s="1266"/>
      <c r="SHR31" s="1266"/>
      <c r="SHS31" s="1266"/>
      <c r="SHT31" s="1266"/>
      <c r="SHU31" s="1266"/>
      <c r="SHV31" s="1266"/>
      <c r="SHW31" s="1266"/>
      <c r="SHX31" s="1266"/>
      <c r="SHY31" s="1266"/>
      <c r="SHZ31" s="1266"/>
      <c r="SIA31" s="1266"/>
      <c r="SIB31" s="1266"/>
      <c r="SIC31" s="1266"/>
      <c r="SID31" s="1266"/>
      <c r="SIE31" s="1266"/>
      <c r="SIF31" s="1266"/>
      <c r="SIG31" s="1266"/>
      <c r="SIH31" s="1266"/>
      <c r="SII31" s="1266"/>
      <c r="SIJ31" s="1266"/>
      <c r="SIK31" s="1266"/>
      <c r="SIL31" s="1266"/>
      <c r="SIM31" s="1266"/>
      <c r="SIN31" s="1266"/>
      <c r="SIO31" s="1266"/>
      <c r="SIP31" s="1266"/>
      <c r="SIQ31" s="1266"/>
      <c r="SIR31" s="1266"/>
      <c r="SIS31" s="1266"/>
      <c r="SIT31" s="1266"/>
      <c r="SIU31" s="1266"/>
      <c r="SIV31" s="1266"/>
      <c r="SIW31" s="1266"/>
      <c r="SIX31" s="1266"/>
      <c r="SIY31" s="1266"/>
      <c r="SIZ31" s="1266"/>
      <c r="SJA31" s="1266"/>
      <c r="SJB31" s="1266"/>
      <c r="SJC31" s="1266"/>
      <c r="SJD31" s="1266"/>
      <c r="SJE31" s="1266"/>
      <c r="SJF31" s="1266"/>
      <c r="SJG31" s="1266"/>
      <c r="SJH31" s="1266"/>
      <c r="SJI31" s="1266"/>
      <c r="SJJ31" s="1266"/>
      <c r="SJK31" s="1266"/>
      <c r="SJL31" s="1266"/>
      <c r="SJM31" s="1266"/>
      <c r="SJN31" s="1266"/>
      <c r="SJO31" s="1266"/>
      <c r="SJP31" s="1266"/>
      <c r="SJQ31" s="1266"/>
      <c r="SJR31" s="1266"/>
      <c r="SJS31" s="1266"/>
      <c r="SJT31" s="1266"/>
      <c r="SJU31" s="1266"/>
      <c r="SJV31" s="1266"/>
      <c r="SJW31" s="1266"/>
      <c r="SJX31" s="1266"/>
      <c r="SJY31" s="1266"/>
      <c r="SJZ31" s="1266"/>
      <c r="SKA31" s="1266"/>
      <c r="SKB31" s="1266"/>
      <c r="SKC31" s="1266"/>
      <c r="SKD31" s="1266"/>
      <c r="SKE31" s="1266"/>
      <c r="SKF31" s="1266"/>
      <c r="SKG31" s="1266"/>
      <c r="SKH31" s="1266"/>
      <c r="SKI31" s="1266"/>
      <c r="SKJ31" s="1266"/>
      <c r="SKK31" s="1266"/>
      <c r="SKL31" s="1266"/>
      <c r="SKM31" s="1266"/>
      <c r="SKN31" s="1266"/>
      <c r="SKO31" s="1266"/>
      <c r="SKP31" s="1266"/>
      <c r="SKQ31" s="1266"/>
      <c r="SKR31" s="1266"/>
      <c r="SKS31" s="1266"/>
      <c r="SKT31" s="1266"/>
      <c r="SKU31" s="1266"/>
      <c r="SKV31" s="1266"/>
      <c r="SKW31" s="1266"/>
      <c r="SKX31" s="1266"/>
      <c r="SKY31" s="1266"/>
      <c r="SKZ31" s="1266"/>
      <c r="SLA31" s="1266"/>
      <c r="SLB31" s="1266"/>
      <c r="SLC31" s="1266"/>
      <c r="SLD31" s="1266"/>
      <c r="SLE31" s="1266"/>
      <c r="SLF31" s="1266"/>
      <c r="SLG31" s="1266"/>
      <c r="SLH31" s="1266"/>
      <c r="SLI31" s="1266"/>
      <c r="SLJ31" s="1266"/>
      <c r="SLK31" s="1266"/>
      <c r="SLL31" s="1266"/>
      <c r="SLM31" s="1266"/>
      <c r="SLN31" s="1266"/>
      <c r="SLO31" s="1266"/>
      <c r="SLP31" s="1266"/>
      <c r="SLQ31" s="1266"/>
      <c r="SLR31" s="1266"/>
      <c r="SLS31" s="1266"/>
      <c r="SLT31" s="1266"/>
      <c r="SLU31" s="1266"/>
      <c r="SLV31" s="1266"/>
      <c r="SLW31" s="1266"/>
      <c r="SLX31" s="1266"/>
      <c r="SLY31" s="1266"/>
      <c r="SLZ31" s="1266"/>
      <c r="SMA31" s="1266"/>
      <c r="SMB31" s="1266"/>
      <c r="SMC31" s="1266"/>
      <c r="SMD31" s="1266"/>
      <c r="SME31" s="1266"/>
      <c r="SMF31" s="1266"/>
      <c r="SMG31" s="1266"/>
      <c r="SMH31" s="1266"/>
      <c r="SMI31" s="1266"/>
      <c r="SMJ31" s="1266"/>
      <c r="SMK31" s="1266"/>
      <c r="SML31" s="1266"/>
      <c r="SMM31" s="1266"/>
      <c r="SMN31" s="1266"/>
      <c r="SMO31" s="1266"/>
      <c r="SMP31" s="1266"/>
      <c r="SMQ31" s="1266"/>
      <c r="SMR31" s="1266"/>
      <c r="SMS31" s="1266"/>
      <c r="SMT31" s="1266"/>
      <c r="SMU31" s="1266"/>
      <c r="SMV31" s="1266"/>
      <c r="SMW31" s="1266"/>
      <c r="SMX31" s="1266"/>
      <c r="SMY31" s="1266"/>
      <c r="SMZ31" s="1266"/>
      <c r="SNA31" s="1266"/>
      <c r="SNB31" s="1266"/>
      <c r="SNC31" s="1266"/>
      <c r="SND31" s="1266"/>
      <c r="SNE31" s="1266"/>
      <c r="SNF31" s="1266"/>
      <c r="SNG31" s="1266"/>
      <c r="SNH31" s="1266"/>
      <c r="SNI31" s="1266"/>
      <c r="SNJ31" s="1266"/>
      <c r="SNK31" s="1266"/>
      <c r="SNL31" s="1266"/>
      <c r="SNM31" s="1266"/>
      <c r="SNN31" s="1266"/>
      <c r="SNO31" s="1266"/>
      <c r="SNP31" s="1266"/>
      <c r="SNQ31" s="1266"/>
      <c r="SNR31" s="1266"/>
      <c r="SNS31" s="1266"/>
      <c r="SNT31" s="1266"/>
      <c r="SNU31" s="1266"/>
      <c r="SNV31" s="1266"/>
      <c r="SNW31" s="1266"/>
      <c r="SNX31" s="1266"/>
      <c r="SNY31" s="1266"/>
      <c r="SNZ31" s="1266"/>
      <c r="SOA31" s="1266"/>
      <c r="SOB31" s="1266"/>
      <c r="SOC31" s="1266"/>
      <c r="SOD31" s="1266"/>
      <c r="SOE31" s="1266"/>
      <c r="SOF31" s="1266"/>
      <c r="SOG31" s="1266"/>
      <c r="SOH31" s="1266"/>
      <c r="SOI31" s="1266"/>
      <c r="SOJ31" s="1266"/>
      <c r="SOK31" s="1266"/>
      <c r="SOL31" s="1266"/>
      <c r="SOM31" s="1266"/>
      <c r="SON31" s="1266"/>
      <c r="SOO31" s="1266"/>
      <c r="SOP31" s="1266"/>
      <c r="SOQ31" s="1266"/>
      <c r="SOR31" s="1266"/>
      <c r="SOS31" s="1266"/>
      <c r="SOT31" s="1266"/>
      <c r="SOU31" s="1266"/>
      <c r="SOV31" s="1266"/>
      <c r="SOW31" s="1266"/>
      <c r="SOX31" s="1266"/>
      <c r="SOY31" s="1266"/>
      <c r="SOZ31" s="1266"/>
      <c r="SPA31" s="1266"/>
      <c r="SPB31" s="1266"/>
      <c r="SPC31" s="1266"/>
      <c r="SPD31" s="1266"/>
      <c r="SPE31" s="1266"/>
      <c r="SPF31" s="1266"/>
      <c r="SPG31" s="1266"/>
      <c r="SPH31" s="1266"/>
      <c r="SPI31" s="1266"/>
      <c r="SPJ31" s="1266"/>
      <c r="SPK31" s="1266"/>
      <c r="SPL31" s="1266"/>
      <c r="SPM31" s="1266"/>
      <c r="SPN31" s="1266"/>
      <c r="SPO31" s="1266"/>
      <c r="SPP31" s="1266"/>
      <c r="SPQ31" s="1266"/>
      <c r="SPR31" s="1266"/>
      <c r="SPS31" s="1266"/>
      <c r="SPT31" s="1266"/>
      <c r="SPU31" s="1266"/>
      <c r="SPV31" s="1266"/>
      <c r="SPW31" s="1266"/>
      <c r="SPX31" s="1266"/>
      <c r="SPY31" s="1266"/>
      <c r="SPZ31" s="1266"/>
      <c r="SQA31" s="1266"/>
      <c r="SQB31" s="1266"/>
      <c r="SQC31" s="1266"/>
      <c r="SQD31" s="1266"/>
      <c r="SQE31" s="1266"/>
      <c r="SQF31" s="1266"/>
      <c r="SQG31" s="1266"/>
      <c r="SQH31" s="1266"/>
      <c r="SQI31" s="1266"/>
      <c r="SQJ31" s="1266"/>
      <c r="SQK31" s="1266"/>
      <c r="SQL31" s="1266"/>
      <c r="SQM31" s="1266"/>
      <c r="SQN31" s="1266"/>
      <c r="SQO31" s="1266"/>
      <c r="SQP31" s="1266"/>
      <c r="SQQ31" s="1266"/>
      <c r="SQR31" s="1266"/>
      <c r="SQS31" s="1266"/>
      <c r="SQT31" s="1266"/>
      <c r="SQU31" s="1266"/>
      <c r="SQV31" s="1266"/>
      <c r="SQW31" s="1266"/>
      <c r="SQX31" s="1266"/>
      <c r="SQY31" s="1266"/>
      <c r="SQZ31" s="1266"/>
      <c r="SRA31" s="1266"/>
      <c r="SRB31" s="1266"/>
      <c r="SRC31" s="1266"/>
      <c r="SRD31" s="1266"/>
      <c r="SRE31" s="1266"/>
      <c r="SRF31" s="1266"/>
      <c r="SRG31" s="1266"/>
      <c r="SRH31" s="1266"/>
      <c r="SRI31" s="1266"/>
      <c r="SRJ31" s="1266"/>
      <c r="SRK31" s="1266"/>
      <c r="SRL31" s="1266"/>
      <c r="SRM31" s="1266"/>
      <c r="SRN31" s="1266"/>
      <c r="SRO31" s="1266"/>
      <c r="SRP31" s="1266"/>
      <c r="SRQ31" s="1266"/>
      <c r="SRR31" s="1266"/>
      <c r="SRS31" s="1266"/>
      <c r="SRT31" s="1266"/>
      <c r="SRU31" s="1266"/>
      <c r="SRV31" s="1266"/>
      <c r="SRW31" s="1266"/>
      <c r="SRX31" s="1266"/>
      <c r="SRY31" s="1266"/>
      <c r="SRZ31" s="1266"/>
      <c r="SSA31" s="1266"/>
      <c r="SSB31" s="1266"/>
      <c r="SSC31" s="1266"/>
      <c r="SSD31" s="1266"/>
      <c r="SSE31" s="1266"/>
      <c r="SSF31" s="1266"/>
      <c r="SSG31" s="1266"/>
      <c r="SSH31" s="1266"/>
      <c r="SSI31" s="1266"/>
      <c r="SSJ31" s="1266"/>
      <c r="SSK31" s="1266"/>
      <c r="SSL31" s="1266"/>
      <c r="SSM31" s="1266"/>
      <c r="SSN31" s="1266"/>
      <c r="SSO31" s="1266"/>
      <c r="SSP31" s="1266"/>
      <c r="SSQ31" s="1266"/>
      <c r="SSR31" s="1266"/>
      <c r="SSS31" s="1266"/>
      <c r="SST31" s="1266"/>
      <c r="SSU31" s="1266"/>
      <c r="SSV31" s="1266"/>
      <c r="SSW31" s="1266"/>
      <c r="SSX31" s="1266"/>
      <c r="SSY31" s="1266"/>
      <c r="SSZ31" s="1266"/>
      <c r="STA31" s="1266"/>
      <c r="STB31" s="1266"/>
      <c r="STC31" s="1266"/>
      <c r="STD31" s="1266"/>
      <c r="STE31" s="1266"/>
      <c r="STF31" s="1266"/>
      <c r="STG31" s="1266"/>
      <c r="STH31" s="1266"/>
      <c r="STI31" s="1266"/>
      <c r="STJ31" s="1266"/>
      <c r="STK31" s="1266"/>
      <c r="STL31" s="1266"/>
      <c r="STM31" s="1266"/>
      <c r="STN31" s="1266"/>
      <c r="STO31" s="1266"/>
      <c r="STP31" s="1266"/>
      <c r="STQ31" s="1266"/>
      <c r="STR31" s="1266"/>
      <c r="STS31" s="1266"/>
      <c r="STT31" s="1266"/>
      <c r="STU31" s="1266"/>
      <c r="STV31" s="1266"/>
      <c r="STW31" s="1266"/>
      <c r="STX31" s="1266"/>
      <c r="STY31" s="1266"/>
      <c r="STZ31" s="1266"/>
      <c r="SUA31" s="1266"/>
      <c r="SUB31" s="1266"/>
      <c r="SUC31" s="1266"/>
      <c r="SUD31" s="1266"/>
      <c r="SUE31" s="1266"/>
      <c r="SUF31" s="1266"/>
      <c r="SUG31" s="1266"/>
      <c r="SUH31" s="1266"/>
      <c r="SUI31" s="1266"/>
      <c r="SUJ31" s="1266"/>
      <c r="SUK31" s="1266"/>
      <c r="SUL31" s="1266"/>
      <c r="SUM31" s="1266"/>
      <c r="SUN31" s="1266"/>
      <c r="SUO31" s="1266"/>
      <c r="SUP31" s="1266"/>
      <c r="SUQ31" s="1266"/>
      <c r="SUR31" s="1266"/>
      <c r="SUS31" s="1266"/>
      <c r="SUT31" s="1266"/>
      <c r="SUU31" s="1266"/>
      <c r="SUV31" s="1266"/>
      <c r="SUW31" s="1266"/>
      <c r="SUX31" s="1266"/>
      <c r="SUY31" s="1266"/>
      <c r="SUZ31" s="1266"/>
      <c r="SVA31" s="1266"/>
      <c r="SVB31" s="1266"/>
      <c r="SVC31" s="1266"/>
      <c r="SVD31" s="1266"/>
      <c r="SVE31" s="1266"/>
      <c r="SVF31" s="1266"/>
      <c r="SVG31" s="1266"/>
      <c r="SVH31" s="1266"/>
      <c r="SVI31" s="1266"/>
      <c r="SVJ31" s="1266"/>
      <c r="SVK31" s="1266"/>
      <c r="SVL31" s="1266"/>
      <c r="SVM31" s="1266"/>
      <c r="SVN31" s="1266"/>
      <c r="SVO31" s="1266"/>
      <c r="SVP31" s="1266"/>
      <c r="SVQ31" s="1266"/>
      <c r="SVR31" s="1266"/>
      <c r="SVS31" s="1266"/>
      <c r="SVT31" s="1266"/>
      <c r="SVU31" s="1266"/>
      <c r="SVV31" s="1266"/>
      <c r="SVW31" s="1266"/>
      <c r="SVX31" s="1266"/>
      <c r="SVY31" s="1266"/>
      <c r="SVZ31" s="1266"/>
      <c r="SWA31" s="1266"/>
      <c r="SWB31" s="1266"/>
      <c r="SWC31" s="1266"/>
      <c r="SWD31" s="1266"/>
      <c r="SWE31" s="1266"/>
      <c r="SWF31" s="1266"/>
      <c r="SWG31" s="1266"/>
      <c r="SWH31" s="1266"/>
      <c r="SWI31" s="1266"/>
      <c r="SWJ31" s="1266"/>
      <c r="SWK31" s="1266"/>
      <c r="SWL31" s="1266"/>
      <c r="SWM31" s="1266"/>
      <c r="SWN31" s="1266"/>
      <c r="SWO31" s="1266"/>
      <c r="SWP31" s="1266"/>
      <c r="SWQ31" s="1266"/>
      <c r="SWR31" s="1266"/>
      <c r="SWS31" s="1266"/>
      <c r="SWT31" s="1266"/>
      <c r="SWU31" s="1266"/>
      <c r="SWV31" s="1266"/>
      <c r="SWW31" s="1266"/>
      <c r="SWX31" s="1266"/>
      <c r="SWY31" s="1266"/>
      <c r="SWZ31" s="1266"/>
      <c r="SXA31" s="1266"/>
      <c r="SXB31" s="1266"/>
      <c r="SXC31" s="1266"/>
      <c r="SXD31" s="1266"/>
      <c r="SXE31" s="1266"/>
      <c r="SXF31" s="1266"/>
      <c r="SXG31" s="1266"/>
      <c r="SXH31" s="1266"/>
      <c r="SXI31" s="1266"/>
      <c r="SXJ31" s="1266"/>
      <c r="SXK31" s="1266"/>
      <c r="SXL31" s="1266"/>
      <c r="SXM31" s="1266"/>
      <c r="SXN31" s="1266"/>
      <c r="SXO31" s="1266"/>
      <c r="SXP31" s="1266"/>
      <c r="SXQ31" s="1266"/>
      <c r="SXR31" s="1266"/>
      <c r="SXS31" s="1266"/>
      <c r="SXT31" s="1266"/>
      <c r="SXU31" s="1266"/>
      <c r="SXV31" s="1266"/>
      <c r="SXW31" s="1266"/>
      <c r="SXX31" s="1266"/>
      <c r="SXY31" s="1266"/>
      <c r="SXZ31" s="1266"/>
      <c r="SYA31" s="1266"/>
      <c r="SYB31" s="1266"/>
      <c r="SYC31" s="1266"/>
      <c r="SYD31" s="1266"/>
      <c r="SYE31" s="1266"/>
      <c r="SYF31" s="1266"/>
      <c r="SYG31" s="1266"/>
      <c r="SYH31" s="1266"/>
      <c r="SYI31" s="1266"/>
      <c r="SYJ31" s="1266"/>
      <c r="SYK31" s="1266"/>
      <c r="SYL31" s="1266"/>
      <c r="SYM31" s="1266"/>
      <c r="SYN31" s="1266"/>
      <c r="SYO31" s="1266"/>
      <c r="SYP31" s="1266"/>
      <c r="SYQ31" s="1266"/>
      <c r="SYR31" s="1266"/>
      <c r="SYS31" s="1266"/>
      <c r="SYT31" s="1266"/>
      <c r="SYU31" s="1266"/>
      <c r="SYV31" s="1266"/>
      <c r="SYW31" s="1266"/>
      <c r="SYX31" s="1266"/>
      <c r="SYY31" s="1266"/>
      <c r="SYZ31" s="1266"/>
      <c r="SZA31" s="1266"/>
      <c r="SZB31" s="1266"/>
      <c r="SZC31" s="1266"/>
      <c r="SZD31" s="1266"/>
      <c r="SZE31" s="1266"/>
      <c r="SZF31" s="1266"/>
      <c r="SZG31" s="1266"/>
      <c r="SZH31" s="1266"/>
      <c r="SZI31" s="1266"/>
      <c r="SZJ31" s="1266"/>
      <c r="SZK31" s="1266"/>
      <c r="SZL31" s="1266"/>
      <c r="SZM31" s="1266"/>
      <c r="SZN31" s="1266"/>
      <c r="SZO31" s="1266"/>
      <c r="SZP31" s="1266"/>
      <c r="SZQ31" s="1266"/>
      <c r="SZR31" s="1266"/>
      <c r="SZS31" s="1266"/>
      <c r="SZT31" s="1266"/>
      <c r="SZU31" s="1266"/>
      <c r="SZV31" s="1266"/>
      <c r="SZW31" s="1266"/>
      <c r="SZX31" s="1266"/>
      <c r="SZY31" s="1266"/>
      <c r="SZZ31" s="1266"/>
      <c r="TAA31" s="1266"/>
      <c r="TAB31" s="1266"/>
      <c r="TAC31" s="1266"/>
      <c r="TAD31" s="1266"/>
      <c r="TAE31" s="1266"/>
      <c r="TAF31" s="1266"/>
      <c r="TAG31" s="1266"/>
      <c r="TAH31" s="1266"/>
      <c r="TAI31" s="1266"/>
      <c r="TAJ31" s="1266"/>
      <c r="TAK31" s="1266"/>
      <c r="TAL31" s="1266"/>
      <c r="TAM31" s="1266"/>
      <c r="TAN31" s="1266"/>
      <c r="TAO31" s="1266"/>
      <c r="TAP31" s="1266"/>
      <c r="TAQ31" s="1266"/>
      <c r="TAR31" s="1266"/>
      <c r="TAS31" s="1266"/>
      <c r="TAT31" s="1266"/>
      <c r="TAU31" s="1266"/>
      <c r="TAV31" s="1266"/>
      <c r="TAW31" s="1266"/>
      <c r="TAX31" s="1266"/>
      <c r="TAY31" s="1266"/>
      <c r="TAZ31" s="1266"/>
      <c r="TBA31" s="1266"/>
      <c r="TBB31" s="1266"/>
      <c r="TBC31" s="1266"/>
      <c r="TBD31" s="1266"/>
      <c r="TBE31" s="1266"/>
      <c r="TBF31" s="1266"/>
      <c r="TBG31" s="1266"/>
      <c r="TBH31" s="1266"/>
      <c r="TBI31" s="1266"/>
      <c r="TBJ31" s="1266"/>
      <c r="TBK31" s="1266"/>
      <c r="TBL31" s="1266"/>
      <c r="TBM31" s="1266"/>
      <c r="TBN31" s="1266"/>
      <c r="TBO31" s="1266"/>
      <c r="TBP31" s="1266"/>
      <c r="TBQ31" s="1266"/>
      <c r="TBR31" s="1266"/>
      <c r="TBS31" s="1266"/>
      <c r="TBT31" s="1266"/>
      <c r="TBU31" s="1266"/>
      <c r="TBV31" s="1266"/>
      <c r="TBW31" s="1266"/>
      <c r="TBX31" s="1266"/>
      <c r="TBY31" s="1266"/>
      <c r="TBZ31" s="1266"/>
      <c r="TCA31" s="1266"/>
      <c r="TCB31" s="1266"/>
      <c r="TCC31" s="1266"/>
      <c r="TCD31" s="1266"/>
      <c r="TCE31" s="1266"/>
      <c r="TCF31" s="1266"/>
      <c r="TCG31" s="1266"/>
      <c r="TCH31" s="1266"/>
      <c r="TCI31" s="1266"/>
      <c r="TCJ31" s="1266"/>
      <c r="TCK31" s="1266"/>
      <c r="TCL31" s="1266"/>
      <c r="TCM31" s="1266"/>
      <c r="TCN31" s="1266"/>
      <c r="TCO31" s="1266"/>
      <c r="TCP31" s="1266"/>
      <c r="TCQ31" s="1266"/>
      <c r="TCR31" s="1266"/>
      <c r="TCS31" s="1266"/>
      <c r="TCT31" s="1266"/>
      <c r="TCU31" s="1266"/>
      <c r="TCV31" s="1266"/>
      <c r="TCW31" s="1266"/>
      <c r="TCX31" s="1266"/>
      <c r="TCY31" s="1266"/>
      <c r="TCZ31" s="1266"/>
      <c r="TDA31" s="1266"/>
      <c r="TDB31" s="1266"/>
      <c r="TDC31" s="1266"/>
      <c r="TDD31" s="1266"/>
      <c r="TDE31" s="1266"/>
      <c r="TDF31" s="1266"/>
      <c r="TDG31" s="1266"/>
      <c r="TDH31" s="1266"/>
      <c r="TDI31" s="1266"/>
      <c r="TDJ31" s="1266"/>
      <c r="TDK31" s="1266"/>
      <c r="TDL31" s="1266"/>
      <c r="TDM31" s="1266"/>
      <c r="TDN31" s="1266"/>
      <c r="TDO31" s="1266"/>
      <c r="TDP31" s="1266"/>
      <c r="TDQ31" s="1266"/>
      <c r="TDR31" s="1266"/>
      <c r="TDS31" s="1266"/>
      <c r="TDT31" s="1266"/>
      <c r="TDU31" s="1266"/>
      <c r="TDV31" s="1266"/>
      <c r="TDW31" s="1266"/>
      <c r="TDX31" s="1266"/>
      <c r="TDY31" s="1266"/>
      <c r="TDZ31" s="1266"/>
      <c r="TEA31" s="1266"/>
      <c r="TEB31" s="1266"/>
      <c r="TEC31" s="1266"/>
      <c r="TED31" s="1266"/>
      <c r="TEE31" s="1266"/>
      <c r="TEF31" s="1266"/>
      <c r="TEG31" s="1266"/>
      <c r="TEH31" s="1266"/>
      <c r="TEI31" s="1266"/>
      <c r="TEJ31" s="1266"/>
      <c r="TEK31" s="1266"/>
      <c r="TEL31" s="1266"/>
      <c r="TEM31" s="1266"/>
      <c r="TEN31" s="1266"/>
      <c r="TEO31" s="1266"/>
      <c r="TEP31" s="1266"/>
      <c r="TEQ31" s="1266"/>
      <c r="TER31" s="1266"/>
      <c r="TES31" s="1266"/>
      <c r="TET31" s="1266"/>
      <c r="TEU31" s="1266"/>
      <c r="TEV31" s="1266"/>
      <c r="TEW31" s="1266"/>
      <c r="TEX31" s="1266"/>
      <c r="TEY31" s="1266"/>
      <c r="TEZ31" s="1266"/>
      <c r="TFA31" s="1266"/>
      <c r="TFB31" s="1266"/>
      <c r="TFC31" s="1266"/>
      <c r="TFD31" s="1266"/>
      <c r="TFE31" s="1266"/>
      <c r="TFF31" s="1266"/>
      <c r="TFG31" s="1266"/>
      <c r="TFH31" s="1266"/>
      <c r="TFI31" s="1266"/>
      <c r="TFJ31" s="1266"/>
      <c r="TFK31" s="1266"/>
      <c r="TFL31" s="1266"/>
      <c r="TFM31" s="1266"/>
      <c r="TFN31" s="1266"/>
      <c r="TFO31" s="1266"/>
      <c r="TFP31" s="1266"/>
      <c r="TFQ31" s="1266"/>
      <c r="TFR31" s="1266"/>
      <c r="TFS31" s="1266"/>
      <c r="TFT31" s="1266"/>
      <c r="TFU31" s="1266"/>
      <c r="TFV31" s="1266"/>
      <c r="TFW31" s="1266"/>
      <c r="TFX31" s="1266"/>
      <c r="TFY31" s="1266"/>
      <c r="TFZ31" s="1266"/>
      <c r="TGA31" s="1266"/>
      <c r="TGB31" s="1266"/>
      <c r="TGC31" s="1266"/>
      <c r="TGD31" s="1266"/>
      <c r="TGE31" s="1266"/>
      <c r="TGF31" s="1266"/>
      <c r="TGG31" s="1266"/>
      <c r="TGH31" s="1266"/>
      <c r="TGI31" s="1266"/>
      <c r="TGJ31" s="1266"/>
      <c r="TGK31" s="1266"/>
      <c r="TGL31" s="1266"/>
      <c r="TGM31" s="1266"/>
      <c r="TGN31" s="1266"/>
      <c r="TGO31" s="1266"/>
      <c r="TGP31" s="1266"/>
      <c r="TGQ31" s="1266"/>
      <c r="TGR31" s="1266"/>
      <c r="TGS31" s="1266"/>
      <c r="TGT31" s="1266"/>
      <c r="TGU31" s="1266"/>
      <c r="TGV31" s="1266"/>
      <c r="TGW31" s="1266"/>
      <c r="TGX31" s="1266"/>
      <c r="TGY31" s="1266"/>
      <c r="TGZ31" s="1266"/>
      <c r="THA31" s="1266"/>
      <c r="THB31" s="1266"/>
      <c r="THC31" s="1266"/>
      <c r="THD31" s="1266"/>
      <c r="THE31" s="1266"/>
      <c r="THF31" s="1266"/>
      <c r="THG31" s="1266"/>
      <c r="THH31" s="1266"/>
      <c r="THI31" s="1266"/>
      <c r="THJ31" s="1266"/>
      <c r="THK31" s="1266"/>
      <c r="THL31" s="1266"/>
      <c r="THM31" s="1266"/>
      <c r="THN31" s="1266"/>
      <c r="THO31" s="1266"/>
      <c r="THP31" s="1266"/>
      <c r="THQ31" s="1266"/>
      <c r="THR31" s="1266"/>
      <c r="THS31" s="1266"/>
      <c r="THT31" s="1266"/>
      <c r="THU31" s="1266"/>
      <c r="THV31" s="1266"/>
      <c r="THW31" s="1266"/>
      <c r="THX31" s="1266"/>
      <c r="THY31" s="1266"/>
      <c r="THZ31" s="1266"/>
      <c r="TIA31" s="1266"/>
      <c r="TIB31" s="1266"/>
      <c r="TIC31" s="1266"/>
      <c r="TID31" s="1266"/>
      <c r="TIE31" s="1266"/>
      <c r="TIF31" s="1266"/>
      <c r="TIG31" s="1266"/>
      <c r="TIH31" s="1266"/>
      <c r="TII31" s="1266"/>
      <c r="TIJ31" s="1266"/>
      <c r="TIK31" s="1266"/>
      <c r="TIL31" s="1266"/>
      <c r="TIM31" s="1266"/>
      <c r="TIN31" s="1266"/>
      <c r="TIO31" s="1266"/>
      <c r="TIP31" s="1266"/>
      <c r="TIQ31" s="1266"/>
      <c r="TIR31" s="1266"/>
      <c r="TIS31" s="1266"/>
      <c r="TIT31" s="1266"/>
      <c r="TIU31" s="1266"/>
      <c r="TIV31" s="1266"/>
      <c r="TIW31" s="1266"/>
      <c r="TIX31" s="1266"/>
      <c r="TIY31" s="1266"/>
      <c r="TIZ31" s="1266"/>
      <c r="TJA31" s="1266"/>
      <c r="TJB31" s="1266"/>
      <c r="TJC31" s="1266"/>
      <c r="TJD31" s="1266"/>
      <c r="TJE31" s="1266"/>
      <c r="TJF31" s="1266"/>
      <c r="TJG31" s="1266"/>
      <c r="TJH31" s="1266"/>
      <c r="TJI31" s="1266"/>
      <c r="TJJ31" s="1266"/>
      <c r="TJK31" s="1266"/>
      <c r="TJL31" s="1266"/>
      <c r="TJM31" s="1266"/>
      <c r="TJN31" s="1266"/>
      <c r="TJO31" s="1266"/>
      <c r="TJP31" s="1266"/>
      <c r="TJQ31" s="1266"/>
      <c r="TJR31" s="1266"/>
      <c r="TJS31" s="1266"/>
      <c r="TJT31" s="1266"/>
      <c r="TJU31" s="1266"/>
      <c r="TJV31" s="1266"/>
      <c r="TJW31" s="1266"/>
      <c r="TJX31" s="1266"/>
      <c r="TJY31" s="1266"/>
      <c r="TJZ31" s="1266"/>
      <c r="TKA31" s="1266"/>
      <c r="TKB31" s="1266"/>
      <c r="TKC31" s="1266"/>
      <c r="TKD31" s="1266"/>
      <c r="TKE31" s="1266"/>
      <c r="TKF31" s="1266"/>
      <c r="TKG31" s="1266"/>
      <c r="TKH31" s="1266"/>
      <c r="TKI31" s="1266"/>
      <c r="TKJ31" s="1266"/>
      <c r="TKK31" s="1266"/>
      <c r="TKL31" s="1266"/>
      <c r="TKM31" s="1266"/>
      <c r="TKN31" s="1266"/>
      <c r="TKO31" s="1266"/>
      <c r="TKP31" s="1266"/>
      <c r="TKQ31" s="1266"/>
      <c r="TKR31" s="1266"/>
      <c r="TKS31" s="1266"/>
      <c r="TKT31" s="1266"/>
      <c r="TKU31" s="1266"/>
      <c r="TKV31" s="1266"/>
      <c r="TKW31" s="1266"/>
      <c r="TKX31" s="1266"/>
      <c r="TKY31" s="1266"/>
      <c r="TKZ31" s="1266"/>
      <c r="TLA31" s="1266"/>
      <c r="TLB31" s="1266"/>
      <c r="TLC31" s="1266"/>
      <c r="TLD31" s="1266"/>
      <c r="TLE31" s="1266"/>
      <c r="TLF31" s="1266"/>
      <c r="TLG31" s="1266"/>
      <c r="TLH31" s="1266"/>
      <c r="TLI31" s="1266"/>
      <c r="TLJ31" s="1266"/>
      <c r="TLK31" s="1266"/>
      <c r="TLL31" s="1266"/>
      <c r="TLM31" s="1266"/>
      <c r="TLN31" s="1266"/>
      <c r="TLO31" s="1266"/>
      <c r="TLP31" s="1266"/>
      <c r="TLQ31" s="1266"/>
      <c r="TLR31" s="1266"/>
      <c r="TLS31" s="1266"/>
      <c r="TLT31" s="1266"/>
      <c r="TLU31" s="1266"/>
      <c r="TLV31" s="1266"/>
      <c r="TLW31" s="1266"/>
      <c r="TLX31" s="1266"/>
      <c r="TLY31" s="1266"/>
      <c r="TLZ31" s="1266"/>
      <c r="TMA31" s="1266"/>
      <c r="TMB31" s="1266"/>
      <c r="TMC31" s="1266"/>
      <c r="TMD31" s="1266"/>
      <c r="TME31" s="1266"/>
      <c r="TMF31" s="1266"/>
      <c r="TMG31" s="1266"/>
      <c r="TMH31" s="1266"/>
      <c r="TMI31" s="1266"/>
      <c r="TMJ31" s="1266"/>
      <c r="TMK31" s="1266"/>
      <c r="TML31" s="1266"/>
      <c r="TMM31" s="1266"/>
      <c r="TMN31" s="1266"/>
      <c r="TMO31" s="1266"/>
      <c r="TMP31" s="1266"/>
      <c r="TMQ31" s="1266"/>
      <c r="TMR31" s="1266"/>
      <c r="TMS31" s="1266"/>
      <c r="TMT31" s="1266"/>
      <c r="TMU31" s="1266"/>
      <c r="TMV31" s="1266"/>
      <c r="TMW31" s="1266"/>
      <c r="TMX31" s="1266"/>
      <c r="TMY31" s="1266"/>
      <c r="TMZ31" s="1266"/>
      <c r="TNA31" s="1266"/>
      <c r="TNB31" s="1266"/>
      <c r="TNC31" s="1266"/>
      <c r="TND31" s="1266"/>
      <c r="TNE31" s="1266"/>
      <c r="TNF31" s="1266"/>
      <c r="TNG31" s="1266"/>
      <c r="TNH31" s="1266"/>
      <c r="TNI31" s="1266"/>
      <c r="TNJ31" s="1266"/>
      <c r="TNK31" s="1266"/>
      <c r="TNL31" s="1266"/>
      <c r="TNM31" s="1266"/>
      <c r="TNN31" s="1266"/>
      <c r="TNO31" s="1266"/>
      <c r="TNP31" s="1266"/>
      <c r="TNQ31" s="1266"/>
      <c r="TNR31" s="1266"/>
      <c r="TNS31" s="1266"/>
      <c r="TNT31" s="1266"/>
      <c r="TNU31" s="1266"/>
      <c r="TNV31" s="1266"/>
      <c r="TNW31" s="1266"/>
      <c r="TNX31" s="1266"/>
      <c r="TNY31" s="1266"/>
      <c r="TNZ31" s="1266"/>
      <c r="TOA31" s="1266"/>
      <c r="TOB31" s="1266"/>
      <c r="TOC31" s="1266"/>
      <c r="TOD31" s="1266"/>
      <c r="TOE31" s="1266"/>
      <c r="TOF31" s="1266"/>
      <c r="TOG31" s="1266"/>
      <c r="TOH31" s="1266"/>
      <c r="TOI31" s="1266"/>
      <c r="TOJ31" s="1266"/>
      <c r="TOK31" s="1266"/>
      <c r="TOL31" s="1266"/>
      <c r="TOM31" s="1266"/>
      <c r="TON31" s="1266"/>
      <c r="TOO31" s="1266"/>
      <c r="TOP31" s="1266"/>
      <c r="TOQ31" s="1266"/>
      <c r="TOR31" s="1266"/>
      <c r="TOS31" s="1266"/>
      <c r="TOT31" s="1266"/>
      <c r="TOU31" s="1266"/>
      <c r="TOV31" s="1266"/>
      <c r="TOW31" s="1266"/>
      <c r="TOX31" s="1266"/>
      <c r="TOY31" s="1266"/>
      <c r="TOZ31" s="1266"/>
      <c r="TPA31" s="1266"/>
      <c r="TPB31" s="1266"/>
      <c r="TPC31" s="1266"/>
      <c r="TPD31" s="1266"/>
      <c r="TPE31" s="1266"/>
      <c r="TPF31" s="1266"/>
      <c r="TPG31" s="1266"/>
      <c r="TPH31" s="1266"/>
      <c r="TPI31" s="1266"/>
      <c r="TPJ31" s="1266"/>
      <c r="TPK31" s="1266"/>
      <c r="TPL31" s="1266"/>
      <c r="TPM31" s="1266"/>
      <c r="TPN31" s="1266"/>
      <c r="TPO31" s="1266"/>
      <c r="TPP31" s="1266"/>
      <c r="TPQ31" s="1266"/>
      <c r="TPR31" s="1266"/>
      <c r="TPS31" s="1266"/>
      <c r="TPT31" s="1266"/>
      <c r="TPU31" s="1266"/>
      <c r="TPV31" s="1266"/>
      <c r="TPW31" s="1266"/>
      <c r="TPX31" s="1266"/>
      <c r="TPY31" s="1266"/>
      <c r="TPZ31" s="1266"/>
      <c r="TQA31" s="1266"/>
      <c r="TQB31" s="1266"/>
      <c r="TQC31" s="1266"/>
      <c r="TQD31" s="1266"/>
      <c r="TQE31" s="1266"/>
      <c r="TQF31" s="1266"/>
      <c r="TQG31" s="1266"/>
      <c r="TQH31" s="1266"/>
      <c r="TQI31" s="1266"/>
      <c r="TQJ31" s="1266"/>
      <c r="TQK31" s="1266"/>
      <c r="TQL31" s="1266"/>
      <c r="TQM31" s="1266"/>
      <c r="TQN31" s="1266"/>
      <c r="TQO31" s="1266"/>
      <c r="TQP31" s="1266"/>
      <c r="TQQ31" s="1266"/>
      <c r="TQR31" s="1266"/>
      <c r="TQS31" s="1266"/>
      <c r="TQT31" s="1266"/>
      <c r="TQU31" s="1266"/>
      <c r="TQV31" s="1266"/>
      <c r="TQW31" s="1266"/>
      <c r="TQX31" s="1266"/>
      <c r="TQY31" s="1266"/>
      <c r="TQZ31" s="1266"/>
      <c r="TRA31" s="1266"/>
      <c r="TRB31" s="1266"/>
      <c r="TRC31" s="1266"/>
      <c r="TRD31" s="1266"/>
      <c r="TRE31" s="1266"/>
      <c r="TRF31" s="1266"/>
      <c r="TRG31" s="1266"/>
      <c r="TRH31" s="1266"/>
      <c r="TRI31" s="1266"/>
      <c r="TRJ31" s="1266"/>
      <c r="TRK31" s="1266"/>
      <c r="TRL31" s="1266"/>
      <c r="TRM31" s="1266"/>
      <c r="TRN31" s="1266"/>
      <c r="TRO31" s="1266"/>
      <c r="TRP31" s="1266"/>
      <c r="TRQ31" s="1266"/>
      <c r="TRR31" s="1266"/>
      <c r="TRS31" s="1266"/>
      <c r="TRT31" s="1266"/>
      <c r="TRU31" s="1266"/>
      <c r="TRV31" s="1266"/>
      <c r="TRW31" s="1266"/>
      <c r="TRX31" s="1266"/>
      <c r="TRY31" s="1266"/>
      <c r="TRZ31" s="1266"/>
      <c r="TSA31" s="1266"/>
      <c r="TSB31" s="1266"/>
      <c r="TSC31" s="1266"/>
      <c r="TSD31" s="1266"/>
      <c r="TSE31" s="1266"/>
      <c r="TSF31" s="1266"/>
      <c r="TSG31" s="1266"/>
      <c r="TSH31" s="1266"/>
      <c r="TSI31" s="1266"/>
      <c r="TSJ31" s="1266"/>
      <c r="TSK31" s="1266"/>
      <c r="TSL31" s="1266"/>
      <c r="TSM31" s="1266"/>
      <c r="TSN31" s="1266"/>
      <c r="TSO31" s="1266"/>
      <c r="TSP31" s="1266"/>
      <c r="TSQ31" s="1266"/>
      <c r="TSR31" s="1266"/>
      <c r="TSS31" s="1266"/>
      <c r="TST31" s="1266"/>
      <c r="TSU31" s="1266"/>
      <c r="TSV31" s="1266"/>
      <c r="TSW31" s="1266"/>
      <c r="TSX31" s="1266"/>
      <c r="TSY31" s="1266"/>
      <c r="TSZ31" s="1266"/>
      <c r="TTA31" s="1266"/>
      <c r="TTB31" s="1266"/>
      <c r="TTC31" s="1266"/>
      <c r="TTD31" s="1266"/>
      <c r="TTE31" s="1266"/>
      <c r="TTF31" s="1266"/>
      <c r="TTG31" s="1266"/>
      <c r="TTH31" s="1266"/>
      <c r="TTI31" s="1266"/>
      <c r="TTJ31" s="1266"/>
      <c r="TTK31" s="1266"/>
      <c r="TTL31" s="1266"/>
      <c r="TTM31" s="1266"/>
      <c r="TTN31" s="1266"/>
      <c r="TTO31" s="1266"/>
      <c r="TTP31" s="1266"/>
      <c r="TTQ31" s="1266"/>
      <c r="TTR31" s="1266"/>
      <c r="TTS31" s="1266"/>
      <c r="TTT31" s="1266"/>
      <c r="TTU31" s="1266"/>
      <c r="TTV31" s="1266"/>
      <c r="TTW31" s="1266"/>
      <c r="TTX31" s="1266"/>
      <c r="TTY31" s="1266"/>
      <c r="TTZ31" s="1266"/>
      <c r="TUA31" s="1266"/>
      <c r="TUB31" s="1266"/>
      <c r="TUC31" s="1266"/>
      <c r="TUD31" s="1266"/>
      <c r="TUE31" s="1266"/>
      <c r="TUF31" s="1266"/>
      <c r="TUG31" s="1266"/>
      <c r="TUH31" s="1266"/>
      <c r="TUI31" s="1266"/>
      <c r="TUJ31" s="1266"/>
      <c r="TUK31" s="1266"/>
      <c r="TUL31" s="1266"/>
      <c r="TUM31" s="1266"/>
      <c r="TUN31" s="1266"/>
      <c r="TUO31" s="1266"/>
      <c r="TUP31" s="1266"/>
      <c r="TUQ31" s="1266"/>
      <c r="TUR31" s="1266"/>
      <c r="TUS31" s="1266"/>
      <c r="TUT31" s="1266"/>
      <c r="TUU31" s="1266"/>
      <c r="TUV31" s="1266"/>
      <c r="TUW31" s="1266"/>
      <c r="TUX31" s="1266"/>
      <c r="TUY31" s="1266"/>
      <c r="TUZ31" s="1266"/>
      <c r="TVA31" s="1266"/>
      <c r="TVB31" s="1266"/>
      <c r="TVC31" s="1266"/>
      <c r="TVD31" s="1266"/>
      <c r="TVE31" s="1266"/>
      <c r="TVF31" s="1266"/>
      <c r="TVG31" s="1266"/>
      <c r="TVH31" s="1266"/>
      <c r="TVI31" s="1266"/>
      <c r="TVJ31" s="1266"/>
      <c r="TVK31" s="1266"/>
      <c r="TVL31" s="1266"/>
      <c r="TVM31" s="1266"/>
      <c r="TVN31" s="1266"/>
      <c r="TVO31" s="1266"/>
      <c r="TVP31" s="1266"/>
      <c r="TVQ31" s="1266"/>
      <c r="TVR31" s="1266"/>
      <c r="TVS31" s="1266"/>
      <c r="TVT31" s="1266"/>
      <c r="TVU31" s="1266"/>
      <c r="TVV31" s="1266"/>
      <c r="TVW31" s="1266"/>
      <c r="TVX31" s="1266"/>
      <c r="TVY31" s="1266"/>
      <c r="TVZ31" s="1266"/>
      <c r="TWA31" s="1266"/>
      <c r="TWB31" s="1266"/>
      <c r="TWC31" s="1266"/>
      <c r="TWD31" s="1266"/>
      <c r="TWE31" s="1266"/>
      <c r="TWF31" s="1266"/>
      <c r="TWG31" s="1266"/>
      <c r="TWH31" s="1266"/>
      <c r="TWI31" s="1266"/>
      <c r="TWJ31" s="1266"/>
      <c r="TWK31" s="1266"/>
      <c r="TWL31" s="1266"/>
      <c r="TWM31" s="1266"/>
      <c r="TWN31" s="1266"/>
      <c r="TWO31" s="1266"/>
      <c r="TWP31" s="1266"/>
      <c r="TWQ31" s="1266"/>
      <c r="TWR31" s="1266"/>
      <c r="TWS31" s="1266"/>
      <c r="TWT31" s="1266"/>
      <c r="TWU31" s="1266"/>
      <c r="TWV31" s="1266"/>
      <c r="TWW31" s="1266"/>
      <c r="TWX31" s="1266"/>
      <c r="TWY31" s="1266"/>
      <c r="TWZ31" s="1266"/>
      <c r="TXA31" s="1266"/>
      <c r="TXB31" s="1266"/>
      <c r="TXC31" s="1266"/>
      <c r="TXD31" s="1266"/>
      <c r="TXE31" s="1266"/>
      <c r="TXF31" s="1266"/>
      <c r="TXG31" s="1266"/>
      <c r="TXH31" s="1266"/>
      <c r="TXI31" s="1266"/>
      <c r="TXJ31" s="1266"/>
      <c r="TXK31" s="1266"/>
      <c r="TXL31" s="1266"/>
      <c r="TXM31" s="1266"/>
      <c r="TXN31" s="1266"/>
      <c r="TXO31" s="1266"/>
      <c r="TXP31" s="1266"/>
      <c r="TXQ31" s="1266"/>
      <c r="TXR31" s="1266"/>
      <c r="TXS31" s="1266"/>
      <c r="TXT31" s="1266"/>
      <c r="TXU31" s="1266"/>
      <c r="TXV31" s="1266"/>
      <c r="TXW31" s="1266"/>
      <c r="TXX31" s="1266"/>
      <c r="TXY31" s="1266"/>
      <c r="TXZ31" s="1266"/>
      <c r="TYA31" s="1266"/>
      <c r="TYB31" s="1266"/>
      <c r="TYC31" s="1266"/>
      <c r="TYD31" s="1266"/>
      <c r="TYE31" s="1266"/>
      <c r="TYF31" s="1266"/>
      <c r="TYG31" s="1266"/>
      <c r="TYH31" s="1266"/>
      <c r="TYI31" s="1266"/>
      <c r="TYJ31" s="1266"/>
      <c r="TYK31" s="1266"/>
      <c r="TYL31" s="1266"/>
      <c r="TYM31" s="1266"/>
      <c r="TYN31" s="1266"/>
      <c r="TYO31" s="1266"/>
      <c r="TYP31" s="1266"/>
      <c r="TYQ31" s="1266"/>
      <c r="TYR31" s="1266"/>
      <c r="TYS31" s="1266"/>
      <c r="TYT31" s="1266"/>
      <c r="TYU31" s="1266"/>
      <c r="TYV31" s="1266"/>
      <c r="TYW31" s="1266"/>
      <c r="TYX31" s="1266"/>
      <c r="TYY31" s="1266"/>
      <c r="TYZ31" s="1266"/>
      <c r="TZA31" s="1266"/>
      <c r="TZB31" s="1266"/>
      <c r="TZC31" s="1266"/>
      <c r="TZD31" s="1266"/>
      <c r="TZE31" s="1266"/>
      <c r="TZF31" s="1266"/>
      <c r="TZG31" s="1266"/>
      <c r="TZH31" s="1266"/>
      <c r="TZI31" s="1266"/>
      <c r="TZJ31" s="1266"/>
      <c r="TZK31" s="1266"/>
      <c r="TZL31" s="1266"/>
      <c r="TZM31" s="1266"/>
      <c r="TZN31" s="1266"/>
      <c r="TZO31" s="1266"/>
      <c r="TZP31" s="1266"/>
      <c r="TZQ31" s="1266"/>
      <c r="TZR31" s="1266"/>
      <c r="TZS31" s="1266"/>
      <c r="TZT31" s="1266"/>
      <c r="TZU31" s="1266"/>
      <c r="TZV31" s="1266"/>
      <c r="TZW31" s="1266"/>
      <c r="TZX31" s="1266"/>
      <c r="TZY31" s="1266"/>
      <c r="TZZ31" s="1266"/>
      <c r="UAA31" s="1266"/>
      <c r="UAB31" s="1266"/>
      <c r="UAC31" s="1266"/>
      <c r="UAD31" s="1266"/>
      <c r="UAE31" s="1266"/>
      <c r="UAF31" s="1266"/>
      <c r="UAG31" s="1266"/>
      <c r="UAH31" s="1266"/>
      <c r="UAI31" s="1266"/>
      <c r="UAJ31" s="1266"/>
      <c r="UAK31" s="1266"/>
      <c r="UAL31" s="1266"/>
      <c r="UAM31" s="1266"/>
      <c r="UAN31" s="1266"/>
      <c r="UAO31" s="1266"/>
      <c r="UAP31" s="1266"/>
      <c r="UAQ31" s="1266"/>
      <c r="UAR31" s="1266"/>
      <c r="UAS31" s="1266"/>
      <c r="UAT31" s="1266"/>
      <c r="UAU31" s="1266"/>
      <c r="UAV31" s="1266"/>
      <c r="UAW31" s="1266"/>
      <c r="UAX31" s="1266"/>
      <c r="UAY31" s="1266"/>
      <c r="UAZ31" s="1266"/>
      <c r="UBA31" s="1266"/>
      <c r="UBB31" s="1266"/>
      <c r="UBC31" s="1266"/>
      <c r="UBD31" s="1266"/>
      <c r="UBE31" s="1266"/>
      <c r="UBF31" s="1266"/>
      <c r="UBG31" s="1266"/>
      <c r="UBH31" s="1266"/>
      <c r="UBI31" s="1266"/>
      <c r="UBJ31" s="1266"/>
      <c r="UBK31" s="1266"/>
      <c r="UBL31" s="1266"/>
      <c r="UBM31" s="1266"/>
      <c r="UBN31" s="1266"/>
      <c r="UBO31" s="1266"/>
      <c r="UBP31" s="1266"/>
      <c r="UBQ31" s="1266"/>
      <c r="UBR31" s="1266"/>
      <c r="UBS31" s="1266"/>
      <c r="UBT31" s="1266"/>
      <c r="UBU31" s="1266"/>
      <c r="UBV31" s="1266"/>
      <c r="UBW31" s="1266"/>
      <c r="UBX31" s="1266"/>
      <c r="UBY31" s="1266"/>
      <c r="UBZ31" s="1266"/>
      <c r="UCA31" s="1266"/>
      <c r="UCB31" s="1266"/>
      <c r="UCC31" s="1266"/>
      <c r="UCD31" s="1266"/>
      <c r="UCE31" s="1266"/>
      <c r="UCF31" s="1266"/>
      <c r="UCG31" s="1266"/>
      <c r="UCH31" s="1266"/>
      <c r="UCI31" s="1266"/>
      <c r="UCJ31" s="1266"/>
      <c r="UCK31" s="1266"/>
      <c r="UCL31" s="1266"/>
      <c r="UCM31" s="1266"/>
      <c r="UCN31" s="1266"/>
      <c r="UCO31" s="1266"/>
      <c r="UCP31" s="1266"/>
      <c r="UCQ31" s="1266"/>
      <c r="UCR31" s="1266"/>
      <c r="UCS31" s="1266"/>
      <c r="UCT31" s="1266"/>
      <c r="UCU31" s="1266"/>
      <c r="UCV31" s="1266"/>
      <c r="UCW31" s="1266"/>
      <c r="UCX31" s="1266"/>
      <c r="UCY31" s="1266"/>
      <c r="UCZ31" s="1266"/>
      <c r="UDA31" s="1266"/>
      <c r="UDB31" s="1266"/>
      <c r="UDC31" s="1266"/>
      <c r="UDD31" s="1266"/>
      <c r="UDE31" s="1266"/>
      <c r="UDF31" s="1266"/>
      <c r="UDG31" s="1266"/>
      <c r="UDH31" s="1266"/>
      <c r="UDI31" s="1266"/>
      <c r="UDJ31" s="1266"/>
      <c r="UDK31" s="1266"/>
      <c r="UDL31" s="1266"/>
      <c r="UDM31" s="1266"/>
      <c r="UDN31" s="1266"/>
      <c r="UDO31" s="1266"/>
      <c r="UDP31" s="1266"/>
      <c r="UDQ31" s="1266"/>
      <c r="UDR31" s="1266"/>
      <c r="UDS31" s="1266"/>
      <c r="UDT31" s="1266"/>
      <c r="UDU31" s="1266"/>
      <c r="UDV31" s="1266"/>
      <c r="UDW31" s="1266"/>
      <c r="UDX31" s="1266"/>
      <c r="UDY31" s="1266"/>
      <c r="UDZ31" s="1266"/>
      <c r="UEA31" s="1266"/>
      <c r="UEB31" s="1266"/>
      <c r="UEC31" s="1266"/>
      <c r="UED31" s="1266"/>
      <c r="UEE31" s="1266"/>
      <c r="UEF31" s="1266"/>
      <c r="UEG31" s="1266"/>
      <c r="UEH31" s="1266"/>
      <c r="UEI31" s="1266"/>
      <c r="UEJ31" s="1266"/>
      <c r="UEK31" s="1266"/>
      <c r="UEL31" s="1266"/>
      <c r="UEM31" s="1266"/>
      <c r="UEN31" s="1266"/>
      <c r="UEO31" s="1266"/>
      <c r="UEP31" s="1266"/>
      <c r="UEQ31" s="1266"/>
      <c r="UER31" s="1266"/>
      <c r="UES31" s="1266"/>
      <c r="UET31" s="1266"/>
      <c r="UEU31" s="1266"/>
      <c r="UEV31" s="1266"/>
      <c r="UEW31" s="1266"/>
      <c r="UEX31" s="1266"/>
      <c r="UEY31" s="1266"/>
      <c r="UEZ31" s="1266"/>
      <c r="UFA31" s="1266"/>
      <c r="UFB31" s="1266"/>
      <c r="UFC31" s="1266"/>
      <c r="UFD31" s="1266"/>
      <c r="UFE31" s="1266"/>
      <c r="UFF31" s="1266"/>
      <c r="UFG31" s="1266"/>
      <c r="UFH31" s="1266"/>
      <c r="UFI31" s="1266"/>
      <c r="UFJ31" s="1266"/>
      <c r="UFK31" s="1266"/>
      <c r="UFL31" s="1266"/>
      <c r="UFM31" s="1266"/>
      <c r="UFN31" s="1266"/>
      <c r="UFO31" s="1266"/>
      <c r="UFP31" s="1266"/>
      <c r="UFQ31" s="1266"/>
      <c r="UFR31" s="1266"/>
      <c r="UFS31" s="1266"/>
      <c r="UFT31" s="1266"/>
      <c r="UFU31" s="1266"/>
      <c r="UFV31" s="1266"/>
      <c r="UFW31" s="1266"/>
      <c r="UFX31" s="1266"/>
      <c r="UFY31" s="1266"/>
      <c r="UFZ31" s="1266"/>
      <c r="UGA31" s="1266"/>
      <c r="UGB31" s="1266"/>
      <c r="UGC31" s="1266"/>
      <c r="UGD31" s="1266"/>
      <c r="UGE31" s="1266"/>
      <c r="UGF31" s="1266"/>
      <c r="UGG31" s="1266"/>
      <c r="UGH31" s="1266"/>
      <c r="UGI31" s="1266"/>
      <c r="UGJ31" s="1266"/>
      <c r="UGK31" s="1266"/>
      <c r="UGL31" s="1266"/>
      <c r="UGM31" s="1266"/>
      <c r="UGN31" s="1266"/>
      <c r="UGO31" s="1266"/>
      <c r="UGP31" s="1266"/>
      <c r="UGQ31" s="1266"/>
      <c r="UGR31" s="1266"/>
      <c r="UGS31" s="1266"/>
      <c r="UGT31" s="1266"/>
      <c r="UGU31" s="1266"/>
      <c r="UGV31" s="1266"/>
      <c r="UGW31" s="1266"/>
      <c r="UGX31" s="1266"/>
      <c r="UGY31" s="1266"/>
      <c r="UGZ31" s="1266"/>
      <c r="UHA31" s="1266"/>
      <c r="UHB31" s="1266"/>
      <c r="UHC31" s="1266"/>
      <c r="UHD31" s="1266"/>
      <c r="UHE31" s="1266"/>
      <c r="UHF31" s="1266"/>
      <c r="UHG31" s="1266"/>
      <c r="UHH31" s="1266"/>
      <c r="UHI31" s="1266"/>
      <c r="UHJ31" s="1266"/>
      <c r="UHK31" s="1266"/>
      <c r="UHL31" s="1266"/>
      <c r="UHM31" s="1266"/>
      <c r="UHN31" s="1266"/>
      <c r="UHO31" s="1266"/>
      <c r="UHP31" s="1266"/>
      <c r="UHQ31" s="1266"/>
      <c r="UHR31" s="1266"/>
      <c r="UHS31" s="1266"/>
      <c r="UHT31" s="1266"/>
      <c r="UHU31" s="1266"/>
      <c r="UHV31" s="1266"/>
      <c r="UHW31" s="1266"/>
      <c r="UHX31" s="1266"/>
      <c r="UHY31" s="1266"/>
      <c r="UHZ31" s="1266"/>
      <c r="UIA31" s="1266"/>
      <c r="UIB31" s="1266"/>
      <c r="UIC31" s="1266"/>
      <c r="UID31" s="1266"/>
      <c r="UIE31" s="1266"/>
      <c r="UIF31" s="1266"/>
      <c r="UIG31" s="1266"/>
      <c r="UIH31" s="1266"/>
      <c r="UII31" s="1266"/>
      <c r="UIJ31" s="1266"/>
      <c r="UIK31" s="1266"/>
      <c r="UIL31" s="1266"/>
      <c r="UIM31" s="1266"/>
      <c r="UIN31" s="1266"/>
      <c r="UIO31" s="1266"/>
      <c r="UIP31" s="1266"/>
      <c r="UIQ31" s="1266"/>
      <c r="UIR31" s="1266"/>
      <c r="UIS31" s="1266"/>
      <c r="UIT31" s="1266"/>
      <c r="UIU31" s="1266"/>
      <c r="UIV31" s="1266"/>
      <c r="UIW31" s="1266"/>
      <c r="UIX31" s="1266"/>
      <c r="UIY31" s="1266"/>
      <c r="UIZ31" s="1266"/>
      <c r="UJA31" s="1266"/>
      <c r="UJB31" s="1266"/>
      <c r="UJC31" s="1266"/>
      <c r="UJD31" s="1266"/>
      <c r="UJE31" s="1266"/>
      <c r="UJF31" s="1266"/>
      <c r="UJG31" s="1266"/>
      <c r="UJH31" s="1266"/>
      <c r="UJI31" s="1266"/>
      <c r="UJJ31" s="1266"/>
      <c r="UJK31" s="1266"/>
      <c r="UJL31" s="1266"/>
      <c r="UJM31" s="1266"/>
      <c r="UJN31" s="1266"/>
      <c r="UJO31" s="1266"/>
      <c r="UJP31" s="1266"/>
      <c r="UJQ31" s="1266"/>
      <c r="UJR31" s="1266"/>
      <c r="UJS31" s="1266"/>
      <c r="UJT31" s="1266"/>
      <c r="UJU31" s="1266"/>
      <c r="UJV31" s="1266"/>
      <c r="UJW31" s="1266"/>
      <c r="UJX31" s="1266"/>
      <c r="UJY31" s="1266"/>
      <c r="UJZ31" s="1266"/>
      <c r="UKA31" s="1266"/>
      <c r="UKB31" s="1266"/>
      <c r="UKC31" s="1266"/>
      <c r="UKD31" s="1266"/>
      <c r="UKE31" s="1266"/>
      <c r="UKF31" s="1266"/>
      <c r="UKG31" s="1266"/>
      <c r="UKH31" s="1266"/>
      <c r="UKI31" s="1266"/>
      <c r="UKJ31" s="1266"/>
      <c r="UKK31" s="1266"/>
      <c r="UKL31" s="1266"/>
      <c r="UKM31" s="1266"/>
      <c r="UKN31" s="1266"/>
      <c r="UKO31" s="1266"/>
      <c r="UKP31" s="1266"/>
      <c r="UKQ31" s="1266"/>
      <c r="UKR31" s="1266"/>
      <c r="UKS31" s="1266"/>
      <c r="UKT31" s="1266"/>
      <c r="UKU31" s="1266"/>
      <c r="UKV31" s="1266"/>
      <c r="UKW31" s="1266"/>
      <c r="UKX31" s="1266"/>
      <c r="UKY31" s="1266"/>
      <c r="UKZ31" s="1266"/>
      <c r="ULA31" s="1266"/>
      <c r="ULB31" s="1266"/>
      <c r="ULC31" s="1266"/>
      <c r="ULD31" s="1266"/>
      <c r="ULE31" s="1266"/>
      <c r="ULF31" s="1266"/>
      <c r="ULG31" s="1266"/>
      <c r="ULH31" s="1266"/>
      <c r="ULI31" s="1266"/>
      <c r="ULJ31" s="1266"/>
      <c r="ULK31" s="1266"/>
      <c r="ULL31" s="1266"/>
      <c r="ULM31" s="1266"/>
      <c r="ULN31" s="1266"/>
      <c r="ULO31" s="1266"/>
      <c r="ULP31" s="1266"/>
      <c r="ULQ31" s="1266"/>
      <c r="ULR31" s="1266"/>
      <c r="ULS31" s="1266"/>
      <c r="ULT31" s="1266"/>
      <c r="ULU31" s="1266"/>
      <c r="ULV31" s="1266"/>
      <c r="ULW31" s="1266"/>
      <c r="ULX31" s="1266"/>
      <c r="ULY31" s="1266"/>
      <c r="ULZ31" s="1266"/>
      <c r="UMA31" s="1266"/>
      <c r="UMB31" s="1266"/>
      <c r="UMC31" s="1266"/>
      <c r="UMD31" s="1266"/>
      <c r="UME31" s="1266"/>
      <c r="UMF31" s="1266"/>
      <c r="UMG31" s="1266"/>
      <c r="UMH31" s="1266"/>
      <c r="UMI31" s="1266"/>
      <c r="UMJ31" s="1266"/>
      <c r="UMK31" s="1266"/>
      <c r="UML31" s="1266"/>
      <c r="UMM31" s="1266"/>
      <c r="UMN31" s="1266"/>
      <c r="UMO31" s="1266"/>
      <c r="UMP31" s="1266"/>
      <c r="UMQ31" s="1266"/>
      <c r="UMR31" s="1266"/>
      <c r="UMS31" s="1266"/>
      <c r="UMT31" s="1266"/>
      <c r="UMU31" s="1266"/>
      <c r="UMV31" s="1266"/>
      <c r="UMW31" s="1266"/>
      <c r="UMX31" s="1266"/>
      <c r="UMY31" s="1266"/>
      <c r="UMZ31" s="1266"/>
      <c r="UNA31" s="1266"/>
      <c r="UNB31" s="1266"/>
      <c r="UNC31" s="1266"/>
      <c r="UND31" s="1266"/>
      <c r="UNE31" s="1266"/>
      <c r="UNF31" s="1266"/>
      <c r="UNG31" s="1266"/>
      <c r="UNH31" s="1266"/>
      <c r="UNI31" s="1266"/>
      <c r="UNJ31" s="1266"/>
      <c r="UNK31" s="1266"/>
      <c r="UNL31" s="1266"/>
      <c r="UNM31" s="1266"/>
      <c r="UNN31" s="1266"/>
      <c r="UNO31" s="1266"/>
      <c r="UNP31" s="1266"/>
      <c r="UNQ31" s="1266"/>
      <c r="UNR31" s="1266"/>
      <c r="UNS31" s="1266"/>
      <c r="UNT31" s="1266"/>
      <c r="UNU31" s="1266"/>
      <c r="UNV31" s="1266"/>
      <c r="UNW31" s="1266"/>
      <c r="UNX31" s="1266"/>
      <c r="UNY31" s="1266"/>
      <c r="UNZ31" s="1266"/>
      <c r="UOA31" s="1266"/>
      <c r="UOB31" s="1266"/>
      <c r="UOC31" s="1266"/>
      <c r="UOD31" s="1266"/>
      <c r="UOE31" s="1266"/>
      <c r="UOF31" s="1266"/>
      <c r="UOG31" s="1266"/>
      <c r="UOH31" s="1266"/>
      <c r="UOI31" s="1266"/>
      <c r="UOJ31" s="1266"/>
      <c r="UOK31" s="1266"/>
      <c r="UOL31" s="1266"/>
      <c r="UOM31" s="1266"/>
      <c r="UON31" s="1266"/>
      <c r="UOO31" s="1266"/>
      <c r="UOP31" s="1266"/>
      <c r="UOQ31" s="1266"/>
      <c r="UOR31" s="1266"/>
      <c r="UOS31" s="1266"/>
      <c r="UOT31" s="1266"/>
      <c r="UOU31" s="1266"/>
      <c r="UOV31" s="1266"/>
      <c r="UOW31" s="1266"/>
      <c r="UOX31" s="1266"/>
      <c r="UOY31" s="1266"/>
      <c r="UOZ31" s="1266"/>
      <c r="UPA31" s="1266"/>
      <c r="UPB31" s="1266"/>
      <c r="UPC31" s="1266"/>
      <c r="UPD31" s="1266"/>
      <c r="UPE31" s="1266"/>
      <c r="UPF31" s="1266"/>
      <c r="UPG31" s="1266"/>
      <c r="UPH31" s="1266"/>
      <c r="UPI31" s="1266"/>
      <c r="UPJ31" s="1266"/>
      <c r="UPK31" s="1266"/>
      <c r="UPL31" s="1266"/>
      <c r="UPM31" s="1266"/>
      <c r="UPN31" s="1266"/>
      <c r="UPO31" s="1266"/>
      <c r="UPP31" s="1266"/>
      <c r="UPQ31" s="1266"/>
      <c r="UPR31" s="1266"/>
      <c r="UPS31" s="1266"/>
      <c r="UPT31" s="1266"/>
      <c r="UPU31" s="1266"/>
      <c r="UPV31" s="1266"/>
      <c r="UPW31" s="1266"/>
      <c r="UPX31" s="1266"/>
      <c r="UPY31" s="1266"/>
      <c r="UPZ31" s="1266"/>
      <c r="UQA31" s="1266"/>
      <c r="UQB31" s="1266"/>
      <c r="UQC31" s="1266"/>
      <c r="UQD31" s="1266"/>
      <c r="UQE31" s="1266"/>
      <c r="UQF31" s="1266"/>
      <c r="UQG31" s="1266"/>
      <c r="UQH31" s="1266"/>
      <c r="UQI31" s="1266"/>
      <c r="UQJ31" s="1266"/>
      <c r="UQK31" s="1266"/>
      <c r="UQL31" s="1266"/>
      <c r="UQM31" s="1266"/>
      <c r="UQN31" s="1266"/>
      <c r="UQO31" s="1266"/>
      <c r="UQP31" s="1266"/>
      <c r="UQQ31" s="1266"/>
      <c r="UQR31" s="1266"/>
      <c r="UQS31" s="1266"/>
      <c r="UQT31" s="1266"/>
      <c r="UQU31" s="1266"/>
      <c r="UQV31" s="1266"/>
      <c r="UQW31" s="1266"/>
      <c r="UQX31" s="1266"/>
      <c r="UQY31" s="1266"/>
      <c r="UQZ31" s="1266"/>
      <c r="URA31" s="1266"/>
      <c r="URB31" s="1266"/>
      <c r="URC31" s="1266"/>
      <c r="URD31" s="1266"/>
      <c r="URE31" s="1266"/>
      <c r="URF31" s="1266"/>
      <c r="URG31" s="1266"/>
      <c r="URH31" s="1266"/>
      <c r="URI31" s="1266"/>
      <c r="URJ31" s="1266"/>
      <c r="URK31" s="1266"/>
      <c r="URL31" s="1266"/>
      <c r="URM31" s="1266"/>
      <c r="URN31" s="1266"/>
      <c r="URO31" s="1266"/>
      <c r="URP31" s="1266"/>
      <c r="URQ31" s="1266"/>
      <c r="URR31" s="1266"/>
      <c r="URS31" s="1266"/>
      <c r="URT31" s="1266"/>
      <c r="URU31" s="1266"/>
      <c r="URV31" s="1266"/>
      <c r="URW31" s="1266"/>
      <c r="URX31" s="1266"/>
      <c r="URY31" s="1266"/>
      <c r="URZ31" s="1266"/>
      <c r="USA31" s="1266"/>
      <c r="USB31" s="1266"/>
      <c r="USC31" s="1266"/>
      <c r="USD31" s="1266"/>
      <c r="USE31" s="1266"/>
      <c r="USF31" s="1266"/>
      <c r="USG31" s="1266"/>
      <c r="USH31" s="1266"/>
      <c r="USI31" s="1266"/>
      <c r="USJ31" s="1266"/>
      <c r="USK31" s="1266"/>
      <c r="USL31" s="1266"/>
      <c r="USM31" s="1266"/>
      <c r="USN31" s="1266"/>
      <c r="USO31" s="1266"/>
      <c r="USP31" s="1266"/>
      <c r="USQ31" s="1266"/>
      <c r="USR31" s="1266"/>
      <c r="USS31" s="1266"/>
      <c r="UST31" s="1266"/>
      <c r="USU31" s="1266"/>
      <c r="USV31" s="1266"/>
      <c r="USW31" s="1266"/>
      <c r="USX31" s="1266"/>
      <c r="USY31" s="1266"/>
      <c r="USZ31" s="1266"/>
      <c r="UTA31" s="1266"/>
      <c r="UTB31" s="1266"/>
      <c r="UTC31" s="1266"/>
      <c r="UTD31" s="1266"/>
      <c r="UTE31" s="1266"/>
      <c r="UTF31" s="1266"/>
      <c r="UTG31" s="1266"/>
      <c r="UTH31" s="1266"/>
      <c r="UTI31" s="1266"/>
      <c r="UTJ31" s="1266"/>
      <c r="UTK31" s="1266"/>
      <c r="UTL31" s="1266"/>
      <c r="UTM31" s="1266"/>
      <c r="UTN31" s="1266"/>
      <c r="UTO31" s="1266"/>
      <c r="UTP31" s="1266"/>
      <c r="UTQ31" s="1266"/>
      <c r="UTR31" s="1266"/>
      <c r="UTS31" s="1266"/>
      <c r="UTT31" s="1266"/>
      <c r="UTU31" s="1266"/>
      <c r="UTV31" s="1266"/>
      <c r="UTW31" s="1266"/>
      <c r="UTX31" s="1266"/>
      <c r="UTY31" s="1266"/>
      <c r="UTZ31" s="1266"/>
      <c r="UUA31" s="1266"/>
      <c r="UUB31" s="1266"/>
      <c r="UUC31" s="1266"/>
      <c r="UUD31" s="1266"/>
      <c r="UUE31" s="1266"/>
      <c r="UUF31" s="1266"/>
      <c r="UUG31" s="1266"/>
      <c r="UUH31" s="1266"/>
      <c r="UUI31" s="1266"/>
      <c r="UUJ31" s="1266"/>
      <c r="UUK31" s="1266"/>
      <c r="UUL31" s="1266"/>
      <c r="UUM31" s="1266"/>
      <c r="UUN31" s="1266"/>
      <c r="UUO31" s="1266"/>
      <c r="UUP31" s="1266"/>
      <c r="UUQ31" s="1266"/>
      <c r="UUR31" s="1266"/>
      <c r="UUS31" s="1266"/>
      <c r="UUT31" s="1266"/>
      <c r="UUU31" s="1266"/>
      <c r="UUV31" s="1266"/>
      <c r="UUW31" s="1266"/>
      <c r="UUX31" s="1266"/>
      <c r="UUY31" s="1266"/>
      <c r="UUZ31" s="1266"/>
      <c r="UVA31" s="1266"/>
      <c r="UVB31" s="1266"/>
      <c r="UVC31" s="1266"/>
      <c r="UVD31" s="1266"/>
      <c r="UVE31" s="1266"/>
      <c r="UVF31" s="1266"/>
      <c r="UVG31" s="1266"/>
      <c r="UVH31" s="1266"/>
      <c r="UVI31" s="1266"/>
      <c r="UVJ31" s="1266"/>
      <c r="UVK31" s="1266"/>
      <c r="UVL31" s="1266"/>
      <c r="UVM31" s="1266"/>
      <c r="UVN31" s="1266"/>
      <c r="UVO31" s="1266"/>
      <c r="UVP31" s="1266"/>
      <c r="UVQ31" s="1266"/>
      <c r="UVR31" s="1266"/>
      <c r="UVS31" s="1266"/>
      <c r="UVT31" s="1266"/>
      <c r="UVU31" s="1266"/>
      <c r="UVV31" s="1266"/>
      <c r="UVW31" s="1266"/>
      <c r="UVX31" s="1266"/>
      <c r="UVY31" s="1266"/>
      <c r="UVZ31" s="1266"/>
      <c r="UWA31" s="1266"/>
      <c r="UWB31" s="1266"/>
      <c r="UWC31" s="1266"/>
      <c r="UWD31" s="1266"/>
      <c r="UWE31" s="1266"/>
      <c r="UWF31" s="1266"/>
      <c r="UWG31" s="1266"/>
      <c r="UWH31" s="1266"/>
      <c r="UWI31" s="1266"/>
      <c r="UWJ31" s="1266"/>
      <c r="UWK31" s="1266"/>
      <c r="UWL31" s="1266"/>
      <c r="UWM31" s="1266"/>
      <c r="UWN31" s="1266"/>
      <c r="UWO31" s="1266"/>
      <c r="UWP31" s="1266"/>
      <c r="UWQ31" s="1266"/>
      <c r="UWR31" s="1266"/>
      <c r="UWS31" s="1266"/>
      <c r="UWT31" s="1266"/>
      <c r="UWU31" s="1266"/>
      <c r="UWV31" s="1266"/>
      <c r="UWW31" s="1266"/>
      <c r="UWX31" s="1266"/>
      <c r="UWY31" s="1266"/>
      <c r="UWZ31" s="1266"/>
      <c r="UXA31" s="1266"/>
      <c r="UXB31" s="1266"/>
      <c r="UXC31" s="1266"/>
      <c r="UXD31" s="1266"/>
      <c r="UXE31" s="1266"/>
      <c r="UXF31" s="1266"/>
      <c r="UXG31" s="1266"/>
      <c r="UXH31" s="1266"/>
      <c r="UXI31" s="1266"/>
      <c r="UXJ31" s="1266"/>
      <c r="UXK31" s="1266"/>
      <c r="UXL31" s="1266"/>
      <c r="UXM31" s="1266"/>
      <c r="UXN31" s="1266"/>
      <c r="UXO31" s="1266"/>
      <c r="UXP31" s="1266"/>
      <c r="UXQ31" s="1266"/>
      <c r="UXR31" s="1266"/>
      <c r="UXS31" s="1266"/>
      <c r="UXT31" s="1266"/>
      <c r="UXU31" s="1266"/>
      <c r="UXV31" s="1266"/>
      <c r="UXW31" s="1266"/>
      <c r="UXX31" s="1266"/>
      <c r="UXY31" s="1266"/>
      <c r="UXZ31" s="1266"/>
      <c r="UYA31" s="1266"/>
      <c r="UYB31" s="1266"/>
      <c r="UYC31" s="1266"/>
      <c r="UYD31" s="1266"/>
      <c r="UYE31" s="1266"/>
      <c r="UYF31" s="1266"/>
      <c r="UYG31" s="1266"/>
      <c r="UYH31" s="1266"/>
      <c r="UYI31" s="1266"/>
      <c r="UYJ31" s="1266"/>
      <c r="UYK31" s="1266"/>
      <c r="UYL31" s="1266"/>
      <c r="UYM31" s="1266"/>
      <c r="UYN31" s="1266"/>
      <c r="UYO31" s="1266"/>
      <c r="UYP31" s="1266"/>
      <c r="UYQ31" s="1266"/>
      <c r="UYR31" s="1266"/>
      <c r="UYS31" s="1266"/>
      <c r="UYT31" s="1266"/>
      <c r="UYU31" s="1266"/>
      <c r="UYV31" s="1266"/>
      <c r="UYW31" s="1266"/>
      <c r="UYX31" s="1266"/>
      <c r="UYY31" s="1266"/>
      <c r="UYZ31" s="1266"/>
      <c r="UZA31" s="1266"/>
      <c r="UZB31" s="1266"/>
      <c r="UZC31" s="1266"/>
      <c r="UZD31" s="1266"/>
      <c r="UZE31" s="1266"/>
      <c r="UZF31" s="1266"/>
      <c r="UZG31" s="1266"/>
      <c r="UZH31" s="1266"/>
      <c r="UZI31" s="1266"/>
      <c r="UZJ31" s="1266"/>
      <c r="UZK31" s="1266"/>
      <c r="UZL31" s="1266"/>
      <c r="UZM31" s="1266"/>
      <c r="UZN31" s="1266"/>
      <c r="UZO31" s="1266"/>
      <c r="UZP31" s="1266"/>
      <c r="UZQ31" s="1266"/>
      <c r="UZR31" s="1266"/>
      <c r="UZS31" s="1266"/>
      <c r="UZT31" s="1266"/>
      <c r="UZU31" s="1266"/>
      <c r="UZV31" s="1266"/>
      <c r="UZW31" s="1266"/>
      <c r="UZX31" s="1266"/>
      <c r="UZY31" s="1266"/>
      <c r="UZZ31" s="1266"/>
      <c r="VAA31" s="1266"/>
      <c r="VAB31" s="1266"/>
      <c r="VAC31" s="1266"/>
      <c r="VAD31" s="1266"/>
      <c r="VAE31" s="1266"/>
      <c r="VAF31" s="1266"/>
      <c r="VAG31" s="1266"/>
      <c r="VAH31" s="1266"/>
      <c r="VAI31" s="1266"/>
      <c r="VAJ31" s="1266"/>
      <c r="VAK31" s="1266"/>
      <c r="VAL31" s="1266"/>
      <c r="VAM31" s="1266"/>
      <c r="VAN31" s="1266"/>
      <c r="VAO31" s="1266"/>
      <c r="VAP31" s="1266"/>
      <c r="VAQ31" s="1266"/>
      <c r="VAR31" s="1266"/>
      <c r="VAS31" s="1266"/>
      <c r="VAT31" s="1266"/>
      <c r="VAU31" s="1266"/>
      <c r="VAV31" s="1266"/>
      <c r="VAW31" s="1266"/>
      <c r="VAX31" s="1266"/>
      <c r="VAY31" s="1266"/>
      <c r="VAZ31" s="1266"/>
      <c r="VBA31" s="1266"/>
      <c r="VBB31" s="1266"/>
      <c r="VBC31" s="1266"/>
      <c r="VBD31" s="1266"/>
      <c r="VBE31" s="1266"/>
      <c r="VBF31" s="1266"/>
      <c r="VBG31" s="1266"/>
      <c r="VBH31" s="1266"/>
      <c r="VBI31" s="1266"/>
      <c r="VBJ31" s="1266"/>
      <c r="VBK31" s="1266"/>
      <c r="VBL31" s="1266"/>
      <c r="VBM31" s="1266"/>
      <c r="VBN31" s="1266"/>
      <c r="VBO31" s="1266"/>
      <c r="VBP31" s="1266"/>
      <c r="VBQ31" s="1266"/>
      <c r="VBR31" s="1266"/>
      <c r="VBS31" s="1266"/>
      <c r="VBT31" s="1266"/>
      <c r="VBU31" s="1266"/>
      <c r="VBV31" s="1266"/>
      <c r="VBW31" s="1266"/>
      <c r="VBX31" s="1266"/>
      <c r="VBY31" s="1266"/>
      <c r="VBZ31" s="1266"/>
      <c r="VCA31" s="1266"/>
      <c r="VCB31" s="1266"/>
      <c r="VCC31" s="1266"/>
      <c r="VCD31" s="1266"/>
      <c r="VCE31" s="1266"/>
      <c r="VCF31" s="1266"/>
      <c r="VCG31" s="1266"/>
      <c r="VCH31" s="1266"/>
      <c r="VCI31" s="1266"/>
      <c r="VCJ31" s="1266"/>
      <c r="VCK31" s="1266"/>
      <c r="VCL31" s="1266"/>
      <c r="VCM31" s="1266"/>
      <c r="VCN31" s="1266"/>
      <c r="VCO31" s="1266"/>
      <c r="VCP31" s="1266"/>
      <c r="VCQ31" s="1266"/>
      <c r="VCR31" s="1266"/>
      <c r="VCS31" s="1266"/>
      <c r="VCT31" s="1266"/>
      <c r="VCU31" s="1266"/>
      <c r="VCV31" s="1266"/>
      <c r="VCW31" s="1266"/>
      <c r="VCX31" s="1266"/>
      <c r="VCY31" s="1266"/>
      <c r="VCZ31" s="1266"/>
      <c r="VDA31" s="1266"/>
      <c r="VDB31" s="1266"/>
      <c r="VDC31" s="1266"/>
      <c r="VDD31" s="1266"/>
      <c r="VDE31" s="1266"/>
      <c r="VDF31" s="1266"/>
      <c r="VDG31" s="1266"/>
      <c r="VDH31" s="1266"/>
      <c r="VDI31" s="1266"/>
      <c r="VDJ31" s="1266"/>
      <c r="VDK31" s="1266"/>
      <c r="VDL31" s="1266"/>
      <c r="VDM31" s="1266"/>
      <c r="VDN31" s="1266"/>
      <c r="VDO31" s="1266"/>
      <c r="VDP31" s="1266"/>
      <c r="VDQ31" s="1266"/>
      <c r="VDR31" s="1266"/>
      <c r="VDS31" s="1266"/>
      <c r="VDT31" s="1266"/>
      <c r="VDU31" s="1266"/>
      <c r="VDV31" s="1266"/>
      <c r="VDW31" s="1266"/>
      <c r="VDX31" s="1266"/>
      <c r="VDY31" s="1266"/>
      <c r="VDZ31" s="1266"/>
      <c r="VEA31" s="1266"/>
      <c r="VEB31" s="1266"/>
      <c r="VEC31" s="1266"/>
      <c r="VED31" s="1266"/>
      <c r="VEE31" s="1266"/>
      <c r="VEF31" s="1266"/>
      <c r="VEG31" s="1266"/>
      <c r="VEH31" s="1266"/>
      <c r="VEI31" s="1266"/>
      <c r="VEJ31" s="1266"/>
      <c r="VEK31" s="1266"/>
      <c r="VEL31" s="1266"/>
      <c r="VEM31" s="1266"/>
      <c r="VEN31" s="1266"/>
      <c r="VEO31" s="1266"/>
      <c r="VEP31" s="1266"/>
      <c r="VEQ31" s="1266"/>
      <c r="VER31" s="1266"/>
      <c r="VES31" s="1266"/>
      <c r="VET31" s="1266"/>
      <c r="VEU31" s="1266"/>
      <c r="VEV31" s="1266"/>
      <c r="VEW31" s="1266"/>
      <c r="VEX31" s="1266"/>
      <c r="VEY31" s="1266"/>
      <c r="VEZ31" s="1266"/>
      <c r="VFA31" s="1266"/>
      <c r="VFB31" s="1266"/>
      <c r="VFC31" s="1266"/>
      <c r="VFD31" s="1266"/>
      <c r="VFE31" s="1266"/>
      <c r="VFF31" s="1266"/>
      <c r="VFG31" s="1266"/>
      <c r="VFH31" s="1266"/>
      <c r="VFI31" s="1266"/>
      <c r="VFJ31" s="1266"/>
      <c r="VFK31" s="1266"/>
      <c r="VFL31" s="1266"/>
      <c r="VFM31" s="1266"/>
      <c r="VFN31" s="1266"/>
      <c r="VFO31" s="1266"/>
      <c r="VFP31" s="1266"/>
      <c r="VFQ31" s="1266"/>
      <c r="VFR31" s="1266"/>
      <c r="VFS31" s="1266"/>
      <c r="VFT31" s="1266"/>
      <c r="VFU31" s="1266"/>
      <c r="VFV31" s="1266"/>
      <c r="VFW31" s="1266"/>
      <c r="VFX31" s="1266"/>
      <c r="VFY31" s="1266"/>
      <c r="VFZ31" s="1266"/>
      <c r="VGA31" s="1266"/>
      <c r="VGB31" s="1266"/>
      <c r="VGC31" s="1266"/>
      <c r="VGD31" s="1266"/>
      <c r="VGE31" s="1266"/>
      <c r="VGF31" s="1266"/>
      <c r="VGG31" s="1266"/>
      <c r="VGH31" s="1266"/>
      <c r="VGI31" s="1266"/>
      <c r="VGJ31" s="1266"/>
      <c r="VGK31" s="1266"/>
      <c r="VGL31" s="1266"/>
      <c r="VGM31" s="1266"/>
      <c r="VGN31" s="1266"/>
      <c r="VGO31" s="1266"/>
      <c r="VGP31" s="1266"/>
      <c r="VGQ31" s="1266"/>
      <c r="VGR31" s="1266"/>
      <c r="VGS31" s="1266"/>
      <c r="VGT31" s="1266"/>
      <c r="VGU31" s="1266"/>
      <c r="VGV31" s="1266"/>
      <c r="VGW31" s="1266"/>
      <c r="VGX31" s="1266"/>
      <c r="VGY31" s="1266"/>
      <c r="VGZ31" s="1266"/>
      <c r="VHA31" s="1266"/>
      <c r="VHB31" s="1266"/>
      <c r="VHC31" s="1266"/>
      <c r="VHD31" s="1266"/>
      <c r="VHE31" s="1266"/>
      <c r="VHF31" s="1266"/>
      <c r="VHG31" s="1266"/>
      <c r="VHH31" s="1266"/>
      <c r="VHI31" s="1266"/>
      <c r="VHJ31" s="1266"/>
      <c r="VHK31" s="1266"/>
      <c r="VHL31" s="1266"/>
      <c r="VHM31" s="1266"/>
      <c r="VHN31" s="1266"/>
      <c r="VHO31" s="1266"/>
      <c r="VHP31" s="1266"/>
      <c r="VHQ31" s="1266"/>
      <c r="VHR31" s="1266"/>
      <c r="VHS31" s="1266"/>
      <c r="VHT31" s="1266"/>
      <c r="VHU31" s="1266"/>
      <c r="VHV31" s="1266"/>
      <c r="VHW31" s="1266"/>
      <c r="VHX31" s="1266"/>
      <c r="VHY31" s="1266"/>
      <c r="VHZ31" s="1266"/>
      <c r="VIA31" s="1266"/>
      <c r="VIB31" s="1266"/>
      <c r="VIC31" s="1266"/>
      <c r="VID31" s="1266"/>
      <c r="VIE31" s="1266"/>
      <c r="VIF31" s="1266"/>
      <c r="VIG31" s="1266"/>
      <c r="VIH31" s="1266"/>
      <c r="VII31" s="1266"/>
      <c r="VIJ31" s="1266"/>
      <c r="VIK31" s="1266"/>
      <c r="VIL31" s="1266"/>
      <c r="VIM31" s="1266"/>
      <c r="VIN31" s="1266"/>
      <c r="VIO31" s="1266"/>
      <c r="VIP31" s="1266"/>
      <c r="VIQ31" s="1266"/>
      <c r="VIR31" s="1266"/>
      <c r="VIS31" s="1266"/>
      <c r="VIT31" s="1266"/>
      <c r="VIU31" s="1266"/>
      <c r="VIV31" s="1266"/>
      <c r="VIW31" s="1266"/>
      <c r="VIX31" s="1266"/>
      <c r="VIY31" s="1266"/>
      <c r="VIZ31" s="1266"/>
      <c r="VJA31" s="1266"/>
      <c r="VJB31" s="1266"/>
      <c r="VJC31" s="1266"/>
      <c r="VJD31" s="1266"/>
      <c r="VJE31" s="1266"/>
      <c r="VJF31" s="1266"/>
      <c r="VJG31" s="1266"/>
      <c r="VJH31" s="1266"/>
      <c r="VJI31" s="1266"/>
      <c r="VJJ31" s="1266"/>
      <c r="VJK31" s="1266"/>
      <c r="VJL31" s="1266"/>
      <c r="VJM31" s="1266"/>
      <c r="VJN31" s="1266"/>
      <c r="VJO31" s="1266"/>
      <c r="VJP31" s="1266"/>
      <c r="VJQ31" s="1266"/>
      <c r="VJR31" s="1266"/>
      <c r="VJS31" s="1266"/>
      <c r="VJT31" s="1266"/>
      <c r="VJU31" s="1266"/>
      <c r="VJV31" s="1266"/>
      <c r="VJW31" s="1266"/>
      <c r="VJX31" s="1266"/>
      <c r="VJY31" s="1266"/>
      <c r="VJZ31" s="1266"/>
      <c r="VKA31" s="1266"/>
      <c r="VKB31" s="1266"/>
      <c r="VKC31" s="1266"/>
      <c r="VKD31" s="1266"/>
      <c r="VKE31" s="1266"/>
      <c r="VKF31" s="1266"/>
      <c r="VKG31" s="1266"/>
      <c r="VKH31" s="1266"/>
      <c r="VKI31" s="1266"/>
      <c r="VKJ31" s="1266"/>
      <c r="VKK31" s="1266"/>
      <c r="VKL31" s="1266"/>
      <c r="VKM31" s="1266"/>
      <c r="VKN31" s="1266"/>
      <c r="VKO31" s="1266"/>
      <c r="VKP31" s="1266"/>
      <c r="VKQ31" s="1266"/>
      <c r="VKR31" s="1266"/>
      <c r="VKS31" s="1266"/>
      <c r="VKT31" s="1266"/>
      <c r="VKU31" s="1266"/>
      <c r="VKV31" s="1266"/>
      <c r="VKW31" s="1266"/>
      <c r="VKX31" s="1266"/>
      <c r="VKY31" s="1266"/>
      <c r="VKZ31" s="1266"/>
      <c r="VLA31" s="1266"/>
      <c r="VLB31" s="1266"/>
      <c r="VLC31" s="1266"/>
      <c r="VLD31" s="1266"/>
      <c r="VLE31" s="1266"/>
      <c r="VLF31" s="1266"/>
      <c r="VLG31" s="1266"/>
      <c r="VLH31" s="1266"/>
      <c r="VLI31" s="1266"/>
      <c r="VLJ31" s="1266"/>
      <c r="VLK31" s="1266"/>
      <c r="VLL31" s="1266"/>
      <c r="VLM31" s="1266"/>
      <c r="VLN31" s="1266"/>
      <c r="VLO31" s="1266"/>
      <c r="VLP31" s="1266"/>
      <c r="VLQ31" s="1266"/>
      <c r="VLR31" s="1266"/>
      <c r="VLS31" s="1266"/>
      <c r="VLT31" s="1266"/>
      <c r="VLU31" s="1266"/>
      <c r="VLV31" s="1266"/>
      <c r="VLW31" s="1266"/>
      <c r="VLX31" s="1266"/>
      <c r="VLY31" s="1266"/>
      <c r="VLZ31" s="1266"/>
      <c r="VMA31" s="1266"/>
      <c r="VMB31" s="1266"/>
      <c r="VMC31" s="1266"/>
      <c r="VMD31" s="1266"/>
      <c r="VME31" s="1266"/>
      <c r="VMF31" s="1266"/>
      <c r="VMG31" s="1266"/>
      <c r="VMH31" s="1266"/>
      <c r="VMI31" s="1266"/>
      <c r="VMJ31" s="1266"/>
      <c r="VMK31" s="1266"/>
      <c r="VML31" s="1266"/>
      <c r="VMM31" s="1266"/>
      <c r="VMN31" s="1266"/>
      <c r="VMO31" s="1266"/>
      <c r="VMP31" s="1266"/>
      <c r="VMQ31" s="1266"/>
      <c r="VMR31" s="1266"/>
      <c r="VMS31" s="1266"/>
      <c r="VMT31" s="1266"/>
      <c r="VMU31" s="1266"/>
      <c r="VMV31" s="1266"/>
      <c r="VMW31" s="1266"/>
      <c r="VMX31" s="1266"/>
      <c r="VMY31" s="1266"/>
      <c r="VMZ31" s="1266"/>
      <c r="VNA31" s="1266"/>
      <c r="VNB31" s="1266"/>
      <c r="VNC31" s="1266"/>
      <c r="VND31" s="1266"/>
      <c r="VNE31" s="1266"/>
      <c r="VNF31" s="1266"/>
      <c r="VNG31" s="1266"/>
      <c r="VNH31" s="1266"/>
      <c r="VNI31" s="1266"/>
      <c r="VNJ31" s="1266"/>
      <c r="VNK31" s="1266"/>
      <c r="VNL31" s="1266"/>
      <c r="VNM31" s="1266"/>
      <c r="VNN31" s="1266"/>
      <c r="VNO31" s="1266"/>
      <c r="VNP31" s="1266"/>
      <c r="VNQ31" s="1266"/>
      <c r="VNR31" s="1266"/>
      <c r="VNS31" s="1266"/>
      <c r="VNT31" s="1266"/>
      <c r="VNU31" s="1266"/>
      <c r="VNV31" s="1266"/>
      <c r="VNW31" s="1266"/>
      <c r="VNX31" s="1266"/>
      <c r="VNY31" s="1266"/>
      <c r="VNZ31" s="1266"/>
      <c r="VOA31" s="1266"/>
      <c r="VOB31" s="1266"/>
      <c r="VOC31" s="1266"/>
      <c r="VOD31" s="1266"/>
      <c r="VOE31" s="1266"/>
      <c r="VOF31" s="1266"/>
      <c r="VOG31" s="1266"/>
      <c r="VOH31" s="1266"/>
      <c r="VOI31" s="1266"/>
      <c r="VOJ31" s="1266"/>
      <c r="VOK31" s="1266"/>
      <c r="VOL31" s="1266"/>
      <c r="VOM31" s="1266"/>
      <c r="VON31" s="1266"/>
      <c r="VOO31" s="1266"/>
      <c r="VOP31" s="1266"/>
      <c r="VOQ31" s="1266"/>
      <c r="VOR31" s="1266"/>
      <c r="VOS31" s="1266"/>
      <c r="VOT31" s="1266"/>
      <c r="VOU31" s="1266"/>
      <c r="VOV31" s="1266"/>
      <c r="VOW31" s="1266"/>
      <c r="VOX31" s="1266"/>
      <c r="VOY31" s="1266"/>
      <c r="VOZ31" s="1266"/>
      <c r="VPA31" s="1266"/>
      <c r="VPB31" s="1266"/>
      <c r="VPC31" s="1266"/>
      <c r="VPD31" s="1266"/>
      <c r="VPE31" s="1266"/>
      <c r="VPF31" s="1266"/>
      <c r="VPG31" s="1266"/>
      <c r="VPH31" s="1266"/>
      <c r="VPI31" s="1266"/>
      <c r="VPJ31" s="1266"/>
      <c r="VPK31" s="1266"/>
      <c r="VPL31" s="1266"/>
      <c r="VPM31" s="1266"/>
      <c r="VPN31" s="1266"/>
      <c r="VPO31" s="1266"/>
      <c r="VPP31" s="1266"/>
      <c r="VPQ31" s="1266"/>
      <c r="VPR31" s="1266"/>
      <c r="VPS31" s="1266"/>
      <c r="VPT31" s="1266"/>
      <c r="VPU31" s="1266"/>
      <c r="VPV31" s="1266"/>
      <c r="VPW31" s="1266"/>
      <c r="VPX31" s="1266"/>
      <c r="VPY31" s="1266"/>
      <c r="VPZ31" s="1266"/>
      <c r="VQA31" s="1266"/>
      <c r="VQB31" s="1266"/>
      <c r="VQC31" s="1266"/>
      <c r="VQD31" s="1266"/>
      <c r="VQE31" s="1266"/>
      <c r="VQF31" s="1266"/>
      <c r="VQG31" s="1266"/>
      <c r="VQH31" s="1266"/>
      <c r="VQI31" s="1266"/>
      <c r="VQJ31" s="1266"/>
      <c r="VQK31" s="1266"/>
      <c r="VQL31" s="1266"/>
      <c r="VQM31" s="1266"/>
      <c r="VQN31" s="1266"/>
      <c r="VQO31" s="1266"/>
      <c r="VQP31" s="1266"/>
      <c r="VQQ31" s="1266"/>
      <c r="VQR31" s="1266"/>
      <c r="VQS31" s="1266"/>
      <c r="VQT31" s="1266"/>
      <c r="VQU31" s="1266"/>
      <c r="VQV31" s="1266"/>
      <c r="VQW31" s="1266"/>
      <c r="VQX31" s="1266"/>
      <c r="VQY31" s="1266"/>
      <c r="VQZ31" s="1266"/>
      <c r="VRA31" s="1266"/>
      <c r="VRB31" s="1266"/>
      <c r="VRC31" s="1266"/>
      <c r="VRD31" s="1266"/>
      <c r="VRE31" s="1266"/>
      <c r="VRF31" s="1266"/>
      <c r="VRG31" s="1266"/>
      <c r="VRH31" s="1266"/>
      <c r="VRI31" s="1266"/>
      <c r="VRJ31" s="1266"/>
      <c r="VRK31" s="1266"/>
      <c r="VRL31" s="1266"/>
      <c r="VRM31" s="1266"/>
      <c r="VRN31" s="1266"/>
      <c r="VRO31" s="1266"/>
      <c r="VRP31" s="1266"/>
      <c r="VRQ31" s="1266"/>
      <c r="VRR31" s="1266"/>
      <c r="VRS31" s="1266"/>
      <c r="VRT31" s="1266"/>
      <c r="VRU31" s="1266"/>
      <c r="VRV31" s="1266"/>
      <c r="VRW31" s="1266"/>
      <c r="VRX31" s="1266"/>
      <c r="VRY31" s="1266"/>
      <c r="VRZ31" s="1266"/>
      <c r="VSA31" s="1266"/>
      <c r="VSB31" s="1266"/>
      <c r="VSC31" s="1266"/>
      <c r="VSD31" s="1266"/>
      <c r="VSE31" s="1266"/>
      <c r="VSF31" s="1266"/>
      <c r="VSG31" s="1266"/>
      <c r="VSH31" s="1266"/>
      <c r="VSI31" s="1266"/>
      <c r="VSJ31" s="1266"/>
      <c r="VSK31" s="1266"/>
      <c r="VSL31" s="1266"/>
      <c r="VSM31" s="1266"/>
      <c r="VSN31" s="1266"/>
      <c r="VSO31" s="1266"/>
      <c r="VSP31" s="1266"/>
      <c r="VSQ31" s="1266"/>
      <c r="VSR31" s="1266"/>
      <c r="VSS31" s="1266"/>
      <c r="VST31" s="1266"/>
      <c r="VSU31" s="1266"/>
      <c r="VSV31" s="1266"/>
      <c r="VSW31" s="1266"/>
      <c r="VSX31" s="1266"/>
      <c r="VSY31" s="1266"/>
      <c r="VSZ31" s="1266"/>
      <c r="VTA31" s="1266"/>
      <c r="VTB31" s="1266"/>
      <c r="VTC31" s="1266"/>
      <c r="VTD31" s="1266"/>
      <c r="VTE31" s="1266"/>
      <c r="VTF31" s="1266"/>
      <c r="VTG31" s="1266"/>
      <c r="VTH31" s="1266"/>
      <c r="VTI31" s="1266"/>
      <c r="VTJ31" s="1266"/>
      <c r="VTK31" s="1266"/>
      <c r="VTL31" s="1266"/>
      <c r="VTM31" s="1266"/>
      <c r="VTN31" s="1266"/>
      <c r="VTO31" s="1266"/>
      <c r="VTP31" s="1266"/>
      <c r="VTQ31" s="1266"/>
      <c r="VTR31" s="1266"/>
      <c r="VTS31" s="1266"/>
      <c r="VTT31" s="1266"/>
      <c r="VTU31" s="1266"/>
      <c r="VTV31" s="1266"/>
      <c r="VTW31" s="1266"/>
      <c r="VTX31" s="1266"/>
      <c r="VTY31" s="1266"/>
      <c r="VTZ31" s="1266"/>
      <c r="VUA31" s="1266"/>
      <c r="VUB31" s="1266"/>
      <c r="VUC31" s="1266"/>
      <c r="VUD31" s="1266"/>
      <c r="VUE31" s="1266"/>
      <c r="VUF31" s="1266"/>
      <c r="VUG31" s="1266"/>
      <c r="VUH31" s="1266"/>
      <c r="VUI31" s="1266"/>
      <c r="VUJ31" s="1266"/>
      <c r="VUK31" s="1266"/>
      <c r="VUL31" s="1266"/>
      <c r="VUM31" s="1266"/>
      <c r="VUN31" s="1266"/>
      <c r="VUO31" s="1266"/>
      <c r="VUP31" s="1266"/>
      <c r="VUQ31" s="1266"/>
      <c r="VUR31" s="1266"/>
      <c r="VUS31" s="1266"/>
      <c r="VUT31" s="1266"/>
      <c r="VUU31" s="1266"/>
      <c r="VUV31" s="1266"/>
      <c r="VUW31" s="1266"/>
      <c r="VUX31" s="1266"/>
      <c r="VUY31" s="1266"/>
      <c r="VUZ31" s="1266"/>
      <c r="VVA31" s="1266"/>
      <c r="VVB31" s="1266"/>
      <c r="VVC31" s="1266"/>
      <c r="VVD31" s="1266"/>
      <c r="VVE31" s="1266"/>
      <c r="VVF31" s="1266"/>
      <c r="VVG31" s="1266"/>
      <c r="VVH31" s="1266"/>
      <c r="VVI31" s="1266"/>
      <c r="VVJ31" s="1266"/>
      <c r="VVK31" s="1266"/>
      <c r="VVL31" s="1266"/>
      <c r="VVM31" s="1266"/>
      <c r="VVN31" s="1266"/>
      <c r="VVO31" s="1266"/>
      <c r="VVP31" s="1266"/>
      <c r="VVQ31" s="1266"/>
      <c r="VVR31" s="1266"/>
      <c r="VVS31" s="1266"/>
      <c r="VVT31" s="1266"/>
      <c r="VVU31" s="1266"/>
      <c r="VVV31" s="1266"/>
      <c r="VVW31" s="1266"/>
      <c r="VVX31" s="1266"/>
      <c r="VVY31" s="1266"/>
      <c r="VVZ31" s="1266"/>
      <c r="VWA31" s="1266"/>
      <c r="VWB31" s="1266"/>
      <c r="VWC31" s="1266"/>
      <c r="VWD31" s="1266"/>
      <c r="VWE31" s="1266"/>
      <c r="VWF31" s="1266"/>
      <c r="VWG31" s="1266"/>
      <c r="VWH31" s="1266"/>
      <c r="VWI31" s="1266"/>
      <c r="VWJ31" s="1266"/>
      <c r="VWK31" s="1266"/>
      <c r="VWL31" s="1266"/>
      <c r="VWM31" s="1266"/>
      <c r="VWN31" s="1266"/>
      <c r="VWO31" s="1266"/>
      <c r="VWP31" s="1266"/>
      <c r="VWQ31" s="1266"/>
      <c r="VWR31" s="1266"/>
      <c r="VWS31" s="1266"/>
      <c r="VWT31" s="1266"/>
      <c r="VWU31" s="1266"/>
      <c r="VWV31" s="1266"/>
      <c r="VWW31" s="1266"/>
      <c r="VWX31" s="1266"/>
      <c r="VWY31" s="1266"/>
      <c r="VWZ31" s="1266"/>
      <c r="VXA31" s="1266"/>
      <c r="VXB31" s="1266"/>
      <c r="VXC31" s="1266"/>
      <c r="VXD31" s="1266"/>
      <c r="VXE31" s="1266"/>
      <c r="VXF31" s="1266"/>
      <c r="VXG31" s="1266"/>
      <c r="VXH31" s="1266"/>
      <c r="VXI31" s="1266"/>
      <c r="VXJ31" s="1266"/>
      <c r="VXK31" s="1266"/>
      <c r="VXL31" s="1266"/>
      <c r="VXM31" s="1266"/>
      <c r="VXN31" s="1266"/>
      <c r="VXO31" s="1266"/>
      <c r="VXP31" s="1266"/>
      <c r="VXQ31" s="1266"/>
      <c r="VXR31" s="1266"/>
      <c r="VXS31" s="1266"/>
      <c r="VXT31" s="1266"/>
      <c r="VXU31" s="1266"/>
      <c r="VXV31" s="1266"/>
      <c r="VXW31" s="1266"/>
      <c r="VXX31" s="1266"/>
      <c r="VXY31" s="1266"/>
      <c r="VXZ31" s="1266"/>
      <c r="VYA31" s="1266"/>
      <c r="VYB31" s="1266"/>
      <c r="VYC31" s="1266"/>
      <c r="VYD31" s="1266"/>
      <c r="VYE31" s="1266"/>
      <c r="VYF31" s="1266"/>
      <c r="VYG31" s="1266"/>
      <c r="VYH31" s="1266"/>
      <c r="VYI31" s="1266"/>
      <c r="VYJ31" s="1266"/>
      <c r="VYK31" s="1266"/>
      <c r="VYL31" s="1266"/>
      <c r="VYM31" s="1266"/>
      <c r="VYN31" s="1266"/>
      <c r="VYO31" s="1266"/>
      <c r="VYP31" s="1266"/>
      <c r="VYQ31" s="1266"/>
      <c r="VYR31" s="1266"/>
      <c r="VYS31" s="1266"/>
      <c r="VYT31" s="1266"/>
      <c r="VYU31" s="1266"/>
      <c r="VYV31" s="1266"/>
      <c r="VYW31" s="1266"/>
      <c r="VYX31" s="1266"/>
      <c r="VYY31" s="1266"/>
      <c r="VYZ31" s="1266"/>
      <c r="VZA31" s="1266"/>
      <c r="VZB31" s="1266"/>
      <c r="VZC31" s="1266"/>
      <c r="VZD31" s="1266"/>
      <c r="VZE31" s="1266"/>
      <c r="VZF31" s="1266"/>
      <c r="VZG31" s="1266"/>
      <c r="VZH31" s="1266"/>
      <c r="VZI31" s="1266"/>
      <c r="VZJ31" s="1266"/>
      <c r="VZK31" s="1266"/>
      <c r="VZL31" s="1266"/>
      <c r="VZM31" s="1266"/>
      <c r="VZN31" s="1266"/>
      <c r="VZO31" s="1266"/>
      <c r="VZP31" s="1266"/>
      <c r="VZQ31" s="1266"/>
      <c r="VZR31" s="1266"/>
      <c r="VZS31" s="1266"/>
      <c r="VZT31" s="1266"/>
      <c r="VZU31" s="1266"/>
      <c r="VZV31" s="1266"/>
      <c r="VZW31" s="1266"/>
      <c r="VZX31" s="1266"/>
      <c r="VZY31" s="1266"/>
      <c r="VZZ31" s="1266"/>
      <c r="WAA31" s="1266"/>
      <c r="WAB31" s="1266"/>
      <c r="WAC31" s="1266"/>
      <c r="WAD31" s="1266"/>
      <c r="WAE31" s="1266"/>
      <c r="WAF31" s="1266"/>
      <c r="WAG31" s="1266"/>
      <c r="WAH31" s="1266"/>
      <c r="WAI31" s="1266"/>
      <c r="WAJ31" s="1266"/>
      <c r="WAK31" s="1266"/>
      <c r="WAL31" s="1266"/>
      <c r="WAM31" s="1266"/>
      <c r="WAN31" s="1266"/>
      <c r="WAO31" s="1266"/>
      <c r="WAP31" s="1266"/>
      <c r="WAQ31" s="1266"/>
      <c r="WAR31" s="1266"/>
      <c r="WAS31" s="1266"/>
      <c r="WAT31" s="1266"/>
      <c r="WAU31" s="1266"/>
      <c r="WAV31" s="1266"/>
      <c r="WAW31" s="1266"/>
      <c r="WAX31" s="1266"/>
      <c r="WAY31" s="1266"/>
      <c r="WAZ31" s="1266"/>
      <c r="WBA31" s="1266"/>
      <c r="WBB31" s="1266"/>
      <c r="WBC31" s="1266"/>
      <c r="WBD31" s="1266"/>
      <c r="WBE31" s="1266"/>
      <c r="WBF31" s="1266"/>
      <c r="WBG31" s="1266"/>
      <c r="WBH31" s="1266"/>
      <c r="WBI31" s="1266"/>
      <c r="WBJ31" s="1266"/>
      <c r="WBK31" s="1266"/>
      <c r="WBL31" s="1266"/>
      <c r="WBM31" s="1266"/>
      <c r="WBN31" s="1266"/>
      <c r="WBO31" s="1266"/>
      <c r="WBP31" s="1266"/>
      <c r="WBQ31" s="1266"/>
      <c r="WBR31" s="1266"/>
      <c r="WBS31" s="1266"/>
      <c r="WBT31" s="1266"/>
      <c r="WBU31" s="1266"/>
      <c r="WBV31" s="1266"/>
      <c r="WBW31" s="1266"/>
      <c r="WBX31" s="1266"/>
      <c r="WBY31" s="1266"/>
      <c r="WBZ31" s="1266"/>
      <c r="WCA31" s="1266"/>
      <c r="WCB31" s="1266"/>
      <c r="WCC31" s="1266"/>
      <c r="WCD31" s="1266"/>
      <c r="WCE31" s="1266"/>
      <c r="WCF31" s="1266"/>
      <c r="WCG31" s="1266"/>
      <c r="WCH31" s="1266"/>
      <c r="WCI31" s="1266"/>
      <c r="WCJ31" s="1266"/>
      <c r="WCK31" s="1266"/>
      <c r="WCL31" s="1266"/>
      <c r="WCM31" s="1266"/>
      <c r="WCN31" s="1266"/>
      <c r="WCO31" s="1266"/>
      <c r="WCP31" s="1266"/>
      <c r="WCQ31" s="1266"/>
      <c r="WCR31" s="1266"/>
      <c r="WCS31" s="1266"/>
      <c r="WCT31" s="1266"/>
      <c r="WCU31" s="1266"/>
      <c r="WCV31" s="1266"/>
      <c r="WCW31" s="1266"/>
      <c r="WCX31" s="1266"/>
      <c r="WCY31" s="1266"/>
      <c r="WCZ31" s="1266"/>
      <c r="WDA31" s="1266"/>
      <c r="WDB31" s="1266"/>
      <c r="WDC31" s="1266"/>
      <c r="WDD31" s="1266"/>
      <c r="WDE31" s="1266"/>
      <c r="WDF31" s="1266"/>
      <c r="WDG31" s="1266"/>
      <c r="WDH31" s="1266"/>
      <c r="WDI31" s="1266"/>
      <c r="WDJ31" s="1266"/>
      <c r="WDK31" s="1266"/>
      <c r="WDL31" s="1266"/>
      <c r="WDM31" s="1266"/>
      <c r="WDN31" s="1266"/>
      <c r="WDO31" s="1266"/>
      <c r="WDP31" s="1266"/>
      <c r="WDQ31" s="1266"/>
      <c r="WDR31" s="1266"/>
      <c r="WDS31" s="1266"/>
      <c r="WDT31" s="1266"/>
      <c r="WDU31" s="1266"/>
      <c r="WDV31" s="1266"/>
      <c r="WDW31" s="1266"/>
      <c r="WDX31" s="1266"/>
      <c r="WDY31" s="1266"/>
      <c r="WDZ31" s="1266"/>
      <c r="WEA31" s="1266"/>
      <c r="WEB31" s="1266"/>
      <c r="WEC31" s="1266"/>
      <c r="WED31" s="1266"/>
      <c r="WEE31" s="1266"/>
      <c r="WEF31" s="1266"/>
      <c r="WEG31" s="1266"/>
      <c r="WEH31" s="1266"/>
      <c r="WEI31" s="1266"/>
      <c r="WEJ31" s="1266"/>
      <c r="WEK31" s="1266"/>
      <c r="WEL31" s="1266"/>
      <c r="WEM31" s="1266"/>
      <c r="WEN31" s="1266"/>
      <c r="WEO31" s="1266"/>
      <c r="WEP31" s="1266"/>
      <c r="WEQ31" s="1266"/>
      <c r="WER31" s="1266"/>
      <c r="WES31" s="1266"/>
      <c r="WET31" s="1266"/>
      <c r="WEU31" s="1266"/>
      <c r="WEV31" s="1266"/>
      <c r="WEW31" s="1266"/>
      <c r="WEX31" s="1266"/>
      <c r="WEY31" s="1266"/>
      <c r="WEZ31" s="1266"/>
      <c r="WFA31" s="1266"/>
      <c r="WFB31" s="1266"/>
      <c r="WFC31" s="1266"/>
      <c r="WFD31" s="1266"/>
      <c r="WFE31" s="1266"/>
      <c r="WFF31" s="1266"/>
      <c r="WFG31" s="1266"/>
      <c r="WFH31" s="1266"/>
      <c r="WFI31" s="1266"/>
      <c r="WFJ31" s="1266"/>
      <c r="WFK31" s="1266"/>
      <c r="WFL31" s="1266"/>
      <c r="WFM31" s="1266"/>
      <c r="WFN31" s="1266"/>
      <c r="WFO31" s="1266"/>
      <c r="WFP31" s="1266"/>
      <c r="WFQ31" s="1266"/>
      <c r="WFR31" s="1266"/>
      <c r="WFS31" s="1266"/>
      <c r="WFT31" s="1266"/>
      <c r="WFU31" s="1266"/>
      <c r="WFV31" s="1266"/>
      <c r="WFW31" s="1266"/>
      <c r="WFX31" s="1266"/>
      <c r="WFY31" s="1266"/>
      <c r="WFZ31" s="1266"/>
      <c r="WGA31" s="1266"/>
      <c r="WGB31" s="1266"/>
      <c r="WGC31" s="1266"/>
      <c r="WGD31" s="1266"/>
      <c r="WGE31" s="1266"/>
      <c r="WGF31" s="1266"/>
      <c r="WGG31" s="1266"/>
      <c r="WGH31" s="1266"/>
      <c r="WGI31" s="1266"/>
      <c r="WGJ31" s="1266"/>
      <c r="WGK31" s="1266"/>
      <c r="WGL31" s="1266"/>
      <c r="WGM31" s="1266"/>
      <c r="WGN31" s="1266"/>
      <c r="WGO31" s="1266"/>
      <c r="WGP31" s="1266"/>
      <c r="WGQ31" s="1266"/>
      <c r="WGR31" s="1266"/>
      <c r="WGS31" s="1266"/>
      <c r="WGT31" s="1266"/>
      <c r="WGU31" s="1266"/>
      <c r="WGV31" s="1266"/>
      <c r="WGW31" s="1266"/>
      <c r="WGX31" s="1266"/>
      <c r="WGY31" s="1266"/>
      <c r="WGZ31" s="1266"/>
      <c r="WHA31" s="1266"/>
      <c r="WHB31" s="1266"/>
      <c r="WHC31" s="1266"/>
      <c r="WHD31" s="1266"/>
      <c r="WHE31" s="1266"/>
      <c r="WHF31" s="1266"/>
      <c r="WHG31" s="1266"/>
      <c r="WHH31" s="1266"/>
      <c r="WHI31" s="1266"/>
      <c r="WHJ31" s="1266"/>
      <c r="WHK31" s="1266"/>
      <c r="WHL31" s="1266"/>
      <c r="WHM31" s="1266"/>
      <c r="WHN31" s="1266"/>
      <c r="WHO31" s="1266"/>
      <c r="WHP31" s="1266"/>
      <c r="WHQ31" s="1266"/>
      <c r="WHR31" s="1266"/>
      <c r="WHS31" s="1266"/>
      <c r="WHT31" s="1266"/>
      <c r="WHU31" s="1266"/>
      <c r="WHV31" s="1266"/>
      <c r="WHW31" s="1266"/>
      <c r="WHX31" s="1266"/>
      <c r="WHY31" s="1266"/>
      <c r="WHZ31" s="1266"/>
      <c r="WIA31" s="1266"/>
      <c r="WIB31" s="1266"/>
      <c r="WIC31" s="1266"/>
      <c r="WID31" s="1266"/>
      <c r="WIE31" s="1266"/>
      <c r="WIF31" s="1266"/>
      <c r="WIG31" s="1266"/>
      <c r="WIH31" s="1266"/>
      <c r="WII31" s="1266"/>
      <c r="WIJ31" s="1266"/>
      <c r="WIK31" s="1266"/>
      <c r="WIL31" s="1266"/>
      <c r="WIM31" s="1266"/>
      <c r="WIN31" s="1266"/>
      <c r="WIO31" s="1266"/>
      <c r="WIP31" s="1266"/>
      <c r="WIQ31" s="1266"/>
      <c r="WIR31" s="1266"/>
      <c r="WIS31" s="1266"/>
      <c r="WIT31" s="1266"/>
      <c r="WIU31" s="1266"/>
      <c r="WIV31" s="1266"/>
      <c r="WIW31" s="1266"/>
      <c r="WIX31" s="1266"/>
      <c r="WIY31" s="1266"/>
      <c r="WIZ31" s="1266"/>
      <c r="WJA31" s="1266"/>
      <c r="WJB31" s="1266"/>
      <c r="WJC31" s="1266"/>
      <c r="WJD31" s="1266"/>
      <c r="WJE31" s="1266"/>
      <c r="WJF31" s="1266"/>
      <c r="WJG31" s="1266"/>
      <c r="WJH31" s="1266"/>
      <c r="WJI31" s="1266"/>
      <c r="WJJ31" s="1266"/>
      <c r="WJK31" s="1266"/>
      <c r="WJL31" s="1266"/>
      <c r="WJM31" s="1266"/>
      <c r="WJN31" s="1266"/>
      <c r="WJO31" s="1266"/>
      <c r="WJP31" s="1266"/>
      <c r="WJQ31" s="1266"/>
      <c r="WJR31" s="1266"/>
      <c r="WJS31" s="1266"/>
      <c r="WJT31" s="1266"/>
      <c r="WJU31" s="1266"/>
      <c r="WJV31" s="1266"/>
      <c r="WJW31" s="1266"/>
      <c r="WJX31" s="1266"/>
      <c r="WJY31" s="1266"/>
      <c r="WJZ31" s="1266"/>
      <c r="WKA31" s="1266"/>
      <c r="WKB31" s="1266"/>
      <c r="WKC31" s="1266"/>
      <c r="WKD31" s="1266"/>
      <c r="WKE31" s="1266"/>
      <c r="WKF31" s="1266"/>
      <c r="WKG31" s="1266"/>
      <c r="WKH31" s="1266"/>
      <c r="WKI31" s="1266"/>
      <c r="WKJ31" s="1266"/>
      <c r="WKK31" s="1266"/>
      <c r="WKL31" s="1266"/>
      <c r="WKM31" s="1266"/>
      <c r="WKN31" s="1266"/>
      <c r="WKO31" s="1266"/>
      <c r="WKP31" s="1266"/>
      <c r="WKQ31" s="1266"/>
      <c r="WKR31" s="1266"/>
      <c r="WKS31" s="1266"/>
      <c r="WKT31" s="1266"/>
      <c r="WKU31" s="1266"/>
      <c r="WKV31" s="1266"/>
      <c r="WKW31" s="1266"/>
      <c r="WKX31" s="1266"/>
      <c r="WKY31" s="1266"/>
      <c r="WKZ31" s="1266"/>
      <c r="WLA31" s="1266"/>
      <c r="WLB31" s="1266"/>
      <c r="WLC31" s="1266"/>
      <c r="WLD31" s="1266"/>
      <c r="WLE31" s="1266"/>
      <c r="WLF31" s="1266"/>
      <c r="WLG31" s="1266"/>
      <c r="WLH31" s="1266"/>
      <c r="WLI31" s="1266"/>
      <c r="WLJ31" s="1266"/>
      <c r="WLK31" s="1266"/>
      <c r="WLL31" s="1266"/>
      <c r="WLM31" s="1266"/>
      <c r="WLN31" s="1266"/>
      <c r="WLO31" s="1266"/>
      <c r="WLP31" s="1266"/>
      <c r="WLQ31" s="1266"/>
      <c r="WLR31" s="1266"/>
      <c r="WLS31" s="1266"/>
      <c r="WLT31" s="1266"/>
      <c r="WLU31" s="1266"/>
      <c r="WLV31" s="1266"/>
      <c r="WLW31" s="1266"/>
      <c r="WLX31" s="1266"/>
      <c r="WLY31" s="1266"/>
      <c r="WLZ31" s="1266"/>
      <c r="WMA31" s="1266"/>
      <c r="WMB31" s="1266"/>
      <c r="WMC31" s="1266"/>
      <c r="WMD31" s="1266"/>
      <c r="WME31" s="1266"/>
      <c r="WMF31" s="1266"/>
      <c r="WMG31" s="1266"/>
      <c r="WMH31" s="1266"/>
      <c r="WMI31" s="1266"/>
      <c r="WMJ31" s="1266"/>
      <c r="WMK31" s="1266"/>
      <c r="WML31" s="1266"/>
      <c r="WMM31" s="1266"/>
      <c r="WMN31" s="1266"/>
      <c r="WMO31" s="1266"/>
      <c r="WMP31" s="1266"/>
      <c r="WMQ31" s="1266"/>
      <c r="WMR31" s="1266"/>
      <c r="WMS31" s="1266"/>
      <c r="WMT31" s="1266"/>
      <c r="WMU31" s="1266"/>
      <c r="WMV31" s="1266"/>
      <c r="WMW31" s="1266"/>
      <c r="WMX31" s="1266"/>
      <c r="WMY31" s="1266"/>
      <c r="WMZ31" s="1266"/>
      <c r="WNA31" s="1266"/>
      <c r="WNB31" s="1266"/>
      <c r="WNC31" s="1266"/>
      <c r="WND31" s="1266"/>
      <c r="WNE31" s="1266"/>
      <c r="WNF31" s="1266"/>
      <c r="WNG31" s="1266"/>
      <c r="WNH31" s="1266"/>
      <c r="WNI31" s="1266"/>
      <c r="WNJ31" s="1266"/>
      <c r="WNK31" s="1266"/>
      <c r="WNL31" s="1266"/>
      <c r="WNM31" s="1266"/>
      <c r="WNN31" s="1266"/>
      <c r="WNO31" s="1266"/>
      <c r="WNP31" s="1266"/>
      <c r="WNQ31" s="1266"/>
      <c r="WNR31" s="1266"/>
      <c r="WNS31" s="1266"/>
      <c r="WNT31" s="1266"/>
      <c r="WNU31" s="1266"/>
      <c r="WNV31" s="1266"/>
      <c r="WNW31" s="1266"/>
      <c r="WNX31" s="1266"/>
      <c r="WNY31" s="1266"/>
      <c r="WNZ31" s="1266"/>
      <c r="WOA31" s="1266"/>
      <c r="WOB31" s="1266"/>
      <c r="WOC31" s="1266"/>
      <c r="WOD31" s="1266"/>
      <c r="WOE31" s="1266"/>
      <c r="WOF31" s="1266"/>
      <c r="WOG31" s="1266"/>
      <c r="WOH31" s="1266"/>
      <c r="WOI31" s="1266"/>
      <c r="WOJ31" s="1266"/>
      <c r="WOK31" s="1266"/>
      <c r="WOL31" s="1266"/>
      <c r="WOM31" s="1266"/>
      <c r="WON31" s="1266"/>
      <c r="WOO31" s="1266"/>
      <c r="WOP31" s="1266"/>
      <c r="WOQ31" s="1266"/>
      <c r="WOR31" s="1266"/>
      <c r="WOS31" s="1266"/>
      <c r="WOT31" s="1266"/>
      <c r="WOU31" s="1266"/>
      <c r="WOV31" s="1266"/>
      <c r="WOW31" s="1266"/>
      <c r="WOX31" s="1266"/>
      <c r="WOY31" s="1266"/>
      <c r="WOZ31" s="1266"/>
      <c r="WPA31" s="1266"/>
      <c r="WPB31" s="1266"/>
      <c r="WPC31" s="1266"/>
      <c r="WPD31" s="1266"/>
      <c r="WPE31" s="1266"/>
      <c r="WPF31" s="1266"/>
      <c r="WPG31" s="1266"/>
      <c r="WPH31" s="1266"/>
      <c r="WPI31" s="1266"/>
      <c r="WPJ31" s="1266"/>
      <c r="WPK31" s="1266"/>
      <c r="WPL31" s="1266"/>
      <c r="WPM31" s="1266"/>
      <c r="WPN31" s="1266"/>
      <c r="WPO31" s="1266"/>
      <c r="WPP31" s="1266"/>
      <c r="WPQ31" s="1266"/>
      <c r="WPR31" s="1266"/>
      <c r="WPS31" s="1266"/>
      <c r="WPT31" s="1266"/>
      <c r="WPU31" s="1266"/>
      <c r="WPV31" s="1266"/>
      <c r="WPW31" s="1266"/>
      <c r="WPX31" s="1266"/>
      <c r="WPY31" s="1266"/>
      <c r="WPZ31" s="1266"/>
      <c r="WQA31" s="1266"/>
      <c r="WQB31" s="1266"/>
      <c r="WQC31" s="1266"/>
      <c r="WQD31" s="1266"/>
      <c r="WQE31" s="1266"/>
      <c r="WQF31" s="1266"/>
      <c r="WQG31" s="1266"/>
      <c r="WQH31" s="1266"/>
      <c r="WQI31" s="1266"/>
      <c r="WQJ31" s="1266"/>
      <c r="WQK31" s="1266"/>
      <c r="WQL31" s="1266"/>
      <c r="WQM31" s="1266"/>
      <c r="WQN31" s="1266"/>
      <c r="WQO31" s="1266"/>
      <c r="WQP31" s="1266"/>
      <c r="WQQ31" s="1266"/>
      <c r="WQR31" s="1266"/>
      <c r="WQS31" s="1266"/>
      <c r="WQT31" s="1266"/>
      <c r="WQU31" s="1266"/>
      <c r="WQV31" s="1266"/>
      <c r="WQW31" s="1266"/>
      <c r="WQX31" s="1266"/>
      <c r="WQY31" s="1266"/>
      <c r="WQZ31" s="1266"/>
      <c r="WRA31" s="1266"/>
      <c r="WRB31" s="1266"/>
      <c r="WRC31" s="1266"/>
      <c r="WRD31" s="1266"/>
      <c r="WRE31" s="1266"/>
      <c r="WRF31" s="1266"/>
      <c r="WRG31" s="1266"/>
      <c r="WRH31" s="1266"/>
      <c r="WRI31" s="1266"/>
      <c r="WRJ31" s="1266"/>
      <c r="WRK31" s="1266"/>
      <c r="WRL31" s="1266"/>
      <c r="WRM31" s="1266"/>
      <c r="WRN31" s="1266"/>
      <c r="WRO31" s="1266"/>
      <c r="WRP31" s="1266"/>
      <c r="WRQ31" s="1266"/>
      <c r="WRR31" s="1266"/>
      <c r="WRS31" s="1266"/>
      <c r="WRT31" s="1266"/>
      <c r="WRU31" s="1266"/>
      <c r="WRV31" s="1266"/>
      <c r="WRW31" s="1266"/>
      <c r="WRX31" s="1266"/>
      <c r="WRY31" s="1266"/>
      <c r="WRZ31" s="1266"/>
      <c r="WSA31" s="1266"/>
      <c r="WSB31" s="1266"/>
      <c r="WSC31" s="1266"/>
      <c r="WSD31" s="1266"/>
      <c r="WSE31" s="1266"/>
      <c r="WSF31" s="1266"/>
      <c r="WSG31" s="1266"/>
      <c r="WSH31" s="1266"/>
      <c r="WSI31" s="1266"/>
      <c r="WSJ31" s="1266"/>
      <c r="WSK31" s="1266"/>
      <c r="WSL31" s="1266"/>
      <c r="WSM31" s="1266"/>
      <c r="WSN31" s="1266"/>
      <c r="WSO31" s="1266"/>
      <c r="WSP31" s="1266"/>
      <c r="WSQ31" s="1266"/>
      <c r="WSR31" s="1266"/>
      <c r="WSS31" s="1266"/>
      <c r="WST31" s="1266"/>
      <c r="WSU31" s="1266"/>
      <c r="WSV31" s="1266"/>
      <c r="WSW31" s="1266"/>
      <c r="WSX31" s="1266"/>
      <c r="WSY31" s="1266"/>
      <c r="WSZ31" s="1266"/>
      <c r="WTA31" s="1266"/>
      <c r="WTB31" s="1266"/>
      <c r="WTC31" s="1266"/>
      <c r="WTD31" s="1266"/>
      <c r="WTE31" s="1266"/>
      <c r="WTF31" s="1266"/>
      <c r="WTG31" s="1266"/>
      <c r="WTH31" s="1266"/>
      <c r="WTI31" s="1266"/>
      <c r="WTJ31" s="1266"/>
      <c r="WTK31" s="1266"/>
      <c r="WTL31" s="1266"/>
      <c r="WTM31" s="1266"/>
      <c r="WTN31" s="1266"/>
      <c r="WTO31" s="1266"/>
      <c r="WTP31" s="1266"/>
      <c r="WTQ31" s="1266"/>
      <c r="WTR31" s="1266"/>
      <c r="WTS31" s="1266"/>
      <c r="WTT31" s="1266"/>
      <c r="WTU31" s="1266"/>
      <c r="WTV31" s="1266"/>
      <c r="WTW31" s="1266"/>
      <c r="WTX31" s="1266"/>
      <c r="WTY31" s="1266"/>
      <c r="WTZ31" s="1266"/>
      <c r="WUA31" s="1266"/>
      <c r="WUB31" s="1266"/>
      <c r="WUC31" s="1266"/>
      <c r="WUD31" s="1266"/>
      <c r="WUE31" s="1266"/>
      <c r="WUF31" s="1266"/>
      <c r="WUG31" s="1266"/>
      <c r="WUH31" s="1266"/>
      <c r="WUI31" s="1266"/>
      <c r="WUJ31" s="1266"/>
      <c r="WUK31" s="1266"/>
      <c r="WUL31" s="1266"/>
      <c r="WUM31" s="1266"/>
      <c r="WUN31" s="1266"/>
      <c r="WUO31" s="1266"/>
      <c r="WUP31" s="1266"/>
      <c r="WUQ31" s="1266"/>
      <c r="WUR31" s="1266"/>
      <c r="WUS31" s="1266"/>
      <c r="WUT31" s="1266"/>
      <c r="WUU31" s="1266"/>
      <c r="WUV31" s="1266"/>
      <c r="WUW31" s="1266"/>
      <c r="WUX31" s="1266"/>
      <c r="WUY31" s="1266"/>
      <c r="WUZ31" s="1266"/>
      <c r="WVA31" s="1266"/>
      <c r="WVB31" s="1266"/>
      <c r="WVC31" s="1266"/>
      <c r="WVD31" s="1266"/>
      <c r="WVE31" s="1266"/>
      <c r="WVF31" s="1266"/>
      <c r="WVG31" s="1266"/>
      <c r="WVH31" s="1266"/>
      <c r="WVI31" s="1266"/>
      <c r="WVJ31" s="1266"/>
      <c r="WVK31" s="1266"/>
      <c r="WVL31" s="1266"/>
      <c r="WVM31" s="1266"/>
      <c r="WVN31" s="1266"/>
      <c r="WVO31" s="1266"/>
      <c r="WVP31" s="1266"/>
      <c r="WVQ31" s="1266"/>
      <c r="WVR31" s="1266"/>
      <c r="WVS31" s="1266"/>
      <c r="WVT31" s="1266"/>
      <c r="WVU31" s="1266"/>
      <c r="WVV31" s="1266"/>
      <c r="WVW31" s="1266"/>
      <c r="WVX31" s="1266"/>
      <c r="WVY31" s="1266"/>
      <c r="WVZ31" s="1266"/>
      <c r="WWA31" s="1266"/>
      <c r="WWB31" s="1266"/>
      <c r="WWC31" s="1266"/>
      <c r="WWD31" s="1266"/>
      <c r="WWE31" s="1266"/>
      <c r="WWF31" s="1266"/>
      <c r="WWG31" s="1266"/>
      <c r="WWH31" s="1266"/>
      <c r="WWI31" s="1266"/>
      <c r="WWJ31" s="1266"/>
      <c r="WWK31" s="1266"/>
      <c r="WWL31" s="1266"/>
      <c r="WWM31" s="1266"/>
      <c r="WWN31" s="1266"/>
      <c r="WWO31" s="1266"/>
      <c r="WWP31" s="1266"/>
      <c r="WWQ31" s="1266"/>
      <c r="WWR31" s="1266"/>
      <c r="WWS31" s="1266"/>
      <c r="WWT31" s="1266"/>
      <c r="WWU31" s="1266"/>
      <c r="WWV31" s="1266"/>
      <c r="WWW31" s="1266"/>
      <c r="WWX31" s="1266"/>
      <c r="WWY31" s="1266"/>
      <c r="WWZ31" s="1266"/>
      <c r="WXA31" s="1266"/>
      <c r="WXB31" s="1266"/>
      <c r="WXC31" s="1266"/>
      <c r="WXD31" s="1266"/>
      <c r="WXE31" s="1266"/>
      <c r="WXF31" s="1266"/>
      <c r="WXG31" s="1266"/>
      <c r="WXH31" s="1266"/>
      <c r="WXI31" s="1266"/>
      <c r="WXJ31" s="1266"/>
      <c r="WXK31" s="1266"/>
      <c r="WXL31" s="1266"/>
      <c r="WXM31" s="1266"/>
      <c r="WXN31" s="1266"/>
      <c r="WXO31" s="1266"/>
      <c r="WXP31" s="1266"/>
      <c r="WXQ31" s="1266"/>
      <c r="WXR31" s="1266"/>
      <c r="WXS31" s="1266"/>
      <c r="WXT31" s="1266"/>
      <c r="WXU31" s="1266"/>
      <c r="WXV31" s="1266"/>
      <c r="WXW31" s="1266"/>
      <c r="WXX31" s="1266"/>
      <c r="WXY31" s="1266"/>
      <c r="WXZ31" s="1266"/>
      <c r="WYA31" s="1266"/>
      <c r="WYB31" s="1266"/>
      <c r="WYC31" s="1266"/>
      <c r="WYD31" s="1266"/>
      <c r="WYE31" s="1266"/>
      <c r="WYF31" s="1266"/>
      <c r="WYG31" s="1266"/>
      <c r="WYH31" s="1266"/>
      <c r="WYI31" s="1266"/>
      <c r="WYJ31" s="1266"/>
      <c r="WYK31" s="1266"/>
      <c r="WYL31" s="1266"/>
      <c r="WYM31" s="1266"/>
      <c r="WYN31" s="1266"/>
      <c r="WYO31" s="1266"/>
      <c r="WYP31" s="1266"/>
      <c r="WYQ31" s="1266"/>
      <c r="WYR31" s="1266"/>
      <c r="WYS31" s="1266"/>
      <c r="WYT31" s="1266"/>
      <c r="WYU31" s="1266"/>
      <c r="WYV31" s="1266"/>
      <c r="WYW31" s="1266"/>
      <c r="WYX31" s="1266"/>
      <c r="WYY31" s="1266"/>
      <c r="WYZ31" s="1266"/>
      <c r="WZA31" s="1266"/>
      <c r="WZB31" s="1266"/>
      <c r="WZC31" s="1266"/>
      <c r="WZD31" s="1266"/>
      <c r="WZE31" s="1266"/>
      <c r="WZF31" s="1266"/>
      <c r="WZG31" s="1266"/>
      <c r="WZH31" s="1266"/>
      <c r="WZI31" s="1266"/>
      <c r="WZJ31" s="1266"/>
      <c r="WZK31" s="1266"/>
      <c r="WZL31" s="1266"/>
      <c r="WZM31" s="1266"/>
      <c r="WZN31" s="1266"/>
      <c r="WZO31" s="1266"/>
      <c r="WZP31" s="1266"/>
      <c r="WZQ31" s="1266"/>
      <c r="WZR31" s="1266"/>
      <c r="WZS31" s="1266"/>
      <c r="WZT31" s="1266"/>
      <c r="WZU31" s="1266"/>
      <c r="WZV31" s="1266"/>
      <c r="WZW31" s="1266"/>
      <c r="WZX31" s="1266"/>
      <c r="WZY31" s="1266"/>
      <c r="WZZ31" s="1266"/>
      <c r="XAA31" s="1266"/>
      <c r="XAB31" s="1266"/>
      <c r="XAC31" s="1266"/>
      <c r="XAD31" s="1266"/>
      <c r="XAE31" s="1266"/>
      <c r="XAF31" s="1266"/>
      <c r="XAG31" s="1266"/>
      <c r="XAH31" s="1266"/>
      <c r="XAI31" s="1266"/>
      <c r="XAJ31" s="1266"/>
      <c r="XAK31" s="1266"/>
      <c r="XAL31" s="1266"/>
      <c r="XAM31" s="1266"/>
      <c r="XAN31" s="1266"/>
      <c r="XAO31" s="1266"/>
      <c r="XAP31" s="1266"/>
      <c r="XAQ31" s="1266"/>
      <c r="XAR31" s="1266"/>
      <c r="XAS31" s="1266"/>
      <c r="XAT31" s="1266"/>
      <c r="XAU31" s="1266"/>
      <c r="XAV31" s="1266"/>
      <c r="XAW31" s="1266"/>
      <c r="XAX31" s="1266"/>
      <c r="XAY31" s="1266"/>
      <c r="XAZ31" s="1266"/>
      <c r="XBA31" s="1266"/>
      <c r="XBB31" s="1266"/>
      <c r="XBC31" s="1266"/>
      <c r="XBD31" s="1266"/>
      <c r="XBE31" s="1266"/>
      <c r="XBF31" s="1266"/>
      <c r="XBG31" s="1266"/>
      <c r="XBH31" s="1266"/>
      <c r="XBI31" s="1266"/>
      <c r="XBJ31" s="1266"/>
      <c r="XBK31" s="1266"/>
      <c r="XBL31" s="1266"/>
      <c r="XBM31" s="1266"/>
      <c r="XBN31" s="1266"/>
      <c r="XBO31" s="1266"/>
      <c r="XBP31" s="1266"/>
      <c r="XBQ31" s="1266"/>
      <c r="XBR31" s="1266"/>
      <c r="XBS31" s="1266"/>
      <c r="XBT31" s="1266"/>
      <c r="XBU31" s="1266"/>
      <c r="XBV31" s="1266"/>
      <c r="XBW31" s="1266"/>
      <c r="XBX31" s="1266"/>
      <c r="XBY31" s="1266"/>
      <c r="XBZ31" s="1266"/>
      <c r="XCA31" s="1266"/>
      <c r="XCB31" s="1266"/>
      <c r="XCC31" s="1266"/>
      <c r="XCD31" s="1266"/>
      <c r="XCE31" s="1266"/>
      <c r="XCF31" s="1266"/>
      <c r="XCG31" s="1266"/>
      <c r="XCH31" s="1266"/>
      <c r="XCI31" s="1266"/>
      <c r="XCJ31" s="1266"/>
      <c r="XCK31" s="1266"/>
      <c r="XCL31" s="1266"/>
      <c r="XCM31" s="1266"/>
      <c r="XCN31" s="1266"/>
      <c r="XCO31" s="1266"/>
      <c r="XCP31" s="1266"/>
      <c r="XCQ31" s="1266"/>
      <c r="XCR31" s="1266"/>
      <c r="XCS31" s="1266"/>
      <c r="XCT31" s="1266"/>
      <c r="XCU31" s="1266"/>
      <c r="XCV31" s="1266"/>
      <c r="XCW31" s="1266"/>
      <c r="XCX31" s="1266"/>
      <c r="XCY31" s="1266"/>
      <c r="XCZ31" s="1266"/>
      <c r="XDA31" s="1266"/>
      <c r="XDB31" s="1266"/>
      <c r="XDC31" s="1266"/>
      <c r="XDD31" s="1266"/>
      <c r="XDE31" s="1266"/>
      <c r="XDF31" s="1266"/>
      <c r="XDG31" s="1266"/>
      <c r="XDH31" s="1266"/>
      <c r="XDI31" s="1266"/>
      <c r="XDJ31" s="1266"/>
      <c r="XDK31" s="1266"/>
      <c r="XDL31" s="1266"/>
      <c r="XDM31" s="1266"/>
      <c r="XDN31" s="1266"/>
      <c r="XDO31" s="1266"/>
      <c r="XDP31" s="1266"/>
      <c r="XDQ31" s="1266"/>
      <c r="XDR31" s="1266"/>
      <c r="XDS31" s="1266"/>
      <c r="XDT31" s="1266"/>
      <c r="XDU31" s="1266"/>
      <c r="XDV31" s="1266"/>
      <c r="XDW31" s="1266"/>
      <c r="XDX31" s="1266"/>
      <c r="XDY31" s="1266"/>
      <c r="XDZ31" s="1266"/>
      <c r="XEA31" s="1266"/>
      <c r="XEB31" s="1266"/>
      <c r="XEC31" s="1266"/>
      <c r="XED31" s="1266"/>
      <c r="XEE31" s="1266"/>
      <c r="XEF31" s="1266"/>
      <c r="XEG31" s="1266"/>
      <c r="XEH31" s="1266"/>
      <c r="XEI31" s="1266"/>
      <c r="XEJ31" s="1266"/>
      <c r="XEK31" s="1266"/>
      <c r="XEL31" s="1266"/>
      <c r="XEM31" s="1266"/>
      <c r="XEN31" s="1266"/>
      <c r="XEO31" s="1266"/>
      <c r="XEP31" s="1266"/>
      <c r="XEQ31" s="1266"/>
      <c r="XER31" s="1266"/>
      <c r="XES31" s="1266"/>
      <c r="XET31" s="1266"/>
      <c r="XEU31" s="1266"/>
      <c r="XEV31" s="1266"/>
      <c r="XEW31" s="1266"/>
      <c r="XEX31" s="1266"/>
      <c r="XEY31" s="1266"/>
      <c r="XEZ31" s="1266"/>
      <c r="XFA31" s="1266"/>
      <c r="XFB31" s="1266"/>
      <c r="XFC31" s="1266"/>
      <c r="XFD31" s="1266"/>
    </row>
    <row r="32" spans="1:16384" ht="25.5" customHeight="1">
      <c r="A32" s="1263" t="s">
        <v>167</v>
      </c>
      <c r="B32" s="1263"/>
      <c r="C32" s="1264" t="e">
        <f>SUM(C23:D31)</f>
        <v>#REF!</v>
      </c>
      <c r="D32" s="1265"/>
      <c r="E32" s="1259"/>
      <c r="F32" s="1259"/>
      <c r="G32" s="1259"/>
      <c r="H32" s="1259"/>
      <c r="I32" s="1259"/>
      <c r="J32" s="1259"/>
      <c r="K32" s="1259"/>
      <c r="L32" s="1259"/>
      <c r="M32" s="1259"/>
      <c r="N32" s="1259"/>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c r="CB32" s="1259"/>
      <c r="CC32" s="1259"/>
      <c r="CD32" s="1259"/>
      <c r="CE32" s="1259"/>
      <c r="CF32" s="1259"/>
      <c r="CG32" s="1259"/>
      <c r="CH32" s="1259"/>
      <c r="CI32" s="1259"/>
      <c r="CJ32" s="1259"/>
      <c r="CK32" s="1259"/>
      <c r="CL32" s="1259"/>
      <c r="CM32" s="1259"/>
      <c r="CN32" s="1259"/>
      <c r="CO32" s="1259"/>
      <c r="CP32" s="1259"/>
      <c r="CQ32" s="1259"/>
      <c r="CR32" s="1259"/>
      <c r="CS32" s="1259"/>
      <c r="CT32" s="1259"/>
      <c r="CU32" s="1259"/>
      <c r="CV32" s="1259"/>
      <c r="CW32" s="1259"/>
      <c r="CX32" s="1259"/>
      <c r="CY32" s="1259"/>
      <c r="CZ32" s="1259"/>
      <c r="DA32" s="1259"/>
      <c r="DB32" s="1259"/>
      <c r="DC32" s="1259"/>
      <c r="DD32" s="1259"/>
      <c r="DE32" s="1259"/>
      <c r="DF32" s="1259"/>
      <c r="DG32" s="1259"/>
      <c r="DH32" s="1259"/>
      <c r="DI32" s="1259"/>
      <c r="DJ32" s="1259"/>
      <c r="DK32" s="1259"/>
      <c r="DL32" s="1259"/>
      <c r="DM32" s="1259"/>
      <c r="DN32" s="1259"/>
      <c r="DO32" s="1259"/>
      <c r="DP32" s="1259"/>
      <c r="DQ32" s="1259"/>
      <c r="DR32" s="1259"/>
      <c r="DS32" s="1259"/>
      <c r="DT32" s="1259"/>
      <c r="DU32" s="1259"/>
      <c r="DV32" s="1259"/>
      <c r="DW32" s="1259"/>
      <c r="DX32" s="1259"/>
      <c r="DY32" s="1259"/>
      <c r="DZ32" s="1259"/>
      <c r="EA32" s="1259"/>
      <c r="EB32" s="1259"/>
      <c r="EC32" s="1259"/>
      <c r="ED32" s="1259"/>
      <c r="EE32" s="1259"/>
      <c r="EF32" s="1259"/>
      <c r="EG32" s="1259"/>
      <c r="EH32" s="1259"/>
      <c r="EI32" s="1259"/>
      <c r="EJ32" s="1259"/>
      <c r="EK32" s="1259"/>
      <c r="EL32" s="1259"/>
      <c r="EM32" s="1259"/>
      <c r="EN32" s="1259"/>
      <c r="EO32" s="1259"/>
      <c r="EP32" s="1259"/>
      <c r="EQ32" s="1259"/>
      <c r="ER32" s="1259"/>
      <c r="ES32" s="1259"/>
      <c r="ET32" s="1259"/>
      <c r="EU32" s="1259"/>
      <c r="EV32" s="1259"/>
      <c r="EW32" s="1259"/>
      <c r="EX32" s="1259"/>
      <c r="EY32" s="1259"/>
      <c r="EZ32" s="1259"/>
      <c r="FA32" s="1259"/>
      <c r="FB32" s="1259"/>
      <c r="FC32" s="1259"/>
      <c r="FD32" s="1259"/>
      <c r="FE32" s="1259"/>
      <c r="FF32" s="1259"/>
      <c r="FG32" s="1259"/>
      <c r="FH32" s="1259"/>
      <c r="FI32" s="1259"/>
      <c r="FJ32" s="1259"/>
      <c r="FK32" s="1259"/>
      <c r="FL32" s="1259"/>
      <c r="FM32" s="1259"/>
      <c r="FN32" s="1259"/>
      <c r="FO32" s="1259"/>
      <c r="FP32" s="1259"/>
      <c r="FQ32" s="1259"/>
      <c r="FR32" s="1259"/>
      <c r="FS32" s="1259"/>
      <c r="FT32" s="1259"/>
      <c r="FU32" s="1259"/>
      <c r="FV32" s="1259"/>
      <c r="FW32" s="1259"/>
      <c r="FX32" s="1259"/>
      <c r="FY32" s="1259"/>
      <c r="FZ32" s="1259"/>
      <c r="GA32" s="1259"/>
      <c r="GB32" s="1259"/>
      <c r="GC32" s="1259"/>
      <c r="GD32" s="1259"/>
      <c r="GE32" s="1259"/>
      <c r="GF32" s="1259"/>
      <c r="GG32" s="1259"/>
      <c r="GH32" s="1259"/>
      <c r="GI32" s="1259"/>
      <c r="GJ32" s="1259"/>
      <c r="GK32" s="1259"/>
      <c r="GL32" s="1259"/>
      <c r="GM32" s="1259"/>
      <c r="GN32" s="1259"/>
      <c r="GO32" s="1259"/>
      <c r="GP32" s="1259"/>
      <c r="GQ32" s="1259"/>
      <c r="GR32" s="1259"/>
      <c r="GS32" s="1259"/>
      <c r="GT32" s="1259"/>
      <c r="GU32" s="1259"/>
      <c r="GV32" s="1259"/>
      <c r="GW32" s="1259"/>
      <c r="GX32" s="1259"/>
      <c r="GY32" s="1259"/>
      <c r="GZ32" s="1259"/>
      <c r="HA32" s="1259"/>
      <c r="HB32" s="1259"/>
      <c r="HC32" s="1259"/>
      <c r="HD32" s="1259"/>
      <c r="HE32" s="1259"/>
      <c r="HF32" s="1259"/>
      <c r="HG32" s="1259"/>
      <c r="HH32" s="1259"/>
      <c r="HI32" s="1259"/>
      <c r="HJ32" s="1259"/>
      <c r="HK32" s="1259"/>
      <c r="HL32" s="1259"/>
      <c r="HM32" s="1259"/>
      <c r="HN32" s="1259"/>
      <c r="HO32" s="1259"/>
      <c r="HP32" s="1259"/>
      <c r="HQ32" s="1259"/>
      <c r="HR32" s="1259"/>
      <c r="HS32" s="1259"/>
      <c r="HT32" s="1259"/>
      <c r="HU32" s="1259"/>
      <c r="HV32" s="1259"/>
      <c r="HW32" s="1259"/>
      <c r="HX32" s="1259"/>
      <c r="HY32" s="1259"/>
      <c r="HZ32" s="1259"/>
      <c r="IA32" s="1259"/>
      <c r="IB32" s="1259"/>
      <c r="IC32" s="1259"/>
      <c r="ID32" s="1259"/>
      <c r="IE32" s="1259"/>
      <c r="IF32" s="1259"/>
      <c r="IG32" s="1259"/>
      <c r="IH32" s="1259"/>
      <c r="II32" s="1259"/>
      <c r="IJ32" s="1259"/>
      <c r="IK32" s="1259"/>
      <c r="IL32" s="1259"/>
      <c r="IM32" s="1259"/>
      <c r="IN32" s="1259"/>
      <c r="IO32" s="1259"/>
      <c r="IP32" s="1259"/>
      <c r="IQ32" s="1259"/>
      <c r="IR32" s="1259"/>
      <c r="IS32" s="1259"/>
      <c r="IT32" s="1259"/>
      <c r="IU32" s="1259"/>
      <c r="IV32" s="1259"/>
      <c r="IW32" s="1259"/>
      <c r="IX32" s="1259"/>
      <c r="IY32" s="1259"/>
      <c r="IZ32" s="1259"/>
      <c r="JA32" s="1259"/>
      <c r="JB32" s="1259"/>
      <c r="JC32" s="1259"/>
      <c r="JD32" s="1259"/>
      <c r="JE32" s="1259"/>
      <c r="JF32" s="1259"/>
      <c r="JG32" s="1259"/>
      <c r="JH32" s="1259"/>
      <c r="JI32" s="1259"/>
      <c r="JJ32" s="1259"/>
      <c r="JK32" s="1259"/>
      <c r="JL32" s="1259"/>
      <c r="JM32" s="1259"/>
      <c r="JN32" s="1259"/>
      <c r="JO32" s="1259"/>
      <c r="JP32" s="1259"/>
      <c r="JQ32" s="1259"/>
      <c r="JR32" s="1259"/>
      <c r="JS32" s="1259"/>
      <c r="JT32" s="1259"/>
      <c r="JU32" s="1259"/>
      <c r="JV32" s="1259"/>
      <c r="JW32" s="1259"/>
      <c r="JX32" s="1259"/>
      <c r="JY32" s="1259"/>
      <c r="JZ32" s="1259"/>
      <c r="KA32" s="1259"/>
      <c r="KB32" s="1259"/>
      <c r="KC32" s="1259"/>
      <c r="KD32" s="1259"/>
      <c r="KE32" s="1259"/>
      <c r="KF32" s="1259"/>
      <c r="KG32" s="1259"/>
      <c r="KH32" s="1259"/>
      <c r="KI32" s="1259"/>
      <c r="KJ32" s="1259"/>
      <c r="KK32" s="1259"/>
      <c r="KL32" s="1259"/>
      <c r="KM32" s="1259"/>
      <c r="KN32" s="1259"/>
      <c r="KO32" s="1259"/>
      <c r="KP32" s="1259"/>
      <c r="KQ32" s="1259"/>
      <c r="KR32" s="1259"/>
      <c r="KS32" s="1259"/>
      <c r="KT32" s="1259"/>
      <c r="KU32" s="1259"/>
      <c r="KV32" s="1259"/>
      <c r="KW32" s="1259"/>
      <c r="KX32" s="1259"/>
      <c r="KY32" s="1259"/>
      <c r="KZ32" s="1259"/>
      <c r="LA32" s="1259"/>
      <c r="LB32" s="1259"/>
      <c r="LC32" s="1259"/>
      <c r="LD32" s="1259"/>
      <c r="LE32" s="1259"/>
      <c r="LF32" s="1259"/>
      <c r="LG32" s="1259"/>
      <c r="LH32" s="1259"/>
      <c r="LI32" s="1259"/>
      <c r="LJ32" s="1259"/>
      <c r="LK32" s="1259"/>
      <c r="LL32" s="1259"/>
      <c r="LM32" s="1259"/>
      <c r="LN32" s="1259"/>
      <c r="LO32" s="1259"/>
      <c r="LP32" s="1259"/>
      <c r="LQ32" s="1259"/>
      <c r="LR32" s="1259"/>
      <c r="LS32" s="1259"/>
      <c r="LT32" s="1259"/>
      <c r="LU32" s="1259"/>
      <c r="LV32" s="1259"/>
      <c r="LW32" s="1259"/>
      <c r="LX32" s="1259"/>
      <c r="LY32" s="1259"/>
      <c r="LZ32" s="1259"/>
      <c r="MA32" s="1259"/>
      <c r="MB32" s="1259"/>
      <c r="MC32" s="1259"/>
      <c r="MD32" s="1259"/>
      <c r="ME32" s="1259"/>
      <c r="MF32" s="1259"/>
      <c r="MG32" s="1259"/>
      <c r="MH32" s="1259"/>
      <c r="MI32" s="1259"/>
      <c r="MJ32" s="1259"/>
      <c r="MK32" s="1259"/>
      <c r="ML32" s="1259"/>
      <c r="MM32" s="1259"/>
      <c r="MN32" s="1259"/>
      <c r="MO32" s="1259"/>
      <c r="MP32" s="1259"/>
      <c r="MQ32" s="1259"/>
      <c r="MR32" s="1259"/>
      <c r="MS32" s="1259"/>
      <c r="MT32" s="1259"/>
      <c r="MU32" s="1259"/>
      <c r="MV32" s="1259"/>
      <c r="MW32" s="1259"/>
      <c r="MX32" s="1259"/>
      <c r="MY32" s="1259"/>
      <c r="MZ32" s="1259"/>
      <c r="NA32" s="1259"/>
      <c r="NB32" s="1259"/>
      <c r="NC32" s="1259"/>
      <c r="ND32" s="1259"/>
      <c r="NE32" s="1259"/>
      <c r="NF32" s="1259"/>
      <c r="NG32" s="1259"/>
      <c r="NH32" s="1259"/>
      <c r="NI32" s="1259"/>
      <c r="NJ32" s="1259"/>
      <c r="NK32" s="1259"/>
      <c r="NL32" s="1259"/>
      <c r="NM32" s="1259"/>
      <c r="NN32" s="1259"/>
      <c r="NO32" s="1259"/>
      <c r="NP32" s="1259"/>
      <c r="NQ32" s="1259"/>
      <c r="NR32" s="1259"/>
      <c r="NS32" s="1259"/>
      <c r="NT32" s="1259"/>
      <c r="NU32" s="1259"/>
      <c r="NV32" s="1259"/>
      <c r="NW32" s="1259"/>
      <c r="NX32" s="1259"/>
      <c r="NY32" s="1259"/>
      <c r="NZ32" s="1259"/>
      <c r="OA32" s="1259"/>
      <c r="OB32" s="1259"/>
      <c r="OC32" s="1259"/>
      <c r="OD32" s="1259"/>
      <c r="OE32" s="1259"/>
      <c r="OF32" s="1259"/>
      <c r="OG32" s="1259"/>
      <c r="OH32" s="1259"/>
      <c r="OI32" s="1259"/>
      <c r="OJ32" s="1259"/>
      <c r="OK32" s="1259"/>
      <c r="OL32" s="1259"/>
      <c r="OM32" s="1259"/>
      <c r="ON32" s="1259"/>
      <c r="OO32" s="1259"/>
      <c r="OP32" s="1259"/>
      <c r="OQ32" s="1259"/>
      <c r="OR32" s="1259"/>
      <c r="OS32" s="1259"/>
      <c r="OT32" s="1259"/>
      <c r="OU32" s="1259"/>
      <c r="OV32" s="1259"/>
      <c r="OW32" s="1259"/>
      <c r="OX32" s="1259"/>
      <c r="OY32" s="1259"/>
      <c r="OZ32" s="1259"/>
      <c r="PA32" s="1259"/>
      <c r="PB32" s="1259"/>
      <c r="PC32" s="1259"/>
      <c r="PD32" s="1259"/>
      <c r="PE32" s="1259"/>
      <c r="PF32" s="1259"/>
      <c r="PG32" s="1259"/>
      <c r="PH32" s="1259"/>
      <c r="PI32" s="1259"/>
      <c r="PJ32" s="1259"/>
      <c r="PK32" s="1259"/>
      <c r="PL32" s="1259"/>
      <c r="PM32" s="1259"/>
      <c r="PN32" s="1259"/>
      <c r="PO32" s="1259"/>
      <c r="PP32" s="1259"/>
      <c r="PQ32" s="1259"/>
      <c r="PR32" s="1259"/>
      <c r="PS32" s="1259"/>
      <c r="PT32" s="1259"/>
      <c r="PU32" s="1259"/>
      <c r="PV32" s="1259"/>
      <c r="PW32" s="1259"/>
      <c r="PX32" s="1259"/>
      <c r="PY32" s="1259"/>
      <c r="PZ32" s="1259"/>
      <c r="QA32" s="1259"/>
      <c r="QB32" s="1259"/>
      <c r="QC32" s="1259"/>
      <c r="QD32" s="1259"/>
      <c r="QE32" s="1259"/>
      <c r="QF32" s="1259"/>
      <c r="QG32" s="1259"/>
      <c r="QH32" s="1259"/>
      <c r="QI32" s="1259"/>
      <c r="QJ32" s="1259"/>
      <c r="QK32" s="1259"/>
      <c r="QL32" s="1259"/>
      <c r="QM32" s="1259"/>
      <c r="QN32" s="1259"/>
      <c r="QO32" s="1259"/>
      <c r="QP32" s="1259"/>
      <c r="QQ32" s="1259"/>
      <c r="QR32" s="1259"/>
      <c r="QS32" s="1259"/>
      <c r="QT32" s="1259"/>
      <c r="QU32" s="1259"/>
      <c r="QV32" s="1259"/>
      <c r="QW32" s="1259"/>
      <c r="QX32" s="1259"/>
      <c r="QY32" s="1259"/>
      <c r="QZ32" s="1259"/>
      <c r="RA32" s="1259"/>
      <c r="RB32" s="1259"/>
      <c r="RC32" s="1259"/>
      <c r="RD32" s="1259"/>
      <c r="RE32" s="1259"/>
      <c r="RF32" s="1259"/>
      <c r="RG32" s="1259"/>
      <c r="RH32" s="1259"/>
      <c r="RI32" s="1259"/>
      <c r="RJ32" s="1259"/>
      <c r="RK32" s="1259"/>
      <c r="RL32" s="1259"/>
      <c r="RM32" s="1259"/>
      <c r="RN32" s="1259"/>
      <c r="RO32" s="1259"/>
      <c r="RP32" s="1259"/>
      <c r="RQ32" s="1259"/>
      <c r="RR32" s="1259"/>
      <c r="RS32" s="1259"/>
      <c r="RT32" s="1259"/>
      <c r="RU32" s="1259"/>
      <c r="RV32" s="1259"/>
      <c r="RW32" s="1259"/>
      <c r="RX32" s="1259"/>
      <c r="RY32" s="1259"/>
      <c r="RZ32" s="1259"/>
      <c r="SA32" s="1259"/>
      <c r="SB32" s="1259"/>
      <c r="SC32" s="1259"/>
      <c r="SD32" s="1259"/>
      <c r="SE32" s="1259"/>
      <c r="SF32" s="1259"/>
      <c r="SG32" s="1259"/>
      <c r="SH32" s="1259"/>
      <c r="SI32" s="1259"/>
      <c r="SJ32" s="1259"/>
      <c r="SK32" s="1259"/>
      <c r="SL32" s="1259"/>
      <c r="SM32" s="1259"/>
      <c r="SN32" s="1259"/>
      <c r="SO32" s="1259"/>
      <c r="SP32" s="1259"/>
      <c r="SQ32" s="1259"/>
      <c r="SR32" s="1259"/>
      <c r="SS32" s="1259"/>
      <c r="ST32" s="1259"/>
      <c r="SU32" s="1259"/>
      <c r="SV32" s="1259"/>
      <c r="SW32" s="1259"/>
      <c r="SX32" s="1259"/>
      <c r="SY32" s="1259"/>
      <c r="SZ32" s="1259"/>
      <c r="TA32" s="1259"/>
      <c r="TB32" s="1259"/>
      <c r="TC32" s="1259"/>
      <c r="TD32" s="1259"/>
      <c r="TE32" s="1259"/>
      <c r="TF32" s="1259"/>
      <c r="TG32" s="1259"/>
      <c r="TH32" s="1259"/>
      <c r="TI32" s="1259"/>
      <c r="TJ32" s="1259"/>
      <c r="TK32" s="1259"/>
      <c r="TL32" s="1259"/>
      <c r="TM32" s="1259"/>
      <c r="TN32" s="1259"/>
      <c r="TO32" s="1259"/>
      <c r="TP32" s="1259"/>
      <c r="TQ32" s="1259"/>
      <c r="TR32" s="1259"/>
      <c r="TS32" s="1259"/>
      <c r="TT32" s="1259"/>
      <c r="TU32" s="1259"/>
      <c r="TV32" s="1259"/>
      <c r="TW32" s="1259"/>
      <c r="TX32" s="1259"/>
      <c r="TY32" s="1259"/>
      <c r="TZ32" s="1259"/>
      <c r="UA32" s="1259"/>
      <c r="UB32" s="1259"/>
      <c r="UC32" s="1259"/>
      <c r="UD32" s="1259"/>
      <c r="UE32" s="1259"/>
      <c r="UF32" s="1259"/>
      <c r="UG32" s="1259"/>
      <c r="UH32" s="1259"/>
      <c r="UI32" s="1259"/>
      <c r="UJ32" s="1259"/>
      <c r="UK32" s="1259"/>
      <c r="UL32" s="1259"/>
      <c r="UM32" s="1259"/>
      <c r="UN32" s="1259"/>
      <c r="UO32" s="1259"/>
      <c r="UP32" s="1259"/>
      <c r="UQ32" s="1259"/>
      <c r="UR32" s="1259"/>
      <c r="US32" s="1259"/>
      <c r="UT32" s="1259"/>
      <c r="UU32" s="1259"/>
      <c r="UV32" s="1259"/>
      <c r="UW32" s="1259"/>
      <c r="UX32" s="1259"/>
      <c r="UY32" s="1259"/>
      <c r="UZ32" s="1259"/>
      <c r="VA32" s="1259"/>
      <c r="VB32" s="1259"/>
      <c r="VC32" s="1259"/>
      <c r="VD32" s="1259"/>
      <c r="VE32" s="1259"/>
      <c r="VF32" s="1259"/>
      <c r="VG32" s="1259"/>
      <c r="VH32" s="1259"/>
      <c r="VI32" s="1259"/>
      <c r="VJ32" s="1259"/>
      <c r="VK32" s="1259"/>
      <c r="VL32" s="1259"/>
      <c r="VM32" s="1259"/>
      <c r="VN32" s="1259"/>
      <c r="VO32" s="1259"/>
      <c r="VP32" s="1259"/>
      <c r="VQ32" s="1259"/>
      <c r="VR32" s="1259"/>
      <c r="VS32" s="1259"/>
      <c r="VT32" s="1259"/>
      <c r="VU32" s="1259"/>
      <c r="VV32" s="1259"/>
      <c r="VW32" s="1259"/>
      <c r="VX32" s="1259"/>
      <c r="VY32" s="1259"/>
      <c r="VZ32" s="1259"/>
      <c r="WA32" s="1259"/>
      <c r="WB32" s="1259"/>
      <c r="WC32" s="1259"/>
      <c r="WD32" s="1259"/>
      <c r="WE32" s="1259"/>
      <c r="WF32" s="1259"/>
      <c r="WG32" s="1259"/>
      <c r="WH32" s="1259"/>
      <c r="WI32" s="1259"/>
      <c r="WJ32" s="1259"/>
      <c r="WK32" s="1259"/>
      <c r="WL32" s="1259"/>
      <c r="WM32" s="1259"/>
      <c r="WN32" s="1259"/>
      <c r="WO32" s="1259"/>
      <c r="WP32" s="1259"/>
      <c r="WQ32" s="1259"/>
      <c r="WR32" s="1259"/>
      <c r="WS32" s="1259"/>
      <c r="WT32" s="1259"/>
      <c r="WU32" s="1259"/>
      <c r="WV32" s="1259"/>
      <c r="WW32" s="1259"/>
      <c r="WX32" s="1259"/>
      <c r="WY32" s="1259"/>
      <c r="WZ32" s="1259"/>
      <c r="XA32" s="1259"/>
      <c r="XB32" s="1259"/>
      <c r="XC32" s="1259"/>
      <c r="XD32" s="1259"/>
      <c r="XE32" s="1259"/>
      <c r="XF32" s="1259"/>
      <c r="XG32" s="1259"/>
      <c r="XH32" s="1259"/>
      <c r="XI32" s="1259"/>
      <c r="XJ32" s="1259"/>
      <c r="XK32" s="1259"/>
      <c r="XL32" s="1259"/>
      <c r="XM32" s="1259"/>
      <c r="XN32" s="1259"/>
      <c r="XO32" s="1259"/>
      <c r="XP32" s="1259"/>
      <c r="XQ32" s="1259"/>
      <c r="XR32" s="1259"/>
      <c r="XS32" s="1259"/>
      <c r="XT32" s="1259"/>
      <c r="XU32" s="1259"/>
      <c r="XV32" s="1259"/>
      <c r="XW32" s="1259"/>
      <c r="XX32" s="1259"/>
      <c r="XY32" s="1259"/>
      <c r="XZ32" s="1259"/>
      <c r="YA32" s="1259"/>
      <c r="YB32" s="1259"/>
      <c r="YC32" s="1259"/>
      <c r="YD32" s="1259"/>
      <c r="YE32" s="1259"/>
      <c r="YF32" s="1259"/>
      <c r="YG32" s="1259"/>
      <c r="YH32" s="1259"/>
      <c r="YI32" s="1259"/>
      <c r="YJ32" s="1259"/>
      <c r="YK32" s="1259"/>
      <c r="YL32" s="1259"/>
      <c r="YM32" s="1259"/>
      <c r="YN32" s="1259"/>
      <c r="YO32" s="1259"/>
      <c r="YP32" s="1259"/>
      <c r="YQ32" s="1259"/>
      <c r="YR32" s="1259"/>
      <c r="YS32" s="1259"/>
      <c r="YT32" s="1259"/>
      <c r="YU32" s="1259"/>
      <c r="YV32" s="1259"/>
      <c r="YW32" s="1259"/>
      <c r="YX32" s="1259"/>
      <c r="YY32" s="1259"/>
      <c r="YZ32" s="1259"/>
      <c r="ZA32" s="1259"/>
      <c r="ZB32" s="1259"/>
      <c r="ZC32" s="1259"/>
      <c r="ZD32" s="1259"/>
      <c r="ZE32" s="1259"/>
      <c r="ZF32" s="1259"/>
      <c r="ZG32" s="1259"/>
      <c r="ZH32" s="1259"/>
      <c r="ZI32" s="1259"/>
      <c r="ZJ32" s="1259"/>
      <c r="ZK32" s="1259"/>
      <c r="ZL32" s="1259"/>
      <c r="ZM32" s="1259"/>
      <c r="ZN32" s="1259"/>
      <c r="ZO32" s="1259"/>
      <c r="ZP32" s="1259"/>
      <c r="ZQ32" s="1259"/>
      <c r="ZR32" s="1259"/>
      <c r="ZS32" s="1259"/>
      <c r="ZT32" s="1259"/>
      <c r="ZU32" s="1259"/>
      <c r="ZV32" s="1259"/>
      <c r="ZW32" s="1259"/>
      <c r="ZX32" s="1259"/>
      <c r="ZY32" s="1259"/>
      <c r="ZZ32" s="1259"/>
      <c r="AAA32" s="1259"/>
      <c r="AAB32" s="1259"/>
      <c r="AAC32" s="1259"/>
      <c r="AAD32" s="1259"/>
      <c r="AAE32" s="1259"/>
      <c r="AAF32" s="1259"/>
      <c r="AAG32" s="1259"/>
      <c r="AAH32" s="1259"/>
      <c r="AAI32" s="1259"/>
      <c r="AAJ32" s="1259"/>
      <c r="AAK32" s="1259"/>
      <c r="AAL32" s="1259"/>
      <c r="AAM32" s="1259"/>
      <c r="AAN32" s="1259"/>
      <c r="AAO32" s="1259"/>
      <c r="AAP32" s="1259"/>
      <c r="AAQ32" s="1259"/>
      <c r="AAR32" s="1259"/>
      <c r="AAS32" s="1259"/>
      <c r="AAT32" s="1259"/>
      <c r="AAU32" s="1259"/>
      <c r="AAV32" s="1259"/>
      <c r="AAW32" s="1259"/>
      <c r="AAX32" s="1259"/>
      <c r="AAY32" s="1259"/>
      <c r="AAZ32" s="1259"/>
      <c r="ABA32" s="1259"/>
      <c r="ABB32" s="1259"/>
      <c r="ABC32" s="1259"/>
      <c r="ABD32" s="1259"/>
      <c r="ABE32" s="1259"/>
      <c r="ABF32" s="1259"/>
      <c r="ABG32" s="1259"/>
      <c r="ABH32" s="1259"/>
      <c r="ABI32" s="1259"/>
      <c r="ABJ32" s="1259"/>
      <c r="ABK32" s="1259"/>
      <c r="ABL32" s="1259"/>
      <c r="ABM32" s="1259"/>
      <c r="ABN32" s="1259"/>
      <c r="ABO32" s="1259"/>
      <c r="ABP32" s="1259"/>
      <c r="ABQ32" s="1259"/>
      <c r="ABR32" s="1259"/>
      <c r="ABS32" s="1259"/>
      <c r="ABT32" s="1259"/>
      <c r="ABU32" s="1259"/>
      <c r="ABV32" s="1259"/>
      <c r="ABW32" s="1259"/>
      <c r="ABX32" s="1259"/>
      <c r="ABY32" s="1259"/>
      <c r="ABZ32" s="1259"/>
      <c r="ACA32" s="1259"/>
      <c r="ACB32" s="1259"/>
      <c r="ACC32" s="1259"/>
      <c r="ACD32" s="1259"/>
      <c r="ACE32" s="1259"/>
      <c r="ACF32" s="1259"/>
      <c r="ACG32" s="1259"/>
      <c r="ACH32" s="1259"/>
      <c r="ACI32" s="1259"/>
      <c r="ACJ32" s="1259"/>
      <c r="ACK32" s="1259"/>
      <c r="ACL32" s="1259"/>
      <c r="ACM32" s="1259"/>
      <c r="ACN32" s="1259"/>
      <c r="ACO32" s="1259"/>
      <c r="ACP32" s="1259"/>
      <c r="ACQ32" s="1259"/>
      <c r="ACR32" s="1259"/>
      <c r="ACS32" s="1259"/>
      <c r="ACT32" s="1259"/>
      <c r="ACU32" s="1259"/>
      <c r="ACV32" s="1259"/>
      <c r="ACW32" s="1259"/>
      <c r="ACX32" s="1259"/>
      <c r="ACY32" s="1259"/>
      <c r="ACZ32" s="1259"/>
      <c r="ADA32" s="1259"/>
      <c r="ADB32" s="1259"/>
      <c r="ADC32" s="1259"/>
      <c r="ADD32" s="1259"/>
      <c r="ADE32" s="1259"/>
      <c r="ADF32" s="1259"/>
      <c r="ADG32" s="1259"/>
      <c r="ADH32" s="1259"/>
      <c r="ADI32" s="1259"/>
      <c r="ADJ32" s="1259"/>
      <c r="ADK32" s="1259"/>
      <c r="ADL32" s="1259"/>
      <c r="ADM32" s="1259"/>
      <c r="ADN32" s="1259"/>
      <c r="ADO32" s="1259"/>
      <c r="ADP32" s="1259"/>
      <c r="ADQ32" s="1259"/>
      <c r="ADR32" s="1259"/>
      <c r="ADS32" s="1259"/>
      <c r="ADT32" s="1259"/>
      <c r="ADU32" s="1259"/>
      <c r="ADV32" s="1259"/>
      <c r="ADW32" s="1259"/>
      <c r="ADX32" s="1259"/>
      <c r="ADY32" s="1259"/>
      <c r="ADZ32" s="1259"/>
      <c r="AEA32" s="1259"/>
      <c r="AEB32" s="1259"/>
      <c r="AEC32" s="1259"/>
      <c r="AED32" s="1259"/>
      <c r="AEE32" s="1259"/>
      <c r="AEF32" s="1259"/>
      <c r="AEG32" s="1259"/>
      <c r="AEH32" s="1259"/>
      <c r="AEI32" s="1259"/>
      <c r="AEJ32" s="1259"/>
      <c r="AEK32" s="1259"/>
      <c r="AEL32" s="1259"/>
      <c r="AEM32" s="1259"/>
      <c r="AEN32" s="1259"/>
      <c r="AEO32" s="1259"/>
      <c r="AEP32" s="1259"/>
      <c r="AEQ32" s="1259"/>
      <c r="AER32" s="1259"/>
      <c r="AES32" s="1259"/>
      <c r="AET32" s="1259"/>
      <c r="AEU32" s="1259"/>
      <c r="AEV32" s="1259"/>
      <c r="AEW32" s="1259"/>
      <c r="AEX32" s="1259"/>
      <c r="AEY32" s="1259"/>
      <c r="AEZ32" s="1259"/>
      <c r="AFA32" s="1259"/>
      <c r="AFB32" s="1259"/>
      <c r="AFC32" s="1259"/>
      <c r="AFD32" s="1259"/>
      <c r="AFE32" s="1259"/>
      <c r="AFF32" s="1259"/>
      <c r="AFG32" s="1259"/>
      <c r="AFH32" s="1259"/>
      <c r="AFI32" s="1259"/>
      <c r="AFJ32" s="1259"/>
      <c r="AFK32" s="1259"/>
      <c r="AFL32" s="1259"/>
      <c r="AFM32" s="1259"/>
      <c r="AFN32" s="1259"/>
      <c r="AFO32" s="1259"/>
      <c r="AFP32" s="1259"/>
      <c r="AFQ32" s="1259"/>
      <c r="AFR32" s="1259"/>
      <c r="AFS32" s="1259"/>
      <c r="AFT32" s="1259"/>
      <c r="AFU32" s="1259"/>
      <c r="AFV32" s="1259"/>
      <c r="AFW32" s="1259"/>
      <c r="AFX32" s="1259"/>
      <c r="AFY32" s="1259"/>
      <c r="AFZ32" s="1259"/>
      <c r="AGA32" s="1259"/>
      <c r="AGB32" s="1259"/>
      <c r="AGC32" s="1259"/>
      <c r="AGD32" s="1259"/>
      <c r="AGE32" s="1259"/>
      <c r="AGF32" s="1259"/>
      <c r="AGG32" s="1259"/>
      <c r="AGH32" s="1259"/>
      <c r="AGI32" s="1259"/>
      <c r="AGJ32" s="1259"/>
      <c r="AGK32" s="1259"/>
      <c r="AGL32" s="1259"/>
      <c r="AGM32" s="1259"/>
      <c r="AGN32" s="1259"/>
      <c r="AGO32" s="1259"/>
      <c r="AGP32" s="1259"/>
      <c r="AGQ32" s="1259"/>
      <c r="AGR32" s="1259"/>
      <c r="AGS32" s="1259"/>
      <c r="AGT32" s="1259"/>
      <c r="AGU32" s="1259"/>
      <c r="AGV32" s="1259"/>
      <c r="AGW32" s="1259"/>
      <c r="AGX32" s="1259"/>
      <c r="AGY32" s="1259"/>
      <c r="AGZ32" s="1259"/>
      <c r="AHA32" s="1259"/>
      <c r="AHB32" s="1259"/>
      <c r="AHC32" s="1259"/>
      <c r="AHD32" s="1259"/>
      <c r="AHE32" s="1259"/>
      <c r="AHF32" s="1259"/>
      <c r="AHG32" s="1259"/>
      <c r="AHH32" s="1259"/>
      <c r="AHI32" s="1259"/>
      <c r="AHJ32" s="1259"/>
      <c r="AHK32" s="1259"/>
      <c r="AHL32" s="1259"/>
      <c r="AHM32" s="1259"/>
      <c r="AHN32" s="1259"/>
      <c r="AHO32" s="1259"/>
      <c r="AHP32" s="1259"/>
      <c r="AHQ32" s="1259"/>
      <c r="AHR32" s="1259"/>
      <c r="AHS32" s="1259"/>
      <c r="AHT32" s="1259"/>
      <c r="AHU32" s="1259"/>
      <c r="AHV32" s="1259"/>
      <c r="AHW32" s="1259"/>
      <c r="AHX32" s="1259"/>
      <c r="AHY32" s="1259"/>
      <c r="AHZ32" s="1259"/>
      <c r="AIA32" s="1259"/>
      <c r="AIB32" s="1259"/>
      <c r="AIC32" s="1259"/>
      <c r="AID32" s="1259"/>
      <c r="AIE32" s="1259"/>
      <c r="AIF32" s="1259"/>
      <c r="AIG32" s="1259"/>
      <c r="AIH32" s="1259"/>
      <c r="AII32" s="1259"/>
      <c r="AIJ32" s="1259"/>
      <c r="AIK32" s="1259"/>
      <c r="AIL32" s="1259"/>
      <c r="AIM32" s="1259"/>
      <c r="AIN32" s="1259"/>
      <c r="AIO32" s="1259"/>
      <c r="AIP32" s="1259"/>
      <c r="AIQ32" s="1259"/>
      <c r="AIR32" s="1259"/>
      <c r="AIS32" s="1259"/>
      <c r="AIT32" s="1259"/>
      <c r="AIU32" s="1259"/>
      <c r="AIV32" s="1259"/>
      <c r="AIW32" s="1259"/>
      <c r="AIX32" s="1259"/>
      <c r="AIY32" s="1259"/>
      <c r="AIZ32" s="1259"/>
      <c r="AJA32" s="1259"/>
      <c r="AJB32" s="1259"/>
      <c r="AJC32" s="1259"/>
      <c r="AJD32" s="1259"/>
      <c r="AJE32" s="1259"/>
      <c r="AJF32" s="1259"/>
      <c r="AJG32" s="1259"/>
      <c r="AJH32" s="1259"/>
      <c r="AJI32" s="1259"/>
      <c r="AJJ32" s="1259"/>
      <c r="AJK32" s="1259"/>
      <c r="AJL32" s="1259"/>
      <c r="AJM32" s="1259"/>
      <c r="AJN32" s="1259"/>
      <c r="AJO32" s="1259"/>
      <c r="AJP32" s="1259"/>
      <c r="AJQ32" s="1259"/>
      <c r="AJR32" s="1259"/>
      <c r="AJS32" s="1259"/>
      <c r="AJT32" s="1259"/>
      <c r="AJU32" s="1259"/>
      <c r="AJV32" s="1259"/>
      <c r="AJW32" s="1259"/>
      <c r="AJX32" s="1259"/>
      <c r="AJY32" s="1259"/>
      <c r="AJZ32" s="1259"/>
      <c r="AKA32" s="1259"/>
      <c r="AKB32" s="1259"/>
      <c r="AKC32" s="1259"/>
      <c r="AKD32" s="1259"/>
      <c r="AKE32" s="1259"/>
      <c r="AKF32" s="1259"/>
      <c r="AKG32" s="1259"/>
      <c r="AKH32" s="1259"/>
      <c r="AKI32" s="1259"/>
      <c r="AKJ32" s="1259"/>
      <c r="AKK32" s="1259"/>
      <c r="AKL32" s="1259"/>
      <c r="AKM32" s="1259"/>
      <c r="AKN32" s="1259"/>
      <c r="AKO32" s="1259"/>
      <c r="AKP32" s="1259"/>
      <c r="AKQ32" s="1259"/>
      <c r="AKR32" s="1259"/>
      <c r="AKS32" s="1259"/>
      <c r="AKT32" s="1259"/>
      <c r="AKU32" s="1259"/>
      <c r="AKV32" s="1259"/>
      <c r="AKW32" s="1259"/>
      <c r="AKX32" s="1259"/>
      <c r="AKY32" s="1259"/>
      <c r="AKZ32" s="1259"/>
      <c r="ALA32" s="1259"/>
      <c r="ALB32" s="1259"/>
      <c r="ALC32" s="1259"/>
      <c r="ALD32" s="1259"/>
      <c r="ALE32" s="1259"/>
      <c r="ALF32" s="1259"/>
      <c r="ALG32" s="1259"/>
      <c r="ALH32" s="1259"/>
      <c r="ALI32" s="1259"/>
      <c r="ALJ32" s="1259"/>
      <c r="ALK32" s="1259"/>
      <c r="ALL32" s="1259"/>
      <c r="ALM32" s="1259"/>
      <c r="ALN32" s="1259"/>
      <c r="ALO32" s="1259"/>
      <c r="ALP32" s="1259"/>
      <c r="ALQ32" s="1259"/>
      <c r="ALR32" s="1259"/>
      <c r="ALS32" s="1259"/>
      <c r="ALT32" s="1259"/>
      <c r="ALU32" s="1259"/>
      <c r="ALV32" s="1259"/>
      <c r="ALW32" s="1259"/>
      <c r="ALX32" s="1259"/>
      <c r="ALY32" s="1259"/>
      <c r="ALZ32" s="1259"/>
      <c r="AMA32" s="1259"/>
      <c r="AMB32" s="1259"/>
      <c r="AMC32" s="1259"/>
      <c r="AMD32" s="1259"/>
      <c r="AME32" s="1259"/>
      <c r="AMF32" s="1259"/>
      <c r="AMG32" s="1259"/>
      <c r="AMH32" s="1259"/>
      <c r="AMI32" s="1259"/>
      <c r="AMJ32" s="1259"/>
      <c r="AMK32" s="1259"/>
      <c r="AML32" s="1259"/>
      <c r="AMM32" s="1259"/>
      <c r="AMN32" s="1259"/>
      <c r="AMO32" s="1259"/>
      <c r="AMP32" s="1259"/>
      <c r="AMQ32" s="1259"/>
      <c r="AMR32" s="1259"/>
      <c r="AMS32" s="1259"/>
      <c r="AMT32" s="1259"/>
      <c r="AMU32" s="1259"/>
      <c r="AMV32" s="1259"/>
      <c r="AMW32" s="1259"/>
      <c r="AMX32" s="1259"/>
      <c r="AMY32" s="1259"/>
      <c r="AMZ32" s="1259"/>
      <c r="ANA32" s="1259"/>
      <c r="ANB32" s="1259"/>
      <c r="ANC32" s="1259"/>
      <c r="AND32" s="1259"/>
      <c r="ANE32" s="1259"/>
      <c r="ANF32" s="1259"/>
      <c r="ANG32" s="1259"/>
      <c r="ANH32" s="1259"/>
      <c r="ANI32" s="1259"/>
      <c r="ANJ32" s="1259"/>
      <c r="ANK32" s="1259"/>
      <c r="ANL32" s="1259"/>
      <c r="ANM32" s="1259"/>
      <c r="ANN32" s="1259"/>
      <c r="ANO32" s="1259"/>
      <c r="ANP32" s="1259"/>
      <c r="ANQ32" s="1259"/>
      <c r="ANR32" s="1259"/>
      <c r="ANS32" s="1259"/>
      <c r="ANT32" s="1259"/>
      <c r="ANU32" s="1259"/>
      <c r="ANV32" s="1259"/>
      <c r="ANW32" s="1259"/>
      <c r="ANX32" s="1259"/>
      <c r="ANY32" s="1259"/>
      <c r="ANZ32" s="1259"/>
      <c r="AOA32" s="1259"/>
      <c r="AOB32" s="1259"/>
      <c r="AOC32" s="1259"/>
      <c r="AOD32" s="1259"/>
      <c r="AOE32" s="1259"/>
      <c r="AOF32" s="1259"/>
      <c r="AOG32" s="1259"/>
      <c r="AOH32" s="1259"/>
      <c r="AOI32" s="1259"/>
      <c r="AOJ32" s="1259"/>
      <c r="AOK32" s="1259"/>
      <c r="AOL32" s="1259"/>
      <c r="AOM32" s="1259"/>
      <c r="AON32" s="1259"/>
      <c r="AOO32" s="1259"/>
      <c r="AOP32" s="1259"/>
      <c r="AOQ32" s="1259"/>
      <c r="AOR32" s="1259"/>
      <c r="AOS32" s="1259"/>
      <c r="AOT32" s="1259"/>
      <c r="AOU32" s="1259"/>
      <c r="AOV32" s="1259"/>
      <c r="AOW32" s="1259"/>
      <c r="AOX32" s="1259"/>
      <c r="AOY32" s="1259"/>
      <c r="AOZ32" s="1259"/>
      <c r="APA32" s="1259"/>
      <c r="APB32" s="1259"/>
      <c r="APC32" s="1259"/>
      <c r="APD32" s="1259"/>
      <c r="APE32" s="1259"/>
      <c r="APF32" s="1259"/>
      <c r="APG32" s="1259"/>
      <c r="APH32" s="1259"/>
      <c r="API32" s="1259"/>
      <c r="APJ32" s="1259"/>
      <c r="APK32" s="1259"/>
      <c r="APL32" s="1259"/>
      <c r="APM32" s="1259"/>
      <c r="APN32" s="1259"/>
      <c r="APO32" s="1259"/>
      <c r="APP32" s="1259"/>
      <c r="APQ32" s="1259"/>
      <c r="APR32" s="1259"/>
      <c r="APS32" s="1259"/>
      <c r="APT32" s="1259"/>
      <c r="APU32" s="1259"/>
      <c r="APV32" s="1259"/>
      <c r="APW32" s="1259"/>
      <c r="APX32" s="1259"/>
      <c r="APY32" s="1259"/>
      <c r="APZ32" s="1259"/>
      <c r="AQA32" s="1259"/>
      <c r="AQB32" s="1259"/>
      <c r="AQC32" s="1259"/>
      <c r="AQD32" s="1259"/>
      <c r="AQE32" s="1259"/>
      <c r="AQF32" s="1259"/>
      <c r="AQG32" s="1259"/>
      <c r="AQH32" s="1259"/>
      <c r="AQI32" s="1259"/>
      <c r="AQJ32" s="1259"/>
      <c r="AQK32" s="1259"/>
      <c r="AQL32" s="1259"/>
      <c r="AQM32" s="1259"/>
      <c r="AQN32" s="1259"/>
      <c r="AQO32" s="1259"/>
      <c r="AQP32" s="1259"/>
      <c r="AQQ32" s="1259"/>
      <c r="AQR32" s="1259"/>
      <c r="AQS32" s="1259"/>
      <c r="AQT32" s="1259"/>
      <c r="AQU32" s="1259"/>
      <c r="AQV32" s="1259"/>
      <c r="AQW32" s="1259"/>
      <c r="AQX32" s="1259"/>
      <c r="AQY32" s="1259"/>
      <c r="AQZ32" s="1259"/>
      <c r="ARA32" s="1259"/>
      <c r="ARB32" s="1259"/>
      <c r="ARC32" s="1259"/>
      <c r="ARD32" s="1259"/>
      <c r="ARE32" s="1259"/>
      <c r="ARF32" s="1259"/>
      <c r="ARG32" s="1259"/>
      <c r="ARH32" s="1259"/>
      <c r="ARI32" s="1259"/>
      <c r="ARJ32" s="1259"/>
      <c r="ARK32" s="1259"/>
      <c r="ARL32" s="1259"/>
      <c r="ARM32" s="1259"/>
      <c r="ARN32" s="1259"/>
      <c r="ARO32" s="1259"/>
      <c r="ARP32" s="1259"/>
      <c r="ARQ32" s="1259"/>
      <c r="ARR32" s="1259"/>
      <c r="ARS32" s="1259"/>
      <c r="ART32" s="1259"/>
      <c r="ARU32" s="1259"/>
      <c r="ARV32" s="1259"/>
      <c r="ARW32" s="1259"/>
      <c r="ARX32" s="1259"/>
      <c r="ARY32" s="1259"/>
      <c r="ARZ32" s="1259"/>
      <c r="ASA32" s="1259"/>
      <c r="ASB32" s="1259"/>
      <c r="ASC32" s="1259"/>
      <c r="ASD32" s="1259"/>
      <c r="ASE32" s="1259"/>
      <c r="ASF32" s="1259"/>
      <c r="ASG32" s="1259"/>
      <c r="ASH32" s="1259"/>
      <c r="ASI32" s="1259"/>
      <c r="ASJ32" s="1259"/>
      <c r="ASK32" s="1259"/>
      <c r="ASL32" s="1259"/>
      <c r="ASM32" s="1259"/>
      <c r="ASN32" s="1259"/>
      <c r="ASO32" s="1259"/>
      <c r="ASP32" s="1259"/>
      <c r="ASQ32" s="1259"/>
      <c r="ASR32" s="1259"/>
      <c r="ASS32" s="1259"/>
      <c r="AST32" s="1259"/>
      <c r="ASU32" s="1259"/>
      <c r="ASV32" s="1259"/>
      <c r="ASW32" s="1259"/>
      <c r="ASX32" s="1259"/>
      <c r="ASY32" s="1259"/>
      <c r="ASZ32" s="1259"/>
      <c r="ATA32" s="1259"/>
      <c r="ATB32" s="1259"/>
      <c r="ATC32" s="1259"/>
      <c r="ATD32" s="1259"/>
      <c r="ATE32" s="1259"/>
      <c r="ATF32" s="1259"/>
      <c r="ATG32" s="1259"/>
      <c r="ATH32" s="1259"/>
      <c r="ATI32" s="1259"/>
      <c r="ATJ32" s="1259"/>
      <c r="ATK32" s="1259"/>
      <c r="ATL32" s="1259"/>
      <c r="ATM32" s="1259"/>
      <c r="ATN32" s="1259"/>
      <c r="ATO32" s="1259"/>
      <c r="ATP32" s="1259"/>
      <c r="ATQ32" s="1259"/>
      <c r="ATR32" s="1259"/>
      <c r="ATS32" s="1259"/>
      <c r="ATT32" s="1259"/>
      <c r="ATU32" s="1259"/>
      <c r="ATV32" s="1259"/>
      <c r="ATW32" s="1259"/>
      <c r="ATX32" s="1259"/>
      <c r="ATY32" s="1259"/>
      <c r="ATZ32" s="1259"/>
      <c r="AUA32" s="1259"/>
      <c r="AUB32" s="1259"/>
      <c r="AUC32" s="1259"/>
      <c r="AUD32" s="1259"/>
      <c r="AUE32" s="1259"/>
      <c r="AUF32" s="1259"/>
      <c r="AUG32" s="1259"/>
      <c r="AUH32" s="1259"/>
      <c r="AUI32" s="1259"/>
      <c r="AUJ32" s="1259"/>
      <c r="AUK32" s="1259"/>
      <c r="AUL32" s="1259"/>
      <c r="AUM32" s="1259"/>
      <c r="AUN32" s="1259"/>
      <c r="AUO32" s="1259"/>
      <c r="AUP32" s="1259"/>
      <c r="AUQ32" s="1259"/>
      <c r="AUR32" s="1259"/>
      <c r="AUS32" s="1259"/>
      <c r="AUT32" s="1259"/>
      <c r="AUU32" s="1259"/>
      <c r="AUV32" s="1259"/>
      <c r="AUW32" s="1259"/>
      <c r="AUX32" s="1259"/>
      <c r="AUY32" s="1259"/>
      <c r="AUZ32" s="1259"/>
      <c r="AVA32" s="1259"/>
      <c r="AVB32" s="1259"/>
      <c r="AVC32" s="1259"/>
      <c r="AVD32" s="1259"/>
      <c r="AVE32" s="1259"/>
      <c r="AVF32" s="1259"/>
      <c r="AVG32" s="1259"/>
      <c r="AVH32" s="1259"/>
      <c r="AVI32" s="1259"/>
      <c r="AVJ32" s="1259"/>
      <c r="AVK32" s="1259"/>
      <c r="AVL32" s="1259"/>
      <c r="AVM32" s="1259"/>
      <c r="AVN32" s="1259"/>
      <c r="AVO32" s="1259"/>
      <c r="AVP32" s="1259"/>
      <c r="AVQ32" s="1259"/>
      <c r="AVR32" s="1259"/>
      <c r="AVS32" s="1259"/>
      <c r="AVT32" s="1259"/>
      <c r="AVU32" s="1259"/>
      <c r="AVV32" s="1259"/>
      <c r="AVW32" s="1259"/>
      <c r="AVX32" s="1259"/>
      <c r="AVY32" s="1259"/>
      <c r="AVZ32" s="1259"/>
      <c r="AWA32" s="1259"/>
      <c r="AWB32" s="1259"/>
      <c r="AWC32" s="1259"/>
      <c r="AWD32" s="1259"/>
      <c r="AWE32" s="1259"/>
      <c r="AWF32" s="1259"/>
      <c r="AWG32" s="1259"/>
      <c r="AWH32" s="1259"/>
      <c r="AWI32" s="1259"/>
      <c r="AWJ32" s="1259"/>
      <c r="AWK32" s="1259"/>
      <c r="AWL32" s="1259"/>
      <c r="AWM32" s="1259"/>
      <c r="AWN32" s="1259"/>
      <c r="AWO32" s="1259"/>
      <c r="AWP32" s="1259"/>
      <c r="AWQ32" s="1259"/>
      <c r="AWR32" s="1259"/>
      <c r="AWS32" s="1259"/>
      <c r="AWT32" s="1259"/>
      <c r="AWU32" s="1259"/>
      <c r="AWV32" s="1259"/>
      <c r="AWW32" s="1259"/>
      <c r="AWX32" s="1259"/>
      <c r="AWY32" s="1259"/>
      <c r="AWZ32" s="1259"/>
      <c r="AXA32" s="1259"/>
      <c r="AXB32" s="1259"/>
      <c r="AXC32" s="1259"/>
      <c r="AXD32" s="1259"/>
      <c r="AXE32" s="1259"/>
      <c r="AXF32" s="1259"/>
      <c r="AXG32" s="1259"/>
      <c r="AXH32" s="1259"/>
      <c r="AXI32" s="1259"/>
      <c r="AXJ32" s="1259"/>
      <c r="AXK32" s="1259"/>
      <c r="AXL32" s="1259"/>
      <c r="AXM32" s="1259"/>
      <c r="AXN32" s="1259"/>
      <c r="AXO32" s="1259"/>
      <c r="AXP32" s="1259"/>
      <c r="AXQ32" s="1259"/>
      <c r="AXR32" s="1259"/>
      <c r="AXS32" s="1259"/>
      <c r="AXT32" s="1259"/>
      <c r="AXU32" s="1259"/>
      <c r="AXV32" s="1259"/>
      <c r="AXW32" s="1259"/>
      <c r="AXX32" s="1259"/>
      <c r="AXY32" s="1259"/>
      <c r="AXZ32" s="1259"/>
      <c r="AYA32" s="1259"/>
      <c r="AYB32" s="1259"/>
      <c r="AYC32" s="1259"/>
      <c r="AYD32" s="1259"/>
      <c r="AYE32" s="1259"/>
      <c r="AYF32" s="1259"/>
      <c r="AYG32" s="1259"/>
      <c r="AYH32" s="1259"/>
      <c r="AYI32" s="1259"/>
      <c r="AYJ32" s="1259"/>
      <c r="AYK32" s="1259"/>
      <c r="AYL32" s="1259"/>
      <c r="AYM32" s="1259"/>
      <c r="AYN32" s="1259"/>
      <c r="AYO32" s="1259"/>
      <c r="AYP32" s="1259"/>
      <c r="AYQ32" s="1259"/>
      <c r="AYR32" s="1259"/>
      <c r="AYS32" s="1259"/>
      <c r="AYT32" s="1259"/>
      <c r="AYU32" s="1259"/>
      <c r="AYV32" s="1259"/>
      <c r="AYW32" s="1259"/>
      <c r="AYX32" s="1259"/>
      <c r="AYY32" s="1259"/>
      <c r="AYZ32" s="1259"/>
      <c r="AZA32" s="1259"/>
      <c r="AZB32" s="1259"/>
      <c r="AZC32" s="1259"/>
      <c r="AZD32" s="1259"/>
      <c r="AZE32" s="1259"/>
      <c r="AZF32" s="1259"/>
      <c r="AZG32" s="1259"/>
      <c r="AZH32" s="1259"/>
      <c r="AZI32" s="1259"/>
      <c r="AZJ32" s="1259"/>
      <c r="AZK32" s="1259"/>
      <c r="AZL32" s="1259"/>
      <c r="AZM32" s="1259"/>
      <c r="AZN32" s="1259"/>
      <c r="AZO32" s="1259"/>
      <c r="AZP32" s="1259"/>
      <c r="AZQ32" s="1259"/>
      <c r="AZR32" s="1259"/>
      <c r="AZS32" s="1259"/>
      <c r="AZT32" s="1259"/>
      <c r="AZU32" s="1259"/>
      <c r="AZV32" s="1259"/>
      <c r="AZW32" s="1259"/>
      <c r="AZX32" s="1259"/>
      <c r="AZY32" s="1259"/>
      <c r="AZZ32" s="1259"/>
      <c r="BAA32" s="1259"/>
      <c r="BAB32" s="1259"/>
      <c r="BAC32" s="1259"/>
      <c r="BAD32" s="1259"/>
      <c r="BAE32" s="1259"/>
      <c r="BAF32" s="1259"/>
      <c r="BAG32" s="1259"/>
      <c r="BAH32" s="1259"/>
      <c r="BAI32" s="1259"/>
      <c r="BAJ32" s="1259"/>
      <c r="BAK32" s="1259"/>
      <c r="BAL32" s="1259"/>
      <c r="BAM32" s="1259"/>
      <c r="BAN32" s="1259"/>
      <c r="BAO32" s="1259"/>
      <c r="BAP32" s="1259"/>
      <c r="BAQ32" s="1259"/>
      <c r="BAR32" s="1259"/>
      <c r="BAS32" s="1259"/>
      <c r="BAT32" s="1259"/>
      <c r="BAU32" s="1259"/>
      <c r="BAV32" s="1259"/>
      <c r="BAW32" s="1259"/>
      <c r="BAX32" s="1259"/>
      <c r="BAY32" s="1259"/>
      <c r="BAZ32" s="1259"/>
      <c r="BBA32" s="1259"/>
      <c r="BBB32" s="1259"/>
      <c r="BBC32" s="1259"/>
      <c r="BBD32" s="1259"/>
      <c r="BBE32" s="1259"/>
      <c r="BBF32" s="1259"/>
      <c r="BBG32" s="1259"/>
      <c r="BBH32" s="1259"/>
      <c r="BBI32" s="1259"/>
      <c r="BBJ32" s="1259"/>
      <c r="BBK32" s="1259"/>
      <c r="BBL32" s="1259"/>
      <c r="BBM32" s="1259"/>
      <c r="BBN32" s="1259"/>
      <c r="BBO32" s="1259"/>
      <c r="BBP32" s="1259"/>
      <c r="BBQ32" s="1259"/>
      <c r="BBR32" s="1259"/>
      <c r="BBS32" s="1259"/>
      <c r="BBT32" s="1259"/>
      <c r="BBU32" s="1259"/>
      <c r="BBV32" s="1259"/>
      <c r="BBW32" s="1259"/>
      <c r="BBX32" s="1259"/>
      <c r="BBY32" s="1259"/>
      <c r="BBZ32" s="1259"/>
      <c r="BCA32" s="1259"/>
      <c r="BCB32" s="1259"/>
      <c r="BCC32" s="1259"/>
      <c r="BCD32" s="1259"/>
      <c r="BCE32" s="1259"/>
      <c r="BCF32" s="1259"/>
      <c r="BCG32" s="1259"/>
      <c r="BCH32" s="1259"/>
      <c r="BCI32" s="1259"/>
      <c r="BCJ32" s="1259"/>
      <c r="BCK32" s="1259"/>
      <c r="BCL32" s="1259"/>
      <c r="BCM32" s="1259"/>
      <c r="BCN32" s="1259"/>
      <c r="BCO32" s="1259"/>
      <c r="BCP32" s="1259"/>
      <c r="BCQ32" s="1259"/>
      <c r="BCR32" s="1259"/>
      <c r="BCS32" s="1259"/>
      <c r="BCT32" s="1259"/>
      <c r="BCU32" s="1259"/>
      <c r="BCV32" s="1259"/>
      <c r="BCW32" s="1259"/>
      <c r="BCX32" s="1259"/>
      <c r="BCY32" s="1259"/>
      <c r="BCZ32" s="1259"/>
      <c r="BDA32" s="1259"/>
      <c r="BDB32" s="1259"/>
      <c r="BDC32" s="1259"/>
      <c r="BDD32" s="1259"/>
      <c r="BDE32" s="1259"/>
      <c r="BDF32" s="1259"/>
      <c r="BDG32" s="1259"/>
      <c r="BDH32" s="1259"/>
      <c r="BDI32" s="1259"/>
      <c r="BDJ32" s="1259"/>
      <c r="BDK32" s="1259"/>
      <c r="BDL32" s="1259"/>
      <c r="BDM32" s="1259"/>
      <c r="BDN32" s="1259"/>
      <c r="BDO32" s="1259"/>
      <c r="BDP32" s="1259"/>
      <c r="BDQ32" s="1259"/>
      <c r="BDR32" s="1259"/>
      <c r="BDS32" s="1259"/>
      <c r="BDT32" s="1259"/>
      <c r="BDU32" s="1259"/>
      <c r="BDV32" s="1259"/>
      <c r="BDW32" s="1259"/>
      <c r="BDX32" s="1259"/>
      <c r="BDY32" s="1259"/>
      <c r="BDZ32" s="1259"/>
      <c r="BEA32" s="1259"/>
      <c r="BEB32" s="1259"/>
      <c r="BEC32" s="1259"/>
      <c r="BED32" s="1259"/>
      <c r="BEE32" s="1259"/>
      <c r="BEF32" s="1259"/>
      <c r="BEG32" s="1259"/>
      <c r="BEH32" s="1259"/>
      <c r="BEI32" s="1259"/>
      <c r="BEJ32" s="1259"/>
      <c r="BEK32" s="1259"/>
      <c r="BEL32" s="1259"/>
      <c r="BEM32" s="1259"/>
      <c r="BEN32" s="1259"/>
      <c r="BEO32" s="1259"/>
      <c r="BEP32" s="1259"/>
      <c r="BEQ32" s="1259"/>
      <c r="BER32" s="1259"/>
      <c r="BES32" s="1259"/>
      <c r="BET32" s="1259"/>
      <c r="BEU32" s="1259"/>
      <c r="BEV32" s="1259"/>
      <c r="BEW32" s="1259"/>
      <c r="BEX32" s="1259"/>
      <c r="BEY32" s="1259"/>
      <c r="BEZ32" s="1259"/>
      <c r="BFA32" s="1259"/>
      <c r="BFB32" s="1259"/>
      <c r="BFC32" s="1259"/>
      <c r="BFD32" s="1259"/>
      <c r="BFE32" s="1259"/>
      <c r="BFF32" s="1259"/>
      <c r="BFG32" s="1259"/>
      <c r="BFH32" s="1259"/>
      <c r="BFI32" s="1259"/>
      <c r="BFJ32" s="1259"/>
      <c r="BFK32" s="1259"/>
      <c r="BFL32" s="1259"/>
      <c r="BFM32" s="1259"/>
      <c r="BFN32" s="1259"/>
      <c r="BFO32" s="1259"/>
      <c r="BFP32" s="1259"/>
      <c r="BFQ32" s="1259"/>
      <c r="BFR32" s="1259"/>
      <c r="BFS32" s="1259"/>
      <c r="BFT32" s="1259"/>
      <c r="BFU32" s="1259"/>
      <c r="BFV32" s="1259"/>
      <c r="BFW32" s="1259"/>
      <c r="BFX32" s="1259"/>
      <c r="BFY32" s="1259"/>
      <c r="BFZ32" s="1259"/>
      <c r="BGA32" s="1259"/>
      <c r="BGB32" s="1259"/>
      <c r="BGC32" s="1259"/>
      <c r="BGD32" s="1259"/>
      <c r="BGE32" s="1259"/>
      <c r="BGF32" s="1259"/>
      <c r="BGG32" s="1259"/>
      <c r="BGH32" s="1259"/>
      <c r="BGI32" s="1259"/>
      <c r="BGJ32" s="1259"/>
      <c r="BGK32" s="1259"/>
      <c r="BGL32" s="1259"/>
      <c r="BGM32" s="1259"/>
      <c r="BGN32" s="1259"/>
      <c r="BGO32" s="1259"/>
      <c r="BGP32" s="1259"/>
      <c r="BGQ32" s="1259"/>
      <c r="BGR32" s="1259"/>
      <c r="BGS32" s="1259"/>
      <c r="BGT32" s="1259"/>
      <c r="BGU32" s="1259"/>
      <c r="BGV32" s="1259"/>
      <c r="BGW32" s="1259"/>
      <c r="BGX32" s="1259"/>
      <c r="BGY32" s="1259"/>
      <c r="BGZ32" s="1259"/>
      <c r="BHA32" s="1259"/>
      <c r="BHB32" s="1259"/>
      <c r="BHC32" s="1259"/>
      <c r="BHD32" s="1259"/>
      <c r="BHE32" s="1259"/>
      <c r="BHF32" s="1259"/>
      <c r="BHG32" s="1259"/>
      <c r="BHH32" s="1259"/>
      <c r="BHI32" s="1259"/>
      <c r="BHJ32" s="1259"/>
      <c r="BHK32" s="1259"/>
      <c r="BHL32" s="1259"/>
      <c r="BHM32" s="1259"/>
      <c r="BHN32" s="1259"/>
      <c r="BHO32" s="1259"/>
      <c r="BHP32" s="1259"/>
      <c r="BHQ32" s="1259"/>
      <c r="BHR32" s="1259"/>
      <c r="BHS32" s="1259"/>
      <c r="BHT32" s="1259"/>
      <c r="BHU32" s="1259"/>
      <c r="BHV32" s="1259"/>
      <c r="BHW32" s="1259"/>
      <c r="BHX32" s="1259"/>
      <c r="BHY32" s="1259"/>
      <c r="BHZ32" s="1259"/>
      <c r="BIA32" s="1259"/>
      <c r="BIB32" s="1259"/>
      <c r="BIC32" s="1259"/>
      <c r="BID32" s="1259"/>
      <c r="BIE32" s="1259"/>
      <c r="BIF32" s="1259"/>
      <c r="BIG32" s="1259"/>
      <c r="BIH32" s="1259"/>
      <c r="BII32" s="1259"/>
      <c r="BIJ32" s="1259"/>
      <c r="BIK32" s="1259"/>
      <c r="BIL32" s="1259"/>
      <c r="BIM32" s="1259"/>
      <c r="BIN32" s="1259"/>
      <c r="BIO32" s="1259"/>
      <c r="BIP32" s="1259"/>
      <c r="BIQ32" s="1259"/>
      <c r="BIR32" s="1259"/>
      <c r="BIS32" s="1259"/>
      <c r="BIT32" s="1259"/>
      <c r="BIU32" s="1259"/>
      <c r="BIV32" s="1259"/>
      <c r="BIW32" s="1259"/>
      <c r="BIX32" s="1259"/>
      <c r="BIY32" s="1259"/>
      <c r="BIZ32" s="1259"/>
      <c r="BJA32" s="1259"/>
      <c r="BJB32" s="1259"/>
      <c r="BJC32" s="1259"/>
      <c r="BJD32" s="1259"/>
      <c r="BJE32" s="1259"/>
      <c r="BJF32" s="1259"/>
      <c r="BJG32" s="1259"/>
      <c r="BJH32" s="1259"/>
      <c r="BJI32" s="1259"/>
      <c r="BJJ32" s="1259"/>
      <c r="BJK32" s="1259"/>
      <c r="BJL32" s="1259"/>
      <c r="BJM32" s="1259"/>
      <c r="BJN32" s="1259"/>
      <c r="BJO32" s="1259"/>
      <c r="BJP32" s="1259"/>
      <c r="BJQ32" s="1259"/>
      <c r="BJR32" s="1259"/>
      <c r="BJS32" s="1259"/>
      <c r="BJT32" s="1259"/>
      <c r="BJU32" s="1259"/>
      <c r="BJV32" s="1259"/>
      <c r="BJW32" s="1259"/>
      <c r="BJX32" s="1259"/>
      <c r="BJY32" s="1259"/>
      <c r="BJZ32" s="1259"/>
      <c r="BKA32" s="1259"/>
      <c r="BKB32" s="1259"/>
      <c r="BKC32" s="1259"/>
      <c r="BKD32" s="1259"/>
      <c r="BKE32" s="1259"/>
      <c r="BKF32" s="1259"/>
      <c r="BKG32" s="1259"/>
      <c r="BKH32" s="1259"/>
      <c r="BKI32" s="1259"/>
      <c r="BKJ32" s="1259"/>
      <c r="BKK32" s="1259"/>
      <c r="BKL32" s="1259"/>
      <c r="BKM32" s="1259"/>
      <c r="BKN32" s="1259"/>
      <c r="BKO32" s="1259"/>
      <c r="BKP32" s="1259"/>
      <c r="BKQ32" s="1259"/>
      <c r="BKR32" s="1259"/>
      <c r="BKS32" s="1259"/>
      <c r="BKT32" s="1259"/>
      <c r="BKU32" s="1259"/>
      <c r="BKV32" s="1259"/>
      <c r="BKW32" s="1259"/>
      <c r="BKX32" s="1259"/>
      <c r="BKY32" s="1259"/>
      <c r="BKZ32" s="1259"/>
      <c r="BLA32" s="1259"/>
      <c r="BLB32" s="1259"/>
      <c r="BLC32" s="1259"/>
      <c r="BLD32" s="1259"/>
      <c r="BLE32" s="1259"/>
      <c r="BLF32" s="1259"/>
      <c r="BLG32" s="1259"/>
      <c r="BLH32" s="1259"/>
      <c r="BLI32" s="1259"/>
      <c r="BLJ32" s="1259"/>
      <c r="BLK32" s="1259"/>
      <c r="BLL32" s="1259"/>
      <c r="BLM32" s="1259"/>
      <c r="BLN32" s="1259"/>
      <c r="BLO32" s="1259"/>
      <c r="BLP32" s="1259"/>
      <c r="BLQ32" s="1259"/>
      <c r="BLR32" s="1259"/>
      <c r="BLS32" s="1259"/>
      <c r="BLT32" s="1259"/>
      <c r="BLU32" s="1259"/>
      <c r="BLV32" s="1259"/>
      <c r="BLW32" s="1259"/>
      <c r="BLX32" s="1259"/>
      <c r="BLY32" s="1259"/>
      <c r="BLZ32" s="1259"/>
      <c r="BMA32" s="1259"/>
      <c r="BMB32" s="1259"/>
      <c r="BMC32" s="1259"/>
      <c r="BMD32" s="1259"/>
      <c r="BME32" s="1259"/>
      <c r="BMF32" s="1259"/>
      <c r="BMG32" s="1259"/>
      <c r="BMH32" s="1259"/>
      <c r="BMI32" s="1259"/>
      <c r="BMJ32" s="1259"/>
      <c r="BMK32" s="1259"/>
      <c r="BML32" s="1259"/>
      <c r="BMM32" s="1259"/>
      <c r="BMN32" s="1259"/>
      <c r="BMO32" s="1259"/>
      <c r="BMP32" s="1259"/>
      <c r="BMQ32" s="1259"/>
      <c r="BMR32" s="1259"/>
      <c r="BMS32" s="1259"/>
      <c r="BMT32" s="1259"/>
      <c r="BMU32" s="1259"/>
      <c r="BMV32" s="1259"/>
      <c r="BMW32" s="1259"/>
      <c r="BMX32" s="1259"/>
      <c r="BMY32" s="1259"/>
      <c r="BMZ32" s="1259"/>
      <c r="BNA32" s="1259"/>
      <c r="BNB32" s="1259"/>
      <c r="BNC32" s="1259"/>
      <c r="BND32" s="1259"/>
      <c r="BNE32" s="1259"/>
      <c r="BNF32" s="1259"/>
      <c r="BNG32" s="1259"/>
      <c r="BNH32" s="1259"/>
      <c r="BNI32" s="1259"/>
      <c r="BNJ32" s="1259"/>
      <c r="BNK32" s="1259"/>
      <c r="BNL32" s="1259"/>
      <c r="BNM32" s="1259"/>
      <c r="BNN32" s="1259"/>
      <c r="BNO32" s="1259"/>
      <c r="BNP32" s="1259"/>
      <c r="BNQ32" s="1259"/>
      <c r="BNR32" s="1259"/>
      <c r="BNS32" s="1259"/>
      <c r="BNT32" s="1259"/>
      <c r="BNU32" s="1259"/>
      <c r="BNV32" s="1259"/>
      <c r="BNW32" s="1259"/>
      <c r="BNX32" s="1259"/>
      <c r="BNY32" s="1259"/>
      <c r="BNZ32" s="1259"/>
      <c r="BOA32" s="1259"/>
      <c r="BOB32" s="1259"/>
      <c r="BOC32" s="1259"/>
      <c r="BOD32" s="1259"/>
      <c r="BOE32" s="1259"/>
      <c r="BOF32" s="1259"/>
      <c r="BOG32" s="1259"/>
      <c r="BOH32" s="1259"/>
      <c r="BOI32" s="1259"/>
      <c r="BOJ32" s="1259"/>
      <c r="BOK32" s="1259"/>
      <c r="BOL32" s="1259"/>
      <c r="BOM32" s="1259"/>
      <c r="BON32" s="1259"/>
      <c r="BOO32" s="1259"/>
      <c r="BOP32" s="1259"/>
      <c r="BOQ32" s="1259"/>
      <c r="BOR32" s="1259"/>
      <c r="BOS32" s="1259"/>
      <c r="BOT32" s="1259"/>
      <c r="BOU32" s="1259"/>
      <c r="BOV32" s="1259"/>
      <c r="BOW32" s="1259"/>
      <c r="BOX32" s="1259"/>
      <c r="BOY32" s="1259"/>
      <c r="BOZ32" s="1259"/>
      <c r="BPA32" s="1259"/>
      <c r="BPB32" s="1259"/>
      <c r="BPC32" s="1259"/>
      <c r="BPD32" s="1259"/>
      <c r="BPE32" s="1259"/>
      <c r="BPF32" s="1259"/>
      <c r="BPG32" s="1259"/>
      <c r="BPH32" s="1259"/>
      <c r="BPI32" s="1259"/>
      <c r="BPJ32" s="1259"/>
      <c r="BPK32" s="1259"/>
      <c r="BPL32" s="1259"/>
      <c r="BPM32" s="1259"/>
      <c r="BPN32" s="1259"/>
      <c r="BPO32" s="1259"/>
      <c r="BPP32" s="1259"/>
      <c r="BPQ32" s="1259"/>
      <c r="BPR32" s="1259"/>
      <c r="BPS32" s="1259"/>
      <c r="BPT32" s="1259"/>
      <c r="BPU32" s="1259"/>
      <c r="BPV32" s="1259"/>
      <c r="BPW32" s="1259"/>
      <c r="BPX32" s="1259"/>
      <c r="BPY32" s="1259"/>
      <c r="BPZ32" s="1259"/>
      <c r="BQA32" s="1259"/>
      <c r="BQB32" s="1259"/>
      <c r="BQC32" s="1259"/>
      <c r="BQD32" s="1259"/>
      <c r="BQE32" s="1259"/>
      <c r="BQF32" s="1259"/>
      <c r="BQG32" s="1259"/>
      <c r="BQH32" s="1259"/>
      <c r="BQI32" s="1259"/>
      <c r="BQJ32" s="1259"/>
      <c r="BQK32" s="1259"/>
      <c r="BQL32" s="1259"/>
      <c r="BQM32" s="1259"/>
      <c r="BQN32" s="1259"/>
      <c r="BQO32" s="1259"/>
      <c r="BQP32" s="1259"/>
      <c r="BQQ32" s="1259"/>
      <c r="BQR32" s="1259"/>
      <c r="BQS32" s="1259"/>
      <c r="BQT32" s="1259"/>
      <c r="BQU32" s="1259"/>
      <c r="BQV32" s="1259"/>
      <c r="BQW32" s="1259"/>
      <c r="BQX32" s="1259"/>
      <c r="BQY32" s="1259"/>
      <c r="BQZ32" s="1259"/>
      <c r="BRA32" s="1259"/>
      <c r="BRB32" s="1259"/>
      <c r="BRC32" s="1259"/>
      <c r="BRD32" s="1259"/>
      <c r="BRE32" s="1259"/>
      <c r="BRF32" s="1259"/>
      <c r="BRG32" s="1259"/>
      <c r="BRH32" s="1259"/>
      <c r="BRI32" s="1259"/>
      <c r="BRJ32" s="1259"/>
      <c r="BRK32" s="1259"/>
      <c r="BRL32" s="1259"/>
      <c r="BRM32" s="1259"/>
      <c r="BRN32" s="1259"/>
      <c r="BRO32" s="1259"/>
      <c r="BRP32" s="1259"/>
      <c r="BRQ32" s="1259"/>
      <c r="BRR32" s="1259"/>
      <c r="BRS32" s="1259"/>
      <c r="BRT32" s="1259"/>
      <c r="BRU32" s="1259"/>
      <c r="BRV32" s="1259"/>
      <c r="BRW32" s="1259"/>
      <c r="BRX32" s="1259"/>
      <c r="BRY32" s="1259"/>
      <c r="BRZ32" s="1259"/>
      <c r="BSA32" s="1259"/>
      <c r="BSB32" s="1259"/>
      <c r="BSC32" s="1259"/>
      <c r="BSD32" s="1259"/>
      <c r="BSE32" s="1259"/>
      <c r="BSF32" s="1259"/>
      <c r="BSG32" s="1259"/>
      <c r="BSH32" s="1259"/>
      <c r="BSI32" s="1259"/>
      <c r="BSJ32" s="1259"/>
      <c r="BSK32" s="1259"/>
      <c r="BSL32" s="1259"/>
      <c r="BSM32" s="1259"/>
      <c r="BSN32" s="1259"/>
      <c r="BSO32" s="1259"/>
      <c r="BSP32" s="1259"/>
      <c r="BSQ32" s="1259"/>
      <c r="BSR32" s="1259"/>
      <c r="BSS32" s="1259"/>
      <c r="BST32" s="1259"/>
      <c r="BSU32" s="1259"/>
      <c r="BSV32" s="1259"/>
      <c r="BSW32" s="1259"/>
      <c r="BSX32" s="1259"/>
      <c r="BSY32" s="1259"/>
      <c r="BSZ32" s="1259"/>
      <c r="BTA32" s="1259"/>
      <c r="BTB32" s="1259"/>
      <c r="BTC32" s="1259"/>
      <c r="BTD32" s="1259"/>
      <c r="BTE32" s="1259"/>
      <c r="BTF32" s="1259"/>
      <c r="BTG32" s="1259"/>
      <c r="BTH32" s="1259"/>
      <c r="BTI32" s="1259"/>
      <c r="BTJ32" s="1259"/>
      <c r="BTK32" s="1259"/>
      <c r="BTL32" s="1259"/>
      <c r="BTM32" s="1259"/>
      <c r="BTN32" s="1259"/>
      <c r="BTO32" s="1259"/>
      <c r="BTP32" s="1259"/>
      <c r="BTQ32" s="1259"/>
      <c r="BTR32" s="1259"/>
      <c r="BTS32" s="1259"/>
      <c r="BTT32" s="1259"/>
      <c r="BTU32" s="1259"/>
      <c r="BTV32" s="1259"/>
      <c r="BTW32" s="1259"/>
      <c r="BTX32" s="1259"/>
      <c r="BTY32" s="1259"/>
      <c r="BTZ32" s="1259"/>
      <c r="BUA32" s="1259"/>
      <c r="BUB32" s="1259"/>
      <c r="BUC32" s="1259"/>
      <c r="BUD32" s="1259"/>
      <c r="BUE32" s="1259"/>
      <c r="BUF32" s="1259"/>
      <c r="BUG32" s="1259"/>
      <c r="BUH32" s="1259"/>
      <c r="BUI32" s="1259"/>
      <c r="BUJ32" s="1259"/>
      <c r="BUK32" s="1259"/>
      <c r="BUL32" s="1259"/>
      <c r="BUM32" s="1259"/>
      <c r="BUN32" s="1259"/>
      <c r="BUO32" s="1259"/>
      <c r="BUP32" s="1259"/>
      <c r="BUQ32" s="1259"/>
      <c r="BUR32" s="1259"/>
      <c r="BUS32" s="1259"/>
      <c r="BUT32" s="1259"/>
      <c r="BUU32" s="1259"/>
      <c r="BUV32" s="1259"/>
      <c r="BUW32" s="1259"/>
      <c r="BUX32" s="1259"/>
      <c r="BUY32" s="1259"/>
      <c r="BUZ32" s="1259"/>
      <c r="BVA32" s="1259"/>
      <c r="BVB32" s="1259"/>
      <c r="BVC32" s="1259"/>
      <c r="BVD32" s="1259"/>
      <c r="BVE32" s="1259"/>
      <c r="BVF32" s="1259"/>
      <c r="BVG32" s="1259"/>
      <c r="BVH32" s="1259"/>
      <c r="BVI32" s="1259"/>
      <c r="BVJ32" s="1259"/>
      <c r="BVK32" s="1259"/>
      <c r="BVL32" s="1259"/>
      <c r="BVM32" s="1259"/>
      <c r="BVN32" s="1259"/>
      <c r="BVO32" s="1259"/>
      <c r="BVP32" s="1259"/>
      <c r="BVQ32" s="1259"/>
      <c r="BVR32" s="1259"/>
      <c r="BVS32" s="1259"/>
      <c r="BVT32" s="1259"/>
      <c r="BVU32" s="1259"/>
      <c r="BVV32" s="1259"/>
      <c r="BVW32" s="1259"/>
      <c r="BVX32" s="1259"/>
      <c r="BVY32" s="1259"/>
      <c r="BVZ32" s="1259"/>
      <c r="BWA32" s="1259"/>
      <c r="BWB32" s="1259"/>
      <c r="BWC32" s="1259"/>
      <c r="BWD32" s="1259"/>
      <c r="BWE32" s="1259"/>
      <c r="BWF32" s="1259"/>
      <c r="BWG32" s="1259"/>
      <c r="BWH32" s="1259"/>
      <c r="BWI32" s="1259"/>
      <c r="BWJ32" s="1259"/>
      <c r="BWK32" s="1259"/>
      <c r="BWL32" s="1259"/>
      <c r="BWM32" s="1259"/>
      <c r="BWN32" s="1259"/>
      <c r="BWO32" s="1259"/>
      <c r="BWP32" s="1259"/>
      <c r="BWQ32" s="1259"/>
      <c r="BWR32" s="1259"/>
      <c r="BWS32" s="1259"/>
      <c r="BWT32" s="1259"/>
      <c r="BWU32" s="1259"/>
      <c r="BWV32" s="1259"/>
      <c r="BWW32" s="1259"/>
      <c r="BWX32" s="1259"/>
      <c r="BWY32" s="1259"/>
      <c r="BWZ32" s="1259"/>
      <c r="BXA32" s="1259"/>
      <c r="BXB32" s="1259"/>
      <c r="BXC32" s="1259"/>
      <c r="BXD32" s="1259"/>
      <c r="BXE32" s="1259"/>
      <c r="BXF32" s="1259"/>
      <c r="BXG32" s="1259"/>
      <c r="BXH32" s="1259"/>
      <c r="BXI32" s="1259"/>
      <c r="BXJ32" s="1259"/>
      <c r="BXK32" s="1259"/>
      <c r="BXL32" s="1259"/>
      <c r="BXM32" s="1259"/>
      <c r="BXN32" s="1259"/>
      <c r="BXO32" s="1259"/>
      <c r="BXP32" s="1259"/>
      <c r="BXQ32" s="1259"/>
      <c r="BXR32" s="1259"/>
      <c r="BXS32" s="1259"/>
      <c r="BXT32" s="1259"/>
      <c r="BXU32" s="1259"/>
      <c r="BXV32" s="1259"/>
      <c r="BXW32" s="1259"/>
      <c r="BXX32" s="1259"/>
      <c r="BXY32" s="1259"/>
      <c r="BXZ32" s="1259"/>
      <c r="BYA32" s="1259"/>
      <c r="BYB32" s="1259"/>
      <c r="BYC32" s="1259"/>
      <c r="BYD32" s="1259"/>
      <c r="BYE32" s="1259"/>
      <c r="BYF32" s="1259"/>
      <c r="BYG32" s="1259"/>
      <c r="BYH32" s="1259"/>
      <c r="BYI32" s="1259"/>
      <c r="BYJ32" s="1259"/>
      <c r="BYK32" s="1259"/>
      <c r="BYL32" s="1259"/>
      <c r="BYM32" s="1259"/>
      <c r="BYN32" s="1259"/>
      <c r="BYO32" s="1259"/>
      <c r="BYP32" s="1259"/>
      <c r="BYQ32" s="1259"/>
      <c r="BYR32" s="1259"/>
      <c r="BYS32" s="1259"/>
      <c r="BYT32" s="1259"/>
      <c r="BYU32" s="1259"/>
      <c r="BYV32" s="1259"/>
      <c r="BYW32" s="1259"/>
      <c r="BYX32" s="1259"/>
      <c r="BYY32" s="1259"/>
      <c r="BYZ32" s="1259"/>
      <c r="BZA32" s="1259"/>
      <c r="BZB32" s="1259"/>
      <c r="BZC32" s="1259"/>
      <c r="BZD32" s="1259"/>
      <c r="BZE32" s="1259"/>
      <c r="BZF32" s="1259"/>
      <c r="BZG32" s="1259"/>
      <c r="BZH32" s="1259"/>
      <c r="BZI32" s="1259"/>
      <c r="BZJ32" s="1259"/>
      <c r="BZK32" s="1259"/>
      <c r="BZL32" s="1259"/>
      <c r="BZM32" s="1259"/>
      <c r="BZN32" s="1259"/>
      <c r="BZO32" s="1259"/>
      <c r="BZP32" s="1259"/>
      <c r="BZQ32" s="1259"/>
      <c r="BZR32" s="1259"/>
      <c r="BZS32" s="1259"/>
      <c r="BZT32" s="1259"/>
      <c r="BZU32" s="1259"/>
      <c r="BZV32" s="1259"/>
      <c r="BZW32" s="1259"/>
      <c r="BZX32" s="1259"/>
      <c r="BZY32" s="1259"/>
      <c r="BZZ32" s="1259"/>
      <c r="CAA32" s="1259"/>
      <c r="CAB32" s="1259"/>
      <c r="CAC32" s="1259"/>
      <c r="CAD32" s="1259"/>
      <c r="CAE32" s="1259"/>
      <c r="CAF32" s="1259"/>
      <c r="CAG32" s="1259"/>
      <c r="CAH32" s="1259"/>
      <c r="CAI32" s="1259"/>
      <c r="CAJ32" s="1259"/>
      <c r="CAK32" s="1259"/>
      <c r="CAL32" s="1259"/>
      <c r="CAM32" s="1259"/>
      <c r="CAN32" s="1259"/>
      <c r="CAO32" s="1259"/>
      <c r="CAP32" s="1259"/>
      <c r="CAQ32" s="1259"/>
      <c r="CAR32" s="1259"/>
      <c r="CAS32" s="1259"/>
      <c r="CAT32" s="1259"/>
      <c r="CAU32" s="1259"/>
      <c r="CAV32" s="1259"/>
      <c r="CAW32" s="1259"/>
      <c r="CAX32" s="1259"/>
      <c r="CAY32" s="1259"/>
      <c r="CAZ32" s="1259"/>
      <c r="CBA32" s="1259"/>
      <c r="CBB32" s="1259"/>
      <c r="CBC32" s="1259"/>
      <c r="CBD32" s="1259"/>
      <c r="CBE32" s="1259"/>
      <c r="CBF32" s="1259"/>
      <c r="CBG32" s="1259"/>
      <c r="CBH32" s="1259"/>
      <c r="CBI32" s="1259"/>
      <c r="CBJ32" s="1259"/>
      <c r="CBK32" s="1259"/>
      <c r="CBL32" s="1259"/>
      <c r="CBM32" s="1259"/>
      <c r="CBN32" s="1259"/>
      <c r="CBO32" s="1259"/>
      <c r="CBP32" s="1259"/>
      <c r="CBQ32" s="1259"/>
      <c r="CBR32" s="1259"/>
      <c r="CBS32" s="1259"/>
      <c r="CBT32" s="1259"/>
      <c r="CBU32" s="1259"/>
      <c r="CBV32" s="1259"/>
      <c r="CBW32" s="1259"/>
      <c r="CBX32" s="1259"/>
      <c r="CBY32" s="1259"/>
      <c r="CBZ32" s="1259"/>
      <c r="CCA32" s="1259"/>
      <c r="CCB32" s="1259"/>
      <c r="CCC32" s="1259"/>
      <c r="CCD32" s="1259"/>
      <c r="CCE32" s="1259"/>
      <c r="CCF32" s="1259"/>
      <c r="CCG32" s="1259"/>
      <c r="CCH32" s="1259"/>
      <c r="CCI32" s="1259"/>
      <c r="CCJ32" s="1259"/>
      <c r="CCK32" s="1259"/>
      <c r="CCL32" s="1259"/>
      <c r="CCM32" s="1259"/>
      <c r="CCN32" s="1259"/>
      <c r="CCO32" s="1259"/>
      <c r="CCP32" s="1259"/>
      <c r="CCQ32" s="1259"/>
      <c r="CCR32" s="1259"/>
      <c r="CCS32" s="1259"/>
      <c r="CCT32" s="1259"/>
      <c r="CCU32" s="1259"/>
      <c r="CCV32" s="1259"/>
      <c r="CCW32" s="1259"/>
      <c r="CCX32" s="1259"/>
      <c r="CCY32" s="1259"/>
      <c r="CCZ32" s="1259"/>
      <c r="CDA32" s="1259"/>
      <c r="CDB32" s="1259"/>
      <c r="CDC32" s="1259"/>
      <c r="CDD32" s="1259"/>
      <c r="CDE32" s="1259"/>
      <c r="CDF32" s="1259"/>
      <c r="CDG32" s="1259"/>
      <c r="CDH32" s="1259"/>
      <c r="CDI32" s="1259"/>
      <c r="CDJ32" s="1259"/>
      <c r="CDK32" s="1259"/>
      <c r="CDL32" s="1259"/>
      <c r="CDM32" s="1259"/>
      <c r="CDN32" s="1259"/>
      <c r="CDO32" s="1259"/>
      <c r="CDP32" s="1259"/>
      <c r="CDQ32" s="1259"/>
      <c r="CDR32" s="1259"/>
      <c r="CDS32" s="1259"/>
      <c r="CDT32" s="1259"/>
      <c r="CDU32" s="1259"/>
      <c r="CDV32" s="1259"/>
      <c r="CDW32" s="1259"/>
      <c r="CDX32" s="1259"/>
      <c r="CDY32" s="1259"/>
      <c r="CDZ32" s="1259"/>
      <c r="CEA32" s="1259"/>
      <c r="CEB32" s="1259"/>
      <c r="CEC32" s="1259"/>
      <c r="CED32" s="1259"/>
      <c r="CEE32" s="1259"/>
      <c r="CEF32" s="1259"/>
      <c r="CEG32" s="1259"/>
      <c r="CEH32" s="1259"/>
      <c r="CEI32" s="1259"/>
      <c r="CEJ32" s="1259"/>
      <c r="CEK32" s="1259"/>
      <c r="CEL32" s="1259"/>
      <c r="CEM32" s="1259"/>
      <c r="CEN32" s="1259"/>
      <c r="CEO32" s="1259"/>
      <c r="CEP32" s="1259"/>
      <c r="CEQ32" s="1259"/>
      <c r="CER32" s="1259"/>
      <c r="CES32" s="1259"/>
      <c r="CET32" s="1259"/>
      <c r="CEU32" s="1259"/>
      <c r="CEV32" s="1259"/>
      <c r="CEW32" s="1259"/>
      <c r="CEX32" s="1259"/>
      <c r="CEY32" s="1259"/>
      <c r="CEZ32" s="1259"/>
      <c r="CFA32" s="1259"/>
      <c r="CFB32" s="1259"/>
      <c r="CFC32" s="1259"/>
      <c r="CFD32" s="1259"/>
      <c r="CFE32" s="1259"/>
      <c r="CFF32" s="1259"/>
      <c r="CFG32" s="1259"/>
      <c r="CFH32" s="1259"/>
      <c r="CFI32" s="1259"/>
      <c r="CFJ32" s="1259"/>
      <c r="CFK32" s="1259"/>
      <c r="CFL32" s="1259"/>
      <c r="CFM32" s="1259"/>
      <c r="CFN32" s="1259"/>
      <c r="CFO32" s="1259"/>
      <c r="CFP32" s="1259"/>
      <c r="CFQ32" s="1259"/>
      <c r="CFR32" s="1259"/>
      <c r="CFS32" s="1259"/>
      <c r="CFT32" s="1259"/>
      <c r="CFU32" s="1259"/>
      <c r="CFV32" s="1259"/>
      <c r="CFW32" s="1259"/>
      <c r="CFX32" s="1259"/>
      <c r="CFY32" s="1259"/>
      <c r="CFZ32" s="1259"/>
      <c r="CGA32" s="1259"/>
      <c r="CGB32" s="1259"/>
      <c r="CGC32" s="1259"/>
      <c r="CGD32" s="1259"/>
      <c r="CGE32" s="1259"/>
      <c r="CGF32" s="1259"/>
      <c r="CGG32" s="1259"/>
      <c r="CGH32" s="1259"/>
      <c r="CGI32" s="1259"/>
      <c r="CGJ32" s="1259"/>
      <c r="CGK32" s="1259"/>
      <c r="CGL32" s="1259"/>
      <c r="CGM32" s="1259"/>
      <c r="CGN32" s="1259"/>
      <c r="CGO32" s="1259"/>
      <c r="CGP32" s="1259"/>
      <c r="CGQ32" s="1259"/>
      <c r="CGR32" s="1259"/>
      <c r="CGS32" s="1259"/>
      <c r="CGT32" s="1259"/>
      <c r="CGU32" s="1259"/>
      <c r="CGV32" s="1259"/>
      <c r="CGW32" s="1259"/>
      <c r="CGX32" s="1259"/>
      <c r="CGY32" s="1259"/>
      <c r="CGZ32" s="1259"/>
      <c r="CHA32" s="1259"/>
      <c r="CHB32" s="1259"/>
      <c r="CHC32" s="1259"/>
      <c r="CHD32" s="1259"/>
      <c r="CHE32" s="1259"/>
      <c r="CHF32" s="1259"/>
      <c r="CHG32" s="1259"/>
      <c r="CHH32" s="1259"/>
      <c r="CHI32" s="1259"/>
      <c r="CHJ32" s="1259"/>
      <c r="CHK32" s="1259"/>
      <c r="CHL32" s="1259"/>
      <c r="CHM32" s="1259"/>
      <c r="CHN32" s="1259"/>
      <c r="CHO32" s="1259"/>
      <c r="CHP32" s="1259"/>
      <c r="CHQ32" s="1259"/>
      <c r="CHR32" s="1259"/>
      <c r="CHS32" s="1259"/>
      <c r="CHT32" s="1259"/>
      <c r="CHU32" s="1259"/>
      <c r="CHV32" s="1259"/>
      <c r="CHW32" s="1259"/>
      <c r="CHX32" s="1259"/>
      <c r="CHY32" s="1259"/>
      <c r="CHZ32" s="1259"/>
      <c r="CIA32" s="1259"/>
      <c r="CIB32" s="1259"/>
      <c r="CIC32" s="1259"/>
      <c r="CID32" s="1259"/>
      <c r="CIE32" s="1259"/>
      <c r="CIF32" s="1259"/>
      <c r="CIG32" s="1259"/>
      <c r="CIH32" s="1259"/>
      <c r="CII32" s="1259"/>
      <c r="CIJ32" s="1259"/>
      <c r="CIK32" s="1259"/>
      <c r="CIL32" s="1259"/>
      <c r="CIM32" s="1259"/>
      <c r="CIN32" s="1259"/>
      <c r="CIO32" s="1259"/>
      <c r="CIP32" s="1259"/>
      <c r="CIQ32" s="1259"/>
      <c r="CIR32" s="1259"/>
      <c r="CIS32" s="1259"/>
      <c r="CIT32" s="1259"/>
      <c r="CIU32" s="1259"/>
      <c r="CIV32" s="1259"/>
      <c r="CIW32" s="1259"/>
      <c r="CIX32" s="1259"/>
      <c r="CIY32" s="1259"/>
      <c r="CIZ32" s="1259"/>
      <c r="CJA32" s="1259"/>
      <c r="CJB32" s="1259"/>
      <c r="CJC32" s="1259"/>
      <c r="CJD32" s="1259"/>
      <c r="CJE32" s="1259"/>
      <c r="CJF32" s="1259"/>
      <c r="CJG32" s="1259"/>
      <c r="CJH32" s="1259"/>
      <c r="CJI32" s="1259"/>
      <c r="CJJ32" s="1259"/>
      <c r="CJK32" s="1259"/>
      <c r="CJL32" s="1259"/>
      <c r="CJM32" s="1259"/>
      <c r="CJN32" s="1259"/>
      <c r="CJO32" s="1259"/>
      <c r="CJP32" s="1259"/>
      <c r="CJQ32" s="1259"/>
      <c r="CJR32" s="1259"/>
      <c r="CJS32" s="1259"/>
      <c r="CJT32" s="1259"/>
      <c r="CJU32" s="1259"/>
      <c r="CJV32" s="1259"/>
      <c r="CJW32" s="1259"/>
      <c r="CJX32" s="1259"/>
      <c r="CJY32" s="1259"/>
      <c r="CJZ32" s="1259"/>
      <c r="CKA32" s="1259"/>
      <c r="CKB32" s="1259"/>
      <c r="CKC32" s="1259"/>
      <c r="CKD32" s="1259"/>
      <c r="CKE32" s="1259"/>
      <c r="CKF32" s="1259"/>
      <c r="CKG32" s="1259"/>
      <c r="CKH32" s="1259"/>
      <c r="CKI32" s="1259"/>
      <c r="CKJ32" s="1259"/>
      <c r="CKK32" s="1259"/>
      <c r="CKL32" s="1259"/>
      <c r="CKM32" s="1259"/>
      <c r="CKN32" s="1259"/>
      <c r="CKO32" s="1259"/>
      <c r="CKP32" s="1259"/>
      <c r="CKQ32" s="1259"/>
      <c r="CKR32" s="1259"/>
      <c r="CKS32" s="1259"/>
      <c r="CKT32" s="1259"/>
      <c r="CKU32" s="1259"/>
      <c r="CKV32" s="1259"/>
      <c r="CKW32" s="1259"/>
      <c r="CKX32" s="1259"/>
      <c r="CKY32" s="1259"/>
      <c r="CKZ32" s="1259"/>
      <c r="CLA32" s="1259"/>
      <c r="CLB32" s="1259"/>
      <c r="CLC32" s="1259"/>
      <c r="CLD32" s="1259"/>
      <c r="CLE32" s="1259"/>
      <c r="CLF32" s="1259"/>
      <c r="CLG32" s="1259"/>
      <c r="CLH32" s="1259"/>
      <c r="CLI32" s="1259"/>
      <c r="CLJ32" s="1259"/>
      <c r="CLK32" s="1259"/>
      <c r="CLL32" s="1259"/>
      <c r="CLM32" s="1259"/>
      <c r="CLN32" s="1259"/>
      <c r="CLO32" s="1259"/>
      <c r="CLP32" s="1259"/>
      <c r="CLQ32" s="1259"/>
      <c r="CLR32" s="1259"/>
      <c r="CLS32" s="1259"/>
      <c r="CLT32" s="1259"/>
      <c r="CLU32" s="1259"/>
      <c r="CLV32" s="1259"/>
      <c r="CLW32" s="1259"/>
      <c r="CLX32" s="1259"/>
      <c r="CLY32" s="1259"/>
      <c r="CLZ32" s="1259"/>
      <c r="CMA32" s="1259"/>
      <c r="CMB32" s="1259"/>
      <c r="CMC32" s="1259"/>
      <c r="CMD32" s="1259"/>
      <c r="CME32" s="1259"/>
      <c r="CMF32" s="1259"/>
      <c r="CMG32" s="1259"/>
      <c r="CMH32" s="1259"/>
      <c r="CMI32" s="1259"/>
      <c r="CMJ32" s="1259"/>
      <c r="CMK32" s="1259"/>
      <c r="CML32" s="1259"/>
      <c r="CMM32" s="1259"/>
      <c r="CMN32" s="1259"/>
      <c r="CMO32" s="1259"/>
      <c r="CMP32" s="1259"/>
      <c r="CMQ32" s="1259"/>
      <c r="CMR32" s="1259"/>
      <c r="CMS32" s="1259"/>
      <c r="CMT32" s="1259"/>
      <c r="CMU32" s="1259"/>
      <c r="CMV32" s="1259"/>
      <c r="CMW32" s="1259"/>
      <c r="CMX32" s="1259"/>
      <c r="CMY32" s="1259"/>
      <c r="CMZ32" s="1259"/>
      <c r="CNA32" s="1259"/>
      <c r="CNB32" s="1259"/>
      <c r="CNC32" s="1259"/>
      <c r="CND32" s="1259"/>
      <c r="CNE32" s="1259"/>
      <c r="CNF32" s="1259"/>
      <c r="CNG32" s="1259"/>
      <c r="CNH32" s="1259"/>
      <c r="CNI32" s="1259"/>
      <c r="CNJ32" s="1259"/>
      <c r="CNK32" s="1259"/>
      <c r="CNL32" s="1259"/>
      <c r="CNM32" s="1259"/>
      <c r="CNN32" s="1259"/>
      <c r="CNO32" s="1259"/>
      <c r="CNP32" s="1259"/>
      <c r="CNQ32" s="1259"/>
      <c r="CNR32" s="1259"/>
      <c r="CNS32" s="1259"/>
      <c r="CNT32" s="1259"/>
      <c r="CNU32" s="1259"/>
      <c r="CNV32" s="1259"/>
      <c r="CNW32" s="1259"/>
      <c r="CNX32" s="1259"/>
      <c r="CNY32" s="1259"/>
      <c r="CNZ32" s="1259"/>
      <c r="COA32" s="1259"/>
      <c r="COB32" s="1259"/>
      <c r="COC32" s="1259"/>
      <c r="COD32" s="1259"/>
      <c r="COE32" s="1259"/>
      <c r="COF32" s="1259"/>
      <c r="COG32" s="1259"/>
      <c r="COH32" s="1259"/>
      <c r="COI32" s="1259"/>
      <c r="COJ32" s="1259"/>
      <c r="COK32" s="1259"/>
      <c r="COL32" s="1259"/>
      <c r="COM32" s="1259"/>
      <c r="CON32" s="1259"/>
      <c r="COO32" s="1259"/>
      <c r="COP32" s="1259"/>
      <c r="COQ32" s="1259"/>
      <c r="COR32" s="1259"/>
      <c r="COS32" s="1259"/>
      <c r="COT32" s="1259"/>
      <c r="COU32" s="1259"/>
      <c r="COV32" s="1259"/>
      <c r="COW32" s="1259"/>
      <c r="COX32" s="1259"/>
      <c r="COY32" s="1259"/>
      <c r="COZ32" s="1259"/>
      <c r="CPA32" s="1259"/>
      <c r="CPB32" s="1259"/>
      <c r="CPC32" s="1259"/>
      <c r="CPD32" s="1259"/>
      <c r="CPE32" s="1259"/>
      <c r="CPF32" s="1259"/>
      <c r="CPG32" s="1259"/>
      <c r="CPH32" s="1259"/>
      <c r="CPI32" s="1259"/>
      <c r="CPJ32" s="1259"/>
      <c r="CPK32" s="1259"/>
      <c r="CPL32" s="1259"/>
      <c r="CPM32" s="1259"/>
      <c r="CPN32" s="1259"/>
      <c r="CPO32" s="1259"/>
      <c r="CPP32" s="1259"/>
      <c r="CPQ32" s="1259"/>
      <c r="CPR32" s="1259"/>
      <c r="CPS32" s="1259"/>
      <c r="CPT32" s="1259"/>
      <c r="CPU32" s="1259"/>
      <c r="CPV32" s="1259"/>
      <c r="CPW32" s="1259"/>
      <c r="CPX32" s="1259"/>
      <c r="CPY32" s="1259"/>
      <c r="CPZ32" s="1259"/>
      <c r="CQA32" s="1259"/>
      <c r="CQB32" s="1259"/>
      <c r="CQC32" s="1259"/>
      <c r="CQD32" s="1259"/>
      <c r="CQE32" s="1259"/>
      <c r="CQF32" s="1259"/>
      <c r="CQG32" s="1259"/>
      <c r="CQH32" s="1259"/>
      <c r="CQI32" s="1259"/>
      <c r="CQJ32" s="1259"/>
      <c r="CQK32" s="1259"/>
      <c r="CQL32" s="1259"/>
      <c r="CQM32" s="1259"/>
      <c r="CQN32" s="1259"/>
      <c r="CQO32" s="1259"/>
      <c r="CQP32" s="1259"/>
      <c r="CQQ32" s="1259"/>
      <c r="CQR32" s="1259"/>
      <c r="CQS32" s="1259"/>
      <c r="CQT32" s="1259"/>
      <c r="CQU32" s="1259"/>
      <c r="CQV32" s="1259"/>
      <c r="CQW32" s="1259"/>
      <c r="CQX32" s="1259"/>
      <c r="CQY32" s="1259"/>
      <c r="CQZ32" s="1259"/>
      <c r="CRA32" s="1259"/>
      <c r="CRB32" s="1259"/>
      <c r="CRC32" s="1259"/>
      <c r="CRD32" s="1259"/>
      <c r="CRE32" s="1259"/>
      <c r="CRF32" s="1259"/>
      <c r="CRG32" s="1259"/>
      <c r="CRH32" s="1259"/>
      <c r="CRI32" s="1259"/>
      <c r="CRJ32" s="1259"/>
      <c r="CRK32" s="1259"/>
      <c r="CRL32" s="1259"/>
      <c r="CRM32" s="1259"/>
      <c r="CRN32" s="1259"/>
      <c r="CRO32" s="1259"/>
      <c r="CRP32" s="1259"/>
      <c r="CRQ32" s="1259"/>
      <c r="CRR32" s="1259"/>
      <c r="CRS32" s="1259"/>
      <c r="CRT32" s="1259"/>
      <c r="CRU32" s="1259"/>
      <c r="CRV32" s="1259"/>
      <c r="CRW32" s="1259"/>
      <c r="CRX32" s="1259"/>
      <c r="CRY32" s="1259"/>
      <c r="CRZ32" s="1259"/>
      <c r="CSA32" s="1259"/>
      <c r="CSB32" s="1259"/>
      <c r="CSC32" s="1259"/>
      <c r="CSD32" s="1259"/>
      <c r="CSE32" s="1259"/>
      <c r="CSF32" s="1259"/>
      <c r="CSG32" s="1259"/>
      <c r="CSH32" s="1259"/>
      <c r="CSI32" s="1259"/>
      <c r="CSJ32" s="1259"/>
      <c r="CSK32" s="1259"/>
      <c r="CSL32" s="1259"/>
      <c r="CSM32" s="1259"/>
      <c r="CSN32" s="1259"/>
      <c r="CSO32" s="1259"/>
      <c r="CSP32" s="1259"/>
      <c r="CSQ32" s="1259"/>
      <c r="CSR32" s="1259"/>
      <c r="CSS32" s="1259"/>
      <c r="CST32" s="1259"/>
      <c r="CSU32" s="1259"/>
      <c r="CSV32" s="1259"/>
      <c r="CSW32" s="1259"/>
      <c r="CSX32" s="1259"/>
      <c r="CSY32" s="1259"/>
      <c r="CSZ32" s="1259"/>
      <c r="CTA32" s="1259"/>
      <c r="CTB32" s="1259"/>
      <c r="CTC32" s="1259"/>
      <c r="CTD32" s="1259"/>
      <c r="CTE32" s="1259"/>
      <c r="CTF32" s="1259"/>
      <c r="CTG32" s="1259"/>
      <c r="CTH32" s="1259"/>
      <c r="CTI32" s="1259"/>
      <c r="CTJ32" s="1259"/>
      <c r="CTK32" s="1259"/>
      <c r="CTL32" s="1259"/>
      <c r="CTM32" s="1259"/>
      <c r="CTN32" s="1259"/>
      <c r="CTO32" s="1259"/>
      <c r="CTP32" s="1259"/>
      <c r="CTQ32" s="1259"/>
      <c r="CTR32" s="1259"/>
      <c r="CTS32" s="1259"/>
      <c r="CTT32" s="1259"/>
      <c r="CTU32" s="1259"/>
      <c r="CTV32" s="1259"/>
      <c r="CTW32" s="1259"/>
      <c r="CTX32" s="1259"/>
      <c r="CTY32" s="1259"/>
      <c r="CTZ32" s="1259"/>
      <c r="CUA32" s="1259"/>
      <c r="CUB32" s="1259"/>
      <c r="CUC32" s="1259"/>
      <c r="CUD32" s="1259"/>
      <c r="CUE32" s="1259"/>
      <c r="CUF32" s="1259"/>
      <c r="CUG32" s="1259"/>
      <c r="CUH32" s="1259"/>
      <c r="CUI32" s="1259"/>
      <c r="CUJ32" s="1259"/>
      <c r="CUK32" s="1259"/>
      <c r="CUL32" s="1259"/>
      <c r="CUM32" s="1259"/>
      <c r="CUN32" s="1259"/>
      <c r="CUO32" s="1259"/>
      <c r="CUP32" s="1259"/>
      <c r="CUQ32" s="1259"/>
      <c r="CUR32" s="1259"/>
      <c r="CUS32" s="1259"/>
      <c r="CUT32" s="1259"/>
      <c r="CUU32" s="1259"/>
      <c r="CUV32" s="1259"/>
      <c r="CUW32" s="1259"/>
      <c r="CUX32" s="1259"/>
      <c r="CUY32" s="1259"/>
      <c r="CUZ32" s="1259"/>
      <c r="CVA32" s="1259"/>
      <c r="CVB32" s="1259"/>
      <c r="CVC32" s="1259"/>
      <c r="CVD32" s="1259"/>
      <c r="CVE32" s="1259"/>
      <c r="CVF32" s="1259"/>
      <c r="CVG32" s="1259"/>
      <c r="CVH32" s="1259"/>
      <c r="CVI32" s="1259"/>
      <c r="CVJ32" s="1259"/>
      <c r="CVK32" s="1259"/>
      <c r="CVL32" s="1259"/>
      <c r="CVM32" s="1259"/>
      <c r="CVN32" s="1259"/>
      <c r="CVO32" s="1259"/>
      <c r="CVP32" s="1259"/>
      <c r="CVQ32" s="1259"/>
      <c r="CVR32" s="1259"/>
      <c r="CVS32" s="1259"/>
      <c r="CVT32" s="1259"/>
      <c r="CVU32" s="1259"/>
      <c r="CVV32" s="1259"/>
      <c r="CVW32" s="1259"/>
      <c r="CVX32" s="1259"/>
      <c r="CVY32" s="1259"/>
      <c r="CVZ32" s="1259"/>
      <c r="CWA32" s="1259"/>
      <c r="CWB32" s="1259"/>
      <c r="CWC32" s="1259"/>
      <c r="CWD32" s="1259"/>
      <c r="CWE32" s="1259"/>
      <c r="CWF32" s="1259"/>
      <c r="CWG32" s="1259"/>
      <c r="CWH32" s="1259"/>
      <c r="CWI32" s="1259"/>
      <c r="CWJ32" s="1259"/>
      <c r="CWK32" s="1259"/>
      <c r="CWL32" s="1259"/>
      <c r="CWM32" s="1259"/>
      <c r="CWN32" s="1259"/>
      <c r="CWO32" s="1259"/>
      <c r="CWP32" s="1259"/>
      <c r="CWQ32" s="1259"/>
      <c r="CWR32" s="1259"/>
      <c r="CWS32" s="1259"/>
      <c r="CWT32" s="1259"/>
      <c r="CWU32" s="1259"/>
      <c r="CWV32" s="1259"/>
      <c r="CWW32" s="1259"/>
      <c r="CWX32" s="1259"/>
      <c r="CWY32" s="1259"/>
      <c r="CWZ32" s="1259"/>
      <c r="CXA32" s="1259"/>
      <c r="CXB32" s="1259"/>
      <c r="CXC32" s="1259"/>
      <c r="CXD32" s="1259"/>
      <c r="CXE32" s="1259"/>
      <c r="CXF32" s="1259"/>
      <c r="CXG32" s="1259"/>
      <c r="CXH32" s="1259"/>
      <c r="CXI32" s="1259"/>
      <c r="CXJ32" s="1259"/>
      <c r="CXK32" s="1259"/>
      <c r="CXL32" s="1259"/>
      <c r="CXM32" s="1259"/>
      <c r="CXN32" s="1259"/>
      <c r="CXO32" s="1259"/>
      <c r="CXP32" s="1259"/>
      <c r="CXQ32" s="1259"/>
      <c r="CXR32" s="1259"/>
      <c r="CXS32" s="1259"/>
      <c r="CXT32" s="1259"/>
      <c r="CXU32" s="1259"/>
      <c r="CXV32" s="1259"/>
      <c r="CXW32" s="1259"/>
      <c r="CXX32" s="1259"/>
      <c r="CXY32" s="1259"/>
      <c r="CXZ32" s="1259"/>
      <c r="CYA32" s="1259"/>
      <c r="CYB32" s="1259"/>
      <c r="CYC32" s="1259"/>
      <c r="CYD32" s="1259"/>
      <c r="CYE32" s="1259"/>
      <c r="CYF32" s="1259"/>
      <c r="CYG32" s="1259"/>
      <c r="CYH32" s="1259"/>
      <c r="CYI32" s="1259"/>
      <c r="CYJ32" s="1259"/>
      <c r="CYK32" s="1259"/>
      <c r="CYL32" s="1259"/>
      <c r="CYM32" s="1259"/>
      <c r="CYN32" s="1259"/>
      <c r="CYO32" s="1259"/>
      <c r="CYP32" s="1259"/>
      <c r="CYQ32" s="1259"/>
      <c r="CYR32" s="1259"/>
      <c r="CYS32" s="1259"/>
      <c r="CYT32" s="1259"/>
      <c r="CYU32" s="1259"/>
      <c r="CYV32" s="1259"/>
      <c r="CYW32" s="1259"/>
      <c r="CYX32" s="1259"/>
      <c r="CYY32" s="1259"/>
      <c r="CYZ32" s="1259"/>
      <c r="CZA32" s="1259"/>
      <c r="CZB32" s="1259"/>
      <c r="CZC32" s="1259"/>
      <c r="CZD32" s="1259"/>
      <c r="CZE32" s="1259"/>
      <c r="CZF32" s="1259"/>
      <c r="CZG32" s="1259"/>
      <c r="CZH32" s="1259"/>
      <c r="CZI32" s="1259"/>
      <c r="CZJ32" s="1259"/>
      <c r="CZK32" s="1259"/>
      <c r="CZL32" s="1259"/>
      <c r="CZM32" s="1259"/>
      <c r="CZN32" s="1259"/>
      <c r="CZO32" s="1259"/>
      <c r="CZP32" s="1259"/>
      <c r="CZQ32" s="1259"/>
      <c r="CZR32" s="1259"/>
      <c r="CZS32" s="1259"/>
      <c r="CZT32" s="1259"/>
      <c r="CZU32" s="1259"/>
      <c r="CZV32" s="1259"/>
      <c r="CZW32" s="1259"/>
      <c r="CZX32" s="1259"/>
      <c r="CZY32" s="1259"/>
      <c r="CZZ32" s="1259"/>
      <c r="DAA32" s="1259"/>
      <c r="DAB32" s="1259"/>
      <c r="DAC32" s="1259"/>
      <c r="DAD32" s="1259"/>
      <c r="DAE32" s="1259"/>
      <c r="DAF32" s="1259"/>
      <c r="DAG32" s="1259"/>
      <c r="DAH32" s="1259"/>
      <c r="DAI32" s="1259"/>
      <c r="DAJ32" s="1259"/>
      <c r="DAK32" s="1259"/>
      <c r="DAL32" s="1259"/>
      <c r="DAM32" s="1259"/>
      <c r="DAN32" s="1259"/>
      <c r="DAO32" s="1259"/>
      <c r="DAP32" s="1259"/>
      <c r="DAQ32" s="1259"/>
      <c r="DAR32" s="1259"/>
      <c r="DAS32" s="1259"/>
      <c r="DAT32" s="1259"/>
      <c r="DAU32" s="1259"/>
      <c r="DAV32" s="1259"/>
      <c r="DAW32" s="1259"/>
      <c r="DAX32" s="1259"/>
      <c r="DAY32" s="1259"/>
      <c r="DAZ32" s="1259"/>
      <c r="DBA32" s="1259"/>
      <c r="DBB32" s="1259"/>
      <c r="DBC32" s="1259"/>
      <c r="DBD32" s="1259"/>
      <c r="DBE32" s="1259"/>
      <c r="DBF32" s="1259"/>
      <c r="DBG32" s="1259"/>
      <c r="DBH32" s="1259"/>
      <c r="DBI32" s="1259"/>
      <c r="DBJ32" s="1259"/>
      <c r="DBK32" s="1259"/>
      <c r="DBL32" s="1259"/>
      <c r="DBM32" s="1259"/>
      <c r="DBN32" s="1259"/>
      <c r="DBO32" s="1259"/>
      <c r="DBP32" s="1259"/>
      <c r="DBQ32" s="1259"/>
      <c r="DBR32" s="1259"/>
      <c r="DBS32" s="1259"/>
      <c r="DBT32" s="1259"/>
      <c r="DBU32" s="1259"/>
      <c r="DBV32" s="1259"/>
      <c r="DBW32" s="1259"/>
      <c r="DBX32" s="1259"/>
      <c r="DBY32" s="1259"/>
      <c r="DBZ32" s="1259"/>
      <c r="DCA32" s="1259"/>
      <c r="DCB32" s="1259"/>
      <c r="DCC32" s="1259"/>
      <c r="DCD32" s="1259"/>
      <c r="DCE32" s="1259"/>
      <c r="DCF32" s="1259"/>
      <c r="DCG32" s="1259"/>
      <c r="DCH32" s="1259"/>
      <c r="DCI32" s="1259"/>
      <c r="DCJ32" s="1259"/>
      <c r="DCK32" s="1259"/>
      <c r="DCL32" s="1259"/>
      <c r="DCM32" s="1259"/>
      <c r="DCN32" s="1259"/>
      <c r="DCO32" s="1259"/>
      <c r="DCP32" s="1259"/>
      <c r="DCQ32" s="1259"/>
      <c r="DCR32" s="1259"/>
      <c r="DCS32" s="1259"/>
      <c r="DCT32" s="1259"/>
      <c r="DCU32" s="1259"/>
      <c r="DCV32" s="1259"/>
      <c r="DCW32" s="1259"/>
      <c r="DCX32" s="1259"/>
      <c r="DCY32" s="1259"/>
      <c r="DCZ32" s="1259"/>
      <c r="DDA32" s="1259"/>
      <c r="DDB32" s="1259"/>
      <c r="DDC32" s="1259"/>
      <c r="DDD32" s="1259"/>
      <c r="DDE32" s="1259"/>
      <c r="DDF32" s="1259"/>
      <c r="DDG32" s="1259"/>
      <c r="DDH32" s="1259"/>
      <c r="DDI32" s="1259"/>
      <c r="DDJ32" s="1259"/>
      <c r="DDK32" s="1259"/>
      <c r="DDL32" s="1259"/>
      <c r="DDM32" s="1259"/>
      <c r="DDN32" s="1259"/>
      <c r="DDO32" s="1259"/>
      <c r="DDP32" s="1259"/>
      <c r="DDQ32" s="1259"/>
      <c r="DDR32" s="1259"/>
      <c r="DDS32" s="1259"/>
      <c r="DDT32" s="1259"/>
      <c r="DDU32" s="1259"/>
      <c r="DDV32" s="1259"/>
      <c r="DDW32" s="1259"/>
      <c r="DDX32" s="1259"/>
      <c r="DDY32" s="1259"/>
      <c r="DDZ32" s="1259"/>
      <c r="DEA32" s="1259"/>
      <c r="DEB32" s="1259"/>
      <c r="DEC32" s="1259"/>
      <c r="DED32" s="1259"/>
      <c r="DEE32" s="1259"/>
      <c r="DEF32" s="1259"/>
      <c r="DEG32" s="1259"/>
      <c r="DEH32" s="1259"/>
      <c r="DEI32" s="1259"/>
      <c r="DEJ32" s="1259"/>
      <c r="DEK32" s="1259"/>
      <c r="DEL32" s="1259"/>
      <c r="DEM32" s="1259"/>
      <c r="DEN32" s="1259"/>
      <c r="DEO32" s="1259"/>
      <c r="DEP32" s="1259"/>
      <c r="DEQ32" s="1259"/>
      <c r="DER32" s="1259"/>
      <c r="DES32" s="1259"/>
      <c r="DET32" s="1259"/>
      <c r="DEU32" s="1259"/>
      <c r="DEV32" s="1259"/>
      <c r="DEW32" s="1259"/>
      <c r="DEX32" s="1259"/>
      <c r="DEY32" s="1259"/>
      <c r="DEZ32" s="1259"/>
      <c r="DFA32" s="1259"/>
      <c r="DFB32" s="1259"/>
      <c r="DFC32" s="1259"/>
      <c r="DFD32" s="1259"/>
      <c r="DFE32" s="1259"/>
      <c r="DFF32" s="1259"/>
      <c r="DFG32" s="1259"/>
      <c r="DFH32" s="1259"/>
      <c r="DFI32" s="1259"/>
      <c r="DFJ32" s="1259"/>
      <c r="DFK32" s="1259"/>
      <c r="DFL32" s="1259"/>
      <c r="DFM32" s="1259"/>
      <c r="DFN32" s="1259"/>
      <c r="DFO32" s="1259"/>
      <c r="DFP32" s="1259"/>
      <c r="DFQ32" s="1259"/>
      <c r="DFR32" s="1259"/>
      <c r="DFS32" s="1259"/>
      <c r="DFT32" s="1259"/>
      <c r="DFU32" s="1259"/>
      <c r="DFV32" s="1259"/>
      <c r="DFW32" s="1259"/>
      <c r="DFX32" s="1259"/>
      <c r="DFY32" s="1259"/>
      <c r="DFZ32" s="1259"/>
      <c r="DGA32" s="1259"/>
      <c r="DGB32" s="1259"/>
      <c r="DGC32" s="1259"/>
      <c r="DGD32" s="1259"/>
      <c r="DGE32" s="1259"/>
      <c r="DGF32" s="1259"/>
      <c r="DGG32" s="1259"/>
      <c r="DGH32" s="1259"/>
      <c r="DGI32" s="1259"/>
      <c r="DGJ32" s="1259"/>
      <c r="DGK32" s="1259"/>
      <c r="DGL32" s="1259"/>
      <c r="DGM32" s="1259"/>
      <c r="DGN32" s="1259"/>
      <c r="DGO32" s="1259"/>
      <c r="DGP32" s="1259"/>
      <c r="DGQ32" s="1259"/>
      <c r="DGR32" s="1259"/>
      <c r="DGS32" s="1259"/>
      <c r="DGT32" s="1259"/>
      <c r="DGU32" s="1259"/>
      <c r="DGV32" s="1259"/>
      <c r="DGW32" s="1259"/>
      <c r="DGX32" s="1259"/>
      <c r="DGY32" s="1259"/>
      <c r="DGZ32" s="1259"/>
      <c r="DHA32" s="1259"/>
      <c r="DHB32" s="1259"/>
      <c r="DHC32" s="1259"/>
      <c r="DHD32" s="1259"/>
      <c r="DHE32" s="1259"/>
      <c r="DHF32" s="1259"/>
      <c r="DHG32" s="1259"/>
      <c r="DHH32" s="1259"/>
      <c r="DHI32" s="1259"/>
      <c r="DHJ32" s="1259"/>
      <c r="DHK32" s="1259"/>
      <c r="DHL32" s="1259"/>
      <c r="DHM32" s="1259"/>
      <c r="DHN32" s="1259"/>
      <c r="DHO32" s="1259"/>
      <c r="DHP32" s="1259"/>
      <c r="DHQ32" s="1259"/>
      <c r="DHR32" s="1259"/>
      <c r="DHS32" s="1259"/>
      <c r="DHT32" s="1259"/>
      <c r="DHU32" s="1259"/>
      <c r="DHV32" s="1259"/>
      <c r="DHW32" s="1259"/>
      <c r="DHX32" s="1259"/>
      <c r="DHY32" s="1259"/>
      <c r="DHZ32" s="1259"/>
      <c r="DIA32" s="1259"/>
      <c r="DIB32" s="1259"/>
      <c r="DIC32" s="1259"/>
      <c r="DID32" s="1259"/>
      <c r="DIE32" s="1259"/>
      <c r="DIF32" s="1259"/>
      <c r="DIG32" s="1259"/>
      <c r="DIH32" s="1259"/>
      <c r="DII32" s="1259"/>
      <c r="DIJ32" s="1259"/>
      <c r="DIK32" s="1259"/>
      <c r="DIL32" s="1259"/>
      <c r="DIM32" s="1259"/>
      <c r="DIN32" s="1259"/>
      <c r="DIO32" s="1259"/>
      <c r="DIP32" s="1259"/>
      <c r="DIQ32" s="1259"/>
      <c r="DIR32" s="1259"/>
      <c r="DIS32" s="1259"/>
      <c r="DIT32" s="1259"/>
      <c r="DIU32" s="1259"/>
      <c r="DIV32" s="1259"/>
      <c r="DIW32" s="1259"/>
      <c r="DIX32" s="1259"/>
      <c r="DIY32" s="1259"/>
      <c r="DIZ32" s="1259"/>
      <c r="DJA32" s="1259"/>
      <c r="DJB32" s="1259"/>
      <c r="DJC32" s="1259"/>
      <c r="DJD32" s="1259"/>
      <c r="DJE32" s="1259"/>
      <c r="DJF32" s="1259"/>
      <c r="DJG32" s="1259"/>
      <c r="DJH32" s="1259"/>
      <c r="DJI32" s="1259"/>
      <c r="DJJ32" s="1259"/>
      <c r="DJK32" s="1259"/>
      <c r="DJL32" s="1259"/>
      <c r="DJM32" s="1259"/>
      <c r="DJN32" s="1259"/>
      <c r="DJO32" s="1259"/>
      <c r="DJP32" s="1259"/>
      <c r="DJQ32" s="1259"/>
      <c r="DJR32" s="1259"/>
      <c r="DJS32" s="1259"/>
      <c r="DJT32" s="1259"/>
      <c r="DJU32" s="1259"/>
      <c r="DJV32" s="1259"/>
      <c r="DJW32" s="1259"/>
      <c r="DJX32" s="1259"/>
      <c r="DJY32" s="1259"/>
      <c r="DJZ32" s="1259"/>
      <c r="DKA32" s="1259"/>
      <c r="DKB32" s="1259"/>
      <c r="DKC32" s="1259"/>
      <c r="DKD32" s="1259"/>
      <c r="DKE32" s="1259"/>
      <c r="DKF32" s="1259"/>
      <c r="DKG32" s="1259"/>
      <c r="DKH32" s="1259"/>
      <c r="DKI32" s="1259"/>
      <c r="DKJ32" s="1259"/>
      <c r="DKK32" s="1259"/>
      <c r="DKL32" s="1259"/>
      <c r="DKM32" s="1259"/>
      <c r="DKN32" s="1259"/>
      <c r="DKO32" s="1259"/>
      <c r="DKP32" s="1259"/>
      <c r="DKQ32" s="1259"/>
      <c r="DKR32" s="1259"/>
      <c r="DKS32" s="1259"/>
      <c r="DKT32" s="1259"/>
      <c r="DKU32" s="1259"/>
      <c r="DKV32" s="1259"/>
      <c r="DKW32" s="1259"/>
      <c r="DKX32" s="1259"/>
      <c r="DKY32" s="1259"/>
      <c r="DKZ32" s="1259"/>
      <c r="DLA32" s="1259"/>
      <c r="DLB32" s="1259"/>
      <c r="DLC32" s="1259"/>
      <c r="DLD32" s="1259"/>
      <c r="DLE32" s="1259"/>
      <c r="DLF32" s="1259"/>
      <c r="DLG32" s="1259"/>
      <c r="DLH32" s="1259"/>
      <c r="DLI32" s="1259"/>
      <c r="DLJ32" s="1259"/>
      <c r="DLK32" s="1259"/>
      <c r="DLL32" s="1259"/>
      <c r="DLM32" s="1259"/>
      <c r="DLN32" s="1259"/>
      <c r="DLO32" s="1259"/>
      <c r="DLP32" s="1259"/>
      <c r="DLQ32" s="1259"/>
      <c r="DLR32" s="1259"/>
      <c r="DLS32" s="1259"/>
      <c r="DLT32" s="1259"/>
      <c r="DLU32" s="1259"/>
      <c r="DLV32" s="1259"/>
      <c r="DLW32" s="1259"/>
      <c r="DLX32" s="1259"/>
      <c r="DLY32" s="1259"/>
      <c r="DLZ32" s="1259"/>
      <c r="DMA32" s="1259"/>
      <c r="DMB32" s="1259"/>
      <c r="DMC32" s="1259"/>
      <c r="DMD32" s="1259"/>
      <c r="DME32" s="1259"/>
      <c r="DMF32" s="1259"/>
      <c r="DMG32" s="1259"/>
      <c r="DMH32" s="1259"/>
      <c r="DMI32" s="1259"/>
      <c r="DMJ32" s="1259"/>
      <c r="DMK32" s="1259"/>
      <c r="DML32" s="1259"/>
      <c r="DMM32" s="1259"/>
      <c r="DMN32" s="1259"/>
      <c r="DMO32" s="1259"/>
      <c r="DMP32" s="1259"/>
      <c r="DMQ32" s="1259"/>
      <c r="DMR32" s="1259"/>
      <c r="DMS32" s="1259"/>
      <c r="DMT32" s="1259"/>
      <c r="DMU32" s="1259"/>
      <c r="DMV32" s="1259"/>
      <c r="DMW32" s="1259"/>
      <c r="DMX32" s="1259"/>
      <c r="DMY32" s="1259"/>
      <c r="DMZ32" s="1259"/>
      <c r="DNA32" s="1259"/>
      <c r="DNB32" s="1259"/>
      <c r="DNC32" s="1259"/>
      <c r="DND32" s="1259"/>
      <c r="DNE32" s="1259"/>
      <c r="DNF32" s="1259"/>
      <c r="DNG32" s="1259"/>
      <c r="DNH32" s="1259"/>
      <c r="DNI32" s="1259"/>
      <c r="DNJ32" s="1259"/>
      <c r="DNK32" s="1259"/>
      <c r="DNL32" s="1259"/>
      <c r="DNM32" s="1259"/>
      <c r="DNN32" s="1259"/>
      <c r="DNO32" s="1259"/>
      <c r="DNP32" s="1259"/>
      <c r="DNQ32" s="1259"/>
      <c r="DNR32" s="1259"/>
      <c r="DNS32" s="1259"/>
      <c r="DNT32" s="1259"/>
      <c r="DNU32" s="1259"/>
      <c r="DNV32" s="1259"/>
      <c r="DNW32" s="1259"/>
      <c r="DNX32" s="1259"/>
      <c r="DNY32" s="1259"/>
      <c r="DNZ32" s="1259"/>
      <c r="DOA32" s="1259"/>
      <c r="DOB32" s="1259"/>
      <c r="DOC32" s="1259"/>
      <c r="DOD32" s="1259"/>
      <c r="DOE32" s="1259"/>
      <c r="DOF32" s="1259"/>
      <c r="DOG32" s="1259"/>
      <c r="DOH32" s="1259"/>
      <c r="DOI32" s="1259"/>
      <c r="DOJ32" s="1259"/>
      <c r="DOK32" s="1259"/>
      <c r="DOL32" s="1259"/>
      <c r="DOM32" s="1259"/>
      <c r="DON32" s="1259"/>
      <c r="DOO32" s="1259"/>
      <c r="DOP32" s="1259"/>
      <c r="DOQ32" s="1259"/>
      <c r="DOR32" s="1259"/>
      <c r="DOS32" s="1259"/>
      <c r="DOT32" s="1259"/>
      <c r="DOU32" s="1259"/>
      <c r="DOV32" s="1259"/>
      <c r="DOW32" s="1259"/>
      <c r="DOX32" s="1259"/>
      <c r="DOY32" s="1259"/>
      <c r="DOZ32" s="1259"/>
      <c r="DPA32" s="1259"/>
      <c r="DPB32" s="1259"/>
      <c r="DPC32" s="1259"/>
      <c r="DPD32" s="1259"/>
      <c r="DPE32" s="1259"/>
      <c r="DPF32" s="1259"/>
      <c r="DPG32" s="1259"/>
      <c r="DPH32" s="1259"/>
      <c r="DPI32" s="1259"/>
      <c r="DPJ32" s="1259"/>
      <c r="DPK32" s="1259"/>
      <c r="DPL32" s="1259"/>
      <c r="DPM32" s="1259"/>
      <c r="DPN32" s="1259"/>
      <c r="DPO32" s="1259"/>
      <c r="DPP32" s="1259"/>
      <c r="DPQ32" s="1259"/>
      <c r="DPR32" s="1259"/>
      <c r="DPS32" s="1259"/>
      <c r="DPT32" s="1259"/>
      <c r="DPU32" s="1259"/>
      <c r="DPV32" s="1259"/>
      <c r="DPW32" s="1259"/>
      <c r="DPX32" s="1259"/>
      <c r="DPY32" s="1259"/>
      <c r="DPZ32" s="1259"/>
      <c r="DQA32" s="1259"/>
      <c r="DQB32" s="1259"/>
      <c r="DQC32" s="1259"/>
      <c r="DQD32" s="1259"/>
      <c r="DQE32" s="1259"/>
      <c r="DQF32" s="1259"/>
      <c r="DQG32" s="1259"/>
      <c r="DQH32" s="1259"/>
      <c r="DQI32" s="1259"/>
      <c r="DQJ32" s="1259"/>
      <c r="DQK32" s="1259"/>
      <c r="DQL32" s="1259"/>
      <c r="DQM32" s="1259"/>
      <c r="DQN32" s="1259"/>
      <c r="DQO32" s="1259"/>
      <c r="DQP32" s="1259"/>
      <c r="DQQ32" s="1259"/>
      <c r="DQR32" s="1259"/>
      <c r="DQS32" s="1259"/>
      <c r="DQT32" s="1259"/>
      <c r="DQU32" s="1259"/>
      <c r="DQV32" s="1259"/>
      <c r="DQW32" s="1259"/>
      <c r="DQX32" s="1259"/>
      <c r="DQY32" s="1259"/>
      <c r="DQZ32" s="1259"/>
      <c r="DRA32" s="1259"/>
      <c r="DRB32" s="1259"/>
      <c r="DRC32" s="1259"/>
      <c r="DRD32" s="1259"/>
      <c r="DRE32" s="1259"/>
      <c r="DRF32" s="1259"/>
      <c r="DRG32" s="1259"/>
      <c r="DRH32" s="1259"/>
      <c r="DRI32" s="1259"/>
      <c r="DRJ32" s="1259"/>
      <c r="DRK32" s="1259"/>
      <c r="DRL32" s="1259"/>
      <c r="DRM32" s="1259"/>
      <c r="DRN32" s="1259"/>
      <c r="DRO32" s="1259"/>
      <c r="DRP32" s="1259"/>
      <c r="DRQ32" s="1259"/>
      <c r="DRR32" s="1259"/>
      <c r="DRS32" s="1259"/>
      <c r="DRT32" s="1259"/>
      <c r="DRU32" s="1259"/>
      <c r="DRV32" s="1259"/>
      <c r="DRW32" s="1259"/>
      <c r="DRX32" s="1259"/>
      <c r="DRY32" s="1259"/>
      <c r="DRZ32" s="1259"/>
      <c r="DSA32" s="1259"/>
      <c r="DSB32" s="1259"/>
      <c r="DSC32" s="1259"/>
      <c r="DSD32" s="1259"/>
      <c r="DSE32" s="1259"/>
      <c r="DSF32" s="1259"/>
      <c r="DSG32" s="1259"/>
      <c r="DSH32" s="1259"/>
      <c r="DSI32" s="1259"/>
      <c r="DSJ32" s="1259"/>
      <c r="DSK32" s="1259"/>
      <c r="DSL32" s="1259"/>
      <c r="DSM32" s="1259"/>
      <c r="DSN32" s="1259"/>
      <c r="DSO32" s="1259"/>
      <c r="DSP32" s="1259"/>
      <c r="DSQ32" s="1259"/>
      <c r="DSR32" s="1259"/>
      <c r="DSS32" s="1259"/>
      <c r="DST32" s="1259"/>
      <c r="DSU32" s="1259"/>
      <c r="DSV32" s="1259"/>
      <c r="DSW32" s="1259"/>
      <c r="DSX32" s="1259"/>
      <c r="DSY32" s="1259"/>
      <c r="DSZ32" s="1259"/>
      <c r="DTA32" s="1259"/>
      <c r="DTB32" s="1259"/>
      <c r="DTC32" s="1259"/>
      <c r="DTD32" s="1259"/>
      <c r="DTE32" s="1259"/>
      <c r="DTF32" s="1259"/>
      <c r="DTG32" s="1259"/>
      <c r="DTH32" s="1259"/>
      <c r="DTI32" s="1259"/>
      <c r="DTJ32" s="1259"/>
      <c r="DTK32" s="1259"/>
      <c r="DTL32" s="1259"/>
      <c r="DTM32" s="1259"/>
      <c r="DTN32" s="1259"/>
      <c r="DTO32" s="1259"/>
      <c r="DTP32" s="1259"/>
      <c r="DTQ32" s="1259"/>
      <c r="DTR32" s="1259"/>
      <c r="DTS32" s="1259"/>
      <c r="DTT32" s="1259"/>
      <c r="DTU32" s="1259"/>
      <c r="DTV32" s="1259"/>
      <c r="DTW32" s="1259"/>
      <c r="DTX32" s="1259"/>
      <c r="DTY32" s="1259"/>
      <c r="DTZ32" s="1259"/>
      <c r="DUA32" s="1259"/>
      <c r="DUB32" s="1259"/>
      <c r="DUC32" s="1259"/>
      <c r="DUD32" s="1259"/>
      <c r="DUE32" s="1259"/>
      <c r="DUF32" s="1259"/>
      <c r="DUG32" s="1259"/>
      <c r="DUH32" s="1259"/>
      <c r="DUI32" s="1259"/>
      <c r="DUJ32" s="1259"/>
      <c r="DUK32" s="1259"/>
      <c r="DUL32" s="1259"/>
      <c r="DUM32" s="1259"/>
      <c r="DUN32" s="1259"/>
      <c r="DUO32" s="1259"/>
      <c r="DUP32" s="1259"/>
      <c r="DUQ32" s="1259"/>
      <c r="DUR32" s="1259"/>
      <c r="DUS32" s="1259"/>
      <c r="DUT32" s="1259"/>
      <c r="DUU32" s="1259"/>
      <c r="DUV32" s="1259"/>
      <c r="DUW32" s="1259"/>
      <c r="DUX32" s="1259"/>
      <c r="DUY32" s="1259"/>
      <c r="DUZ32" s="1259"/>
      <c r="DVA32" s="1259"/>
      <c r="DVB32" s="1259"/>
      <c r="DVC32" s="1259"/>
      <c r="DVD32" s="1259"/>
      <c r="DVE32" s="1259"/>
      <c r="DVF32" s="1259"/>
      <c r="DVG32" s="1259"/>
      <c r="DVH32" s="1259"/>
      <c r="DVI32" s="1259"/>
      <c r="DVJ32" s="1259"/>
      <c r="DVK32" s="1259"/>
      <c r="DVL32" s="1259"/>
      <c r="DVM32" s="1259"/>
      <c r="DVN32" s="1259"/>
      <c r="DVO32" s="1259"/>
      <c r="DVP32" s="1259"/>
      <c r="DVQ32" s="1259"/>
      <c r="DVR32" s="1259"/>
      <c r="DVS32" s="1259"/>
      <c r="DVT32" s="1259"/>
      <c r="DVU32" s="1259"/>
      <c r="DVV32" s="1259"/>
      <c r="DVW32" s="1259"/>
      <c r="DVX32" s="1259"/>
      <c r="DVY32" s="1259"/>
      <c r="DVZ32" s="1259"/>
      <c r="DWA32" s="1259"/>
      <c r="DWB32" s="1259"/>
      <c r="DWC32" s="1259"/>
      <c r="DWD32" s="1259"/>
      <c r="DWE32" s="1259"/>
      <c r="DWF32" s="1259"/>
      <c r="DWG32" s="1259"/>
      <c r="DWH32" s="1259"/>
      <c r="DWI32" s="1259"/>
      <c r="DWJ32" s="1259"/>
      <c r="DWK32" s="1259"/>
      <c r="DWL32" s="1259"/>
      <c r="DWM32" s="1259"/>
      <c r="DWN32" s="1259"/>
      <c r="DWO32" s="1259"/>
      <c r="DWP32" s="1259"/>
      <c r="DWQ32" s="1259"/>
      <c r="DWR32" s="1259"/>
      <c r="DWS32" s="1259"/>
      <c r="DWT32" s="1259"/>
      <c r="DWU32" s="1259"/>
      <c r="DWV32" s="1259"/>
      <c r="DWW32" s="1259"/>
      <c r="DWX32" s="1259"/>
      <c r="DWY32" s="1259"/>
      <c r="DWZ32" s="1259"/>
      <c r="DXA32" s="1259"/>
      <c r="DXB32" s="1259"/>
      <c r="DXC32" s="1259"/>
      <c r="DXD32" s="1259"/>
      <c r="DXE32" s="1259"/>
      <c r="DXF32" s="1259"/>
      <c r="DXG32" s="1259"/>
      <c r="DXH32" s="1259"/>
      <c r="DXI32" s="1259"/>
      <c r="DXJ32" s="1259"/>
      <c r="DXK32" s="1259"/>
      <c r="DXL32" s="1259"/>
      <c r="DXM32" s="1259"/>
      <c r="DXN32" s="1259"/>
      <c r="DXO32" s="1259"/>
      <c r="DXP32" s="1259"/>
      <c r="DXQ32" s="1259"/>
      <c r="DXR32" s="1259"/>
      <c r="DXS32" s="1259"/>
      <c r="DXT32" s="1259"/>
      <c r="DXU32" s="1259"/>
      <c r="DXV32" s="1259"/>
      <c r="DXW32" s="1259"/>
      <c r="DXX32" s="1259"/>
      <c r="DXY32" s="1259"/>
      <c r="DXZ32" s="1259"/>
      <c r="DYA32" s="1259"/>
      <c r="DYB32" s="1259"/>
      <c r="DYC32" s="1259"/>
      <c r="DYD32" s="1259"/>
      <c r="DYE32" s="1259"/>
      <c r="DYF32" s="1259"/>
      <c r="DYG32" s="1259"/>
      <c r="DYH32" s="1259"/>
      <c r="DYI32" s="1259"/>
      <c r="DYJ32" s="1259"/>
      <c r="DYK32" s="1259"/>
      <c r="DYL32" s="1259"/>
      <c r="DYM32" s="1259"/>
      <c r="DYN32" s="1259"/>
      <c r="DYO32" s="1259"/>
      <c r="DYP32" s="1259"/>
      <c r="DYQ32" s="1259"/>
      <c r="DYR32" s="1259"/>
      <c r="DYS32" s="1259"/>
      <c r="DYT32" s="1259"/>
      <c r="DYU32" s="1259"/>
      <c r="DYV32" s="1259"/>
      <c r="DYW32" s="1259"/>
      <c r="DYX32" s="1259"/>
      <c r="DYY32" s="1259"/>
      <c r="DYZ32" s="1259"/>
      <c r="DZA32" s="1259"/>
      <c r="DZB32" s="1259"/>
      <c r="DZC32" s="1259"/>
      <c r="DZD32" s="1259"/>
      <c r="DZE32" s="1259"/>
      <c r="DZF32" s="1259"/>
      <c r="DZG32" s="1259"/>
      <c r="DZH32" s="1259"/>
      <c r="DZI32" s="1259"/>
      <c r="DZJ32" s="1259"/>
      <c r="DZK32" s="1259"/>
      <c r="DZL32" s="1259"/>
      <c r="DZM32" s="1259"/>
      <c r="DZN32" s="1259"/>
      <c r="DZO32" s="1259"/>
      <c r="DZP32" s="1259"/>
      <c r="DZQ32" s="1259"/>
      <c r="DZR32" s="1259"/>
      <c r="DZS32" s="1259"/>
      <c r="DZT32" s="1259"/>
      <c r="DZU32" s="1259"/>
      <c r="DZV32" s="1259"/>
      <c r="DZW32" s="1259"/>
      <c r="DZX32" s="1259"/>
      <c r="DZY32" s="1259"/>
      <c r="DZZ32" s="1259"/>
      <c r="EAA32" s="1259"/>
      <c r="EAB32" s="1259"/>
      <c r="EAC32" s="1259"/>
      <c r="EAD32" s="1259"/>
      <c r="EAE32" s="1259"/>
      <c r="EAF32" s="1259"/>
      <c r="EAG32" s="1259"/>
      <c r="EAH32" s="1259"/>
      <c r="EAI32" s="1259"/>
      <c r="EAJ32" s="1259"/>
      <c r="EAK32" s="1259"/>
      <c r="EAL32" s="1259"/>
      <c r="EAM32" s="1259"/>
      <c r="EAN32" s="1259"/>
      <c r="EAO32" s="1259"/>
      <c r="EAP32" s="1259"/>
      <c r="EAQ32" s="1259"/>
      <c r="EAR32" s="1259"/>
      <c r="EAS32" s="1259"/>
      <c r="EAT32" s="1259"/>
      <c r="EAU32" s="1259"/>
      <c r="EAV32" s="1259"/>
      <c r="EAW32" s="1259"/>
      <c r="EAX32" s="1259"/>
      <c r="EAY32" s="1259"/>
      <c r="EAZ32" s="1259"/>
      <c r="EBA32" s="1259"/>
      <c r="EBB32" s="1259"/>
      <c r="EBC32" s="1259"/>
      <c r="EBD32" s="1259"/>
      <c r="EBE32" s="1259"/>
      <c r="EBF32" s="1259"/>
      <c r="EBG32" s="1259"/>
      <c r="EBH32" s="1259"/>
      <c r="EBI32" s="1259"/>
      <c r="EBJ32" s="1259"/>
      <c r="EBK32" s="1259"/>
      <c r="EBL32" s="1259"/>
      <c r="EBM32" s="1259"/>
      <c r="EBN32" s="1259"/>
      <c r="EBO32" s="1259"/>
      <c r="EBP32" s="1259"/>
      <c r="EBQ32" s="1259"/>
      <c r="EBR32" s="1259"/>
      <c r="EBS32" s="1259"/>
      <c r="EBT32" s="1259"/>
      <c r="EBU32" s="1259"/>
      <c r="EBV32" s="1259"/>
      <c r="EBW32" s="1259"/>
      <c r="EBX32" s="1259"/>
      <c r="EBY32" s="1259"/>
      <c r="EBZ32" s="1259"/>
      <c r="ECA32" s="1259"/>
      <c r="ECB32" s="1259"/>
      <c r="ECC32" s="1259"/>
      <c r="ECD32" s="1259"/>
      <c r="ECE32" s="1259"/>
      <c r="ECF32" s="1259"/>
      <c r="ECG32" s="1259"/>
      <c r="ECH32" s="1259"/>
      <c r="ECI32" s="1259"/>
      <c r="ECJ32" s="1259"/>
      <c r="ECK32" s="1259"/>
      <c r="ECL32" s="1259"/>
      <c r="ECM32" s="1259"/>
      <c r="ECN32" s="1259"/>
      <c r="ECO32" s="1259"/>
      <c r="ECP32" s="1259"/>
      <c r="ECQ32" s="1259"/>
      <c r="ECR32" s="1259"/>
      <c r="ECS32" s="1259"/>
      <c r="ECT32" s="1259"/>
      <c r="ECU32" s="1259"/>
      <c r="ECV32" s="1259"/>
      <c r="ECW32" s="1259"/>
      <c r="ECX32" s="1259"/>
      <c r="ECY32" s="1259"/>
      <c r="ECZ32" s="1259"/>
      <c r="EDA32" s="1259"/>
      <c r="EDB32" s="1259"/>
      <c r="EDC32" s="1259"/>
      <c r="EDD32" s="1259"/>
      <c r="EDE32" s="1259"/>
      <c r="EDF32" s="1259"/>
      <c r="EDG32" s="1259"/>
      <c r="EDH32" s="1259"/>
      <c r="EDI32" s="1259"/>
      <c r="EDJ32" s="1259"/>
      <c r="EDK32" s="1259"/>
      <c r="EDL32" s="1259"/>
      <c r="EDM32" s="1259"/>
      <c r="EDN32" s="1259"/>
      <c r="EDO32" s="1259"/>
      <c r="EDP32" s="1259"/>
      <c r="EDQ32" s="1259"/>
      <c r="EDR32" s="1259"/>
      <c r="EDS32" s="1259"/>
      <c r="EDT32" s="1259"/>
      <c r="EDU32" s="1259"/>
      <c r="EDV32" s="1259"/>
      <c r="EDW32" s="1259"/>
      <c r="EDX32" s="1259"/>
      <c r="EDY32" s="1259"/>
      <c r="EDZ32" s="1259"/>
      <c r="EEA32" s="1259"/>
      <c r="EEB32" s="1259"/>
      <c r="EEC32" s="1259"/>
      <c r="EED32" s="1259"/>
      <c r="EEE32" s="1259"/>
      <c r="EEF32" s="1259"/>
      <c r="EEG32" s="1259"/>
      <c r="EEH32" s="1259"/>
      <c r="EEI32" s="1259"/>
      <c r="EEJ32" s="1259"/>
      <c r="EEK32" s="1259"/>
      <c r="EEL32" s="1259"/>
      <c r="EEM32" s="1259"/>
      <c r="EEN32" s="1259"/>
      <c r="EEO32" s="1259"/>
      <c r="EEP32" s="1259"/>
      <c r="EEQ32" s="1259"/>
      <c r="EER32" s="1259"/>
      <c r="EES32" s="1259"/>
      <c r="EET32" s="1259"/>
      <c r="EEU32" s="1259"/>
      <c r="EEV32" s="1259"/>
      <c r="EEW32" s="1259"/>
      <c r="EEX32" s="1259"/>
      <c r="EEY32" s="1259"/>
      <c r="EEZ32" s="1259"/>
      <c r="EFA32" s="1259"/>
      <c r="EFB32" s="1259"/>
      <c r="EFC32" s="1259"/>
      <c r="EFD32" s="1259"/>
      <c r="EFE32" s="1259"/>
      <c r="EFF32" s="1259"/>
      <c r="EFG32" s="1259"/>
      <c r="EFH32" s="1259"/>
      <c r="EFI32" s="1259"/>
      <c r="EFJ32" s="1259"/>
      <c r="EFK32" s="1259"/>
      <c r="EFL32" s="1259"/>
      <c r="EFM32" s="1259"/>
      <c r="EFN32" s="1259"/>
      <c r="EFO32" s="1259"/>
      <c r="EFP32" s="1259"/>
      <c r="EFQ32" s="1259"/>
      <c r="EFR32" s="1259"/>
      <c r="EFS32" s="1259"/>
      <c r="EFT32" s="1259"/>
      <c r="EFU32" s="1259"/>
      <c r="EFV32" s="1259"/>
      <c r="EFW32" s="1259"/>
      <c r="EFX32" s="1259"/>
      <c r="EFY32" s="1259"/>
      <c r="EFZ32" s="1259"/>
      <c r="EGA32" s="1259"/>
      <c r="EGB32" s="1259"/>
      <c r="EGC32" s="1259"/>
      <c r="EGD32" s="1259"/>
      <c r="EGE32" s="1259"/>
      <c r="EGF32" s="1259"/>
      <c r="EGG32" s="1259"/>
      <c r="EGH32" s="1259"/>
      <c r="EGI32" s="1259"/>
      <c r="EGJ32" s="1259"/>
      <c r="EGK32" s="1259"/>
      <c r="EGL32" s="1259"/>
      <c r="EGM32" s="1259"/>
      <c r="EGN32" s="1259"/>
      <c r="EGO32" s="1259"/>
      <c r="EGP32" s="1259"/>
      <c r="EGQ32" s="1259"/>
      <c r="EGR32" s="1259"/>
      <c r="EGS32" s="1259"/>
      <c r="EGT32" s="1259"/>
      <c r="EGU32" s="1259"/>
      <c r="EGV32" s="1259"/>
      <c r="EGW32" s="1259"/>
      <c r="EGX32" s="1259"/>
      <c r="EGY32" s="1259"/>
      <c r="EGZ32" s="1259"/>
      <c r="EHA32" s="1259"/>
      <c r="EHB32" s="1259"/>
      <c r="EHC32" s="1259"/>
      <c r="EHD32" s="1259"/>
      <c r="EHE32" s="1259"/>
      <c r="EHF32" s="1259"/>
      <c r="EHG32" s="1259"/>
      <c r="EHH32" s="1259"/>
      <c r="EHI32" s="1259"/>
      <c r="EHJ32" s="1259"/>
      <c r="EHK32" s="1259"/>
      <c r="EHL32" s="1259"/>
      <c r="EHM32" s="1259"/>
      <c r="EHN32" s="1259"/>
      <c r="EHO32" s="1259"/>
      <c r="EHP32" s="1259"/>
      <c r="EHQ32" s="1259"/>
      <c r="EHR32" s="1259"/>
      <c r="EHS32" s="1259"/>
      <c r="EHT32" s="1259"/>
      <c r="EHU32" s="1259"/>
      <c r="EHV32" s="1259"/>
      <c r="EHW32" s="1259"/>
      <c r="EHX32" s="1259"/>
      <c r="EHY32" s="1259"/>
      <c r="EHZ32" s="1259"/>
      <c r="EIA32" s="1259"/>
      <c r="EIB32" s="1259"/>
      <c r="EIC32" s="1259"/>
      <c r="EID32" s="1259"/>
      <c r="EIE32" s="1259"/>
      <c r="EIF32" s="1259"/>
      <c r="EIG32" s="1259"/>
      <c r="EIH32" s="1259"/>
      <c r="EII32" s="1259"/>
      <c r="EIJ32" s="1259"/>
      <c r="EIK32" s="1259"/>
      <c r="EIL32" s="1259"/>
      <c r="EIM32" s="1259"/>
      <c r="EIN32" s="1259"/>
      <c r="EIO32" s="1259"/>
      <c r="EIP32" s="1259"/>
      <c r="EIQ32" s="1259"/>
      <c r="EIR32" s="1259"/>
      <c r="EIS32" s="1259"/>
      <c r="EIT32" s="1259"/>
      <c r="EIU32" s="1259"/>
      <c r="EIV32" s="1259"/>
      <c r="EIW32" s="1259"/>
      <c r="EIX32" s="1259"/>
      <c r="EIY32" s="1259"/>
      <c r="EIZ32" s="1259"/>
      <c r="EJA32" s="1259"/>
      <c r="EJB32" s="1259"/>
      <c r="EJC32" s="1259"/>
      <c r="EJD32" s="1259"/>
      <c r="EJE32" s="1259"/>
      <c r="EJF32" s="1259"/>
      <c r="EJG32" s="1259"/>
      <c r="EJH32" s="1259"/>
      <c r="EJI32" s="1259"/>
      <c r="EJJ32" s="1259"/>
      <c r="EJK32" s="1259"/>
      <c r="EJL32" s="1259"/>
      <c r="EJM32" s="1259"/>
      <c r="EJN32" s="1259"/>
      <c r="EJO32" s="1259"/>
      <c r="EJP32" s="1259"/>
      <c r="EJQ32" s="1259"/>
      <c r="EJR32" s="1259"/>
      <c r="EJS32" s="1259"/>
      <c r="EJT32" s="1259"/>
      <c r="EJU32" s="1259"/>
      <c r="EJV32" s="1259"/>
      <c r="EJW32" s="1259"/>
      <c r="EJX32" s="1259"/>
      <c r="EJY32" s="1259"/>
      <c r="EJZ32" s="1259"/>
      <c r="EKA32" s="1259"/>
      <c r="EKB32" s="1259"/>
      <c r="EKC32" s="1259"/>
      <c r="EKD32" s="1259"/>
      <c r="EKE32" s="1259"/>
      <c r="EKF32" s="1259"/>
      <c r="EKG32" s="1259"/>
      <c r="EKH32" s="1259"/>
      <c r="EKI32" s="1259"/>
      <c r="EKJ32" s="1259"/>
      <c r="EKK32" s="1259"/>
      <c r="EKL32" s="1259"/>
      <c r="EKM32" s="1259"/>
      <c r="EKN32" s="1259"/>
      <c r="EKO32" s="1259"/>
      <c r="EKP32" s="1259"/>
      <c r="EKQ32" s="1259"/>
      <c r="EKR32" s="1259"/>
      <c r="EKS32" s="1259"/>
      <c r="EKT32" s="1259"/>
      <c r="EKU32" s="1259"/>
      <c r="EKV32" s="1259"/>
      <c r="EKW32" s="1259"/>
      <c r="EKX32" s="1259"/>
      <c r="EKY32" s="1259"/>
      <c r="EKZ32" s="1259"/>
      <c r="ELA32" s="1259"/>
      <c r="ELB32" s="1259"/>
      <c r="ELC32" s="1259"/>
      <c r="ELD32" s="1259"/>
      <c r="ELE32" s="1259"/>
      <c r="ELF32" s="1259"/>
      <c r="ELG32" s="1259"/>
      <c r="ELH32" s="1259"/>
      <c r="ELI32" s="1259"/>
      <c r="ELJ32" s="1259"/>
      <c r="ELK32" s="1259"/>
      <c r="ELL32" s="1259"/>
      <c r="ELM32" s="1259"/>
      <c r="ELN32" s="1259"/>
      <c r="ELO32" s="1259"/>
      <c r="ELP32" s="1259"/>
      <c r="ELQ32" s="1259"/>
      <c r="ELR32" s="1259"/>
      <c r="ELS32" s="1259"/>
      <c r="ELT32" s="1259"/>
      <c r="ELU32" s="1259"/>
      <c r="ELV32" s="1259"/>
      <c r="ELW32" s="1259"/>
      <c r="ELX32" s="1259"/>
      <c r="ELY32" s="1259"/>
      <c r="ELZ32" s="1259"/>
      <c r="EMA32" s="1259"/>
      <c r="EMB32" s="1259"/>
      <c r="EMC32" s="1259"/>
      <c r="EMD32" s="1259"/>
      <c r="EME32" s="1259"/>
      <c r="EMF32" s="1259"/>
      <c r="EMG32" s="1259"/>
      <c r="EMH32" s="1259"/>
      <c r="EMI32" s="1259"/>
      <c r="EMJ32" s="1259"/>
      <c r="EMK32" s="1259"/>
      <c r="EML32" s="1259"/>
      <c r="EMM32" s="1259"/>
      <c r="EMN32" s="1259"/>
      <c r="EMO32" s="1259"/>
      <c r="EMP32" s="1259"/>
      <c r="EMQ32" s="1259"/>
      <c r="EMR32" s="1259"/>
      <c r="EMS32" s="1259"/>
      <c r="EMT32" s="1259"/>
      <c r="EMU32" s="1259"/>
      <c r="EMV32" s="1259"/>
      <c r="EMW32" s="1259"/>
      <c r="EMX32" s="1259"/>
      <c r="EMY32" s="1259"/>
      <c r="EMZ32" s="1259"/>
      <c r="ENA32" s="1259"/>
      <c r="ENB32" s="1259"/>
      <c r="ENC32" s="1259"/>
      <c r="END32" s="1259"/>
      <c r="ENE32" s="1259"/>
      <c r="ENF32" s="1259"/>
      <c r="ENG32" s="1259"/>
      <c r="ENH32" s="1259"/>
      <c r="ENI32" s="1259"/>
      <c r="ENJ32" s="1259"/>
      <c r="ENK32" s="1259"/>
      <c r="ENL32" s="1259"/>
      <c r="ENM32" s="1259"/>
      <c r="ENN32" s="1259"/>
      <c r="ENO32" s="1259"/>
      <c r="ENP32" s="1259"/>
      <c r="ENQ32" s="1259"/>
      <c r="ENR32" s="1259"/>
      <c r="ENS32" s="1259"/>
      <c r="ENT32" s="1259"/>
      <c r="ENU32" s="1259"/>
      <c r="ENV32" s="1259"/>
      <c r="ENW32" s="1259"/>
      <c r="ENX32" s="1259"/>
      <c r="ENY32" s="1259"/>
      <c r="ENZ32" s="1259"/>
      <c r="EOA32" s="1259"/>
      <c r="EOB32" s="1259"/>
      <c r="EOC32" s="1259"/>
      <c r="EOD32" s="1259"/>
      <c r="EOE32" s="1259"/>
      <c r="EOF32" s="1259"/>
      <c r="EOG32" s="1259"/>
      <c r="EOH32" s="1259"/>
      <c r="EOI32" s="1259"/>
      <c r="EOJ32" s="1259"/>
      <c r="EOK32" s="1259"/>
      <c r="EOL32" s="1259"/>
      <c r="EOM32" s="1259"/>
      <c r="EON32" s="1259"/>
      <c r="EOO32" s="1259"/>
      <c r="EOP32" s="1259"/>
      <c r="EOQ32" s="1259"/>
      <c r="EOR32" s="1259"/>
      <c r="EOS32" s="1259"/>
      <c r="EOT32" s="1259"/>
      <c r="EOU32" s="1259"/>
      <c r="EOV32" s="1259"/>
      <c r="EOW32" s="1259"/>
      <c r="EOX32" s="1259"/>
      <c r="EOY32" s="1259"/>
      <c r="EOZ32" s="1259"/>
      <c r="EPA32" s="1259"/>
      <c r="EPB32" s="1259"/>
      <c r="EPC32" s="1259"/>
      <c r="EPD32" s="1259"/>
      <c r="EPE32" s="1259"/>
      <c r="EPF32" s="1259"/>
      <c r="EPG32" s="1259"/>
      <c r="EPH32" s="1259"/>
      <c r="EPI32" s="1259"/>
      <c r="EPJ32" s="1259"/>
      <c r="EPK32" s="1259"/>
      <c r="EPL32" s="1259"/>
      <c r="EPM32" s="1259"/>
      <c r="EPN32" s="1259"/>
      <c r="EPO32" s="1259"/>
      <c r="EPP32" s="1259"/>
      <c r="EPQ32" s="1259"/>
      <c r="EPR32" s="1259"/>
      <c r="EPS32" s="1259"/>
      <c r="EPT32" s="1259"/>
      <c r="EPU32" s="1259"/>
      <c r="EPV32" s="1259"/>
      <c r="EPW32" s="1259"/>
      <c r="EPX32" s="1259"/>
      <c r="EPY32" s="1259"/>
      <c r="EPZ32" s="1259"/>
      <c r="EQA32" s="1259"/>
      <c r="EQB32" s="1259"/>
      <c r="EQC32" s="1259"/>
      <c r="EQD32" s="1259"/>
      <c r="EQE32" s="1259"/>
      <c r="EQF32" s="1259"/>
      <c r="EQG32" s="1259"/>
      <c r="EQH32" s="1259"/>
      <c r="EQI32" s="1259"/>
      <c r="EQJ32" s="1259"/>
      <c r="EQK32" s="1259"/>
      <c r="EQL32" s="1259"/>
      <c r="EQM32" s="1259"/>
      <c r="EQN32" s="1259"/>
      <c r="EQO32" s="1259"/>
      <c r="EQP32" s="1259"/>
      <c r="EQQ32" s="1259"/>
      <c r="EQR32" s="1259"/>
      <c r="EQS32" s="1259"/>
      <c r="EQT32" s="1259"/>
      <c r="EQU32" s="1259"/>
      <c r="EQV32" s="1259"/>
      <c r="EQW32" s="1259"/>
      <c r="EQX32" s="1259"/>
      <c r="EQY32" s="1259"/>
      <c r="EQZ32" s="1259"/>
      <c r="ERA32" s="1259"/>
      <c r="ERB32" s="1259"/>
      <c r="ERC32" s="1259"/>
      <c r="ERD32" s="1259"/>
      <c r="ERE32" s="1259"/>
      <c r="ERF32" s="1259"/>
      <c r="ERG32" s="1259"/>
      <c r="ERH32" s="1259"/>
      <c r="ERI32" s="1259"/>
      <c r="ERJ32" s="1259"/>
      <c r="ERK32" s="1259"/>
      <c r="ERL32" s="1259"/>
      <c r="ERM32" s="1259"/>
      <c r="ERN32" s="1259"/>
      <c r="ERO32" s="1259"/>
      <c r="ERP32" s="1259"/>
      <c r="ERQ32" s="1259"/>
      <c r="ERR32" s="1259"/>
      <c r="ERS32" s="1259"/>
      <c r="ERT32" s="1259"/>
      <c r="ERU32" s="1259"/>
      <c r="ERV32" s="1259"/>
      <c r="ERW32" s="1259"/>
      <c r="ERX32" s="1259"/>
      <c r="ERY32" s="1259"/>
      <c r="ERZ32" s="1259"/>
      <c r="ESA32" s="1259"/>
      <c r="ESB32" s="1259"/>
      <c r="ESC32" s="1259"/>
      <c r="ESD32" s="1259"/>
      <c r="ESE32" s="1259"/>
      <c r="ESF32" s="1259"/>
      <c r="ESG32" s="1259"/>
      <c r="ESH32" s="1259"/>
      <c r="ESI32" s="1259"/>
      <c r="ESJ32" s="1259"/>
      <c r="ESK32" s="1259"/>
      <c r="ESL32" s="1259"/>
      <c r="ESM32" s="1259"/>
      <c r="ESN32" s="1259"/>
      <c r="ESO32" s="1259"/>
      <c r="ESP32" s="1259"/>
      <c r="ESQ32" s="1259"/>
      <c r="ESR32" s="1259"/>
      <c r="ESS32" s="1259"/>
      <c r="EST32" s="1259"/>
      <c r="ESU32" s="1259"/>
      <c r="ESV32" s="1259"/>
      <c r="ESW32" s="1259"/>
      <c r="ESX32" s="1259"/>
      <c r="ESY32" s="1259"/>
      <c r="ESZ32" s="1259"/>
      <c r="ETA32" s="1259"/>
      <c r="ETB32" s="1259"/>
      <c r="ETC32" s="1259"/>
      <c r="ETD32" s="1259"/>
      <c r="ETE32" s="1259"/>
      <c r="ETF32" s="1259"/>
      <c r="ETG32" s="1259"/>
      <c r="ETH32" s="1259"/>
      <c r="ETI32" s="1259"/>
      <c r="ETJ32" s="1259"/>
      <c r="ETK32" s="1259"/>
      <c r="ETL32" s="1259"/>
      <c r="ETM32" s="1259"/>
      <c r="ETN32" s="1259"/>
      <c r="ETO32" s="1259"/>
      <c r="ETP32" s="1259"/>
      <c r="ETQ32" s="1259"/>
      <c r="ETR32" s="1259"/>
      <c r="ETS32" s="1259"/>
      <c r="ETT32" s="1259"/>
      <c r="ETU32" s="1259"/>
      <c r="ETV32" s="1259"/>
      <c r="ETW32" s="1259"/>
      <c r="ETX32" s="1259"/>
      <c r="ETY32" s="1259"/>
      <c r="ETZ32" s="1259"/>
      <c r="EUA32" s="1259"/>
      <c r="EUB32" s="1259"/>
      <c r="EUC32" s="1259"/>
      <c r="EUD32" s="1259"/>
      <c r="EUE32" s="1259"/>
      <c r="EUF32" s="1259"/>
      <c r="EUG32" s="1259"/>
      <c r="EUH32" s="1259"/>
      <c r="EUI32" s="1259"/>
      <c r="EUJ32" s="1259"/>
      <c r="EUK32" s="1259"/>
      <c r="EUL32" s="1259"/>
      <c r="EUM32" s="1259"/>
      <c r="EUN32" s="1259"/>
      <c r="EUO32" s="1259"/>
      <c r="EUP32" s="1259"/>
      <c r="EUQ32" s="1259"/>
      <c r="EUR32" s="1259"/>
      <c r="EUS32" s="1259"/>
      <c r="EUT32" s="1259"/>
      <c r="EUU32" s="1259"/>
      <c r="EUV32" s="1259"/>
      <c r="EUW32" s="1259"/>
      <c r="EUX32" s="1259"/>
      <c r="EUY32" s="1259"/>
      <c r="EUZ32" s="1259"/>
      <c r="EVA32" s="1259"/>
      <c r="EVB32" s="1259"/>
      <c r="EVC32" s="1259"/>
      <c r="EVD32" s="1259"/>
      <c r="EVE32" s="1259"/>
      <c r="EVF32" s="1259"/>
      <c r="EVG32" s="1259"/>
      <c r="EVH32" s="1259"/>
      <c r="EVI32" s="1259"/>
      <c r="EVJ32" s="1259"/>
      <c r="EVK32" s="1259"/>
      <c r="EVL32" s="1259"/>
      <c r="EVM32" s="1259"/>
      <c r="EVN32" s="1259"/>
      <c r="EVO32" s="1259"/>
      <c r="EVP32" s="1259"/>
      <c r="EVQ32" s="1259"/>
      <c r="EVR32" s="1259"/>
      <c r="EVS32" s="1259"/>
      <c r="EVT32" s="1259"/>
      <c r="EVU32" s="1259"/>
      <c r="EVV32" s="1259"/>
      <c r="EVW32" s="1259"/>
      <c r="EVX32" s="1259"/>
      <c r="EVY32" s="1259"/>
      <c r="EVZ32" s="1259"/>
      <c r="EWA32" s="1259"/>
      <c r="EWB32" s="1259"/>
      <c r="EWC32" s="1259"/>
      <c r="EWD32" s="1259"/>
      <c r="EWE32" s="1259"/>
      <c r="EWF32" s="1259"/>
      <c r="EWG32" s="1259"/>
      <c r="EWH32" s="1259"/>
      <c r="EWI32" s="1259"/>
      <c r="EWJ32" s="1259"/>
      <c r="EWK32" s="1259"/>
      <c r="EWL32" s="1259"/>
      <c r="EWM32" s="1259"/>
      <c r="EWN32" s="1259"/>
      <c r="EWO32" s="1259"/>
      <c r="EWP32" s="1259"/>
      <c r="EWQ32" s="1259"/>
      <c r="EWR32" s="1259"/>
      <c r="EWS32" s="1259"/>
      <c r="EWT32" s="1259"/>
      <c r="EWU32" s="1259"/>
      <c r="EWV32" s="1259"/>
      <c r="EWW32" s="1259"/>
      <c r="EWX32" s="1259"/>
      <c r="EWY32" s="1259"/>
      <c r="EWZ32" s="1259"/>
      <c r="EXA32" s="1259"/>
      <c r="EXB32" s="1259"/>
      <c r="EXC32" s="1259"/>
      <c r="EXD32" s="1259"/>
      <c r="EXE32" s="1259"/>
      <c r="EXF32" s="1259"/>
      <c r="EXG32" s="1259"/>
      <c r="EXH32" s="1259"/>
      <c r="EXI32" s="1259"/>
      <c r="EXJ32" s="1259"/>
      <c r="EXK32" s="1259"/>
      <c r="EXL32" s="1259"/>
      <c r="EXM32" s="1259"/>
      <c r="EXN32" s="1259"/>
      <c r="EXO32" s="1259"/>
      <c r="EXP32" s="1259"/>
      <c r="EXQ32" s="1259"/>
      <c r="EXR32" s="1259"/>
      <c r="EXS32" s="1259"/>
      <c r="EXT32" s="1259"/>
      <c r="EXU32" s="1259"/>
      <c r="EXV32" s="1259"/>
      <c r="EXW32" s="1259"/>
      <c r="EXX32" s="1259"/>
      <c r="EXY32" s="1259"/>
      <c r="EXZ32" s="1259"/>
      <c r="EYA32" s="1259"/>
      <c r="EYB32" s="1259"/>
      <c r="EYC32" s="1259"/>
      <c r="EYD32" s="1259"/>
      <c r="EYE32" s="1259"/>
      <c r="EYF32" s="1259"/>
      <c r="EYG32" s="1259"/>
      <c r="EYH32" s="1259"/>
      <c r="EYI32" s="1259"/>
      <c r="EYJ32" s="1259"/>
      <c r="EYK32" s="1259"/>
      <c r="EYL32" s="1259"/>
      <c r="EYM32" s="1259"/>
      <c r="EYN32" s="1259"/>
      <c r="EYO32" s="1259"/>
      <c r="EYP32" s="1259"/>
      <c r="EYQ32" s="1259"/>
      <c r="EYR32" s="1259"/>
      <c r="EYS32" s="1259"/>
      <c r="EYT32" s="1259"/>
      <c r="EYU32" s="1259"/>
      <c r="EYV32" s="1259"/>
      <c r="EYW32" s="1259"/>
      <c r="EYX32" s="1259"/>
      <c r="EYY32" s="1259"/>
      <c r="EYZ32" s="1259"/>
      <c r="EZA32" s="1259"/>
      <c r="EZB32" s="1259"/>
      <c r="EZC32" s="1259"/>
      <c r="EZD32" s="1259"/>
      <c r="EZE32" s="1259"/>
      <c r="EZF32" s="1259"/>
      <c r="EZG32" s="1259"/>
      <c r="EZH32" s="1259"/>
      <c r="EZI32" s="1259"/>
      <c r="EZJ32" s="1259"/>
      <c r="EZK32" s="1259"/>
      <c r="EZL32" s="1259"/>
      <c r="EZM32" s="1259"/>
      <c r="EZN32" s="1259"/>
      <c r="EZO32" s="1259"/>
      <c r="EZP32" s="1259"/>
      <c r="EZQ32" s="1259"/>
      <c r="EZR32" s="1259"/>
      <c r="EZS32" s="1259"/>
      <c r="EZT32" s="1259"/>
      <c r="EZU32" s="1259"/>
      <c r="EZV32" s="1259"/>
      <c r="EZW32" s="1259"/>
      <c r="EZX32" s="1259"/>
      <c r="EZY32" s="1259"/>
      <c r="EZZ32" s="1259"/>
      <c r="FAA32" s="1259"/>
      <c r="FAB32" s="1259"/>
      <c r="FAC32" s="1259"/>
      <c r="FAD32" s="1259"/>
      <c r="FAE32" s="1259"/>
      <c r="FAF32" s="1259"/>
      <c r="FAG32" s="1259"/>
      <c r="FAH32" s="1259"/>
      <c r="FAI32" s="1259"/>
      <c r="FAJ32" s="1259"/>
      <c r="FAK32" s="1259"/>
      <c r="FAL32" s="1259"/>
      <c r="FAM32" s="1259"/>
      <c r="FAN32" s="1259"/>
      <c r="FAO32" s="1259"/>
      <c r="FAP32" s="1259"/>
      <c r="FAQ32" s="1259"/>
      <c r="FAR32" s="1259"/>
      <c r="FAS32" s="1259"/>
      <c r="FAT32" s="1259"/>
      <c r="FAU32" s="1259"/>
      <c r="FAV32" s="1259"/>
      <c r="FAW32" s="1259"/>
      <c r="FAX32" s="1259"/>
      <c r="FAY32" s="1259"/>
      <c r="FAZ32" s="1259"/>
      <c r="FBA32" s="1259"/>
      <c r="FBB32" s="1259"/>
      <c r="FBC32" s="1259"/>
      <c r="FBD32" s="1259"/>
      <c r="FBE32" s="1259"/>
      <c r="FBF32" s="1259"/>
      <c r="FBG32" s="1259"/>
      <c r="FBH32" s="1259"/>
      <c r="FBI32" s="1259"/>
      <c r="FBJ32" s="1259"/>
      <c r="FBK32" s="1259"/>
      <c r="FBL32" s="1259"/>
      <c r="FBM32" s="1259"/>
      <c r="FBN32" s="1259"/>
      <c r="FBO32" s="1259"/>
      <c r="FBP32" s="1259"/>
      <c r="FBQ32" s="1259"/>
      <c r="FBR32" s="1259"/>
      <c r="FBS32" s="1259"/>
      <c r="FBT32" s="1259"/>
      <c r="FBU32" s="1259"/>
      <c r="FBV32" s="1259"/>
      <c r="FBW32" s="1259"/>
      <c r="FBX32" s="1259"/>
      <c r="FBY32" s="1259"/>
      <c r="FBZ32" s="1259"/>
      <c r="FCA32" s="1259"/>
      <c r="FCB32" s="1259"/>
      <c r="FCC32" s="1259"/>
      <c r="FCD32" s="1259"/>
      <c r="FCE32" s="1259"/>
      <c r="FCF32" s="1259"/>
      <c r="FCG32" s="1259"/>
      <c r="FCH32" s="1259"/>
      <c r="FCI32" s="1259"/>
      <c r="FCJ32" s="1259"/>
      <c r="FCK32" s="1259"/>
      <c r="FCL32" s="1259"/>
      <c r="FCM32" s="1259"/>
      <c r="FCN32" s="1259"/>
      <c r="FCO32" s="1259"/>
      <c r="FCP32" s="1259"/>
      <c r="FCQ32" s="1259"/>
      <c r="FCR32" s="1259"/>
      <c r="FCS32" s="1259"/>
      <c r="FCT32" s="1259"/>
      <c r="FCU32" s="1259"/>
      <c r="FCV32" s="1259"/>
      <c r="FCW32" s="1259"/>
      <c r="FCX32" s="1259"/>
      <c r="FCY32" s="1259"/>
      <c r="FCZ32" s="1259"/>
      <c r="FDA32" s="1259"/>
      <c r="FDB32" s="1259"/>
      <c r="FDC32" s="1259"/>
      <c r="FDD32" s="1259"/>
      <c r="FDE32" s="1259"/>
      <c r="FDF32" s="1259"/>
      <c r="FDG32" s="1259"/>
      <c r="FDH32" s="1259"/>
      <c r="FDI32" s="1259"/>
      <c r="FDJ32" s="1259"/>
      <c r="FDK32" s="1259"/>
      <c r="FDL32" s="1259"/>
      <c r="FDM32" s="1259"/>
      <c r="FDN32" s="1259"/>
      <c r="FDO32" s="1259"/>
      <c r="FDP32" s="1259"/>
      <c r="FDQ32" s="1259"/>
      <c r="FDR32" s="1259"/>
      <c r="FDS32" s="1259"/>
      <c r="FDT32" s="1259"/>
      <c r="FDU32" s="1259"/>
      <c r="FDV32" s="1259"/>
      <c r="FDW32" s="1259"/>
      <c r="FDX32" s="1259"/>
      <c r="FDY32" s="1259"/>
      <c r="FDZ32" s="1259"/>
      <c r="FEA32" s="1259"/>
      <c r="FEB32" s="1259"/>
      <c r="FEC32" s="1259"/>
      <c r="FED32" s="1259"/>
      <c r="FEE32" s="1259"/>
      <c r="FEF32" s="1259"/>
      <c r="FEG32" s="1259"/>
      <c r="FEH32" s="1259"/>
      <c r="FEI32" s="1259"/>
      <c r="FEJ32" s="1259"/>
      <c r="FEK32" s="1259"/>
      <c r="FEL32" s="1259"/>
      <c r="FEM32" s="1259"/>
      <c r="FEN32" s="1259"/>
      <c r="FEO32" s="1259"/>
      <c r="FEP32" s="1259"/>
      <c r="FEQ32" s="1259"/>
      <c r="FER32" s="1259"/>
      <c r="FES32" s="1259"/>
      <c r="FET32" s="1259"/>
      <c r="FEU32" s="1259"/>
      <c r="FEV32" s="1259"/>
      <c r="FEW32" s="1259"/>
      <c r="FEX32" s="1259"/>
      <c r="FEY32" s="1259"/>
      <c r="FEZ32" s="1259"/>
      <c r="FFA32" s="1259"/>
      <c r="FFB32" s="1259"/>
      <c r="FFC32" s="1259"/>
      <c r="FFD32" s="1259"/>
      <c r="FFE32" s="1259"/>
      <c r="FFF32" s="1259"/>
      <c r="FFG32" s="1259"/>
      <c r="FFH32" s="1259"/>
      <c r="FFI32" s="1259"/>
      <c r="FFJ32" s="1259"/>
      <c r="FFK32" s="1259"/>
      <c r="FFL32" s="1259"/>
      <c r="FFM32" s="1259"/>
      <c r="FFN32" s="1259"/>
      <c r="FFO32" s="1259"/>
      <c r="FFP32" s="1259"/>
      <c r="FFQ32" s="1259"/>
      <c r="FFR32" s="1259"/>
      <c r="FFS32" s="1259"/>
      <c r="FFT32" s="1259"/>
      <c r="FFU32" s="1259"/>
      <c r="FFV32" s="1259"/>
      <c r="FFW32" s="1259"/>
      <c r="FFX32" s="1259"/>
      <c r="FFY32" s="1259"/>
      <c r="FFZ32" s="1259"/>
      <c r="FGA32" s="1259"/>
      <c r="FGB32" s="1259"/>
      <c r="FGC32" s="1259"/>
      <c r="FGD32" s="1259"/>
      <c r="FGE32" s="1259"/>
      <c r="FGF32" s="1259"/>
      <c r="FGG32" s="1259"/>
      <c r="FGH32" s="1259"/>
      <c r="FGI32" s="1259"/>
      <c r="FGJ32" s="1259"/>
      <c r="FGK32" s="1259"/>
      <c r="FGL32" s="1259"/>
      <c r="FGM32" s="1259"/>
      <c r="FGN32" s="1259"/>
      <c r="FGO32" s="1259"/>
      <c r="FGP32" s="1259"/>
      <c r="FGQ32" s="1259"/>
      <c r="FGR32" s="1259"/>
      <c r="FGS32" s="1259"/>
      <c r="FGT32" s="1259"/>
      <c r="FGU32" s="1259"/>
      <c r="FGV32" s="1259"/>
      <c r="FGW32" s="1259"/>
      <c r="FGX32" s="1259"/>
      <c r="FGY32" s="1259"/>
      <c r="FGZ32" s="1259"/>
      <c r="FHA32" s="1259"/>
      <c r="FHB32" s="1259"/>
      <c r="FHC32" s="1259"/>
      <c r="FHD32" s="1259"/>
      <c r="FHE32" s="1259"/>
      <c r="FHF32" s="1259"/>
      <c r="FHG32" s="1259"/>
      <c r="FHH32" s="1259"/>
      <c r="FHI32" s="1259"/>
      <c r="FHJ32" s="1259"/>
      <c r="FHK32" s="1259"/>
      <c r="FHL32" s="1259"/>
      <c r="FHM32" s="1259"/>
      <c r="FHN32" s="1259"/>
      <c r="FHO32" s="1259"/>
      <c r="FHP32" s="1259"/>
      <c r="FHQ32" s="1259"/>
      <c r="FHR32" s="1259"/>
      <c r="FHS32" s="1259"/>
      <c r="FHT32" s="1259"/>
      <c r="FHU32" s="1259"/>
      <c r="FHV32" s="1259"/>
      <c r="FHW32" s="1259"/>
      <c r="FHX32" s="1259"/>
      <c r="FHY32" s="1259"/>
      <c r="FHZ32" s="1259"/>
      <c r="FIA32" s="1259"/>
      <c r="FIB32" s="1259"/>
      <c r="FIC32" s="1259"/>
      <c r="FID32" s="1259"/>
      <c r="FIE32" s="1259"/>
      <c r="FIF32" s="1259"/>
      <c r="FIG32" s="1259"/>
      <c r="FIH32" s="1259"/>
      <c r="FII32" s="1259"/>
      <c r="FIJ32" s="1259"/>
      <c r="FIK32" s="1259"/>
      <c r="FIL32" s="1259"/>
      <c r="FIM32" s="1259"/>
      <c r="FIN32" s="1259"/>
      <c r="FIO32" s="1259"/>
      <c r="FIP32" s="1259"/>
      <c r="FIQ32" s="1259"/>
      <c r="FIR32" s="1259"/>
      <c r="FIS32" s="1259"/>
      <c r="FIT32" s="1259"/>
      <c r="FIU32" s="1259"/>
      <c r="FIV32" s="1259"/>
      <c r="FIW32" s="1259"/>
      <c r="FIX32" s="1259"/>
      <c r="FIY32" s="1259"/>
      <c r="FIZ32" s="1259"/>
      <c r="FJA32" s="1259"/>
      <c r="FJB32" s="1259"/>
      <c r="FJC32" s="1259"/>
      <c r="FJD32" s="1259"/>
      <c r="FJE32" s="1259"/>
      <c r="FJF32" s="1259"/>
      <c r="FJG32" s="1259"/>
      <c r="FJH32" s="1259"/>
      <c r="FJI32" s="1259"/>
      <c r="FJJ32" s="1259"/>
      <c r="FJK32" s="1259"/>
      <c r="FJL32" s="1259"/>
      <c r="FJM32" s="1259"/>
      <c r="FJN32" s="1259"/>
      <c r="FJO32" s="1259"/>
      <c r="FJP32" s="1259"/>
      <c r="FJQ32" s="1259"/>
      <c r="FJR32" s="1259"/>
      <c r="FJS32" s="1259"/>
      <c r="FJT32" s="1259"/>
      <c r="FJU32" s="1259"/>
      <c r="FJV32" s="1259"/>
      <c r="FJW32" s="1259"/>
      <c r="FJX32" s="1259"/>
      <c r="FJY32" s="1259"/>
      <c r="FJZ32" s="1259"/>
      <c r="FKA32" s="1259"/>
      <c r="FKB32" s="1259"/>
      <c r="FKC32" s="1259"/>
      <c r="FKD32" s="1259"/>
      <c r="FKE32" s="1259"/>
      <c r="FKF32" s="1259"/>
      <c r="FKG32" s="1259"/>
      <c r="FKH32" s="1259"/>
      <c r="FKI32" s="1259"/>
      <c r="FKJ32" s="1259"/>
      <c r="FKK32" s="1259"/>
      <c r="FKL32" s="1259"/>
      <c r="FKM32" s="1259"/>
      <c r="FKN32" s="1259"/>
      <c r="FKO32" s="1259"/>
      <c r="FKP32" s="1259"/>
      <c r="FKQ32" s="1259"/>
      <c r="FKR32" s="1259"/>
      <c r="FKS32" s="1259"/>
      <c r="FKT32" s="1259"/>
      <c r="FKU32" s="1259"/>
      <c r="FKV32" s="1259"/>
      <c r="FKW32" s="1259"/>
      <c r="FKX32" s="1259"/>
      <c r="FKY32" s="1259"/>
      <c r="FKZ32" s="1259"/>
      <c r="FLA32" s="1259"/>
      <c r="FLB32" s="1259"/>
      <c r="FLC32" s="1259"/>
      <c r="FLD32" s="1259"/>
      <c r="FLE32" s="1259"/>
      <c r="FLF32" s="1259"/>
      <c r="FLG32" s="1259"/>
      <c r="FLH32" s="1259"/>
      <c r="FLI32" s="1259"/>
      <c r="FLJ32" s="1259"/>
      <c r="FLK32" s="1259"/>
      <c r="FLL32" s="1259"/>
      <c r="FLM32" s="1259"/>
      <c r="FLN32" s="1259"/>
      <c r="FLO32" s="1259"/>
      <c r="FLP32" s="1259"/>
      <c r="FLQ32" s="1259"/>
      <c r="FLR32" s="1259"/>
      <c r="FLS32" s="1259"/>
      <c r="FLT32" s="1259"/>
      <c r="FLU32" s="1259"/>
      <c r="FLV32" s="1259"/>
      <c r="FLW32" s="1259"/>
      <c r="FLX32" s="1259"/>
      <c r="FLY32" s="1259"/>
      <c r="FLZ32" s="1259"/>
      <c r="FMA32" s="1259"/>
      <c r="FMB32" s="1259"/>
      <c r="FMC32" s="1259"/>
      <c r="FMD32" s="1259"/>
      <c r="FME32" s="1259"/>
      <c r="FMF32" s="1259"/>
      <c r="FMG32" s="1259"/>
      <c r="FMH32" s="1259"/>
      <c r="FMI32" s="1259"/>
      <c r="FMJ32" s="1259"/>
      <c r="FMK32" s="1259"/>
      <c r="FML32" s="1259"/>
      <c r="FMM32" s="1259"/>
      <c r="FMN32" s="1259"/>
      <c r="FMO32" s="1259"/>
      <c r="FMP32" s="1259"/>
      <c r="FMQ32" s="1259"/>
      <c r="FMR32" s="1259"/>
      <c r="FMS32" s="1259"/>
      <c r="FMT32" s="1259"/>
      <c r="FMU32" s="1259"/>
      <c r="FMV32" s="1259"/>
      <c r="FMW32" s="1259"/>
      <c r="FMX32" s="1259"/>
      <c r="FMY32" s="1259"/>
      <c r="FMZ32" s="1259"/>
      <c r="FNA32" s="1259"/>
      <c r="FNB32" s="1259"/>
      <c r="FNC32" s="1259"/>
      <c r="FND32" s="1259"/>
      <c r="FNE32" s="1259"/>
      <c r="FNF32" s="1259"/>
      <c r="FNG32" s="1259"/>
      <c r="FNH32" s="1259"/>
      <c r="FNI32" s="1259"/>
      <c r="FNJ32" s="1259"/>
      <c r="FNK32" s="1259"/>
      <c r="FNL32" s="1259"/>
      <c r="FNM32" s="1259"/>
      <c r="FNN32" s="1259"/>
      <c r="FNO32" s="1259"/>
      <c r="FNP32" s="1259"/>
      <c r="FNQ32" s="1259"/>
      <c r="FNR32" s="1259"/>
      <c r="FNS32" s="1259"/>
      <c r="FNT32" s="1259"/>
      <c r="FNU32" s="1259"/>
      <c r="FNV32" s="1259"/>
      <c r="FNW32" s="1259"/>
      <c r="FNX32" s="1259"/>
      <c r="FNY32" s="1259"/>
      <c r="FNZ32" s="1259"/>
      <c r="FOA32" s="1259"/>
      <c r="FOB32" s="1259"/>
      <c r="FOC32" s="1259"/>
      <c r="FOD32" s="1259"/>
      <c r="FOE32" s="1259"/>
      <c r="FOF32" s="1259"/>
      <c r="FOG32" s="1259"/>
      <c r="FOH32" s="1259"/>
      <c r="FOI32" s="1259"/>
      <c r="FOJ32" s="1259"/>
      <c r="FOK32" s="1259"/>
      <c r="FOL32" s="1259"/>
      <c r="FOM32" s="1259"/>
      <c r="FON32" s="1259"/>
      <c r="FOO32" s="1259"/>
      <c r="FOP32" s="1259"/>
      <c r="FOQ32" s="1259"/>
      <c r="FOR32" s="1259"/>
      <c r="FOS32" s="1259"/>
      <c r="FOT32" s="1259"/>
      <c r="FOU32" s="1259"/>
      <c r="FOV32" s="1259"/>
      <c r="FOW32" s="1259"/>
      <c r="FOX32" s="1259"/>
      <c r="FOY32" s="1259"/>
      <c r="FOZ32" s="1259"/>
      <c r="FPA32" s="1259"/>
      <c r="FPB32" s="1259"/>
      <c r="FPC32" s="1259"/>
      <c r="FPD32" s="1259"/>
      <c r="FPE32" s="1259"/>
      <c r="FPF32" s="1259"/>
      <c r="FPG32" s="1259"/>
      <c r="FPH32" s="1259"/>
      <c r="FPI32" s="1259"/>
      <c r="FPJ32" s="1259"/>
      <c r="FPK32" s="1259"/>
      <c r="FPL32" s="1259"/>
      <c r="FPM32" s="1259"/>
      <c r="FPN32" s="1259"/>
      <c r="FPO32" s="1259"/>
      <c r="FPP32" s="1259"/>
      <c r="FPQ32" s="1259"/>
      <c r="FPR32" s="1259"/>
      <c r="FPS32" s="1259"/>
      <c r="FPT32" s="1259"/>
      <c r="FPU32" s="1259"/>
      <c r="FPV32" s="1259"/>
      <c r="FPW32" s="1259"/>
      <c r="FPX32" s="1259"/>
      <c r="FPY32" s="1259"/>
      <c r="FPZ32" s="1259"/>
      <c r="FQA32" s="1259"/>
      <c r="FQB32" s="1259"/>
      <c r="FQC32" s="1259"/>
      <c r="FQD32" s="1259"/>
      <c r="FQE32" s="1259"/>
      <c r="FQF32" s="1259"/>
      <c r="FQG32" s="1259"/>
      <c r="FQH32" s="1259"/>
      <c r="FQI32" s="1259"/>
      <c r="FQJ32" s="1259"/>
      <c r="FQK32" s="1259"/>
      <c r="FQL32" s="1259"/>
      <c r="FQM32" s="1259"/>
      <c r="FQN32" s="1259"/>
      <c r="FQO32" s="1259"/>
      <c r="FQP32" s="1259"/>
      <c r="FQQ32" s="1259"/>
      <c r="FQR32" s="1259"/>
      <c r="FQS32" s="1259"/>
      <c r="FQT32" s="1259"/>
      <c r="FQU32" s="1259"/>
      <c r="FQV32" s="1259"/>
      <c r="FQW32" s="1259"/>
      <c r="FQX32" s="1259"/>
      <c r="FQY32" s="1259"/>
      <c r="FQZ32" s="1259"/>
      <c r="FRA32" s="1259"/>
      <c r="FRB32" s="1259"/>
      <c r="FRC32" s="1259"/>
      <c r="FRD32" s="1259"/>
      <c r="FRE32" s="1259"/>
      <c r="FRF32" s="1259"/>
      <c r="FRG32" s="1259"/>
      <c r="FRH32" s="1259"/>
      <c r="FRI32" s="1259"/>
      <c r="FRJ32" s="1259"/>
      <c r="FRK32" s="1259"/>
      <c r="FRL32" s="1259"/>
      <c r="FRM32" s="1259"/>
      <c r="FRN32" s="1259"/>
      <c r="FRO32" s="1259"/>
      <c r="FRP32" s="1259"/>
      <c r="FRQ32" s="1259"/>
      <c r="FRR32" s="1259"/>
      <c r="FRS32" s="1259"/>
      <c r="FRT32" s="1259"/>
      <c r="FRU32" s="1259"/>
      <c r="FRV32" s="1259"/>
      <c r="FRW32" s="1259"/>
      <c r="FRX32" s="1259"/>
      <c r="FRY32" s="1259"/>
      <c r="FRZ32" s="1259"/>
      <c r="FSA32" s="1259"/>
      <c r="FSB32" s="1259"/>
      <c r="FSC32" s="1259"/>
      <c r="FSD32" s="1259"/>
      <c r="FSE32" s="1259"/>
      <c r="FSF32" s="1259"/>
      <c r="FSG32" s="1259"/>
      <c r="FSH32" s="1259"/>
      <c r="FSI32" s="1259"/>
      <c r="FSJ32" s="1259"/>
      <c r="FSK32" s="1259"/>
      <c r="FSL32" s="1259"/>
      <c r="FSM32" s="1259"/>
      <c r="FSN32" s="1259"/>
      <c r="FSO32" s="1259"/>
      <c r="FSP32" s="1259"/>
      <c r="FSQ32" s="1259"/>
      <c r="FSR32" s="1259"/>
      <c r="FSS32" s="1259"/>
      <c r="FST32" s="1259"/>
      <c r="FSU32" s="1259"/>
      <c r="FSV32" s="1259"/>
      <c r="FSW32" s="1259"/>
      <c r="FSX32" s="1259"/>
      <c r="FSY32" s="1259"/>
      <c r="FSZ32" s="1259"/>
      <c r="FTA32" s="1259"/>
      <c r="FTB32" s="1259"/>
      <c r="FTC32" s="1259"/>
      <c r="FTD32" s="1259"/>
      <c r="FTE32" s="1259"/>
      <c r="FTF32" s="1259"/>
      <c r="FTG32" s="1259"/>
      <c r="FTH32" s="1259"/>
      <c r="FTI32" s="1259"/>
      <c r="FTJ32" s="1259"/>
      <c r="FTK32" s="1259"/>
      <c r="FTL32" s="1259"/>
      <c r="FTM32" s="1259"/>
      <c r="FTN32" s="1259"/>
      <c r="FTO32" s="1259"/>
      <c r="FTP32" s="1259"/>
      <c r="FTQ32" s="1259"/>
      <c r="FTR32" s="1259"/>
      <c r="FTS32" s="1259"/>
      <c r="FTT32" s="1259"/>
      <c r="FTU32" s="1259"/>
      <c r="FTV32" s="1259"/>
      <c r="FTW32" s="1259"/>
      <c r="FTX32" s="1259"/>
      <c r="FTY32" s="1259"/>
      <c r="FTZ32" s="1259"/>
      <c r="FUA32" s="1259"/>
      <c r="FUB32" s="1259"/>
      <c r="FUC32" s="1259"/>
      <c r="FUD32" s="1259"/>
      <c r="FUE32" s="1259"/>
      <c r="FUF32" s="1259"/>
      <c r="FUG32" s="1259"/>
      <c r="FUH32" s="1259"/>
      <c r="FUI32" s="1259"/>
      <c r="FUJ32" s="1259"/>
      <c r="FUK32" s="1259"/>
      <c r="FUL32" s="1259"/>
      <c r="FUM32" s="1259"/>
      <c r="FUN32" s="1259"/>
      <c r="FUO32" s="1259"/>
      <c r="FUP32" s="1259"/>
      <c r="FUQ32" s="1259"/>
      <c r="FUR32" s="1259"/>
      <c r="FUS32" s="1259"/>
      <c r="FUT32" s="1259"/>
      <c r="FUU32" s="1259"/>
      <c r="FUV32" s="1259"/>
      <c r="FUW32" s="1259"/>
      <c r="FUX32" s="1259"/>
      <c r="FUY32" s="1259"/>
      <c r="FUZ32" s="1259"/>
      <c r="FVA32" s="1259"/>
      <c r="FVB32" s="1259"/>
      <c r="FVC32" s="1259"/>
      <c r="FVD32" s="1259"/>
      <c r="FVE32" s="1259"/>
      <c r="FVF32" s="1259"/>
      <c r="FVG32" s="1259"/>
      <c r="FVH32" s="1259"/>
      <c r="FVI32" s="1259"/>
      <c r="FVJ32" s="1259"/>
      <c r="FVK32" s="1259"/>
      <c r="FVL32" s="1259"/>
      <c r="FVM32" s="1259"/>
      <c r="FVN32" s="1259"/>
      <c r="FVO32" s="1259"/>
      <c r="FVP32" s="1259"/>
      <c r="FVQ32" s="1259"/>
      <c r="FVR32" s="1259"/>
      <c r="FVS32" s="1259"/>
      <c r="FVT32" s="1259"/>
      <c r="FVU32" s="1259"/>
      <c r="FVV32" s="1259"/>
      <c r="FVW32" s="1259"/>
      <c r="FVX32" s="1259"/>
      <c r="FVY32" s="1259"/>
      <c r="FVZ32" s="1259"/>
      <c r="FWA32" s="1259"/>
      <c r="FWB32" s="1259"/>
      <c r="FWC32" s="1259"/>
      <c r="FWD32" s="1259"/>
      <c r="FWE32" s="1259"/>
      <c r="FWF32" s="1259"/>
      <c r="FWG32" s="1259"/>
      <c r="FWH32" s="1259"/>
      <c r="FWI32" s="1259"/>
      <c r="FWJ32" s="1259"/>
      <c r="FWK32" s="1259"/>
      <c r="FWL32" s="1259"/>
      <c r="FWM32" s="1259"/>
      <c r="FWN32" s="1259"/>
      <c r="FWO32" s="1259"/>
      <c r="FWP32" s="1259"/>
      <c r="FWQ32" s="1259"/>
      <c r="FWR32" s="1259"/>
      <c r="FWS32" s="1259"/>
      <c r="FWT32" s="1259"/>
      <c r="FWU32" s="1259"/>
      <c r="FWV32" s="1259"/>
      <c r="FWW32" s="1259"/>
      <c r="FWX32" s="1259"/>
      <c r="FWY32" s="1259"/>
      <c r="FWZ32" s="1259"/>
      <c r="FXA32" s="1259"/>
      <c r="FXB32" s="1259"/>
      <c r="FXC32" s="1259"/>
      <c r="FXD32" s="1259"/>
      <c r="FXE32" s="1259"/>
      <c r="FXF32" s="1259"/>
      <c r="FXG32" s="1259"/>
      <c r="FXH32" s="1259"/>
      <c r="FXI32" s="1259"/>
      <c r="FXJ32" s="1259"/>
      <c r="FXK32" s="1259"/>
      <c r="FXL32" s="1259"/>
      <c r="FXM32" s="1259"/>
      <c r="FXN32" s="1259"/>
      <c r="FXO32" s="1259"/>
      <c r="FXP32" s="1259"/>
      <c r="FXQ32" s="1259"/>
      <c r="FXR32" s="1259"/>
      <c r="FXS32" s="1259"/>
      <c r="FXT32" s="1259"/>
      <c r="FXU32" s="1259"/>
      <c r="FXV32" s="1259"/>
      <c r="FXW32" s="1259"/>
      <c r="FXX32" s="1259"/>
      <c r="FXY32" s="1259"/>
      <c r="FXZ32" s="1259"/>
      <c r="FYA32" s="1259"/>
      <c r="FYB32" s="1259"/>
      <c r="FYC32" s="1259"/>
      <c r="FYD32" s="1259"/>
      <c r="FYE32" s="1259"/>
      <c r="FYF32" s="1259"/>
      <c r="FYG32" s="1259"/>
      <c r="FYH32" s="1259"/>
      <c r="FYI32" s="1259"/>
      <c r="FYJ32" s="1259"/>
      <c r="FYK32" s="1259"/>
      <c r="FYL32" s="1259"/>
      <c r="FYM32" s="1259"/>
      <c r="FYN32" s="1259"/>
      <c r="FYO32" s="1259"/>
      <c r="FYP32" s="1259"/>
      <c r="FYQ32" s="1259"/>
      <c r="FYR32" s="1259"/>
      <c r="FYS32" s="1259"/>
      <c r="FYT32" s="1259"/>
      <c r="FYU32" s="1259"/>
      <c r="FYV32" s="1259"/>
      <c r="FYW32" s="1259"/>
      <c r="FYX32" s="1259"/>
      <c r="FYY32" s="1259"/>
      <c r="FYZ32" s="1259"/>
      <c r="FZA32" s="1259"/>
      <c r="FZB32" s="1259"/>
      <c r="FZC32" s="1259"/>
      <c r="FZD32" s="1259"/>
      <c r="FZE32" s="1259"/>
      <c r="FZF32" s="1259"/>
      <c r="FZG32" s="1259"/>
      <c r="FZH32" s="1259"/>
      <c r="FZI32" s="1259"/>
      <c r="FZJ32" s="1259"/>
      <c r="FZK32" s="1259"/>
      <c r="FZL32" s="1259"/>
      <c r="FZM32" s="1259"/>
      <c r="FZN32" s="1259"/>
      <c r="FZO32" s="1259"/>
      <c r="FZP32" s="1259"/>
      <c r="FZQ32" s="1259"/>
      <c r="FZR32" s="1259"/>
      <c r="FZS32" s="1259"/>
      <c r="FZT32" s="1259"/>
      <c r="FZU32" s="1259"/>
      <c r="FZV32" s="1259"/>
      <c r="FZW32" s="1259"/>
      <c r="FZX32" s="1259"/>
      <c r="FZY32" s="1259"/>
      <c r="FZZ32" s="1259"/>
      <c r="GAA32" s="1259"/>
      <c r="GAB32" s="1259"/>
      <c r="GAC32" s="1259"/>
      <c r="GAD32" s="1259"/>
      <c r="GAE32" s="1259"/>
      <c r="GAF32" s="1259"/>
      <c r="GAG32" s="1259"/>
      <c r="GAH32" s="1259"/>
      <c r="GAI32" s="1259"/>
      <c r="GAJ32" s="1259"/>
      <c r="GAK32" s="1259"/>
      <c r="GAL32" s="1259"/>
      <c r="GAM32" s="1259"/>
      <c r="GAN32" s="1259"/>
      <c r="GAO32" s="1259"/>
      <c r="GAP32" s="1259"/>
      <c r="GAQ32" s="1259"/>
      <c r="GAR32" s="1259"/>
      <c r="GAS32" s="1259"/>
      <c r="GAT32" s="1259"/>
      <c r="GAU32" s="1259"/>
      <c r="GAV32" s="1259"/>
      <c r="GAW32" s="1259"/>
      <c r="GAX32" s="1259"/>
      <c r="GAY32" s="1259"/>
      <c r="GAZ32" s="1259"/>
      <c r="GBA32" s="1259"/>
      <c r="GBB32" s="1259"/>
      <c r="GBC32" s="1259"/>
      <c r="GBD32" s="1259"/>
      <c r="GBE32" s="1259"/>
      <c r="GBF32" s="1259"/>
      <c r="GBG32" s="1259"/>
      <c r="GBH32" s="1259"/>
      <c r="GBI32" s="1259"/>
      <c r="GBJ32" s="1259"/>
      <c r="GBK32" s="1259"/>
      <c r="GBL32" s="1259"/>
      <c r="GBM32" s="1259"/>
      <c r="GBN32" s="1259"/>
      <c r="GBO32" s="1259"/>
      <c r="GBP32" s="1259"/>
      <c r="GBQ32" s="1259"/>
      <c r="GBR32" s="1259"/>
      <c r="GBS32" s="1259"/>
      <c r="GBT32" s="1259"/>
      <c r="GBU32" s="1259"/>
      <c r="GBV32" s="1259"/>
      <c r="GBW32" s="1259"/>
      <c r="GBX32" s="1259"/>
      <c r="GBY32" s="1259"/>
      <c r="GBZ32" s="1259"/>
      <c r="GCA32" s="1259"/>
      <c r="GCB32" s="1259"/>
      <c r="GCC32" s="1259"/>
      <c r="GCD32" s="1259"/>
      <c r="GCE32" s="1259"/>
      <c r="GCF32" s="1259"/>
      <c r="GCG32" s="1259"/>
      <c r="GCH32" s="1259"/>
      <c r="GCI32" s="1259"/>
      <c r="GCJ32" s="1259"/>
      <c r="GCK32" s="1259"/>
      <c r="GCL32" s="1259"/>
      <c r="GCM32" s="1259"/>
      <c r="GCN32" s="1259"/>
      <c r="GCO32" s="1259"/>
      <c r="GCP32" s="1259"/>
      <c r="GCQ32" s="1259"/>
      <c r="GCR32" s="1259"/>
      <c r="GCS32" s="1259"/>
      <c r="GCT32" s="1259"/>
      <c r="GCU32" s="1259"/>
      <c r="GCV32" s="1259"/>
      <c r="GCW32" s="1259"/>
      <c r="GCX32" s="1259"/>
      <c r="GCY32" s="1259"/>
      <c r="GCZ32" s="1259"/>
      <c r="GDA32" s="1259"/>
      <c r="GDB32" s="1259"/>
      <c r="GDC32" s="1259"/>
      <c r="GDD32" s="1259"/>
      <c r="GDE32" s="1259"/>
      <c r="GDF32" s="1259"/>
      <c r="GDG32" s="1259"/>
      <c r="GDH32" s="1259"/>
      <c r="GDI32" s="1259"/>
      <c r="GDJ32" s="1259"/>
      <c r="GDK32" s="1259"/>
      <c r="GDL32" s="1259"/>
      <c r="GDM32" s="1259"/>
      <c r="GDN32" s="1259"/>
      <c r="GDO32" s="1259"/>
      <c r="GDP32" s="1259"/>
      <c r="GDQ32" s="1259"/>
      <c r="GDR32" s="1259"/>
      <c r="GDS32" s="1259"/>
      <c r="GDT32" s="1259"/>
      <c r="GDU32" s="1259"/>
      <c r="GDV32" s="1259"/>
      <c r="GDW32" s="1259"/>
      <c r="GDX32" s="1259"/>
      <c r="GDY32" s="1259"/>
      <c r="GDZ32" s="1259"/>
      <c r="GEA32" s="1259"/>
      <c r="GEB32" s="1259"/>
      <c r="GEC32" s="1259"/>
      <c r="GED32" s="1259"/>
      <c r="GEE32" s="1259"/>
      <c r="GEF32" s="1259"/>
      <c r="GEG32" s="1259"/>
      <c r="GEH32" s="1259"/>
      <c r="GEI32" s="1259"/>
      <c r="GEJ32" s="1259"/>
      <c r="GEK32" s="1259"/>
      <c r="GEL32" s="1259"/>
      <c r="GEM32" s="1259"/>
      <c r="GEN32" s="1259"/>
      <c r="GEO32" s="1259"/>
      <c r="GEP32" s="1259"/>
      <c r="GEQ32" s="1259"/>
      <c r="GER32" s="1259"/>
      <c r="GES32" s="1259"/>
      <c r="GET32" s="1259"/>
      <c r="GEU32" s="1259"/>
      <c r="GEV32" s="1259"/>
      <c r="GEW32" s="1259"/>
      <c r="GEX32" s="1259"/>
      <c r="GEY32" s="1259"/>
      <c r="GEZ32" s="1259"/>
      <c r="GFA32" s="1259"/>
      <c r="GFB32" s="1259"/>
      <c r="GFC32" s="1259"/>
      <c r="GFD32" s="1259"/>
      <c r="GFE32" s="1259"/>
      <c r="GFF32" s="1259"/>
      <c r="GFG32" s="1259"/>
      <c r="GFH32" s="1259"/>
      <c r="GFI32" s="1259"/>
      <c r="GFJ32" s="1259"/>
      <c r="GFK32" s="1259"/>
      <c r="GFL32" s="1259"/>
      <c r="GFM32" s="1259"/>
      <c r="GFN32" s="1259"/>
      <c r="GFO32" s="1259"/>
      <c r="GFP32" s="1259"/>
      <c r="GFQ32" s="1259"/>
      <c r="GFR32" s="1259"/>
      <c r="GFS32" s="1259"/>
      <c r="GFT32" s="1259"/>
      <c r="GFU32" s="1259"/>
      <c r="GFV32" s="1259"/>
      <c r="GFW32" s="1259"/>
      <c r="GFX32" s="1259"/>
      <c r="GFY32" s="1259"/>
      <c r="GFZ32" s="1259"/>
      <c r="GGA32" s="1259"/>
      <c r="GGB32" s="1259"/>
      <c r="GGC32" s="1259"/>
      <c r="GGD32" s="1259"/>
      <c r="GGE32" s="1259"/>
      <c r="GGF32" s="1259"/>
      <c r="GGG32" s="1259"/>
      <c r="GGH32" s="1259"/>
      <c r="GGI32" s="1259"/>
      <c r="GGJ32" s="1259"/>
      <c r="GGK32" s="1259"/>
      <c r="GGL32" s="1259"/>
      <c r="GGM32" s="1259"/>
      <c r="GGN32" s="1259"/>
      <c r="GGO32" s="1259"/>
      <c r="GGP32" s="1259"/>
      <c r="GGQ32" s="1259"/>
      <c r="GGR32" s="1259"/>
      <c r="GGS32" s="1259"/>
      <c r="GGT32" s="1259"/>
      <c r="GGU32" s="1259"/>
      <c r="GGV32" s="1259"/>
      <c r="GGW32" s="1259"/>
      <c r="GGX32" s="1259"/>
      <c r="GGY32" s="1259"/>
      <c r="GGZ32" s="1259"/>
      <c r="GHA32" s="1259"/>
      <c r="GHB32" s="1259"/>
      <c r="GHC32" s="1259"/>
      <c r="GHD32" s="1259"/>
      <c r="GHE32" s="1259"/>
      <c r="GHF32" s="1259"/>
      <c r="GHG32" s="1259"/>
      <c r="GHH32" s="1259"/>
      <c r="GHI32" s="1259"/>
      <c r="GHJ32" s="1259"/>
      <c r="GHK32" s="1259"/>
      <c r="GHL32" s="1259"/>
      <c r="GHM32" s="1259"/>
      <c r="GHN32" s="1259"/>
      <c r="GHO32" s="1259"/>
      <c r="GHP32" s="1259"/>
      <c r="GHQ32" s="1259"/>
      <c r="GHR32" s="1259"/>
      <c r="GHS32" s="1259"/>
      <c r="GHT32" s="1259"/>
      <c r="GHU32" s="1259"/>
      <c r="GHV32" s="1259"/>
      <c r="GHW32" s="1259"/>
      <c r="GHX32" s="1259"/>
      <c r="GHY32" s="1259"/>
      <c r="GHZ32" s="1259"/>
      <c r="GIA32" s="1259"/>
      <c r="GIB32" s="1259"/>
      <c r="GIC32" s="1259"/>
      <c r="GID32" s="1259"/>
      <c r="GIE32" s="1259"/>
      <c r="GIF32" s="1259"/>
      <c r="GIG32" s="1259"/>
      <c r="GIH32" s="1259"/>
      <c r="GII32" s="1259"/>
      <c r="GIJ32" s="1259"/>
      <c r="GIK32" s="1259"/>
      <c r="GIL32" s="1259"/>
      <c r="GIM32" s="1259"/>
      <c r="GIN32" s="1259"/>
      <c r="GIO32" s="1259"/>
      <c r="GIP32" s="1259"/>
      <c r="GIQ32" s="1259"/>
      <c r="GIR32" s="1259"/>
      <c r="GIS32" s="1259"/>
      <c r="GIT32" s="1259"/>
      <c r="GIU32" s="1259"/>
      <c r="GIV32" s="1259"/>
      <c r="GIW32" s="1259"/>
      <c r="GIX32" s="1259"/>
      <c r="GIY32" s="1259"/>
      <c r="GIZ32" s="1259"/>
      <c r="GJA32" s="1259"/>
      <c r="GJB32" s="1259"/>
      <c r="GJC32" s="1259"/>
      <c r="GJD32" s="1259"/>
      <c r="GJE32" s="1259"/>
      <c r="GJF32" s="1259"/>
      <c r="GJG32" s="1259"/>
      <c r="GJH32" s="1259"/>
      <c r="GJI32" s="1259"/>
      <c r="GJJ32" s="1259"/>
      <c r="GJK32" s="1259"/>
      <c r="GJL32" s="1259"/>
      <c r="GJM32" s="1259"/>
      <c r="GJN32" s="1259"/>
      <c r="GJO32" s="1259"/>
      <c r="GJP32" s="1259"/>
      <c r="GJQ32" s="1259"/>
      <c r="GJR32" s="1259"/>
      <c r="GJS32" s="1259"/>
      <c r="GJT32" s="1259"/>
      <c r="GJU32" s="1259"/>
      <c r="GJV32" s="1259"/>
      <c r="GJW32" s="1259"/>
      <c r="GJX32" s="1259"/>
      <c r="GJY32" s="1259"/>
      <c r="GJZ32" s="1259"/>
      <c r="GKA32" s="1259"/>
      <c r="GKB32" s="1259"/>
      <c r="GKC32" s="1259"/>
      <c r="GKD32" s="1259"/>
      <c r="GKE32" s="1259"/>
      <c r="GKF32" s="1259"/>
      <c r="GKG32" s="1259"/>
      <c r="GKH32" s="1259"/>
      <c r="GKI32" s="1259"/>
      <c r="GKJ32" s="1259"/>
      <c r="GKK32" s="1259"/>
      <c r="GKL32" s="1259"/>
      <c r="GKM32" s="1259"/>
      <c r="GKN32" s="1259"/>
      <c r="GKO32" s="1259"/>
      <c r="GKP32" s="1259"/>
      <c r="GKQ32" s="1259"/>
      <c r="GKR32" s="1259"/>
      <c r="GKS32" s="1259"/>
      <c r="GKT32" s="1259"/>
      <c r="GKU32" s="1259"/>
      <c r="GKV32" s="1259"/>
      <c r="GKW32" s="1259"/>
      <c r="GKX32" s="1259"/>
      <c r="GKY32" s="1259"/>
      <c r="GKZ32" s="1259"/>
      <c r="GLA32" s="1259"/>
      <c r="GLB32" s="1259"/>
      <c r="GLC32" s="1259"/>
      <c r="GLD32" s="1259"/>
      <c r="GLE32" s="1259"/>
      <c r="GLF32" s="1259"/>
      <c r="GLG32" s="1259"/>
      <c r="GLH32" s="1259"/>
      <c r="GLI32" s="1259"/>
      <c r="GLJ32" s="1259"/>
      <c r="GLK32" s="1259"/>
      <c r="GLL32" s="1259"/>
      <c r="GLM32" s="1259"/>
      <c r="GLN32" s="1259"/>
      <c r="GLO32" s="1259"/>
      <c r="GLP32" s="1259"/>
      <c r="GLQ32" s="1259"/>
      <c r="GLR32" s="1259"/>
      <c r="GLS32" s="1259"/>
      <c r="GLT32" s="1259"/>
      <c r="GLU32" s="1259"/>
      <c r="GLV32" s="1259"/>
      <c r="GLW32" s="1259"/>
      <c r="GLX32" s="1259"/>
      <c r="GLY32" s="1259"/>
      <c r="GLZ32" s="1259"/>
      <c r="GMA32" s="1259"/>
      <c r="GMB32" s="1259"/>
      <c r="GMC32" s="1259"/>
      <c r="GMD32" s="1259"/>
      <c r="GME32" s="1259"/>
      <c r="GMF32" s="1259"/>
      <c r="GMG32" s="1259"/>
      <c r="GMH32" s="1259"/>
      <c r="GMI32" s="1259"/>
      <c r="GMJ32" s="1259"/>
      <c r="GMK32" s="1259"/>
      <c r="GML32" s="1259"/>
      <c r="GMM32" s="1259"/>
      <c r="GMN32" s="1259"/>
      <c r="GMO32" s="1259"/>
      <c r="GMP32" s="1259"/>
      <c r="GMQ32" s="1259"/>
      <c r="GMR32" s="1259"/>
      <c r="GMS32" s="1259"/>
      <c r="GMT32" s="1259"/>
      <c r="GMU32" s="1259"/>
      <c r="GMV32" s="1259"/>
      <c r="GMW32" s="1259"/>
      <c r="GMX32" s="1259"/>
      <c r="GMY32" s="1259"/>
      <c r="GMZ32" s="1259"/>
      <c r="GNA32" s="1259"/>
      <c r="GNB32" s="1259"/>
      <c r="GNC32" s="1259"/>
      <c r="GND32" s="1259"/>
      <c r="GNE32" s="1259"/>
      <c r="GNF32" s="1259"/>
      <c r="GNG32" s="1259"/>
      <c r="GNH32" s="1259"/>
      <c r="GNI32" s="1259"/>
      <c r="GNJ32" s="1259"/>
      <c r="GNK32" s="1259"/>
      <c r="GNL32" s="1259"/>
      <c r="GNM32" s="1259"/>
      <c r="GNN32" s="1259"/>
      <c r="GNO32" s="1259"/>
      <c r="GNP32" s="1259"/>
      <c r="GNQ32" s="1259"/>
      <c r="GNR32" s="1259"/>
      <c r="GNS32" s="1259"/>
      <c r="GNT32" s="1259"/>
      <c r="GNU32" s="1259"/>
      <c r="GNV32" s="1259"/>
      <c r="GNW32" s="1259"/>
      <c r="GNX32" s="1259"/>
      <c r="GNY32" s="1259"/>
      <c r="GNZ32" s="1259"/>
      <c r="GOA32" s="1259"/>
      <c r="GOB32" s="1259"/>
      <c r="GOC32" s="1259"/>
      <c r="GOD32" s="1259"/>
      <c r="GOE32" s="1259"/>
      <c r="GOF32" s="1259"/>
      <c r="GOG32" s="1259"/>
      <c r="GOH32" s="1259"/>
      <c r="GOI32" s="1259"/>
      <c r="GOJ32" s="1259"/>
      <c r="GOK32" s="1259"/>
      <c r="GOL32" s="1259"/>
      <c r="GOM32" s="1259"/>
      <c r="GON32" s="1259"/>
      <c r="GOO32" s="1259"/>
      <c r="GOP32" s="1259"/>
      <c r="GOQ32" s="1259"/>
      <c r="GOR32" s="1259"/>
      <c r="GOS32" s="1259"/>
      <c r="GOT32" s="1259"/>
      <c r="GOU32" s="1259"/>
      <c r="GOV32" s="1259"/>
      <c r="GOW32" s="1259"/>
      <c r="GOX32" s="1259"/>
      <c r="GOY32" s="1259"/>
      <c r="GOZ32" s="1259"/>
      <c r="GPA32" s="1259"/>
      <c r="GPB32" s="1259"/>
      <c r="GPC32" s="1259"/>
      <c r="GPD32" s="1259"/>
      <c r="GPE32" s="1259"/>
      <c r="GPF32" s="1259"/>
      <c r="GPG32" s="1259"/>
      <c r="GPH32" s="1259"/>
      <c r="GPI32" s="1259"/>
      <c r="GPJ32" s="1259"/>
      <c r="GPK32" s="1259"/>
      <c r="GPL32" s="1259"/>
      <c r="GPM32" s="1259"/>
      <c r="GPN32" s="1259"/>
      <c r="GPO32" s="1259"/>
      <c r="GPP32" s="1259"/>
      <c r="GPQ32" s="1259"/>
      <c r="GPR32" s="1259"/>
      <c r="GPS32" s="1259"/>
      <c r="GPT32" s="1259"/>
      <c r="GPU32" s="1259"/>
      <c r="GPV32" s="1259"/>
      <c r="GPW32" s="1259"/>
      <c r="GPX32" s="1259"/>
      <c r="GPY32" s="1259"/>
      <c r="GPZ32" s="1259"/>
      <c r="GQA32" s="1259"/>
      <c r="GQB32" s="1259"/>
      <c r="GQC32" s="1259"/>
      <c r="GQD32" s="1259"/>
      <c r="GQE32" s="1259"/>
      <c r="GQF32" s="1259"/>
      <c r="GQG32" s="1259"/>
      <c r="GQH32" s="1259"/>
      <c r="GQI32" s="1259"/>
      <c r="GQJ32" s="1259"/>
      <c r="GQK32" s="1259"/>
      <c r="GQL32" s="1259"/>
      <c r="GQM32" s="1259"/>
      <c r="GQN32" s="1259"/>
      <c r="GQO32" s="1259"/>
      <c r="GQP32" s="1259"/>
      <c r="GQQ32" s="1259"/>
      <c r="GQR32" s="1259"/>
      <c r="GQS32" s="1259"/>
      <c r="GQT32" s="1259"/>
      <c r="GQU32" s="1259"/>
      <c r="GQV32" s="1259"/>
      <c r="GQW32" s="1259"/>
      <c r="GQX32" s="1259"/>
      <c r="GQY32" s="1259"/>
      <c r="GQZ32" s="1259"/>
      <c r="GRA32" s="1259"/>
      <c r="GRB32" s="1259"/>
      <c r="GRC32" s="1259"/>
      <c r="GRD32" s="1259"/>
      <c r="GRE32" s="1259"/>
      <c r="GRF32" s="1259"/>
      <c r="GRG32" s="1259"/>
      <c r="GRH32" s="1259"/>
      <c r="GRI32" s="1259"/>
      <c r="GRJ32" s="1259"/>
      <c r="GRK32" s="1259"/>
      <c r="GRL32" s="1259"/>
      <c r="GRM32" s="1259"/>
      <c r="GRN32" s="1259"/>
      <c r="GRO32" s="1259"/>
      <c r="GRP32" s="1259"/>
      <c r="GRQ32" s="1259"/>
      <c r="GRR32" s="1259"/>
      <c r="GRS32" s="1259"/>
      <c r="GRT32" s="1259"/>
      <c r="GRU32" s="1259"/>
      <c r="GRV32" s="1259"/>
      <c r="GRW32" s="1259"/>
      <c r="GRX32" s="1259"/>
      <c r="GRY32" s="1259"/>
      <c r="GRZ32" s="1259"/>
      <c r="GSA32" s="1259"/>
      <c r="GSB32" s="1259"/>
      <c r="GSC32" s="1259"/>
      <c r="GSD32" s="1259"/>
      <c r="GSE32" s="1259"/>
      <c r="GSF32" s="1259"/>
      <c r="GSG32" s="1259"/>
      <c r="GSH32" s="1259"/>
      <c r="GSI32" s="1259"/>
      <c r="GSJ32" s="1259"/>
      <c r="GSK32" s="1259"/>
      <c r="GSL32" s="1259"/>
      <c r="GSM32" s="1259"/>
      <c r="GSN32" s="1259"/>
      <c r="GSO32" s="1259"/>
      <c r="GSP32" s="1259"/>
      <c r="GSQ32" s="1259"/>
      <c r="GSR32" s="1259"/>
      <c r="GSS32" s="1259"/>
      <c r="GST32" s="1259"/>
      <c r="GSU32" s="1259"/>
      <c r="GSV32" s="1259"/>
      <c r="GSW32" s="1259"/>
      <c r="GSX32" s="1259"/>
      <c r="GSY32" s="1259"/>
      <c r="GSZ32" s="1259"/>
      <c r="GTA32" s="1259"/>
      <c r="GTB32" s="1259"/>
      <c r="GTC32" s="1259"/>
      <c r="GTD32" s="1259"/>
      <c r="GTE32" s="1259"/>
      <c r="GTF32" s="1259"/>
      <c r="GTG32" s="1259"/>
      <c r="GTH32" s="1259"/>
      <c r="GTI32" s="1259"/>
      <c r="GTJ32" s="1259"/>
      <c r="GTK32" s="1259"/>
      <c r="GTL32" s="1259"/>
      <c r="GTM32" s="1259"/>
      <c r="GTN32" s="1259"/>
      <c r="GTO32" s="1259"/>
      <c r="GTP32" s="1259"/>
      <c r="GTQ32" s="1259"/>
      <c r="GTR32" s="1259"/>
      <c r="GTS32" s="1259"/>
      <c r="GTT32" s="1259"/>
      <c r="GTU32" s="1259"/>
      <c r="GTV32" s="1259"/>
      <c r="GTW32" s="1259"/>
      <c r="GTX32" s="1259"/>
      <c r="GTY32" s="1259"/>
      <c r="GTZ32" s="1259"/>
      <c r="GUA32" s="1259"/>
      <c r="GUB32" s="1259"/>
      <c r="GUC32" s="1259"/>
      <c r="GUD32" s="1259"/>
      <c r="GUE32" s="1259"/>
      <c r="GUF32" s="1259"/>
      <c r="GUG32" s="1259"/>
      <c r="GUH32" s="1259"/>
      <c r="GUI32" s="1259"/>
      <c r="GUJ32" s="1259"/>
      <c r="GUK32" s="1259"/>
      <c r="GUL32" s="1259"/>
      <c r="GUM32" s="1259"/>
      <c r="GUN32" s="1259"/>
      <c r="GUO32" s="1259"/>
      <c r="GUP32" s="1259"/>
      <c r="GUQ32" s="1259"/>
      <c r="GUR32" s="1259"/>
      <c r="GUS32" s="1259"/>
      <c r="GUT32" s="1259"/>
      <c r="GUU32" s="1259"/>
      <c r="GUV32" s="1259"/>
      <c r="GUW32" s="1259"/>
      <c r="GUX32" s="1259"/>
      <c r="GUY32" s="1259"/>
      <c r="GUZ32" s="1259"/>
      <c r="GVA32" s="1259"/>
      <c r="GVB32" s="1259"/>
      <c r="GVC32" s="1259"/>
      <c r="GVD32" s="1259"/>
      <c r="GVE32" s="1259"/>
      <c r="GVF32" s="1259"/>
      <c r="GVG32" s="1259"/>
      <c r="GVH32" s="1259"/>
      <c r="GVI32" s="1259"/>
      <c r="GVJ32" s="1259"/>
      <c r="GVK32" s="1259"/>
      <c r="GVL32" s="1259"/>
      <c r="GVM32" s="1259"/>
      <c r="GVN32" s="1259"/>
      <c r="GVO32" s="1259"/>
      <c r="GVP32" s="1259"/>
      <c r="GVQ32" s="1259"/>
      <c r="GVR32" s="1259"/>
      <c r="GVS32" s="1259"/>
      <c r="GVT32" s="1259"/>
      <c r="GVU32" s="1259"/>
      <c r="GVV32" s="1259"/>
      <c r="GVW32" s="1259"/>
      <c r="GVX32" s="1259"/>
      <c r="GVY32" s="1259"/>
      <c r="GVZ32" s="1259"/>
      <c r="GWA32" s="1259"/>
      <c r="GWB32" s="1259"/>
      <c r="GWC32" s="1259"/>
      <c r="GWD32" s="1259"/>
      <c r="GWE32" s="1259"/>
      <c r="GWF32" s="1259"/>
      <c r="GWG32" s="1259"/>
      <c r="GWH32" s="1259"/>
      <c r="GWI32" s="1259"/>
      <c r="GWJ32" s="1259"/>
      <c r="GWK32" s="1259"/>
      <c r="GWL32" s="1259"/>
      <c r="GWM32" s="1259"/>
      <c r="GWN32" s="1259"/>
      <c r="GWO32" s="1259"/>
      <c r="GWP32" s="1259"/>
      <c r="GWQ32" s="1259"/>
      <c r="GWR32" s="1259"/>
      <c r="GWS32" s="1259"/>
      <c r="GWT32" s="1259"/>
      <c r="GWU32" s="1259"/>
      <c r="GWV32" s="1259"/>
      <c r="GWW32" s="1259"/>
      <c r="GWX32" s="1259"/>
      <c r="GWY32" s="1259"/>
      <c r="GWZ32" s="1259"/>
      <c r="GXA32" s="1259"/>
      <c r="GXB32" s="1259"/>
      <c r="GXC32" s="1259"/>
      <c r="GXD32" s="1259"/>
      <c r="GXE32" s="1259"/>
      <c r="GXF32" s="1259"/>
      <c r="GXG32" s="1259"/>
      <c r="GXH32" s="1259"/>
      <c r="GXI32" s="1259"/>
      <c r="GXJ32" s="1259"/>
      <c r="GXK32" s="1259"/>
      <c r="GXL32" s="1259"/>
      <c r="GXM32" s="1259"/>
      <c r="GXN32" s="1259"/>
      <c r="GXO32" s="1259"/>
      <c r="GXP32" s="1259"/>
      <c r="GXQ32" s="1259"/>
      <c r="GXR32" s="1259"/>
      <c r="GXS32" s="1259"/>
      <c r="GXT32" s="1259"/>
      <c r="GXU32" s="1259"/>
      <c r="GXV32" s="1259"/>
      <c r="GXW32" s="1259"/>
      <c r="GXX32" s="1259"/>
      <c r="GXY32" s="1259"/>
      <c r="GXZ32" s="1259"/>
      <c r="GYA32" s="1259"/>
      <c r="GYB32" s="1259"/>
      <c r="GYC32" s="1259"/>
      <c r="GYD32" s="1259"/>
      <c r="GYE32" s="1259"/>
      <c r="GYF32" s="1259"/>
      <c r="GYG32" s="1259"/>
      <c r="GYH32" s="1259"/>
      <c r="GYI32" s="1259"/>
      <c r="GYJ32" s="1259"/>
      <c r="GYK32" s="1259"/>
      <c r="GYL32" s="1259"/>
      <c r="GYM32" s="1259"/>
      <c r="GYN32" s="1259"/>
      <c r="GYO32" s="1259"/>
      <c r="GYP32" s="1259"/>
      <c r="GYQ32" s="1259"/>
      <c r="GYR32" s="1259"/>
      <c r="GYS32" s="1259"/>
      <c r="GYT32" s="1259"/>
      <c r="GYU32" s="1259"/>
      <c r="GYV32" s="1259"/>
      <c r="GYW32" s="1259"/>
      <c r="GYX32" s="1259"/>
      <c r="GYY32" s="1259"/>
      <c r="GYZ32" s="1259"/>
      <c r="GZA32" s="1259"/>
      <c r="GZB32" s="1259"/>
      <c r="GZC32" s="1259"/>
      <c r="GZD32" s="1259"/>
      <c r="GZE32" s="1259"/>
      <c r="GZF32" s="1259"/>
      <c r="GZG32" s="1259"/>
      <c r="GZH32" s="1259"/>
      <c r="GZI32" s="1259"/>
      <c r="GZJ32" s="1259"/>
      <c r="GZK32" s="1259"/>
      <c r="GZL32" s="1259"/>
      <c r="GZM32" s="1259"/>
      <c r="GZN32" s="1259"/>
      <c r="GZO32" s="1259"/>
      <c r="GZP32" s="1259"/>
      <c r="GZQ32" s="1259"/>
      <c r="GZR32" s="1259"/>
      <c r="GZS32" s="1259"/>
      <c r="GZT32" s="1259"/>
      <c r="GZU32" s="1259"/>
      <c r="GZV32" s="1259"/>
      <c r="GZW32" s="1259"/>
      <c r="GZX32" s="1259"/>
      <c r="GZY32" s="1259"/>
      <c r="GZZ32" s="1259"/>
      <c r="HAA32" s="1259"/>
      <c r="HAB32" s="1259"/>
      <c r="HAC32" s="1259"/>
      <c r="HAD32" s="1259"/>
      <c r="HAE32" s="1259"/>
      <c r="HAF32" s="1259"/>
      <c r="HAG32" s="1259"/>
      <c r="HAH32" s="1259"/>
      <c r="HAI32" s="1259"/>
      <c r="HAJ32" s="1259"/>
      <c r="HAK32" s="1259"/>
      <c r="HAL32" s="1259"/>
      <c r="HAM32" s="1259"/>
      <c r="HAN32" s="1259"/>
      <c r="HAO32" s="1259"/>
      <c r="HAP32" s="1259"/>
      <c r="HAQ32" s="1259"/>
      <c r="HAR32" s="1259"/>
      <c r="HAS32" s="1259"/>
      <c r="HAT32" s="1259"/>
      <c r="HAU32" s="1259"/>
      <c r="HAV32" s="1259"/>
      <c r="HAW32" s="1259"/>
      <c r="HAX32" s="1259"/>
      <c r="HAY32" s="1259"/>
      <c r="HAZ32" s="1259"/>
      <c r="HBA32" s="1259"/>
      <c r="HBB32" s="1259"/>
      <c r="HBC32" s="1259"/>
      <c r="HBD32" s="1259"/>
      <c r="HBE32" s="1259"/>
      <c r="HBF32" s="1259"/>
      <c r="HBG32" s="1259"/>
      <c r="HBH32" s="1259"/>
      <c r="HBI32" s="1259"/>
      <c r="HBJ32" s="1259"/>
      <c r="HBK32" s="1259"/>
      <c r="HBL32" s="1259"/>
      <c r="HBM32" s="1259"/>
      <c r="HBN32" s="1259"/>
      <c r="HBO32" s="1259"/>
      <c r="HBP32" s="1259"/>
      <c r="HBQ32" s="1259"/>
      <c r="HBR32" s="1259"/>
      <c r="HBS32" s="1259"/>
      <c r="HBT32" s="1259"/>
      <c r="HBU32" s="1259"/>
      <c r="HBV32" s="1259"/>
      <c r="HBW32" s="1259"/>
      <c r="HBX32" s="1259"/>
      <c r="HBY32" s="1259"/>
      <c r="HBZ32" s="1259"/>
      <c r="HCA32" s="1259"/>
      <c r="HCB32" s="1259"/>
      <c r="HCC32" s="1259"/>
      <c r="HCD32" s="1259"/>
      <c r="HCE32" s="1259"/>
      <c r="HCF32" s="1259"/>
      <c r="HCG32" s="1259"/>
      <c r="HCH32" s="1259"/>
      <c r="HCI32" s="1259"/>
      <c r="HCJ32" s="1259"/>
      <c r="HCK32" s="1259"/>
      <c r="HCL32" s="1259"/>
      <c r="HCM32" s="1259"/>
      <c r="HCN32" s="1259"/>
      <c r="HCO32" s="1259"/>
      <c r="HCP32" s="1259"/>
      <c r="HCQ32" s="1259"/>
      <c r="HCR32" s="1259"/>
      <c r="HCS32" s="1259"/>
      <c r="HCT32" s="1259"/>
      <c r="HCU32" s="1259"/>
      <c r="HCV32" s="1259"/>
      <c r="HCW32" s="1259"/>
      <c r="HCX32" s="1259"/>
      <c r="HCY32" s="1259"/>
      <c r="HCZ32" s="1259"/>
      <c r="HDA32" s="1259"/>
      <c r="HDB32" s="1259"/>
      <c r="HDC32" s="1259"/>
      <c r="HDD32" s="1259"/>
      <c r="HDE32" s="1259"/>
      <c r="HDF32" s="1259"/>
      <c r="HDG32" s="1259"/>
      <c r="HDH32" s="1259"/>
      <c r="HDI32" s="1259"/>
      <c r="HDJ32" s="1259"/>
      <c r="HDK32" s="1259"/>
      <c r="HDL32" s="1259"/>
      <c r="HDM32" s="1259"/>
      <c r="HDN32" s="1259"/>
      <c r="HDO32" s="1259"/>
      <c r="HDP32" s="1259"/>
      <c r="HDQ32" s="1259"/>
      <c r="HDR32" s="1259"/>
      <c r="HDS32" s="1259"/>
      <c r="HDT32" s="1259"/>
      <c r="HDU32" s="1259"/>
      <c r="HDV32" s="1259"/>
      <c r="HDW32" s="1259"/>
      <c r="HDX32" s="1259"/>
      <c r="HDY32" s="1259"/>
      <c r="HDZ32" s="1259"/>
      <c r="HEA32" s="1259"/>
      <c r="HEB32" s="1259"/>
      <c r="HEC32" s="1259"/>
      <c r="HED32" s="1259"/>
      <c r="HEE32" s="1259"/>
      <c r="HEF32" s="1259"/>
      <c r="HEG32" s="1259"/>
      <c r="HEH32" s="1259"/>
      <c r="HEI32" s="1259"/>
      <c r="HEJ32" s="1259"/>
      <c r="HEK32" s="1259"/>
      <c r="HEL32" s="1259"/>
      <c r="HEM32" s="1259"/>
      <c r="HEN32" s="1259"/>
      <c r="HEO32" s="1259"/>
      <c r="HEP32" s="1259"/>
      <c r="HEQ32" s="1259"/>
      <c r="HER32" s="1259"/>
      <c r="HES32" s="1259"/>
      <c r="HET32" s="1259"/>
      <c r="HEU32" s="1259"/>
      <c r="HEV32" s="1259"/>
      <c r="HEW32" s="1259"/>
      <c r="HEX32" s="1259"/>
      <c r="HEY32" s="1259"/>
      <c r="HEZ32" s="1259"/>
      <c r="HFA32" s="1259"/>
      <c r="HFB32" s="1259"/>
      <c r="HFC32" s="1259"/>
      <c r="HFD32" s="1259"/>
      <c r="HFE32" s="1259"/>
      <c r="HFF32" s="1259"/>
      <c r="HFG32" s="1259"/>
      <c r="HFH32" s="1259"/>
      <c r="HFI32" s="1259"/>
      <c r="HFJ32" s="1259"/>
      <c r="HFK32" s="1259"/>
      <c r="HFL32" s="1259"/>
      <c r="HFM32" s="1259"/>
      <c r="HFN32" s="1259"/>
      <c r="HFO32" s="1259"/>
      <c r="HFP32" s="1259"/>
      <c r="HFQ32" s="1259"/>
      <c r="HFR32" s="1259"/>
      <c r="HFS32" s="1259"/>
      <c r="HFT32" s="1259"/>
      <c r="HFU32" s="1259"/>
      <c r="HFV32" s="1259"/>
      <c r="HFW32" s="1259"/>
      <c r="HFX32" s="1259"/>
      <c r="HFY32" s="1259"/>
      <c r="HFZ32" s="1259"/>
      <c r="HGA32" s="1259"/>
      <c r="HGB32" s="1259"/>
      <c r="HGC32" s="1259"/>
      <c r="HGD32" s="1259"/>
      <c r="HGE32" s="1259"/>
      <c r="HGF32" s="1259"/>
      <c r="HGG32" s="1259"/>
      <c r="HGH32" s="1259"/>
      <c r="HGI32" s="1259"/>
      <c r="HGJ32" s="1259"/>
      <c r="HGK32" s="1259"/>
      <c r="HGL32" s="1259"/>
      <c r="HGM32" s="1259"/>
      <c r="HGN32" s="1259"/>
      <c r="HGO32" s="1259"/>
      <c r="HGP32" s="1259"/>
      <c r="HGQ32" s="1259"/>
      <c r="HGR32" s="1259"/>
      <c r="HGS32" s="1259"/>
      <c r="HGT32" s="1259"/>
      <c r="HGU32" s="1259"/>
      <c r="HGV32" s="1259"/>
      <c r="HGW32" s="1259"/>
      <c r="HGX32" s="1259"/>
      <c r="HGY32" s="1259"/>
      <c r="HGZ32" s="1259"/>
      <c r="HHA32" s="1259"/>
      <c r="HHB32" s="1259"/>
      <c r="HHC32" s="1259"/>
      <c r="HHD32" s="1259"/>
      <c r="HHE32" s="1259"/>
      <c r="HHF32" s="1259"/>
      <c r="HHG32" s="1259"/>
      <c r="HHH32" s="1259"/>
      <c r="HHI32" s="1259"/>
      <c r="HHJ32" s="1259"/>
      <c r="HHK32" s="1259"/>
      <c r="HHL32" s="1259"/>
      <c r="HHM32" s="1259"/>
      <c r="HHN32" s="1259"/>
      <c r="HHO32" s="1259"/>
      <c r="HHP32" s="1259"/>
      <c r="HHQ32" s="1259"/>
      <c r="HHR32" s="1259"/>
      <c r="HHS32" s="1259"/>
      <c r="HHT32" s="1259"/>
      <c r="HHU32" s="1259"/>
      <c r="HHV32" s="1259"/>
      <c r="HHW32" s="1259"/>
      <c r="HHX32" s="1259"/>
      <c r="HHY32" s="1259"/>
      <c r="HHZ32" s="1259"/>
      <c r="HIA32" s="1259"/>
      <c r="HIB32" s="1259"/>
      <c r="HIC32" s="1259"/>
      <c r="HID32" s="1259"/>
      <c r="HIE32" s="1259"/>
      <c r="HIF32" s="1259"/>
      <c r="HIG32" s="1259"/>
      <c r="HIH32" s="1259"/>
      <c r="HII32" s="1259"/>
      <c r="HIJ32" s="1259"/>
      <c r="HIK32" s="1259"/>
      <c r="HIL32" s="1259"/>
      <c r="HIM32" s="1259"/>
      <c r="HIN32" s="1259"/>
      <c r="HIO32" s="1259"/>
      <c r="HIP32" s="1259"/>
      <c r="HIQ32" s="1259"/>
      <c r="HIR32" s="1259"/>
      <c r="HIS32" s="1259"/>
      <c r="HIT32" s="1259"/>
      <c r="HIU32" s="1259"/>
      <c r="HIV32" s="1259"/>
      <c r="HIW32" s="1259"/>
      <c r="HIX32" s="1259"/>
      <c r="HIY32" s="1259"/>
      <c r="HIZ32" s="1259"/>
      <c r="HJA32" s="1259"/>
      <c r="HJB32" s="1259"/>
      <c r="HJC32" s="1259"/>
      <c r="HJD32" s="1259"/>
      <c r="HJE32" s="1259"/>
      <c r="HJF32" s="1259"/>
      <c r="HJG32" s="1259"/>
      <c r="HJH32" s="1259"/>
      <c r="HJI32" s="1259"/>
      <c r="HJJ32" s="1259"/>
      <c r="HJK32" s="1259"/>
      <c r="HJL32" s="1259"/>
      <c r="HJM32" s="1259"/>
      <c r="HJN32" s="1259"/>
      <c r="HJO32" s="1259"/>
      <c r="HJP32" s="1259"/>
      <c r="HJQ32" s="1259"/>
      <c r="HJR32" s="1259"/>
      <c r="HJS32" s="1259"/>
      <c r="HJT32" s="1259"/>
      <c r="HJU32" s="1259"/>
      <c r="HJV32" s="1259"/>
      <c r="HJW32" s="1259"/>
      <c r="HJX32" s="1259"/>
      <c r="HJY32" s="1259"/>
      <c r="HJZ32" s="1259"/>
      <c r="HKA32" s="1259"/>
      <c r="HKB32" s="1259"/>
      <c r="HKC32" s="1259"/>
      <c r="HKD32" s="1259"/>
      <c r="HKE32" s="1259"/>
      <c r="HKF32" s="1259"/>
      <c r="HKG32" s="1259"/>
      <c r="HKH32" s="1259"/>
      <c r="HKI32" s="1259"/>
      <c r="HKJ32" s="1259"/>
      <c r="HKK32" s="1259"/>
      <c r="HKL32" s="1259"/>
      <c r="HKM32" s="1259"/>
      <c r="HKN32" s="1259"/>
      <c r="HKO32" s="1259"/>
      <c r="HKP32" s="1259"/>
      <c r="HKQ32" s="1259"/>
      <c r="HKR32" s="1259"/>
      <c r="HKS32" s="1259"/>
      <c r="HKT32" s="1259"/>
      <c r="HKU32" s="1259"/>
      <c r="HKV32" s="1259"/>
      <c r="HKW32" s="1259"/>
      <c r="HKX32" s="1259"/>
      <c r="HKY32" s="1259"/>
      <c r="HKZ32" s="1259"/>
      <c r="HLA32" s="1259"/>
      <c r="HLB32" s="1259"/>
      <c r="HLC32" s="1259"/>
      <c r="HLD32" s="1259"/>
      <c r="HLE32" s="1259"/>
      <c r="HLF32" s="1259"/>
      <c r="HLG32" s="1259"/>
      <c r="HLH32" s="1259"/>
      <c r="HLI32" s="1259"/>
      <c r="HLJ32" s="1259"/>
      <c r="HLK32" s="1259"/>
      <c r="HLL32" s="1259"/>
      <c r="HLM32" s="1259"/>
      <c r="HLN32" s="1259"/>
      <c r="HLO32" s="1259"/>
      <c r="HLP32" s="1259"/>
      <c r="HLQ32" s="1259"/>
      <c r="HLR32" s="1259"/>
      <c r="HLS32" s="1259"/>
      <c r="HLT32" s="1259"/>
      <c r="HLU32" s="1259"/>
      <c r="HLV32" s="1259"/>
      <c r="HLW32" s="1259"/>
      <c r="HLX32" s="1259"/>
      <c r="HLY32" s="1259"/>
      <c r="HLZ32" s="1259"/>
      <c r="HMA32" s="1259"/>
      <c r="HMB32" s="1259"/>
      <c r="HMC32" s="1259"/>
      <c r="HMD32" s="1259"/>
      <c r="HME32" s="1259"/>
      <c r="HMF32" s="1259"/>
      <c r="HMG32" s="1259"/>
      <c r="HMH32" s="1259"/>
      <c r="HMI32" s="1259"/>
      <c r="HMJ32" s="1259"/>
      <c r="HMK32" s="1259"/>
      <c r="HML32" s="1259"/>
      <c r="HMM32" s="1259"/>
      <c r="HMN32" s="1259"/>
      <c r="HMO32" s="1259"/>
      <c r="HMP32" s="1259"/>
      <c r="HMQ32" s="1259"/>
      <c r="HMR32" s="1259"/>
      <c r="HMS32" s="1259"/>
      <c r="HMT32" s="1259"/>
      <c r="HMU32" s="1259"/>
      <c r="HMV32" s="1259"/>
      <c r="HMW32" s="1259"/>
      <c r="HMX32" s="1259"/>
      <c r="HMY32" s="1259"/>
      <c r="HMZ32" s="1259"/>
      <c r="HNA32" s="1259"/>
      <c r="HNB32" s="1259"/>
      <c r="HNC32" s="1259"/>
      <c r="HND32" s="1259"/>
      <c r="HNE32" s="1259"/>
      <c r="HNF32" s="1259"/>
      <c r="HNG32" s="1259"/>
      <c r="HNH32" s="1259"/>
      <c r="HNI32" s="1259"/>
      <c r="HNJ32" s="1259"/>
      <c r="HNK32" s="1259"/>
      <c r="HNL32" s="1259"/>
      <c r="HNM32" s="1259"/>
      <c r="HNN32" s="1259"/>
      <c r="HNO32" s="1259"/>
      <c r="HNP32" s="1259"/>
      <c r="HNQ32" s="1259"/>
      <c r="HNR32" s="1259"/>
      <c r="HNS32" s="1259"/>
      <c r="HNT32" s="1259"/>
      <c r="HNU32" s="1259"/>
      <c r="HNV32" s="1259"/>
      <c r="HNW32" s="1259"/>
      <c r="HNX32" s="1259"/>
      <c r="HNY32" s="1259"/>
      <c r="HNZ32" s="1259"/>
      <c r="HOA32" s="1259"/>
      <c r="HOB32" s="1259"/>
      <c r="HOC32" s="1259"/>
      <c r="HOD32" s="1259"/>
      <c r="HOE32" s="1259"/>
      <c r="HOF32" s="1259"/>
      <c r="HOG32" s="1259"/>
      <c r="HOH32" s="1259"/>
      <c r="HOI32" s="1259"/>
      <c r="HOJ32" s="1259"/>
      <c r="HOK32" s="1259"/>
      <c r="HOL32" s="1259"/>
      <c r="HOM32" s="1259"/>
      <c r="HON32" s="1259"/>
      <c r="HOO32" s="1259"/>
      <c r="HOP32" s="1259"/>
      <c r="HOQ32" s="1259"/>
      <c r="HOR32" s="1259"/>
      <c r="HOS32" s="1259"/>
      <c r="HOT32" s="1259"/>
      <c r="HOU32" s="1259"/>
      <c r="HOV32" s="1259"/>
      <c r="HOW32" s="1259"/>
      <c r="HOX32" s="1259"/>
      <c r="HOY32" s="1259"/>
      <c r="HOZ32" s="1259"/>
      <c r="HPA32" s="1259"/>
      <c r="HPB32" s="1259"/>
      <c r="HPC32" s="1259"/>
      <c r="HPD32" s="1259"/>
      <c r="HPE32" s="1259"/>
      <c r="HPF32" s="1259"/>
      <c r="HPG32" s="1259"/>
      <c r="HPH32" s="1259"/>
      <c r="HPI32" s="1259"/>
      <c r="HPJ32" s="1259"/>
      <c r="HPK32" s="1259"/>
      <c r="HPL32" s="1259"/>
      <c r="HPM32" s="1259"/>
      <c r="HPN32" s="1259"/>
      <c r="HPO32" s="1259"/>
      <c r="HPP32" s="1259"/>
      <c r="HPQ32" s="1259"/>
      <c r="HPR32" s="1259"/>
      <c r="HPS32" s="1259"/>
      <c r="HPT32" s="1259"/>
      <c r="HPU32" s="1259"/>
      <c r="HPV32" s="1259"/>
      <c r="HPW32" s="1259"/>
      <c r="HPX32" s="1259"/>
      <c r="HPY32" s="1259"/>
      <c r="HPZ32" s="1259"/>
      <c r="HQA32" s="1259"/>
      <c r="HQB32" s="1259"/>
      <c r="HQC32" s="1259"/>
      <c r="HQD32" s="1259"/>
      <c r="HQE32" s="1259"/>
      <c r="HQF32" s="1259"/>
      <c r="HQG32" s="1259"/>
      <c r="HQH32" s="1259"/>
      <c r="HQI32" s="1259"/>
      <c r="HQJ32" s="1259"/>
      <c r="HQK32" s="1259"/>
      <c r="HQL32" s="1259"/>
      <c r="HQM32" s="1259"/>
      <c r="HQN32" s="1259"/>
      <c r="HQO32" s="1259"/>
      <c r="HQP32" s="1259"/>
      <c r="HQQ32" s="1259"/>
      <c r="HQR32" s="1259"/>
      <c r="HQS32" s="1259"/>
      <c r="HQT32" s="1259"/>
      <c r="HQU32" s="1259"/>
      <c r="HQV32" s="1259"/>
      <c r="HQW32" s="1259"/>
      <c r="HQX32" s="1259"/>
      <c r="HQY32" s="1259"/>
      <c r="HQZ32" s="1259"/>
      <c r="HRA32" s="1259"/>
      <c r="HRB32" s="1259"/>
      <c r="HRC32" s="1259"/>
      <c r="HRD32" s="1259"/>
      <c r="HRE32" s="1259"/>
      <c r="HRF32" s="1259"/>
      <c r="HRG32" s="1259"/>
      <c r="HRH32" s="1259"/>
      <c r="HRI32" s="1259"/>
      <c r="HRJ32" s="1259"/>
      <c r="HRK32" s="1259"/>
      <c r="HRL32" s="1259"/>
      <c r="HRM32" s="1259"/>
      <c r="HRN32" s="1259"/>
      <c r="HRO32" s="1259"/>
      <c r="HRP32" s="1259"/>
      <c r="HRQ32" s="1259"/>
      <c r="HRR32" s="1259"/>
      <c r="HRS32" s="1259"/>
      <c r="HRT32" s="1259"/>
      <c r="HRU32" s="1259"/>
      <c r="HRV32" s="1259"/>
      <c r="HRW32" s="1259"/>
      <c r="HRX32" s="1259"/>
      <c r="HRY32" s="1259"/>
      <c r="HRZ32" s="1259"/>
      <c r="HSA32" s="1259"/>
      <c r="HSB32" s="1259"/>
      <c r="HSC32" s="1259"/>
      <c r="HSD32" s="1259"/>
      <c r="HSE32" s="1259"/>
      <c r="HSF32" s="1259"/>
      <c r="HSG32" s="1259"/>
      <c r="HSH32" s="1259"/>
      <c r="HSI32" s="1259"/>
      <c r="HSJ32" s="1259"/>
      <c r="HSK32" s="1259"/>
      <c r="HSL32" s="1259"/>
      <c r="HSM32" s="1259"/>
      <c r="HSN32" s="1259"/>
      <c r="HSO32" s="1259"/>
      <c r="HSP32" s="1259"/>
      <c r="HSQ32" s="1259"/>
      <c r="HSR32" s="1259"/>
      <c r="HSS32" s="1259"/>
      <c r="HST32" s="1259"/>
      <c r="HSU32" s="1259"/>
      <c r="HSV32" s="1259"/>
      <c r="HSW32" s="1259"/>
      <c r="HSX32" s="1259"/>
      <c r="HSY32" s="1259"/>
      <c r="HSZ32" s="1259"/>
      <c r="HTA32" s="1259"/>
      <c r="HTB32" s="1259"/>
      <c r="HTC32" s="1259"/>
      <c r="HTD32" s="1259"/>
      <c r="HTE32" s="1259"/>
      <c r="HTF32" s="1259"/>
      <c r="HTG32" s="1259"/>
      <c r="HTH32" s="1259"/>
      <c r="HTI32" s="1259"/>
      <c r="HTJ32" s="1259"/>
      <c r="HTK32" s="1259"/>
      <c r="HTL32" s="1259"/>
      <c r="HTM32" s="1259"/>
      <c r="HTN32" s="1259"/>
      <c r="HTO32" s="1259"/>
      <c r="HTP32" s="1259"/>
      <c r="HTQ32" s="1259"/>
      <c r="HTR32" s="1259"/>
      <c r="HTS32" s="1259"/>
      <c r="HTT32" s="1259"/>
      <c r="HTU32" s="1259"/>
      <c r="HTV32" s="1259"/>
      <c r="HTW32" s="1259"/>
      <c r="HTX32" s="1259"/>
      <c r="HTY32" s="1259"/>
      <c r="HTZ32" s="1259"/>
      <c r="HUA32" s="1259"/>
      <c r="HUB32" s="1259"/>
      <c r="HUC32" s="1259"/>
      <c r="HUD32" s="1259"/>
      <c r="HUE32" s="1259"/>
      <c r="HUF32" s="1259"/>
      <c r="HUG32" s="1259"/>
      <c r="HUH32" s="1259"/>
      <c r="HUI32" s="1259"/>
      <c r="HUJ32" s="1259"/>
      <c r="HUK32" s="1259"/>
      <c r="HUL32" s="1259"/>
      <c r="HUM32" s="1259"/>
      <c r="HUN32" s="1259"/>
      <c r="HUO32" s="1259"/>
      <c r="HUP32" s="1259"/>
      <c r="HUQ32" s="1259"/>
      <c r="HUR32" s="1259"/>
      <c r="HUS32" s="1259"/>
      <c r="HUT32" s="1259"/>
      <c r="HUU32" s="1259"/>
      <c r="HUV32" s="1259"/>
      <c r="HUW32" s="1259"/>
      <c r="HUX32" s="1259"/>
      <c r="HUY32" s="1259"/>
      <c r="HUZ32" s="1259"/>
      <c r="HVA32" s="1259"/>
      <c r="HVB32" s="1259"/>
      <c r="HVC32" s="1259"/>
      <c r="HVD32" s="1259"/>
      <c r="HVE32" s="1259"/>
      <c r="HVF32" s="1259"/>
      <c r="HVG32" s="1259"/>
      <c r="HVH32" s="1259"/>
      <c r="HVI32" s="1259"/>
      <c r="HVJ32" s="1259"/>
      <c r="HVK32" s="1259"/>
      <c r="HVL32" s="1259"/>
      <c r="HVM32" s="1259"/>
      <c r="HVN32" s="1259"/>
      <c r="HVO32" s="1259"/>
      <c r="HVP32" s="1259"/>
      <c r="HVQ32" s="1259"/>
      <c r="HVR32" s="1259"/>
      <c r="HVS32" s="1259"/>
      <c r="HVT32" s="1259"/>
      <c r="HVU32" s="1259"/>
      <c r="HVV32" s="1259"/>
      <c r="HVW32" s="1259"/>
      <c r="HVX32" s="1259"/>
      <c r="HVY32" s="1259"/>
      <c r="HVZ32" s="1259"/>
      <c r="HWA32" s="1259"/>
      <c r="HWB32" s="1259"/>
      <c r="HWC32" s="1259"/>
      <c r="HWD32" s="1259"/>
      <c r="HWE32" s="1259"/>
      <c r="HWF32" s="1259"/>
      <c r="HWG32" s="1259"/>
      <c r="HWH32" s="1259"/>
      <c r="HWI32" s="1259"/>
      <c r="HWJ32" s="1259"/>
      <c r="HWK32" s="1259"/>
      <c r="HWL32" s="1259"/>
      <c r="HWM32" s="1259"/>
      <c r="HWN32" s="1259"/>
      <c r="HWO32" s="1259"/>
      <c r="HWP32" s="1259"/>
      <c r="HWQ32" s="1259"/>
      <c r="HWR32" s="1259"/>
      <c r="HWS32" s="1259"/>
      <c r="HWT32" s="1259"/>
      <c r="HWU32" s="1259"/>
      <c r="HWV32" s="1259"/>
      <c r="HWW32" s="1259"/>
      <c r="HWX32" s="1259"/>
      <c r="HWY32" s="1259"/>
      <c r="HWZ32" s="1259"/>
      <c r="HXA32" s="1259"/>
      <c r="HXB32" s="1259"/>
      <c r="HXC32" s="1259"/>
      <c r="HXD32" s="1259"/>
      <c r="HXE32" s="1259"/>
      <c r="HXF32" s="1259"/>
      <c r="HXG32" s="1259"/>
      <c r="HXH32" s="1259"/>
      <c r="HXI32" s="1259"/>
      <c r="HXJ32" s="1259"/>
      <c r="HXK32" s="1259"/>
      <c r="HXL32" s="1259"/>
      <c r="HXM32" s="1259"/>
      <c r="HXN32" s="1259"/>
      <c r="HXO32" s="1259"/>
      <c r="HXP32" s="1259"/>
      <c r="HXQ32" s="1259"/>
      <c r="HXR32" s="1259"/>
      <c r="HXS32" s="1259"/>
      <c r="HXT32" s="1259"/>
      <c r="HXU32" s="1259"/>
      <c r="HXV32" s="1259"/>
      <c r="HXW32" s="1259"/>
      <c r="HXX32" s="1259"/>
      <c r="HXY32" s="1259"/>
      <c r="HXZ32" s="1259"/>
      <c r="HYA32" s="1259"/>
      <c r="HYB32" s="1259"/>
      <c r="HYC32" s="1259"/>
      <c r="HYD32" s="1259"/>
      <c r="HYE32" s="1259"/>
      <c r="HYF32" s="1259"/>
      <c r="HYG32" s="1259"/>
      <c r="HYH32" s="1259"/>
      <c r="HYI32" s="1259"/>
      <c r="HYJ32" s="1259"/>
      <c r="HYK32" s="1259"/>
      <c r="HYL32" s="1259"/>
      <c r="HYM32" s="1259"/>
      <c r="HYN32" s="1259"/>
      <c r="HYO32" s="1259"/>
      <c r="HYP32" s="1259"/>
      <c r="HYQ32" s="1259"/>
      <c r="HYR32" s="1259"/>
      <c r="HYS32" s="1259"/>
      <c r="HYT32" s="1259"/>
      <c r="HYU32" s="1259"/>
      <c r="HYV32" s="1259"/>
      <c r="HYW32" s="1259"/>
      <c r="HYX32" s="1259"/>
      <c r="HYY32" s="1259"/>
      <c r="HYZ32" s="1259"/>
      <c r="HZA32" s="1259"/>
      <c r="HZB32" s="1259"/>
      <c r="HZC32" s="1259"/>
      <c r="HZD32" s="1259"/>
      <c r="HZE32" s="1259"/>
      <c r="HZF32" s="1259"/>
      <c r="HZG32" s="1259"/>
      <c r="HZH32" s="1259"/>
      <c r="HZI32" s="1259"/>
      <c r="HZJ32" s="1259"/>
      <c r="HZK32" s="1259"/>
      <c r="HZL32" s="1259"/>
      <c r="HZM32" s="1259"/>
      <c r="HZN32" s="1259"/>
      <c r="HZO32" s="1259"/>
      <c r="HZP32" s="1259"/>
      <c r="HZQ32" s="1259"/>
      <c r="HZR32" s="1259"/>
      <c r="HZS32" s="1259"/>
      <c r="HZT32" s="1259"/>
      <c r="HZU32" s="1259"/>
      <c r="HZV32" s="1259"/>
      <c r="HZW32" s="1259"/>
      <c r="HZX32" s="1259"/>
      <c r="HZY32" s="1259"/>
      <c r="HZZ32" s="1259"/>
      <c r="IAA32" s="1259"/>
      <c r="IAB32" s="1259"/>
      <c r="IAC32" s="1259"/>
      <c r="IAD32" s="1259"/>
      <c r="IAE32" s="1259"/>
      <c r="IAF32" s="1259"/>
      <c r="IAG32" s="1259"/>
      <c r="IAH32" s="1259"/>
      <c r="IAI32" s="1259"/>
      <c r="IAJ32" s="1259"/>
      <c r="IAK32" s="1259"/>
      <c r="IAL32" s="1259"/>
      <c r="IAM32" s="1259"/>
      <c r="IAN32" s="1259"/>
      <c r="IAO32" s="1259"/>
      <c r="IAP32" s="1259"/>
      <c r="IAQ32" s="1259"/>
      <c r="IAR32" s="1259"/>
      <c r="IAS32" s="1259"/>
      <c r="IAT32" s="1259"/>
      <c r="IAU32" s="1259"/>
      <c r="IAV32" s="1259"/>
      <c r="IAW32" s="1259"/>
      <c r="IAX32" s="1259"/>
      <c r="IAY32" s="1259"/>
      <c r="IAZ32" s="1259"/>
      <c r="IBA32" s="1259"/>
      <c r="IBB32" s="1259"/>
      <c r="IBC32" s="1259"/>
      <c r="IBD32" s="1259"/>
      <c r="IBE32" s="1259"/>
      <c r="IBF32" s="1259"/>
      <c r="IBG32" s="1259"/>
      <c r="IBH32" s="1259"/>
      <c r="IBI32" s="1259"/>
      <c r="IBJ32" s="1259"/>
      <c r="IBK32" s="1259"/>
      <c r="IBL32" s="1259"/>
      <c r="IBM32" s="1259"/>
      <c r="IBN32" s="1259"/>
      <c r="IBO32" s="1259"/>
      <c r="IBP32" s="1259"/>
      <c r="IBQ32" s="1259"/>
      <c r="IBR32" s="1259"/>
      <c r="IBS32" s="1259"/>
      <c r="IBT32" s="1259"/>
      <c r="IBU32" s="1259"/>
      <c r="IBV32" s="1259"/>
      <c r="IBW32" s="1259"/>
      <c r="IBX32" s="1259"/>
      <c r="IBY32" s="1259"/>
      <c r="IBZ32" s="1259"/>
      <c r="ICA32" s="1259"/>
      <c r="ICB32" s="1259"/>
      <c r="ICC32" s="1259"/>
      <c r="ICD32" s="1259"/>
      <c r="ICE32" s="1259"/>
      <c r="ICF32" s="1259"/>
      <c r="ICG32" s="1259"/>
      <c r="ICH32" s="1259"/>
      <c r="ICI32" s="1259"/>
      <c r="ICJ32" s="1259"/>
      <c r="ICK32" s="1259"/>
      <c r="ICL32" s="1259"/>
      <c r="ICM32" s="1259"/>
      <c r="ICN32" s="1259"/>
      <c r="ICO32" s="1259"/>
      <c r="ICP32" s="1259"/>
      <c r="ICQ32" s="1259"/>
      <c r="ICR32" s="1259"/>
      <c r="ICS32" s="1259"/>
      <c r="ICT32" s="1259"/>
      <c r="ICU32" s="1259"/>
      <c r="ICV32" s="1259"/>
      <c r="ICW32" s="1259"/>
      <c r="ICX32" s="1259"/>
      <c r="ICY32" s="1259"/>
      <c r="ICZ32" s="1259"/>
      <c r="IDA32" s="1259"/>
      <c r="IDB32" s="1259"/>
      <c r="IDC32" s="1259"/>
      <c r="IDD32" s="1259"/>
      <c r="IDE32" s="1259"/>
      <c r="IDF32" s="1259"/>
      <c r="IDG32" s="1259"/>
      <c r="IDH32" s="1259"/>
      <c r="IDI32" s="1259"/>
      <c r="IDJ32" s="1259"/>
      <c r="IDK32" s="1259"/>
      <c r="IDL32" s="1259"/>
      <c r="IDM32" s="1259"/>
      <c r="IDN32" s="1259"/>
      <c r="IDO32" s="1259"/>
      <c r="IDP32" s="1259"/>
      <c r="IDQ32" s="1259"/>
      <c r="IDR32" s="1259"/>
      <c r="IDS32" s="1259"/>
      <c r="IDT32" s="1259"/>
      <c r="IDU32" s="1259"/>
      <c r="IDV32" s="1259"/>
      <c r="IDW32" s="1259"/>
      <c r="IDX32" s="1259"/>
      <c r="IDY32" s="1259"/>
      <c r="IDZ32" s="1259"/>
      <c r="IEA32" s="1259"/>
      <c r="IEB32" s="1259"/>
      <c r="IEC32" s="1259"/>
      <c r="IED32" s="1259"/>
      <c r="IEE32" s="1259"/>
      <c r="IEF32" s="1259"/>
      <c r="IEG32" s="1259"/>
      <c r="IEH32" s="1259"/>
      <c r="IEI32" s="1259"/>
      <c r="IEJ32" s="1259"/>
      <c r="IEK32" s="1259"/>
      <c r="IEL32" s="1259"/>
      <c r="IEM32" s="1259"/>
      <c r="IEN32" s="1259"/>
      <c r="IEO32" s="1259"/>
      <c r="IEP32" s="1259"/>
      <c r="IEQ32" s="1259"/>
      <c r="IER32" s="1259"/>
      <c r="IES32" s="1259"/>
      <c r="IET32" s="1259"/>
      <c r="IEU32" s="1259"/>
      <c r="IEV32" s="1259"/>
      <c r="IEW32" s="1259"/>
      <c r="IEX32" s="1259"/>
      <c r="IEY32" s="1259"/>
      <c r="IEZ32" s="1259"/>
      <c r="IFA32" s="1259"/>
      <c r="IFB32" s="1259"/>
      <c r="IFC32" s="1259"/>
      <c r="IFD32" s="1259"/>
      <c r="IFE32" s="1259"/>
      <c r="IFF32" s="1259"/>
      <c r="IFG32" s="1259"/>
      <c r="IFH32" s="1259"/>
      <c r="IFI32" s="1259"/>
      <c r="IFJ32" s="1259"/>
      <c r="IFK32" s="1259"/>
      <c r="IFL32" s="1259"/>
      <c r="IFM32" s="1259"/>
      <c r="IFN32" s="1259"/>
      <c r="IFO32" s="1259"/>
      <c r="IFP32" s="1259"/>
      <c r="IFQ32" s="1259"/>
      <c r="IFR32" s="1259"/>
      <c r="IFS32" s="1259"/>
      <c r="IFT32" s="1259"/>
      <c r="IFU32" s="1259"/>
      <c r="IFV32" s="1259"/>
      <c r="IFW32" s="1259"/>
      <c r="IFX32" s="1259"/>
      <c r="IFY32" s="1259"/>
      <c r="IFZ32" s="1259"/>
      <c r="IGA32" s="1259"/>
      <c r="IGB32" s="1259"/>
      <c r="IGC32" s="1259"/>
      <c r="IGD32" s="1259"/>
      <c r="IGE32" s="1259"/>
      <c r="IGF32" s="1259"/>
      <c r="IGG32" s="1259"/>
      <c r="IGH32" s="1259"/>
      <c r="IGI32" s="1259"/>
      <c r="IGJ32" s="1259"/>
      <c r="IGK32" s="1259"/>
      <c r="IGL32" s="1259"/>
      <c r="IGM32" s="1259"/>
      <c r="IGN32" s="1259"/>
      <c r="IGO32" s="1259"/>
      <c r="IGP32" s="1259"/>
      <c r="IGQ32" s="1259"/>
      <c r="IGR32" s="1259"/>
      <c r="IGS32" s="1259"/>
      <c r="IGT32" s="1259"/>
      <c r="IGU32" s="1259"/>
      <c r="IGV32" s="1259"/>
      <c r="IGW32" s="1259"/>
      <c r="IGX32" s="1259"/>
      <c r="IGY32" s="1259"/>
      <c r="IGZ32" s="1259"/>
      <c r="IHA32" s="1259"/>
      <c r="IHB32" s="1259"/>
      <c r="IHC32" s="1259"/>
      <c r="IHD32" s="1259"/>
      <c r="IHE32" s="1259"/>
      <c r="IHF32" s="1259"/>
      <c r="IHG32" s="1259"/>
      <c r="IHH32" s="1259"/>
      <c r="IHI32" s="1259"/>
      <c r="IHJ32" s="1259"/>
      <c r="IHK32" s="1259"/>
      <c r="IHL32" s="1259"/>
      <c r="IHM32" s="1259"/>
      <c r="IHN32" s="1259"/>
      <c r="IHO32" s="1259"/>
      <c r="IHP32" s="1259"/>
      <c r="IHQ32" s="1259"/>
      <c r="IHR32" s="1259"/>
      <c r="IHS32" s="1259"/>
      <c r="IHT32" s="1259"/>
      <c r="IHU32" s="1259"/>
      <c r="IHV32" s="1259"/>
      <c r="IHW32" s="1259"/>
      <c r="IHX32" s="1259"/>
      <c r="IHY32" s="1259"/>
      <c r="IHZ32" s="1259"/>
      <c r="IIA32" s="1259"/>
      <c r="IIB32" s="1259"/>
      <c r="IIC32" s="1259"/>
      <c r="IID32" s="1259"/>
      <c r="IIE32" s="1259"/>
      <c r="IIF32" s="1259"/>
      <c r="IIG32" s="1259"/>
      <c r="IIH32" s="1259"/>
      <c r="III32" s="1259"/>
      <c r="IIJ32" s="1259"/>
      <c r="IIK32" s="1259"/>
      <c r="IIL32" s="1259"/>
      <c r="IIM32" s="1259"/>
      <c r="IIN32" s="1259"/>
      <c r="IIO32" s="1259"/>
      <c r="IIP32" s="1259"/>
      <c r="IIQ32" s="1259"/>
      <c r="IIR32" s="1259"/>
      <c r="IIS32" s="1259"/>
      <c r="IIT32" s="1259"/>
      <c r="IIU32" s="1259"/>
      <c r="IIV32" s="1259"/>
      <c r="IIW32" s="1259"/>
      <c r="IIX32" s="1259"/>
      <c r="IIY32" s="1259"/>
      <c r="IIZ32" s="1259"/>
      <c r="IJA32" s="1259"/>
      <c r="IJB32" s="1259"/>
      <c r="IJC32" s="1259"/>
      <c r="IJD32" s="1259"/>
      <c r="IJE32" s="1259"/>
      <c r="IJF32" s="1259"/>
      <c r="IJG32" s="1259"/>
      <c r="IJH32" s="1259"/>
      <c r="IJI32" s="1259"/>
      <c r="IJJ32" s="1259"/>
      <c r="IJK32" s="1259"/>
      <c r="IJL32" s="1259"/>
      <c r="IJM32" s="1259"/>
      <c r="IJN32" s="1259"/>
      <c r="IJO32" s="1259"/>
      <c r="IJP32" s="1259"/>
      <c r="IJQ32" s="1259"/>
      <c r="IJR32" s="1259"/>
      <c r="IJS32" s="1259"/>
      <c r="IJT32" s="1259"/>
      <c r="IJU32" s="1259"/>
      <c r="IJV32" s="1259"/>
      <c r="IJW32" s="1259"/>
      <c r="IJX32" s="1259"/>
      <c r="IJY32" s="1259"/>
      <c r="IJZ32" s="1259"/>
      <c r="IKA32" s="1259"/>
      <c r="IKB32" s="1259"/>
      <c r="IKC32" s="1259"/>
      <c r="IKD32" s="1259"/>
      <c r="IKE32" s="1259"/>
      <c r="IKF32" s="1259"/>
      <c r="IKG32" s="1259"/>
      <c r="IKH32" s="1259"/>
      <c r="IKI32" s="1259"/>
      <c r="IKJ32" s="1259"/>
      <c r="IKK32" s="1259"/>
      <c r="IKL32" s="1259"/>
      <c r="IKM32" s="1259"/>
      <c r="IKN32" s="1259"/>
      <c r="IKO32" s="1259"/>
      <c r="IKP32" s="1259"/>
      <c r="IKQ32" s="1259"/>
      <c r="IKR32" s="1259"/>
      <c r="IKS32" s="1259"/>
      <c r="IKT32" s="1259"/>
      <c r="IKU32" s="1259"/>
      <c r="IKV32" s="1259"/>
      <c r="IKW32" s="1259"/>
      <c r="IKX32" s="1259"/>
      <c r="IKY32" s="1259"/>
      <c r="IKZ32" s="1259"/>
      <c r="ILA32" s="1259"/>
      <c r="ILB32" s="1259"/>
      <c r="ILC32" s="1259"/>
      <c r="ILD32" s="1259"/>
      <c r="ILE32" s="1259"/>
      <c r="ILF32" s="1259"/>
      <c r="ILG32" s="1259"/>
      <c r="ILH32" s="1259"/>
      <c r="ILI32" s="1259"/>
      <c r="ILJ32" s="1259"/>
      <c r="ILK32" s="1259"/>
      <c r="ILL32" s="1259"/>
      <c r="ILM32" s="1259"/>
      <c r="ILN32" s="1259"/>
      <c r="ILO32" s="1259"/>
      <c r="ILP32" s="1259"/>
      <c r="ILQ32" s="1259"/>
      <c r="ILR32" s="1259"/>
      <c r="ILS32" s="1259"/>
      <c r="ILT32" s="1259"/>
      <c r="ILU32" s="1259"/>
      <c r="ILV32" s="1259"/>
      <c r="ILW32" s="1259"/>
      <c r="ILX32" s="1259"/>
      <c r="ILY32" s="1259"/>
      <c r="ILZ32" s="1259"/>
      <c r="IMA32" s="1259"/>
      <c r="IMB32" s="1259"/>
      <c r="IMC32" s="1259"/>
      <c r="IMD32" s="1259"/>
      <c r="IME32" s="1259"/>
      <c r="IMF32" s="1259"/>
      <c r="IMG32" s="1259"/>
      <c r="IMH32" s="1259"/>
      <c r="IMI32" s="1259"/>
      <c r="IMJ32" s="1259"/>
      <c r="IMK32" s="1259"/>
      <c r="IML32" s="1259"/>
      <c r="IMM32" s="1259"/>
      <c r="IMN32" s="1259"/>
      <c r="IMO32" s="1259"/>
      <c r="IMP32" s="1259"/>
      <c r="IMQ32" s="1259"/>
      <c r="IMR32" s="1259"/>
      <c r="IMS32" s="1259"/>
      <c r="IMT32" s="1259"/>
      <c r="IMU32" s="1259"/>
      <c r="IMV32" s="1259"/>
      <c r="IMW32" s="1259"/>
      <c r="IMX32" s="1259"/>
      <c r="IMY32" s="1259"/>
      <c r="IMZ32" s="1259"/>
      <c r="INA32" s="1259"/>
      <c r="INB32" s="1259"/>
      <c r="INC32" s="1259"/>
      <c r="IND32" s="1259"/>
      <c r="INE32" s="1259"/>
      <c r="INF32" s="1259"/>
      <c r="ING32" s="1259"/>
      <c r="INH32" s="1259"/>
      <c r="INI32" s="1259"/>
      <c r="INJ32" s="1259"/>
      <c r="INK32" s="1259"/>
      <c r="INL32" s="1259"/>
      <c r="INM32" s="1259"/>
      <c r="INN32" s="1259"/>
      <c r="INO32" s="1259"/>
      <c r="INP32" s="1259"/>
      <c r="INQ32" s="1259"/>
      <c r="INR32" s="1259"/>
      <c r="INS32" s="1259"/>
      <c r="INT32" s="1259"/>
      <c r="INU32" s="1259"/>
      <c r="INV32" s="1259"/>
      <c r="INW32" s="1259"/>
      <c r="INX32" s="1259"/>
      <c r="INY32" s="1259"/>
      <c r="INZ32" s="1259"/>
      <c r="IOA32" s="1259"/>
      <c r="IOB32" s="1259"/>
      <c r="IOC32" s="1259"/>
      <c r="IOD32" s="1259"/>
      <c r="IOE32" s="1259"/>
      <c r="IOF32" s="1259"/>
      <c r="IOG32" s="1259"/>
      <c r="IOH32" s="1259"/>
      <c r="IOI32" s="1259"/>
      <c r="IOJ32" s="1259"/>
      <c r="IOK32" s="1259"/>
      <c r="IOL32" s="1259"/>
      <c r="IOM32" s="1259"/>
      <c r="ION32" s="1259"/>
      <c r="IOO32" s="1259"/>
      <c r="IOP32" s="1259"/>
      <c r="IOQ32" s="1259"/>
      <c r="IOR32" s="1259"/>
      <c r="IOS32" s="1259"/>
      <c r="IOT32" s="1259"/>
      <c r="IOU32" s="1259"/>
      <c r="IOV32" s="1259"/>
      <c r="IOW32" s="1259"/>
      <c r="IOX32" s="1259"/>
      <c r="IOY32" s="1259"/>
      <c r="IOZ32" s="1259"/>
      <c r="IPA32" s="1259"/>
      <c r="IPB32" s="1259"/>
      <c r="IPC32" s="1259"/>
      <c r="IPD32" s="1259"/>
      <c r="IPE32" s="1259"/>
      <c r="IPF32" s="1259"/>
      <c r="IPG32" s="1259"/>
      <c r="IPH32" s="1259"/>
      <c r="IPI32" s="1259"/>
      <c r="IPJ32" s="1259"/>
      <c r="IPK32" s="1259"/>
      <c r="IPL32" s="1259"/>
      <c r="IPM32" s="1259"/>
      <c r="IPN32" s="1259"/>
      <c r="IPO32" s="1259"/>
      <c r="IPP32" s="1259"/>
      <c r="IPQ32" s="1259"/>
      <c r="IPR32" s="1259"/>
      <c r="IPS32" s="1259"/>
      <c r="IPT32" s="1259"/>
      <c r="IPU32" s="1259"/>
      <c r="IPV32" s="1259"/>
      <c r="IPW32" s="1259"/>
      <c r="IPX32" s="1259"/>
      <c r="IPY32" s="1259"/>
      <c r="IPZ32" s="1259"/>
      <c r="IQA32" s="1259"/>
      <c r="IQB32" s="1259"/>
      <c r="IQC32" s="1259"/>
      <c r="IQD32" s="1259"/>
      <c r="IQE32" s="1259"/>
      <c r="IQF32" s="1259"/>
      <c r="IQG32" s="1259"/>
      <c r="IQH32" s="1259"/>
      <c r="IQI32" s="1259"/>
      <c r="IQJ32" s="1259"/>
      <c r="IQK32" s="1259"/>
      <c r="IQL32" s="1259"/>
      <c r="IQM32" s="1259"/>
      <c r="IQN32" s="1259"/>
      <c r="IQO32" s="1259"/>
      <c r="IQP32" s="1259"/>
      <c r="IQQ32" s="1259"/>
      <c r="IQR32" s="1259"/>
      <c r="IQS32" s="1259"/>
      <c r="IQT32" s="1259"/>
      <c r="IQU32" s="1259"/>
      <c r="IQV32" s="1259"/>
      <c r="IQW32" s="1259"/>
      <c r="IQX32" s="1259"/>
      <c r="IQY32" s="1259"/>
      <c r="IQZ32" s="1259"/>
      <c r="IRA32" s="1259"/>
      <c r="IRB32" s="1259"/>
      <c r="IRC32" s="1259"/>
      <c r="IRD32" s="1259"/>
      <c r="IRE32" s="1259"/>
      <c r="IRF32" s="1259"/>
      <c r="IRG32" s="1259"/>
      <c r="IRH32" s="1259"/>
      <c r="IRI32" s="1259"/>
      <c r="IRJ32" s="1259"/>
      <c r="IRK32" s="1259"/>
      <c r="IRL32" s="1259"/>
      <c r="IRM32" s="1259"/>
      <c r="IRN32" s="1259"/>
      <c r="IRO32" s="1259"/>
      <c r="IRP32" s="1259"/>
      <c r="IRQ32" s="1259"/>
      <c r="IRR32" s="1259"/>
      <c r="IRS32" s="1259"/>
      <c r="IRT32" s="1259"/>
      <c r="IRU32" s="1259"/>
      <c r="IRV32" s="1259"/>
      <c r="IRW32" s="1259"/>
      <c r="IRX32" s="1259"/>
      <c r="IRY32" s="1259"/>
      <c r="IRZ32" s="1259"/>
      <c r="ISA32" s="1259"/>
      <c r="ISB32" s="1259"/>
      <c r="ISC32" s="1259"/>
      <c r="ISD32" s="1259"/>
      <c r="ISE32" s="1259"/>
      <c r="ISF32" s="1259"/>
      <c r="ISG32" s="1259"/>
      <c r="ISH32" s="1259"/>
      <c r="ISI32" s="1259"/>
      <c r="ISJ32" s="1259"/>
      <c r="ISK32" s="1259"/>
      <c r="ISL32" s="1259"/>
      <c r="ISM32" s="1259"/>
      <c r="ISN32" s="1259"/>
      <c r="ISO32" s="1259"/>
      <c r="ISP32" s="1259"/>
      <c r="ISQ32" s="1259"/>
      <c r="ISR32" s="1259"/>
      <c r="ISS32" s="1259"/>
      <c r="IST32" s="1259"/>
      <c r="ISU32" s="1259"/>
      <c r="ISV32" s="1259"/>
      <c r="ISW32" s="1259"/>
      <c r="ISX32" s="1259"/>
      <c r="ISY32" s="1259"/>
      <c r="ISZ32" s="1259"/>
      <c r="ITA32" s="1259"/>
      <c r="ITB32" s="1259"/>
      <c r="ITC32" s="1259"/>
      <c r="ITD32" s="1259"/>
      <c r="ITE32" s="1259"/>
      <c r="ITF32" s="1259"/>
      <c r="ITG32" s="1259"/>
      <c r="ITH32" s="1259"/>
      <c r="ITI32" s="1259"/>
      <c r="ITJ32" s="1259"/>
      <c r="ITK32" s="1259"/>
      <c r="ITL32" s="1259"/>
      <c r="ITM32" s="1259"/>
      <c r="ITN32" s="1259"/>
      <c r="ITO32" s="1259"/>
      <c r="ITP32" s="1259"/>
      <c r="ITQ32" s="1259"/>
      <c r="ITR32" s="1259"/>
      <c r="ITS32" s="1259"/>
      <c r="ITT32" s="1259"/>
      <c r="ITU32" s="1259"/>
      <c r="ITV32" s="1259"/>
      <c r="ITW32" s="1259"/>
      <c r="ITX32" s="1259"/>
      <c r="ITY32" s="1259"/>
      <c r="ITZ32" s="1259"/>
      <c r="IUA32" s="1259"/>
      <c r="IUB32" s="1259"/>
      <c r="IUC32" s="1259"/>
      <c r="IUD32" s="1259"/>
      <c r="IUE32" s="1259"/>
      <c r="IUF32" s="1259"/>
      <c r="IUG32" s="1259"/>
      <c r="IUH32" s="1259"/>
      <c r="IUI32" s="1259"/>
      <c r="IUJ32" s="1259"/>
      <c r="IUK32" s="1259"/>
      <c r="IUL32" s="1259"/>
      <c r="IUM32" s="1259"/>
      <c r="IUN32" s="1259"/>
      <c r="IUO32" s="1259"/>
      <c r="IUP32" s="1259"/>
      <c r="IUQ32" s="1259"/>
      <c r="IUR32" s="1259"/>
      <c r="IUS32" s="1259"/>
      <c r="IUT32" s="1259"/>
      <c r="IUU32" s="1259"/>
      <c r="IUV32" s="1259"/>
      <c r="IUW32" s="1259"/>
      <c r="IUX32" s="1259"/>
      <c r="IUY32" s="1259"/>
      <c r="IUZ32" s="1259"/>
      <c r="IVA32" s="1259"/>
      <c r="IVB32" s="1259"/>
      <c r="IVC32" s="1259"/>
      <c r="IVD32" s="1259"/>
      <c r="IVE32" s="1259"/>
      <c r="IVF32" s="1259"/>
      <c r="IVG32" s="1259"/>
      <c r="IVH32" s="1259"/>
      <c r="IVI32" s="1259"/>
      <c r="IVJ32" s="1259"/>
      <c r="IVK32" s="1259"/>
      <c r="IVL32" s="1259"/>
      <c r="IVM32" s="1259"/>
      <c r="IVN32" s="1259"/>
      <c r="IVO32" s="1259"/>
      <c r="IVP32" s="1259"/>
      <c r="IVQ32" s="1259"/>
      <c r="IVR32" s="1259"/>
      <c r="IVS32" s="1259"/>
      <c r="IVT32" s="1259"/>
      <c r="IVU32" s="1259"/>
      <c r="IVV32" s="1259"/>
      <c r="IVW32" s="1259"/>
      <c r="IVX32" s="1259"/>
      <c r="IVY32" s="1259"/>
      <c r="IVZ32" s="1259"/>
      <c r="IWA32" s="1259"/>
      <c r="IWB32" s="1259"/>
      <c r="IWC32" s="1259"/>
      <c r="IWD32" s="1259"/>
      <c r="IWE32" s="1259"/>
      <c r="IWF32" s="1259"/>
      <c r="IWG32" s="1259"/>
      <c r="IWH32" s="1259"/>
      <c r="IWI32" s="1259"/>
      <c r="IWJ32" s="1259"/>
      <c r="IWK32" s="1259"/>
      <c r="IWL32" s="1259"/>
      <c r="IWM32" s="1259"/>
      <c r="IWN32" s="1259"/>
      <c r="IWO32" s="1259"/>
      <c r="IWP32" s="1259"/>
      <c r="IWQ32" s="1259"/>
      <c r="IWR32" s="1259"/>
      <c r="IWS32" s="1259"/>
      <c r="IWT32" s="1259"/>
      <c r="IWU32" s="1259"/>
      <c r="IWV32" s="1259"/>
      <c r="IWW32" s="1259"/>
      <c r="IWX32" s="1259"/>
      <c r="IWY32" s="1259"/>
      <c r="IWZ32" s="1259"/>
      <c r="IXA32" s="1259"/>
      <c r="IXB32" s="1259"/>
      <c r="IXC32" s="1259"/>
      <c r="IXD32" s="1259"/>
      <c r="IXE32" s="1259"/>
      <c r="IXF32" s="1259"/>
      <c r="IXG32" s="1259"/>
      <c r="IXH32" s="1259"/>
      <c r="IXI32" s="1259"/>
      <c r="IXJ32" s="1259"/>
      <c r="IXK32" s="1259"/>
      <c r="IXL32" s="1259"/>
      <c r="IXM32" s="1259"/>
      <c r="IXN32" s="1259"/>
      <c r="IXO32" s="1259"/>
      <c r="IXP32" s="1259"/>
      <c r="IXQ32" s="1259"/>
      <c r="IXR32" s="1259"/>
      <c r="IXS32" s="1259"/>
      <c r="IXT32" s="1259"/>
      <c r="IXU32" s="1259"/>
      <c r="IXV32" s="1259"/>
      <c r="IXW32" s="1259"/>
      <c r="IXX32" s="1259"/>
      <c r="IXY32" s="1259"/>
      <c r="IXZ32" s="1259"/>
      <c r="IYA32" s="1259"/>
      <c r="IYB32" s="1259"/>
      <c r="IYC32" s="1259"/>
      <c r="IYD32" s="1259"/>
      <c r="IYE32" s="1259"/>
      <c r="IYF32" s="1259"/>
      <c r="IYG32" s="1259"/>
      <c r="IYH32" s="1259"/>
      <c r="IYI32" s="1259"/>
      <c r="IYJ32" s="1259"/>
      <c r="IYK32" s="1259"/>
      <c r="IYL32" s="1259"/>
      <c r="IYM32" s="1259"/>
      <c r="IYN32" s="1259"/>
      <c r="IYO32" s="1259"/>
      <c r="IYP32" s="1259"/>
      <c r="IYQ32" s="1259"/>
      <c r="IYR32" s="1259"/>
      <c r="IYS32" s="1259"/>
      <c r="IYT32" s="1259"/>
      <c r="IYU32" s="1259"/>
      <c r="IYV32" s="1259"/>
      <c r="IYW32" s="1259"/>
      <c r="IYX32" s="1259"/>
      <c r="IYY32" s="1259"/>
      <c r="IYZ32" s="1259"/>
      <c r="IZA32" s="1259"/>
      <c r="IZB32" s="1259"/>
      <c r="IZC32" s="1259"/>
      <c r="IZD32" s="1259"/>
      <c r="IZE32" s="1259"/>
      <c r="IZF32" s="1259"/>
      <c r="IZG32" s="1259"/>
      <c r="IZH32" s="1259"/>
      <c r="IZI32" s="1259"/>
      <c r="IZJ32" s="1259"/>
      <c r="IZK32" s="1259"/>
      <c r="IZL32" s="1259"/>
      <c r="IZM32" s="1259"/>
      <c r="IZN32" s="1259"/>
      <c r="IZO32" s="1259"/>
      <c r="IZP32" s="1259"/>
      <c r="IZQ32" s="1259"/>
      <c r="IZR32" s="1259"/>
      <c r="IZS32" s="1259"/>
      <c r="IZT32" s="1259"/>
      <c r="IZU32" s="1259"/>
      <c r="IZV32" s="1259"/>
      <c r="IZW32" s="1259"/>
      <c r="IZX32" s="1259"/>
      <c r="IZY32" s="1259"/>
      <c r="IZZ32" s="1259"/>
      <c r="JAA32" s="1259"/>
      <c r="JAB32" s="1259"/>
      <c r="JAC32" s="1259"/>
      <c r="JAD32" s="1259"/>
      <c r="JAE32" s="1259"/>
      <c r="JAF32" s="1259"/>
      <c r="JAG32" s="1259"/>
      <c r="JAH32" s="1259"/>
      <c r="JAI32" s="1259"/>
      <c r="JAJ32" s="1259"/>
      <c r="JAK32" s="1259"/>
      <c r="JAL32" s="1259"/>
      <c r="JAM32" s="1259"/>
      <c r="JAN32" s="1259"/>
      <c r="JAO32" s="1259"/>
      <c r="JAP32" s="1259"/>
      <c r="JAQ32" s="1259"/>
      <c r="JAR32" s="1259"/>
      <c r="JAS32" s="1259"/>
      <c r="JAT32" s="1259"/>
      <c r="JAU32" s="1259"/>
      <c r="JAV32" s="1259"/>
      <c r="JAW32" s="1259"/>
      <c r="JAX32" s="1259"/>
      <c r="JAY32" s="1259"/>
      <c r="JAZ32" s="1259"/>
      <c r="JBA32" s="1259"/>
      <c r="JBB32" s="1259"/>
      <c r="JBC32" s="1259"/>
      <c r="JBD32" s="1259"/>
      <c r="JBE32" s="1259"/>
      <c r="JBF32" s="1259"/>
      <c r="JBG32" s="1259"/>
      <c r="JBH32" s="1259"/>
      <c r="JBI32" s="1259"/>
      <c r="JBJ32" s="1259"/>
      <c r="JBK32" s="1259"/>
      <c r="JBL32" s="1259"/>
      <c r="JBM32" s="1259"/>
      <c r="JBN32" s="1259"/>
      <c r="JBO32" s="1259"/>
      <c r="JBP32" s="1259"/>
      <c r="JBQ32" s="1259"/>
      <c r="JBR32" s="1259"/>
      <c r="JBS32" s="1259"/>
      <c r="JBT32" s="1259"/>
      <c r="JBU32" s="1259"/>
      <c r="JBV32" s="1259"/>
      <c r="JBW32" s="1259"/>
      <c r="JBX32" s="1259"/>
      <c r="JBY32" s="1259"/>
      <c r="JBZ32" s="1259"/>
      <c r="JCA32" s="1259"/>
      <c r="JCB32" s="1259"/>
      <c r="JCC32" s="1259"/>
      <c r="JCD32" s="1259"/>
      <c r="JCE32" s="1259"/>
      <c r="JCF32" s="1259"/>
      <c r="JCG32" s="1259"/>
      <c r="JCH32" s="1259"/>
      <c r="JCI32" s="1259"/>
      <c r="JCJ32" s="1259"/>
      <c r="JCK32" s="1259"/>
      <c r="JCL32" s="1259"/>
      <c r="JCM32" s="1259"/>
      <c r="JCN32" s="1259"/>
      <c r="JCO32" s="1259"/>
      <c r="JCP32" s="1259"/>
      <c r="JCQ32" s="1259"/>
      <c r="JCR32" s="1259"/>
      <c r="JCS32" s="1259"/>
      <c r="JCT32" s="1259"/>
      <c r="JCU32" s="1259"/>
      <c r="JCV32" s="1259"/>
      <c r="JCW32" s="1259"/>
      <c r="JCX32" s="1259"/>
      <c r="JCY32" s="1259"/>
      <c r="JCZ32" s="1259"/>
      <c r="JDA32" s="1259"/>
      <c r="JDB32" s="1259"/>
      <c r="JDC32" s="1259"/>
      <c r="JDD32" s="1259"/>
      <c r="JDE32" s="1259"/>
      <c r="JDF32" s="1259"/>
      <c r="JDG32" s="1259"/>
      <c r="JDH32" s="1259"/>
      <c r="JDI32" s="1259"/>
      <c r="JDJ32" s="1259"/>
      <c r="JDK32" s="1259"/>
      <c r="JDL32" s="1259"/>
      <c r="JDM32" s="1259"/>
      <c r="JDN32" s="1259"/>
      <c r="JDO32" s="1259"/>
      <c r="JDP32" s="1259"/>
      <c r="JDQ32" s="1259"/>
      <c r="JDR32" s="1259"/>
      <c r="JDS32" s="1259"/>
      <c r="JDT32" s="1259"/>
      <c r="JDU32" s="1259"/>
      <c r="JDV32" s="1259"/>
      <c r="JDW32" s="1259"/>
      <c r="JDX32" s="1259"/>
      <c r="JDY32" s="1259"/>
      <c r="JDZ32" s="1259"/>
      <c r="JEA32" s="1259"/>
      <c r="JEB32" s="1259"/>
      <c r="JEC32" s="1259"/>
      <c r="JED32" s="1259"/>
      <c r="JEE32" s="1259"/>
      <c r="JEF32" s="1259"/>
      <c r="JEG32" s="1259"/>
      <c r="JEH32" s="1259"/>
      <c r="JEI32" s="1259"/>
      <c r="JEJ32" s="1259"/>
      <c r="JEK32" s="1259"/>
      <c r="JEL32" s="1259"/>
      <c r="JEM32" s="1259"/>
      <c r="JEN32" s="1259"/>
      <c r="JEO32" s="1259"/>
      <c r="JEP32" s="1259"/>
      <c r="JEQ32" s="1259"/>
      <c r="JER32" s="1259"/>
      <c r="JES32" s="1259"/>
      <c r="JET32" s="1259"/>
      <c r="JEU32" s="1259"/>
      <c r="JEV32" s="1259"/>
      <c r="JEW32" s="1259"/>
      <c r="JEX32" s="1259"/>
      <c r="JEY32" s="1259"/>
      <c r="JEZ32" s="1259"/>
      <c r="JFA32" s="1259"/>
      <c r="JFB32" s="1259"/>
      <c r="JFC32" s="1259"/>
      <c r="JFD32" s="1259"/>
      <c r="JFE32" s="1259"/>
      <c r="JFF32" s="1259"/>
      <c r="JFG32" s="1259"/>
      <c r="JFH32" s="1259"/>
      <c r="JFI32" s="1259"/>
      <c r="JFJ32" s="1259"/>
      <c r="JFK32" s="1259"/>
      <c r="JFL32" s="1259"/>
      <c r="JFM32" s="1259"/>
      <c r="JFN32" s="1259"/>
      <c r="JFO32" s="1259"/>
      <c r="JFP32" s="1259"/>
      <c r="JFQ32" s="1259"/>
      <c r="JFR32" s="1259"/>
      <c r="JFS32" s="1259"/>
      <c r="JFT32" s="1259"/>
      <c r="JFU32" s="1259"/>
      <c r="JFV32" s="1259"/>
      <c r="JFW32" s="1259"/>
      <c r="JFX32" s="1259"/>
      <c r="JFY32" s="1259"/>
      <c r="JFZ32" s="1259"/>
      <c r="JGA32" s="1259"/>
      <c r="JGB32" s="1259"/>
      <c r="JGC32" s="1259"/>
      <c r="JGD32" s="1259"/>
      <c r="JGE32" s="1259"/>
      <c r="JGF32" s="1259"/>
      <c r="JGG32" s="1259"/>
      <c r="JGH32" s="1259"/>
      <c r="JGI32" s="1259"/>
      <c r="JGJ32" s="1259"/>
      <c r="JGK32" s="1259"/>
      <c r="JGL32" s="1259"/>
      <c r="JGM32" s="1259"/>
      <c r="JGN32" s="1259"/>
      <c r="JGO32" s="1259"/>
      <c r="JGP32" s="1259"/>
      <c r="JGQ32" s="1259"/>
      <c r="JGR32" s="1259"/>
      <c r="JGS32" s="1259"/>
      <c r="JGT32" s="1259"/>
      <c r="JGU32" s="1259"/>
      <c r="JGV32" s="1259"/>
      <c r="JGW32" s="1259"/>
      <c r="JGX32" s="1259"/>
      <c r="JGY32" s="1259"/>
      <c r="JGZ32" s="1259"/>
      <c r="JHA32" s="1259"/>
      <c r="JHB32" s="1259"/>
      <c r="JHC32" s="1259"/>
      <c r="JHD32" s="1259"/>
      <c r="JHE32" s="1259"/>
      <c r="JHF32" s="1259"/>
      <c r="JHG32" s="1259"/>
      <c r="JHH32" s="1259"/>
      <c r="JHI32" s="1259"/>
      <c r="JHJ32" s="1259"/>
      <c r="JHK32" s="1259"/>
      <c r="JHL32" s="1259"/>
      <c r="JHM32" s="1259"/>
      <c r="JHN32" s="1259"/>
      <c r="JHO32" s="1259"/>
      <c r="JHP32" s="1259"/>
      <c r="JHQ32" s="1259"/>
      <c r="JHR32" s="1259"/>
      <c r="JHS32" s="1259"/>
      <c r="JHT32" s="1259"/>
      <c r="JHU32" s="1259"/>
      <c r="JHV32" s="1259"/>
      <c r="JHW32" s="1259"/>
      <c r="JHX32" s="1259"/>
      <c r="JHY32" s="1259"/>
      <c r="JHZ32" s="1259"/>
      <c r="JIA32" s="1259"/>
      <c r="JIB32" s="1259"/>
      <c r="JIC32" s="1259"/>
      <c r="JID32" s="1259"/>
      <c r="JIE32" s="1259"/>
      <c r="JIF32" s="1259"/>
      <c r="JIG32" s="1259"/>
      <c r="JIH32" s="1259"/>
      <c r="JII32" s="1259"/>
      <c r="JIJ32" s="1259"/>
      <c r="JIK32" s="1259"/>
      <c r="JIL32" s="1259"/>
      <c r="JIM32" s="1259"/>
      <c r="JIN32" s="1259"/>
      <c r="JIO32" s="1259"/>
      <c r="JIP32" s="1259"/>
      <c r="JIQ32" s="1259"/>
      <c r="JIR32" s="1259"/>
      <c r="JIS32" s="1259"/>
      <c r="JIT32" s="1259"/>
      <c r="JIU32" s="1259"/>
      <c r="JIV32" s="1259"/>
      <c r="JIW32" s="1259"/>
      <c r="JIX32" s="1259"/>
      <c r="JIY32" s="1259"/>
      <c r="JIZ32" s="1259"/>
      <c r="JJA32" s="1259"/>
      <c r="JJB32" s="1259"/>
      <c r="JJC32" s="1259"/>
      <c r="JJD32" s="1259"/>
      <c r="JJE32" s="1259"/>
      <c r="JJF32" s="1259"/>
      <c r="JJG32" s="1259"/>
      <c r="JJH32" s="1259"/>
      <c r="JJI32" s="1259"/>
      <c r="JJJ32" s="1259"/>
      <c r="JJK32" s="1259"/>
      <c r="JJL32" s="1259"/>
      <c r="JJM32" s="1259"/>
      <c r="JJN32" s="1259"/>
      <c r="JJO32" s="1259"/>
      <c r="JJP32" s="1259"/>
      <c r="JJQ32" s="1259"/>
      <c r="JJR32" s="1259"/>
      <c r="JJS32" s="1259"/>
      <c r="JJT32" s="1259"/>
      <c r="JJU32" s="1259"/>
      <c r="JJV32" s="1259"/>
      <c r="JJW32" s="1259"/>
      <c r="JJX32" s="1259"/>
      <c r="JJY32" s="1259"/>
      <c r="JJZ32" s="1259"/>
      <c r="JKA32" s="1259"/>
      <c r="JKB32" s="1259"/>
      <c r="JKC32" s="1259"/>
      <c r="JKD32" s="1259"/>
      <c r="JKE32" s="1259"/>
      <c r="JKF32" s="1259"/>
      <c r="JKG32" s="1259"/>
      <c r="JKH32" s="1259"/>
      <c r="JKI32" s="1259"/>
      <c r="JKJ32" s="1259"/>
      <c r="JKK32" s="1259"/>
      <c r="JKL32" s="1259"/>
      <c r="JKM32" s="1259"/>
      <c r="JKN32" s="1259"/>
      <c r="JKO32" s="1259"/>
      <c r="JKP32" s="1259"/>
      <c r="JKQ32" s="1259"/>
      <c r="JKR32" s="1259"/>
      <c r="JKS32" s="1259"/>
      <c r="JKT32" s="1259"/>
      <c r="JKU32" s="1259"/>
      <c r="JKV32" s="1259"/>
      <c r="JKW32" s="1259"/>
      <c r="JKX32" s="1259"/>
      <c r="JKY32" s="1259"/>
      <c r="JKZ32" s="1259"/>
      <c r="JLA32" s="1259"/>
      <c r="JLB32" s="1259"/>
      <c r="JLC32" s="1259"/>
      <c r="JLD32" s="1259"/>
      <c r="JLE32" s="1259"/>
      <c r="JLF32" s="1259"/>
      <c r="JLG32" s="1259"/>
      <c r="JLH32" s="1259"/>
      <c r="JLI32" s="1259"/>
      <c r="JLJ32" s="1259"/>
      <c r="JLK32" s="1259"/>
      <c r="JLL32" s="1259"/>
      <c r="JLM32" s="1259"/>
      <c r="JLN32" s="1259"/>
      <c r="JLO32" s="1259"/>
      <c r="JLP32" s="1259"/>
      <c r="JLQ32" s="1259"/>
      <c r="JLR32" s="1259"/>
      <c r="JLS32" s="1259"/>
      <c r="JLT32" s="1259"/>
      <c r="JLU32" s="1259"/>
      <c r="JLV32" s="1259"/>
      <c r="JLW32" s="1259"/>
      <c r="JLX32" s="1259"/>
      <c r="JLY32" s="1259"/>
      <c r="JLZ32" s="1259"/>
      <c r="JMA32" s="1259"/>
      <c r="JMB32" s="1259"/>
      <c r="JMC32" s="1259"/>
      <c r="JMD32" s="1259"/>
      <c r="JME32" s="1259"/>
      <c r="JMF32" s="1259"/>
      <c r="JMG32" s="1259"/>
      <c r="JMH32" s="1259"/>
      <c r="JMI32" s="1259"/>
      <c r="JMJ32" s="1259"/>
      <c r="JMK32" s="1259"/>
      <c r="JML32" s="1259"/>
      <c r="JMM32" s="1259"/>
      <c r="JMN32" s="1259"/>
      <c r="JMO32" s="1259"/>
      <c r="JMP32" s="1259"/>
      <c r="JMQ32" s="1259"/>
      <c r="JMR32" s="1259"/>
      <c r="JMS32" s="1259"/>
      <c r="JMT32" s="1259"/>
      <c r="JMU32" s="1259"/>
      <c r="JMV32" s="1259"/>
      <c r="JMW32" s="1259"/>
      <c r="JMX32" s="1259"/>
      <c r="JMY32" s="1259"/>
      <c r="JMZ32" s="1259"/>
      <c r="JNA32" s="1259"/>
      <c r="JNB32" s="1259"/>
      <c r="JNC32" s="1259"/>
      <c r="JND32" s="1259"/>
      <c r="JNE32" s="1259"/>
      <c r="JNF32" s="1259"/>
      <c r="JNG32" s="1259"/>
      <c r="JNH32" s="1259"/>
      <c r="JNI32" s="1259"/>
      <c r="JNJ32" s="1259"/>
      <c r="JNK32" s="1259"/>
      <c r="JNL32" s="1259"/>
      <c r="JNM32" s="1259"/>
      <c r="JNN32" s="1259"/>
      <c r="JNO32" s="1259"/>
      <c r="JNP32" s="1259"/>
      <c r="JNQ32" s="1259"/>
      <c r="JNR32" s="1259"/>
      <c r="JNS32" s="1259"/>
      <c r="JNT32" s="1259"/>
      <c r="JNU32" s="1259"/>
      <c r="JNV32" s="1259"/>
      <c r="JNW32" s="1259"/>
      <c r="JNX32" s="1259"/>
      <c r="JNY32" s="1259"/>
      <c r="JNZ32" s="1259"/>
      <c r="JOA32" s="1259"/>
      <c r="JOB32" s="1259"/>
      <c r="JOC32" s="1259"/>
      <c r="JOD32" s="1259"/>
      <c r="JOE32" s="1259"/>
      <c r="JOF32" s="1259"/>
      <c r="JOG32" s="1259"/>
      <c r="JOH32" s="1259"/>
      <c r="JOI32" s="1259"/>
      <c r="JOJ32" s="1259"/>
      <c r="JOK32" s="1259"/>
      <c r="JOL32" s="1259"/>
      <c r="JOM32" s="1259"/>
      <c r="JON32" s="1259"/>
      <c r="JOO32" s="1259"/>
      <c r="JOP32" s="1259"/>
      <c r="JOQ32" s="1259"/>
      <c r="JOR32" s="1259"/>
      <c r="JOS32" s="1259"/>
      <c r="JOT32" s="1259"/>
      <c r="JOU32" s="1259"/>
      <c r="JOV32" s="1259"/>
      <c r="JOW32" s="1259"/>
      <c r="JOX32" s="1259"/>
      <c r="JOY32" s="1259"/>
      <c r="JOZ32" s="1259"/>
      <c r="JPA32" s="1259"/>
      <c r="JPB32" s="1259"/>
      <c r="JPC32" s="1259"/>
      <c r="JPD32" s="1259"/>
      <c r="JPE32" s="1259"/>
      <c r="JPF32" s="1259"/>
      <c r="JPG32" s="1259"/>
      <c r="JPH32" s="1259"/>
      <c r="JPI32" s="1259"/>
      <c r="JPJ32" s="1259"/>
      <c r="JPK32" s="1259"/>
      <c r="JPL32" s="1259"/>
      <c r="JPM32" s="1259"/>
      <c r="JPN32" s="1259"/>
      <c r="JPO32" s="1259"/>
      <c r="JPP32" s="1259"/>
      <c r="JPQ32" s="1259"/>
      <c r="JPR32" s="1259"/>
      <c r="JPS32" s="1259"/>
      <c r="JPT32" s="1259"/>
      <c r="JPU32" s="1259"/>
      <c r="JPV32" s="1259"/>
      <c r="JPW32" s="1259"/>
      <c r="JPX32" s="1259"/>
      <c r="JPY32" s="1259"/>
      <c r="JPZ32" s="1259"/>
      <c r="JQA32" s="1259"/>
      <c r="JQB32" s="1259"/>
      <c r="JQC32" s="1259"/>
      <c r="JQD32" s="1259"/>
      <c r="JQE32" s="1259"/>
      <c r="JQF32" s="1259"/>
      <c r="JQG32" s="1259"/>
      <c r="JQH32" s="1259"/>
      <c r="JQI32" s="1259"/>
      <c r="JQJ32" s="1259"/>
      <c r="JQK32" s="1259"/>
      <c r="JQL32" s="1259"/>
      <c r="JQM32" s="1259"/>
      <c r="JQN32" s="1259"/>
      <c r="JQO32" s="1259"/>
      <c r="JQP32" s="1259"/>
      <c r="JQQ32" s="1259"/>
      <c r="JQR32" s="1259"/>
      <c r="JQS32" s="1259"/>
      <c r="JQT32" s="1259"/>
      <c r="JQU32" s="1259"/>
      <c r="JQV32" s="1259"/>
      <c r="JQW32" s="1259"/>
      <c r="JQX32" s="1259"/>
      <c r="JQY32" s="1259"/>
      <c r="JQZ32" s="1259"/>
      <c r="JRA32" s="1259"/>
      <c r="JRB32" s="1259"/>
      <c r="JRC32" s="1259"/>
      <c r="JRD32" s="1259"/>
      <c r="JRE32" s="1259"/>
      <c r="JRF32" s="1259"/>
      <c r="JRG32" s="1259"/>
      <c r="JRH32" s="1259"/>
      <c r="JRI32" s="1259"/>
      <c r="JRJ32" s="1259"/>
      <c r="JRK32" s="1259"/>
      <c r="JRL32" s="1259"/>
      <c r="JRM32" s="1259"/>
      <c r="JRN32" s="1259"/>
      <c r="JRO32" s="1259"/>
      <c r="JRP32" s="1259"/>
      <c r="JRQ32" s="1259"/>
      <c r="JRR32" s="1259"/>
      <c r="JRS32" s="1259"/>
      <c r="JRT32" s="1259"/>
      <c r="JRU32" s="1259"/>
      <c r="JRV32" s="1259"/>
      <c r="JRW32" s="1259"/>
      <c r="JRX32" s="1259"/>
      <c r="JRY32" s="1259"/>
      <c r="JRZ32" s="1259"/>
      <c r="JSA32" s="1259"/>
      <c r="JSB32" s="1259"/>
      <c r="JSC32" s="1259"/>
      <c r="JSD32" s="1259"/>
      <c r="JSE32" s="1259"/>
      <c r="JSF32" s="1259"/>
      <c r="JSG32" s="1259"/>
      <c r="JSH32" s="1259"/>
      <c r="JSI32" s="1259"/>
      <c r="JSJ32" s="1259"/>
      <c r="JSK32" s="1259"/>
      <c r="JSL32" s="1259"/>
      <c r="JSM32" s="1259"/>
      <c r="JSN32" s="1259"/>
      <c r="JSO32" s="1259"/>
      <c r="JSP32" s="1259"/>
      <c r="JSQ32" s="1259"/>
      <c r="JSR32" s="1259"/>
      <c r="JSS32" s="1259"/>
      <c r="JST32" s="1259"/>
      <c r="JSU32" s="1259"/>
      <c r="JSV32" s="1259"/>
      <c r="JSW32" s="1259"/>
      <c r="JSX32" s="1259"/>
      <c r="JSY32" s="1259"/>
      <c r="JSZ32" s="1259"/>
      <c r="JTA32" s="1259"/>
      <c r="JTB32" s="1259"/>
      <c r="JTC32" s="1259"/>
      <c r="JTD32" s="1259"/>
      <c r="JTE32" s="1259"/>
      <c r="JTF32" s="1259"/>
      <c r="JTG32" s="1259"/>
      <c r="JTH32" s="1259"/>
      <c r="JTI32" s="1259"/>
      <c r="JTJ32" s="1259"/>
      <c r="JTK32" s="1259"/>
      <c r="JTL32" s="1259"/>
      <c r="JTM32" s="1259"/>
      <c r="JTN32" s="1259"/>
      <c r="JTO32" s="1259"/>
      <c r="JTP32" s="1259"/>
      <c r="JTQ32" s="1259"/>
      <c r="JTR32" s="1259"/>
      <c r="JTS32" s="1259"/>
      <c r="JTT32" s="1259"/>
      <c r="JTU32" s="1259"/>
      <c r="JTV32" s="1259"/>
      <c r="JTW32" s="1259"/>
      <c r="JTX32" s="1259"/>
      <c r="JTY32" s="1259"/>
      <c r="JTZ32" s="1259"/>
      <c r="JUA32" s="1259"/>
      <c r="JUB32" s="1259"/>
      <c r="JUC32" s="1259"/>
      <c r="JUD32" s="1259"/>
      <c r="JUE32" s="1259"/>
      <c r="JUF32" s="1259"/>
      <c r="JUG32" s="1259"/>
      <c r="JUH32" s="1259"/>
      <c r="JUI32" s="1259"/>
      <c r="JUJ32" s="1259"/>
      <c r="JUK32" s="1259"/>
      <c r="JUL32" s="1259"/>
      <c r="JUM32" s="1259"/>
      <c r="JUN32" s="1259"/>
      <c r="JUO32" s="1259"/>
      <c r="JUP32" s="1259"/>
      <c r="JUQ32" s="1259"/>
      <c r="JUR32" s="1259"/>
      <c r="JUS32" s="1259"/>
      <c r="JUT32" s="1259"/>
      <c r="JUU32" s="1259"/>
      <c r="JUV32" s="1259"/>
      <c r="JUW32" s="1259"/>
      <c r="JUX32" s="1259"/>
      <c r="JUY32" s="1259"/>
      <c r="JUZ32" s="1259"/>
      <c r="JVA32" s="1259"/>
      <c r="JVB32" s="1259"/>
      <c r="JVC32" s="1259"/>
      <c r="JVD32" s="1259"/>
      <c r="JVE32" s="1259"/>
      <c r="JVF32" s="1259"/>
      <c r="JVG32" s="1259"/>
      <c r="JVH32" s="1259"/>
      <c r="JVI32" s="1259"/>
      <c r="JVJ32" s="1259"/>
      <c r="JVK32" s="1259"/>
      <c r="JVL32" s="1259"/>
      <c r="JVM32" s="1259"/>
      <c r="JVN32" s="1259"/>
      <c r="JVO32" s="1259"/>
      <c r="JVP32" s="1259"/>
      <c r="JVQ32" s="1259"/>
      <c r="JVR32" s="1259"/>
      <c r="JVS32" s="1259"/>
      <c r="JVT32" s="1259"/>
      <c r="JVU32" s="1259"/>
      <c r="JVV32" s="1259"/>
      <c r="JVW32" s="1259"/>
      <c r="JVX32" s="1259"/>
      <c r="JVY32" s="1259"/>
      <c r="JVZ32" s="1259"/>
      <c r="JWA32" s="1259"/>
      <c r="JWB32" s="1259"/>
      <c r="JWC32" s="1259"/>
      <c r="JWD32" s="1259"/>
      <c r="JWE32" s="1259"/>
      <c r="JWF32" s="1259"/>
      <c r="JWG32" s="1259"/>
      <c r="JWH32" s="1259"/>
      <c r="JWI32" s="1259"/>
      <c r="JWJ32" s="1259"/>
      <c r="JWK32" s="1259"/>
      <c r="JWL32" s="1259"/>
      <c r="JWM32" s="1259"/>
      <c r="JWN32" s="1259"/>
      <c r="JWO32" s="1259"/>
      <c r="JWP32" s="1259"/>
      <c r="JWQ32" s="1259"/>
      <c r="JWR32" s="1259"/>
      <c r="JWS32" s="1259"/>
      <c r="JWT32" s="1259"/>
      <c r="JWU32" s="1259"/>
      <c r="JWV32" s="1259"/>
      <c r="JWW32" s="1259"/>
      <c r="JWX32" s="1259"/>
      <c r="JWY32" s="1259"/>
      <c r="JWZ32" s="1259"/>
      <c r="JXA32" s="1259"/>
      <c r="JXB32" s="1259"/>
      <c r="JXC32" s="1259"/>
      <c r="JXD32" s="1259"/>
      <c r="JXE32" s="1259"/>
      <c r="JXF32" s="1259"/>
      <c r="JXG32" s="1259"/>
      <c r="JXH32" s="1259"/>
      <c r="JXI32" s="1259"/>
      <c r="JXJ32" s="1259"/>
      <c r="JXK32" s="1259"/>
      <c r="JXL32" s="1259"/>
      <c r="JXM32" s="1259"/>
      <c r="JXN32" s="1259"/>
      <c r="JXO32" s="1259"/>
      <c r="JXP32" s="1259"/>
      <c r="JXQ32" s="1259"/>
      <c r="JXR32" s="1259"/>
      <c r="JXS32" s="1259"/>
      <c r="JXT32" s="1259"/>
      <c r="JXU32" s="1259"/>
      <c r="JXV32" s="1259"/>
      <c r="JXW32" s="1259"/>
      <c r="JXX32" s="1259"/>
      <c r="JXY32" s="1259"/>
      <c r="JXZ32" s="1259"/>
      <c r="JYA32" s="1259"/>
      <c r="JYB32" s="1259"/>
      <c r="JYC32" s="1259"/>
      <c r="JYD32" s="1259"/>
      <c r="JYE32" s="1259"/>
      <c r="JYF32" s="1259"/>
      <c r="JYG32" s="1259"/>
      <c r="JYH32" s="1259"/>
      <c r="JYI32" s="1259"/>
      <c r="JYJ32" s="1259"/>
      <c r="JYK32" s="1259"/>
      <c r="JYL32" s="1259"/>
      <c r="JYM32" s="1259"/>
      <c r="JYN32" s="1259"/>
      <c r="JYO32" s="1259"/>
      <c r="JYP32" s="1259"/>
      <c r="JYQ32" s="1259"/>
      <c r="JYR32" s="1259"/>
      <c r="JYS32" s="1259"/>
      <c r="JYT32" s="1259"/>
      <c r="JYU32" s="1259"/>
      <c r="JYV32" s="1259"/>
      <c r="JYW32" s="1259"/>
      <c r="JYX32" s="1259"/>
      <c r="JYY32" s="1259"/>
      <c r="JYZ32" s="1259"/>
      <c r="JZA32" s="1259"/>
      <c r="JZB32" s="1259"/>
      <c r="JZC32" s="1259"/>
      <c r="JZD32" s="1259"/>
      <c r="JZE32" s="1259"/>
      <c r="JZF32" s="1259"/>
      <c r="JZG32" s="1259"/>
      <c r="JZH32" s="1259"/>
      <c r="JZI32" s="1259"/>
      <c r="JZJ32" s="1259"/>
      <c r="JZK32" s="1259"/>
      <c r="JZL32" s="1259"/>
      <c r="JZM32" s="1259"/>
      <c r="JZN32" s="1259"/>
      <c r="JZO32" s="1259"/>
      <c r="JZP32" s="1259"/>
      <c r="JZQ32" s="1259"/>
      <c r="JZR32" s="1259"/>
      <c r="JZS32" s="1259"/>
      <c r="JZT32" s="1259"/>
      <c r="JZU32" s="1259"/>
      <c r="JZV32" s="1259"/>
      <c r="JZW32" s="1259"/>
      <c r="JZX32" s="1259"/>
      <c r="JZY32" s="1259"/>
      <c r="JZZ32" s="1259"/>
      <c r="KAA32" s="1259"/>
      <c r="KAB32" s="1259"/>
      <c r="KAC32" s="1259"/>
      <c r="KAD32" s="1259"/>
      <c r="KAE32" s="1259"/>
      <c r="KAF32" s="1259"/>
      <c r="KAG32" s="1259"/>
      <c r="KAH32" s="1259"/>
      <c r="KAI32" s="1259"/>
      <c r="KAJ32" s="1259"/>
      <c r="KAK32" s="1259"/>
      <c r="KAL32" s="1259"/>
      <c r="KAM32" s="1259"/>
      <c r="KAN32" s="1259"/>
      <c r="KAO32" s="1259"/>
      <c r="KAP32" s="1259"/>
      <c r="KAQ32" s="1259"/>
      <c r="KAR32" s="1259"/>
      <c r="KAS32" s="1259"/>
      <c r="KAT32" s="1259"/>
      <c r="KAU32" s="1259"/>
      <c r="KAV32" s="1259"/>
      <c r="KAW32" s="1259"/>
      <c r="KAX32" s="1259"/>
      <c r="KAY32" s="1259"/>
      <c r="KAZ32" s="1259"/>
      <c r="KBA32" s="1259"/>
      <c r="KBB32" s="1259"/>
      <c r="KBC32" s="1259"/>
      <c r="KBD32" s="1259"/>
      <c r="KBE32" s="1259"/>
      <c r="KBF32" s="1259"/>
      <c r="KBG32" s="1259"/>
      <c r="KBH32" s="1259"/>
      <c r="KBI32" s="1259"/>
      <c r="KBJ32" s="1259"/>
      <c r="KBK32" s="1259"/>
      <c r="KBL32" s="1259"/>
      <c r="KBM32" s="1259"/>
      <c r="KBN32" s="1259"/>
      <c r="KBO32" s="1259"/>
      <c r="KBP32" s="1259"/>
      <c r="KBQ32" s="1259"/>
      <c r="KBR32" s="1259"/>
      <c r="KBS32" s="1259"/>
      <c r="KBT32" s="1259"/>
      <c r="KBU32" s="1259"/>
      <c r="KBV32" s="1259"/>
      <c r="KBW32" s="1259"/>
      <c r="KBX32" s="1259"/>
      <c r="KBY32" s="1259"/>
      <c r="KBZ32" s="1259"/>
      <c r="KCA32" s="1259"/>
      <c r="KCB32" s="1259"/>
      <c r="KCC32" s="1259"/>
      <c r="KCD32" s="1259"/>
      <c r="KCE32" s="1259"/>
      <c r="KCF32" s="1259"/>
      <c r="KCG32" s="1259"/>
      <c r="KCH32" s="1259"/>
      <c r="KCI32" s="1259"/>
      <c r="KCJ32" s="1259"/>
      <c r="KCK32" s="1259"/>
      <c r="KCL32" s="1259"/>
      <c r="KCM32" s="1259"/>
      <c r="KCN32" s="1259"/>
      <c r="KCO32" s="1259"/>
      <c r="KCP32" s="1259"/>
      <c r="KCQ32" s="1259"/>
      <c r="KCR32" s="1259"/>
      <c r="KCS32" s="1259"/>
      <c r="KCT32" s="1259"/>
      <c r="KCU32" s="1259"/>
      <c r="KCV32" s="1259"/>
      <c r="KCW32" s="1259"/>
      <c r="KCX32" s="1259"/>
      <c r="KCY32" s="1259"/>
      <c r="KCZ32" s="1259"/>
      <c r="KDA32" s="1259"/>
      <c r="KDB32" s="1259"/>
      <c r="KDC32" s="1259"/>
      <c r="KDD32" s="1259"/>
      <c r="KDE32" s="1259"/>
      <c r="KDF32" s="1259"/>
      <c r="KDG32" s="1259"/>
      <c r="KDH32" s="1259"/>
      <c r="KDI32" s="1259"/>
      <c r="KDJ32" s="1259"/>
      <c r="KDK32" s="1259"/>
      <c r="KDL32" s="1259"/>
      <c r="KDM32" s="1259"/>
      <c r="KDN32" s="1259"/>
      <c r="KDO32" s="1259"/>
      <c r="KDP32" s="1259"/>
      <c r="KDQ32" s="1259"/>
      <c r="KDR32" s="1259"/>
      <c r="KDS32" s="1259"/>
      <c r="KDT32" s="1259"/>
      <c r="KDU32" s="1259"/>
      <c r="KDV32" s="1259"/>
      <c r="KDW32" s="1259"/>
      <c r="KDX32" s="1259"/>
      <c r="KDY32" s="1259"/>
      <c r="KDZ32" s="1259"/>
      <c r="KEA32" s="1259"/>
      <c r="KEB32" s="1259"/>
      <c r="KEC32" s="1259"/>
      <c r="KED32" s="1259"/>
      <c r="KEE32" s="1259"/>
      <c r="KEF32" s="1259"/>
      <c r="KEG32" s="1259"/>
      <c r="KEH32" s="1259"/>
      <c r="KEI32" s="1259"/>
      <c r="KEJ32" s="1259"/>
      <c r="KEK32" s="1259"/>
      <c r="KEL32" s="1259"/>
      <c r="KEM32" s="1259"/>
      <c r="KEN32" s="1259"/>
      <c r="KEO32" s="1259"/>
      <c r="KEP32" s="1259"/>
      <c r="KEQ32" s="1259"/>
      <c r="KER32" s="1259"/>
      <c r="KES32" s="1259"/>
      <c r="KET32" s="1259"/>
      <c r="KEU32" s="1259"/>
      <c r="KEV32" s="1259"/>
      <c r="KEW32" s="1259"/>
      <c r="KEX32" s="1259"/>
      <c r="KEY32" s="1259"/>
      <c r="KEZ32" s="1259"/>
      <c r="KFA32" s="1259"/>
      <c r="KFB32" s="1259"/>
      <c r="KFC32" s="1259"/>
      <c r="KFD32" s="1259"/>
      <c r="KFE32" s="1259"/>
      <c r="KFF32" s="1259"/>
      <c r="KFG32" s="1259"/>
      <c r="KFH32" s="1259"/>
      <c r="KFI32" s="1259"/>
      <c r="KFJ32" s="1259"/>
      <c r="KFK32" s="1259"/>
      <c r="KFL32" s="1259"/>
      <c r="KFM32" s="1259"/>
      <c r="KFN32" s="1259"/>
      <c r="KFO32" s="1259"/>
      <c r="KFP32" s="1259"/>
      <c r="KFQ32" s="1259"/>
      <c r="KFR32" s="1259"/>
      <c r="KFS32" s="1259"/>
      <c r="KFT32" s="1259"/>
      <c r="KFU32" s="1259"/>
      <c r="KFV32" s="1259"/>
      <c r="KFW32" s="1259"/>
      <c r="KFX32" s="1259"/>
      <c r="KFY32" s="1259"/>
      <c r="KFZ32" s="1259"/>
      <c r="KGA32" s="1259"/>
      <c r="KGB32" s="1259"/>
      <c r="KGC32" s="1259"/>
      <c r="KGD32" s="1259"/>
      <c r="KGE32" s="1259"/>
      <c r="KGF32" s="1259"/>
      <c r="KGG32" s="1259"/>
      <c r="KGH32" s="1259"/>
      <c r="KGI32" s="1259"/>
      <c r="KGJ32" s="1259"/>
      <c r="KGK32" s="1259"/>
      <c r="KGL32" s="1259"/>
      <c r="KGM32" s="1259"/>
      <c r="KGN32" s="1259"/>
      <c r="KGO32" s="1259"/>
      <c r="KGP32" s="1259"/>
      <c r="KGQ32" s="1259"/>
      <c r="KGR32" s="1259"/>
      <c r="KGS32" s="1259"/>
      <c r="KGT32" s="1259"/>
      <c r="KGU32" s="1259"/>
      <c r="KGV32" s="1259"/>
      <c r="KGW32" s="1259"/>
      <c r="KGX32" s="1259"/>
      <c r="KGY32" s="1259"/>
      <c r="KGZ32" s="1259"/>
      <c r="KHA32" s="1259"/>
      <c r="KHB32" s="1259"/>
      <c r="KHC32" s="1259"/>
      <c r="KHD32" s="1259"/>
      <c r="KHE32" s="1259"/>
      <c r="KHF32" s="1259"/>
      <c r="KHG32" s="1259"/>
      <c r="KHH32" s="1259"/>
      <c r="KHI32" s="1259"/>
      <c r="KHJ32" s="1259"/>
      <c r="KHK32" s="1259"/>
      <c r="KHL32" s="1259"/>
      <c r="KHM32" s="1259"/>
      <c r="KHN32" s="1259"/>
      <c r="KHO32" s="1259"/>
      <c r="KHP32" s="1259"/>
      <c r="KHQ32" s="1259"/>
      <c r="KHR32" s="1259"/>
      <c r="KHS32" s="1259"/>
      <c r="KHT32" s="1259"/>
      <c r="KHU32" s="1259"/>
      <c r="KHV32" s="1259"/>
      <c r="KHW32" s="1259"/>
      <c r="KHX32" s="1259"/>
      <c r="KHY32" s="1259"/>
      <c r="KHZ32" s="1259"/>
      <c r="KIA32" s="1259"/>
      <c r="KIB32" s="1259"/>
      <c r="KIC32" s="1259"/>
      <c r="KID32" s="1259"/>
      <c r="KIE32" s="1259"/>
      <c r="KIF32" s="1259"/>
      <c r="KIG32" s="1259"/>
      <c r="KIH32" s="1259"/>
      <c r="KII32" s="1259"/>
      <c r="KIJ32" s="1259"/>
      <c r="KIK32" s="1259"/>
      <c r="KIL32" s="1259"/>
      <c r="KIM32" s="1259"/>
      <c r="KIN32" s="1259"/>
      <c r="KIO32" s="1259"/>
      <c r="KIP32" s="1259"/>
      <c r="KIQ32" s="1259"/>
      <c r="KIR32" s="1259"/>
      <c r="KIS32" s="1259"/>
      <c r="KIT32" s="1259"/>
      <c r="KIU32" s="1259"/>
      <c r="KIV32" s="1259"/>
      <c r="KIW32" s="1259"/>
      <c r="KIX32" s="1259"/>
      <c r="KIY32" s="1259"/>
      <c r="KIZ32" s="1259"/>
      <c r="KJA32" s="1259"/>
      <c r="KJB32" s="1259"/>
      <c r="KJC32" s="1259"/>
      <c r="KJD32" s="1259"/>
      <c r="KJE32" s="1259"/>
      <c r="KJF32" s="1259"/>
      <c r="KJG32" s="1259"/>
      <c r="KJH32" s="1259"/>
      <c r="KJI32" s="1259"/>
      <c r="KJJ32" s="1259"/>
      <c r="KJK32" s="1259"/>
      <c r="KJL32" s="1259"/>
      <c r="KJM32" s="1259"/>
      <c r="KJN32" s="1259"/>
      <c r="KJO32" s="1259"/>
      <c r="KJP32" s="1259"/>
      <c r="KJQ32" s="1259"/>
      <c r="KJR32" s="1259"/>
      <c r="KJS32" s="1259"/>
      <c r="KJT32" s="1259"/>
      <c r="KJU32" s="1259"/>
      <c r="KJV32" s="1259"/>
      <c r="KJW32" s="1259"/>
      <c r="KJX32" s="1259"/>
      <c r="KJY32" s="1259"/>
      <c r="KJZ32" s="1259"/>
      <c r="KKA32" s="1259"/>
      <c r="KKB32" s="1259"/>
      <c r="KKC32" s="1259"/>
      <c r="KKD32" s="1259"/>
      <c r="KKE32" s="1259"/>
      <c r="KKF32" s="1259"/>
      <c r="KKG32" s="1259"/>
      <c r="KKH32" s="1259"/>
      <c r="KKI32" s="1259"/>
      <c r="KKJ32" s="1259"/>
      <c r="KKK32" s="1259"/>
      <c r="KKL32" s="1259"/>
      <c r="KKM32" s="1259"/>
      <c r="KKN32" s="1259"/>
      <c r="KKO32" s="1259"/>
      <c r="KKP32" s="1259"/>
      <c r="KKQ32" s="1259"/>
      <c r="KKR32" s="1259"/>
      <c r="KKS32" s="1259"/>
      <c r="KKT32" s="1259"/>
      <c r="KKU32" s="1259"/>
      <c r="KKV32" s="1259"/>
      <c r="KKW32" s="1259"/>
      <c r="KKX32" s="1259"/>
      <c r="KKY32" s="1259"/>
      <c r="KKZ32" s="1259"/>
      <c r="KLA32" s="1259"/>
      <c r="KLB32" s="1259"/>
      <c r="KLC32" s="1259"/>
      <c r="KLD32" s="1259"/>
      <c r="KLE32" s="1259"/>
      <c r="KLF32" s="1259"/>
      <c r="KLG32" s="1259"/>
      <c r="KLH32" s="1259"/>
      <c r="KLI32" s="1259"/>
      <c r="KLJ32" s="1259"/>
      <c r="KLK32" s="1259"/>
      <c r="KLL32" s="1259"/>
      <c r="KLM32" s="1259"/>
      <c r="KLN32" s="1259"/>
      <c r="KLO32" s="1259"/>
      <c r="KLP32" s="1259"/>
      <c r="KLQ32" s="1259"/>
      <c r="KLR32" s="1259"/>
      <c r="KLS32" s="1259"/>
      <c r="KLT32" s="1259"/>
      <c r="KLU32" s="1259"/>
      <c r="KLV32" s="1259"/>
      <c r="KLW32" s="1259"/>
      <c r="KLX32" s="1259"/>
      <c r="KLY32" s="1259"/>
      <c r="KLZ32" s="1259"/>
      <c r="KMA32" s="1259"/>
      <c r="KMB32" s="1259"/>
      <c r="KMC32" s="1259"/>
      <c r="KMD32" s="1259"/>
      <c r="KME32" s="1259"/>
      <c r="KMF32" s="1259"/>
      <c r="KMG32" s="1259"/>
      <c r="KMH32" s="1259"/>
      <c r="KMI32" s="1259"/>
      <c r="KMJ32" s="1259"/>
      <c r="KMK32" s="1259"/>
      <c r="KML32" s="1259"/>
      <c r="KMM32" s="1259"/>
      <c r="KMN32" s="1259"/>
      <c r="KMO32" s="1259"/>
      <c r="KMP32" s="1259"/>
      <c r="KMQ32" s="1259"/>
      <c r="KMR32" s="1259"/>
      <c r="KMS32" s="1259"/>
      <c r="KMT32" s="1259"/>
      <c r="KMU32" s="1259"/>
      <c r="KMV32" s="1259"/>
      <c r="KMW32" s="1259"/>
      <c r="KMX32" s="1259"/>
      <c r="KMY32" s="1259"/>
      <c r="KMZ32" s="1259"/>
      <c r="KNA32" s="1259"/>
      <c r="KNB32" s="1259"/>
      <c r="KNC32" s="1259"/>
      <c r="KND32" s="1259"/>
      <c r="KNE32" s="1259"/>
      <c r="KNF32" s="1259"/>
      <c r="KNG32" s="1259"/>
      <c r="KNH32" s="1259"/>
      <c r="KNI32" s="1259"/>
      <c r="KNJ32" s="1259"/>
      <c r="KNK32" s="1259"/>
      <c r="KNL32" s="1259"/>
      <c r="KNM32" s="1259"/>
      <c r="KNN32" s="1259"/>
      <c r="KNO32" s="1259"/>
      <c r="KNP32" s="1259"/>
      <c r="KNQ32" s="1259"/>
      <c r="KNR32" s="1259"/>
      <c r="KNS32" s="1259"/>
      <c r="KNT32" s="1259"/>
      <c r="KNU32" s="1259"/>
      <c r="KNV32" s="1259"/>
      <c r="KNW32" s="1259"/>
      <c r="KNX32" s="1259"/>
      <c r="KNY32" s="1259"/>
      <c r="KNZ32" s="1259"/>
      <c r="KOA32" s="1259"/>
      <c r="KOB32" s="1259"/>
      <c r="KOC32" s="1259"/>
      <c r="KOD32" s="1259"/>
      <c r="KOE32" s="1259"/>
      <c r="KOF32" s="1259"/>
      <c r="KOG32" s="1259"/>
      <c r="KOH32" s="1259"/>
      <c r="KOI32" s="1259"/>
      <c r="KOJ32" s="1259"/>
      <c r="KOK32" s="1259"/>
      <c r="KOL32" s="1259"/>
      <c r="KOM32" s="1259"/>
      <c r="KON32" s="1259"/>
      <c r="KOO32" s="1259"/>
      <c r="KOP32" s="1259"/>
      <c r="KOQ32" s="1259"/>
      <c r="KOR32" s="1259"/>
      <c r="KOS32" s="1259"/>
      <c r="KOT32" s="1259"/>
      <c r="KOU32" s="1259"/>
      <c r="KOV32" s="1259"/>
      <c r="KOW32" s="1259"/>
      <c r="KOX32" s="1259"/>
      <c r="KOY32" s="1259"/>
      <c r="KOZ32" s="1259"/>
      <c r="KPA32" s="1259"/>
      <c r="KPB32" s="1259"/>
      <c r="KPC32" s="1259"/>
      <c r="KPD32" s="1259"/>
      <c r="KPE32" s="1259"/>
      <c r="KPF32" s="1259"/>
      <c r="KPG32" s="1259"/>
      <c r="KPH32" s="1259"/>
      <c r="KPI32" s="1259"/>
      <c r="KPJ32" s="1259"/>
      <c r="KPK32" s="1259"/>
      <c r="KPL32" s="1259"/>
      <c r="KPM32" s="1259"/>
      <c r="KPN32" s="1259"/>
      <c r="KPO32" s="1259"/>
      <c r="KPP32" s="1259"/>
      <c r="KPQ32" s="1259"/>
      <c r="KPR32" s="1259"/>
      <c r="KPS32" s="1259"/>
      <c r="KPT32" s="1259"/>
      <c r="KPU32" s="1259"/>
      <c r="KPV32" s="1259"/>
      <c r="KPW32" s="1259"/>
      <c r="KPX32" s="1259"/>
      <c r="KPY32" s="1259"/>
      <c r="KPZ32" s="1259"/>
      <c r="KQA32" s="1259"/>
      <c r="KQB32" s="1259"/>
      <c r="KQC32" s="1259"/>
      <c r="KQD32" s="1259"/>
      <c r="KQE32" s="1259"/>
      <c r="KQF32" s="1259"/>
      <c r="KQG32" s="1259"/>
      <c r="KQH32" s="1259"/>
      <c r="KQI32" s="1259"/>
      <c r="KQJ32" s="1259"/>
      <c r="KQK32" s="1259"/>
      <c r="KQL32" s="1259"/>
      <c r="KQM32" s="1259"/>
      <c r="KQN32" s="1259"/>
      <c r="KQO32" s="1259"/>
      <c r="KQP32" s="1259"/>
      <c r="KQQ32" s="1259"/>
      <c r="KQR32" s="1259"/>
      <c r="KQS32" s="1259"/>
      <c r="KQT32" s="1259"/>
      <c r="KQU32" s="1259"/>
      <c r="KQV32" s="1259"/>
      <c r="KQW32" s="1259"/>
      <c r="KQX32" s="1259"/>
      <c r="KQY32" s="1259"/>
      <c r="KQZ32" s="1259"/>
      <c r="KRA32" s="1259"/>
      <c r="KRB32" s="1259"/>
      <c r="KRC32" s="1259"/>
      <c r="KRD32" s="1259"/>
      <c r="KRE32" s="1259"/>
      <c r="KRF32" s="1259"/>
      <c r="KRG32" s="1259"/>
      <c r="KRH32" s="1259"/>
      <c r="KRI32" s="1259"/>
      <c r="KRJ32" s="1259"/>
      <c r="KRK32" s="1259"/>
      <c r="KRL32" s="1259"/>
      <c r="KRM32" s="1259"/>
      <c r="KRN32" s="1259"/>
      <c r="KRO32" s="1259"/>
      <c r="KRP32" s="1259"/>
      <c r="KRQ32" s="1259"/>
      <c r="KRR32" s="1259"/>
      <c r="KRS32" s="1259"/>
      <c r="KRT32" s="1259"/>
      <c r="KRU32" s="1259"/>
      <c r="KRV32" s="1259"/>
      <c r="KRW32" s="1259"/>
      <c r="KRX32" s="1259"/>
      <c r="KRY32" s="1259"/>
      <c r="KRZ32" s="1259"/>
      <c r="KSA32" s="1259"/>
      <c r="KSB32" s="1259"/>
      <c r="KSC32" s="1259"/>
      <c r="KSD32" s="1259"/>
      <c r="KSE32" s="1259"/>
      <c r="KSF32" s="1259"/>
      <c r="KSG32" s="1259"/>
      <c r="KSH32" s="1259"/>
      <c r="KSI32" s="1259"/>
      <c r="KSJ32" s="1259"/>
      <c r="KSK32" s="1259"/>
      <c r="KSL32" s="1259"/>
      <c r="KSM32" s="1259"/>
      <c r="KSN32" s="1259"/>
      <c r="KSO32" s="1259"/>
      <c r="KSP32" s="1259"/>
      <c r="KSQ32" s="1259"/>
      <c r="KSR32" s="1259"/>
      <c r="KSS32" s="1259"/>
      <c r="KST32" s="1259"/>
      <c r="KSU32" s="1259"/>
      <c r="KSV32" s="1259"/>
      <c r="KSW32" s="1259"/>
      <c r="KSX32" s="1259"/>
      <c r="KSY32" s="1259"/>
      <c r="KSZ32" s="1259"/>
      <c r="KTA32" s="1259"/>
      <c r="KTB32" s="1259"/>
      <c r="KTC32" s="1259"/>
      <c r="KTD32" s="1259"/>
      <c r="KTE32" s="1259"/>
      <c r="KTF32" s="1259"/>
      <c r="KTG32" s="1259"/>
      <c r="KTH32" s="1259"/>
      <c r="KTI32" s="1259"/>
      <c r="KTJ32" s="1259"/>
      <c r="KTK32" s="1259"/>
      <c r="KTL32" s="1259"/>
      <c r="KTM32" s="1259"/>
      <c r="KTN32" s="1259"/>
      <c r="KTO32" s="1259"/>
      <c r="KTP32" s="1259"/>
      <c r="KTQ32" s="1259"/>
      <c r="KTR32" s="1259"/>
      <c r="KTS32" s="1259"/>
      <c r="KTT32" s="1259"/>
      <c r="KTU32" s="1259"/>
      <c r="KTV32" s="1259"/>
      <c r="KTW32" s="1259"/>
      <c r="KTX32" s="1259"/>
      <c r="KTY32" s="1259"/>
      <c r="KTZ32" s="1259"/>
      <c r="KUA32" s="1259"/>
      <c r="KUB32" s="1259"/>
      <c r="KUC32" s="1259"/>
      <c r="KUD32" s="1259"/>
      <c r="KUE32" s="1259"/>
      <c r="KUF32" s="1259"/>
      <c r="KUG32" s="1259"/>
      <c r="KUH32" s="1259"/>
      <c r="KUI32" s="1259"/>
      <c r="KUJ32" s="1259"/>
      <c r="KUK32" s="1259"/>
      <c r="KUL32" s="1259"/>
      <c r="KUM32" s="1259"/>
      <c r="KUN32" s="1259"/>
      <c r="KUO32" s="1259"/>
      <c r="KUP32" s="1259"/>
      <c r="KUQ32" s="1259"/>
      <c r="KUR32" s="1259"/>
      <c r="KUS32" s="1259"/>
      <c r="KUT32" s="1259"/>
      <c r="KUU32" s="1259"/>
      <c r="KUV32" s="1259"/>
      <c r="KUW32" s="1259"/>
      <c r="KUX32" s="1259"/>
      <c r="KUY32" s="1259"/>
      <c r="KUZ32" s="1259"/>
      <c r="KVA32" s="1259"/>
      <c r="KVB32" s="1259"/>
      <c r="KVC32" s="1259"/>
      <c r="KVD32" s="1259"/>
      <c r="KVE32" s="1259"/>
      <c r="KVF32" s="1259"/>
      <c r="KVG32" s="1259"/>
      <c r="KVH32" s="1259"/>
      <c r="KVI32" s="1259"/>
      <c r="KVJ32" s="1259"/>
      <c r="KVK32" s="1259"/>
      <c r="KVL32" s="1259"/>
      <c r="KVM32" s="1259"/>
      <c r="KVN32" s="1259"/>
      <c r="KVO32" s="1259"/>
      <c r="KVP32" s="1259"/>
      <c r="KVQ32" s="1259"/>
      <c r="KVR32" s="1259"/>
      <c r="KVS32" s="1259"/>
      <c r="KVT32" s="1259"/>
      <c r="KVU32" s="1259"/>
      <c r="KVV32" s="1259"/>
      <c r="KVW32" s="1259"/>
      <c r="KVX32" s="1259"/>
      <c r="KVY32" s="1259"/>
      <c r="KVZ32" s="1259"/>
      <c r="KWA32" s="1259"/>
      <c r="KWB32" s="1259"/>
      <c r="KWC32" s="1259"/>
      <c r="KWD32" s="1259"/>
      <c r="KWE32" s="1259"/>
      <c r="KWF32" s="1259"/>
      <c r="KWG32" s="1259"/>
      <c r="KWH32" s="1259"/>
      <c r="KWI32" s="1259"/>
      <c r="KWJ32" s="1259"/>
      <c r="KWK32" s="1259"/>
      <c r="KWL32" s="1259"/>
      <c r="KWM32" s="1259"/>
      <c r="KWN32" s="1259"/>
      <c r="KWO32" s="1259"/>
      <c r="KWP32" s="1259"/>
      <c r="KWQ32" s="1259"/>
      <c r="KWR32" s="1259"/>
      <c r="KWS32" s="1259"/>
      <c r="KWT32" s="1259"/>
      <c r="KWU32" s="1259"/>
      <c r="KWV32" s="1259"/>
      <c r="KWW32" s="1259"/>
      <c r="KWX32" s="1259"/>
      <c r="KWY32" s="1259"/>
      <c r="KWZ32" s="1259"/>
      <c r="KXA32" s="1259"/>
      <c r="KXB32" s="1259"/>
      <c r="KXC32" s="1259"/>
      <c r="KXD32" s="1259"/>
      <c r="KXE32" s="1259"/>
      <c r="KXF32" s="1259"/>
      <c r="KXG32" s="1259"/>
      <c r="KXH32" s="1259"/>
      <c r="KXI32" s="1259"/>
      <c r="KXJ32" s="1259"/>
      <c r="KXK32" s="1259"/>
      <c r="KXL32" s="1259"/>
      <c r="KXM32" s="1259"/>
      <c r="KXN32" s="1259"/>
      <c r="KXO32" s="1259"/>
      <c r="KXP32" s="1259"/>
      <c r="KXQ32" s="1259"/>
      <c r="KXR32" s="1259"/>
      <c r="KXS32" s="1259"/>
      <c r="KXT32" s="1259"/>
      <c r="KXU32" s="1259"/>
      <c r="KXV32" s="1259"/>
      <c r="KXW32" s="1259"/>
      <c r="KXX32" s="1259"/>
      <c r="KXY32" s="1259"/>
      <c r="KXZ32" s="1259"/>
      <c r="KYA32" s="1259"/>
      <c r="KYB32" s="1259"/>
      <c r="KYC32" s="1259"/>
      <c r="KYD32" s="1259"/>
      <c r="KYE32" s="1259"/>
      <c r="KYF32" s="1259"/>
      <c r="KYG32" s="1259"/>
      <c r="KYH32" s="1259"/>
      <c r="KYI32" s="1259"/>
      <c r="KYJ32" s="1259"/>
      <c r="KYK32" s="1259"/>
      <c r="KYL32" s="1259"/>
      <c r="KYM32" s="1259"/>
      <c r="KYN32" s="1259"/>
      <c r="KYO32" s="1259"/>
      <c r="KYP32" s="1259"/>
      <c r="KYQ32" s="1259"/>
      <c r="KYR32" s="1259"/>
      <c r="KYS32" s="1259"/>
      <c r="KYT32" s="1259"/>
      <c r="KYU32" s="1259"/>
      <c r="KYV32" s="1259"/>
      <c r="KYW32" s="1259"/>
      <c r="KYX32" s="1259"/>
      <c r="KYY32" s="1259"/>
      <c r="KYZ32" s="1259"/>
      <c r="KZA32" s="1259"/>
      <c r="KZB32" s="1259"/>
      <c r="KZC32" s="1259"/>
      <c r="KZD32" s="1259"/>
      <c r="KZE32" s="1259"/>
      <c r="KZF32" s="1259"/>
      <c r="KZG32" s="1259"/>
      <c r="KZH32" s="1259"/>
      <c r="KZI32" s="1259"/>
      <c r="KZJ32" s="1259"/>
      <c r="KZK32" s="1259"/>
      <c r="KZL32" s="1259"/>
      <c r="KZM32" s="1259"/>
      <c r="KZN32" s="1259"/>
      <c r="KZO32" s="1259"/>
      <c r="KZP32" s="1259"/>
      <c r="KZQ32" s="1259"/>
      <c r="KZR32" s="1259"/>
      <c r="KZS32" s="1259"/>
      <c r="KZT32" s="1259"/>
      <c r="KZU32" s="1259"/>
      <c r="KZV32" s="1259"/>
      <c r="KZW32" s="1259"/>
      <c r="KZX32" s="1259"/>
      <c r="KZY32" s="1259"/>
      <c r="KZZ32" s="1259"/>
      <c r="LAA32" s="1259"/>
      <c r="LAB32" s="1259"/>
      <c r="LAC32" s="1259"/>
      <c r="LAD32" s="1259"/>
      <c r="LAE32" s="1259"/>
      <c r="LAF32" s="1259"/>
      <c r="LAG32" s="1259"/>
      <c r="LAH32" s="1259"/>
      <c r="LAI32" s="1259"/>
      <c r="LAJ32" s="1259"/>
      <c r="LAK32" s="1259"/>
      <c r="LAL32" s="1259"/>
      <c r="LAM32" s="1259"/>
      <c r="LAN32" s="1259"/>
      <c r="LAO32" s="1259"/>
      <c r="LAP32" s="1259"/>
      <c r="LAQ32" s="1259"/>
      <c r="LAR32" s="1259"/>
      <c r="LAS32" s="1259"/>
      <c r="LAT32" s="1259"/>
      <c r="LAU32" s="1259"/>
      <c r="LAV32" s="1259"/>
      <c r="LAW32" s="1259"/>
      <c r="LAX32" s="1259"/>
      <c r="LAY32" s="1259"/>
      <c r="LAZ32" s="1259"/>
      <c r="LBA32" s="1259"/>
      <c r="LBB32" s="1259"/>
      <c r="LBC32" s="1259"/>
      <c r="LBD32" s="1259"/>
      <c r="LBE32" s="1259"/>
      <c r="LBF32" s="1259"/>
      <c r="LBG32" s="1259"/>
      <c r="LBH32" s="1259"/>
      <c r="LBI32" s="1259"/>
      <c r="LBJ32" s="1259"/>
      <c r="LBK32" s="1259"/>
      <c r="LBL32" s="1259"/>
      <c r="LBM32" s="1259"/>
      <c r="LBN32" s="1259"/>
      <c r="LBO32" s="1259"/>
      <c r="LBP32" s="1259"/>
      <c r="LBQ32" s="1259"/>
      <c r="LBR32" s="1259"/>
      <c r="LBS32" s="1259"/>
      <c r="LBT32" s="1259"/>
      <c r="LBU32" s="1259"/>
      <c r="LBV32" s="1259"/>
      <c r="LBW32" s="1259"/>
      <c r="LBX32" s="1259"/>
      <c r="LBY32" s="1259"/>
      <c r="LBZ32" s="1259"/>
      <c r="LCA32" s="1259"/>
      <c r="LCB32" s="1259"/>
      <c r="LCC32" s="1259"/>
      <c r="LCD32" s="1259"/>
      <c r="LCE32" s="1259"/>
      <c r="LCF32" s="1259"/>
      <c r="LCG32" s="1259"/>
      <c r="LCH32" s="1259"/>
      <c r="LCI32" s="1259"/>
      <c r="LCJ32" s="1259"/>
      <c r="LCK32" s="1259"/>
      <c r="LCL32" s="1259"/>
      <c r="LCM32" s="1259"/>
      <c r="LCN32" s="1259"/>
      <c r="LCO32" s="1259"/>
      <c r="LCP32" s="1259"/>
      <c r="LCQ32" s="1259"/>
      <c r="LCR32" s="1259"/>
      <c r="LCS32" s="1259"/>
      <c r="LCT32" s="1259"/>
      <c r="LCU32" s="1259"/>
      <c r="LCV32" s="1259"/>
      <c r="LCW32" s="1259"/>
      <c r="LCX32" s="1259"/>
      <c r="LCY32" s="1259"/>
      <c r="LCZ32" s="1259"/>
      <c r="LDA32" s="1259"/>
      <c r="LDB32" s="1259"/>
      <c r="LDC32" s="1259"/>
      <c r="LDD32" s="1259"/>
      <c r="LDE32" s="1259"/>
      <c r="LDF32" s="1259"/>
      <c r="LDG32" s="1259"/>
      <c r="LDH32" s="1259"/>
      <c r="LDI32" s="1259"/>
      <c r="LDJ32" s="1259"/>
      <c r="LDK32" s="1259"/>
      <c r="LDL32" s="1259"/>
      <c r="LDM32" s="1259"/>
      <c r="LDN32" s="1259"/>
      <c r="LDO32" s="1259"/>
      <c r="LDP32" s="1259"/>
      <c r="LDQ32" s="1259"/>
      <c r="LDR32" s="1259"/>
      <c r="LDS32" s="1259"/>
      <c r="LDT32" s="1259"/>
      <c r="LDU32" s="1259"/>
      <c r="LDV32" s="1259"/>
      <c r="LDW32" s="1259"/>
      <c r="LDX32" s="1259"/>
      <c r="LDY32" s="1259"/>
      <c r="LDZ32" s="1259"/>
      <c r="LEA32" s="1259"/>
      <c r="LEB32" s="1259"/>
      <c r="LEC32" s="1259"/>
      <c r="LED32" s="1259"/>
      <c r="LEE32" s="1259"/>
      <c r="LEF32" s="1259"/>
      <c r="LEG32" s="1259"/>
      <c r="LEH32" s="1259"/>
      <c r="LEI32" s="1259"/>
      <c r="LEJ32" s="1259"/>
      <c r="LEK32" s="1259"/>
      <c r="LEL32" s="1259"/>
      <c r="LEM32" s="1259"/>
      <c r="LEN32" s="1259"/>
      <c r="LEO32" s="1259"/>
      <c r="LEP32" s="1259"/>
      <c r="LEQ32" s="1259"/>
      <c r="LER32" s="1259"/>
      <c r="LES32" s="1259"/>
      <c r="LET32" s="1259"/>
      <c r="LEU32" s="1259"/>
      <c r="LEV32" s="1259"/>
      <c r="LEW32" s="1259"/>
      <c r="LEX32" s="1259"/>
      <c r="LEY32" s="1259"/>
      <c r="LEZ32" s="1259"/>
      <c r="LFA32" s="1259"/>
      <c r="LFB32" s="1259"/>
      <c r="LFC32" s="1259"/>
      <c r="LFD32" s="1259"/>
      <c r="LFE32" s="1259"/>
      <c r="LFF32" s="1259"/>
      <c r="LFG32" s="1259"/>
      <c r="LFH32" s="1259"/>
      <c r="LFI32" s="1259"/>
      <c r="LFJ32" s="1259"/>
      <c r="LFK32" s="1259"/>
      <c r="LFL32" s="1259"/>
      <c r="LFM32" s="1259"/>
      <c r="LFN32" s="1259"/>
      <c r="LFO32" s="1259"/>
      <c r="LFP32" s="1259"/>
      <c r="LFQ32" s="1259"/>
      <c r="LFR32" s="1259"/>
      <c r="LFS32" s="1259"/>
      <c r="LFT32" s="1259"/>
      <c r="LFU32" s="1259"/>
      <c r="LFV32" s="1259"/>
      <c r="LFW32" s="1259"/>
      <c r="LFX32" s="1259"/>
      <c r="LFY32" s="1259"/>
      <c r="LFZ32" s="1259"/>
      <c r="LGA32" s="1259"/>
      <c r="LGB32" s="1259"/>
      <c r="LGC32" s="1259"/>
      <c r="LGD32" s="1259"/>
      <c r="LGE32" s="1259"/>
      <c r="LGF32" s="1259"/>
      <c r="LGG32" s="1259"/>
      <c r="LGH32" s="1259"/>
      <c r="LGI32" s="1259"/>
      <c r="LGJ32" s="1259"/>
      <c r="LGK32" s="1259"/>
      <c r="LGL32" s="1259"/>
      <c r="LGM32" s="1259"/>
      <c r="LGN32" s="1259"/>
      <c r="LGO32" s="1259"/>
      <c r="LGP32" s="1259"/>
      <c r="LGQ32" s="1259"/>
      <c r="LGR32" s="1259"/>
      <c r="LGS32" s="1259"/>
      <c r="LGT32" s="1259"/>
      <c r="LGU32" s="1259"/>
      <c r="LGV32" s="1259"/>
      <c r="LGW32" s="1259"/>
      <c r="LGX32" s="1259"/>
      <c r="LGY32" s="1259"/>
      <c r="LGZ32" s="1259"/>
      <c r="LHA32" s="1259"/>
      <c r="LHB32" s="1259"/>
      <c r="LHC32" s="1259"/>
      <c r="LHD32" s="1259"/>
      <c r="LHE32" s="1259"/>
      <c r="LHF32" s="1259"/>
      <c r="LHG32" s="1259"/>
      <c r="LHH32" s="1259"/>
      <c r="LHI32" s="1259"/>
      <c r="LHJ32" s="1259"/>
      <c r="LHK32" s="1259"/>
      <c r="LHL32" s="1259"/>
      <c r="LHM32" s="1259"/>
      <c r="LHN32" s="1259"/>
      <c r="LHO32" s="1259"/>
      <c r="LHP32" s="1259"/>
      <c r="LHQ32" s="1259"/>
      <c r="LHR32" s="1259"/>
      <c r="LHS32" s="1259"/>
      <c r="LHT32" s="1259"/>
      <c r="LHU32" s="1259"/>
      <c r="LHV32" s="1259"/>
      <c r="LHW32" s="1259"/>
      <c r="LHX32" s="1259"/>
      <c r="LHY32" s="1259"/>
      <c r="LHZ32" s="1259"/>
      <c r="LIA32" s="1259"/>
      <c r="LIB32" s="1259"/>
      <c r="LIC32" s="1259"/>
      <c r="LID32" s="1259"/>
      <c r="LIE32" s="1259"/>
      <c r="LIF32" s="1259"/>
      <c r="LIG32" s="1259"/>
      <c r="LIH32" s="1259"/>
      <c r="LII32" s="1259"/>
      <c r="LIJ32" s="1259"/>
      <c r="LIK32" s="1259"/>
      <c r="LIL32" s="1259"/>
      <c r="LIM32" s="1259"/>
      <c r="LIN32" s="1259"/>
      <c r="LIO32" s="1259"/>
      <c r="LIP32" s="1259"/>
      <c r="LIQ32" s="1259"/>
      <c r="LIR32" s="1259"/>
      <c r="LIS32" s="1259"/>
      <c r="LIT32" s="1259"/>
      <c r="LIU32" s="1259"/>
      <c r="LIV32" s="1259"/>
      <c r="LIW32" s="1259"/>
      <c r="LIX32" s="1259"/>
      <c r="LIY32" s="1259"/>
      <c r="LIZ32" s="1259"/>
      <c r="LJA32" s="1259"/>
      <c r="LJB32" s="1259"/>
      <c r="LJC32" s="1259"/>
      <c r="LJD32" s="1259"/>
      <c r="LJE32" s="1259"/>
      <c r="LJF32" s="1259"/>
      <c r="LJG32" s="1259"/>
      <c r="LJH32" s="1259"/>
      <c r="LJI32" s="1259"/>
      <c r="LJJ32" s="1259"/>
      <c r="LJK32" s="1259"/>
      <c r="LJL32" s="1259"/>
      <c r="LJM32" s="1259"/>
      <c r="LJN32" s="1259"/>
      <c r="LJO32" s="1259"/>
      <c r="LJP32" s="1259"/>
      <c r="LJQ32" s="1259"/>
      <c r="LJR32" s="1259"/>
      <c r="LJS32" s="1259"/>
      <c r="LJT32" s="1259"/>
      <c r="LJU32" s="1259"/>
      <c r="LJV32" s="1259"/>
      <c r="LJW32" s="1259"/>
      <c r="LJX32" s="1259"/>
      <c r="LJY32" s="1259"/>
      <c r="LJZ32" s="1259"/>
      <c r="LKA32" s="1259"/>
      <c r="LKB32" s="1259"/>
      <c r="LKC32" s="1259"/>
      <c r="LKD32" s="1259"/>
      <c r="LKE32" s="1259"/>
      <c r="LKF32" s="1259"/>
      <c r="LKG32" s="1259"/>
      <c r="LKH32" s="1259"/>
      <c r="LKI32" s="1259"/>
      <c r="LKJ32" s="1259"/>
      <c r="LKK32" s="1259"/>
      <c r="LKL32" s="1259"/>
      <c r="LKM32" s="1259"/>
      <c r="LKN32" s="1259"/>
      <c r="LKO32" s="1259"/>
      <c r="LKP32" s="1259"/>
      <c r="LKQ32" s="1259"/>
      <c r="LKR32" s="1259"/>
      <c r="LKS32" s="1259"/>
      <c r="LKT32" s="1259"/>
      <c r="LKU32" s="1259"/>
      <c r="LKV32" s="1259"/>
      <c r="LKW32" s="1259"/>
      <c r="LKX32" s="1259"/>
      <c r="LKY32" s="1259"/>
      <c r="LKZ32" s="1259"/>
      <c r="LLA32" s="1259"/>
      <c r="LLB32" s="1259"/>
      <c r="LLC32" s="1259"/>
      <c r="LLD32" s="1259"/>
      <c r="LLE32" s="1259"/>
      <c r="LLF32" s="1259"/>
      <c r="LLG32" s="1259"/>
      <c r="LLH32" s="1259"/>
      <c r="LLI32" s="1259"/>
      <c r="LLJ32" s="1259"/>
      <c r="LLK32" s="1259"/>
      <c r="LLL32" s="1259"/>
      <c r="LLM32" s="1259"/>
      <c r="LLN32" s="1259"/>
      <c r="LLO32" s="1259"/>
      <c r="LLP32" s="1259"/>
      <c r="LLQ32" s="1259"/>
      <c r="LLR32" s="1259"/>
      <c r="LLS32" s="1259"/>
      <c r="LLT32" s="1259"/>
      <c r="LLU32" s="1259"/>
      <c r="LLV32" s="1259"/>
      <c r="LLW32" s="1259"/>
      <c r="LLX32" s="1259"/>
      <c r="LLY32" s="1259"/>
      <c r="LLZ32" s="1259"/>
      <c r="LMA32" s="1259"/>
      <c r="LMB32" s="1259"/>
      <c r="LMC32" s="1259"/>
      <c r="LMD32" s="1259"/>
      <c r="LME32" s="1259"/>
      <c r="LMF32" s="1259"/>
      <c r="LMG32" s="1259"/>
      <c r="LMH32" s="1259"/>
      <c r="LMI32" s="1259"/>
      <c r="LMJ32" s="1259"/>
      <c r="LMK32" s="1259"/>
      <c r="LML32" s="1259"/>
      <c r="LMM32" s="1259"/>
      <c r="LMN32" s="1259"/>
      <c r="LMO32" s="1259"/>
      <c r="LMP32" s="1259"/>
      <c r="LMQ32" s="1259"/>
      <c r="LMR32" s="1259"/>
      <c r="LMS32" s="1259"/>
      <c r="LMT32" s="1259"/>
      <c r="LMU32" s="1259"/>
      <c r="LMV32" s="1259"/>
      <c r="LMW32" s="1259"/>
      <c r="LMX32" s="1259"/>
      <c r="LMY32" s="1259"/>
      <c r="LMZ32" s="1259"/>
      <c r="LNA32" s="1259"/>
      <c r="LNB32" s="1259"/>
      <c r="LNC32" s="1259"/>
      <c r="LND32" s="1259"/>
      <c r="LNE32" s="1259"/>
      <c r="LNF32" s="1259"/>
      <c r="LNG32" s="1259"/>
      <c r="LNH32" s="1259"/>
      <c r="LNI32" s="1259"/>
      <c r="LNJ32" s="1259"/>
      <c r="LNK32" s="1259"/>
      <c r="LNL32" s="1259"/>
      <c r="LNM32" s="1259"/>
      <c r="LNN32" s="1259"/>
      <c r="LNO32" s="1259"/>
      <c r="LNP32" s="1259"/>
      <c r="LNQ32" s="1259"/>
      <c r="LNR32" s="1259"/>
      <c r="LNS32" s="1259"/>
      <c r="LNT32" s="1259"/>
      <c r="LNU32" s="1259"/>
      <c r="LNV32" s="1259"/>
      <c r="LNW32" s="1259"/>
      <c r="LNX32" s="1259"/>
      <c r="LNY32" s="1259"/>
      <c r="LNZ32" s="1259"/>
      <c r="LOA32" s="1259"/>
      <c r="LOB32" s="1259"/>
      <c r="LOC32" s="1259"/>
      <c r="LOD32" s="1259"/>
      <c r="LOE32" s="1259"/>
      <c r="LOF32" s="1259"/>
      <c r="LOG32" s="1259"/>
      <c r="LOH32" s="1259"/>
      <c r="LOI32" s="1259"/>
      <c r="LOJ32" s="1259"/>
      <c r="LOK32" s="1259"/>
      <c r="LOL32" s="1259"/>
      <c r="LOM32" s="1259"/>
      <c r="LON32" s="1259"/>
      <c r="LOO32" s="1259"/>
      <c r="LOP32" s="1259"/>
      <c r="LOQ32" s="1259"/>
      <c r="LOR32" s="1259"/>
      <c r="LOS32" s="1259"/>
      <c r="LOT32" s="1259"/>
      <c r="LOU32" s="1259"/>
      <c r="LOV32" s="1259"/>
      <c r="LOW32" s="1259"/>
      <c r="LOX32" s="1259"/>
      <c r="LOY32" s="1259"/>
      <c r="LOZ32" s="1259"/>
      <c r="LPA32" s="1259"/>
      <c r="LPB32" s="1259"/>
      <c r="LPC32" s="1259"/>
      <c r="LPD32" s="1259"/>
      <c r="LPE32" s="1259"/>
      <c r="LPF32" s="1259"/>
      <c r="LPG32" s="1259"/>
      <c r="LPH32" s="1259"/>
      <c r="LPI32" s="1259"/>
      <c r="LPJ32" s="1259"/>
      <c r="LPK32" s="1259"/>
      <c r="LPL32" s="1259"/>
      <c r="LPM32" s="1259"/>
      <c r="LPN32" s="1259"/>
      <c r="LPO32" s="1259"/>
      <c r="LPP32" s="1259"/>
      <c r="LPQ32" s="1259"/>
      <c r="LPR32" s="1259"/>
      <c r="LPS32" s="1259"/>
      <c r="LPT32" s="1259"/>
      <c r="LPU32" s="1259"/>
      <c r="LPV32" s="1259"/>
      <c r="LPW32" s="1259"/>
      <c r="LPX32" s="1259"/>
      <c r="LPY32" s="1259"/>
      <c r="LPZ32" s="1259"/>
      <c r="LQA32" s="1259"/>
      <c r="LQB32" s="1259"/>
      <c r="LQC32" s="1259"/>
      <c r="LQD32" s="1259"/>
      <c r="LQE32" s="1259"/>
      <c r="LQF32" s="1259"/>
      <c r="LQG32" s="1259"/>
      <c r="LQH32" s="1259"/>
      <c r="LQI32" s="1259"/>
      <c r="LQJ32" s="1259"/>
      <c r="LQK32" s="1259"/>
      <c r="LQL32" s="1259"/>
      <c r="LQM32" s="1259"/>
      <c r="LQN32" s="1259"/>
      <c r="LQO32" s="1259"/>
      <c r="LQP32" s="1259"/>
      <c r="LQQ32" s="1259"/>
      <c r="LQR32" s="1259"/>
      <c r="LQS32" s="1259"/>
      <c r="LQT32" s="1259"/>
      <c r="LQU32" s="1259"/>
      <c r="LQV32" s="1259"/>
      <c r="LQW32" s="1259"/>
      <c r="LQX32" s="1259"/>
      <c r="LQY32" s="1259"/>
      <c r="LQZ32" s="1259"/>
      <c r="LRA32" s="1259"/>
      <c r="LRB32" s="1259"/>
      <c r="LRC32" s="1259"/>
      <c r="LRD32" s="1259"/>
      <c r="LRE32" s="1259"/>
      <c r="LRF32" s="1259"/>
      <c r="LRG32" s="1259"/>
      <c r="LRH32" s="1259"/>
      <c r="LRI32" s="1259"/>
      <c r="LRJ32" s="1259"/>
      <c r="LRK32" s="1259"/>
      <c r="LRL32" s="1259"/>
      <c r="LRM32" s="1259"/>
      <c r="LRN32" s="1259"/>
      <c r="LRO32" s="1259"/>
      <c r="LRP32" s="1259"/>
      <c r="LRQ32" s="1259"/>
      <c r="LRR32" s="1259"/>
      <c r="LRS32" s="1259"/>
      <c r="LRT32" s="1259"/>
      <c r="LRU32" s="1259"/>
      <c r="LRV32" s="1259"/>
      <c r="LRW32" s="1259"/>
      <c r="LRX32" s="1259"/>
      <c r="LRY32" s="1259"/>
      <c r="LRZ32" s="1259"/>
      <c r="LSA32" s="1259"/>
      <c r="LSB32" s="1259"/>
      <c r="LSC32" s="1259"/>
      <c r="LSD32" s="1259"/>
      <c r="LSE32" s="1259"/>
      <c r="LSF32" s="1259"/>
      <c r="LSG32" s="1259"/>
      <c r="LSH32" s="1259"/>
      <c r="LSI32" s="1259"/>
      <c r="LSJ32" s="1259"/>
      <c r="LSK32" s="1259"/>
      <c r="LSL32" s="1259"/>
      <c r="LSM32" s="1259"/>
      <c r="LSN32" s="1259"/>
      <c r="LSO32" s="1259"/>
      <c r="LSP32" s="1259"/>
      <c r="LSQ32" s="1259"/>
      <c r="LSR32" s="1259"/>
      <c r="LSS32" s="1259"/>
      <c r="LST32" s="1259"/>
      <c r="LSU32" s="1259"/>
      <c r="LSV32" s="1259"/>
      <c r="LSW32" s="1259"/>
      <c r="LSX32" s="1259"/>
      <c r="LSY32" s="1259"/>
      <c r="LSZ32" s="1259"/>
      <c r="LTA32" s="1259"/>
      <c r="LTB32" s="1259"/>
      <c r="LTC32" s="1259"/>
      <c r="LTD32" s="1259"/>
      <c r="LTE32" s="1259"/>
      <c r="LTF32" s="1259"/>
      <c r="LTG32" s="1259"/>
      <c r="LTH32" s="1259"/>
      <c r="LTI32" s="1259"/>
      <c r="LTJ32" s="1259"/>
      <c r="LTK32" s="1259"/>
      <c r="LTL32" s="1259"/>
      <c r="LTM32" s="1259"/>
      <c r="LTN32" s="1259"/>
      <c r="LTO32" s="1259"/>
      <c r="LTP32" s="1259"/>
      <c r="LTQ32" s="1259"/>
      <c r="LTR32" s="1259"/>
      <c r="LTS32" s="1259"/>
      <c r="LTT32" s="1259"/>
      <c r="LTU32" s="1259"/>
      <c r="LTV32" s="1259"/>
      <c r="LTW32" s="1259"/>
      <c r="LTX32" s="1259"/>
      <c r="LTY32" s="1259"/>
      <c r="LTZ32" s="1259"/>
      <c r="LUA32" s="1259"/>
      <c r="LUB32" s="1259"/>
      <c r="LUC32" s="1259"/>
      <c r="LUD32" s="1259"/>
      <c r="LUE32" s="1259"/>
      <c r="LUF32" s="1259"/>
      <c r="LUG32" s="1259"/>
      <c r="LUH32" s="1259"/>
      <c r="LUI32" s="1259"/>
      <c r="LUJ32" s="1259"/>
      <c r="LUK32" s="1259"/>
      <c r="LUL32" s="1259"/>
      <c r="LUM32" s="1259"/>
      <c r="LUN32" s="1259"/>
      <c r="LUO32" s="1259"/>
      <c r="LUP32" s="1259"/>
      <c r="LUQ32" s="1259"/>
      <c r="LUR32" s="1259"/>
      <c r="LUS32" s="1259"/>
      <c r="LUT32" s="1259"/>
      <c r="LUU32" s="1259"/>
      <c r="LUV32" s="1259"/>
      <c r="LUW32" s="1259"/>
      <c r="LUX32" s="1259"/>
      <c r="LUY32" s="1259"/>
      <c r="LUZ32" s="1259"/>
      <c r="LVA32" s="1259"/>
      <c r="LVB32" s="1259"/>
      <c r="LVC32" s="1259"/>
      <c r="LVD32" s="1259"/>
      <c r="LVE32" s="1259"/>
      <c r="LVF32" s="1259"/>
      <c r="LVG32" s="1259"/>
      <c r="LVH32" s="1259"/>
      <c r="LVI32" s="1259"/>
      <c r="LVJ32" s="1259"/>
      <c r="LVK32" s="1259"/>
      <c r="LVL32" s="1259"/>
      <c r="LVM32" s="1259"/>
      <c r="LVN32" s="1259"/>
      <c r="LVO32" s="1259"/>
      <c r="LVP32" s="1259"/>
      <c r="LVQ32" s="1259"/>
      <c r="LVR32" s="1259"/>
      <c r="LVS32" s="1259"/>
      <c r="LVT32" s="1259"/>
      <c r="LVU32" s="1259"/>
      <c r="LVV32" s="1259"/>
      <c r="LVW32" s="1259"/>
      <c r="LVX32" s="1259"/>
      <c r="LVY32" s="1259"/>
      <c r="LVZ32" s="1259"/>
      <c r="LWA32" s="1259"/>
      <c r="LWB32" s="1259"/>
      <c r="LWC32" s="1259"/>
      <c r="LWD32" s="1259"/>
      <c r="LWE32" s="1259"/>
      <c r="LWF32" s="1259"/>
      <c r="LWG32" s="1259"/>
      <c r="LWH32" s="1259"/>
      <c r="LWI32" s="1259"/>
      <c r="LWJ32" s="1259"/>
      <c r="LWK32" s="1259"/>
      <c r="LWL32" s="1259"/>
      <c r="LWM32" s="1259"/>
      <c r="LWN32" s="1259"/>
      <c r="LWO32" s="1259"/>
      <c r="LWP32" s="1259"/>
      <c r="LWQ32" s="1259"/>
      <c r="LWR32" s="1259"/>
      <c r="LWS32" s="1259"/>
      <c r="LWT32" s="1259"/>
      <c r="LWU32" s="1259"/>
      <c r="LWV32" s="1259"/>
      <c r="LWW32" s="1259"/>
      <c r="LWX32" s="1259"/>
      <c r="LWY32" s="1259"/>
      <c r="LWZ32" s="1259"/>
      <c r="LXA32" s="1259"/>
      <c r="LXB32" s="1259"/>
      <c r="LXC32" s="1259"/>
      <c r="LXD32" s="1259"/>
      <c r="LXE32" s="1259"/>
      <c r="LXF32" s="1259"/>
      <c r="LXG32" s="1259"/>
      <c r="LXH32" s="1259"/>
      <c r="LXI32" s="1259"/>
      <c r="LXJ32" s="1259"/>
      <c r="LXK32" s="1259"/>
      <c r="LXL32" s="1259"/>
      <c r="LXM32" s="1259"/>
      <c r="LXN32" s="1259"/>
      <c r="LXO32" s="1259"/>
      <c r="LXP32" s="1259"/>
      <c r="LXQ32" s="1259"/>
      <c r="LXR32" s="1259"/>
      <c r="LXS32" s="1259"/>
      <c r="LXT32" s="1259"/>
      <c r="LXU32" s="1259"/>
      <c r="LXV32" s="1259"/>
      <c r="LXW32" s="1259"/>
      <c r="LXX32" s="1259"/>
      <c r="LXY32" s="1259"/>
      <c r="LXZ32" s="1259"/>
      <c r="LYA32" s="1259"/>
      <c r="LYB32" s="1259"/>
      <c r="LYC32" s="1259"/>
      <c r="LYD32" s="1259"/>
      <c r="LYE32" s="1259"/>
      <c r="LYF32" s="1259"/>
      <c r="LYG32" s="1259"/>
      <c r="LYH32" s="1259"/>
      <c r="LYI32" s="1259"/>
      <c r="LYJ32" s="1259"/>
      <c r="LYK32" s="1259"/>
      <c r="LYL32" s="1259"/>
      <c r="LYM32" s="1259"/>
      <c r="LYN32" s="1259"/>
      <c r="LYO32" s="1259"/>
      <c r="LYP32" s="1259"/>
      <c r="LYQ32" s="1259"/>
      <c r="LYR32" s="1259"/>
      <c r="LYS32" s="1259"/>
      <c r="LYT32" s="1259"/>
      <c r="LYU32" s="1259"/>
      <c r="LYV32" s="1259"/>
      <c r="LYW32" s="1259"/>
      <c r="LYX32" s="1259"/>
      <c r="LYY32" s="1259"/>
      <c r="LYZ32" s="1259"/>
      <c r="LZA32" s="1259"/>
      <c r="LZB32" s="1259"/>
      <c r="LZC32" s="1259"/>
      <c r="LZD32" s="1259"/>
      <c r="LZE32" s="1259"/>
      <c r="LZF32" s="1259"/>
      <c r="LZG32" s="1259"/>
      <c r="LZH32" s="1259"/>
      <c r="LZI32" s="1259"/>
      <c r="LZJ32" s="1259"/>
      <c r="LZK32" s="1259"/>
      <c r="LZL32" s="1259"/>
      <c r="LZM32" s="1259"/>
      <c r="LZN32" s="1259"/>
      <c r="LZO32" s="1259"/>
      <c r="LZP32" s="1259"/>
      <c r="LZQ32" s="1259"/>
      <c r="LZR32" s="1259"/>
      <c r="LZS32" s="1259"/>
      <c r="LZT32" s="1259"/>
      <c r="LZU32" s="1259"/>
      <c r="LZV32" s="1259"/>
      <c r="LZW32" s="1259"/>
      <c r="LZX32" s="1259"/>
      <c r="LZY32" s="1259"/>
      <c r="LZZ32" s="1259"/>
      <c r="MAA32" s="1259"/>
      <c r="MAB32" s="1259"/>
      <c r="MAC32" s="1259"/>
      <c r="MAD32" s="1259"/>
      <c r="MAE32" s="1259"/>
      <c r="MAF32" s="1259"/>
      <c r="MAG32" s="1259"/>
      <c r="MAH32" s="1259"/>
      <c r="MAI32" s="1259"/>
      <c r="MAJ32" s="1259"/>
      <c r="MAK32" s="1259"/>
      <c r="MAL32" s="1259"/>
      <c r="MAM32" s="1259"/>
      <c r="MAN32" s="1259"/>
      <c r="MAO32" s="1259"/>
      <c r="MAP32" s="1259"/>
      <c r="MAQ32" s="1259"/>
      <c r="MAR32" s="1259"/>
      <c r="MAS32" s="1259"/>
      <c r="MAT32" s="1259"/>
      <c r="MAU32" s="1259"/>
      <c r="MAV32" s="1259"/>
      <c r="MAW32" s="1259"/>
      <c r="MAX32" s="1259"/>
      <c r="MAY32" s="1259"/>
      <c r="MAZ32" s="1259"/>
      <c r="MBA32" s="1259"/>
      <c r="MBB32" s="1259"/>
      <c r="MBC32" s="1259"/>
      <c r="MBD32" s="1259"/>
      <c r="MBE32" s="1259"/>
      <c r="MBF32" s="1259"/>
      <c r="MBG32" s="1259"/>
      <c r="MBH32" s="1259"/>
      <c r="MBI32" s="1259"/>
      <c r="MBJ32" s="1259"/>
      <c r="MBK32" s="1259"/>
      <c r="MBL32" s="1259"/>
      <c r="MBM32" s="1259"/>
      <c r="MBN32" s="1259"/>
      <c r="MBO32" s="1259"/>
      <c r="MBP32" s="1259"/>
      <c r="MBQ32" s="1259"/>
      <c r="MBR32" s="1259"/>
      <c r="MBS32" s="1259"/>
      <c r="MBT32" s="1259"/>
      <c r="MBU32" s="1259"/>
      <c r="MBV32" s="1259"/>
      <c r="MBW32" s="1259"/>
      <c r="MBX32" s="1259"/>
      <c r="MBY32" s="1259"/>
      <c r="MBZ32" s="1259"/>
      <c r="MCA32" s="1259"/>
      <c r="MCB32" s="1259"/>
      <c r="MCC32" s="1259"/>
      <c r="MCD32" s="1259"/>
      <c r="MCE32" s="1259"/>
      <c r="MCF32" s="1259"/>
      <c r="MCG32" s="1259"/>
      <c r="MCH32" s="1259"/>
      <c r="MCI32" s="1259"/>
      <c r="MCJ32" s="1259"/>
      <c r="MCK32" s="1259"/>
      <c r="MCL32" s="1259"/>
      <c r="MCM32" s="1259"/>
      <c r="MCN32" s="1259"/>
      <c r="MCO32" s="1259"/>
      <c r="MCP32" s="1259"/>
      <c r="MCQ32" s="1259"/>
      <c r="MCR32" s="1259"/>
      <c r="MCS32" s="1259"/>
      <c r="MCT32" s="1259"/>
      <c r="MCU32" s="1259"/>
      <c r="MCV32" s="1259"/>
      <c r="MCW32" s="1259"/>
      <c r="MCX32" s="1259"/>
      <c r="MCY32" s="1259"/>
      <c r="MCZ32" s="1259"/>
      <c r="MDA32" s="1259"/>
      <c r="MDB32" s="1259"/>
      <c r="MDC32" s="1259"/>
      <c r="MDD32" s="1259"/>
      <c r="MDE32" s="1259"/>
      <c r="MDF32" s="1259"/>
      <c r="MDG32" s="1259"/>
      <c r="MDH32" s="1259"/>
      <c r="MDI32" s="1259"/>
      <c r="MDJ32" s="1259"/>
      <c r="MDK32" s="1259"/>
      <c r="MDL32" s="1259"/>
      <c r="MDM32" s="1259"/>
      <c r="MDN32" s="1259"/>
      <c r="MDO32" s="1259"/>
      <c r="MDP32" s="1259"/>
      <c r="MDQ32" s="1259"/>
      <c r="MDR32" s="1259"/>
      <c r="MDS32" s="1259"/>
      <c r="MDT32" s="1259"/>
      <c r="MDU32" s="1259"/>
      <c r="MDV32" s="1259"/>
      <c r="MDW32" s="1259"/>
      <c r="MDX32" s="1259"/>
      <c r="MDY32" s="1259"/>
      <c r="MDZ32" s="1259"/>
      <c r="MEA32" s="1259"/>
      <c r="MEB32" s="1259"/>
      <c r="MEC32" s="1259"/>
      <c r="MED32" s="1259"/>
      <c r="MEE32" s="1259"/>
      <c r="MEF32" s="1259"/>
      <c r="MEG32" s="1259"/>
      <c r="MEH32" s="1259"/>
      <c r="MEI32" s="1259"/>
      <c r="MEJ32" s="1259"/>
      <c r="MEK32" s="1259"/>
      <c r="MEL32" s="1259"/>
      <c r="MEM32" s="1259"/>
      <c r="MEN32" s="1259"/>
      <c r="MEO32" s="1259"/>
      <c r="MEP32" s="1259"/>
      <c r="MEQ32" s="1259"/>
      <c r="MER32" s="1259"/>
      <c r="MES32" s="1259"/>
      <c r="MET32" s="1259"/>
      <c r="MEU32" s="1259"/>
      <c r="MEV32" s="1259"/>
      <c r="MEW32" s="1259"/>
      <c r="MEX32" s="1259"/>
      <c r="MEY32" s="1259"/>
      <c r="MEZ32" s="1259"/>
      <c r="MFA32" s="1259"/>
      <c r="MFB32" s="1259"/>
      <c r="MFC32" s="1259"/>
      <c r="MFD32" s="1259"/>
      <c r="MFE32" s="1259"/>
      <c r="MFF32" s="1259"/>
      <c r="MFG32" s="1259"/>
      <c r="MFH32" s="1259"/>
      <c r="MFI32" s="1259"/>
      <c r="MFJ32" s="1259"/>
      <c r="MFK32" s="1259"/>
      <c r="MFL32" s="1259"/>
      <c r="MFM32" s="1259"/>
      <c r="MFN32" s="1259"/>
      <c r="MFO32" s="1259"/>
      <c r="MFP32" s="1259"/>
      <c r="MFQ32" s="1259"/>
      <c r="MFR32" s="1259"/>
      <c r="MFS32" s="1259"/>
      <c r="MFT32" s="1259"/>
      <c r="MFU32" s="1259"/>
      <c r="MFV32" s="1259"/>
      <c r="MFW32" s="1259"/>
      <c r="MFX32" s="1259"/>
      <c r="MFY32" s="1259"/>
      <c r="MFZ32" s="1259"/>
      <c r="MGA32" s="1259"/>
      <c r="MGB32" s="1259"/>
      <c r="MGC32" s="1259"/>
      <c r="MGD32" s="1259"/>
      <c r="MGE32" s="1259"/>
      <c r="MGF32" s="1259"/>
      <c r="MGG32" s="1259"/>
      <c r="MGH32" s="1259"/>
      <c r="MGI32" s="1259"/>
      <c r="MGJ32" s="1259"/>
      <c r="MGK32" s="1259"/>
      <c r="MGL32" s="1259"/>
      <c r="MGM32" s="1259"/>
      <c r="MGN32" s="1259"/>
      <c r="MGO32" s="1259"/>
      <c r="MGP32" s="1259"/>
      <c r="MGQ32" s="1259"/>
      <c r="MGR32" s="1259"/>
      <c r="MGS32" s="1259"/>
      <c r="MGT32" s="1259"/>
      <c r="MGU32" s="1259"/>
      <c r="MGV32" s="1259"/>
      <c r="MGW32" s="1259"/>
      <c r="MGX32" s="1259"/>
      <c r="MGY32" s="1259"/>
      <c r="MGZ32" s="1259"/>
      <c r="MHA32" s="1259"/>
      <c r="MHB32" s="1259"/>
      <c r="MHC32" s="1259"/>
      <c r="MHD32" s="1259"/>
      <c r="MHE32" s="1259"/>
      <c r="MHF32" s="1259"/>
      <c r="MHG32" s="1259"/>
      <c r="MHH32" s="1259"/>
      <c r="MHI32" s="1259"/>
      <c r="MHJ32" s="1259"/>
      <c r="MHK32" s="1259"/>
      <c r="MHL32" s="1259"/>
      <c r="MHM32" s="1259"/>
      <c r="MHN32" s="1259"/>
      <c r="MHO32" s="1259"/>
      <c r="MHP32" s="1259"/>
      <c r="MHQ32" s="1259"/>
      <c r="MHR32" s="1259"/>
      <c r="MHS32" s="1259"/>
      <c r="MHT32" s="1259"/>
      <c r="MHU32" s="1259"/>
      <c r="MHV32" s="1259"/>
      <c r="MHW32" s="1259"/>
      <c r="MHX32" s="1259"/>
      <c r="MHY32" s="1259"/>
      <c r="MHZ32" s="1259"/>
      <c r="MIA32" s="1259"/>
      <c r="MIB32" s="1259"/>
      <c r="MIC32" s="1259"/>
      <c r="MID32" s="1259"/>
      <c r="MIE32" s="1259"/>
      <c r="MIF32" s="1259"/>
      <c r="MIG32" s="1259"/>
      <c r="MIH32" s="1259"/>
      <c r="MII32" s="1259"/>
      <c r="MIJ32" s="1259"/>
      <c r="MIK32" s="1259"/>
      <c r="MIL32" s="1259"/>
      <c r="MIM32" s="1259"/>
      <c r="MIN32" s="1259"/>
      <c r="MIO32" s="1259"/>
      <c r="MIP32" s="1259"/>
      <c r="MIQ32" s="1259"/>
      <c r="MIR32" s="1259"/>
      <c r="MIS32" s="1259"/>
      <c r="MIT32" s="1259"/>
      <c r="MIU32" s="1259"/>
      <c r="MIV32" s="1259"/>
      <c r="MIW32" s="1259"/>
      <c r="MIX32" s="1259"/>
      <c r="MIY32" s="1259"/>
      <c r="MIZ32" s="1259"/>
      <c r="MJA32" s="1259"/>
      <c r="MJB32" s="1259"/>
      <c r="MJC32" s="1259"/>
      <c r="MJD32" s="1259"/>
      <c r="MJE32" s="1259"/>
      <c r="MJF32" s="1259"/>
      <c r="MJG32" s="1259"/>
      <c r="MJH32" s="1259"/>
      <c r="MJI32" s="1259"/>
      <c r="MJJ32" s="1259"/>
      <c r="MJK32" s="1259"/>
      <c r="MJL32" s="1259"/>
      <c r="MJM32" s="1259"/>
      <c r="MJN32" s="1259"/>
      <c r="MJO32" s="1259"/>
      <c r="MJP32" s="1259"/>
      <c r="MJQ32" s="1259"/>
      <c r="MJR32" s="1259"/>
      <c r="MJS32" s="1259"/>
      <c r="MJT32" s="1259"/>
      <c r="MJU32" s="1259"/>
      <c r="MJV32" s="1259"/>
      <c r="MJW32" s="1259"/>
      <c r="MJX32" s="1259"/>
      <c r="MJY32" s="1259"/>
      <c r="MJZ32" s="1259"/>
      <c r="MKA32" s="1259"/>
      <c r="MKB32" s="1259"/>
      <c r="MKC32" s="1259"/>
      <c r="MKD32" s="1259"/>
      <c r="MKE32" s="1259"/>
      <c r="MKF32" s="1259"/>
      <c r="MKG32" s="1259"/>
      <c r="MKH32" s="1259"/>
      <c r="MKI32" s="1259"/>
      <c r="MKJ32" s="1259"/>
      <c r="MKK32" s="1259"/>
      <c r="MKL32" s="1259"/>
      <c r="MKM32" s="1259"/>
      <c r="MKN32" s="1259"/>
      <c r="MKO32" s="1259"/>
      <c r="MKP32" s="1259"/>
      <c r="MKQ32" s="1259"/>
      <c r="MKR32" s="1259"/>
      <c r="MKS32" s="1259"/>
      <c r="MKT32" s="1259"/>
      <c r="MKU32" s="1259"/>
      <c r="MKV32" s="1259"/>
      <c r="MKW32" s="1259"/>
      <c r="MKX32" s="1259"/>
      <c r="MKY32" s="1259"/>
      <c r="MKZ32" s="1259"/>
      <c r="MLA32" s="1259"/>
      <c r="MLB32" s="1259"/>
      <c r="MLC32" s="1259"/>
      <c r="MLD32" s="1259"/>
      <c r="MLE32" s="1259"/>
      <c r="MLF32" s="1259"/>
      <c r="MLG32" s="1259"/>
      <c r="MLH32" s="1259"/>
      <c r="MLI32" s="1259"/>
      <c r="MLJ32" s="1259"/>
      <c r="MLK32" s="1259"/>
      <c r="MLL32" s="1259"/>
      <c r="MLM32" s="1259"/>
      <c r="MLN32" s="1259"/>
      <c r="MLO32" s="1259"/>
      <c r="MLP32" s="1259"/>
      <c r="MLQ32" s="1259"/>
      <c r="MLR32" s="1259"/>
      <c r="MLS32" s="1259"/>
      <c r="MLT32" s="1259"/>
      <c r="MLU32" s="1259"/>
      <c r="MLV32" s="1259"/>
      <c r="MLW32" s="1259"/>
      <c r="MLX32" s="1259"/>
      <c r="MLY32" s="1259"/>
      <c r="MLZ32" s="1259"/>
      <c r="MMA32" s="1259"/>
      <c r="MMB32" s="1259"/>
      <c r="MMC32" s="1259"/>
      <c r="MMD32" s="1259"/>
      <c r="MME32" s="1259"/>
      <c r="MMF32" s="1259"/>
      <c r="MMG32" s="1259"/>
      <c r="MMH32" s="1259"/>
      <c r="MMI32" s="1259"/>
      <c r="MMJ32" s="1259"/>
      <c r="MMK32" s="1259"/>
      <c r="MML32" s="1259"/>
      <c r="MMM32" s="1259"/>
      <c r="MMN32" s="1259"/>
      <c r="MMO32" s="1259"/>
      <c r="MMP32" s="1259"/>
      <c r="MMQ32" s="1259"/>
      <c r="MMR32" s="1259"/>
      <c r="MMS32" s="1259"/>
      <c r="MMT32" s="1259"/>
      <c r="MMU32" s="1259"/>
      <c r="MMV32" s="1259"/>
      <c r="MMW32" s="1259"/>
      <c r="MMX32" s="1259"/>
      <c r="MMY32" s="1259"/>
      <c r="MMZ32" s="1259"/>
      <c r="MNA32" s="1259"/>
      <c r="MNB32" s="1259"/>
      <c r="MNC32" s="1259"/>
      <c r="MND32" s="1259"/>
      <c r="MNE32" s="1259"/>
      <c r="MNF32" s="1259"/>
      <c r="MNG32" s="1259"/>
      <c r="MNH32" s="1259"/>
      <c r="MNI32" s="1259"/>
      <c r="MNJ32" s="1259"/>
      <c r="MNK32" s="1259"/>
      <c r="MNL32" s="1259"/>
      <c r="MNM32" s="1259"/>
      <c r="MNN32" s="1259"/>
      <c r="MNO32" s="1259"/>
      <c r="MNP32" s="1259"/>
      <c r="MNQ32" s="1259"/>
      <c r="MNR32" s="1259"/>
      <c r="MNS32" s="1259"/>
      <c r="MNT32" s="1259"/>
      <c r="MNU32" s="1259"/>
      <c r="MNV32" s="1259"/>
      <c r="MNW32" s="1259"/>
      <c r="MNX32" s="1259"/>
      <c r="MNY32" s="1259"/>
      <c r="MNZ32" s="1259"/>
      <c r="MOA32" s="1259"/>
      <c r="MOB32" s="1259"/>
      <c r="MOC32" s="1259"/>
      <c r="MOD32" s="1259"/>
      <c r="MOE32" s="1259"/>
      <c r="MOF32" s="1259"/>
      <c r="MOG32" s="1259"/>
      <c r="MOH32" s="1259"/>
      <c r="MOI32" s="1259"/>
      <c r="MOJ32" s="1259"/>
      <c r="MOK32" s="1259"/>
      <c r="MOL32" s="1259"/>
      <c r="MOM32" s="1259"/>
      <c r="MON32" s="1259"/>
      <c r="MOO32" s="1259"/>
      <c r="MOP32" s="1259"/>
      <c r="MOQ32" s="1259"/>
      <c r="MOR32" s="1259"/>
      <c r="MOS32" s="1259"/>
      <c r="MOT32" s="1259"/>
      <c r="MOU32" s="1259"/>
      <c r="MOV32" s="1259"/>
      <c r="MOW32" s="1259"/>
      <c r="MOX32" s="1259"/>
      <c r="MOY32" s="1259"/>
      <c r="MOZ32" s="1259"/>
      <c r="MPA32" s="1259"/>
      <c r="MPB32" s="1259"/>
      <c r="MPC32" s="1259"/>
      <c r="MPD32" s="1259"/>
      <c r="MPE32" s="1259"/>
      <c r="MPF32" s="1259"/>
      <c r="MPG32" s="1259"/>
      <c r="MPH32" s="1259"/>
      <c r="MPI32" s="1259"/>
      <c r="MPJ32" s="1259"/>
      <c r="MPK32" s="1259"/>
      <c r="MPL32" s="1259"/>
      <c r="MPM32" s="1259"/>
      <c r="MPN32" s="1259"/>
      <c r="MPO32" s="1259"/>
      <c r="MPP32" s="1259"/>
      <c r="MPQ32" s="1259"/>
      <c r="MPR32" s="1259"/>
      <c r="MPS32" s="1259"/>
      <c r="MPT32" s="1259"/>
      <c r="MPU32" s="1259"/>
      <c r="MPV32" s="1259"/>
      <c r="MPW32" s="1259"/>
      <c r="MPX32" s="1259"/>
      <c r="MPY32" s="1259"/>
      <c r="MPZ32" s="1259"/>
      <c r="MQA32" s="1259"/>
      <c r="MQB32" s="1259"/>
      <c r="MQC32" s="1259"/>
      <c r="MQD32" s="1259"/>
      <c r="MQE32" s="1259"/>
      <c r="MQF32" s="1259"/>
      <c r="MQG32" s="1259"/>
      <c r="MQH32" s="1259"/>
      <c r="MQI32" s="1259"/>
      <c r="MQJ32" s="1259"/>
      <c r="MQK32" s="1259"/>
      <c r="MQL32" s="1259"/>
      <c r="MQM32" s="1259"/>
      <c r="MQN32" s="1259"/>
      <c r="MQO32" s="1259"/>
      <c r="MQP32" s="1259"/>
      <c r="MQQ32" s="1259"/>
      <c r="MQR32" s="1259"/>
      <c r="MQS32" s="1259"/>
      <c r="MQT32" s="1259"/>
      <c r="MQU32" s="1259"/>
      <c r="MQV32" s="1259"/>
      <c r="MQW32" s="1259"/>
      <c r="MQX32" s="1259"/>
      <c r="MQY32" s="1259"/>
      <c r="MQZ32" s="1259"/>
      <c r="MRA32" s="1259"/>
      <c r="MRB32" s="1259"/>
      <c r="MRC32" s="1259"/>
      <c r="MRD32" s="1259"/>
      <c r="MRE32" s="1259"/>
      <c r="MRF32" s="1259"/>
      <c r="MRG32" s="1259"/>
      <c r="MRH32" s="1259"/>
      <c r="MRI32" s="1259"/>
      <c r="MRJ32" s="1259"/>
      <c r="MRK32" s="1259"/>
      <c r="MRL32" s="1259"/>
      <c r="MRM32" s="1259"/>
      <c r="MRN32" s="1259"/>
      <c r="MRO32" s="1259"/>
      <c r="MRP32" s="1259"/>
      <c r="MRQ32" s="1259"/>
      <c r="MRR32" s="1259"/>
      <c r="MRS32" s="1259"/>
      <c r="MRT32" s="1259"/>
      <c r="MRU32" s="1259"/>
      <c r="MRV32" s="1259"/>
      <c r="MRW32" s="1259"/>
      <c r="MRX32" s="1259"/>
      <c r="MRY32" s="1259"/>
      <c r="MRZ32" s="1259"/>
      <c r="MSA32" s="1259"/>
      <c r="MSB32" s="1259"/>
      <c r="MSC32" s="1259"/>
      <c r="MSD32" s="1259"/>
      <c r="MSE32" s="1259"/>
      <c r="MSF32" s="1259"/>
      <c r="MSG32" s="1259"/>
      <c r="MSH32" s="1259"/>
      <c r="MSI32" s="1259"/>
      <c r="MSJ32" s="1259"/>
      <c r="MSK32" s="1259"/>
      <c r="MSL32" s="1259"/>
      <c r="MSM32" s="1259"/>
      <c r="MSN32" s="1259"/>
      <c r="MSO32" s="1259"/>
      <c r="MSP32" s="1259"/>
      <c r="MSQ32" s="1259"/>
      <c r="MSR32" s="1259"/>
      <c r="MSS32" s="1259"/>
      <c r="MST32" s="1259"/>
      <c r="MSU32" s="1259"/>
      <c r="MSV32" s="1259"/>
      <c r="MSW32" s="1259"/>
      <c r="MSX32" s="1259"/>
      <c r="MSY32" s="1259"/>
      <c r="MSZ32" s="1259"/>
      <c r="MTA32" s="1259"/>
      <c r="MTB32" s="1259"/>
      <c r="MTC32" s="1259"/>
      <c r="MTD32" s="1259"/>
      <c r="MTE32" s="1259"/>
      <c r="MTF32" s="1259"/>
      <c r="MTG32" s="1259"/>
      <c r="MTH32" s="1259"/>
      <c r="MTI32" s="1259"/>
      <c r="MTJ32" s="1259"/>
      <c r="MTK32" s="1259"/>
      <c r="MTL32" s="1259"/>
      <c r="MTM32" s="1259"/>
      <c r="MTN32" s="1259"/>
      <c r="MTO32" s="1259"/>
      <c r="MTP32" s="1259"/>
      <c r="MTQ32" s="1259"/>
      <c r="MTR32" s="1259"/>
      <c r="MTS32" s="1259"/>
      <c r="MTT32" s="1259"/>
      <c r="MTU32" s="1259"/>
      <c r="MTV32" s="1259"/>
      <c r="MTW32" s="1259"/>
      <c r="MTX32" s="1259"/>
      <c r="MTY32" s="1259"/>
      <c r="MTZ32" s="1259"/>
      <c r="MUA32" s="1259"/>
      <c r="MUB32" s="1259"/>
      <c r="MUC32" s="1259"/>
      <c r="MUD32" s="1259"/>
      <c r="MUE32" s="1259"/>
      <c r="MUF32" s="1259"/>
      <c r="MUG32" s="1259"/>
      <c r="MUH32" s="1259"/>
      <c r="MUI32" s="1259"/>
      <c r="MUJ32" s="1259"/>
      <c r="MUK32" s="1259"/>
      <c r="MUL32" s="1259"/>
      <c r="MUM32" s="1259"/>
      <c r="MUN32" s="1259"/>
      <c r="MUO32" s="1259"/>
      <c r="MUP32" s="1259"/>
      <c r="MUQ32" s="1259"/>
      <c r="MUR32" s="1259"/>
      <c r="MUS32" s="1259"/>
      <c r="MUT32" s="1259"/>
      <c r="MUU32" s="1259"/>
      <c r="MUV32" s="1259"/>
      <c r="MUW32" s="1259"/>
      <c r="MUX32" s="1259"/>
      <c r="MUY32" s="1259"/>
      <c r="MUZ32" s="1259"/>
      <c r="MVA32" s="1259"/>
      <c r="MVB32" s="1259"/>
      <c r="MVC32" s="1259"/>
      <c r="MVD32" s="1259"/>
      <c r="MVE32" s="1259"/>
      <c r="MVF32" s="1259"/>
      <c r="MVG32" s="1259"/>
      <c r="MVH32" s="1259"/>
      <c r="MVI32" s="1259"/>
      <c r="MVJ32" s="1259"/>
      <c r="MVK32" s="1259"/>
      <c r="MVL32" s="1259"/>
      <c r="MVM32" s="1259"/>
      <c r="MVN32" s="1259"/>
      <c r="MVO32" s="1259"/>
      <c r="MVP32" s="1259"/>
      <c r="MVQ32" s="1259"/>
      <c r="MVR32" s="1259"/>
      <c r="MVS32" s="1259"/>
      <c r="MVT32" s="1259"/>
      <c r="MVU32" s="1259"/>
      <c r="MVV32" s="1259"/>
      <c r="MVW32" s="1259"/>
      <c r="MVX32" s="1259"/>
      <c r="MVY32" s="1259"/>
      <c r="MVZ32" s="1259"/>
      <c r="MWA32" s="1259"/>
      <c r="MWB32" s="1259"/>
      <c r="MWC32" s="1259"/>
      <c r="MWD32" s="1259"/>
      <c r="MWE32" s="1259"/>
      <c r="MWF32" s="1259"/>
      <c r="MWG32" s="1259"/>
      <c r="MWH32" s="1259"/>
      <c r="MWI32" s="1259"/>
      <c r="MWJ32" s="1259"/>
      <c r="MWK32" s="1259"/>
      <c r="MWL32" s="1259"/>
      <c r="MWM32" s="1259"/>
      <c r="MWN32" s="1259"/>
      <c r="MWO32" s="1259"/>
      <c r="MWP32" s="1259"/>
      <c r="MWQ32" s="1259"/>
      <c r="MWR32" s="1259"/>
      <c r="MWS32" s="1259"/>
      <c r="MWT32" s="1259"/>
      <c r="MWU32" s="1259"/>
      <c r="MWV32" s="1259"/>
      <c r="MWW32" s="1259"/>
      <c r="MWX32" s="1259"/>
      <c r="MWY32" s="1259"/>
      <c r="MWZ32" s="1259"/>
      <c r="MXA32" s="1259"/>
      <c r="MXB32" s="1259"/>
      <c r="MXC32" s="1259"/>
      <c r="MXD32" s="1259"/>
      <c r="MXE32" s="1259"/>
      <c r="MXF32" s="1259"/>
      <c r="MXG32" s="1259"/>
      <c r="MXH32" s="1259"/>
      <c r="MXI32" s="1259"/>
      <c r="MXJ32" s="1259"/>
      <c r="MXK32" s="1259"/>
      <c r="MXL32" s="1259"/>
      <c r="MXM32" s="1259"/>
      <c r="MXN32" s="1259"/>
      <c r="MXO32" s="1259"/>
      <c r="MXP32" s="1259"/>
      <c r="MXQ32" s="1259"/>
      <c r="MXR32" s="1259"/>
      <c r="MXS32" s="1259"/>
      <c r="MXT32" s="1259"/>
      <c r="MXU32" s="1259"/>
      <c r="MXV32" s="1259"/>
      <c r="MXW32" s="1259"/>
      <c r="MXX32" s="1259"/>
      <c r="MXY32" s="1259"/>
      <c r="MXZ32" s="1259"/>
      <c r="MYA32" s="1259"/>
      <c r="MYB32" s="1259"/>
      <c r="MYC32" s="1259"/>
      <c r="MYD32" s="1259"/>
      <c r="MYE32" s="1259"/>
      <c r="MYF32" s="1259"/>
      <c r="MYG32" s="1259"/>
      <c r="MYH32" s="1259"/>
      <c r="MYI32" s="1259"/>
      <c r="MYJ32" s="1259"/>
      <c r="MYK32" s="1259"/>
      <c r="MYL32" s="1259"/>
      <c r="MYM32" s="1259"/>
      <c r="MYN32" s="1259"/>
      <c r="MYO32" s="1259"/>
      <c r="MYP32" s="1259"/>
      <c r="MYQ32" s="1259"/>
      <c r="MYR32" s="1259"/>
      <c r="MYS32" s="1259"/>
      <c r="MYT32" s="1259"/>
      <c r="MYU32" s="1259"/>
      <c r="MYV32" s="1259"/>
      <c r="MYW32" s="1259"/>
      <c r="MYX32" s="1259"/>
      <c r="MYY32" s="1259"/>
      <c r="MYZ32" s="1259"/>
      <c r="MZA32" s="1259"/>
      <c r="MZB32" s="1259"/>
      <c r="MZC32" s="1259"/>
      <c r="MZD32" s="1259"/>
      <c r="MZE32" s="1259"/>
      <c r="MZF32" s="1259"/>
      <c r="MZG32" s="1259"/>
      <c r="MZH32" s="1259"/>
      <c r="MZI32" s="1259"/>
      <c r="MZJ32" s="1259"/>
      <c r="MZK32" s="1259"/>
      <c r="MZL32" s="1259"/>
      <c r="MZM32" s="1259"/>
      <c r="MZN32" s="1259"/>
      <c r="MZO32" s="1259"/>
      <c r="MZP32" s="1259"/>
      <c r="MZQ32" s="1259"/>
      <c r="MZR32" s="1259"/>
      <c r="MZS32" s="1259"/>
      <c r="MZT32" s="1259"/>
      <c r="MZU32" s="1259"/>
      <c r="MZV32" s="1259"/>
      <c r="MZW32" s="1259"/>
      <c r="MZX32" s="1259"/>
      <c r="MZY32" s="1259"/>
      <c r="MZZ32" s="1259"/>
      <c r="NAA32" s="1259"/>
      <c r="NAB32" s="1259"/>
      <c r="NAC32" s="1259"/>
      <c r="NAD32" s="1259"/>
      <c r="NAE32" s="1259"/>
      <c r="NAF32" s="1259"/>
      <c r="NAG32" s="1259"/>
      <c r="NAH32" s="1259"/>
      <c r="NAI32" s="1259"/>
      <c r="NAJ32" s="1259"/>
      <c r="NAK32" s="1259"/>
      <c r="NAL32" s="1259"/>
      <c r="NAM32" s="1259"/>
      <c r="NAN32" s="1259"/>
      <c r="NAO32" s="1259"/>
      <c r="NAP32" s="1259"/>
      <c r="NAQ32" s="1259"/>
      <c r="NAR32" s="1259"/>
      <c r="NAS32" s="1259"/>
      <c r="NAT32" s="1259"/>
      <c r="NAU32" s="1259"/>
      <c r="NAV32" s="1259"/>
      <c r="NAW32" s="1259"/>
      <c r="NAX32" s="1259"/>
      <c r="NAY32" s="1259"/>
      <c r="NAZ32" s="1259"/>
      <c r="NBA32" s="1259"/>
      <c r="NBB32" s="1259"/>
      <c r="NBC32" s="1259"/>
      <c r="NBD32" s="1259"/>
      <c r="NBE32" s="1259"/>
      <c r="NBF32" s="1259"/>
      <c r="NBG32" s="1259"/>
      <c r="NBH32" s="1259"/>
      <c r="NBI32" s="1259"/>
      <c r="NBJ32" s="1259"/>
      <c r="NBK32" s="1259"/>
      <c r="NBL32" s="1259"/>
      <c r="NBM32" s="1259"/>
      <c r="NBN32" s="1259"/>
      <c r="NBO32" s="1259"/>
      <c r="NBP32" s="1259"/>
      <c r="NBQ32" s="1259"/>
      <c r="NBR32" s="1259"/>
      <c r="NBS32" s="1259"/>
      <c r="NBT32" s="1259"/>
      <c r="NBU32" s="1259"/>
      <c r="NBV32" s="1259"/>
      <c r="NBW32" s="1259"/>
      <c r="NBX32" s="1259"/>
      <c r="NBY32" s="1259"/>
      <c r="NBZ32" s="1259"/>
      <c r="NCA32" s="1259"/>
      <c r="NCB32" s="1259"/>
      <c r="NCC32" s="1259"/>
      <c r="NCD32" s="1259"/>
      <c r="NCE32" s="1259"/>
      <c r="NCF32" s="1259"/>
      <c r="NCG32" s="1259"/>
      <c r="NCH32" s="1259"/>
      <c r="NCI32" s="1259"/>
      <c r="NCJ32" s="1259"/>
      <c r="NCK32" s="1259"/>
      <c r="NCL32" s="1259"/>
      <c r="NCM32" s="1259"/>
      <c r="NCN32" s="1259"/>
      <c r="NCO32" s="1259"/>
      <c r="NCP32" s="1259"/>
      <c r="NCQ32" s="1259"/>
      <c r="NCR32" s="1259"/>
      <c r="NCS32" s="1259"/>
      <c r="NCT32" s="1259"/>
      <c r="NCU32" s="1259"/>
      <c r="NCV32" s="1259"/>
      <c r="NCW32" s="1259"/>
      <c r="NCX32" s="1259"/>
      <c r="NCY32" s="1259"/>
      <c r="NCZ32" s="1259"/>
      <c r="NDA32" s="1259"/>
      <c r="NDB32" s="1259"/>
      <c r="NDC32" s="1259"/>
      <c r="NDD32" s="1259"/>
      <c r="NDE32" s="1259"/>
      <c r="NDF32" s="1259"/>
      <c r="NDG32" s="1259"/>
      <c r="NDH32" s="1259"/>
      <c r="NDI32" s="1259"/>
      <c r="NDJ32" s="1259"/>
      <c r="NDK32" s="1259"/>
      <c r="NDL32" s="1259"/>
      <c r="NDM32" s="1259"/>
      <c r="NDN32" s="1259"/>
      <c r="NDO32" s="1259"/>
      <c r="NDP32" s="1259"/>
      <c r="NDQ32" s="1259"/>
      <c r="NDR32" s="1259"/>
      <c r="NDS32" s="1259"/>
      <c r="NDT32" s="1259"/>
      <c r="NDU32" s="1259"/>
      <c r="NDV32" s="1259"/>
      <c r="NDW32" s="1259"/>
      <c r="NDX32" s="1259"/>
      <c r="NDY32" s="1259"/>
      <c r="NDZ32" s="1259"/>
      <c r="NEA32" s="1259"/>
      <c r="NEB32" s="1259"/>
      <c r="NEC32" s="1259"/>
      <c r="NED32" s="1259"/>
      <c r="NEE32" s="1259"/>
      <c r="NEF32" s="1259"/>
      <c r="NEG32" s="1259"/>
      <c r="NEH32" s="1259"/>
      <c r="NEI32" s="1259"/>
      <c r="NEJ32" s="1259"/>
      <c r="NEK32" s="1259"/>
      <c r="NEL32" s="1259"/>
      <c r="NEM32" s="1259"/>
      <c r="NEN32" s="1259"/>
      <c r="NEO32" s="1259"/>
      <c r="NEP32" s="1259"/>
      <c r="NEQ32" s="1259"/>
      <c r="NER32" s="1259"/>
      <c r="NES32" s="1259"/>
      <c r="NET32" s="1259"/>
      <c r="NEU32" s="1259"/>
      <c r="NEV32" s="1259"/>
      <c r="NEW32" s="1259"/>
      <c r="NEX32" s="1259"/>
      <c r="NEY32" s="1259"/>
      <c r="NEZ32" s="1259"/>
      <c r="NFA32" s="1259"/>
      <c r="NFB32" s="1259"/>
      <c r="NFC32" s="1259"/>
      <c r="NFD32" s="1259"/>
      <c r="NFE32" s="1259"/>
      <c r="NFF32" s="1259"/>
      <c r="NFG32" s="1259"/>
      <c r="NFH32" s="1259"/>
      <c r="NFI32" s="1259"/>
      <c r="NFJ32" s="1259"/>
      <c r="NFK32" s="1259"/>
      <c r="NFL32" s="1259"/>
      <c r="NFM32" s="1259"/>
      <c r="NFN32" s="1259"/>
      <c r="NFO32" s="1259"/>
      <c r="NFP32" s="1259"/>
      <c r="NFQ32" s="1259"/>
      <c r="NFR32" s="1259"/>
      <c r="NFS32" s="1259"/>
      <c r="NFT32" s="1259"/>
      <c r="NFU32" s="1259"/>
      <c r="NFV32" s="1259"/>
      <c r="NFW32" s="1259"/>
      <c r="NFX32" s="1259"/>
      <c r="NFY32" s="1259"/>
      <c r="NFZ32" s="1259"/>
      <c r="NGA32" s="1259"/>
      <c r="NGB32" s="1259"/>
      <c r="NGC32" s="1259"/>
      <c r="NGD32" s="1259"/>
      <c r="NGE32" s="1259"/>
      <c r="NGF32" s="1259"/>
      <c r="NGG32" s="1259"/>
      <c r="NGH32" s="1259"/>
      <c r="NGI32" s="1259"/>
      <c r="NGJ32" s="1259"/>
      <c r="NGK32" s="1259"/>
      <c r="NGL32" s="1259"/>
      <c r="NGM32" s="1259"/>
      <c r="NGN32" s="1259"/>
      <c r="NGO32" s="1259"/>
      <c r="NGP32" s="1259"/>
      <c r="NGQ32" s="1259"/>
      <c r="NGR32" s="1259"/>
      <c r="NGS32" s="1259"/>
      <c r="NGT32" s="1259"/>
      <c r="NGU32" s="1259"/>
      <c r="NGV32" s="1259"/>
      <c r="NGW32" s="1259"/>
      <c r="NGX32" s="1259"/>
      <c r="NGY32" s="1259"/>
      <c r="NGZ32" s="1259"/>
      <c r="NHA32" s="1259"/>
      <c r="NHB32" s="1259"/>
      <c r="NHC32" s="1259"/>
      <c r="NHD32" s="1259"/>
      <c r="NHE32" s="1259"/>
      <c r="NHF32" s="1259"/>
      <c r="NHG32" s="1259"/>
      <c r="NHH32" s="1259"/>
      <c r="NHI32" s="1259"/>
      <c r="NHJ32" s="1259"/>
      <c r="NHK32" s="1259"/>
      <c r="NHL32" s="1259"/>
      <c r="NHM32" s="1259"/>
      <c r="NHN32" s="1259"/>
      <c r="NHO32" s="1259"/>
      <c r="NHP32" s="1259"/>
      <c r="NHQ32" s="1259"/>
      <c r="NHR32" s="1259"/>
      <c r="NHS32" s="1259"/>
      <c r="NHT32" s="1259"/>
      <c r="NHU32" s="1259"/>
      <c r="NHV32" s="1259"/>
      <c r="NHW32" s="1259"/>
      <c r="NHX32" s="1259"/>
      <c r="NHY32" s="1259"/>
      <c r="NHZ32" s="1259"/>
      <c r="NIA32" s="1259"/>
      <c r="NIB32" s="1259"/>
      <c r="NIC32" s="1259"/>
      <c r="NID32" s="1259"/>
      <c r="NIE32" s="1259"/>
      <c r="NIF32" s="1259"/>
      <c r="NIG32" s="1259"/>
      <c r="NIH32" s="1259"/>
      <c r="NII32" s="1259"/>
      <c r="NIJ32" s="1259"/>
      <c r="NIK32" s="1259"/>
      <c r="NIL32" s="1259"/>
      <c r="NIM32" s="1259"/>
      <c r="NIN32" s="1259"/>
      <c r="NIO32" s="1259"/>
      <c r="NIP32" s="1259"/>
      <c r="NIQ32" s="1259"/>
      <c r="NIR32" s="1259"/>
      <c r="NIS32" s="1259"/>
      <c r="NIT32" s="1259"/>
      <c r="NIU32" s="1259"/>
      <c r="NIV32" s="1259"/>
      <c r="NIW32" s="1259"/>
      <c r="NIX32" s="1259"/>
      <c r="NIY32" s="1259"/>
      <c r="NIZ32" s="1259"/>
      <c r="NJA32" s="1259"/>
      <c r="NJB32" s="1259"/>
      <c r="NJC32" s="1259"/>
      <c r="NJD32" s="1259"/>
      <c r="NJE32" s="1259"/>
      <c r="NJF32" s="1259"/>
      <c r="NJG32" s="1259"/>
      <c r="NJH32" s="1259"/>
      <c r="NJI32" s="1259"/>
      <c r="NJJ32" s="1259"/>
      <c r="NJK32" s="1259"/>
      <c r="NJL32" s="1259"/>
      <c r="NJM32" s="1259"/>
      <c r="NJN32" s="1259"/>
      <c r="NJO32" s="1259"/>
      <c r="NJP32" s="1259"/>
      <c r="NJQ32" s="1259"/>
      <c r="NJR32" s="1259"/>
      <c r="NJS32" s="1259"/>
      <c r="NJT32" s="1259"/>
      <c r="NJU32" s="1259"/>
      <c r="NJV32" s="1259"/>
      <c r="NJW32" s="1259"/>
      <c r="NJX32" s="1259"/>
      <c r="NJY32" s="1259"/>
      <c r="NJZ32" s="1259"/>
      <c r="NKA32" s="1259"/>
      <c r="NKB32" s="1259"/>
      <c r="NKC32" s="1259"/>
      <c r="NKD32" s="1259"/>
      <c r="NKE32" s="1259"/>
      <c r="NKF32" s="1259"/>
      <c r="NKG32" s="1259"/>
      <c r="NKH32" s="1259"/>
      <c r="NKI32" s="1259"/>
      <c r="NKJ32" s="1259"/>
      <c r="NKK32" s="1259"/>
      <c r="NKL32" s="1259"/>
      <c r="NKM32" s="1259"/>
      <c r="NKN32" s="1259"/>
      <c r="NKO32" s="1259"/>
      <c r="NKP32" s="1259"/>
      <c r="NKQ32" s="1259"/>
      <c r="NKR32" s="1259"/>
      <c r="NKS32" s="1259"/>
      <c r="NKT32" s="1259"/>
      <c r="NKU32" s="1259"/>
      <c r="NKV32" s="1259"/>
      <c r="NKW32" s="1259"/>
      <c r="NKX32" s="1259"/>
      <c r="NKY32" s="1259"/>
      <c r="NKZ32" s="1259"/>
      <c r="NLA32" s="1259"/>
      <c r="NLB32" s="1259"/>
      <c r="NLC32" s="1259"/>
      <c r="NLD32" s="1259"/>
      <c r="NLE32" s="1259"/>
      <c r="NLF32" s="1259"/>
      <c r="NLG32" s="1259"/>
      <c r="NLH32" s="1259"/>
      <c r="NLI32" s="1259"/>
      <c r="NLJ32" s="1259"/>
      <c r="NLK32" s="1259"/>
      <c r="NLL32" s="1259"/>
      <c r="NLM32" s="1259"/>
      <c r="NLN32" s="1259"/>
      <c r="NLO32" s="1259"/>
      <c r="NLP32" s="1259"/>
      <c r="NLQ32" s="1259"/>
      <c r="NLR32" s="1259"/>
      <c r="NLS32" s="1259"/>
      <c r="NLT32" s="1259"/>
      <c r="NLU32" s="1259"/>
      <c r="NLV32" s="1259"/>
      <c r="NLW32" s="1259"/>
      <c r="NLX32" s="1259"/>
      <c r="NLY32" s="1259"/>
      <c r="NLZ32" s="1259"/>
      <c r="NMA32" s="1259"/>
      <c r="NMB32" s="1259"/>
      <c r="NMC32" s="1259"/>
      <c r="NMD32" s="1259"/>
      <c r="NME32" s="1259"/>
      <c r="NMF32" s="1259"/>
      <c r="NMG32" s="1259"/>
      <c r="NMH32" s="1259"/>
      <c r="NMI32" s="1259"/>
      <c r="NMJ32" s="1259"/>
      <c r="NMK32" s="1259"/>
      <c r="NML32" s="1259"/>
      <c r="NMM32" s="1259"/>
      <c r="NMN32" s="1259"/>
      <c r="NMO32" s="1259"/>
      <c r="NMP32" s="1259"/>
      <c r="NMQ32" s="1259"/>
      <c r="NMR32" s="1259"/>
      <c r="NMS32" s="1259"/>
      <c r="NMT32" s="1259"/>
      <c r="NMU32" s="1259"/>
      <c r="NMV32" s="1259"/>
      <c r="NMW32" s="1259"/>
      <c r="NMX32" s="1259"/>
      <c r="NMY32" s="1259"/>
      <c r="NMZ32" s="1259"/>
      <c r="NNA32" s="1259"/>
      <c r="NNB32" s="1259"/>
      <c r="NNC32" s="1259"/>
      <c r="NND32" s="1259"/>
      <c r="NNE32" s="1259"/>
      <c r="NNF32" s="1259"/>
      <c r="NNG32" s="1259"/>
      <c r="NNH32" s="1259"/>
      <c r="NNI32" s="1259"/>
      <c r="NNJ32" s="1259"/>
      <c r="NNK32" s="1259"/>
      <c r="NNL32" s="1259"/>
      <c r="NNM32" s="1259"/>
      <c r="NNN32" s="1259"/>
      <c r="NNO32" s="1259"/>
      <c r="NNP32" s="1259"/>
      <c r="NNQ32" s="1259"/>
      <c r="NNR32" s="1259"/>
      <c r="NNS32" s="1259"/>
      <c r="NNT32" s="1259"/>
      <c r="NNU32" s="1259"/>
      <c r="NNV32" s="1259"/>
      <c r="NNW32" s="1259"/>
      <c r="NNX32" s="1259"/>
      <c r="NNY32" s="1259"/>
      <c r="NNZ32" s="1259"/>
      <c r="NOA32" s="1259"/>
      <c r="NOB32" s="1259"/>
      <c r="NOC32" s="1259"/>
      <c r="NOD32" s="1259"/>
      <c r="NOE32" s="1259"/>
      <c r="NOF32" s="1259"/>
      <c r="NOG32" s="1259"/>
      <c r="NOH32" s="1259"/>
      <c r="NOI32" s="1259"/>
      <c r="NOJ32" s="1259"/>
      <c r="NOK32" s="1259"/>
      <c r="NOL32" s="1259"/>
      <c r="NOM32" s="1259"/>
      <c r="NON32" s="1259"/>
      <c r="NOO32" s="1259"/>
      <c r="NOP32" s="1259"/>
      <c r="NOQ32" s="1259"/>
      <c r="NOR32" s="1259"/>
      <c r="NOS32" s="1259"/>
      <c r="NOT32" s="1259"/>
      <c r="NOU32" s="1259"/>
      <c r="NOV32" s="1259"/>
      <c r="NOW32" s="1259"/>
      <c r="NOX32" s="1259"/>
      <c r="NOY32" s="1259"/>
      <c r="NOZ32" s="1259"/>
      <c r="NPA32" s="1259"/>
      <c r="NPB32" s="1259"/>
      <c r="NPC32" s="1259"/>
      <c r="NPD32" s="1259"/>
      <c r="NPE32" s="1259"/>
      <c r="NPF32" s="1259"/>
      <c r="NPG32" s="1259"/>
      <c r="NPH32" s="1259"/>
      <c r="NPI32" s="1259"/>
      <c r="NPJ32" s="1259"/>
      <c r="NPK32" s="1259"/>
      <c r="NPL32" s="1259"/>
      <c r="NPM32" s="1259"/>
      <c r="NPN32" s="1259"/>
      <c r="NPO32" s="1259"/>
      <c r="NPP32" s="1259"/>
      <c r="NPQ32" s="1259"/>
      <c r="NPR32" s="1259"/>
      <c r="NPS32" s="1259"/>
      <c r="NPT32" s="1259"/>
      <c r="NPU32" s="1259"/>
      <c r="NPV32" s="1259"/>
      <c r="NPW32" s="1259"/>
      <c r="NPX32" s="1259"/>
      <c r="NPY32" s="1259"/>
      <c r="NPZ32" s="1259"/>
      <c r="NQA32" s="1259"/>
      <c r="NQB32" s="1259"/>
      <c r="NQC32" s="1259"/>
      <c r="NQD32" s="1259"/>
      <c r="NQE32" s="1259"/>
      <c r="NQF32" s="1259"/>
      <c r="NQG32" s="1259"/>
      <c r="NQH32" s="1259"/>
      <c r="NQI32" s="1259"/>
      <c r="NQJ32" s="1259"/>
      <c r="NQK32" s="1259"/>
      <c r="NQL32" s="1259"/>
      <c r="NQM32" s="1259"/>
      <c r="NQN32" s="1259"/>
      <c r="NQO32" s="1259"/>
      <c r="NQP32" s="1259"/>
      <c r="NQQ32" s="1259"/>
      <c r="NQR32" s="1259"/>
      <c r="NQS32" s="1259"/>
      <c r="NQT32" s="1259"/>
      <c r="NQU32" s="1259"/>
      <c r="NQV32" s="1259"/>
      <c r="NQW32" s="1259"/>
      <c r="NQX32" s="1259"/>
      <c r="NQY32" s="1259"/>
      <c r="NQZ32" s="1259"/>
      <c r="NRA32" s="1259"/>
      <c r="NRB32" s="1259"/>
      <c r="NRC32" s="1259"/>
      <c r="NRD32" s="1259"/>
      <c r="NRE32" s="1259"/>
      <c r="NRF32" s="1259"/>
      <c r="NRG32" s="1259"/>
      <c r="NRH32" s="1259"/>
      <c r="NRI32" s="1259"/>
      <c r="NRJ32" s="1259"/>
      <c r="NRK32" s="1259"/>
      <c r="NRL32" s="1259"/>
      <c r="NRM32" s="1259"/>
      <c r="NRN32" s="1259"/>
      <c r="NRO32" s="1259"/>
      <c r="NRP32" s="1259"/>
      <c r="NRQ32" s="1259"/>
      <c r="NRR32" s="1259"/>
      <c r="NRS32" s="1259"/>
      <c r="NRT32" s="1259"/>
      <c r="NRU32" s="1259"/>
      <c r="NRV32" s="1259"/>
      <c r="NRW32" s="1259"/>
      <c r="NRX32" s="1259"/>
      <c r="NRY32" s="1259"/>
      <c r="NRZ32" s="1259"/>
      <c r="NSA32" s="1259"/>
      <c r="NSB32" s="1259"/>
      <c r="NSC32" s="1259"/>
      <c r="NSD32" s="1259"/>
      <c r="NSE32" s="1259"/>
      <c r="NSF32" s="1259"/>
      <c r="NSG32" s="1259"/>
      <c r="NSH32" s="1259"/>
      <c r="NSI32" s="1259"/>
      <c r="NSJ32" s="1259"/>
      <c r="NSK32" s="1259"/>
      <c r="NSL32" s="1259"/>
      <c r="NSM32" s="1259"/>
      <c r="NSN32" s="1259"/>
      <c r="NSO32" s="1259"/>
      <c r="NSP32" s="1259"/>
      <c r="NSQ32" s="1259"/>
      <c r="NSR32" s="1259"/>
      <c r="NSS32" s="1259"/>
      <c r="NST32" s="1259"/>
      <c r="NSU32" s="1259"/>
      <c r="NSV32" s="1259"/>
      <c r="NSW32" s="1259"/>
      <c r="NSX32" s="1259"/>
      <c r="NSY32" s="1259"/>
      <c r="NSZ32" s="1259"/>
      <c r="NTA32" s="1259"/>
      <c r="NTB32" s="1259"/>
      <c r="NTC32" s="1259"/>
      <c r="NTD32" s="1259"/>
      <c r="NTE32" s="1259"/>
      <c r="NTF32" s="1259"/>
      <c r="NTG32" s="1259"/>
      <c r="NTH32" s="1259"/>
      <c r="NTI32" s="1259"/>
      <c r="NTJ32" s="1259"/>
      <c r="NTK32" s="1259"/>
      <c r="NTL32" s="1259"/>
      <c r="NTM32" s="1259"/>
      <c r="NTN32" s="1259"/>
      <c r="NTO32" s="1259"/>
      <c r="NTP32" s="1259"/>
      <c r="NTQ32" s="1259"/>
      <c r="NTR32" s="1259"/>
      <c r="NTS32" s="1259"/>
      <c r="NTT32" s="1259"/>
      <c r="NTU32" s="1259"/>
      <c r="NTV32" s="1259"/>
      <c r="NTW32" s="1259"/>
      <c r="NTX32" s="1259"/>
      <c r="NTY32" s="1259"/>
      <c r="NTZ32" s="1259"/>
      <c r="NUA32" s="1259"/>
      <c r="NUB32" s="1259"/>
      <c r="NUC32" s="1259"/>
      <c r="NUD32" s="1259"/>
      <c r="NUE32" s="1259"/>
      <c r="NUF32" s="1259"/>
      <c r="NUG32" s="1259"/>
      <c r="NUH32" s="1259"/>
      <c r="NUI32" s="1259"/>
      <c r="NUJ32" s="1259"/>
      <c r="NUK32" s="1259"/>
      <c r="NUL32" s="1259"/>
      <c r="NUM32" s="1259"/>
      <c r="NUN32" s="1259"/>
      <c r="NUO32" s="1259"/>
      <c r="NUP32" s="1259"/>
      <c r="NUQ32" s="1259"/>
      <c r="NUR32" s="1259"/>
      <c r="NUS32" s="1259"/>
      <c r="NUT32" s="1259"/>
      <c r="NUU32" s="1259"/>
      <c r="NUV32" s="1259"/>
      <c r="NUW32" s="1259"/>
      <c r="NUX32" s="1259"/>
      <c r="NUY32" s="1259"/>
      <c r="NUZ32" s="1259"/>
      <c r="NVA32" s="1259"/>
      <c r="NVB32" s="1259"/>
      <c r="NVC32" s="1259"/>
      <c r="NVD32" s="1259"/>
      <c r="NVE32" s="1259"/>
      <c r="NVF32" s="1259"/>
      <c r="NVG32" s="1259"/>
      <c r="NVH32" s="1259"/>
      <c r="NVI32" s="1259"/>
      <c r="NVJ32" s="1259"/>
      <c r="NVK32" s="1259"/>
      <c r="NVL32" s="1259"/>
      <c r="NVM32" s="1259"/>
      <c r="NVN32" s="1259"/>
      <c r="NVO32" s="1259"/>
      <c r="NVP32" s="1259"/>
      <c r="NVQ32" s="1259"/>
      <c r="NVR32" s="1259"/>
      <c r="NVS32" s="1259"/>
      <c r="NVT32" s="1259"/>
      <c r="NVU32" s="1259"/>
      <c r="NVV32" s="1259"/>
      <c r="NVW32" s="1259"/>
      <c r="NVX32" s="1259"/>
      <c r="NVY32" s="1259"/>
      <c r="NVZ32" s="1259"/>
      <c r="NWA32" s="1259"/>
      <c r="NWB32" s="1259"/>
      <c r="NWC32" s="1259"/>
      <c r="NWD32" s="1259"/>
      <c r="NWE32" s="1259"/>
      <c r="NWF32" s="1259"/>
      <c r="NWG32" s="1259"/>
      <c r="NWH32" s="1259"/>
      <c r="NWI32" s="1259"/>
      <c r="NWJ32" s="1259"/>
      <c r="NWK32" s="1259"/>
      <c r="NWL32" s="1259"/>
      <c r="NWM32" s="1259"/>
      <c r="NWN32" s="1259"/>
      <c r="NWO32" s="1259"/>
      <c r="NWP32" s="1259"/>
      <c r="NWQ32" s="1259"/>
      <c r="NWR32" s="1259"/>
      <c r="NWS32" s="1259"/>
      <c r="NWT32" s="1259"/>
      <c r="NWU32" s="1259"/>
      <c r="NWV32" s="1259"/>
      <c r="NWW32" s="1259"/>
      <c r="NWX32" s="1259"/>
      <c r="NWY32" s="1259"/>
      <c r="NWZ32" s="1259"/>
      <c r="NXA32" s="1259"/>
      <c r="NXB32" s="1259"/>
      <c r="NXC32" s="1259"/>
      <c r="NXD32" s="1259"/>
      <c r="NXE32" s="1259"/>
      <c r="NXF32" s="1259"/>
      <c r="NXG32" s="1259"/>
      <c r="NXH32" s="1259"/>
      <c r="NXI32" s="1259"/>
      <c r="NXJ32" s="1259"/>
      <c r="NXK32" s="1259"/>
      <c r="NXL32" s="1259"/>
      <c r="NXM32" s="1259"/>
      <c r="NXN32" s="1259"/>
      <c r="NXO32" s="1259"/>
      <c r="NXP32" s="1259"/>
      <c r="NXQ32" s="1259"/>
      <c r="NXR32" s="1259"/>
      <c r="NXS32" s="1259"/>
      <c r="NXT32" s="1259"/>
      <c r="NXU32" s="1259"/>
      <c r="NXV32" s="1259"/>
      <c r="NXW32" s="1259"/>
      <c r="NXX32" s="1259"/>
      <c r="NXY32" s="1259"/>
      <c r="NXZ32" s="1259"/>
      <c r="NYA32" s="1259"/>
      <c r="NYB32" s="1259"/>
      <c r="NYC32" s="1259"/>
      <c r="NYD32" s="1259"/>
      <c r="NYE32" s="1259"/>
      <c r="NYF32" s="1259"/>
      <c r="NYG32" s="1259"/>
      <c r="NYH32" s="1259"/>
      <c r="NYI32" s="1259"/>
      <c r="NYJ32" s="1259"/>
      <c r="NYK32" s="1259"/>
      <c r="NYL32" s="1259"/>
      <c r="NYM32" s="1259"/>
      <c r="NYN32" s="1259"/>
      <c r="NYO32" s="1259"/>
      <c r="NYP32" s="1259"/>
      <c r="NYQ32" s="1259"/>
      <c r="NYR32" s="1259"/>
      <c r="NYS32" s="1259"/>
      <c r="NYT32" s="1259"/>
      <c r="NYU32" s="1259"/>
      <c r="NYV32" s="1259"/>
      <c r="NYW32" s="1259"/>
      <c r="NYX32" s="1259"/>
      <c r="NYY32" s="1259"/>
      <c r="NYZ32" s="1259"/>
      <c r="NZA32" s="1259"/>
      <c r="NZB32" s="1259"/>
      <c r="NZC32" s="1259"/>
      <c r="NZD32" s="1259"/>
      <c r="NZE32" s="1259"/>
      <c r="NZF32" s="1259"/>
      <c r="NZG32" s="1259"/>
      <c r="NZH32" s="1259"/>
      <c r="NZI32" s="1259"/>
      <c r="NZJ32" s="1259"/>
      <c r="NZK32" s="1259"/>
      <c r="NZL32" s="1259"/>
      <c r="NZM32" s="1259"/>
      <c r="NZN32" s="1259"/>
      <c r="NZO32" s="1259"/>
      <c r="NZP32" s="1259"/>
      <c r="NZQ32" s="1259"/>
      <c r="NZR32" s="1259"/>
      <c r="NZS32" s="1259"/>
      <c r="NZT32" s="1259"/>
      <c r="NZU32" s="1259"/>
      <c r="NZV32" s="1259"/>
      <c r="NZW32" s="1259"/>
      <c r="NZX32" s="1259"/>
      <c r="NZY32" s="1259"/>
      <c r="NZZ32" s="1259"/>
      <c r="OAA32" s="1259"/>
      <c r="OAB32" s="1259"/>
      <c r="OAC32" s="1259"/>
      <c r="OAD32" s="1259"/>
      <c r="OAE32" s="1259"/>
      <c r="OAF32" s="1259"/>
      <c r="OAG32" s="1259"/>
      <c r="OAH32" s="1259"/>
      <c r="OAI32" s="1259"/>
      <c r="OAJ32" s="1259"/>
      <c r="OAK32" s="1259"/>
      <c r="OAL32" s="1259"/>
      <c r="OAM32" s="1259"/>
      <c r="OAN32" s="1259"/>
      <c r="OAO32" s="1259"/>
      <c r="OAP32" s="1259"/>
      <c r="OAQ32" s="1259"/>
      <c r="OAR32" s="1259"/>
      <c r="OAS32" s="1259"/>
      <c r="OAT32" s="1259"/>
      <c r="OAU32" s="1259"/>
      <c r="OAV32" s="1259"/>
      <c r="OAW32" s="1259"/>
      <c r="OAX32" s="1259"/>
      <c r="OAY32" s="1259"/>
      <c r="OAZ32" s="1259"/>
      <c r="OBA32" s="1259"/>
      <c r="OBB32" s="1259"/>
      <c r="OBC32" s="1259"/>
      <c r="OBD32" s="1259"/>
      <c r="OBE32" s="1259"/>
      <c r="OBF32" s="1259"/>
      <c r="OBG32" s="1259"/>
      <c r="OBH32" s="1259"/>
      <c r="OBI32" s="1259"/>
      <c r="OBJ32" s="1259"/>
      <c r="OBK32" s="1259"/>
      <c r="OBL32" s="1259"/>
      <c r="OBM32" s="1259"/>
      <c r="OBN32" s="1259"/>
      <c r="OBO32" s="1259"/>
      <c r="OBP32" s="1259"/>
      <c r="OBQ32" s="1259"/>
      <c r="OBR32" s="1259"/>
      <c r="OBS32" s="1259"/>
      <c r="OBT32" s="1259"/>
      <c r="OBU32" s="1259"/>
      <c r="OBV32" s="1259"/>
      <c r="OBW32" s="1259"/>
      <c r="OBX32" s="1259"/>
      <c r="OBY32" s="1259"/>
      <c r="OBZ32" s="1259"/>
      <c r="OCA32" s="1259"/>
      <c r="OCB32" s="1259"/>
      <c r="OCC32" s="1259"/>
      <c r="OCD32" s="1259"/>
      <c r="OCE32" s="1259"/>
      <c r="OCF32" s="1259"/>
      <c r="OCG32" s="1259"/>
      <c r="OCH32" s="1259"/>
      <c r="OCI32" s="1259"/>
      <c r="OCJ32" s="1259"/>
      <c r="OCK32" s="1259"/>
      <c r="OCL32" s="1259"/>
      <c r="OCM32" s="1259"/>
      <c r="OCN32" s="1259"/>
      <c r="OCO32" s="1259"/>
      <c r="OCP32" s="1259"/>
      <c r="OCQ32" s="1259"/>
      <c r="OCR32" s="1259"/>
      <c r="OCS32" s="1259"/>
      <c r="OCT32" s="1259"/>
      <c r="OCU32" s="1259"/>
      <c r="OCV32" s="1259"/>
      <c r="OCW32" s="1259"/>
      <c r="OCX32" s="1259"/>
      <c r="OCY32" s="1259"/>
      <c r="OCZ32" s="1259"/>
      <c r="ODA32" s="1259"/>
      <c r="ODB32" s="1259"/>
      <c r="ODC32" s="1259"/>
      <c r="ODD32" s="1259"/>
      <c r="ODE32" s="1259"/>
      <c r="ODF32" s="1259"/>
      <c r="ODG32" s="1259"/>
      <c r="ODH32" s="1259"/>
      <c r="ODI32" s="1259"/>
      <c r="ODJ32" s="1259"/>
      <c r="ODK32" s="1259"/>
      <c r="ODL32" s="1259"/>
      <c r="ODM32" s="1259"/>
      <c r="ODN32" s="1259"/>
      <c r="ODO32" s="1259"/>
      <c r="ODP32" s="1259"/>
      <c r="ODQ32" s="1259"/>
      <c r="ODR32" s="1259"/>
      <c r="ODS32" s="1259"/>
      <c r="ODT32" s="1259"/>
      <c r="ODU32" s="1259"/>
      <c r="ODV32" s="1259"/>
      <c r="ODW32" s="1259"/>
      <c r="ODX32" s="1259"/>
      <c r="ODY32" s="1259"/>
      <c r="ODZ32" s="1259"/>
      <c r="OEA32" s="1259"/>
      <c r="OEB32" s="1259"/>
      <c r="OEC32" s="1259"/>
      <c r="OED32" s="1259"/>
      <c r="OEE32" s="1259"/>
      <c r="OEF32" s="1259"/>
      <c r="OEG32" s="1259"/>
      <c r="OEH32" s="1259"/>
      <c r="OEI32" s="1259"/>
      <c r="OEJ32" s="1259"/>
      <c r="OEK32" s="1259"/>
      <c r="OEL32" s="1259"/>
      <c r="OEM32" s="1259"/>
      <c r="OEN32" s="1259"/>
      <c r="OEO32" s="1259"/>
      <c r="OEP32" s="1259"/>
      <c r="OEQ32" s="1259"/>
      <c r="OER32" s="1259"/>
      <c r="OES32" s="1259"/>
      <c r="OET32" s="1259"/>
      <c r="OEU32" s="1259"/>
      <c r="OEV32" s="1259"/>
      <c r="OEW32" s="1259"/>
      <c r="OEX32" s="1259"/>
      <c r="OEY32" s="1259"/>
      <c r="OEZ32" s="1259"/>
      <c r="OFA32" s="1259"/>
      <c r="OFB32" s="1259"/>
      <c r="OFC32" s="1259"/>
      <c r="OFD32" s="1259"/>
      <c r="OFE32" s="1259"/>
      <c r="OFF32" s="1259"/>
      <c r="OFG32" s="1259"/>
      <c r="OFH32" s="1259"/>
      <c r="OFI32" s="1259"/>
      <c r="OFJ32" s="1259"/>
      <c r="OFK32" s="1259"/>
      <c r="OFL32" s="1259"/>
      <c r="OFM32" s="1259"/>
      <c r="OFN32" s="1259"/>
      <c r="OFO32" s="1259"/>
      <c r="OFP32" s="1259"/>
      <c r="OFQ32" s="1259"/>
      <c r="OFR32" s="1259"/>
      <c r="OFS32" s="1259"/>
      <c r="OFT32" s="1259"/>
      <c r="OFU32" s="1259"/>
      <c r="OFV32" s="1259"/>
      <c r="OFW32" s="1259"/>
      <c r="OFX32" s="1259"/>
      <c r="OFY32" s="1259"/>
      <c r="OFZ32" s="1259"/>
      <c r="OGA32" s="1259"/>
      <c r="OGB32" s="1259"/>
      <c r="OGC32" s="1259"/>
      <c r="OGD32" s="1259"/>
      <c r="OGE32" s="1259"/>
      <c r="OGF32" s="1259"/>
      <c r="OGG32" s="1259"/>
      <c r="OGH32" s="1259"/>
      <c r="OGI32" s="1259"/>
      <c r="OGJ32" s="1259"/>
      <c r="OGK32" s="1259"/>
      <c r="OGL32" s="1259"/>
      <c r="OGM32" s="1259"/>
      <c r="OGN32" s="1259"/>
      <c r="OGO32" s="1259"/>
      <c r="OGP32" s="1259"/>
      <c r="OGQ32" s="1259"/>
      <c r="OGR32" s="1259"/>
      <c r="OGS32" s="1259"/>
      <c r="OGT32" s="1259"/>
      <c r="OGU32" s="1259"/>
      <c r="OGV32" s="1259"/>
      <c r="OGW32" s="1259"/>
      <c r="OGX32" s="1259"/>
      <c r="OGY32" s="1259"/>
      <c r="OGZ32" s="1259"/>
      <c r="OHA32" s="1259"/>
      <c r="OHB32" s="1259"/>
      <c r="OHC32" s="1259"/>
      <c r="OHD32" s="1259"/>
      <c r="OHE32" s="1259"/>
      <c r="OHF32" s="1259"/>
      <c r="OHG32" s="1259"/>
      <c r="OHH32" s="1259"/>
      <c r="OHI32" s="1259"/>
      <c r="OHJ32" s="1259"/>
      <c r="OHK32" s="1259"/>
      <c r="OHL32" s="1259"/>
      <c r="OHM32" s="1259"/>
      <c r="OHN32" s="1259"/>
      <c r="OHO32" s="1259"/>
      <c r="OHP32" s="1259"/>
      <c r="OHQ32" s="1259"/>
      <c r="OHR32" s="1259"/>
      <c r="OHS32" s="1259"/>
      <c r="OHT32" s="1259"/>
      <c r="OHU32" s="1259"/>
      <c r="OHV32" s="1259"/>
      <c r="OHW32" s="1259"/>
      <c r="OHX32" s="1259"/>
      <c r="OHY32" s="1259"/>
      <c r="OHZ32" s="1259"/>
      <c r="OIA32" s="1259"/>
      <c r="OIB32" s="1259"/>
      <c r="OIC32" s="1259"/>
      <c r="OID32" s="1259"/>
      <c r="OIE32" s="1259"/>
      <c r="OIF32" s="1259"/>
      <c r="OIG32" s="1259"/>
      <c r="OIH32" s="1259"/>
      <c r="OII32" s="1259"/>
      <c r="OIJ32" s="1259"/>
      <c r="OIK32" s="1259"/>
      <c r="OIL32" s="1259"/>
      <c r="OIM32" s="1259"/>
      <c r="OIN32" s="1259"/>
      <c r="OIO32" s="1259"/>
      <c r="OIP32" s="1259"/>
      <c r="OIQ32" s="1259"/>
      <c r="OIR32" s="1259"/>
      <c r="OIS32" s="1259"/>
      <c r="OIT32" s="1259"/>
      <c r="OIU32" s="1259"/>
      <c r="OIV32" s="1259"/>
      <c r="OIW32" s="1259"/>
      <c r="OIX32" s="1259"/>
      <c r="OIY32" s="1259"/>
      <c r="OIZ32" s="1259"/>
      <c r="OJA32" s="1259"/>
      <c r="OJB32" s="1259"/>
      <c r="OJC32" s="1259"/>
      <c r="OJD32" s="1259"/>
      <c r="OJE32" s="1259"/>
      <c r="OJF32" s="1259"/>
      <c r="OJG32" s="1259"/>
      <c r="OJH32" s="1259"/>
      <c r="OJI32" s="1259"/>
      <c r="OJJ32" s="1259"/>
      <c r="OJK32" s="1259"/>
      <c r="OJL32" s="1259"/>
      <c r="OJM32" s="1259"/>
      <c r="OJN32" s="1259"/>
      <c r="OJO32" s="1259"/>
      <c r="OJP32" s="1259"/>
      <c r="OJQ32" s="1259"/>
      <c r="OJR32" s="1259"/>
      <c r="OJS32" s="1259"/>
      <c r="OJT32" s="1259"/>
      <c r="OJU32" s="1259"/>
      <c r="OJV32" s="1259"/>
      <c r="OJW32" s="1259"/>
      <c r="OJX32" s="1259"/>
      <c r="OJY32" s="1259"/>
      <c r="OJZ32" s="1259"/>
      <c r="OKA32" s="1259"/>
      <c r="OKB32" s="1259"/>
      <c r="OKC32" s="1259"/>
      <c r="OKD32" s="1259"/>
      <c r="OKE32" s="1259"/>
      <c r="OKF32" s="1259"/>
      <c r="OKG32" s="1259"/>
      <c r="OKH32" s="1259"/>
      <c r="OKI32" s="1259"/>
      <c r="OKJ32" s="1259"/>
      <c r="OKK32" s="1259"/>
      <c r="OKL32" s="1259"/>
      <c r="OKM32" s="1259"/>
      <c r="OKN32" s="1259"/>
      <c r="OKO32" s="1259"/>
      <c r="OKP32" s="1259"/>
      <c r="OKQ32" s="1259"/>
      <c r="OKR32" s="1259"/>
      <c r="OKS32" s="1259"/>
      <c r="OKT32" s="1259"/>
      <c r="OKU32" s="1259"/>
      <c r="OKV32" s="1259"/>
      <c r="OKW32" s="1259"/>
      <c r="OKX32" s="1259"/>
      <c r="OKY32" s="1259"/>
      <c r="OKZ32" s="1259"/>
      <c r="OLA32" s="1259"/>
      <c r="OLB32" s="1259"/>
      <c r="OLC32" s="1259"/>
      <c r="OLD32" s="1259"/>
      <c r="OLE32" s="1259"/>
      <c r="OLF32" s="1259"/>
      <c r="OLG32" s="1259"/>
      <c r="OLH32" s="1259"/>
      <c r="OLI32" s="1259"/>
      <c r="OLJ32" s="1259"/>
      <c r="OLK32" s="1259"/>
      <c r="OLL32" s="1259"/>
      <c r="OLM32" s="1259"/>
      <c r="OLN32" s="1259"/>
      <c r="OLO32" s="1259"/>
      <c r="OLP32" s="1259"/>
      <c r="OLQ32" s="1259"/>
      <c r="OLR32" s="1259"/>
      <c r="OLS32" s="1259"/>
      <c r="OLT32" s="1259"/>
      <c r="OLU32" s="1259"/>
      <c r="OLV32" s="1259"/>
      <c r="OLW32" s="1259"/>
      <c r="OLX32" s="1259"/>
      <c r="OLY32" s="1259"/>
      <c r="OLZ32" s="1259"/>
      <c r="OMA32" s="1259"/>
      <c r="OMB32" s="1259"/>
      <c r="OMC32" s="1259"/>
      <c r="OMD32" s="1259"/>
      <c r="OME32" s="1259"/>
      <c r="OMF32" s="1259"/>
      <c r="OMG32" s="1259"/>
      <c r="OMH32" s="1259"/>
      <c r="OMI32" s="1259"/>
      <c r="OMJ32" s="1259"/>
      <c r="OMK32" s="1259"/>
      <c r="OML32" s="1259"/>
      <c r="OMM32" s="1259"/>
      <c r="OMN32" s="1259"/>
      <c r="OMO32" s="1259"/>
      <c r="OMP32" s="1259"/>
      <c r="OMQ32" s="1259"/>
      <c r="OMR32" s="1259"/>
      <c r="OMS32" s="1259"/>
      <c r="OMT32" s="1259"/>
      <c r="OMU32" s="1259"/>
      <c r="OMV32" s="1259"/>
      <c r="OMW32" s="1259"/>
      <c r="OMX32" s="1259"/>
      <c r="OMY32" s="1259"/>
      <c r="OMZ32" s="1259"/>
      <c r="ONA32" s="1259"/>
      <c r="ONB32" s="1259"/>
      <c r="ONC32" s="1259"/>
      <c r="OND32" s="1259"/>
      <c r="ONE32" s="1259"/>
      <c r="ONF32" s="1259"/>
      <c r="ONG32" s="1259"/>
      <c r="ONH32" s="1259"/>
      <c r="ONI32" s="1259"/>
      <c r="ONJ32" s="1259"/>
      <c r="ONK32" s="1259"/>
      <c r="ONL32" s="1259"/>
      <c r="ONM32" s="1259"/>
      <c r="ONN32" s="1259"/>
      <c r="ONO32" s="1259"/>
      <c r="ONP32" s="1259"/>
      <c r="ONQ32" s="1259"/>
      <c r="ONR32" s="1259"/>
      <c r="ONS32" s="1259"/>
      <c r="ONT32" s="1259"/>
      <c r="ONU32" s="1259"/>
      <c r="ONV32" s="1259"/>
      <c r="ONW32" s="1259"/>
      <c r="ONX32" s="1259"/>
      <c r="ONY32" s="1259"/>
      <c r="ONZ32" s="1259"/>
      <c r="OOA32" s="1259"/>
      <c r="OOB32" s="1259"/>
      <c r="OOC32" s="1259"/>
      <c r="OOD32" s="1259"/>
      <c r="OOE32" s="1259"/>
      <c r="OOF32" s="1259"/>
      <c r="OOG32" s="1259"/>
      <c r="OOH32" s="1259"/>
      <c r="OOI32" s="1259"/>
      <c r="OOJ32" s="1259"/>
      <c r="OOK32" s="1259"/>
      <c r="OOL32" s="1259"/>
      <c r="OOM32" s="1259"/>
      <c r="OON32" s="1259"/>
      <c r="OOO32" s="1259"/>
      <c r="OOP32" s="1259"/>
      <c r="OOQ32" s="1259"/>
      <c r="OOR32" s="1259"/>
      <c r="OOS32" s="1259"/>
      <c r="OOT32" s="1259"/>
      <c r="OOU32" s="1259"/>
      <c r="OOV32" s="1259"/>
      <c r="OOW32" s="1259"/>
      <c r="OOX32" s="1259"/>
      <c r="OOY32" s="1259"/>
      <c r="OOZ32" s="1259"/>
      <c r="OPA32" s="1259"/>
      <c r="OPB32" s="1259"/>
      <c r="OPC32" s="1259"/>
      <c r="OPD32" s="1259"/>
      <c r="OPE32" s="1259"/>
      <c r="OPF32" s="1259"/>
      <c r="OPG32" s="1259"/>
      <c r="OPH32" s="1259"/>
      <c r="OPI32" s="1259"/>
      <c r="OPJ32" s="1259"/>
      <c r="OPK32" s="1259"/>
      <c r="OPL32" s="1259"/>
      <c r="OPM32" s="1259"/>
      <c r="OPN32" s="1259"/>
      <c r="OPO32" s="1259"/>
      <c r="OPP32" s="1259"/>
      <c r="OPQ32" s="1259"/>
      <c r="OPR32" s="1259"/>
      <c r="OPS32" s="1259"/>
      <c r="OPT32" s="1259"/>
      <c r="OPU32" s="1259"/>
      <c r="OPV32" s="1259"/>
      <c r="OPW32" s="1259"/>
      <c r="OPX32" s="1259"/>
      <c r="OPY32" s="1259"/>
      <c r="OPZ32" s="1259"/>
      <c r="OQA32" s="1259"/>
      <c r="OQB32" s="1259"/>
      <c r="OQC32" s="1259"/>
      <c r="OQD32" s="1259"/>
      <c r="OQE32" s="1259"/>
      <c r="OQF32" s="1259"/>
      <c r="OQG32" s="1259"/>
      <c r="OQH32" s="1259"/>
      <c r="OQI32" s="1259"/>
      <c r="OQJ32" s="1259"/>
      <c r="OQK32" s="1259"/>
      <c r="OQL32" s="1259"/>
      <c r="OQM32" s="1259"/>
      <c r="OQN32" s="1259"/>
      <c r="OQO32" s="1259"/>
      <c r="OQP32" s="1259"/>
      <c r="OQQ32" s="1259"/>
      <c r="OQR32" s="1259"/>
      <c r="OQS32" s="1259"/>
      <c r="OQT32" s="1259"/>
      <c r="OQU32" s="1259"/>
      <c r="OQV32" s="1259"/>
      <c r="OQW32" s="1259"/>
      <c r="OQX32" s="1259"/>
      <c r="OQY32" s="1259"/>
      <c r="OQZ32" s="1259"/>
      <c r="ORA32" s="1259"/>
      <c r="ORB32" s="1259"/>
      <c r="ORC32" s="1259"/>
      <c r="ORD32" s="1259"/>
      <c r="ORE32" s="1259"/>
      <c r="ORF32" s="1259"/>
      <c r="ORG32" s="1259"/>
      <c r="ORH32" s="1259"/>
      <c r="ORI32" s="1259"/>
      <c r="ORJ32" s="1259"/>
      <c r="ORK32" s="1259"/>
      <c r="ORL32" s="1259"/>
      <c r="ORM32" s="1259"/>
      <c r="ORN32" s="1259"/>
      <c r="ORO32" s="1259"/>
      <c r="ORP32" s="1259"/>
      <c r="ORQ32" s="1259"/>
      <c r="ORR32" s="1259"/>
      <c r="ORS32" s="1259"/>
      <c r="ORT32" s="1259"/>
      <c r="ORU32" s="1259"/>
      <c r="ORV32" s="1259"/>
      <c r="ORW32" s="1259"/>
      <c r="ORX32" s="1259"/>
      <c r="ORY32" s="1259"/>
      <c r="ORZ32" s="1259"/>
      <c r="OSA32" s="1259"/>
      <c r="OSB32" s="1259"/>
      <c r="OSC32" s="1259"/>
      <c r="OSD32" s="1259"/>
      <c r="OSE32" s="1259"/>
      <c r="OSF32" s="1259"/>
      <c r="OSG32" s="1259"/>
      <c r="OSH32" s="1259"/>
      <c r="OSI32" s="1259"/>
      <c r="OSJ32" s="1259"/>
      <c r="OSK32" s="1259"/>
      <c r="OSL32" s="1259"/>
      <c r="OSM32" s="1259"/>
      <c r="OSN32" s="1259"/>
      <c r="OSO32" s="1259"/>
      <c r="OSP32" s="1259"/>
      <c r="OSQ32" s="1259"/>
      <c r="OSR32" s="1259"/>
      <c r="OSS32" s="1259"/>
      <c r="OST32" s="1259"/>
      <c r="OSU32" s="1259"/>
      <c r="OSV32" s="1259"/>
      <c r="OSW32" s="1259"/>
      <c r="OSX32" s="1259"/>
      <c r="OSY32" s="1259"/>
      <c r="OSZ32" s="1259"/>
      <c r="OTA32" s="1259"/>
      <c r="OTB32" s="1259"/>
      <c r="OTC32" s="1259"/>
      <c r="OTD32" s="1259"/>
      <c r="OTE32" s="1259"/>
      <c r="OTF32" s="1259"/>
      <c r="OTG32" s="1259"/>
      <c r="OTH32" s="1259"/>
      <c r="OTI32" s="1259"/>
      <c r="OTJ32" s="1259"/>
      <c r="OTK32" s="1259"/>
      <c r="OTL32" s="1259"/>
      <c r="OTM32" s="1259"/>
      <c r="OTN32" s="1259"/>
      <c r="OTO32" s="1259"/>
      <c r="OTP32" s="1259"/>
      <c r="OTQ32" s="1259"/>
      <c r="OTR32" s="1259"/>
      <c r="OTS32" s="1259"/>
      <c r="OTT32" s="1259"/>
      <c r="OTU32" s="1259"/>
      <c r="OTV32" s="1259"/>
      <c r="OTW32" s="1259"/>
      <c r="OTX32" s="1259"/>
      <c r="OTY32" s="1259"/>
      <c r="OTZ32" s="1259"/>
      <c r="OUA32" s="1259"/>
      <c r="OUB32" s="1259"/>
      <c r="OUC32" s="1259"/>
      <c r="OUD32" s="1259"/>
      <c r="OUE32" s="1259"/>
      <c r="OUF32" s="1259"/>
      <c r="OUG32" s="1259"/>
      <c r="OUH32" s="1259"/>
      <c r="OUI32" s="1259"/>
      <c r="OUJ32" s="1259"/>
      <c r="OUK32" s="1259"/>
      <c r="OUL32" s="1259"/>
      <c r="OUM32" s="1259"/>
      <c r="OUN32" s="1259"/>
      <c r="OUO32" s="1259"/>
      <c r="OUP32" s="1259"/>
      <c r="OUQ32" s="1259"/>
      <c r="OUR32" s="1259"/>
      <c r="OUS32" s="1259"/>
      <c r="OUT32" s="1259"/>
      <c r="OUU32" s="1259"/>
      <c r="OUV32" s="1259"/>
      <c r="OUW32" s="1259"/>
      <c r="OUX32" s="1259"/>
      <c r="OUY32" s="1259"/>
      <c r="OUZ32" s="1259"/>
      <c r="OVA32" s="1259"/>
      <c r="OVB32" s="1259"/>
      <c r="OVC32" s="1259"/>
      <c r="OVD32" s="1259"/>
      <c r="OVE32" s="1259"/>
      <c r="OVF32" s="1259"/>
      <c r="OVG32" s="1259"/>
      <c r="OVH32" s="1259"/>
      <c r="OVI32" s="1259"/>
      <c r="OVJ32" s="1259"/>
      <c r="OVK32" s="1259"/>
      <c r="OVL32" s="1259"/>
      <c r="OVM32" s="1259"/>
      <c r="OVN32" s="1259"/>
      <c r="OVO32" s="1259"/>
      <c r="OVP32" s="1259"/>
      <c r="OVQ32" s="1259"/>
      <c r="OVR32" s="1259"/>
      <c r="OVS32" s="1259"/>
      <c r="OVT32" s="1259"/>
      <c r="OVU32" s="1259"/>
      <c r="OVV32" s="1259"/>
      <c r="OVW32" s="1259"/>
      <c r="OVX32" s="1259"/>
      <c r="OVY32" s="1259"/>
      <c r="OVZ32" s="1259"/>
      <c r="OWA32" s="1259"/>
      <c r="OWB32" s="1259"/>
      <c r="OWC32" s="1259"/>
      <c r="OWD32" s="1259"/>
      <c r="OWE32" s="1259"/>
      <c r="OWF32" s="1259"/>
      <c r="OWG32" s="1259"/>
      <c r="OWH32" s="1259"/>
      <c r="OWI32" s="1259"/>
      <c r="OWJ32" s="1259"/>
      <c r="OWK32" s="1259"/>
      <c r="OWL32" s="1259"/>
      <c r="OWM32" s="1259"/>
      <c r="OWN32" s="1259"/>
      <c r="OWO32" s="1259"/>
      <c r="OWP32" s="1259"/>
      <c r="OWQ32" s="1259"/>
      <c r="OWR32" s="1259"/>
      <c r="OWS32" s="1259"/>
      <c r="OWT32" s="1259"/>
      <c r="OWU32" s="1259"/>
      <c r="OWV32" s="1259"/>
      <c r="OWW32" s="1259"/>
      <c r="OWX32" s="1259"/>
      <c r="OWY32" s="1259"/>
      <c r="OWZ32" s="1259"/>
      <c r="OXA32" s="1259"/>
      <c r="OXB32" s="1259"/>
      <c r="OXC32" s="1259"/>
      <c r="OXD32" s="1259"/>
      <c r="OXE32" s="1259"/>
      <c r="OXF32" s="1259"/>
      <c r="OXG32" s="1259"/>
      <c r="OXH32" s="1259"/>
      <c r="OXI32" s="1259"/>
      <c r="OXJ32" s="1259"/>
      <c r="OXK32" s="1259"/>
      <c r="OXL32" s="1259"/>
      <c r="OXM32" s="1259"/>
      <c r="OXN32" s="1259"/>
      <c r="OXO32" s="1259"/>
      <c r="OXP32" s="1259"/>
      <c r="OXQ32" s="1259"/>
      <c r="OXR32" s="1259"/>
      <c r="OXS32" s="1259"/>
      <c r="OXT32" s="1259"/>
      <c r="OXU32" s="1259"/>
      <c r="OXV32" s="1259"/>
      <c r="OXW32" s="1259"/>
      <c r="OXX32" s="1259"/>
      <c r="OXY32" s="1259"/>
      <c r="OXZ32" s="1259"/>
      <c r="OYA32" s="1259"/>
      <c r="OYB32" s="1259"/>
      <c r="OYC32" s="1259"/>
      <c r="OYD32" s="1259"/>
      <c r="OYE32" s="1259"/>
      <c r="OYF32" s="1259"/>
      <c r="OYG32" s="1259"/>
      <c r="OYH32" s="1259"/>
      <c r="OYI32" s="1259"/>
      <c r="OYJ32" s="1259"/>
      <c r="OYK32" s="1259"/>
      <c r="OYL32" s="1259"/>
      <c r="OYM32" s="1259"/>
      <c r="OYN32" s="1259"/>
      <c r="OYO32" s="1259"/>
      <c r="OYP32" s="1259"/>
      <c r="OYQ32" s="1259"/>
      <c r="OYR32" s="1259"/>
      <c r="OYS32" s="1259"/>
      <c r="OYT32" s="1259"/>
      <c r="OYU32" s="1259"/>
      <c r="OYV32" s="1259"/>
      <c r="OYW32" s="1259"/>
      <c r="OYX32" s="1259"/>
      <c r="OYY32" s="1259"/>
      <c r="OYZ32" s="1259"/>
      <c r="OZA32" s="1259"/>
      <c r="OZB32" s="1259"/>
      <c r="OZC32" s="1259"/>
      <c r="OZD32" s="1259"/>
      <c r="OZE32" s="1259"/>
      <c r="OZF32" s="1259"/>
      <c r="OZG32" s="1259"/>
      <c r="OZH32" s="1259"/>
      <c r="OZI32" s="1259"/>
      <c r="OZJ32" s="1259"/>
      <c r="OZK32" s="1259"/>
      <c r="OZL32" s="1259"/>
      <c r="OZM32" s="1259"/>
      <c r="OZN32" s="1259"/>
      <c r="OZO32" s="1259"/>
      <c r="OZP32" s="1259"/>
      <c r="OZQ32" s="1259"/>
      <c r="OZR32" s="1259"/>
      <c r="OZS32" s="1259"/>
      <c r="OZT32" s="1259"/>
      <c r="OZU32" s="1259"/>
      <c r="OZV32" s="1259"/>
      <c r="OZW32" s="1259"/>
      <c r="OZX32" s="1259"/>
      <c r="OZY32" s="1259"/>
      <c r="OZZ32" s="1259"/>
      <c r="PAA32" s="1259"/>
      <c r="PAB32" s="1259"/>
      <c r="PAC32" s="1259"/>
      <c r="PAD32" s="1259"/>
      <c r="PAE32" s="1259"/>
      <c r="PAF32" s="1259"/>
      <c r="PAG32" s="1259"/>
      <c r="PAH32" s="1259"/>
      <c r="PAI32" s="1259"/>
      <c r="PAJ32" s="1259"/>
      <c r="PAK32" s="1259"/>
      <c r="PAL32" s="1259"/>
      <c r="PAM32" s="1259"/>
      <c r="PAN32" s="1259"/>
      <c r="PAO32" s="1259"/>
      <c r="PAP32" s="1259"/>
      <c r="PAQ32" s="1259"/>
      <c r="PAR32" s="1259"/>
      <c r="PAS32" s="1259"/>
      <c r="PAT32" s="1259"/>
      <c r="PAU32" s="1259"/>
      <c r="PAV32" s="1259"/>
      <c r="PAW32" s="1259"/>
      <c r="PAX32" s="1259"/>
      <c r="PAY32" s="1259"/>
      <c r="PAZ32" s="1259"/>
      <c r="PBA32" s="1259"/>
      <c r="PBB32" s="1259"/>
      <c r="PBC32" s="1259"/>
      <c r="PBD32" s="1259"/>
      <c r="PBE32" s="1259"/>
      <c r="PBF32" s="1259"/>
      <c r="PBG32" s="1259"/>
      <c r="PBH32" s="1259"/>
      <c r="PBI32" s="1259"/>
      <c r="PBJ32" s="1259"/>
      <c r="PBK32" s="1259"/>
      <c r="PBL32" s="1259"/>
      <c r="PBM32" s="1259"/>
      <c r="PBN32" s="1259"/>
      <c r="PBO32" s="1259"/>
      <c r="PBP32" s="1259"/>
      <c r="PBQ32" s="1259"/>
      <c r="PBR32" s="1259"/>
      <c r="PBS32" s="1259"/>
      <c r="PBT32" s="1259"/>
      <c r="PBU32" s="1259"/>
      <c r="PBV32" s="1259"/>
      <c r="PBW32" s="1259"/>
      <c r="PBX32" s="1259"/>
      <c r="PBY32" s="1259"/>
      <c r="PBZ32" s="1259"/>
      <c r="PCA32" s="1259"/>
      <c r="PCB32" s="1259"/>
      <c r="PCC32" s="1259"/>
      <c r="PCD32" s="1259"/>
      <c r="PCE32" s="1259"/>
      <c r="PCF32" s="1259"/>
      <c r="PCG32" s="1259"/>
      <c r="PCH32" s="1259"/>
      <c r="PCI32" s="1259"/>
      <c r="PCJ32" s="1259"/>
      <c r="PCK32" s="1259"/>
      <c r="PCL32" s="1259"/>
      <c r="PCM32" s="1259"/>
      <c r="PCN32" s="1259"/>
      <c r="PCO32" s="1259"/>
      <c r="PCP32" s="1259"/>
      <c r="PCQ32" s="1259"/>
      <c r="PCR32" s="1259"/>
      <c r="PCS32" s="1259"/>
      <c r="PCT32" s="1259"/>
      <c r="PCU32" s="1259"/>
      <c r="PCV32" s="1259"/>
      <c r="PCW32" s="1259"/>
      <c r="PCX32" s="1259"/>
      <c r="PCY32" s="1259"/>
      <c r="PCZ32" s="1259"/>
      <c r="PDA32" s="1259"/>
      <c r="PDB32" s="1259"/>
      <c r="PDC32" s="1259"/>
      <c r="PDD32" s="1259"/>
      <c r="PDE32" s="1259"/>
      <c r="PDF32" s="1259"/>
      <c r="PDG32" s="1259"/>
      <c r="PDH32" s="1259"/>
      <c r="PDI32" s="1259"/>
      <c r="PDJ32" s="1259"/>
      <c r="PDK32" s="1259"/>
      <c r="PDL32" s="1259"/>
      <c r="PDM32" s="1259"/>
      <c r="PDN32" s="1259"/>
      <c r="PDO32" s="1259"/>
      <c r="PDP32" s="1259"/>
      <c r="PDQ32" s="1259"/>
      <c r="PDR32" s="1259"/>
      <c r="PDS32" s="1259"/>
      <c r="PDT32" s="1259"/>
      <c r="PDU32" s="1259"/>
      <c r="PDV32" s="1259"/>
      <c r="PDW32" s="1259"/>
      <c r="PDX32" s="1259"/>
      <c r="PDY32" s="1259"/>
      <c r="PDZ32" s="1259"/>
      <c r="PEA32" s="1259"/>
      <c r="PEB32" s="1259"/>
      <c r="PEC32" s="1259"/>
      <c r="PED32" s="1259"/>
      <c r="PEE32" s="1259"/>
      <c r="PEF32" s="1259"/>
      <c r="PEG32" s="1259"/>
      <c r="PEH32" s="1259"/>
      <c r="PEI32" s="1259"/>
      <c r="PEJ32" s="1259"/>
      <c r="PEK32" s="1259"/>
      <c r="PEL32" s="1259"/>
      <c r="PEM32" s="1259"/>
      <c r="PEN32" s="1259"/>
      <c r="PEO32" s="1259"/>
      <c r="PEP32" s="1259"/>
      <c r="PEQ32" s="1259"/>
      <c r="PER32" s="1259"/>
      <c r="PES32" s="1259"/>
      <c r="PET32" s="1259"/>
      <c r="PEU32" s="1259"/>
      <c r="PEV32" s="1259"/>
      <c r="PEW32" s="1259"/>
      <c r="PEX32" s="1259"/>
      <c r="PEY32" s="1259"/>
      <c r="PEZ32" s="1259"/>
      <c r="PFA32" s="1259"/>
      <c r="PFB32" s="1259"/>
      <c r="PFC32" s="1259"/>
      <c r="PFD32" s="1259"/>
      <c r="PFE32" s="1259"/>
      <c r="PFF32" s="1259"/>
      <c r="PFG32" s="1259"/>
      <c r="PFH32" s="1259"/>
      <c r="PFI32" s="1259"/>
      <c r="PFJ32" s="1259"/>
      <c r="PFK32" s="1259"/>
      <c r="PFL32" s="1259"/>
      <c r="PFM32" s="1259"/>
      <c r="PFN32" s="1259"/>
      <c r="PFO32" s="1259"/>
      <c r="PFP32" s="1259"/>
      <c r="PFQ32" s="1259"/>
      <c r="PFR32" s="1259"/>
      <c r="PFS32" s="1259"/>
      <c r="PFT32" s="1259"/>
      <c r="PFU32" s="1259"/>
      <c r="PFV32" s="1259"/>
      <c r="PFW32" s="1259"/>
      <c r="PFX32" s="1259"/>
      <c r="PFY32" s="1259"/>
      <c r="PFZ32" s="1259"/>
      <c r="PGA32" s="1259"/>
      <c r="PGB32" s="1259"/>
      <c r="PGC32" s="1259"/>
      <c r="PGD32" s="1259"/>
      <c r="PGE32" s="1259"/>
      <c r="PGF32" s="1259"/>
      <c r="PGG32" s="1259"/>
      <c r="PGH32" s="1259"/>
      <c r="PGI32" s="1259"/>
      <c r="PGJ32" s="1259"/>
      <c r="PGK32" s="1259"/>
      <c r="PGL32" s="1259"/>
      <c r="PGM32" s="1259"/>
      <c r="PGN32" s="1259"/>
      <c r="PGO32" s="1259"/>
      <c r="PGP32" s="1259"/>
      <c r="PGQ32" s="1259"/>
      <c r="PGR32" s="1259"/>
      <c r="PGS32" s="1259"/>
      <c r="PGT32" s="1259"/>
      <c r="PGU32" s="1259"/>
      <c r="PGV32" s="1259"/>
      <c r="PGW32" s="1259"/>
      <c r="PGX32" s="1259"/>
      <c r="PGY32" s="1259"/>
      <c r="PGZ32" s="1259"/>
      <c r="PHA32" s="1259"/>
      <c r="PHB32" s="1259"/>
      <c r="PHC32" s="1259"/>
      <c r="PHD32" s="1259"/>
      <c r="PHE32" s="1259"/>
      <c r="PHF32" s="1259"/>
      <c r="PHG32" s="1259"/>
      <c r="PHH32" s="1259"/>
      <c r="PHI32" s="1259"/>
      <c r="PHJ32" s="1259"/>
      <c r="PHK32" s="1259"/>
      <c r="PHL32" s="1259"/>
      <c r="PHM32" s="1259"/>
      <c r="PHN32" s="1259"/>
      <c r="PHO32" s="1259"/>
      <c r="PHP32" s="1259"/>
      <c r="PHQ32" s="1259"/>
      <c r="PHR32" s="1259"/>
      <c r="PHS32" s="1259"/>
      <c r="PHT32" s="1259"/>
      <c r="PHU32" s="1259"/>
      <c r="PHV32" s="1259"/>
      <c r="PHW32" s="1259"/>
      <c r="PHX32" s="1259"/>
      <c r="PHY32" s="1259"/>
      <c r="PHZ32" s="1259"/>
      <c r="PIA32" s="1259"/>
      <c r="PIB32" s="1259"/>
      <c r="PIC32" s="1259"/>
      <c r="PID32" s="1259"/>
      <c r="PIE32" s="1259"/>
      <c r="PIF32" s="1259"/>
      <c r="PIG32" s="1259"/>
      <c r="PIH32" s="1259"/>
      <c r="PII32" s="1259"/>
      <c r="PIJ32" s="1259"/>
      <c r="PIK32" s="1259"/>
      <c r="PIL32" s="1259"/>
      <c r="PIM32" s="1259"/>
      <c r="PIN32" s="1259"/>
      <c r="PIO32" s="1259"/>
      <c r="PIP32" s="1259"/>
      <c r="PIQ32" s="1259"/>
      <c r="PIR32" s="1259"/>
      <c r="PIS32" s="1259"/>
      <c r="PIT32" s="1259"/>
      <c r="PIU32" s="1259"/>
      <c r="PIV32" s="1259"/>
      <c r="PIW32" s="1259"/>
      <c r="PIX32" s="1259"/>
      <c r="PIY32" s="1259"/>
      <c r="PIZ32" s="1259"/>
      <c r="PJA32" s="1259"/>
      <c r="PJB32" s="1259"/>
      <c r="PJC32" s="1259"/>
      <c r="PJD32" s="1259"/>
      <c r="PJE32" s="1259"/>
      <c r="PJF32" s="1259"/>
      <c r="PJG32" s="1259"/>
      <c r="PJH32" s="1259"/>
      <c r="PJI32" s="1259"/>
      <c r="PJJ32" s="1259"/>
      <c r="PJK32" s="1259"/>
      <c r="PJL32" s="1259"/>
      <c r="PJM32" s="1259"/>
      <c r="PJN32" s="1259"/>
      <c r="PJO32" s="1259"/>
      <c r="PJP32" s="1259"/>
      <c r="PJQ32" s="1259"/>
      <c r="PJR32" s="1259"/>
      <c r="PJS32" s="1259"/>
      <c r="PJT32" s="1259"/>
      <c r="PJU32" s="1259"/>
      <c r="PJV32" s="1259"/>
      <c r="PJW32" s="1259"/>
      <c r="PJX32" s="1259"/>
      <c r="PJY32" s="1259"/>
      <c r="PJZ32" s="1259"/>
      <c r="PKA32" s="1259"/>
      <c r="PKB32" s="1259"/>
      <c r="PKC32" s="1259"/>
      <c r="PKD32" s="1259"/>
      <c r="PKE32" s="1259"/>
      <c r="PKF32" s="1259"/>
      <c r="PKG32" s="1259"/>
      <c r="PKH32" s="1259"/>
      <c r="PKI32" s="1259"/>
      <c r="PKJ32" s="1259"/>
      <c r="PKK32" s="1259"/>
      <c r="PKL32" s="1259"/>
      <c r="PKM32" s="1259"/>
      <c r="PKN32" s="1259"/>
      <c r="PKO32" s="1259"/>
      <c r="PKP32" s="1259"/>
      <c r="PKQ32" s="1259"/>
      <c r="PKR32" s="1259"/>
      <c r="PKS32" s="1259"/>
      <c r="PKT32" s="1259"/>
      <c r="PKU32" s="1259"/>
      <c r="PKV32" s="1259"/>
      <c r="PKW32" s="1259"/>
      <c r="PKX32" s="1259"/>
      <c r="PKY32" s="1259"/>
      <c r="PKZ32" s="1259"/>
      <c r="PLA32" s="1259"/>
      <c r="PLB32" s="1259"/>
      <c r="PLC32" s="1259"/>
      <c r="PLD32" s="1259"/>
      <c r="PLE32" s="1259"/>
      <c r="PLF32" s="1259"/>
      <c r="PLG32" s="1259"/>
      <c r="PLH32" s="1259"/>
      <c r="PLI32" s="1259"/>
      <c r="PLJ32" s="1259"/>
      <c r="PLK32" s="1259"/>
      <c r="PLL32" s="1259"/>
      <c r="PLM32" s="1259"/>
      <c r="PLN32" s="1259"/>
      <c r="PLO32" s="1259"/>
      <c r="PLP32" s="1259"/>
      <c r="PLQ32" s="1259"/>
      <c r="PLR32" s="1259"/>
      <c r="PLS32" s="1259"/>
      <c r="PLT32" s="1259"/>
      <c r="PLU32" s="1259"/>
      <c r="PLV32" s="1259"/>
      <c r="PLW32" s="1259"/>
      <c r="PLX32" s="1259"/>
      <c r="PLY32" s="1259"/>
      <c r="PLZ32" s="1259"/>
      <c r="PMA32" s="1259"/>
      <c r="PMB32" s="1259"/>
      <c r="PMC32" s="1259"/>
      <c r="PMD32" s="1259"/>
      <c r="PME32" s="1259"/>
      <c r="PMF32" s="1259"/>
      <c r="PMG32" s="1259"/>
      <c r="PMH32" s="1259"/>
      <c r="PMI32" s="1259"/>
      <c r="PMJ32" s="1259"/>
      <c r="PMK32" s="1259"/>
      <c r="PML32" s="1259"/>
      <c r="PMM32" s="1259"/>
      <c r="PMN32" s="1259"/>
      <c r="PMO32" s="1259"/>
      <c r="PMP32" s="1259"/>
      <c r="PMQ32" s="1259"/>
      <c r="PMR32" s="1259"/>
      <c r="PMS32" s="1259"/>
      <c r="PMT32" s="1259"/>
      <c r="PMU32" s="1259"/>
      <c r="PMV32" s="1259"/>
      <c r="PMW32" s="1259"/>
      <c r="PMX32" s="1259"/>
      <c r="PMY32" s="1259"/>
      <c r="PMZ32" s="1259"/>
      <c r="PNA32" s="1259"/>
      <c r="PNB32" s="1259"/>
      <c r="PNC32" s="1259"/>
      <c r="PND32" s="1259"/>
      <c r="PNE32" s="1259"/>
      <c r="PNF32" s="1259"/>
      <c r="PNG32" s="1259"/>
      <c r="PNH32" s="1259"/>
      <c r="PNI32" s="1259"/>
      <c r="PNJ32" s="1259"/>
      <c r="PNK32" s="1259"/>
      <c r="PNL32" s="1259"/>
      <c r="PNM32" s="1259"/>
      <c r="PNN32" s="1259"/>
      <c r="PNO32" s="1259"/>
      <c r="PNP32" s="1259"/>
      <c r="PNQ32" s="1259"/>
      <c r="PNR32" s="1259"/>
      <c r="PNS32" s="1259"/>
      <c r="PNT32" s="1259"/>
      <c r="PNU32" s="1259"/>
      <c r="PNV32" s="1259"/>
      <c r="PNW32" s="1259"/>
      <c r="PNX32" s="1259"/>
      <c r="PNY32" s="1259"/>
      <c r="PNZ32" s="1259"/>
      <c r="POA32" s="1259"/>
      <c r="POB32" s="1259"/>
      <c r="POC32" s="1259"/>
      <c r="POD32" s="1259"/>
      <c r="POE32" s="1259"/>
      <c r="POF32" s="1259"/>
      <c r="POG32" s="1259"/>
      <c r="POH32" s="1259"/>
      <c r="POI32" s="1259"/>
      <c r="POJ32" s="1259"/>
      <c r="POK32" s="1259"/>
      <c r="POL32" s="1259"/>
      <c r="POM32" s="1259"/>
      <c r="PON32" s="1259"/>
      <c r="POO32" s="1259"/>
      <c r="POP32" s="1259"/>
      <c r="POQ32" s="1259"/>
      <c r="POR32" s="1259"/>
      <c r="POS32" s="1259"/>
      <c r="POT32" s="1259"/>
      <c r="POU32" s="1259"/>
      <c r="POV32" s="1259"/>
      <c r="POW32" s="1259"/>
      <c r="POX32" s="1259"/>
      <c r="POY32" s="1259"/>
      <c r="POZ32" s="1259"/>
      <c r="PPA32" s="1259"/>
      <c r="PPB32" s="1259"/>
      <c r="PPC32" s="1259"/>
      <c r="PPD32" s="1259"/>
      <c r="PPE32" s="1259"/>
      <c r="PPF32" s="1259"/>
      <c r="PPG32" s="1259"/>
      <c r="PPH32" s="1259"/>
      <c r="PPI32" s="1259"/>
      <c r="PPJ32" s="1259"/>
      <c r="PPK32" s="1259"/>
      <c r="PPL32" s="1259"/>
      <c r="PPM32" s="1259"/>
      <c r="PPN32" s="1259"/>
      <c r="PPO32" s="1259"/>
      <c r="PPP32" s="1259"/>
      <c r="PPQ32" s="1259"/>
      <c r="PPR32" s="1259"/>
      <c r="PPS32" s="1259"/>
      <c r="PPT32" s="1259"/>
      <c r="PPU32" s="1259"/>
      <c r="PPV32" s="1259"/>
      <c r="PPW32" s="1259"/>
      <c r="PPX32" s="1259"/>
      <c r="PPY32" s="1259"/>
      <c r="PPZ32" s="1259"/>
      <c r="PQA32" s="1259"/>
      <c r="PQB32" s="1259"/>
      <c r="PQC32" s="1259"/>
      <c r="PQD32" s="1259"/>
      <c r="PQE32" s="1259"/>
      <c r="PQF32" s="1259"/>
      <c r="PQG32" s="1259"/>
      <c r="PQH32" s="1259"/>
      <c r="PQI32" s="1259"/>
      <c r="PQJ32" s="1259"/>
      <c r="PQK32" s="1259"/>
      <c r="PQL32" s="1259"/>
      <c r="PQM32" s="1259"/>
      <c r="PQN32" s="1259"/>
      <c r="PQO32" s="1259"/>
      <c r="PQP32" s="1259"/>
      <c r="PQQ32" s="1259"/>
      <c r="PQR32" s="1259"/>
      <c r="PQS32" s="1259"/>
      <c r="PQT32" s="1259"/>
      <c r="PQU32" s="1259"/>
      <c r="PQV32" s="1259"/>
      <c r="PQW32" s="1259"/>
      <c r="PQX32" s="1259"/>
      <c r="PQY32" s="1259"/>
      <c r="PQZ32" s="1259"/>
      <c r="PRA32" s="1259"/>
      <c r="PRB32" s="1259"/>
      <c r="PRC32" s="1259"/>
      <c r="PRD32" s="1259"/>
      <c r="PRE32" s="1259"/>
      <c r="PRF32" s="1259"/>
      <c r="PRG32" s="1259"/>
      <c r="PRH32" s="1259"/>
      <c r="PRI32" s="1259"/>
      <c r="PRJ32" s="1259"/>
      <c r="PRK32" s="1259"/>
      <c r="PRL32" s="1259"/>
      <c r="PRM32" s="1259"/>
      <c r="PRN32" s="1259"/>
      <c r="PRO32" s="1259"/>
      <c r="PRP32" s="1259"/>
      <c r="PRQ32" s="1259"/>
      <c r="PRR32" s="1259"/>
      <c r="PRS32" s="1259"/>
      <c r="PRT32" s="1259"/>
      <c r="PRU32" s="1259"/>
      <c r="PRV32" s="1259"/>
      <c r="PRW32" s="1259"/>
      <c r="PRX32" s="1259"/>
      <c r="PRY32" s="1259"/>
      <c r="PRZ32" s="1259"/>
      <c r="PSA32" s="1259"/>
      <c r="PSB32" s="1259"/>
      <c r="PSC32" s="1259"/>
      <c r="PSD32" s="1259"/>
      <c r="PSE32" s="1259"/>
      <c r="PSF32" s="1259"/>
      <c r="PSG32" s="1259"/>
      <c r="PSH32" s="1259"/>
      <c r="PSI32" s="1259"/>
      <c r="PSJ32" s="1259"/>
      <c r="PSK32" s="1259"/>
      <c r="PSL32" s="1259"/>
      <c r="PSM32" s="1259"/>
      <c r="PSN32" s="1259"/>
      <c r="PSO32" s="1259"/>
      <c r="PSP32" s="1259"/>
      <c r="PSQ32" s="1259"/>
      <c r="PSR32" s="1259"/>
      <c r="PSS32" s="1259"/>
      <c r="PST32" s="1259"/>
      <c r="PSU32" s="1259"/>
      <c r="PSV32" s="1259"/>
      <c r="PSW32" s="1259"/>
      <c r="PSX32" s="1259"/>
      <c r="PSY32" s="1259"/>
      <c r="PSZ32" s="1259"/>
      <c r="PTA32" s="1259"/>
      <c r="PTB32" s="1259"/>
      <c r="PTC32" s="1259"/>
      <c r="PTD32" s="1259"/>
      <c r="PTE32" s="1259"/>
      <c r="PTF32" s="1259"/>
      <c r="PTG32" s="1259"/>
      <c r="PTH32" s="1259"/>
      <c r="PTI32" s="1259"/>
      <c r="PTJ32" s="1259"/>
      <c r="PTK32" s="1259"/>
      <c r="PTL32" s="1259"/>
      <c r="PTM32" s="1259"/>
      <c r="PTN32" s="1259"/>
      <c r="PTO32" s="1259"/>
      <c r="PTP32" s="1259"/>
      <c r="PTQ32" s="1259"/>
      <c r="PTR32" s="1259"/>
      <c r="PTS32" s="1259"/>
      <c r="PTT32" s="1259"/>
      <c r="PTU32" s="1259"/>
      <c r="PTV32" s="1259"/>
      <c r="PTW32" s="1259"/>
      <c r="PTX32" s="1259"/>
      <c r="PTY32" s="1259"/>
      <c r="PTZ32" s="1259"/>
      <c r="PUA32" s="1259"/>
      <c r="PUB32" s="1259"/>
      <c r="PUC32" s="1259"/>
      <c r="PUD32" s="1259"/>
      <c r="PUE32" s="1259"/>
      <c r="PUF32" s="1259"/>
      <c r="PUG32" s="1259"/>
      <c r="PUH32" s="1259"/>
      <c r="PUI32" s="1259"/>
      <c r="PUJ32" s="1259"/>
      <c r="PUK32" s="1259"/>
      <c r="PUL32" s="1259"/>
      <c r="PUM32" s="1259"/>
      <c r="PUN32" s="1259"/>
      <c r="PUO32" s="1259"/>
      <c r="PUP32" s="1259"/>
      <c r="PUQ32" s="1259"/>
      <c r="PUR32" s="1259"/>
      <c r="PUS32" s="1259"/>
      <c r="PUT32" s="1259"/>
      <c r="PUU32" s="1259"/>
      <c r="PUV32" s="1259"/>
      <c r="PUW32" s="1259"/>
      <c r="PUX32" s="1259"/>
      <c r="PUY32" s="1259"/>
      <c r="PUZ32" s="1259"/>
      <c r="PVA32" s="1259"/>
      <c r="PVB32" s="1259"/>
      <c r="PVC32" s="1259"/>
      <c r="PVD32" s="1259"/>
      <c r="PVE32" s="1259"/>
      <c r="PVF32" s="1259"/>
      <c r="PVG32" s="1259"/>
      <c r="PVH32" s="1259"/>
      <c r="PVI32" s="1259"/>
      <c r="PVJ32" s="1259"/>
      <c r="PVK32" s="1259"/>
      <c r="PVL32" s="1259"/>
      <c r="PVM32" s="1259"/>
      <c r="PVN32" s="1259"/>
      <c r="PVO32" s="1259"/>
      <c r="PVP32" s="1259"/>
      <c r="PVQ32" s="1259"/>
      <c r="PVR32" s="1259"/>
      <c r="PVS32" s="1259"/>
      <c r="PVT32" s="1259"/>
      <c r="PVU32" s="1259"/>
      <c r="PVV32" s="1259"/>
      <c r="PVW32" s="1259"/>
      <c r="PVX32" s="1259"/>
      <c r="PVY32" s="1259"/>
      <c r="PVZ32" s="1259"/>
      <c r="PWA32" s="1259"/>
      <c r="PWB32" s="1259"/>
      <c r="PWC32" s="1259"/>
      <c r="PWD32" s="1259"/>
      <c r="PWE32" s="1259"/>
      <c r="PWF32" s="1259"/>
      <c r="PWG32" s="1259"/>
      <c r="PWH32" s="1259"/>
      <c r="PWI32" s="1259"/>
      <c r="PWJ32" s="1259"/>
      <c r="PWK32" s="1259"/>
      <c r="PWL32" s="1259"/>
      <c r="PWM32" s="1259"/>
      <c r="PWN32" s="1259"/>
      <c r="PWO32" s="1259"/>
      <c r="PWP32" s="1259"/>
      <c r="PWQ32" s="1259"/>
      <c r="PWR32" s="1259"/>
      <c r="PWS32" s="1259"/>
      <c r="PWT32" s="1259"/>
      <c r="PWU32" s="1259"/>
      <c r="PWV32" s="1259"/>
      <c r="PWW32" s="1259"/>
      <c r="PWX32" s="1259"/>
      <c r="PWY32" s="1259"/>
      <c r="PWZ32" s="1259"/>
      <c r="PXA32" s="1259"/>
      <c r="PXB32" s="1259"/>
      <c r="PXC32" s="1259"/>
      <c r="PXD32" s="1259"/>
      <c r="PXE32" s="1259"/>
      <c r="PXF32" s="1259"/>
      <c r="PXG32" s="1259"/>
      <c r="PXH32" s="1259"/>
      <c r="PXI32" s="1259"/>
      <c r="PXJ32" s="1259"/>
      <c r="PXK32" s="1259"/>
      <c r="PXL32" s="1259"/>
      <c r="PXM32" s="1259"/>
      <c r="PXN32" s="1259"/>
      <c r="PXO32" s="1259"/>
      <c r="PXP32" s="1259"/>
      <c r="PXQ32" s="1259"/>
      <c r="PXR32" s="1259"/>
      <c r="PXS32" s="1259"/>
      <c r="PXT32" s="1259"/>
      <c r="PXU32" s="1259"/>
      <c r="PXV32" s="1259"/>
      <c r="PXW32" s="1259"/>
      <c r="PXX32" s="1259"/>
      <c r="PXY32" s="1259"/>
      <c r="PXZ32" s="1259"/>
      <c r="PYA32" s="1259"/>
      <c r="PYB32" s="1259"/>
      <c r="PYC32" s="1259"/>
      <c r="PYD32" s="1259"/>
      <c r="PYE32" s="1259"/>
      <c r="PYF32" s="1259"/>
      <c r="PYG32" s="1259"/>
      <c r="PYH32" s="1259"/>
      <c r="PYI32" s="1259"/>
      <c r="PYJ32" s="1259"/>
      <c r="PYK32" s="1259"/>
      <c r="PYL32" s="1259"/>
      <c r="PYM32" s="1259"/>
      <c r="PYN32" s="1259"/>
      <c r="PYO32" s="1259"/>
      <c r="PYP32" s="1259"/>
      <c r="PYQ32" s="1259"/>
      <c r="PYR32" s="1259"/>
      <c r="PYS32" s="1259"/>
      <c r="PYT32" s="1259"/>
      <c r="PYU32" s="1259"/>
      <c r="PYV32" s="1259"/>
      <c r="PYW32" s="1259"/>
      <c r="PYX32" s="1259"/>
      <c r="PYY32" s="1259"/>
      <c r="PYZ32" s="1259"/>
      <c r="PZA32" s="1259"/>
      <c r="PZB32" s="1259"/>
      <c r="PZC32" s="1259"/>
      <c r="PZD32" s="1259"/>
      <c r="PZE32" s="1259"/>
      <c r="PZF32" s="1259"/>
      <c r="PZG32" s="1259"/>
      <c r="PZH32" s="1259"/>
      <c r="PZI32" s="1259"/>
      <c r="PZJ32" s="1259"/>
      <c r="PZK32" s="1259"/>
      <c r="PZL32" s="1259"/>
      <c r="PZM32" s="1259"/>
      <c r="PZN32" s="1259"/>
      <c r="PZO32" s="1259"/>
      <c r="PZP32" s="1259"/>
      <c r="PZQ32" s="1259"/>
      <c r="PZR32" s="1259"/>
      <c r="PZS32" s="1259"/>
      <c r="PZT32" s="1259"/>
      <c r="PZU32" s="1259"/>
      <c r="PZV32" s="1259"/>
      <c r="PZW32" s="1259"/>
      <c r="PZX32" s="1259"/>
      <c r="PZY32" s="1259"/>
      <c r="PZZ32" s="1259"/>
      <c r="QAA32" s="1259"/>
      <c r="QAB32" s="1259"/>
      <c r="QAC32" s="1259"/>
      <c r="QAD32" s="1259"/>
      <c r="QAE32" s="1259"/>
      <c r="QAF32" s="1259"/>
      <c r="QAG32" s="1259"/>
      <c r="QAH32" s="1259"/>
      <c r="QAI32" s="1259"/>
      <c r="QAJ32" s="1259"/>
      <c r="QAK32" s="1259"/>
      <c r="QAL32" s="1259"/>
      <c r="QAM32" s="1259"/>
      <c r="QAN32" s="1259"/>
      <c r="QAO32" s="1259"/>
      <c r="QAP32" s="1259"/>
      <c r="QAQ32" s="1259"/>
      <c r="QAR32" s="1259"/>
      <c r="QAS32" s="1259"/>
      <c r="QAT32" s="1259"/>
      <c r="QAU32" s="1259"/>
      <c r="QAV32" s="1259"/>
      <c r="QAW32" s="1259"/>
      <c r="QAX32" s="1259"/>
      <c r="QAY32" s="1259"/>
      <c r="QAZ32" s="1259"/>
      <c r="QBA32" s="1259"/>
      <c r="QBB32" s="1259"/>
      <c r="QBC32" s="1259"/>
      <c r="QBD32" s="1259"/>
      <c r="QBE32" s="1259"/>
      <c r="QBF32" s="1259"/>
      <c r="QBG32" s="1259"/>
      <c r="QBH32" s="1259"/>
      <c r="QBI32" s="1259"/>
      <c r="QBJ32" s="1259"/>
      <c r="QBK32" s="1259"/>
      <c r="QBL32" s="1259"/>
      <c r="QBM32" s="1259"/>
      <c r="QBN32" s="1259"/>
      <c r="QBO32" s="1259"/>
      <c r="QBP32" s="1259"/>
      <c r="QBQ32" s="1259"/>
      <c r="QBR32" s="1259"/>
      <c r="QBS32" s="1259"/>
      <c r="QBT32" s="1259"/>
      <c r="QBU32" s="1259"/>
      <c r="QBV32" s="1259"/>
      <c r="QBW32" s="1259"/>
      <c r="QBX32" s="1259"/>
      <c r="QBY32" s="1259"/>
      <c r="QBZ32" s="1259"/>
      <c r="QCA32" s="1259"/>
      <c r="QCB32" s="1259"/>
      <c r="QCC32" s="1259"/>
      <c r="QCD32" s="1259"/>
      <c r="QCE32" s="1259"/>
      <c r="QCF32" s="1259"/>
      <c r="QCG32" s="1259"/>
      <c r="QCH32" s="1259"/>
      <c r="QCI32" s="1259"/>
      <c r="QCJ32" s="1259"/>
      <c r="QCK32" s="1259"/>
      <c r="QCL32" s="1259"/>
      <c r="QCM32" s="1259"/>
      <c r="QCN32" s="1259"/>
      <c r="QCO32" s="1259"/>
      <c r="QCP32" s="1259"/>
      <c r="QCQ32" s="1259"/>
      <c r="QCR32" s="1259"/>
      <c r="QCS32" s="1259"/>
      <c r="QCT32" s="1259"/>
      <c r="QCU32" s="1259"/>
      <c r="QCV32" s="1259"/>
      <c r="QCW32" s="1259"/>
      <c r="QCX32" s="1259"/>
      <c r="QCY32" s="1259"/>
      <c r="QCZ32" s="1259"/>
      <c r="QDA32" s="1259"/>
      <c r="QDB32" s="1259"/>
      <c r="QDC32" s="1259"/>
      <c r="QDD32" s="1259"/>
      <c r="QDE32" s="1259"/>
      <c r="QDF32" s="1259"/>
      <c r="QDG32" s="1259"/>
      <c r="QDH32" s="1259"/>
      <c r="QDI32" s="1259"/>
      <c r="QDJ32" s="1259"/>
      <c r="QDK32" s="1259"/>
      <c r="QDL32" s="1259"/>
      <c r="QDM32" s="1259"/>
      <c r="QDN32" s="1259"/>
      <c r="QDO32" s="1259"/>
      <c r="QDP32" s="1259"/>
      <c r="QDQ32" s="1259"/>
      <c r="QDR32" s="1259"/>
      <c r="QDS32" s="1259"/>
      <c r="QDT32" s="1259"/>
      <c r="QDU32" s="1259"/>
      <c r="QDV32" s="1259"/>
      <c r="QDW32" s="1259"/>
      <c r="QDX32" s="1259"/>
      <c r="QDY32" s="1259"/>
      <c r="QDZ32" s="1259"/>
      <c r="QEA32" s="1259"/>
      <c r="QEB32" s="1259"/>
      <c r="QEC32" s="1259"/>
      <c r="QED32" s="1259"/>
      <c r="QEE32" s="1259"/>
      <c r="QEF32" s="1259"/>
      <c r="QEG32" s="1259"/>
      <c r="QEH32" s="1259"/>
      <c r="QEI32" s="1259"/>
      <c r="QEJ32" s="1259"/>
      <c r="QEK32" s="1259"/>
      <c r="QEL32" s="1259"/>
      <c r="QEM32" s="1259"/>
      <c r="QEN32" s="1259"/>
      <c r="QEO32" s="1259"/>
      <c r="QEP32" s="1259"/>
      <c r="QEQ32" s="1259"/>
      <c r="QER32" s="1259"/>
      <c r="QES32" s="1259"/>
      <c r="QET32" s="1259"/>
      <c r="QEU32" s="1259"/>
      <c r="QEV32" s="1259"/>
      <c r="QEW32" s="1259"/>
      <c r="QEX32" s="1259"/>
      <c r="QEY32" s="1259"/>
      <c r="QEZ32" s="1259"/>
      <c r="QFA32" s="1259"/>
      <c r="QFB32" s="1259"/>
      <c r="QFC32" s="1259"/>
      <c r="QFD32" s="1259"/>
      <c r="QFE32" s="1259"/>
      <c r="QFF32" s="1259"/>
      <c r="QFG32" s="1259"/>
      <c r="QFH32" s="1259"/>
      <c r="QFI32" s="1259"/>
      <c r="QFJ32" s="1259"/>
      <c r="QFK32" s="1259"/>
      <c r="QFL32" s="1259"/>
      <c r="QFM32" s="1259"/>
      <c r="QFN32" s="1259"/>
      <c r="QFO32" s="1259"/>
      <c r="QFP32" s="1259"/>
      <c r="QFQ32" s="1259"/>
      <c r="QFR32" s="1259"/>
      <c r="QFS32" s="1259"/>
      <c r="QFT32" s="1259"/>
      <c r="QFU32" s="1259"/>
      <c r="QFV32" s="1259"/>
      <c r="QFW32" s="1259"/>
      <c r="QFX32" s="1259"/>
      <c r="QFY32" s="1259"/>
      <c r="QFZ32" s="1259"/>
      <c r="QGA32" s="1259"/>
      <c r="QGB32" s="1259"/>
      <c r="QGC32" s="1259"/>
      <c r="QGD32" s="1259"/>
      <c r="QGE32" s="1259"/>
      <c r="QGF32" s="1259"/>
      <c r="QGG32" s="1259"/>
      <c r="QGH32" s="1259"/>
      <c r="QGI32" s="1259"/>
      <c r="QGJ32" s="1259"/>
      <c r="QGK32" s="1259"/>
      <c r="QGL32" s="1259"/>
      <c r="QGM32" s="1259"/>
      <c r="QGN32" s="1259"/>
      <c r="QGO32" s="1259"/>
      <c r="QGP32" s="1259"/>
      <c r="QGQ32" s="1259"/>
      <c r="QGR32" s="1259"/>
      <c r="QGS32" s="1259"/>
      <c r="QGT32" s="1259"/>
      <c r="QGU32" s="1259"/>
      <c r="QGV32" s="1259"/>
      <c r="QGW32" s="1259"/>
      <c r="QGX32" s="1259"/>
      <c r="QGY32" s="1259"/>
      <c r="QGZ32" s="1259"/>
      <c r="QHA32" s="1259"/>
      <c r="QHB32" s="1259"/>
      <c r="QHC32" s="1259"/>
      <c r="QHD32" s="1259"/>
      <c r="QHE32" s="1259"/>
      <c r="QHF32" s="1259"/>
      <c r="QHG32" s="1259"/>
      <c r="QHH32" s="1259"/>
      <c r="QHI32" s="1259"/>
      <c r="QHJ32" s="1259"/>
      <c r="QHK32" s="1259"/>
      <c r="QHL32" s="1259"/>
      <c r="QHM32" s="1259"/>
      <c r="QHN32" s="1259"/>
      <c r="QHO32" s="1259"/>
      <c r="QHP32" s="1259"/>
      <c r="QHQ32" s="1259"/>
      <c r="QHR32" s="1259"/>
      <c r="QHS32" s="1259"/>
      <c r="QHT32" s="1259"/>
      <c r="QHU32" s="1259"/>
      <c r="QHV32" s="1259"/>
      <c r="QHW32" s="1259"/>
      <c r="QHX32" s="1259"/>
      <c r="QHY32" s="1259"/>
      <c r="QHZ32" s="1259"/>
      <c r="QIA32" s="1259"/>
      <c r="QIB32" s="1259"/>
      <c r="QIC32" s="1259"/>
      <c r="QID32" s="1259"/>
      <c r="QIE32" s="1259"/>
      <c r="QIF32" s="1259"/>
      <c r="QIG32" s="1259"/>
      <c r="QIH32" s="1259"/>
      <c r="QII32" s="1259"/>
      <c r="QIJ32" s="1259"/>
      <c r="QIK32" s="1259"/>
      <c r="QIL32" s="1259"/>
      <c r="QIM32" s="1259"/>
      <c r="QIN32" s="1259"/>
      <c r="QIO32" s="1259"/>
      <c r="QIP32" s="1259"/>
      <c r="QIQ32" s="1259"/>
      <c r="QIR32" s="1259"/>
      <c r="QIS32" s="1259"/>
      <c r="QIT32" s="1259"/>
      <c r="QIU32" s="1259"/>
      <c r="QIV32" s="1259"/>
      <c r="QIW32" s="1259"/>
      <c r="QIX32" s="1259"/>
      <c r="QIY32" s="1259"/>
      <c r="QIZ32" s="1259"/>
      <c r="QJA32" s="1259"/>
      <c r="QJB32" s="1259"/>
      <c r="QJC32" s="1259"/>
      <c r="QJD32" s="1259"/>
      <c r="QJE32" s="1259"/>
      <c r="QJF32" s="1259"/>
      <c r="QJG32" s="1259"/>
      <c r="QJH32" s="1259"/>
      <c r="QJI32" s="1259"/>
      <c r="QJJ32" s="1259"/>
      <c r="QJK32" s="1259"/>
      <c r="QJL32" s="1259"/>
      <c r="QJM32" s="1259"/>
      <c r="QJN32" s="1259"/>
      <c r="QJO32" s="1259"/>
      <c r="QJP32" s="1259"/>
      <c r="QJQ32" s="1259"/>
      <c r="QJR32" s="1259"/>
      <c r="QJS32" s="1259"/>
      <c r="QJT32" s="1259"/>
      <c r="QJU32" s="1259"/>
      <c r="QJV32" s="1259"/>
      <c r="QJW32" s="1259"/>
      <c r="QJX32" s="1259"/>
      <c r="QJY32" s="1259"/>
      <c r="QJZ32" s="1259"/>
      <c r="QKA32" s="1259"/>
      <c r="QKB32" s="1259"/>
      <c r="QKC32" s="1259"/>
      <c r="QKD32" s="1259"/>
      <c r="QKE32" s="1259"/>
      <c r="QKF32" s="1259"/>
      <c r="QKG32" s="1259"/>
      <c r="QKH32" s="1259"/>
      <c r="QKI32" s="1259"/>
      <c r="QKJ32" s="1259"/>
      <c r="QKK32" s="1259"/>
      <c r="QKL32" s="1259"/>
      <c r="QKM32" s="1259"/>
      <c r="QKN32" s="1259"/>
      <c r="QKO32" s="1259"/>
      <c r="QKP32" s="1259"/>
      <c r="QKQ32" s="1259"/>
      <c r="QKR32" s="1259"/>
      <c r="QKS32" s="1259"/>
      <c r="QKT32" s="1259"/>
      <c r="QKU32" s="1259"/>
      <c r="QKV32" s="1259"/>
      <c r="QKW32" s="1259"/>
      <c r="QKX32" s="1259"/>
      <c r="QKY32" s="1259"/>
      <c r="QKZ32" s="1259"/>
      <c r="QLA32" s="1259"/>
      <c r="QLB32" s="1259"/>
      <c r="QLC32" s="1259"/>
      <c r="QLD32" s="1259"/>
      <c r="QLE32" s="1259"/>
      <c r="QLF32" s="1259"/>
      <c r="QLG32" s="1259"/>
      <c r="QLH32" s="1259"/>
      <c r="QLI32" s="1259"/>
      <c r="QLJ32" s="1259"/>
      <c r="QLK32" s="1259"/>
      <c r="QLL32" s="1259"/>
      <c r="QLM32" s="1259"/>
      <c r="QLN32" s="1259"/>
      <c r="QLO32" s="1259"/>
      <c r="QLP32" s="1259"/>
      <c r="QLQ32" s="1259"/>
      <c r="QLR32" s="1259"/>
      <c r="QLS32" s="1259"/>
      <c r="QLT32" s="1259"/>
      <c r="QLU32" s="1259"/>
      <c r="QLV32" s="1259"/>
      <c r="QLW32" s="1259"/>
      <c r="QLX32" s="1259"/>
      <c r="QLY32" s="1259"/>
      <c r="QLZ32" s="1259"/>
      <c r="QMA32" s="1259"/>
      <c r="QMB32" s="1259"/>
      <c r="QMC32" s="1259"/>
      <c r="QMD32" s="1259"/>
      <c r="QME32" s="1259"/>
      <c r="QMF32" s="1259"/>
      <c r="QMG32" s="1259"/>
      <c r="QMH32" s="1259"/>
      <c r="QMI32" s="1259"/>
      <c r="QMJ32" s="1259"/>
      <c r="QMK32" s="1259"/>
      <c r="QML32" s="1259"/>
      <c r="QMM32" s="1259"/>
      <c r="QMN32" s="1259"/>
      <c r="QMO32" s="1259"/>
      <c r="QMP32" s="1259"/>
      <c r="QMQ32" s="1259"/>
      <c r="QMR32" s="1259"/>
      <c r="QMS32" s="1259"/>
      <c r="QMT32" s="1259"/>
      <c r="QMU32" s="1259"/>
      <c r="QMV32" s="1259"/>
      <c r="QMW32" s="1259"/>
      <c r="QMX32" s="1259"/>
      <c r="QMY32" s="1259"/>
      <c r="QMZ32" s="1259"/>
      <c r="QNA32" s="1259"/>
      <c r="QNB32" s="1259"/>
      <c r="QNC32" s="1259"/>
      <c r="QND32" s="1259"/>
      <c r="QNE32" s="1259"/>
      <c r="QNF32" s="1259"/>
      <c r="QNG32" s="1259"/>
      <c r="QNH32" s="1259"/>
      <c r="QNI32" s="1259"/>
      <c r="QNJ32" s="1259"/>
      <c r="QNK32" s="1259"/>
      <c r="QNL32" s="1259"/>
      <c r="QNM32" s="1259"/>
      <c r="QNN32" s="1259"/>
      <c r="QNO32" s="1259"/>
      <c r="QNP32" s="1259"/>
      <c r="QNQ32" s="1259"/>
      <c r="QNR32" s="1259"/>
      <c r="QNS32" s="1259"/>
      <c r="QNT32" s="1259"/>
      <c r="QNU32" s="1259"/>
      <c r="QNV32" s="1259"/>
      <c r="QNW32" s="1259"/>
      <c r="QNX32" s="1259"/>
      <c r="QNY32" s="1259"/>
      <c r="QNZ32" s="1259"/>
      <c r="QOA32" s="1259"/>
      <c r="QOB32" s="1259"/>
      <c r="QOC32" s="1259"/>
      <c r="QOD32" s="1259"/>
      <c r="QOE32" s="1259"/>
      <c r="QOF32" s="1259"/>
      <c r="QOG32" s="1259"/>
      <c r="QOH32" s="1259"/>
      <c r="QOI32" s="1259"/>
      <c r="QOJ32" s="1259"/>
      <c r="QOK32" s="1259"/>
      <c r="QOL32" s="1259"/>
      <c r="QOM32" s="1259"/>
      <c r="QON32" s="1259"/>
      <c r="QOO32" s="1259"/>
      <c r="QOP32" s="1259"/>
      <c r="QOQ32" s="1259"/>
      <c r="QOR32" s="1259"/>
      <c r="QOS32" s="1259"/>
      <c r="QOT32" s="1259"/>
      <c r="QOU32" s="1259"/>
      <c r="QOV32" s="1259"/>
      <c r="QOW32" s="1259"/>
      <c r="QOX32" s="1259"/>
      <c r="QOY32" s="1259"/>
      <c r="QOZ32" s="1259"/>
      <c r="QPA32" s="1259"/>
      <c r="QPB32" s="1259"/>
      <c r="QPC32" s="1259"/>
      <c r="QPD32" s="1259"/>
      <c r="QPE32" s="1259"/>
      <c r="QPF32" s="1259"/>
      <c r="QPG32" s="1259"/>
      <c r="QPH32" s="1259"/>
      <c r="QPI32" s="1259"/>
      <c r="QPJ32" s="1259"/>
      <c r="QPK32" s="1259"/>
      <c r="QPL32" s="1259"/>
      <c r="QPM32" s="1259"/>
      <c r="QPN32" s="1259"/>
      <c r="QPO32" s="1259"/>
      <c r="QPP32" s="1259"/>
      <c r="QPQ32" s="1259"/>
      <c r="QPR32" s="1259"/>
      <c r="QPS32" s="1259"/>
      <c r="QPT32" s="1259"/>
      <c r="QPU32" s="1259"/>
      <c r="QPV32" s="1259"/>
      <c r="QPW32" s="1259"/>
      <c r="QPX32" s="1259"/>
      <c r="QPY32" s="1259"/>
      <c r="QPZ32" s="1259"/>
      <c r="QQA32" s="1259"/>
      <c r="QQB32" s="1259"/>
      <c r="QQC32" s="1259"/>
      <c r="QQD32" s="1259"/>
      <c r="QQE32" s="1259"/>
      <c r="QQF32" s="1259"/>
      <c r="QQG32" s="1259"/>
      <c r="QQH32" s="1259"/>
      <c r="QQI32" s="1259"/>
      <c r="QQJ32" s="1259"/>
      <c r="QQK32" s="1259"/>
      <c r="QQL32" s="1259"/>
      <c r="QQM32" s="1259"/>
      <c r="QQN32" s="1259"/>
      <c r="QQO32" s="1259"/>
      <c r="QQP32" s="1259"/>
      <c r="QQQ32" s="1259"/>
      <c r="QQR32" s="1259"/>
      <c r="QQS32" s="1259"/>
      <c r="QQT32" s="1259"/>
      <c r="QQU32" s="1259"/>
      <c r="QQV32" s="1259"/>
      <c r="QQW32" s="1259"/>
      <c r="QQX32" s="1259"/>
      <c r="QQY32" s="1259"/>
      <c r="QQZ32" s="1259"/>
      <c r="QRA32" s="1259"/>
      <c r="QRB32" s="1259"/>
      <c r="QRC32" s="1259"/>
      <c r="QRD32" s="1259"/>
      <c r="QRE32" s="1259"/>
      <c r="QRF32" s="1259"/>
      <c r="QRG32" s="1259"/>
      <c r="QRH32" s="1259"/>
      <c r="QRI32" s="1259"/>
      <c r="QRJ32" s="1259"/>
      <c r="QRK32" s="1259"/>
      <c r="QRL32" s="1259"/>
      <c r="QRM32" s="1259"/>
      <c r="QRN32" s="1259"/>
      <c r="QRO32" s="1259"/>
      <c r="QRP32" s="1259"/>
      <c r="QRQ32" s="1259"/>
      <c r="QRR32" s="1259"/>
      <c r="QRS32" s="1259"/>
      <c r="QRT32" s="1259"/>
      <c r="QRU32" s="1259"/>
      <c r="QRV32" s="1259"/>
      <c r="QRW32" s="1259"/>
      <c r="QRX32" s="1259"/>
      <c r="QRY32" s="1259"/>
      <c r="QRZ32" s="1259"/>
      <c r="QSA32" s="1259"/>
      <c r="QSB32" s="1259"/>
      <c r="QSC32" s="1259"/>
      <c r="QSD32" s="1259"/>
      <c r="QSE32" s="1259"/>
      <c r="QSF32" s="1259"/>
      <c r="QSG32" s="1259"/>
      <c r="QSH32" s="1259"/>
      <c r="QSI32" s="1259"/>
      <c r="QSJ32" s="1259"/>
      <c r="QSK32" s="1259"/>
      <c r="QSL32" s="1259"/>
      <c r="QSM32" s="1259"/>
      <c r="QSN32" s="1259"/>
      <c r="QSO32" s="1259"/>
      <c r="QSP32" s="1259"/>
      <c r="QSQ32" s="1259"/>
      <c r="QSR32" s="1259"/>
      <c r="QSS32" s="1259"/>
      <c r="QST32" s="1259"/>
      <c r="QSU32" s="1259"/>
      <c r="QSV32" s="1259"/>
      <c r="QSW32" s="1259"/>
      <c r="QSX32" s="1259"/>
      <c r="QSY32" s="1259"/>
      <c r="QSZ32" s="1259"/>
      <c r="QTA32" s="1259"/>
      <c r="QTB32" s="1259"/>
      <c r="QTC32" s="1259"/>
      <c r="QTD32" s="1259"/>
      <c r="QTE32" s="1259"/>
      <c r="QTF32" s="1259"/>
      <c r="QTG32" s="1259"/>
      <c r="QTH32" s="1259"/>
      <c r="QTI32" s="1259"/>
      <c r="QTJ32" s="1259"/>
      <c r="QTK32" s="1259"/>
      <c r="QTL32" s="1259"/>
      <c r="QTM32" s="1259"/>
      <c r="QTN32" s="1259"/>
      <c r="QTO32" s="1259"/>
      <c r="QTP32" s="1259"/>
      <c r="QTQ32" s="1259"/>
      <c r="QTR32" s="1259"/>
      <c r="QTS32" s="1259"/>
      <c r="QTT32" s="1259"/>
      <c r="QTU32" s="1259"/>
      <c r="QTV32" s="1259"/>
      <c r="QTW32" s="1259"/>
      <c r="QTX32" s="1259"/>
      <c r="QTY32" s="1259"/>
      <c r="QTZ32" s="1259"/>
      <c r="QUA32" s="1259"/>
      <c r="QUB32" s="1259"/>
      <c r="QUC32" s="1259"/>
      <c r="QUD32" s="1259"/>
      <c r="QUE32" s="1259"/>
      <c r="QUF32" s="1259"/>
      <c r="QUG32" s="1259"/>
      <c r="QUH32" s="1259"/>
      <c r="QUI32" s="1259"/>
      <c r="QUJ32" s="1259"/>
      <c r="QUK32" s="1259"/>
      <c r="QUL32" s="1259"/>
      <c r="QUM32" s="1259"/>
      <c r="QUN32" s="1259"/>
      <c r="QUO32" s="1259"/>
      <c r="QUP32" s="1259"/>
      <c r="QUQ32" s="1259"/>
      <c r="QUR32" s="1259"/>
      <c r="QUS32" s="1259"/>
      <c r="QUT32" s="1259"/>
      <c r="QUU32" s="1259"/>
      <c r="QUV32" s="1259"/>
      <c r="QUW32" s="1259"/>
      <c r="QUX32" s="1259"/>
      <c r="QUY32" s="1259"/>
      <c r="QUZ32" s="1259"/>
      <c r="QVA32" s="1259"/>
      <c r="QVB32" s="1259"/>
      <c r="QVC32" s="1259"/>
      <c r="QVD32" s="1259"/>
      <c r="QVE32" s="1259"/>
      <c r="QVF32" s="1259"/>
      <c r="QVG32" s="1259"/>
      <c r="QVH32" s="1259"/>
      <c r="QVI32" s="1259"/>
      <c r="QVJ32" s="1259"/>
      <c r="QVK32" s="1259"/>
      <c r="QVL32" s="1259"/>
      <c r="QVM32" s="1259"/>
      <c r="QVN32" s="1259"/>
      <c r="QVO32" s="1259"/>
      <c r="QVP32" s="1259"/>
      <c r="QVQ32" s="1259"/>
      <c r="QVR32" s="1259"/>
      <c r="QVS32" s="1259"/>
      <c r="QVT32" s="1259"/>
      <c r="QVU32" s="1259"/>
      <c r="QVV32" s="1259"/>
      <c r="QVW32" s="1259"/>
      <c r="QVX32" s="1259"/>
      <c r="QVY32" s="1259"/>
      <c r="QVZ32" s="1259"/>
      <c r="QWA32" s="1259"/>
      <c r="QWB32" s="1259"/>
      <c r="QWC32" s="1259"/>
      <c r="QWD32" s="1259"/>
      <c r="QWE32" s="1259"/>
      <c r="QWF32" s="1259"/>
      <c r="QWG32" s="1259"/>
      <c r="QWH32" s="1259"/>
      <c r="QWI32" s="1259"/>
      <c r="QWJ32" s="1259"/>
      <c r="QWK32" s="1259"/>
      <c r="QWL32" s="1259"/>
      <c r="QWM32" s="1259"/>
      <c r="QWN32" s="1259"/>
      <c r="QWO32" s="1259"/>
      <c r="QWP32" s="1259"/>
      <c r="QWQ32" s="1259"/>
      <c r="QWR32" s="1259"/>
      <c r="QWS32" s="1259"/>
      <c r="QWT32" s="1259"/>
      <c r="QWU32" s="1259"/>
      <c r="QWV32" s="1259"/>
      <c r="QWW32" s="1259"/>
      <c r="QWX32" s="1259"/>
      <c r="QWY32" s="1259"/>
      <c r="QWZ32" s="1259"/>
      <c r="QXA32" s="1259"/>
      <c r="QXB32" s="1259"/>
      <c r="QXC32" s="1259"/>
      <c r="QXD32" s="1259"/>
      <c r="QXE32" s="1259"/>
      <c r="QXF32" s="1259"/>
      <c r="QXG32" s="1259"/>
      <c r="QXH32" s="1259"/>
      <c r="QXI32" s="1259"/>
      <c r="QXJ32" s="1259"/>
      <c r="QXK32" s="1259"/>
      <c r="QXL32" s="1259"/>
      <c r="QXM32" s="1259"/>
      <c r="QXN32" s="1259"/>
      <c r="QXO32" s="1259"/>
      <c r="QXP32" s="1259"/>
      <c r="QXQ32" s="1259"/>
      <c r="QXR32" s="1259"/>
      <c r="QXS32" s="1259"/>
      <c r="QXT32" s="1259"/>
      <c r="QXU32" s="1259"/>
      <c r="QXV32" s="1259"/>
      <c r="QXW32" s="1259"/>
      <c r="QXX32" s="1259"/>
      <c r="QXY32" s="1259"/>
      <c r="QXZ32" s="1259"/>
      <c r="QYA32" s="1259"/>
      <c r="QYB32" s="1259"/>
      <c r="QYC32" s="1259"/>
      <c r="QYD32" s="1259"/>
      <c r="QYE32" s="1259"/>
      <c r="QYF32" s="1259"/>
      <c r="QYG32" s="1259"/>
      <c r="QYH32" s="1259"/>
      <c r="QYI32" s="1259"/>
      <c r="QYJ32" s="1259"/>
      <c r="QYK32" s="1259"/>
      <c r="QYL32" s="1259"/>
      <c r="QYM32" s="1259"/>
      <c r="QYN32" s="1259"/>
      <c r="QYO32" s="1259"/>
      <c r="QYP32" s="1259"/>
      <c r="QYQ32" s="1259"/>
      <c r="QYR32" s="1259"/>
      <c r="QYS32" s="1259"/>
      <c r="QYT32" s="1259"/>
      <c r="QYU32" s="1259"/>
      <c r="QYV32" s="1259"/>
      <c r="QYW32" s="1259"/>
      <c r="QYX32" s="1259"/>
      <c r="QYY32" s="1259"/>
      <c r="QYZ32" s="1259"/>
      <c r="QZA32" s="1259"/>
      <c r="QZB32" s="1259"/>
      <c r="QZC32" s="1259"/>
      <c r="QZD32" s="1259"/>
      <c r="QZE32" s="1259"/>
      <c r="QZF32" s="1259"/>
      <c r="QZG32" s="1259"/>
      <c r="QZH32" s="1259"/>
      <c r="QZI32" s="1259"/>
      <c r="QZJ32" s="1259"/>
      <c r="QZK32" s="1259"/>
      <c r="QZL32" s="1259"/>
      <c r="QZM32" s="1259"/>
      <c r="QZN32" s="1259"/>
      <c r="QZO32" s="1259"/>
      <c r="QZP32" s="1259"/>
      <c r="QZQ32" s="1259"/>
      <c r="QZR32" s="1259"/>
      <c r="QZS32" s="1259"/>
      <c r="QZT32" s="1259"/>
      <c r="QZU32" s="1259"/>
      <c r="QZV32" s="1259"/>
      <c r="QZW32" s="1259"/>
      <c r="QZX32" s="1259"/>
      <c r="QZY32" s="1259"/>
      <c r="QZZ32" s="1259"/>
      <c r="RAA32" s="1259"/>
      <c r="RAB32" s="1259"/>
      <c r="RAC32" s="1259"/>
      <c r="RAD32" s="1259"/>
      <c r="RAE32" s="1259"/>
      <c r="RAF32" s="1259"/>
      <c r="RAG32" s="1259"/>
      <c r="RAH32" s="1259"/>
      <c r="RAI32" s="1259"/>
      <c r="RAJ32" s="1259"/>
      <c r="RAK32" s="1259"/>
      <c r="RAL32" s="1259"/>
      <c r="RAM32" s="1259"/>
      <c r="RAN32" s="1259"/>
      <c r="RAO32" s="1259"/>
      <c r="RAP32" s="1259"/>
      <c r="RAQ32" s="1259"/>
      <c r="RAR32" s="1259"/>
      <c r="RAS32" s="1259"/>
      <c r="RAT32" s="1259"/>
      <c r="RAU32" s="1259"/>
      <c r="RAV32" s="1259"/>
      <c r="RAW32" s="1259"/>
      <c r="RAX32" s="1259"/>
      <c r="RAY32" s="1259"/>
      <c r="RAZ32" s="1259"/>
      <c r="RBA32" s="1259"/>
      <c r="RBB32" s="1259"/>
      <c r="RBC32" s="1259"/>
      <c r="RBD32" s="1259"/>
      <c r="RBE32" s="1259"/>
      <c r="RBF32" s="1259"/>
      <c r="RBG32" s="1259"/>
      <c r="RBH32" s="1259"/>
      <c r="RBI32" s="1259"/>
      <c r="RBJ32" s="1259"/>
      <c r="RBK32" s="1259"/>
      <c r="RBL32" s="1259"/>
      <c r="RBM32" s="1259"/>
      <c r="RBN32" s="1259"/>
      <c r="RBO32" s="1259"/>
      <c r="RBP32" s="1259"/>
      <c r="RBQ32" s="1259"/>
      <c r="RBR32" s="1259"/>
      <c r="RBS32" s="1259"/>
      <c r="RBT32" s="1259"/>
      <c r="RBU32" s="1259"/>
      <c r="RBV32" s="1259"/>
      <c r="RBW32" s="1259"/>
      <c r="RBX32" s="1259"/>
      <c r="RBY32" s="1259"/>
      <c r="RBZ32" s="1259"/>
      <c r="RCA32" s="1259"/>
      <c r="RCB32" s="1259"/>
      <c r="RCC32" s="1259"/>
      <c r="RCD32" s="1259"/>
      <c r="RCE32" s="1259"/>
      <c r="RCF32" s="1259"/>
      <c r="RCG32" s="1259"/>
      <c r="RCH32" s="1259"/>
      <c r="RCI32" s="1259"/>
      <c r="RCJ32" s="1259"/>
      <c r="RCK32" s="1259"/>
      <c r="RCL32" s="1259"/>
      <c r="RCM32" s="1259"/>
      <c r="RCN32" s="1259"/>
      <c r="RCO32" s="1259"/>
      <c r="RCP32" s="1259"/>
      <c r="RCQ32" s="1259"/>
      <c r="RCR32" s="1259"/>
      <c r="RCS32" s="1259"/>
      <c r="RCT32" s="1259"/>
      <c r="RCU32" s="1259"/>
      <c r="RCV32" s="1259"/>
      <c r="RCW32" s="1259"/>
      <c r="RCX32" s="1259"/>
      <c r="RCY32" s="1259"/>
      <c r="RCZ32" s="1259"/>
      <c r="RDA32" s="1259"/>
      <c r="RDB32" s="1259"/>
      <c r="RDC32" s="1259"/>
      <c r="RDD32" s="1259"/>
      <c r="RDE32" s="1259"/>
      <c r="RDF32" s="1259"/>
      <c r="RDG32" s="1259"/>
      <c r="RDH32" s="1259"/>
      <c r="RDI32" s="1259"/>
      <c r="RDJ32" s="1259"/>
      <c r="RDK32" s="1259"/>
      <c r="RDL32" s="1259"/>
      <c r="RDM32" s="1259"/>
      <c r="RDN32" s="1259"/>
      <c r="RDO32" s="1259"/>
      <c r="RDP32" s="1259"/>
      <c r="RDQ32" s="1259"/>
      <c r="RDR32" s="1259"/>
      <c r="RDS32" s="1259"/>
      <c r="RDT32" s="1259"/>
      <c r="RDU32" s="1259"/>
      <c r="RDV32" s="1259"/>
      <c r="RDW32" s="1259"/>
      <c r="RDX32" s="1259"/>
      <c r="RDY32" s="1259"/>
      <c r="RDZ32" s="1259"/>
      <c r="REA32" s="1259"/>
      <c r="REB32" s="1259"/>
      <c r="REC32" s="1259"/>
      <c r="RED32" s="1259"/>
      <c r="REE32" s="1259"/>
      <c r="REF32" s="1259"/>
      <c r="REG32" s="1259"/>
      <c r="REH32" s="1259"/>
      <c r="REI32" s="1259"/>
      <c r="REJ32" s="1259"/>
      <c r="REK32" s="1259"/>
      <c r="REL32" s="1259"/>
      <c r="REM32" s="1259"/>
      <c r="REN32" s="1259"/>
      <c r="REO32" s="1259"/>
      <c r="REP32" s="1259"/>
      <c r="REQ32" s="1259"/>
      <c r="RER32" s="1259"/>
      <c r="RES32" s="1259"/>
      <c r="RET32" s="1259"/>
      <c r="REU32" s="1259"/>
      <c r="REV32" s="1259"/>
      <c r="REW32" s="1259"/>
      <c r="REX32" s="1259"/>
      <c r="REY32" s="1259"/>
      <c r="REZ32" s="1259"/>
      <c r="RFA32" s="1259"/>
      <c r="RFB32" s="1259"/>
      <c r="RFC32" s="1259"/>
      <c r="RFD32" s="1259"/>
      <c r="RFE32" s="1259"/>
      <c r="RFF32" s="1259"/>
      <c r="RFG32" s="1259"/>
      <c r="RFH32" s="1259"/>
      <c r="RFI32" s="1259"/>
      <c r="RFJ32" s="1259"/>
      <c r="RFK32" s="1259"/>
      <c r="RFL32" s="1259"/>
      <c r="RFM32" s="1259"/>
      <c r="RFN32" s="1259"/>
      <c r="RFO32" s="1259"/>
      <c r="RFP32" s="1259"/>
      <c r="RFQ32" s="1259"/>
      <c r="RFR32" s="1259"/>
      <c r="RFS32" s="1259"/>
      <c r="RFT32" s="1259"/>
      <c r="RFU32" s="1259"/>
      <c r="RFV32" s="1259"/>
      <c r="RFW32" s="1259"/>
      <c r="RFX32" s="1259"/>
      <c r="RFY32" s="1259"/>
      <c r="RFZ32" s="1259"/>
      <c r="RGA32" s="1259"/>
      <c r="RGB32" s="1259"/>
      <c r="RGC32" s="1259"/>
      <c r="RGD32" s="1259"/>
      <c r="RGE32" s="1259"/>
      <c r="RGF32" s="1259"/>
      <c r="RGG32" s="1259"/>
      <c r="RGH32" s="1259"/>
      <c r="RGI32" s="1259"/>
      <c r="RGJ32" s="1259"/>
      <c r="RGK32" s="1259"/>
      <c r="RGL32" s="1259"/>
      <c r="RGM32" s="1259"/>
      <c r="RGN32" s="1259"/>
      <c r="RGO32" s="1259"/>
      <c r="RGP32" s="1259"/>
      <c r="RGQ32" s="1259"/>
      <c r="RGR32" s="1259"/>
      <c r="RGS32" s="1259"/>
      <c r="RGT32" s="1259"/>
      <c r="RGU32" s="1259"/>
      <c r="RGV32" s="1259"/>
      <c r="RGW32" s="1259"/>
      <c r="RGX32" s="1259"/>
      <c r="RGY32" s="1259"/>
      <c r="RGZ32" s="1259"/>
      <c r="RHA32" s="1259"/>
      <c r="RHB32" s="1259"/>
      <c r="RHC32" s="1259"/>
      <c r="RHD32" s="1259"/>
      <c r="RHE32" s="1259"/>
      <c r="RHF32" s="1259"/>
      <c r="RHG32" s="1259"/>
      <c r="RHH32" s="1259"/>
      <c r="RHI32" s="1259"/>
      <c r="RHJ32" s="1259"/>
      <c r="RHK32" s="1259"/>
      <c r="RHL32" s="1259"/>
      <c r="RHM32" s="1259"/>
      <c r="RHN32" s="1259"/>
      <c r="RHO32" s="1259"/>
      <c r="RHP32" s="1259"/>
      <c r="RHQ32" s="1259"/>
      <c r="RHR32" s="1259"/>
      <c r="RHS32" s="1259"/>
      <c r="RHT32" s="1259"/>
      <c r="RHU32" s="1259"/>
      <c r="RHV32" s="1259"/>
      <c r="RHW32" s="1259"/>
      <c r="RHX32" s="1259"/>
      <c r="RHY32" s="1259"/>
      <c r="RHZ32" s="1259"/>
      <c r="RIA32" s="1259"/>
      <c r="RIB32" s="1259"/>
      <c r="RIC32" s="1259"/>
      <c r="RID32" s="1259"/>
      <c r="RIE32" s="1259"/>
      <c r="RIF32" s="1259"/>
      <c r="RIG32" s="1259"/>
      <c r="RIH32" s="1259"/>
      <c r="RII32" s="1259"/>
      <c r="RIJ32" s="1259"/>
      <c r="RIK32" s="1259"/>
      <c r="RIL32" s="1259"/>
      <c r="RIM32" s="1259"/>
      <c r="RIN32" s="1259"/>
      <c r="RIO32" s="1259"/>
      <c r="RIP32" s="1259"/>
      <c r="RIQ32" s="1259"/>
      <c r="RIR32" s="1259"/>
      <c r="RIS32" s="1259"/>
      <c r="RIT32" s="1259"/>
      <c r="RIU32" s="1259"/>
      <c r="RIV32" s="1259"/>
      <c r="RIW32" s="1259"/>
      <c r="RIX32" s="1259"/>
      <c r="RIY32" s="1259"/>
      <c r="RIZ32" s="1259"/>
      <c r="RJA32" s="1259"/>
      <c r="RJB32" s="1259"/>
      <c r="RJC32" s="1259"/>
      <c r="RJD32" s="1259"/>
      <c r="RJE32" s="1259"/>
      <c r="RJF32" s="1259"/>
      <c r="RJG32" s="1259"/>
      <c r="RJH32" s="1259"/>
      <c r="RJI32" s="1259"/>
      <c r="RJJ32" s="1259"/>
      <c r="RJK32" s="1259"/>
      <c r="RJL32" s="1259"/>
      <c r="RJM32" s="1259"/>
      <c r="RJN32" s="1259"/>
      <c r="RJO32" s="1259"/>
      <c r="RJP32" s="1259"/>
      <c r="RJQ32" s="1259"/>
      <c r="RJR32" s="1259"/>
      <c r="RJS32" s="1259"/>
      <c r="RJT32" s="1259"/>
      <c r="RJU32" s="1259"/>
      <c r="RJV32" s="1259"/>
      <c r="RJW32" s="1259"/>
      <c r="RJX32" s="1259"/>
      <c r="RJY32" s="1259"/>
      <c r="RJZ32" s="1259"/>
      <c r="RKA32" s="1259"/>
      <c r="RKB32" s="1259"/>
      <c r="RKC32" s="1259"/>
      <c r="RKD32" s="1259"/>
      <c r="RKE32" s="1259"/>
      <c r="RKF32" s="1259"/>
      <c r="RKG32" s="1259"/>
      <c r="RKH32" s="1259"/>
      <c r="RKI32" s="1259"/>
      <c r="RKJ32" s="1259"/>
      <c r="RKK32" s="1259"/>
      <c r="RKL32" s="1259"/>
      <c r="RKM32" s="1259"/>
      <c r="RKN32" s="1259"/>
      <c r="RKO32" s="1259"/>
      <c r="RKP32" s="1259"/>
      <c r="RKQ32" s="1259"/>
      <c r="RKR32" s="1259"/>
      <c r="RKS32" s="1259"/>
      <c r="RKT32" s="1259"/>
      <c r="RKU32" s="1259"/>
      <c r="RKV32" s="1259"/>
      <c r="RKW32" s="1259"/>
      <c r="RKX32" s="1259"/>
      <c r="RKY32" s="1259"/>
      <c r="RKZ32" s="1259"/>
      <c r="RLA32" s="1259"/>
      <c r="RLB32" s="1259"/>
      <c r="RLC32" s="1259"/>
      <c r="RLD32" s="1259"/>
      <c r="RLE32" s="1259"/>
      <c r="RLF32" s="1259"/>
      <c r="RLG32" s="1259"/>
      <c r="RLH32" s="1259"/>
      <c r="RLI32" s="1259"/>
      <c r="RLJ32" s="1259"/>
      <c r="RLK32" s="1259"/>
      <c r="RLL32" s="1259"/>
      <c r="RLM32" s="1259"/>
      <c r="RLN32" s="1259"/>
      <c r="RLO32" s="1259"/>
      <c r="RLP32" s="1259"/>
      <c r="RLQ32" s="1259"/>
      <c r="RLR32" s="1259"/>
      <c r="RLS32" s="1259"/>
      <c r="RLT32" s="1259"/>
      <c r="RLU32" s="1259"/>
      <c r="RLV32" s="1259"/>
      <c r="RLW32" s="1259"/>
      <c r="RLX32" s="1259"/>
      <c r="RLY32" s="1259"/>
      <c r="RLZ32" s="1259"/>
      <c r="RMA32" s="1259"/>
      <c r="RMB32" s="1259"/>
      <c r="RMC32" s="1259"/>
      <c r="RMD32" s="1259"/>
      <c r="RME32" s="1259"/>
      <c r="RMF32" s="1259"/>
      <c r="RMG32" s="1259"/>
      <c r="RMH32" s="1259"/>
      <c r="RMI32" s="1259"/>
      <c r="RMJ32" s="1259"/>
      <c r="RMK32" s="1259"/>
      <c r="RML32" s="1259"/>
      <c r="RMM32" s="1259"/>
      <c r="RMN32" s="1259"/>
      <c r="RMO32" s="1259"/>
      <c r="RMP32" s="1259"/>
      <c r="RMQ32" s="1259"/>
      <c r="RMR32" s="1259"/>
      <c r="RMS32" s="1259"/>
      <c r="RMT32" s="1259"/>
      <c r="RMU32" s="1259"/>
      <c r="RMV32" s="1259"/>
      <c r="RMW32" s="1259"/>
      <c r="RMX32" s="1259"/>
      <c r="RMY32" s="1259"/>
      <c r="RMZ32" s="1259"/>
      <c r="RNA32" s="1259"/>
      <c r="RNB32" s="1259"/>
      <c r="RNC32" s="1259"/>
      <c r="RND32" s="1259"/>
      <c r="RNE32" s="1259"/>
      <c r="RNF32" s="1259"/>
      <c r="RNG32" s="1259"/>
      <c r="RNH32" s="1259"/>
      <c r="RNI32" s="1259"/>
      <c r="RNJ32" s="1259"/>
      <c r="RNK32" s="1259"/>
      <c r="RNL32" s="1259"/>
      <c r="RNM32" s="1259"/>
      <c r="RNN32" s="1259"/>
      <c r="RNO32" s="1259"/>
      <c r="RNP32" s="1259"/>
      <c r="RNQ32" s="1259"/>
      <c r="RNR32" s="1259"/>
      <c r="RNS32" s="1259"/>
      <c r="RNT32" s="1259"/>
      <c r="RNU32" s="1259"/>
      <c r="RNV32" s="1259"/>
      <c r="RNW32" s="1259"/>
      <c r="RNX32" s="1259"/>
      <c r="RNY32" s="1259"/>
      <c r="RNZ32" s="1259"/>
      <c r="ROA32" s="1259"/>
      <c r="ROB32" s="1259"/>
      <c r="ROC32" s="1259"/>
      <c r="ROD32" s="1259"/>
      <c r="ROE32" s="1259"/>
      <c r="ROF32" s="1259"/>
      <c r="ROG32" s="1259"/>
      <c r="ROH32" s="1259"/>
      <c r="ROI32" s="1259"/>
      <c r="ROJ32" s="1259"/>
      <c r="ROK32" s="1259"/>
      <c r="ROL32" s="1259"/>
      <c r="ROM32" s="1259"/>
      <c r="RON32" s="1259"/>
      <c r="ROO32" s="1259"/>
      <c r="ROP32" s="1259"/>
      <c r="ROQ32" s="1259"/>
      <c r="ROR32" s="1259"/>
      <c r="ROS32" s="1259"/>
      <c r="ROT32" s="1259"/>
      <c r="ROU32" s="1259"/>
      <c r="ROV32" s="1259"/>
      <c r="ROW32" s="1259"/>
      <c r="ROX32" s="1259"/>
      <c r="ROY32" s="1259"/>
      <c r="ROZ32" s="1259"/>
      <c r="RPA32" s="1259"/>
      <c r="RPB32" s="1259"/>
      <c r="RPC32" s="1259"/>
      <c r="RPD32" s="1259"/>
      <c r="RPE32" s="1259"/>
      <c r="RPF32" s="1259"/>
      <c r="RPG32" s="1259"/>
      <c r="RPH32" s="1259"/>
      <c r="RPI32" s="1259"/>
      <c r="RPJ32" s="1259"/>
      <c r="RPK32" s="1259"/>
      <c r="RPL32" s="1259"/>
      <c r="RPM32" s="1259"/>
      <c r="RPN32" s="1259"/>
      <c r="RPO32" s="1259"/>
      <c r="RPP32" s="1259"/>
      <c r="RPQ32" s="1259"/>
      <c r="RPR32" s="1259"/>
      <c r="RPS32" s="1259"/>
      <c r="RPT32" s="1259"/>
      <c r="RPU32" s="1259"/>
      <c r="RPV32" s="1259"/>
      <c r="RPW32" s="1259"/>
      <c r="RPX32" s="1259"/>
      <c r="RPY32" s="1259"/>
      <c r="RPZ32" s="1259"/>
      <c r="RQA32" s="1259"/>
      <c r="RQB32" s="1259"/>
      <c r="RQC32" s="1259"/>
      <c r="RQD32" s="1259"/>
      <c r="RQE32" s="1259"/>
      <c r="RQF32" s="1259"/>
      <c r="RQG32" s="1259"/>
      <c r="RQH32" s="1259"/>
      <c r="RQI32" s="1259"/>
      <c r="RQJ32" s="1259"/>
      <c r="RQK32" s="1259"/>
      <c r="RQL32" s="1259"/>
      <c r="RQM32" s="1259"/>
      <c r="RQN32" s="1259"/>
      <c r="RQO32" s="1259"/>
      <c r="RQP32" s="1259"/>
      <c r="RQQ32" s="1259"/>
      <c r="RQR32" s="1259"/>
      <c r="RQS32" s="1259"/>
      <c r="RQT32" s="1259"/>
      <c r="RQU32" s="1259"/>
      <c r="RQV32" s="1259"/>
      <c r="RQW32" s="1259"/>
      <c r="RQX32" s="1259"/>
      <c r="RQY32" s="1259"/>
      <c r="RQZ32" s="1259"/>
      <c r="RRA32" s="1259"/>
      <c r="RRB32" s="1259"/>
      <c r="RRC32" s="1259"/>
      <c r="RRD32" s="1259"/>
      <c r="RRE32" s="1259"/>
      <c r="RRF32" s="1259"/>
      <c r="RRG32" s="1259"/>
      <c r="RRH32" s="1259"/>
      <c r="RRI32" s="1259"/>
      <c r="RRJ32" s="1259"/>
      <c r="RRK32" s="1259"/>
      <c r="RRL32" s="1259"/>
      <c r="RRM32" s="1259"/>
      <c r="RRN32" s="1259"/>
      <c r="RRO32" s="1259"/>
      <c r="RRP32" s="1259"/>
      <c r="RRQ32" s="1259"/>
      <c r="RRR32" s="1259"/>
      <c r="RRS32" s="1259"/>
      <c r="RRT32" s="1259"/>
      <c r="RRU32" s="1259"/>
      <c r="RRV32" s="1259"/>
      <c r="RRW32" s="1259"/>
      <c r="RRX32" s="1259"/>
      <c r="RRY32" s="1259"/>
      <c r="RRZ32" s="1259"/>
      <c r="RSA32" s="1259"/>
      <c r="RSB32" s="1259"/>
      <c r="RSC32" s="1259"/>
      <c r="RSD32" s="1259"/>
      <c r="RSE32" s="1259"/>
      <c r="RSF32" s="1259"/>
      <c r="RSG32" s="1259"/>
      <c r="RSH32" s="1259"/>
      <c r="RSI32" s="1259"/>
      <c r="RSJ32" s="1259"/>
      <c r="RSK32" s="1259"/>
      <c r="RSL32" s="1259"/>
      <c r="RSM32" s="1259"/>
      <c r="RSN32" s="1259"/>
      <c r="RSO32" s="1259"/>
      <c r="RSP32" s="1259"/>
      <c r="RSQ32" s="1259"/>
      <c r="RSR32" s="1259"/>
      <c r="RSS32" s="1259"/>
      <c r="RST32" s="1259"/>
      <c r="RSU32" s="1259"/>
      <c r="RSV32" s="1259"/>
      <c r="RSW32" s="1259"/>
      <c r="RSX32" s="1259"/>
      <c r="RSY32" s="1259"/>
      <c r="RSZ32" s="1259"/>
      <c r="RTA32" s="1259"/>
      <c r="RTB32" s="1259"/>
      <c r="RTC32" s="1259"/>
      <c r="RTD32" s="1259"/>
      <c r="RTE32" s="1259"/>
      <c r="RTF32" s="1259"/>
      <c r="RTG32" s="1259"/>
      <c r="RTH32" s="1259"/>
      <c r="RTI32" s="1259"/>
      <c r="RTJ32" s="1259"/>
      <c r="RTK32" s="1259"/>
      <c r="RTL32" s="1259"/>
      <c r="RTM32" s="1259"/>
      <c r="RTN32" s="1259"/>
      <c r="RTO32" s="1259"/>
      <c r="RTP32" s="1259"/>
      <c r="RTQ32" s="1259"/>
      <c r="RTR32" s="1259"/>
      <c r="RTS32" s="1259"/>
      <c r="RTT32" s="1259"/>
      <c r="RTU32" s="1259"/>
      <c r="RTV32" s="1259"/>
      <c r="RTW32" s="1259"/>
      <c r="RTX32" s="1259"/>
      <c r="RTY32" s="1259"/>
      <c r="RTZ32" s="1259"/>
      <c r="RUA32" s="1259"/>
      <c r="RUB32" s="1259"/>
      <c r="RUC32" s="1259"/>
      <c r="RUD32" s="1259"/>
      <c r="RUE32" s="1259"/>
      <c r="RUF32" s="1259"/>
      <c r="RUG32" s="1259"/>
      <c r="RUH32" s="1259"/>
      <c r="RUI32" s="1259"/>
      <c r="RUJ32" s="1259"/>
      <c r="RUK32" s="1259"/>
      <c r="RUL32" s="1259"/>
      <c r="RUM32" s="1259"/>
      <c r="RUN32" s="1259"/>
      <c r="RUO32" s="1259"/>
      <c r="RUP32" s="1259"/>
      <c r="RUQ32" s="1259"/>
      <c r="RUR32" s="1259"/>
      <c r="RUS32" s="1259"/>
      <c r="RUT32" s="1259"/>
      <c r="RUU32" s="1259"/>
      <c r="RUV32" s="1259"/>
      <c r="RUW32" s="1259"/>
      <c r="RUX32" s="1259"/>
      <c r="RUY32" s="1259"/>
      <c r="RUZ32" s="1259"/>
      <c r="RVA32" s="1259"/>
      <c r="RVB32" s="1259"/>
      <c r="RVC32" s="1259"/>
      <c r="RVD32" s="1259"/>
      <c r="RVE32" s="1259"/>
      <c r="RVF32" s="1259"/>
      <c r="RVG32" s="1259"/>
      <c r="RVH32" s="1259"/>
      <c r="RVI32" s="1259"/>
      <c r="RVJ32" s="1259"/>
      <c r="RVK32" s="1259"/>
      <c r="RVL32" s="1259"/>
      <c r="RVM32" s="1259"/>
      <c r="RVN32" s="1259"/>
      <c r="RVO32" s="1259"/>
      <c r="RVP32" s="1259"/>
      <c r="RVQ32" s="1259"/>
      <c r="RVR32" s="1259"/>
      <c r="RVS32" s="1259"/>
      <c r="RVT32" s="1259"/>
      <c r="RVU32" s="1259"/>
      <c r="RVV32" s="1259"/>
      <c r="RVW32" s="1259"/>
      <c r="RVX32" s="1259"/>
      <c r="RVY32" s="1259"/>
      <c r="RVZ32" s="1259"/>
      <c r="RWA32" s="1259"/>
      <c r="RWB32" s="1259"/>
      <c r="RWC32" s="1259"/>
      <c r="RWD32" s="1259"/>
      <c r="RWE32" s="1259"/>
      <c r="RWF32" s="1259"/>
      <c r="RWG32" s="1259"/>
      <c r="RWH32" s="1259"/>
      <c r="RWI32" s="1259"/>
      <c r="RWJ32" s="1259"/>
      <c r="RWK32" s="1259"/>
      <c r="RWL32" s="1259"/>
      <c r="RWM32" s="1259"/>
      <c r="RWN32" s="1259"/>
      <c r="RWO32" s="1259"/>
      <c r="RWP32" s="1259"/>
      <c r="RWQ32" s="1259"/>
      <c r="RWR32" s="1259"/>
      <c r="RWS32" s="1259"/>
      <c r="RWT32" s="1259"/>
      <c r="RWU32" s="1259"/>
      <c r="RWV32" s="1259"/>
      <c r="RWW32" s="1259"/>
      <c r="RWX32" s="1259"/>
      <c r="RWY32" s="1259"/>
      <c r="RWZ32" s="1259"/>
      <c r="RXA32" s="1259"/>
      <c r="RXB32" s="1259"/>
      <c r="RXC32" s="1259"/>
      <c r="RXD32" s="1259"/>
      <c r="RXE32" s="1259"/>
      <c r="RXF32" s="1259"/>
      <c r="RXG32" s="1259"/>
      <c r="RXH32" s="1259"/>
      <c r="RXI32" s="1259"/>
      <c r="RXJ32" s="1259"/>
      <c r="RXK32" s="1259"/>
      <c r="RXL32" s="1259"/>
      <c r="RXM32" s="1259"/>
      <c r="RXN32" s="1259"/>
      <c r="RXO32" s="1259"/>
      <c r="RXP32" s="1259"/>
      <c r="RXQ32" s="1259"/>
      <c r="RXR32" s="1259"/>
      <c r="RXS32" s="1259"/>
      <c r="RXT32" s="1259"/>
      <c r="RXU32" s="1259"/>
      <c r="RXV32" s="1259"/>
      <c r="RXW32" s="1259"/>
      <c r="RXX32" s="1259"/>
      <c r="RXY32" s="1259"/>
      <c r="RXZ32" s="1259"/>
      <c r="RYA32" s="1259"/>
      <c r="RYB32" s="1259"/>
      <c r="RYC32" s="1259"/>
      <c r="RYD32" s="1259"/>
      <c r="RYE32" s="1259"/>
      <c r="RYF32" s="1259"/>
      <c r="RYG32" s="1259"/>
      <c r="RYH32" s="1259"/>
      <c r="RYI32" s="1259"/>
      <c r="RYJ32" s="1259"/>
      <c r="RYK32" s="1259"/>
      <c r="RYL32" s="1259"/>
      <c r="RYM32" s="1259"/>
      <c r="RYN32" s="1259"/>
      <c r="RYO32" s="1259"/>
      <c r="RYP32" s="1259"/>
      <c r="RYQ32" s="1259"/>
      <c r="RYR32" s="1259"/>
      <c r="RYS32" s="1259"/>
      <c r="RYT32" s="1259"/>
      <c r="RYU32" s="1259"/>
      <c r="RYV32" s="1259"/>
      <c r="RYW32" s="1259"/>
      <c r="RYX32" s="1259"/>
      <c r="RYY32" s="1259"/>
      <c r="RYZ32" s="1259"/>
      <c r="RZA32" s="1259"/>
      <c r="RZB32" s="1259"/>
      <c r="RZC32" s="1259"/>
      <c r="RZD32" s="1259"/>
      <c r="RZE32" s="1259"/>
      <c r="RZF32" s="1259"/>
      <c r="RZG32" s="1259"/>
      <c r="RZH32" s="1259"/>
      <c r="RZI32" s="1259"/>
      <c r="RZJ32" s="1259"/>
      <c r="RZK32" s="1259"/>
      <c r="RZL32" s="1259"/>
      <c r="RZM32" s="1259"/>
      <c r="RZN32" s="1259"/>
      <c r="RZO32" s="1259"/>
      <c r="RZP32" s="1259"/>
      <c r="RZQ32" s="1259"/>
      <c r="RZR32" s="1259"/>
      <c r="RZS32" s="1259"/>
      <c r="RZT32" s="1259"/>
      <c r="RZU32" s="1259"/>
      <c r="RZV32" s="1259"/>
      <c r="RZW32" s="1259"/>
      <c r="RZX32" s="1259"/>
      <c r="RZY32" s="1259"/>
      <c r="RZZ32" s="1259"/>
      <c r="SAA32" s="1259"/>
      <c r="SAB32" s="1259"/>
      <c r="SAC32" s="1259"/>
      <c r="SAD32" s="1259"/>
      <c r="SAE32" s="1259"/>
      <c r="SAF32" s="1259"/>
      <c r="SAG32" s="1259"/>
      <c r="SAH32" s="1259"/>
      <c r="SAI32" s="1259"/>
      <c r="SAJ32" s="1259"/>
      <c r="SAK32" s="1259"/>
      <c r="SAL32" s="1259"/>
      <c r="SAM32" s="1259"/>
      <c r="SAN32" s="1259"/>
      <c r="SAO32" s="1259"/>
      <c r="SAP32" s="1259"/>
      <c r="SAQ32" s="1259"/>
      <c r="SAR32" s="1259"/>
      <c r="SAS32" s="1259"/>
      <c r="SAT32" s="1259"/>
      <c r="SAU32" s="1259"/>
      <c r="SAV32" s="1259"/>
      <c r="SAW32" s="1259"/>
      <c r="SAX32" s="1259"/>
      <c r="SAY32" s="1259"/>
      <c r="SAZ32" s="1259"/>
      <c r="SBA32" s="1259"/>
      <c r="SBB32" s="1259"/>
      <c r="SBC32" s="1259"/>
      <c r="SBD32" s="1259"/>
      <c r="SBE32" s="1259"/>
      <c r="SBF32" s="1259"/>
      <c r="SBG32" s="1259"/>
      <c r="SBH32" s="1259"/>
      <c r="SBI32" s="1259"/>
      <c r="SBJ32" s="1259"/>
      <c r="SBK32" s="1259"/>
      <c r="SBL32" s="1259"/>
      <c r="SBM32" s="1259"/>
      <c r="SBN32" s="1259"/>
      <c r="SBO32" s="1259"/>
      <c r="SBP32" s="1259"/>
      <c r="SBQ32" s="1259"/>
      <c r="SBR32" s="1259"/>
      <c r="SBS32" s="1259"/>
      <c r="SBT32" s="1259"/>
      <c r="SBU32" s="1259"/>
      <c r="SBV32" s="1259"/>
      <c r="SBW32" s="1259"/>
      <c r="SBX32" s="1259"/>
      <c r="SBY32" s="1259"/>
      <c r="SBZ32" s="1259"/>
      <c r="SCA32" s="1259"/>
      <c r="SCB32" s="1259"/>
      <c r="SCC32" s="1259"/>
      <c r="SCD32" s="1259"/>
      <c r="SCE32" s="1259"/>
      <c r="SCF32" s="1259"/>
      <c r="SCG32" s="1259"/>
      <c r="SCH32" s="1259"/>
      <c r="SCI32" s="1259"/>
      <c r="SCJ32" s="1259"/>
      <c r="SCK32" s="1259"/>
      <c r="SCL32" s="1259"/>
      <c r="SCM32" s="1259"/>
      <c r="SCN32" s="1259"/>
      <c r="SCO32" s="1259"/>
      <c r="SCP32" s="1259"/>
      <c r="SCQ32" s="1259"/>
      <c r="SCR32" s="1259"/>
      <c r="SCS32" s="1259"/>
      <c r="SCT32" s="1259"/>
      <c r="SCU32" s="1259"/>
      <c r="SCV32" s="1259"/>
      <c r="SCW32" s="1259"/>
      <c r="SCX32" s="1259"/>
      <c r="SCY32" s="1259"/>
      <c r="SCZ32" s="1259"/>
      <c r="SDA32" s="1259"/>
      <c r="SDB32" s="1259"/>
      <c r="SDC32" s="1259"/>
      <c r="SDD32" s="1259"/>
      <c r="SDE32" s="1259"/>
      <c r="SDF32" s="1259"/>
      <c r="SDG32" s="1259"/>
      <c r="SDH32" s="1259"/>
      <c r="SDI32" s="1259"/>
      <c r="SDJ32" s="1259"/>
      <c r="SDK32" s="1259"/>
      <c r="SDL32" s="1259"/>
      <c r="SDM32" s="1259"/>
      <c r="SDN32" s="1259"/>
      <c r="SDO32" s="1259"/>
      <c r="SDP32" s="1259"/>
      <c r="SDQ32" s="1259"/>
      <c r="SDR32" s="1259"/>
      <c r="SDS32" s="1259"/>
      <c r="SDT32" s="1259"/>
      <c r="SDU32" s="1259"/>
      <c r="SDV32" s="1259"/>
      <c r="SDW32" s="1259"/>
      <c r="SDX32" s="1259"/>
      <c r="SDY32" s="1259"/>
      <c r="SDZ32" s="1259"/>
      <c r="SEA32" s="1259"/>
      <c r="SEB32" s="1259"/>
      <c r="SEC32" s="1259"/>
      <c r="SED32" s="1259"/>
      <c r="SEE32" s="1259"/>
      <c r="SEF32" s="1259"/>
      <c r="SEG32" s="1259"/>
      <c r="SEH32" s="1259"/>
      <c r="SEI32" s="1259"/>
      <c r="SEJ32" s="1259"/>
      <c r="SEK32" s="1259"/>
      <c r="SEL32" s="1259"/>
      <c r="SEM32" s="1259"/>
      <c r="SEN32" s="1259"/>
      <c r="SEO32" s="1259"/>
      <c r="SEP32" s="1259"/>
      <c r="SEQ32" s="1259"/>
      <c r="SER32" s="1259"/>
      <c r="SES32" s="1259"/>
      <c r="SET32" s="1259"/>
      <c r="SEU32" s="1259"/>
      <c r="SEV32" s="1259"/>
      <c r="SEW32" s="1259"/>
      <c r="SEX32" s="1259"/>
      <c r="SEY32" s="1259"/>
      <c r="SEZ32" s="1259"/>
      <c r="SFA32" s="1259"/>
      <c r="SFB32" s="1259"/>
      <c r="SFC32" s="1259"/>
      <c r="SFD32" s="1259"/>
      <c r="SFE32" s="1259"/>
      <c r="SFF32" s="1259"/>
      <c r="SFG32" s="1259"/>
      <c r="SFH32" s="1259"/>
      <c r="SFI32" s="1259"/>
      <c r="SFJ32" s="1259"/>
      <c r="SFK32" s="1259"/>
      <c r="SFL32" s="1259"/>
      <c r="SFM32" s="1259"/>
      <c r="SFN32" s="1259"/>
      <c r="SFO32" s="1259"/>
      <c r="SFP32" s="1259"/>
      <c r="SFQ32" s="1259"/>
      <c r="SFR32" s="1259"/>
      <c r="SFS32" s="1259"/>
      <c r="SFT32" s="1259"/>
      <c r="SFU32" s="1259"/>
      <c r="SFV32" s="1259"/>
      <c r="SFW32" s="1259"/>
      <c r="SFX32" s="1259"/>
      <c r="SFY32" s="1259"/>
      <c r="SFZ32" s="1259"/>
      <c r="SGA32" s="1259"/>
      <c r="SGB32" s="1259"/>
      <c r="SGC32" s="1259"/>
      <c r="SGD32" s="1259"/>
      <c r="SGE32" s="1259"/>
      <c r="SGF32" s="1259"/>
      <c r="SGG32" s="1259"/>
      <c r="SGH32" s="1259"/>
      <c r="SGI32" s="1259"/>
      <c r="SGJ32" s="1259"/>
      <c r="SGK32" s="1259"/>
      <c r="SGL32" s="1259"/>
      <c r="SGM32" s="1259"/>
      <c r="SGN32" s="1259"/>
      <c r="SGO32" s="1259"/>
      <c r="SGP32" s="1259"/>
      <c r="SGQ32" s="1259"/>
      <c r="SGR32" s="1259"/>
      <c r="SGS32" s="1259"/>
      <c r="SGT32" s="1259"/>
      <c r="SGU32" s="1259"/>
      <c r="SGV32" s="1259"/>
      <c r="SGW32" s="1259"/>
      <c r="SGX32" s="1259"/>
      <c r="SGY32" s="1259"/>
      <c r="SGZ32" s="1259"/>
      <c r="SHA32" s="1259"/>
      <c r="SHB32" s="1259"/>
      <c r="SHC32" s="1259"/>
      <c r="SHD32" s="1259"/>
      <c r="SHE32" s="1259"/>
      <c r="SHF32" s="1259"/>
      <c r="SHG32" s="1259"/>
      <c r="SHH32" s="1259"/>
      <c r="SHI32" s="1259"/>
      <c r="SHJ32" s="1259"/>
      <c r="SHK32" s="1259"/>
      <c r="SHL32" s="1259"/>
      <c r="SHM32" s="1259"/>
      <c r="SHN32" s="1259"/>
      <c r="SHO32" s="1259"/>
      <c r="SHP32" s="1259"/>
      <c r="SHQ32" s="1259"/>
      <c r="SHR32" s="1259"/>
      <c r="SHS32" s="1259"/>
      <c r="SHT32" s="1259"/>
      <c r="SHU32" s="1259"/>
      <c r="SHV32" s="1259"/>
      <c r="SHW32" s="1259"/>
      <c r="SHX32" s="1259"/>
      <c r="SHY32" s="1259"/>
      <c r="SHZ32" s="1259"/>
      <c r="SIA32" s="1259"/>
      <c r="SIB32" s="1259"/>
      <c r="SIC32" s="1259"/>
      <c r="SID32" s="1259"/>
      <c r="SIE32" s="1259"/>
      <c r="SIF32" s="1259"/>
      <c r="SIG32" s="1259"/>
      <c r="SIH32" s="1259"/>
      <c r="SII32" s="1259"/>
      <c r="SIJ32" s="1259"/>
      <c r="SIK32" s="1259"/>
      <c r="SIL32" s="1259"/>
      <c r="SIM32" s="1259"/>
      <c r="SIN32" s="1259"/>
      <c r="SIO32" s="1259"/>
      <c r="SIP32" s="1259"/>
      <c r="SIQ32" s="1259"/>
      <c r="SIR32" s="1259"/>
      <c r="SIS32" s="1259"/>
      <c r="SIT32" s="1259"/>
      <c r="SIU32" s="1259"/>
      <c r="SIV32" s="1259"/>
      <c r="SIW32" s="1259"/>
      <c r="SIX32" s="1259"/>
      <c r="SIY32" s="1259"/>
      <c r="SIZ32" s="1259"/>
      <c r="SJA32" s="1259"/>
      <c r="SJB32" s="1259"/>
      <c r="SJC32" s="1259"/>
      <c r="SJD32" s="1259"/>
      <c r="SJE32" s="1259"/>
      <c r="SJF32" s="1259"/>
      <c r="SJG32" s="1259"/>
      <c r="SJH32" s="1259"/>
      <c r="SJI32" s="1259"/>
      <c r="SJJ32" s="1259"/>
      <c r="SJK32" s="1259"/>
      <c r="SJL32" s="1259"/>
      <c r="SJM32" s="1259"/>
      <c r="SJN32" s="1259"/>
      <c r="SJO32" s="1259"/>
      <c r="SJP32" s="1259"/>
      <c r="SJQ32" s="1259"/>
      <c r="SJR32" s="1259"/>
      <c r="SJS32" s="1259"/>
      <c r="SJT32" s="1259"/>
      <c r="SJU32" s="1259"/>
      <c r="SJV32" s="1259"/>
      <c r="SJW32" s="1259"/>
      <c r="SJX32" s="1259"/>
      <c r="SJY32" s="1259"/>
      <c r="SJZ32" s="1259"/>
      <c r="SKA32" s="1259"/>
      <c r="SKB32" s="1259"/>
      <c r="SKC32" s="1259"/>
      <c r="SKD32" s="1259"/>
      <c r="SKE32" s="1259"/>
      <c r="SKF32" s="1259"/>
      <c r="SKG32" s="1259"/>
      <c r="SKH32" s="1259"/>
      <c r="SKI32" s="1259"/>
      <c r="SKJ32" s="1259"/>
      <c r="SKK32" s="1259"/>
      <c r="SKL32" s="1259"/>
      <c r="SKM32" s="1259"/>
      <c r="SKN32" s="1259"/>
      <c r="SKO32" s="1259"/>
      <c r="SKP32" s="1259"/>
      <c r="SKQ32" s="1259"/>
      <c r="SKR32" s="1259"/>
      <c r="SKS32" s="1259"/>
      <c r="SKT32" s="1259"/>
      <c r="SKU32" s="1259"/>
      <c r="SKV32" s="1259"/>
      <c r="SKW32" s="1259"/>
      <c r="SKX32" s="1259"/>
      <c r="SKY32" s="1259"/>
      <c r="SKZ32" s="1259"/>
      <c r="SLA32" s="1259"/>
      <c r="SLB32" s="1259"/>
      <c r="SLC32" s="1259"/>
      <c r="SLD32" s="1259"/>
      <c r="SLE32" s="1259"/>
      <c r="SLF32" s="1259"/>
      <c r="SLG32" s="1259"/>
      <c r="SLH32" s="1259"/>
      <c r="SLI32" s="1259"/>
      <c r="SLJ32" s="1259"/>
      <c r="SLK32" s="1259"/>
      <c r="SLL32" s="1259"/>
      <c r="SLM32" s="1259"/>
      <c r="SLN32" s="1259"/>
      <c r="SLO32" s="1259"/>
      <c r="SLP32" s="1259"/>
      <c r="SLQ32" s="1259"/>
      <c r="SLR32" s="1259"/>
      <c r="SLS32" s="1259"/>
      <c r="SLT32" s="1259"/>
      <c r="SLU32" s="1259"/>
      <c r="SLV32" s="1259"/>
      <c r="SLW32" s="1259"/>
      <c r="SLX32" s="1259"/>
      <c r="SLY32" s="1259"/>
      <c r="SLZ32" s="1259"/>
      <c r="SMA32" s="1259"/>
      <c r="SMB32" s="1259"/>
      <c r="SMC32" s="1259"/>
      <c r="SMD32" s="1259"/>
      <c r="SME32" s="1259"/>
      <c r="SMF32" s="1259"/>
      <c r="SMG32" s="1259"/>
      <c r="SMH32" s="1259"/>
      <c r="SMI32" s="1259"/>
      <c r="SMJ32" s="1259"/>
      <c r="SMK32" s="1259"/>
      <c r="SML32" s="1259"/>
      <c r="SMM32" s="1259"/>
      <c r="SMN32" s="1259"/>
      <c r="SMO32" s="1259"/>
      <c r="SMP32" s="1259"/>
      <c r="SMQ32" s="1259"/>
      <c r="SMR32" s="1259"/>
      <c r="SMS32" s="1259"/>
      <c r="SMT32" s="1259"/>
      <c r="SMU32" s="1259"/>
      <c r="SMV32" s="1259"/>
      <c r="SMW32" s="1259"/>
      <c r="SMX32" s="1259"/>
      <c r="SMY32" s="1259"/>
      <c r="SMZ32" s="1259"/>
      <c r="SNA32" s="1259"/>
      <c r="SNB32" s="1259"/>
      <c r="SNC32" s="1259"/>
      <c r="SND32" s="1259"/>
      <c r="SNE32" s="1259"/>
      <c r="SNF32" s="1259"/>
      <c r="SNG32" s="1259"/>
      <c r="SNH32" s="1259"/>
      <c r="SNI32" s="1259"/>
      <c r="SNJ32" s="1259"/>
      <c r="SNK32" s="1259"/>
      <c r="SNL32" s="1259"/>
      <c r="SNM32" s="1259"/>
      <c r="SNN32" s="1259"/>
      <c r="SNO32" s="1259"/>
      <c r="SNP32" s="1259"/>
      <c r="SNQ32" s="1259"/>
      <c r="SNR32" s="1259"/>
      <c r="SNS32" s="1259"/>
      <c r="SNT32" s="1259"/>
      <c r="SNU32" s="1259"/>
      <c r="SNV32" s="1259"/>
      <c r="SNW32" s="1259"/>
      <c r="SNX32" s="1259"/>
      <c r="SNY32" s="1259"/>
      <c r="SNZ32" s="1259"/>
      <c r="SOA32" s="1259"/>
      <c r="SOB32" s="1259"/>
      <c r="SOC32" s="1259"/>
      <c r="SOD32" s="1259"/>
      <c r="SOE32" s="1259"/>
      <c r="SOF32" s="1259"/>
      <c r="SOG32" s="1259"/>
      <c r="SOH32" s="1259"/>
      <c r="SOI32" s="1259"/>
      <c r="SOJ32" s="1259"/>
      <c r="SOK32" s="1259"/>
      <c r="SOL32" s="1259"/>
      <c r="SOM32" s="1259"/>
      <c r="SON32" s="1259"/>
      <c r="SOO32" s="1259"/>
      <c r="SOP32" s="1259"/>
      <c r="SOQ32" s="1259"/>
      <c r="SOR32" s="1259"/>
      <c r="SOS32" s="1259"/>
      <c r="SOT32" s="1259"/>
      <c r="SOU32" s="1259"/>
      <c r="SOV32" s="1259"/>
      <c r="SOW32" s="1259"/>
      <c r="SOX32" s="1259"/>
      <c r="SOY32" s="1259"/>
      <c r="SOZ32" s="1259"/>
      <c r="SPA32" s="1259"/>
      <c r="SPB32" s="1259"/>
      <c r="SPC32" s="1259"/>
      <c r="SPD32" s="1259"/>
      <c r="SPE32" s="1259"/>
      <c r="SPF32" s="1259"/>
      <c r="SPG32" s="1259"/>
      <c r="SPH32" s="1259"/>
      <c r="SPI32" s="1259"/>
      <c r="SPJ32" s="1259"/>
      <c r="SPK32" s="1259"/>
      <c r="SPL32" s="1259"/>
      <c r="SPM32" s="1259"/>
      <c r="SPN32" s="1259"/>
      <c r="SPO32" s="1259"/>
      <c r="SPP32" s="1259"/>
      <c r="SPQ32" s="1259"/>
      <c r="SPR32" s="1259"/>
      <c r="SPS32" s="1259"/>
      <c r="SPT32" s="1259"/>
      <c r="SPU32" s="1259"/>
      <c r="SPV32" s="1259"/>
      <c r="SPW32" s="1259"/>
      <c r="SPX32" s="1259"/>
      <c r="SPY32" s="1259"/>
      <c r="SPZ32" s="1259"/>
      <c r="SQA32" s="1259"/>
      <c r="SQB32" s="1259"/>
      <c r="SQC32" s="1259"/>
      <c r="SQD32" s="1259"/>
      <c r="SQE32" s="1259"/>
      <c r="SQF32" s="1259"/>
      <c r="SQG32" s="1259"/>
      <c r="SQH32" s="1259"/>
      <c r="SQI32" s="1259"/>
      <c r="SQJ32" s="1259"/>
      <c r="SQK32" s="1259"/>
      <c r="SQL32" s="1259"/>
      <c r="SQM32" s="1259"/>
      <c r="SQN32" s="1259"/>
      <c r="SQO32" s="1259"/>
      <c r="SQP32" s="1259"/>
      <c r="SQQ32" s="1259"/>
      <c r="SQR32" s="1259"/>
      <c r="SQS32" s="1259"/>
      <c r="SQT32" s="1259"/>
      <c r="SQU32" s="1259"/>
      <c r="SQV32" s="1259"/>
      <c r="SQW32" s="1259"/>
      <c r="SQX32" s="1259"/>
      <c r="SQY32" s="1259"/>
      <c r="SQZ32" s="1259"/>
      <c r="SRA32" s="1259"/>
      <c r="SRB32" s="1259"/>
      <c r="SRC32" s="1259"/>
      <c r="SRD32" s="1259"/>
      <c r="SRE32" s="1259"/>
      <c r="SRF32" s="1259"/>
      <c r="SRG32" s="1259"/>
      <c r="SRH32" s="1259"/>
      <c r="SRI32" s="1259"/>
      <c r="SRJ32" s="1259"/>
      <c r="SRK32" s="1259"/>
      <c r="SRL32" s="1259"/>
      <c r="SRM32" s="1259"/>
      <c r="SRN32" s="1259"/>
      <c r="SRO32" s="1259"/>
      <c r="SRP32" s="1259"/>
      <c r="SRQ32" s="1259"/>
      <c r="SRR32" s="1259"/>
      <c r="SRS32" s="1259"/>
      <c r="SRT32" s="1259"/>
      <c r="SRU32" s="1259"/>
      <c r="SRV32" s="1259"/>
      <c r="SRW32" s="1259"/>
      <c r="SRX32" s="1259"/>
      <c r="SRY32" s="1259"/>
      <c r="SRZ32" s="1259"/>
      <c r="SSA32" s="1259"/>
      <c r="SSB32" s="1259"/>
      <c r="SSC32" s="1259"/>
      <c r="SSD32" s="1259"/>
      <c r="SSE32" s="1259"/>
      <c r="SSF32" s="1259"/>
      <c r="SSG32" s="1259"/>
      <c r="SSH32" s="1259"/>
      <c r="SSI32" s="1259"/>
      <c r="SSJ32" s="1259"/>
      <c r="SSK32" s="1259"/>
      <c r="SSL32" s="1259"/>
      <c r="SSM32" s="1259"/>
      <c r="SSN32" s="1259"/>
      <c r="SSO32" s="1259"/>
      <c r="SSP32" s="1259"/>
      <c r="SSQ32" s="1259"/>
      <c r="SSR32" s="1259"/>
      <c r="SSS32" s="1259"/>
      <c r="SST32" s="1259"/>
      <c r="SSU32" s="1259"/>
      <c r="SSV32" s="1259"/>
      <c r="SSW32" s="1259"/>
      <c r="SSX32" s="1259"/>
      <c r="SSY32" s="1259"/>
      <c r="SSZ32" s="1259"/>
      <c r="STA32" s="1259"/>
      <c r="STB32" s="1259"/>
      <c r="STC32" s="1259"/>
      <c r="STD32" s="1259"/>
      <c r="STE32" s="1259"/>
      <c r="STF32" s="1259"/>
      <c r="STG32" s="1259"/>
      <c r="STH32" s="1259"/>
      <c r="STI32" s="1259"/>
      <c r="STJ32" s="1259"/>
      <c r="STK32" s="1259"/>
      <c r="STL32" s="1259"/>
      <c r="STM32" s="1259"/>
      <c r="STN32" s="1259"/>
      <c r="STO32" s="1259"/>
      <c r="STP32" s="1259"/>
      <c r="STQ32" s="1259"/>
      <c r="STR32" s="1259"/>
      <c r="STS32" s="1259"/>
      <c r="STT32" s="1259"/>
      <c r="STU32" s="1259"/>
      <c r="STV32" s="1259"/>
      <c r="STW32" s="1259"/>
      <c r="STX32" s="1259"/>
      <c r="STY32" s="1259"/>
      <c r="STZ32" s="1259"/>
      <c r="SUA32" s="1259"/>
      <c r="SUB32" s="1259"/>
      <c r="SUC32" s="1259"/>
      <c r="SUD32" s="1259"/>
      <c r="SUE32" s="1259"/>
      <c r="SUF32" s="1259"/>
      <c r="SUG32" s="1259"/>
      <c r="SUH32" s="1259"/>
      <c r="SUI32" s="1259"/>
      <c r="SUJ32" s="1259"/>
      <c r="SUK32" s="1259"/>
      <c r="SUL32" s="1259"/>
      <c r="SUM32" s="1259"/>
      <c r="SUN32" s="1259"/>
      <c r="SUO32" s="1259"/>
      <c r="SUP32" s="1259"/>
      <c r="SUQ32" s="1259"/>
      <c r="SUR32" s="1259"/>
      <c r="SUS32" s="1259"/>
      <c r="SUT32" s="1259"/>
      <c r="SUU32" s="1259"/>
      <c r="SUV32" s="1259"/>
      <c r="SUW32" s="1259"/>
      <c r="SUX32" s="1259"/>
      <c r="SUY32" s="1259"/>
      <c r="SUZ32" s="1259"/>
      <c r="SVA32" s="1259"/>
      <c r="SVB32" s="1259"/>
      <c r="SVC32" s="1259"/>
      <c r="SVD32" s="1259"/>
      <c r="SVE32" s="1259"/>
      <c r="SVF32" s="1259"/>
      <c r="SVG32" s="1259"/>
      <c r="SVH32" s="1259"/>
      <c r="SVI32" s="1259"/>
      <c r="SVJ32" s="1259"/>
      <c r="SVK32" s="1259"/>
      <c r="SVL32" s="1259"/>
      <c r="SVM32" s="1259"/>
      <c r="SVN32" s="1259"/>
      <c r="SVO32" s="1259"/>
      <c r="SVP32" s="1259"/>
      <c r="SVQ32" s="1259"/>
      <c r="SVR32" s="1259"/>
      <c r="SVS32" s="1259"/>
      <c r="SVT32" s="1259"/>
      <c r="SVU32" s="1259"/>
      <c r="SVV32" s="1259"/>
      <c r="SVW32" s="1259"/>
      <c r="SVX32" s="1259"/>
      <c r="SVY32" s="1259"/>
      <c r="SVZ32" s="1259"/>
      <c r="SWA32" s="1259"/>
      <c r="SWB32" s="1259"/>
      <c r="SWC32" s="1259"/>
      <c r="SWD32" s="1259"/>
      <c r="SWE32" s="1259"/>
      <c r="SWF32" s="1259"/>
      <c r="SWG32" s="1259"/>
      <c r="SWH32" s="1259"/>
      <c r="SWI32" s="1259"/>
      <c r="SWJ32" s="1259"/>
      <c r="SWK32" s="1259"/>
      <c r="SWL32" s="1259"/>
      <c r="SWM32" s="1259"/>
      <c r="SWN32" s="1259"/>
      <c r="SWO32" s="1259"/>
      <c r="SWP32" s="1259"/>
      <c r="SWQ32" s="1259"/>
      <c r="SWR32" s="1259"/>
      <c r="SWS32" s="1259"/>
      <c r="SWT32" s="1259"/>
      <c r="SWU32" s="1259"/>
      <c r="SWV32" s="1259"/>
      <c r="SWW32" s="1259"/>
      <c r="SWX32" s="1259"/>
      <c r="SWY32" s="1259"/>
      <c r="SWZ32" s="1259"/>
      <c r="SXA32" s="1259"/>
      <c r="SXB32" s="1259"/>
      <c r="SXC32" s="1259"/>
      <c r="SXD32" s="1259"/>
      <c r="SXE32" s="1259"/>
      <c r="SXF32" s="1259"/>
      <c r="SXG32" s="1259"/>
      <c r="SXH32" s="1259"/>
      <c r="SXI32" s="1259"/>
      <c r="SXJ32" s="1259"/>
      <c r="SXK32" s="1259"/>
      <c r="SXL32" s="1259"/>
      <c r="SXM32" s="1259"/>
      <c r="SXN32" s="1259"/>
      <c r="SXO32" s="1259"/>
      <c r="SXP32" s="1259"/>
      <c r="SXQ32" s="1259"/>
      <c r="SXR32" s="1259"/>
      <c r="SXS32" s="1259"/>
      <c r="SXT32" s="1259"/>
      <c r="SXU32" s="1259"/>
      <c r="SXV32" s="1259"/>
      <c r="SXW32" s="1259"/>
      <c r="SXX32" s="1259"/>
      <c r="SXY32" s="1259"/>
      <c r="SXZ32" s="1259"/>
      <c r="SYA32" s="1259"/>
      <c r="SYB32" s="1259"/>
      <c r="SYC32" s="1259"/>
      <c r="SYD32" s="1259"/>
      <c r="SYE32" s="1259"/>
      <c r="SYF32" s="1259"/>
      <c r="SYG32" s="1259"/>
      <c r="SYH32" s="1259"/>
      <c r="SYI32" s="1259"/>
      <c r="SYJ32" s="1259"/>
      <c r="SYK32" s="1259"/>
      <c r="SYL32" s="1259"/>
      <c r="SYM32" s="1259"/>
      <c r="SYN32" s="1259"/>
      <c r="SYO32" s="1259"/>
      <c r="SYP32" s="1259"/>
      <c r="SYQ32" s="1259"/>
      <c r="SYR32" s="1259"/>
      <c r="SYS32" s="1259"/>
      <c r="SYT32" s="1259"/>
      <c r="SYU32" s="1259"/>
      <c r="SYV32" s="1259"/>
      <c r="SYW32" s="1259"/>
      <c r="SYX32" s="1259"/>
      <c r="SYY32" s="1259"/>
      <c r="SYZ32" s="1259"/>
      <c r="SZA32" s="1259"/>
      <c r="SZB32" s="1259"/>
      <c r="SZC32" s="1259"/>
      <c r="SZD32" s="1259"/>
      <c r="SZE32" s="1259"/>
      <c r="SZF32" s="1259"/>
      <c r="SZG32" s="1259"/>
      <c r="SZH32" s="1259"/>
      <c r="SZI32" s="1259"/>
      <c r="SZJ32" s="1259"/>
      <c r="SZK32" s="1259"/>
      <c r="SZL32" s="1259"/>
      <c r="SZM32" s="1259"/>
      <c r="SZN32" s="1259"/>
      <c r="SZO32" s="1259"/>
      <c r="SZP32" s="1259"/>
      <c r="SZQ32" s="1259"/>
      <c r="SZR32" s="1259"/>
      <c r="SZS32" s="1259"/>
      <c r="SZT32" s="1259"/>
      <c r="SZU32" s="1259"/>
      <c r="SZV32" s="1259"/>
      <c r="SZW32" s="1259"/>
      <c r="SZX32" s="1259"/>
      <c r="SZY32" s="1259"/>
      <c r="SZZ32" s="1259"/>
      <c r="TAA32" s="1259"/>
      <c r="TAB32" s="1259"/>
      <c r="TAC32" s="1259"/>
      <c r="TAD32" s="1259"/>
      <c r="TAE32" s="1259"/>
      <c r="TAF32" s="1259"/>
      <c r="TAG32" s="1259"/>
      <c r="TAH32" s="1259"/>
      <c r="TAI32" s="1259"/>
      <c r="TAJ32" s="1259"/>
      <c r="TAK32" s="1259"/>
      <c r="TAL32" s="1259"/>
      <c r="TAM32" s="1259"/>
      <c r="TAN32" s="1259"/>
      <c r="TAO32" s="1259"/>
      <c r="TAP32" s="1259"/>
      <c r="TAQ32" s="1259"/>
      <c r="TAR32" s="1259"/>
      <c r="TAS32" s="1259"/>
      <c r="TAT32" s="1259"/>
      <c r="TAU32" s="1259"/>
      <c r="TAV32" s="1259"/>
      <c r="TAW32" s="1259"/>
      <c r="TAX32" s="1259"/>
      <c r="TAY32" s="1259"/>
      <c r="TAZ32" s="1259"/>
      <c r="TBA32" s="1259"/>
      <c r="TBB32" s="1259"/>
      <c r="TBC32" s="1259"/>
      <c r="TBD32" s="1259"/>
      <c r="TBE32" s="1259"/>
      <c r="TBF32" s="1259"/>
      <c r="TBG32" s="1259"/>
      <c r="TBH32" s="1259"/>
      <c r="TBI32" s="1259"/>
      <c r="TBJ32" s="1259"/>
      <c r="TBK32" s="1259"/>
      <c r="TBL32" s="1259"/>
      <c r="TBM32" s="1259"/>
      <c r="TBN32" s="1259"/>
      <c r="TBO32" s="1259"/>
      <c r="TBP32" s="1259"/>
      <c r="TBQ32" s="1259"/>
      <c r="TBR32" s="1259"/>
      <c r="TBS32" s="1259"/>
      <c r="TBT32" s="1259"/>
      <c r="TBU32" s="1259"/>
      <c r="TBV32" s="1259"/>
      <c r="TBW32" s="1259"/>
      <c r="TBX32" s="1259"/>
      <c r="TBY32" s="1259"/>
      <c r="TBZ32" s="1259"/>
      <c r="TCA32" s="1259"/>
      <c r="TCB32" s="1259"/>
      <c r="TCC32" s="1259"/>
      <c r="TCD32" s="1259"/>
      <c r="TCE32" s="1259"/>
      <c r="TCF32" s="1259"/>
      <c r="TCG32" s="1259"/>
      <c r="TCH32" s="1259"/>
      <c r="TCI32" s="1259"/>
      <c r="TCJ32" s="1259"/>
      <c r="TCK32" s="1259"/>
      <c r="TCL32" s="1259"/>
      <c r="TCM32" s="1259"/>
      <c r="TCN32" s="1259"/>
      <c r="TCO32" s="1259"/>
      <c r="TCP32" s="1259"/>
      <c r="TCQ32" s="1259"/>
      <c r="TCR32" s="1259"/>
      <c r="TCS32" s="1259"/>
      <c r="TCT32" s="1259"/>
      <c r="TCU32" s="1259"/>
      <c r="TCV32" s="1259"/>
      <c r="TCW32" s="1259"/>
      <c r="TCX32" s="1259"/>
      <c r="TCY32" s="1259"/>
      <c r="TCZ32" s="1259"/>
      <c r="TDA32" s="1259"/>
      <c r="TDB32" s="1259"/>
      <c r="TDC32" s="1259"/>
      <c r="TDD32" s="1259"/>
      <c r="TDE32" s="1259"/>
      <c r="TDF32" s="1259"/>
      <c r="TDG32" s="1259"/>
      <c r="TDH32" s="1259"/>
      <c r="TDI32" s="1259"/>
      <c r="TDJ32" s="1259"/>
      <c r="TDK32" s="1259"/>
      <c r="TDL32" s="1259"/>
      <c r="TDM32" s="1259"/>
      <c r="TDN32" s="1259"/>
      <c r="TDO32" s="1259"/>
      <c r="TDP32" s="1259"/>
      <c r="TDQ32" s="1259"/>
      <c r="TDR32" s="1259"/>
      <c r="TDS32" s="1259"/>
      <c r="TDT32" s="1259"/>
      <c r="TDU32" s="1259"/>
      <c r="TDV32" s="1259"/>
      <c r="TDW32" s="1259"/>
      <c r="TDX32" s="1259"/>
      <c r="TDY32" s="1259"/>
      <c r="TDZ32" s="1259"/>
      <c r="TEA32" s="1259"/>
      <c r="TEB32" s="1259"/>
      <c r="TEC32" s="1259"/>
      <c r="TED32" s="1259"/>
      <c r="TEE32" s="1259"/>
      <c r="TEF32" s="1259"/>
      <c r="TEG32" s="1259"/>
      <c r="TEH32" s="1259"/>
      <c r="TEI32" s="1259"/>
      <c r="TEJ32" s="1259"/>
      <c r="TEK32" s="1259"/>
      <c r="TEL32" s="1259"/>
      <c r="TEM32" s="1259"/>
      <c r="TEN32" s="1259"/>
      <c r="TEO32" s="1259"/>
      <c r="TEP32" s="1259"/>
      <c r="TEQ32" s="1259"/>
      <c r="TER32" s="1259"/>
      <c r="TES32" s="1259"/>
      <c r="TET32" s="1259"/>
      <c r="TEU32" s="1259"/>
      <c r="TEV32" s="1259"/>
      <c r="TEW32" s="1259"/>
      <c r="TEX32" s="1259"/>
      <c r="TEY32" s="1259"/>
      <c r="TEZ32" s="1259"/>
      <c r="TFA32" s="1259"/>
      <c r="TFB32" s="1259"/>
      <c r="TFC32" s="1259"/>
      <c r="TFD32" s="1259"/>
      <c r="TFE32" s="1259"/>
      <c r="TFF32" s="1259"/>
      <c r="TFG32" s="1259"/>
      <c r="TFH32" s="1259"/>
      <c r="TFI32" s="1259"/>
      <c r="TFJ32" s="1259"/>
      <c r="TFK32" s="1259"/>
      <c r="TFL32" s="1259"/>
      <c r="TFM32" s="1259"/>
      <c r="TFN32" s="1259"/>
      <c r="TFO32" s="1259"/>
      <c r="TFP32" s="1259"/>
      <c r="TFQ32" s="1259"/>
      <c r="TFR32" s="1259"/>
      <c r="TFS32" s="1259"/>
      <c r="TFT32" s="1259"/>
      <c r="TFU32" s="1259"/>
      <c r="TFV32" s="1259"/>
      <c r="TFW32" s="1259"/>
      <c r="TFX32" s="1259"/>
      <c r="TFY32" s="1259"/>
      <c r="TFZ32" s="1259"/>
      <c r="TGA32" s="1259"/>
      <c r="TGB32" s="1259"/>
      <c r="TGC32" s="1259"/>
      <c r="TGD32" s="1259"/>
      <c r="TGE32" s="1259"/>
      <c r="TGF32" s="1259"/>
      <c r="TGG32" s="1259"/>
      <c r="TGH32" s="1259"/>
      <c r="TGI32" s="1259"/>
      <c r="TGJ32" s="1259"/>
      <c r="TGK32" s="1259"/>
      <c r="TGL32" s="1259"/>
      <c r="TGM32" s="1259"/>
      <c r="TGN32" s="1259"/>
      <c r="TGO32" s="1259"/>
      <c r="TGP32" s="1259"/>
      <c r="TGQ32" s="1259"/>
      <c r="TGR32" s="1259"/>
      <c r="TGS32" s="1259"/>
      <c r="TGT32" s="1259"/>
      <c r="TGU32" s="1259"/>
      <c r="TGV32" s="1259"/>
      <c r="TGW32" s="1259"/>
      <c r="TGX32" s="1259"/>
      <c r="TGY32" s="1259"/>
      <c r="TGZ32" s="1259"/>
      <c r="THA32" s="1259"/>
      <c r="THB32" s="1259"/>
      <c r="THC32" s="1259"/>
      <c r="THD32" s="1259"/>
      <c r="THE32" s="1259"/>
      <c r="THF32" s="1259"/>
      <c r="THG32" s="1259"/>
      <c r="THH32" s="1259"/>
      <c r="THI32" s="1259"/>
      <c r="THJ32" s="1259"/>
      <c r="THK32" s="1259"/>
      <c r="THL32" s="1259"/>
      <c r="THM32" s="1259"/>
      <c r="THN32" s="1259"/>
      <c r="THO32" s="1259"/>
      <c r="THP32" s="1259"/>
      <c r="THQ32" s="1259"/>
      <c r="THR32" s="1259"/>
      <c r="THS32" s="1259"/>
      <c r="THT32" s="1259"/>
      <c r="THU32" s="1259"/>
      <c r="THV32" s="1259"/>
      <c r="THW32" s="1259"/>
      <c r="THX32" s="1259"/>
      <c r="THY32" s="1259"/>
      <c r="THZ32" s="1259"/>
      <c r="TIA32" s="1259"/>
      <c r="TIB32" s="1259"/>
      <c r="TIC32" s="1259"/>
      <c r="TID32" s="1259"/>
      <c r="TIE32" s="1259"/>
      <c r="TIF32" s="1259"/>
      <c r="TIG32" s="1259"/>
      <c r="TIH32" s="1259"/>
      <c r="TII32" s="1259"/>
      <c r="TIJ32" s="1259"/>
      <c r="TIK32" s="1259"/>
      <c r="TIL32" s="1259"/>
      <c r="TIM32" s="1259"/>
      <c r="TIN32" s="1259"/>
      <c r="TIO32" s="1259"/>
      <c r="TIP32" s="1259"/>
      <c r="TIQ32" s="1259"/>
      <c r="TIR32" s="1259"/>
      <c r="TIS32" s="1259"/>
      <c r="TIT32" s="1259"/>
      <c r="TIU32" s="1259"/>
      <c r="TIV32" s="1259"/>
      <c r="TIW32" s="1259"/>
      <c r="TIX32" s="1259"/>
      <c r="TIY32" s="1259"/>
      <c r="TIZ32" s="1259"/>
      <c r="TJA32" s="1259"/>
      <c r="TJB32" s="1259"/>
      <c r="TJC32" s="1259"/>
      <c r="TJD32" s="1259"/>
      <c r="TJE32" s="1259"/>
      <c r="TJF32" s="1259"/>
      <c r="TJG32" s="1259"/>
      <c r="TJH32" s="1259"/>
      <c r="TJI32" s="1259"/>
      <c r="TJJ32" s="1259"/>
      <c r="TJK32" s="1259"/>
      <c r="TJL32" s="1259"/>
      <c r="TJM32" s="1259"/>
      <c r="TJN32" s="1259"/>
      <c r="TJO32" s="1259"/>
      <c r="TJP32" s="1259"/>
      <c r="TJQ32" s="1259"/>
      <c r="TJR32" s="1259"/>
      <c r="TJS32" s="1259"/>
      <c r="TJT32" s="1259"/>
      <c r="TJU32" s="1259"/>
      <c r="TJV32" s="1259"/>
      <c r="TJW32" s="1259"/>
      <c r="TJX32" s="1259"/>
      <c r="TJY32" s="1259"/>
      <c r="TJZ32" s="1259"/>
      <c r="TKA32" s="1259"/>
      <c r="TKB32" s="1259"/>
      <c r="TKC32" s="1259"/>
      <c r="TKD32" s="1259"/>
      <c r="TKE32" s="1259"/>
      <c r="TKF32" s="1259"/>
      <c r="TKG32" s="1259"/>
      <c r="TKH32" s="1259"/>
      <c r="TKI32" s="1259"/>
      <c r="TKJ32" s="1259"/>
      <c r="TKK32" s="1259"/>
      <c r="TKL32" s="1259"/>
      <c r="TKM32" s="1259"/>
      <c r="TKN32" s="1259"/>
      <c r="TKO32" s="1259"/>
      <c r="TKP32" s="1259"/>
      <c r="TKQ32" s="1259"/>
      <c r="TKR32" s="1259"/>
      <c r="TKS32" s="1259"/>
      <c r="TKT32" s="1259"/>
      <c r="TKU32" s="1259"/>
      <c r="TKV32" s="1259"/>
      <c r="TKW32" s="1259"/>
      <c r="TKX32" s="1259"/>
      <c r="TKY32" s="1259"/>
      <c r="TKZ32" s="1259"/>
      <c r="TLA32" s="1259"/>
      <c r="TLB32" s="1259"/>
      <c r="TLC32" s="1259"/>
      <c r="TLD32" s="1259"/>
      <c r="TLE32" s="1259"/>
      <c r="TLF32" s="1259"/>
      <c r="TLG32" s="1259"/>
      <c r="TLH32" s="1259"/>
      <c r="TLI32" s="1259"/>
      <c r="TLJ32" s="1259"/>
      <c r="TLK32" s="1259"/>
      <c r="TLL32" s="1259"/>
      <c r="TLM32" s="1259"/>
      <c r="TLN32" s="1259"/>
      <c r="TLO32" s="1259"/>
      <c r="TLP32" s="1259"/>
      <c r="TLQ32" s="1259"/>
      <c r="TLR32" s="1259"/>
      <c r="TLS32" s="1259"/>
      <c r="TLT32" s="1259"/>
      <c r="TLU32" s="1259"/>
      <c r="TLV32" s="1259"/>
      <c r="TLW32" s="1259"/>
      <c r="TLX32" s="1259"/>
      <c r="TLY32" s="1259"/>
      <c r="TLZ32" s="1259"/>
      <c r="TMA32" s="1259"/>
      <c r="TMB32" s="1259"/>
      <c r="TMC32" s="1259"/>
      <c r="TMD32" s="1259"/>
      <c r="TME32" s="1259"/>
      <c r="TMF32" s="1259"/>
      <c r="TMG32" s="1259"/>
      <c r="TMH32" s="1259"/>
      <c r="TMI32" s="1259"/>
      <c r="TMJ32" s="1259"/>
      <c r="TMK32" s="1259"/>
      <c r="TML32" s="1259"/>
      <c r="TMM32" s="1259"/>
      <c r="TMN32" s="1259"/>
      <c r="TMO32" s="1259"/>
      <c r="TMP32" s="1259"/>
      <c r="TMQ32" s="1259"/>
      <c r="TMR32" s="1259"/>
      <c r="TMS32" s="1259"/>
      <c r="TMT32" s="1259"/>
      <c r="TMU32" s="1259"/>
      <c r="TMV32" s="1259"/>
      <c r="TMW32" s="1259"/>
      <c r="TMX32" s="1259"/>
      <c r="TMY32" s="1259"/>
      <c r="TMZ32" s="1259"/>
      <c r="TNA32" s="1259"/>
      <c r="TNB32" s="1259"/>
      <c r="TNC32" s="1259"/>
      <c r="TND32" s="1259"/>
      <c r="TNE32" s="1259"/>
      <c r="TNF32" s="1259"/>
      <c r="TNG32" s="1259"/>
      <c r="TNH32" s="1259"/>
      <c r="TNI32" s="1259"/>
      <c r="TNJ32" s="1259"/>
      <c r="TNK32" s="1259"/>
      <c r="TNL32" s="1259"/>
      <c r="TNM32" s="1259"/>
      <c r="TNN32" s="1259"/>
      <c r="TNO32" s="1259"/>
      <c r="TNP32" s="1259"/>
      <c r="TNQ32" s="1259"/>
      <c r="TNR32" s="1259"/>
      <c r="TNS32" s="1259"/>
      <c r="TNT32" s="1259"/>
      <c r="TNU32" s="1259"/>
      <c r="TNV32" s="1259"/>
      <c r="TNW32" s="1259"/>
      <c r="TNX32" s="1259"/>
      <c r="TNY32" s="1259"/>
      <c r="TNZ32" s="1259"/>
      <c r="TOA32" s="1259"/>
      <c r="TOB32" s="1259"/>
      <c r="TOC32" s="1259"/>
      <c r="TOD32" s="1259"/>
      <c r="TOE32" s="1259"/>
      <c r="TOF32" s="1259"/>
      <c r="TOG32" s="1259"/>
      <c r="TOH32" s="1259"/>
      <c r="TOI32" s="1259"/>
      <c r="TOJ32" s="1259"/>
      <c r="TOK32" s="1259"/>
      <c r="TOL32" s="1259"/>
      <c r="TOM32" s="1259"/>
      <c r="TON32" s="1259"/>
      <c r="TOO32" s="1259"/>
      <c r="TOP32" s="1259"/>
      <c r="TOQ32" s="1259"/>
      <c r="TOR32" s="1259"/>
      <c r="TOS32" s="1259"/>
      <c r="TOT32" s="1259"/>
      <c r="TOU32" s="1259"/>
      <c r="TOV32" s="1259"/>
      <c r="TOW32" s="1259"/>
      <c r="TOX32" s="1259"/>
      <c r="TOY32" s="1259"/>
      <c r="TOZ32" s="1259"/>
      <c r="TPA32" s="1259"/>
      <c r="TPB32" s="1259"/>
      <c r="TPC32" s="1259"/>
      <c r="TPD32" s="1259"/>
      <c r="TPE32" s="1259"/>
      <c r="TPF32" s="1259"/>
      <c r="TPG32" s="1259"/>
      <c r="TPH32" s="1259"/>
      <c r="TPI32" s="1259"/>
      <c r="TPJ32" s="1259"/>
      <c r="TPK32" s="1259"/>
      <c r="TPL32" s="1259"/>
      <c r="TPM32" s="1259"/>
      <c r="TPN32" s="1259"/>
      <c r="TPO32" s="1259"/>
      <c r="TPP32" s="1259"/>
      <c r="TPQ32" s="1259"/>
      <c r="TPR32" s="1259"/>
      <c r="TPS32" s="1259"/>
      <c r="TPT32" s="1259"/>
      <c r="TPU32" s="1259"/>
      <c r="TPV32" s="1259"/>
      <c r="TPW32" s="1259"/>
      <c r="TPX32" s="1259"/>
      <c r="TPY32" s="1259"/>
      <c r="TPZ32" s="1259"/>
      <c r="TQA32" s="1259"/>
      <c r="TQB32" s="1259"/>
      <c r="TQC32" s="1259"/>
      <c r="TQD32" s="1259"/>
      <c r="TQE32" s="1259"/>
      <c r="TQF32" s="1259"/>
      <c r="TQG32" s="1259"/>
      <c r="TQH32" s="1259"/>
      <c r="TQI32" s="1259"/>
      <c r="TQJ32" s="1259"/>
      <c r="TQK32" s="1259"/>
      <c r="TQL32" s="1259"/>
      <c r="TQM32" s="1259"/>
      <c r="TQN32" s="1259"/>
      <c r="TQO32" s="1259"/>
      <c r="TQP32" s="1259"/>
      <c r="TQQ32" s="1259"/>
      <c r="TQR32" s="1259"/>
      <c r="TQS32" s="1259"/>
      <c r="TQT32" s="1259"/>
      <c r="TQU32" s="1259"/>
      <c r="TQV32" s="1259"/>
      <c r="TQW32" s="1259"/>
      <c r="TQX32" s="1259"/>
      <c r="TQY32" s="1259"/>
      <c r="TQZ32" s="1259"/>
      <c r="TRA32" s="1259"/>
      <c r="TRB32" s="1259"/>
      <c r="TRC32" s="1259"/>
      <c r="TRD32" s="1259"/>
      <c r="TRE32" s="1259"/>
      <c r="TRF32" s="1259"/>
      <c r="TRG32" s="1259"/>
      <c r="TRH32" s="1259"/>
      <c r="TRI32" s="1259"/>
      <c r="TRJ32" s="1259"/>
      <c r="TRK32" s="1259"/>
      <c r="TRL32" s="1259"/>
      <c r="TRM32" s="1259"/>
      <c r="TRN32" s="1259"/>
      <c r="TRO32" s="1259"/>
      <c r="TRP32" s="1259"/>
      <c r="TRQ32" s="1259"/>
      <c r="TRR32" s="1259"/>
      <c r="TRS32" s="1259"/>
      <c r="TRT32" s="1259"/>
      <c r="TRU32" s="1259"/>
      <c r="TRV32" s="1259"/>
      <c r="TRW32" s="1259"/>
      <c r="TRX32" s="1259"/>
      <c r="TRY32" s="1259"/>
      <c r="TRZ32" s="1259"/>
      <c r="TSA32" s="1259"/>
      <c r="TSB32" s="1259"/>
      <c r="TSC32" s="1259"/>
      <c r="TSD32" s="1259"/>
      <c r="TSE32" s="1259"/>
      <c r="TSF32" s="1259"/>
      <c r="TSG32" s="1259"/>
      <c r="TSH32" s="1259"/>
      <c r="TSI32" s="1259"/>
      <c r="TSJ32" s="1259"/>
      <c r="TSK32" s="1259"/>
      <c r="TSL32" s="1259"/>
      <c r="TSM32" s="1259"/>
      <c r="TSN32" s="1259"/>
      <c r="TSO32" s="1259"/>
      <c r="TSP32" s="1259"/>
      <c r="TSQ32" s="1259"/>
      <c r="TSR32" s="1259"/>
      <c r="TSS32" s="1259"/>
      <c r="TST32" s="1259"/>
      <c r="TSU32" s="1259"/>
      <c r="TSV32" s="1259"/>
      <c r="TSW32" s="1259"/>
      <c r="TSX32" s="1259"/>
      <c r="TSY32" s="1259"/>
      <c r="TSZ32" s="1259"/>
      <c r="TTA32" s="1259"/>
      <c r="TTB32" s="1259"/>
      <c r="TTC32" s="1259"/>
      <c r="TTD32" s="1259"/>
      <c r="TTE32" s="1259"/>
      <c r="TTF32" s="1259"/>
      <c r="TTG32" s="1259"/>
      <c r="TTH32" s="1259"/>
      <c r="TTI32" s="1259"/>
      <c r="TTJ32" s="1259"/>
      <c r="TTK32" s="1259"/>
      <c r="TTL32" s="1259"/>
      <c r="TTM32" s="1259"/>
      <c r="TTN32" s="1259"/>
      <c r="TTO32" s="1259"/>
      <c r="TTP32" s="1259"/>
      <c r="TTQ32" s="1259"/>
      <c r="TTR32" s="1259"/>
      <c r="TTS32" s="1259"/>
      <c r="TTT32" s="1259"/>
      <c r="TTU32" s="1259"/>
      <c r="TTV32" s="1259"/>
      <c r="TTW32" s="1259"/>
      <c r="TTX32" s="1259"/>
      <c r="TTY32" s="1259"/>
      <c r="TTZ32" s="1259"/>
      <c r="TUA32" s="1259"/>
      <c r="TUB32" s="1259"/>
      <c r="TUC32" s="1259"/>
      <c r="TUD32" s="1259"/>
      <c r="TUE32" s="1259"/>
      <c r="TUF32" s="1259"/>
      <c r="TUG32" s="1259"/>
      <c r="TUH32" s="1259"/>
      <c r="TUI32" s="1259"/>
      <c r="TUJ32" s="1259"/>
      <c r="TUK32" s="1259"/>
      <c r="TUL32" s="1259"/>
      <c r="TUM32" s="1259"/>
      <c r="TUN32" s="1259"/>
      <c r="TUO32" s="1259"/>
      <c r="TUP32" s="1259"/>
      <c r="TUQ32" s="1259"/>
      <c r="TUR32" s="1259"/>
      <c r="TUS32" s="1259"/>
      <c r="TUT32" s="1259"/>
      <c r="TUU32" s="1259"/>
      <c r="TUV32" s="1259"/>
      <c r="TUW32" s="1259"/>
      <c r="TUX32" s="1259"/>
      <c r="TUY32" s="1259"/>
      <c r="TUZ32" s="1259"/>
      <c r="TVA32" s="1259"/>
      <c r="TVB32" s="1259"/>
      <c r="TVC32" s="1259"/>
      <c r="TVD32" s="1259"/>
      <c r="TVE32" s="1259"/>
      <c r="TVF32" s="1259"/>
      <c r="TVG32" s="1259"/>
      <c r="TVH32" s="1259"/>
      <c r="TVI32" s="1259"/>
      <c r="TVJ32" s="1259"/>
      <c r="TVK32" s="1259"/>
      <c r="TVL32" s="1259"/>
      <c r="TVM32" s="1259"/>
      <c r="TVN32" s="1259"/>
      <c r="TVO32" s="1259"/>
      <c r="TVP32" s="1259"/>
      <c r="TVQ32" s="1259"/>
      <c r="TVR32" s="1259"/>
      <c r="TVS32" s="1259"/>
      <c r="TVT32" s="1259"/>
      <c r="TVU32" s="1259"/>
      <c r="TVV32" s="1259"/>
      <c r="TVW32" s="1259"/>
      <c r="TVX32" s="1259"/>
      <c r="TVY32" s="1259"/>
      <c r="TVZ32" s="1259"/>
      <c r="TWA32" s="1259"/>
      <c r="TWB32" s="1259"/>
      <c r="TWC32" s="1259"/>
      <c r="TWD32" s="1259"/>
      <c r="TWE32" s="1259"/>
      <c r="TWF32" s="1259"/>
      <c r="TWG32" s="1259"/>
      <c r="TWH32" s="1259"/>
      <c r="TWI32" s="1259"/>
      <c r="TWJ32" s="1259"/>
      <c r="TWK32" s="1259"/>
      <c r="TWL32" s="1259"/>
      <c r="TWM32" s="1259"/>
      <c r="TWN32" s="1259"/>
      <c r="TWO32" s="1259"/>
      <c r="TWP32" s="1259"/>
      <c r="TWQ32" s="1259"/>
      <c r="TWR32" s="1259"/>
      <c r="TWS32" s="1259"/>
      <c r="TWT32" s="1259"/>
      <c r="TWU32" s="1259"/>
      <c r="TWV32" s="1259"/>
      <c r="TWW32" s="1259"/>
      <c r="TWX32" s="1259"/>
      <c r="TWY32" s="1259"/>
      <c r="TWZ32" s="1259"/>
      <c r="TXA32" s="1259"/>
      <c r="TXB32" s="1259"/>
      <c r="TXC32" s="1259"/>
      <c r="TXD32" s="1259"/>
      <c r="TXE32" s="1259"/>
      <c r="TXF32" s="1259"/>
      <c r="TXG32" s="1259"/>
      <c r="TXH32" s="1259"/>
      <c r="TXI32" s="1259"/>
      <c r="TXJ32" s="1259"/>
      <c r="TXK32" s="1259"/>
      <c r="TXL32" s="1259"/>
      <c r="TXM32" s="1259"/>
      <c r="TXN32" s="1259"/>
      <c r="TXO32" s="1259"/>
      <c r="TXP32" s="1259"/>
      <c r="TXQ32" s="1259"/>
      <c r="TXR32" s="1259"/>
      <c r="TXS32" s="1259"/>
      <c r="TXT32" s="1259"/>
      <c r="TXU32" s="1259"/>
      <c r="TXV32" s="1259"/>
      <c r="TXW32" s="1259"/>
      <c r="TXX32" s="1259"/>
      <c r="TXY32" s="1259"/>
      <c r="TXZ32" s="1259"/>
      <c r="TYA32" s="1259"/>
      <c r="TYB32" s="1259"/>
      <c r="TYC32" s="1259"/>
      <c r="TYD32" s="1259"/>
      <c r="TYE32" s="1259"/>
      <c r="TYF32" s="1259"/>
      <c r="TYG32" s="1259"/>
      <c r="TYH32" s="1259"/>
      <c r="TYI32" s="1259"/>
      <c r="TYJ32" s="1259"/>
      <c r="TYK32" s="1259"/>
      <c r="TYL32" s="1259"/>
      <c r="TYM32" s="1259"/>
      <c r="TYN32" s="1259"/>
      <c r="TYO32" s="1259"/>
      <c r="TYP32" s="1259"/>
      <c r="TYQ32" s="1259"/>
      <c r="TYR32" s="1259"/>
      <c r="TYS32" s="1259"/>
      <c r="TYT32" s="1259"/>
      <c r="TYU32" s="1259"/>
      <c r="TYV32" s="1259"/>
      <c r="TYW32" s="1259"/>
      <c r="TYX32" s="1259"/>
      <c r="TYY32" s="1259"/>
      <c r="TYZ32" s="1259"/>
      <c r="TZA32" s="1259"/>
      <c r="TZB32" s="1259"/>
      <c r="TZC32" s="1259"/>
      <c r="TZD32" s="1259"/>
      <c r="TZE32" s="1259"/>
      <c r="TZF32" s="1259"/>
      <c r="TZG32" s="1259"/>
      <c r="TZH32" s="1259"/>
      <c r="TZI32" s="1259"/>
      <c r="TZJ32" s="1259"/>
      <c r="TZK32" s="1259"/>
      <c r="TZL32" s="1259"/>
      <c r="TZM32" s="1259"/>
      <c r="TZN32" s="1259"/>
      <c r="TZO32" s="1259"/>
      <c r="TZP32" s="1259"/>
      <c r="TZQ32" s="1259"/>
      <c r="TZR32" s="1259"/>
      <c r="TZS32" s="1259"/>
      <c r="TZT32" s="1259"/>
      <c r="TZU32" s="1259"/>
      <c r="TZV32" s="1259"/>
      <c r="TZW32" s="1259"/>
      <c r="TZX32" s="1259"/>
      <c r="TZY32" s="1259"/>
      <c r="TZZ32" s="1259"/>
      <c r="UAA32" s="1259"/>
      <c r="UAB32" s="1259"/>
      <c r="UAC32" s="1259"/>
      <c r="UAD32" s="1259"/>
      <c r="UAE32" s="1259"/>
      <c r="UAF32" s="1259"/>
      <c r="UAG32" s="1259"/>
      <c r="UAH32" s="1259"/>
      <c r="UAI32" s="1259"/>
      <c r="UAJ32" s="1259"/>
      <c r="UAK32" s="1259"/>
      <c r="UAL32" s="1259"/>
      <c r="UAM32" s="1259"/>
      <c r="UAN32" s="1259"/>
      <c r="UAO32" s="1259"/>
      <c r="UAP32" s="1259"/>
      <c r="UAQ32" s="1259"/>
      <c r="UAR32" s="1259"/>
      <c r="UAS32" s="1259"/>
      <c r="UAT32" s="1259"/>
      <c r="UAU32" s="1259"/>
      <c r="UAV32" s="1259"/>
      <c r="UAW32" s="1259"/>
      <c r="UAX32" s="1259"/>
      <c r="UAY32" s="1259"/>
      <c r="UAZ32" s="1259"/>
      <c r="UBA32" s="1259"/>
      <c r="UBB32" s="1259"/>
      <c r="UBC32" s="1259"/>
      <c r="UBD32" s="1259"/>
      <c r="UBE32" s="1259"/>
      <c r="UBF32" s="1259"/>
      <c r="UBG32" s="1259"/>
      <c r="UBH32" s="1259"/>
      <c r="UBI32" s="1259"/>
      <c r="UBJ32" s="1259"/>
      <c r="UBK32" s="1259"/>
      <c r="UBL32" s="1259"/>
      <c r="UBM32" s="1259"/>
      <c r="UBN32" s="1259"/>
      <c r="UBO32" s="1259"/>
      <c r="UBP32" s="1259"/>
      <c r="UBQ32" s="1259"/>
      <c r="UBR32" s="1259"/>
      <c r="UBS32" s="1259"/>
      <c r="UBT32" s="1259"/>
      <c r="UBU32" s="1259"/>
      <c r="UBV32" s="1259"/>
      <c r="UBW32" s="1259"/>
      <c r="UBX32" s="1259"/>
      <c r="UBY32" s="1259"/>
      <c r="UBZ32" s="1259"/>
      <c r="UCA32" s="1259"/>
      <c r="UCB32" s="1259"/>
      <c r="UCC32" s="1259"/>
      <c r="UCD32" s="1259"/>
      <c r="UCE32" s="1259"/>
      <c r="UCF32" s="1259"/>
      <c r="UCG32" s="1259"/>
      <c r="UCH32" s="1259"/>
      <c r="UCI32" s="1259"/>
      <c r="UCJ32" s="1259"/>
      <c r="UCK32" s="1259"/>
      <c r="UCL32" s="1259"/>
      <c r="UCM32" s="1259"/>
      <c r="UCN32" s="1259"/>
      <c r="UCO32" s="1259"/>
      <c r="UCP32" s="1259"/>
      <c r="UCQ32" s="1259"/>
      <c r="UCR32" s="1259"/>
      <c r="UCS32" s="1259"/>
      <c r="UCT32" s="1259"/>
      <c r="UCU32" s="1259"/>
      <c r="UCV32" s="1259"/>
      <c r="UCW32" s="1259"/>
      <c r="UCX32" s="1259"/>
      <c r="UCY32" s="1259"/>
      <c r="UCZ32" s="1259"/>
      <c r="UDA32" s="1259"/>
      <c r="UDB32" s="1259"/>
      <c r="UDC32" s="1259"/>
      <c r="UDD32" s="1259"/>
      <c r="UDE32" s="1259"/>
      <c r="UDF32" s="1259"/>
      <c r="UDG32" s="1259"/>
      <c r="UDH32" s="1259"/>
      <c r="UDI32" s="1259"/>
      <c r="UDJ32" s="1259"/>
      <c r="UDK32" s="1259"/>
      <c r="UDL32" s="1259"/>
      <c r="UDM32" s="1259"/>
      <c r="UDN32" s="1259"/>
      <c r="UDO32" s="1259"/>
      <c r="UDP32" s="1259"/>
      <c r="UDQ32" s="1259"/>
      <c r="UDR32" s="1259"/>
      <c r="UDS32" s="1259"/>
      <c r="UDT32" s="1259"/>
      <c r="UDU32" s="1259"/>
      <c r="UDV32" s="1259"/>
      <c r="UDW32" s="1259"/>
      <c r="UDX32" s="1259"/>
      <c r="UDY32" s="1259"/>
      <c r="UDZ32" s="1259"/>
      <c r="UEA32" s="1259"/>
      <c r="UEB32" s="1259"/>
      <c r="UEC32" s="1259"/>
      <c r="UED32" s="1259"/>
      <c r="UEE32" s="1259"/>
      <c r="UEF32" s="1259"/>
      <c r="UEG32" s="1259"/>
      <c r="UEH32" s="1259"/>
      <c r="UEI32" s="1259"/>
      <c r="UEJ32" s="1259"/>
      <c r="UEK32" s="1259"/>
      <c r="UEL32" s="1259"/>
      <c r="UEM32" s="1259"/>
      <c r="UEN32" s="1259"/>
      <c r="UEO32" s="1259"/>
      <c r="UEP32" s="1259"/>
      <c r="UEQ32" s="1259"/>
      <c r="UER32" s="1259"/>
      <c r="UES32" s="1259"/>
      <c r="UET32" s="1259"/>
      <c r="UEU32" s="1259"/>
      <c r="UEV32" s="1259"/>
      <c r="UEW32" s="1259"/>
      <c r="UEX32" s="1259"/>
      <c r="UEY32" s="1259"/>
      <c r="UEZ32" s="1259"/>
      <c r="UFA32" s="1259"/>
      <c r="UFB32" s="1259"/>
      <c r="UFC32" s="1259"/>
      <c r="UFD32" s="1259"/>
      <c r="UFE32" s="1259"/>
      <c r="UFF32" s="1259"/>
      <c r="UFG32" s="1259"/>
      <c r="UFH32" s="1259"/>
      <c r="UFI32" s="1259"/>
      <c r="UFJ32" s="1259"/>
      <c r="UFK32" s="1259"/>
      <c r="UFL32" s="1259"/>
      <c r="UFM32" s="1259"/>
      <c r="UFN32" s="1259"/>
      <c r="UFO32" s="1259"/>
      <c r="UFP32" s="1259"/>
      <c r="UFQ32" s="1259"/>
      <c r="UFR32" s="1259"/>
      <c r="UFS32" s="1259"/>
      <c r="UFT32" s="1259"/>
      <c r="UFU32" s="1259"/>
      <c r="UFV32" s="1259"/>
      <c r="UFW32" s="1259"/>
      <c r="UFX32" s="1259"/>
      <c r="UFY32" s="1259"/>
      <c r="UFZ32" s="1259"/>
      <c r="UGA32" s="1259"/>
      <c r="UGB32" s="1259"/>
      <c r="UGC32" s="1259"/>
      <c r="UGD32" s="1259"/>
      <c r="UGE32" s="1259"/>
      <c r="UGF32" s="1259"/>
      <c r="UGG32" s="1259"/>
      <c r="UGH32" s="1259"/>
      <c r="UGI32" s="1259"/>
      <c r="UGJ32" s="1259"/>
      <c r="UGK32" s="1259"/>
      <c r="UGL32" s="1259"/>
      <c r="UGM32" s="1259"/>
      <c r="UGN32" s="1259"/>
      <c r="UGO32" s="1259"/>
      <c r="UGP32" s="1259"/>
      <c r="UGQ32" s="1259"/>
      <c r="UGR32" s="1259"/>
      <c r="UGS32" s="1259"/>
      <c r="UGT32" s="1259"/>
      <c r="UGU32" s="1259"/>
      <c r="UGV32" s="1259"/>
      <c r="UGW32" s="1259"/>
      <c r="UGX32" s="1259"/>
      <c r="UGY32" s="1259"/>
      <c r="UGZ32" s="1259"/>
      <c r="UHA32" s="1259"/>
      <c r="UHB32" s="1259"/>
      <c r="UHC32" s="1259"/>
      <c r="UHD32" s="1259"/>
      <c r="UHE32" s="1259"/>
      <c r="UHF32" s="1259"/>
      <c r="UHG32" s="1259"/>
      <c r="UHH32" s="1259"/>
      <c r="UHI32" s="1259"/>
      <c r="UHJ32" s="1259"/>
      <c r="UHK32" s="1259"/>
      <c r="UHL32" s="1259"/>
      <c r="UHM32" s="1259"/>
      <c r="UHN32" s="1259"/>
      <c r="UHO32" s="1259"/>
      <c r="UHP32" s="1259"/>
      <c r="UHQ32" s="1259"/>
      <c r="UHR32" s="1259"/>
      <c r="UHS32" s="1259"/>
      <c r="UHT32" s="1259"/>
      <c r="UHU32" s="1259"/>
      <c r="UHV32" s="1259"/>
      <c r="UHW32" s="1259"/>
      <c r="UHX32" s="1259"/>
      <c r="UHY32" s="1259"/>
      <c r="UHZ32" s="1259"/>
      <c r="UIA32" s="1259"/>
      <c r="UIB32" s="1259"/>
      <c r="UIC32" s="1259"/>
      <c r="UID32" s="1259"/>
      <c r="UIE32" s="1259"/>
      <c r="UIF32" s="1259"/>
      <c r="UIG32" s="1259"/>
      <c r="UIH32" s="1259"/>
      <c r="UII32" s="1259"/>
      <c r="UIJ32" s="1259"/>
      <c r="UIK32" s="1259"/>
      <c r="UIL32" s="1259"/>
      <c r="UIM32" s="1259"/>
      <c r="UIN32" s="1259"/>
      <c r="UIO32" s="1259"/>
      <c r="UIP32" s="1259"/>
      <c r="UIQ32" s="1259"/>
      <c r="UIR32" s="1259"/>
      <c r="UIS32" s="1259"/>
      <c r="UIT32" s="1259"/>
      <c r="UIU32" s="1259"/>
      <c r="UIV32" s="1259"/>
      <c r="UIW32" s="1259"/>
      <c r="UIX32" s="1259"/>
      <c r="UIY32" s="1259"/>
      <c r="UIZ32" s="1259"/>
      <c r="UJA32" s="1259"/>
      <c r="UJB32" s="1259"/>
      <c r="UJC32" s="1259"/>
      <c r="UJD32" s="1259"/>
      <c r="UJE32" s="1259"/>
      <c r="UJF32" s="1259"/>
      <c r="UJG32" s="1259"/>
      <c r="UJH32" s="1259"/>
      <c r="UJI32" s="1259"/>
      <c r="UJJ32" s="1259"/>
      <c r="UJK32" s="1259"/>
      <c r="UJL32" s="1259"/>
      <c r="UJM32" s="1259"/>
      <c r="UJN32" s="1259"/>
      <c r="UJO32" s="1259"/>
      <c r="UJP32" s="1259"/>
      <c r="UJQ32" s="1259"/>
      <c r="UJR32" s="1259"/>
      <c r="UJS32" s="1259"/>
      <c r="UJT32" s="1259"/>
      <c r="UJU32" s="1259"/>
      <c r="UJV32" s="1259"/>
      <c r="UJW32" s="1259"/>
      <c r="UJX32" s="1259"/>
      <c r="UJY32" s="1259"/>
      <c r="UJZ32" s="1259"/>
      <c r="UKA32" s="1259"/>
      <c r="UKB32" s="1259"/>
      <c r="UKC32" s="1259"/>
      <c r="UKD32" s="1259"/>
      <c r="UKE32" s="1259"/>
      <c r="UKF32" s="1259"/>
      <c r="UKG32" s="1259"/>
      <c r="UKH32" s="1259"/>
      <c r="UKI32" s="1259"/>
      <c r="UKJ32" s="1259"/>
      <c r="UKK32" s="1259"/>
      <c r="UKL32" s="1259"/>
      <c r="UKM32" s="1259"/>
      <c r="UKN32" s="1259"/>
      <c r="UKO32" s="1259"/>
      <c r="UKP32" s="1259"/>
      <c r="UKQ32" s="1259"/>
      <c r="UKR32" s="1259"/>
      <c r="UKS32" s="1259"/>
      <c r="UKT32" s="1259"/>
      <c r="UKU32" s="1259"/>
      <c r="UKV32" s="1259"/>
      <c r="UKW32" s="1259"/>
      <c r="UKX32" s="1259"/>
      <c r="UKY32" s="1259"/>
      <c r="UKZ32" s="1259"/>
      <c r="ULA32" s="1259"/>
      <c r="ULB32" s="1259"/>
      <c r="ULC32" s="1259"/>
      <c r="ULD32" s="1259"/>
      <c r="ULE32" s="1259"/>
      <c r="ULF32" s="1259"/>
      <c r="ULG32" s="1259"/>
      <c r="ULH32" s="1259"/>
      <c r="ULI32" s="1259"/>
      <c r="ULJ32" s="1259"/>
      <c r="ULK32" s="1259"/>
      <c r="ULL32" s="1259"/>
      <c r="ULM32" s="1259"/>
      <c r="ULN32" s="1259"/>
      <c r="ULO32" s="1259"/>
      <c r="ULP32" s="1259"/>
      <c r="ULQ32" s="1259"/>
      <c r="ULR32" s="1259"/>
      <c r="ULS32" s="1259"/>
      <c r="ULT32" s="1259"/>
      <c r="ULU32" s="1259"/>
      <c r="ULV32" s="1259"/>
      <c r="ULW32" s="1259"/>
      <c r="ULX32" s="1259"/>
      <c r="ULY32" s="1259"/>
      <c r="ULZ32" s="1259"/>
      <c r="UMA32" s="1259"/>
      <c r="UMB32" s="1259"/>
      <c r="UMC32" s="1259"/>
      <c r="UMD32" s="1259"/>
      <c r="UME32" s="1259"/>
      <c r="UMF32" s="1259"/>
      <c r="UMG32" s="1259"/>
      <c r="UMH32" s="1259"/>
      <c r="UMI32" s="1259"/>
      <c r="UMJ32" s="1259"/>
      <c r="UMK32" s="1259"/>
      <c r="UML32" s="1259"/>
      <c r="UMM32" s="1259"/>
      <c r="UMN32" s="1259"/>
      <c r="UMO32" s="1259"/>
      <c r="UMP32" s="1259"/>
      <c r="UMQ32" s="1259"/>
      <c r="UMR32" s="1259"/>
      <c r="UMS32" s="1259"/>
      <c r="UMT32" s="1259"/>
      <c r="UMU32" s="1259"/>
      <c r="UMV32" s="1259"/>
      <c r="UMW32" s="1259"/>
      <c r="UMX32" s="1259"/>
      <c r="UMY32" s="1259"/>
      <c r="UMZ32" s="1259"/>
      <c r="UNA32" s="1259"/>
      <c r="UNB32" s="1259"/>
      <c r="UNC32" s="1259"/>
      <c r="UND32" s="1259"/>
      <c r="UNE32" s="1259"/>
      <c r="UNF32" s="1259"/>
      <c r="UNG32" s="1259"/>
      <c r="UNH32" s="1259"/>
      <c r="UNI32" s="1259"/>
      <c r="UNJ32" s="1259"/>
      <c r="UNK32" s="1259"/>
      <c r="UNL32" s="1259"/>
      <c r="UNM32" s="1259"/>
      <c r="UNN32" s="1259"/>
      <c r="UNO32" s="1259"/>
      <c r="UNP32" s="1259"/>
      <c r="UNQ32" s="1259"/>
      <c r="UNR32" s="1259"/>
      <c r="UNS32" s="1259"/>
      <c r="UNT32" s="1259"/>
      <c r="UNU32" s="1259"/>
      <c r="UNV32" s="1259"/>
      <c r="UNW32" s="1259"/>
      <c r="UNX32" s="1259"/>
      <c r="UNY32" s="1259"/>
      <c r="UNZ32" s="1259"/>
      <c r="UOA32" s="1259"/>
      <c r="UOB32" s="1259"/>
      <c r="UOC32" s="1259"/>
      <c r="UOD32" s="1259"/>
      <c r="UOE32" s="1259"/>
      <c r="UOF32" s="1259"/>
      <c r="UOG32" s="1259"/>
      <c r="UOH32" s="1259"/>
      <c r="UOI32" s="1259"/>
      <c r="UOJ32" s="1259"/>
      <c r="UOK32" s="1259"/>
      <c r="UOL32" s="1259"/>
      <c r="UOM32" s="1259"/>
      <c r="UON32" s="1259"/>
      <c r="UOO32" s="1259"/>
      <c r="UOP32" s="1259"/>
      <c r="UOQ32" s="1259"/>
      <c r="UOR32" s="1259"/>
      <c r="UOS32" s="1259"/>
      <c r="UOT32" s="1259"/>
      <c r="UOU32" s="1259"/>
      <c r="UOV32" s="1259"/>
      <c r="UOW32" s="1259"/>
      <c r="UOX32" s="1259"/>
      <c r="UOY32" s="1259"/>
      <c r="UOZ32" s="1259"/>
      <c r="UPA32" s="1259"/>
      <c r="UPB32" s="1259"/>
      <c r="UPC32" s="1259"/>
      <c r="UPD32" s="1259"/>
      <c r="UPE32" s="1259"/>
      <c r="UPF32" s="1259"/>
      <c r="UPG32" s="1259"/>
      <c r="UPH32" s="1259"/>
      <c r="UPI32" s="1259"/>
      <c r="UPJ32" s="1259"/>
      <c r="UPK32" s="1259"/>
      <c r="UPL32" s="1259"/>
      <c r="UPM32" s="1259"/>
      <c r="UPN32" s="1259"/>
      <c r="UPO32" s="1259"/>
      <c r="UPP32" s="1259"/>
      <c r="UPQ32" s="1259"/>
      <c r="UPR32" s="1259"/>
      <c r="UPS32" s="1259"/>
      <c r="UPT32" s="1259"/>
      <c r="UPU32" s="1259"/>
      <c r="UPV32" s="1259"/>
      <c r="UPW32" s="1259"/>
      <c r="UPX32" s="1259"/>
      <c r="UPY32" s="1259"/>
      <c r="UPZ32" s="1259"/>
      <c r="UQA32" s="1259"/>
      <c r="UQB32" s="1259"/>
      <c r="UQC32" s="1259"/>
      <c r="UQD32" s="1259"/>
      <c r="UQE32" s="1259"/>
      <c r="UQF32" s="1259"/>
      <c r="UQG32" s="1259"/>
      <c r="UQH32" s="1259"/>
      <c r="UQI32" s="1259"/>
      <c r="UQJ32" s="1259"/>
      <c r="UQK32" s="1259"/>
      <c r="UQL32" s="1259"/>
      <c r="UQM32" s="1259"/>
      <c r="UQN32" s="1259"/>
      <c r="UQO32" s="1259"/>
      <c r="UQP32" s="1259"/>
      <c r="UQQ32" s="1259"/>
      <c r="UQR32" s="1259"/>
      <c r="UQS32" s="1259"/>
      <c r="UQT32" s="1259"/>
      <c r="UQU32" s="1259"/>
      <c r="UQV32" s="1259"/>
      <c r="UQW32" s="1259"/>
      <c r="UQX32" s="1259"/>
      <c r="UQY32" s="1259"/>
      <c r="UQZ32" s="1259"/>
      <c r="URA32" s="1259"/>
      <c r="URB32" s="1259"/>
      <c r="URC32" s="1259"/>
      <c r="URD32" s="1259"/>
      <c r="URE32" s="1259"/>
      <c r="URF32" s="1259"/>
      <c r="URG32" s="1259"/>
      <c r="URH32" s="1259"/>
      <c r="URI32" s="1259"/>
      <c r="URJ32" s="1259"/>
      <c r="URK32" s="1259"/>
      <c r="URL32" s="1259"/>
      <c r="URM32" s="1259"/>
      <c r="URN32" s="1259"/>
      <c r="URO32" s="1259"/>
      <c r="URP32" s="1259"/>
      <c r="URQ32" s="1259"/>
      <c r="URR32" s="1259"/>
      <c r="URS32" s="1259"/>
      <c r="URT32" s="1259"/>
      <c r="URU32" s="1259"/>
      <c r="URV32" s="1259"/>
      <c r="URW32" s="1259"/>
      <c r="URX32" s="1259"/>
      <c r="URY32" s="1259"/>
      <c r="URZ32" s="1259"/>
      <c r="USA32" s="1259"/>
      <c r="USB32" s="1259"/>
      <c r="USC32" s="1259"/>
      <c r="USD32" s="1259"/>
      <c r="USE32" s="1259"/>
      <c r="USF32" s="1259"/>
      <c r="USG32" s="1259"/>
      <c r="USH32" s="1259"/>
      <c r="USI32" s="1259"/>
      <c r="USJ32" s="1259"/>
      <c r="USK32" s="1259"/>
      <c r="USL32" s="1259"/>
      <c r="USM32" s="1259"/>
      <c r="USN32" s="1259"/>
      <c r="USO32" s="1259"/>
      <c r="USP32" s="1259"/>
      <c r="USQ32" s="1259"/>
      <c r="USR32" s="1259"/>
      <c r="USS32" s="1259"/>
      <c r="UST32" s="1259"/>
      <c r="USU32" s="1259"/>
      <c r="USV32" s="1259"/>
      <c r="USW32" s="1259"/>
      <c r="USX32" s="1259"/>
      <c r="USY32" s="1259"/>
      <c r="USZ32" s="1259"/>
      <c r="UTA32" s="1259"/>
      <c r="UTB32" s="1259"/>
      <c r="UTC32" s="1259"/>
      <c r="UTD32" s="1259"/>
      <c r="UTE32" s="1259"/>
      <c r="UTF32" s="1259"/>
      <c r="UTG32" s="1259"/>
      <c r="UTH32" s="1259"/>
      <c r="UTI32" s="1259"/>
      <c r="UTJ32" s="1259"/>
      <c r="UTK32" s="1259"/>
      <c r="UTL32" s="1259"/>
      <c r="UTM32" s="1259"/>
      <c r="UTN32" s="1259"/>
      <c r="UTO32" s="1259"/>
      <c r="UTP32" s="1259"/>
      <c r="UTQ32" s="1259"/>
      <c r="UTR32" s="1259"/>
      <c r="UTS32" s="1259"/>
      <c r="UTT32" s="1259"/>
      <c r="UTU32" s="1259"/>
      <c r="UTV32" s="1259"/>
      <c r="UTW32" s="1259"/>
      <c r="UTX32" s="1259"/>
      <c r="UTY32" s="1259"/>
      <c r="UTZ32" s="1259"/>
      <c r="UUA32" s="1259"/>
      <c r="UUB32" s="1259"/>
      <c r="UUC32" s="1259"/>
      <c r="UUD32" s="1259"/>
      <c r="UUE32" s="1259"/>
      <c r="UUF32" s="1259"/>
      <c r="UUG32" s="1259"/>
      <c r="UUH32" s="1259"/>
      <c r="UUI32" s="1259"/>
      <c r="UUJ32" s="1259"/>
      <c r="UUK32" s="1259"/>
      <c r="UUL32" s="1259"/>
      <c r="UUM32" s="1259"/>
      <c r="UUN32" s="1259"/>
      <c r="UUO32" s="1259"/>
      <c r="UUP32" s="1259"/>
      <c r="UUQ32" s="1259"/>
      <c r="UUR32" s="1259"/>
      <c r="UUS32" s="1259"/>
      <c r="UUT32" s="1259"/>
      <c r="UUU32" s="1259"/>
      <c r="UUV32" s="1259"/>
      <c r="UUW32" s="1259"/>
      <c r="UUX32" s="1259"/>
      <c r="UUY32" s="1259"/>
      <c r="UUZ32" s="1259"/>
      <c r="UVA32" s="1259"/>
      <c r="UVB32" s="1259"/>
      <c r="UVC32" s="1259"/>
      <c r="UVD32" s="1259"/>
      <c r="UVE32" s="1259"/>
      <c r="UVF32" s="1259"/>
      <c r="UVG32" s="1259"/>
      <c r="UVH32" s="1259"/>
      <c r="UVI32" s="1259"/>
      <c r="UVJ32" s="1259"/>
      <c r="UVK32" s="1259"/>
      <c r="UVL32" s="1259"/>
      <c r="UVM32" s="1259"/>
      <c r="UVN32" s="1259"/>
      <c r="UVO32" s="1259"/>
      <c r="UVP32" s="1259"/>
      <c r="UVQ32" s="1259"/>
      <c r="UVR32" s="1259"/>
      <c r="UVS32" s="1259"/>
      <c r="UVT32" s="1259"/>
      <c r="UVU32" s="1259"/>
      <c r="UVV32" s="1259"/>
      <c r="UVW32" s="1259"/>
      <c r="UVX32" s="1259"/>
      <c r="UVY32" s="1259"/>
      <c r="UVZ32" s="1259"/>
      <c r="UWA32" s="1259"/>
      <c r="UWB32" s="1259"/>
      <c r="UWC32" s="1259"/>
      <c r="UWD32" s="1259"/>
      <c r="UWE32" s="1259"/>
      <c r="UWF32" s="1259"/>
      <c r="UWG32" s="1259"/>
      <c r="UWH32" s="1259"/>
      <c r="UWI32" s="1259"/>
      <c r="UWJ32" s="1259"/>
      <c r="UWK32" s="1259"/>
      <c r="UWL32" s="1259"/>
      <c r="UWM32" s="1259"/>
      <c r="UWN32" s="1259"/>
      <c r="UWO32" s="1259"/>
      <c r="UWP32" s="1259"/>
      <c r="UWQ32" s="1259"/>
      <c r="UWR32" s="1259"/>
      <c r="UWS32" s="1259"/>
      <c r="UWT32" s="1259"/>
      <c r="UWU32" s="1259"/>
      <c r="UWV32" s="1259"/>
      <c r="UWW32" s="1259"/>
      <c r="UWX32" s="1259"/>
      <c r="UWY32" s="1259"/>
      <c r="UWZ32" s="1259"/>
      <c r="UXA32" s="1259"/>
      <c r="UXB32" s="1259"/>
      <c r="UXC32" s="1259"/>
      <c r="UXD32" s="1259"/>
      <c r="UXE32" s="1259"/>
      <c r="UXF32" s="1259"/>
      <c r="UXG32" s="1259"/>
      <c r="UXH32" s="1259"/>
      <c r="UXI32" s="1259"/>
      <c r="UXJ32" s="1259"/>
      <c r="UXK32" s="1259"/>
      <c r="UXL32" s="1259"/>
      <c r="UXM32" s="1259"/>
      <c r="UXN32" s="1259"/>
      <c r="UXO32" s="1259"/>
      <c r="UXP32" s="1259"/>
      <c r="UXQ32" s="1259"/>
      <c r="UXR32" s="1259"/>
      <c r="UXS32" s="1259"/>
      <c r="UXT32" s="1259"/>
      <c r="UXU32" s="1259"/>
      <c r="UXV32" s="1259"/>
      <c r="UXW32" s="1259"/>
      <c r="UXX32" s="1259"/>
      <c r="UXY32" s="1259"/>
      <c r="UXZ32" s="1259"/>
      <c r="UYA32" s="1259"/>
      <c r="UYB32" s="1259"/>
      <c r="UYC32" s="1259"/>
      <c r="UYD32" s="1259"/>
      <c r="UYE32" s="1259"/>
      <c r="UYF32" s="1259"/>
      <c r="UYG32" s="1259"/>
      <c r="UYH32" s="1259"/>
      <c r="UYI32" s="1259"/>
      <c r="UYJ32" s="1259"/>
      <c r="UYK32" s="1259"/>
      <c r="UYL32" s="1259"/>
      <c r="UYM32" s="1259"/>
      <c r="UYN32" s="1259"/>
      <c r="UYO32" s="1259"/>
      <c r="UYP32" s="1259"/>
      <c r="UYQ32" s="1259"/>
      <c r="UYR32" s="1259"/>
      <c r="UYS32" s="1259"/>
      <c r="UYT32" s="1259"/>
      <c r="UYU32" s="1259"/>
      <c r="UYV32" s="1259"/>
      <c r="UYW32" s="1259"/>
      <c r="UYX32" s="1259"/>
      <c r="UYY32" s="1259"/>
      <c r="UYZ32" s="1259"/>
      <c r="UZA32" s="1259"/>
      <c r="UZB32" s="1259"/>
      <c r="UZC32" s="1259"/>
      <c r="UZD32" s="1259"/>
      <c r="UZE32" s="1259"/>
      <c r="UZF32" s="1259"/>
      <c r="UZG32" s="1259"/>
      <c r="UZH32" s="1259"/>
      <c r="UZI32" s="1259"/>
      <c r="UZJ32" s="1259"/>
      <c r="UZK32" s="1259"/>
      <c r="UZL32" s="1259"/>
      <c r="UZM32" s="1259"/>
      <c r="UZN32" s="1259"/>
      <c r="UZO32" s="1259"/>
      <c r="UZP32" s="1259"/>
      <c r="UZQ32" s="1259"/>
      <c r="UZR32" s="1259"/>
      <c r="UZS32" s="1259"/>
      <c r="UZT32" s="1259"/>
      <c r="UZU32" s="1259"/>
      <c r="UZV32" s="1259"/>
      <c r="UZW32" s="1259"/>
      <c r="UZX32" s="1259"/>
      <c r="UZY32" s="1259"/>
      <c r="UZZ32" s="1259"/>
      <c r="VAA32" s="1259"/>
      <c r="VAB32" s="1259"/>
      <c r="VAC32" s="1259"/>
      <c r="VAD32" s="1259"/>
      <c r="VAE32" s="1259"/>
      <c r="VAF32" s="1259"/>
      <c r="VAG32" s="1259"/>
      <c r="VAH32" s="1259"/>
      <c r="VAI32" s="1259"/>
      <c r="VAJ32" s="1259"/>
      <c r="VAK32" s="1259"/>
      <c r="VAL32" s="1259"/>
      <c r="VAM32" s="1259"/>
      <c r="VAN32" s="1259"/>
      <c r="VAO32" s="1259"/>
      <c r="VAP32" s="1259"/>
      <c r="VAQ32" s="1259"/>
      <c r="VAR32" s="1259"/>
      <c r="VAS32" s="1259"/>
      <c r="VAT32" s="1259"/>
      <c r="VAU32" s="1259"/>
      <c r="VAV32" s="1259"/>
      <c r="VAW32" s="1259"/>
      <c r="VAX32" s="1259"/>
      <c r="VAY32" s="1259"/>
      <c r="VAZ32" s="1259"/>
      <c r="VBA32" s="1259"/>
      <c r="VBB32" s="1259"/>
      <c r="VBC32" s="1259"/>
      <c r="VBD32" s="1259"/>
      <c r="VBE32" s="1259"/>
      <c r="VBF32" s="1259"/>
      <c r="VBG32" s="1259"/>
      <c r="VBH32" s="1259"/>
      <c r="VBI32" s="1259"/>
      <c r="VBJ32" s="1259"/>
      <c r="VBK32" s="1259"/>
      <c r="VBL32" s="1259"/>
      <c r="VBM32" s="1259"/>
      <c r="VBN32" s="1259"/>
      <c r="VBO32" s="1259"/>
      <c r="VBP32" s="1259"/>
      <c r="VBQ32" s="1259"/>
      <c r="VBR32" s="1259"/>
      <c r="VBS32" s="1259"/>
      <c r="VBT32" s="1259"/>
      <c r="VBU32" s="1259"/>
      <c r="VBV32" s="1259"/>
      <c r="VBW32" s="1259"/>
      <c r="VBX32" s="1259"/>
      <c r="VBY32" s="1259"/>
      <c r="VBZ32" s="1259"/>
      <c r="VCA32" s="1259"/>
      <c r="VCB32" s="1259"/>
      <c r="VCC32" s="1259"/>
      <c r="VCD32" s="1259"/>
      <c r="VCE32" s="1259"/>
      <c r="VCF32" s="1259"/>
      <c r="VCG32" s="1259"/>
      <c r="VCH32" s="1259"/>
      <c r="VCI32" s="1259"/>
      <c r="VCJ32" s="1259"/>
      <c r="VCK32" s="1259"/>
      <c r="VCL32" s="1259"/>
      <c r="VCM32" s="1259"/>
      <c r="VCN32" s="1259"/>
      <c r="VCO32" s="1259"/>
      <c r="VCP32" s="1259"/>
      <c r="VCQ32" s="1259"/>
      <c r="VCR32" s="1259"/>
      <c r="VCS32" s="1259"/>
      <c r="VCT32" s="1259"/>
      <c r="VCU32" s="1259"/>
      <c r="VCV32" s="1259"/>
      <c r="VCW32" s="1259"/>
      <c r="VCX32" s="1259"/>
      <c r="VCY32" s="1259"/>
      <c r="VCZ32" s="1259"/>
      <c r="VDA32" s="1259"/>
      <c r="VDB32" s="1259"/>
      <c r="VDC32" s="1259"/>
      <c r="VDD32" s="1259"/>
      <c r="VDE32" s="1259"/>
      <c r="VDF32" s="1259"/>
      <c r="VDG32" s="1259"/>
      <c r="VDH32" s="1259"/>
      <c r="VDI32" s="1259"/>
      <c r="VDJ32" s="1259"/>
      <c r="VDK32" s="1259"/>
      <c r="VDL32" s="1259"/>
      <c r="VDM32" s="1259"/>
      <c r="VDN32" s="1259"/>
      <c r="VDO32" s="1259"/>
      <c r="VDP32" s="1259"/>
      <c r="VDQ32" s="1259"/>
      <c r="VDR32" s="1259"/>
      <c r="VDS32" s="1259"/>
      <c r="VDT32" s="1259"/>
      <c r="VDU32" s="1259"/>
      <c r="VDV32" s="1259"/>
      <c r="VDW32" s="1259"/>
      <c r="VDX32" s="1259"/>
      <c r="VDY32" s="1259"/>
      <c r="VDZ32" s="1259"/>
      <c r="VEA32" s="1259"/>
      <c r="VEB32" s="1259"/>
      <c r="VEC32" s="1259"/>
      <c r="VED32" s="1259"/>
      <c r="VEE32" s="1259"/>
      <c r="VEF32" s="1259"/>
      <c r="VEG32" s="1259"/>
      <c r="VEH32" s="1259"/>
      <c r="VEI32" s="1259"/>
      <c r="VEJ32" s="1259"/>
      <c r="VEK32" s="1259"/>
      <c r="VEL32" s="1259"/>
      <c r="VEM32" s="1259"/>
      <c r="VEN32" s="1259"/>
      <c r="VEO32" s="1259"/>
      <c r="VEP32" s="1259"/>
      <c r="VEQ32" s="1259"/>
      <c r="VER32" s="1259"/>
      <c r="VES32" s="1259"/>
      <c r="VET32" s="1259"/>
      <c r="VEU32" s="1259"/>
      <c r="VEV32" s="1259"/>
      <c r="VEW32" s="1259"/>
      <c r="VEX32" s="1259"/>
      <c r="VEY32" s="1259"/>
      <c r="VEZ32" s="1259"/>
      <c r="VFA32" s="1259"/>
      <c r="VFB32" s="1259"/>
      <c r="VFC32" s="1259"/>
      <c r="VFD32" s="1259"/>
      <c r="VFE32" s="1259"/>
      <c r="VFF32" s="1259"/>
      <c r="VFG32" s="1259"/>
      <c r="VFH32" s="1259"/>
      <c r="VFI32" s="1259"/>
      <c r="VFJ32" s="1259"/>
      <c r="VFK32" s="1259"/>
      <c r="VFL32" s="1259"/>
      <c r="VFM32" s="1259"/>
      <c r="VFN32" s="1259"/>
      <c r="VFO32" s="1259"/>
      <c r="VFP32" s="1259"/>
      <c r="VFQ32" s="1259"/>
      <c r="VFR32" s="1259"/>
      <c r="VFS32" s="1259"/>
      <c r="VFT32" s="1259"/>
      <c r="VFU32" s="1259"/>
      <c r="VFV32" s="1259"/>
      <c r="VFW32" s="1259"/>
      <c r="VFX32" s="1259"/>
      <c r="VFY32" s="1259"/>
      <c r="VFZ32" s="1259"/>
      <c r="VGA32" s="1259"/>
      <c r="VGB32" s="1259"/>
      <c r="VGC32" s="1259"/>
      <c r="VGD32" s="1259"/>
      <c r="VGE32" s="1259"/>
      <c r="VGF32" s="1259"/>
      <c r="VGG32" s="1259"/>
      <c r="VGH32" s="1259"/>
      <c r="VGI32" s="1259"/>
      <c r="VGJ32" s="1259"/>
      <c r="VGK32" s="1259"/>
      <c r="VGL32" s="1259"/>
      <c r="VGM32" s="1259"/>
      <c r="VGN32" s="1259"/>
      <c r="VGO32" s="1259"/>
      <c r="VGP32" s="1259"/>
      <c r="VGQ32" s="1259"/>
      <c r="VGR32" s="1259"/>
      <c r="VGS32" s="1259"/>
      <c r="VGT32" s="1259"/>
      <c r="VGU32" s="1259"/>
      <c r="VGV32" s="1259"/>
      <c r="VGW32" s="1259"/>
      <c r="VGX32" s="1259"/>
      <c r="VGY32" s="1259"/>
      <c r="VGZ32" s="1259"/>
      <c r="VHA32" s="1259"/>
      <c r="VHB32" s="1259"/>
      <c r="VHC32" s="1259"/>
      <c r="VHD32" s="1259"/>
      <c r="VHE32" s="1259"/>
      <c r="VHF32" s="1259"/>
      <c r="VHG32" s="1259"/>
      <c r="VHH32" s="1259"/>
      <c r="VHI32" s="1259"/>
      <c r="VHJ32" s="1259"/>
      <c r="VHK32" s="1259"/>
      <c r="VHL32" s="1259"/>
      <c r="VHM32" s="1259"/>
      <c r="VHN32" s="1259"/>
      <c r="VHO32" s="1259"/>
      <c r="VHP32" s="1259"/>
      <c r="VHQ32" s="1259"/>
      <c r="VHR32" s="1259"/>
      <c r="VHS32" s="1259"/>
      <c r="VHT32" s="1259"/>
      <c r="VHU32" s="1259"/>
      <c r="VHV32" s="1259"/>
      <c r="VHW32" s="1259"/>
      <c r="VHX32" s="1259"/>
      <c r="VHY32" s="1259"/>
      <c r="VHZ32" s="1259"/>
      <c r="VIA32" s="1259"/>
      <c r="VIB32" s="1259"/>
      <c r="VIC32" s="1259"/>
      <c r="VID32" s="1259"/>
      <c r="VIE32" s="1259"/>
      <c r="VIF32" s="1259"/>
      <c r="VIG32" s="1259"/>
      <c r="VIH32" s="1259"/>
      <c r="VII32" s="1259"/>
      <c r="VIJ32" s="1259"/>
      <c r="VIK32" s="1259"/>
      <c r="VIL32" s="1259"/>
      <c r="VIM32" s="1259"/>
      <c r="VIN32" s="1259"/>
      <c r="VIO32" s="1259"/>
      <c r="VIP32" s="1259"/>
      <c r="VIQ32" s="1259"/>
      <c r="VIR32" s="1259"/>
      <c r="VIS32" s="1259"/>
      <c r="VIT32" s="1259"/>
      <c r="VIU32" s="1259"/>
      <c r="VIV32" s="1259"/>
      <c r="VIW32" s="1259"/>
      <c r="VIX32" s="1259"/>
      <c r="VIY32" s="1259"/>
      <c r="VIZ32" s="1259"/>
      <c r="VJA32" s="1259"/>
      <c r="VJB32" s="1259"/>
      <c r="VJC32" s="1259"/>
      <c r="VJD32" s="1259"/>
      <c r="VJE32" s="1259"/>
      <c r="VJF32" s="1259"/>
      <c r="VJG32" s="1259"/>
      <c r="VJH32" s="1259"/>
      <c r="VJI32" s="1259"/>
      <c r="VJJ32" s="1259"/>
      <c r="VJK32" s="1259"/>
      <c r="VJL32" s="1259"/>
      <c r="VJM32" s="1259"/>
      <c r="VJN32" s="1259"/>
      <c r="VJO32" s="1259"/>
      <c r="VJP32" s="1259"/>
      <c r="VJQ32" s="1259"/>
      <c r="VJR32" s="1259"/>
      <c r="VJS32" s="1259"/>
      <c r="VJT32" s="1259"/>
      <c r="VJU32" s="1259"/>
      <c r="VJV32" s="1259"/>
      <c r="VJW32" s="1259"/>
      <c r="VJX32" s="1259"/>
      <c r="VJY32" s="1259"/>
      <c r="VJZ32" s="1259"/>
      <c r="VKA32" s="1259"/>
      <c r="VKB32" s="1259"/>
      <c r="VKC32" s="1259"/>
      <c r="VKD32" s="1259"/>
      <c r="VKE32" s="1259"/>
      <c r="VKF32" s="1259"/>
      <c r="VKG32" s="1259"/>
      <c r="VKH32" s="1259"/>
      <c r="VKI32" s="1259"/>
      <c r="VKJ32" s="1259"/>
      <c r="VKK32" s="1259"/>
      <c r="VKL32" s="1259"/>
      <c r="VKM32" s="1259"/>
      <c r="VKN32" s="1259"/>
      <c r="VKO32" s="1259"/>
      <c r="VKP32" s="1259"/>
      <c r="VKQ32" s="1259"/>
      <c r="VKR32" s="1259"/>
      <c r="VKS32" s="1259"/>
      <c r="VKT32" s="1259"/>
      <c r="VKU32" s="1259"/>
      <c r="VKV32" s="1259"/>
      <c r="VKW32" s="1259"/>
      <c r="VKX32" s="1259"/>
      <c r="VKY32" s="1259"/>
      <c r="VKZ32" s="1259"/>
      <c r="VLA32" s="1259"/>
      <c r="VLB32" s="1259"/>
      <c r="VLC32" s="1259"/>
      <c r="VLD32" s="1259"/>
      <c r="VLE32" s="1259"/>
      <c r="VLF32" s="1259"/>
      <c r="VLG32" s="1259"/>
      <c r="VLH32" s="1259"/>
      <c r="VLI32" s="1259"/>
      <c r="VLJ32" s="1259"/>
      <c r="VLK32" s="1259"/>
      <c r="VLL32" s="1259"/>
      <c r="VLM32" s="1259"/>
      <c r="VLN32" s="1259"/>
      <c r="VLO32" s="1259"/>
      <c r="VLP32" s="1259"/>
      <c r="VLQ32" s="1259"/>
      <c r="VLR32" s="1259"/>
      <c r="VLS32" s="1259"/>
      <c r="VLT32" s="1259"/>
      <c r="VLU32" s="1259"/>
      <c r="VLV32" s="1259"/>
      <c r="VLW32" s="1259"/>
      <c r="VLX32" s="1259"/>
      <c r="VLY32" s="1259"/>
      <c r="VLZ32" s="1259"/>
      <c r="VMA32" s="1259"/>
      <c r="VMB32" s="1259"/>
      <c r="VMC32" s="1259"/>
      <c r="VMD32" s="1259"/>
      <c r="VME32" s="1259"/>
      <c r="VMF32" s="1259"/>
      <c r="VMG32" s="1259"/>
      <c r="VMH32" s="1259"/>
      <c r="VMI32" s="1259"/>
      <c r="VMJ32" s="1259"/>
      <c r="VMK32" s="1259"/>
      <c r="VML32" s="1259"/>
      <c r="VMM32" s="1259"/>
      <c r="VMN32" s="1259"/>
      <c r="VMO32" s="1259"/>
      <c r="VMP32" s="1259"/>
      <c r="VMQ32" s="1259"/>
      <c r="VMR32" s="1259"/>
      <c r="VMS32" s="1259"/>
      <c r="VMT32" s="1259"/>
      <c r="VMU32" s="1259"/>
      <c r="VMV32" s="1259"/>
      <c r="VMW32" s="1259"/>
      <c r="VMX32" s="1259"/>
      <c r="VMY32" s="1259"/>
      <c r="VMZ32" s="1259"/>
      <c r="VNA32" s="1259"/>
      <c r="VNB32" s="1259"/>
      <c r="VNC32" s="1259"/>
      <c r="VND32" s="1259"/>
      <c r="VNE32" s="1259"/>
      <c r="VNF32" s="1259"/>
      <c r="VNG32" s="1259"/>
      <c r="VNH32" s="1259"/>
      <c r="VNI32" s="1259"/>
      <c r="VNJ32" s="1259"/>
      <c r="VNK32" s="1259"/>
      <c r="VNL32" s="1259"/>
      <c r="VNM32" s="1259"/>
      <c r="VNN32" s="1259"/>
      <c r="VNO32" s="1259"/>
      <c r="VNP32" s="1259"/>
      <c r="VNQ32" s="1259"/>
      <c r="VNR32" s="1259"/>
      <c r="VNS32" s="1259"/>
      <c r="VNT32" s="1259"/>
      <c r="VNU32" s="1259"/>
      <c r="VNV32" s="1259"/>
      <c r="VNW32" s="1259"/>
      <c r="VNX32" s="1259"/>
      <c r="VNY32" s="1259"/>
      <c r="VNZ32" s="1259"/>
      <c r="VOA32" s="1259"/>
      <c r="VOB32" s="1259"/>
      <c r="VOC32" s="1259"/>
      <c r="VOD32" s="1259"/>
      <c r="VOE32" s="1259"/>
      <c r="VOF32" s="1259"/>
      <c r="VOG32" s="1259"/>
      <c r="VOH32" s="1259"/>
      <c r="VOI32" s="1259"/>
      <c r="VOJ32" s="1259"/>
      <c r="VOK32" s="1259"/>
      <c r="VOL32" s="1259"/>
      <c r="VOM32" s="1259"/>
      <c r="VON32" s="1259"/>
      <c r="VOO32" s="1259"/>
      <c r="VOP32" s="1259"/>
      <c r="VOQ32" s="1259"/>
      <c r="VOR32" s="1259"/>
      <c r="VOS32" s="1259"/>
      <c r="VOT32" s="1259"/>
      <c r="VOU32" s="1259"/>
      <c r="VOV32" s="1259"/>
      <c r="VOW32" s="1259"/>
      <c r="VOX32" s="1259"/>
      <c r="VOY32" s="1259"/>
      <c r="VOZ32" s="1259"/>
      <c r="VPA32" s="1259"/>
      <c r="VPB32" s="1259"/>
      <c r="VPC32" s="1259"/>
      <c r="VPD32" s="1259"/>
      <c r="VPE32" s="1259"/>
      <c r="VPF32" s="1259"/>
      <c r="VPG32" s="1259"/>
      <c r="VPH32" s="1259"/>
      <c r="VPI32" s="1259"/>
      <c r="VPJ32" s="1259"/>
      <c r="VPK32" s="1259"/>
      <c r="VPL32" s="1259"/>
      <c r="VPM32" s="1259"/>
      <c r="VPN32" s="1259"/>
      <c r="VPO32" s="1259"/>
      <c r="VPP32" s="1259"/>
      <c r="VPQ32" s="1259"/>
      <c r="VPR32" s="1259"/>
      <c r="VPS32" s="1259"/>
      <c r="VPT32" s="1259"/>
      <c r="VPU32" s="1259"/>
      <c r="VPV32" s="1259"/>
      <c r="VPW32" s="1259"/>
      <c r="VPX32" s="1259"/>
      <c r="VPY32" s="1259"/>
      <c r="VPZ32" s="1259"/>
      <c r="VQA32" s="1259"/>
      <c r="VQB32" s="1259"/>
      <c r="VQC32" s="1259"/>
      <c r="VQD32" s="1259"/>
      <c r="VQE32" s="1259"/>
      <c r="VQF32" s="1259"/>
      <c r="VQG32" s="1259"/>
      <c r="VQH32" s="1259"/>
      <c r="VQI32" s="1259"/>
      <c r="VQJ32" s="1259"/>
      <c r="VQK32" s="1259"/>
      <c r="VQL32" s="1259"/>
      <c r="VQM32" s="1259"/>
      <c r="VQN32" s="1259"/>
      <c r="VQO32" s="1259"/>
      <c r="VQP32" s="1259"/>
      <c r="VQQ32" s="1259"/>
      <c r="VQR32" s="1259"/>
      <c r="VQS32" s="1259"/>
      <c r="VQT32" s="1259"/>
      <c r="VQU32" s="1259"/>
      <c r="VQV32" s="1259"/>
      <c r="VQW32" s="1259"/>
      <c r="VQX32" s="1259"/>
      <c r="VQY32" s="1259"/>
      <c r="VQZ32" s="1259"/>
      <c r="VRA32" s="1259"/>
      <c r="VRB32" s="1259"/>
      <c r="VRC32" s="1259"/>
      <c r="VRD32" s="1259"/>
      <c r="VRE32" s="1259"/>
      <c r="VRF32" s="1259"/>
      <c r="VRG32" s="1259"/>
      <c r="VRH32" s="1259"/>
      <c r="VRI32" s="1259"/>
      <c r="VRJ32" s="1259"/>
      <c r="VRK32" s="1259"/>
      <c r="VRL32" s="1259"/>
      <c r="VRM32" s="1259"/>
      <c r="VRN32" s="1259"/>
      <c r="VRO32" s="1259"/>
      <c r="VRP32" s="1259"/>
      <c r="VRQ32" s="1259"/>
      <c r="VRR32" s="1259"/>
      <c r="VRS32" s="1259"/>
      <c r="VRT32" s="1259"/>
      <c r="VRU32" s="1259"/>
      <c r="VRV32" s="1259"/>
      <c r="VRW32" s="1259"/>
      <c r="VRX32" s="1259"/>
      <c r="VRY32" s="1259"/>
      <c r="VRZ32" s="1259"/>
      <c r="VSA32" s="1259"/>
      <c r="VSB32" s="1259"/>
      <c r="VSC32" s="1259"/>
      <c r="VSD32" s="1259"/>
      <c r="VSE32" s="1259"/>
      <c r="VSF32" s="1259"/>
      <c r="VSG32" s="1259"/>
      <c r="VSH32" s="1259"/>
      <c r="VSI32" s="1259"/>
      <c r="VSJ32" s="1259"/>
      <c r="VSK32" s="1259"/>
      <c r="VSL32" s="1259"/>
      <c r="VSM32" s="1259"/>
      <c r="VSN32" s="1259"/>
      <c r="VSO32" s="1259"/>
      <c r="VSP32" s="1259"/>
      <c r="VSQ32" s="1259"/>
      <c r="VSR32" s="1259"/>
      <c r="VSS32" s="1259"/>
      <c r="VST32" s="1259"/>
      <c r="VSU32" s="1259"/>
      <c r="VSV32" s="1259"/>
      <c r="VSW32" s="1259"/>
      <c r="VSX32" s="1259"/>
      <c r="VSY32" s="1259"/>
      <c r="VSZ32" s="1259"/>
      <c r="VTA32" s="1259"/>
      <c r="VTB32" s="1259"/>
      <c r="VTC32" s="1259"/>
      <c r="VTD32" s="1259"/>
      <c r="VTE32" s="1259"/>
      <c r="VTF32" s="1259"/>
      <c r="VTG32" s="1259"/>
      <c r="VTH32" s="1259"/>
      <c r="VTI32" s="1259"/>
      <c r="VTJ32" s="1259"/>
      <c r="VTK32" s="1259"/>
      <c r="VTL32" s="1259"/>
      <c r="VTM32" s="1259"/>
      <c r="VTN32" s="1259"/>
      <c r="VTO32" s="1259"/>
      <c r="VTP32" s="1259"/>
      <c r="VTQ32" s="1259"/>
      <c r="VTR32" s="1259"/>
      <c r="VTS32" s="1259"/>
      <c r="VTT32" s="1259"/>
      <c r="VTU32" s="1259"/>
      <c r="VTV32" s="1259"/>
      <c r="VTW32" s="1259"/>
      <c r="VTX32" s="1259"/>
      <c r="VTY32" s="1259"/>
      <c r="VTZ32" s="1259"/>
      <c r="VUA32" s="1259"/>
      <c r="VUB32" s="1259"/>
      <c r="VUC32" s="1259"/>
      <c r="VUD32" s="1259"/>
      <c r="VUE32" s="1259"/>
      <c r="VUF32" s="1259"/>
      <c r="VUG32" s="1259"/>
      <c r="VUH32" s="1259"/>
      <c r="VUI32" s="1259"/>
      <c r="VUJ32" s="1259"/>
      <c r="VUK32" s="1259"/>
      <c r="VUL32" s="1259"/>
      <c r="VUM32" s="1259"/>
      <c r="VUN32" s="1259"/>
      <c r="VUO32" s="1259"/>
      <c r="VUP32" s="1259"/>
      <c r="VUQ32" s="1259"/>
      <c r="VUR32" s="1259"/>
      <c r="VUS32" s="1259"/>
      <c r="VUT32" s="1259"/>
      <c r="VUU32" s="1259"/>
      <c r="VUV32" s="1259"/>
      <c r="VUW32" s="1259"/>
      <c r="VUX32" s="1259"/>
      <c r="VUY32" s="1259"/>
      <c r="VUZ32" s="1259"/>
      <c r="VVA32" s="1259"/>
      <c r="VVB32" s="1259"/>
      <c r="VVC32" s="1259"/>
      <c r="VVD32" s="1259"/>
      <c r="VVE32" s="1259"/>
      <c r="VVF32" s="1259"/>
      <c r="VVG32" s="1259"/>
      <c r="VVH32" s="1259"/>
      <c r="VVI32" s="1259"/>
      <c r="VVJ32" s="1259"/>
      <c r="VVK32" s="1259"/>
      <c r="VVL32" s="1259"/>
      <c r="VVM32" s="1259"/>
      <c r="VVN32" s="1259"/>
      <c r="VVO32" s="1259"/>
      <c r="VVP32" s="1259"/>
      <c r="VVQ32" s="1259"/>
      <c r="VVR32" s="1259"/>
      <c r="VVS32" s="1259"/>
      <c r="VVT32" s="1259"/>
      <c r="VVU32" s="1259"/>
      <c r="VVV32" s="1259"/>
      <c r="VVW32" s="1259"/>
      <c r="VVX32" s="1259"/>
      <c r="VVY32" s="1259"/>
      <c r="VVZ32" s="1259"/>
      <c r="VWA32" s="1259"/>
      <c r="VWB32" s="1259"/>
      <c r="VWC32" s="1259"/>
      <c r="VWD32" s="1259"/>
      <c r="VWE32" s="1259"/>
      <c r="VWF32" s="1259"/>
      <c r="VWG32" s="1259"/>
      <c r="VWH32" s="1259"/>
      <c r="VWI32" s="1259"/>
      <c r="VWJ32" s="1259"/>
      <c r="VWK32" s="1259"/>
      <c r="VWL32" s="1259"/>
      <c r="VWM32" s="1259"/>
      <c r="VWN32" s="1259"/>
      <c r="VWO32" s="1259"/>
      <c r="VWP32" s="1259"/>
      <c r="VWQ32" s="1259"/>
      <c r="VWR32" s="1259"/>
      <c r="VWS32" s="1259"/>
      <c r="VWT32" s="1259"/>
      <c r="VWU32" s="1259"/>
      <c r="VWV32" s="1259"/>
      <c r="VWW32" s="1259"/>
      <c r="VWX32" s="1259"/>
      <c r="VWY32" s="1259"/>
      <c r="VWZ32" s="1259"/>
      <c r="VXA32" s="1259"/>
      <c r="VXB32" s="1259"/>
      <c r="VXC32" s="1259"/>
      <c r="VXD32" s="1259"/>
      <c r="VXE32" s="1259"/>
      <c r="VXF32" s="1259"/>
      <c r="VXG32" s="1259"/>
      <c r="VXH32" s="1259"/>
      <c r="VXI32" s="1259"/>
      <c r="VXJ32" s="1259"/>
      <c r="VXK32" s="1259"/>
      <c r="VXL32" s="1259"/>
      <c r="VXM32" s="1259"/>
      <c r="VXN32" s="1259"/>
      <c r="VXO32" s="1259"/>
      <c r="VXP32" s="1259"/>
      <c r="VXQ32" s="1259"/>
      <c r="VXR32" s="1259"/>
      <c r="VXS32" s="1259"/>
      <c r="VXT32" s="1259"/>
      <c r="VXU32" s="1259"/>
      <c r="VXV32" s="1259"/>
      <c r="VXW32" s="1259"/>
      <c r="VXX32" s="1259"/>
      <c r="VXY32" s="1259"/>
      <c r="VXZ32" s="1259"/>
      <c r="VYA32" s="1259"/>
      <c r="VYB32" s="1259"/>
      <c r="VYC32" s="1259"/>
      <c r="VYD32" s="1259"/>
      <c r="VYE32" s="1259"/>
      <c r="VYF32" s="1259"/>
      <c r="VYG32" s="1259"/>
      <c r="VYH32" s="1259"/>
      <c r="VYI32" s="1259"/>
      <c r="VYJ32" s="1259"/>
      <c r="VYK32" s="1259"/>
      <c r="VYL32" s="1259"/>
      <c r="VYM32" s="1259"/>
      <c r="VYN32" s="1259"/>
      <c r="VYO32" s="1259"/>
      <c r="VYP32" s="1259"/>
      <c r="VYQ32" s="1259"/>
      <c r="VYR32" s="1259"/>
      <c r="VYS32" s="1259"/>
      <c r="VYT32" s="1259"/>
      <c r="VYU32" s="1259"/>
      <c r="VYV32" s="1259"/>
      <c r="VYW32" s="1259"/>
      <c r="VYX32" s="1259"/>
      <c r="VYY32" s="1259"/>
      <c r="VYZ32" s="1259"/>
      <c r="VZA32" s="1259"/>
      <c r="VZB32" s="1259"/>
      <c r="VZC32" s="1259"/>
      <c r="VZD32" s="1259"/>
      <c r="VZE32" s="1259"/>
      <c r="VZF32" s="1259"/>
      <c r="VZG32" s="1259"/>
      <c r="VZH32" s="1259"/>
      <c r="VZI32" s="1259"/>
      <c r="VZJ32" s="1259"/>
      <c r="VZK32" s="1259"/>
      <c r="VZL32" s="1259"/>
      <c r="VZM32" s="1259"/>
      <c r="VZN32" s="1259"/>
      <c r="VZO32" s="1259"/>
      <c r="VZP32" s="1259"/>
      <c r="VZQ32" s="1259"/>
      <c r="VZR32" s="1259"/>
      <c r="VZS32" s="1259"/>
      <c r="VZT32" s="1259"/>
      <c r="VZU32" s="1259"/>
      <c r="VZV32" s="1259"/>
      <c r="VZW32" s="1259"/>
      <c r="VZX32" s="1259"/>
      <c r="VZY32" s="1259"/>
      <c r="VZZ32" s="1259"/>
      <c r="WAA32" s="1259"/>
      <c r="WAB32" s="1259"/>
      <c r="WAC32" s="1259"/>
      <c r="WAD32" s="1259"/>
      <c r="WAE32" s="1259"/>
      <c r="WAF32" s="1259"/>
      <c r="WAG32" s="1259"/>
      <c r="WAH32" s="1259"/>
      <c r="WAI32" s="1259"/>
      <c r="WAJ32" s="1259"/>
      <c r="WAK32" s="1259"/>
      <c r="WAL32" s="1259"/>
      <c r="WAM32" s="1259"/>
      <c r="WAN32" s="1259"/>
      <c r="WAO32" s="1259"/>
      <c r="WAP32" s="1259"/>
      <c r="WAQ32" s="1259"/>
      <c r="WAR32" s="1259"/>
      <c r="WAS32" s="1259"/>
      <c r="WAT32" s="1259"/>
      <c r="WAU32" s="1259"/>
      <c r="WAV32" s="1259"/>
      <c r="WAW32" s="1259"/>
      <c r="WAX32" s="1259"/>
      <c r="WAY32" s="1259"/>
      <c r="WAZ32" s="1259"/>
      <c r="WBA32" s="1259"/>
      <c r="WBB32" s="1259"/>
      <c r="WBC32" s="1259"/>
      <c r="WBD32" s="1259"/>
      <c r="WBE32" s="1259"/>
      <c r="WBF32" s="1259"/>
      <c r="WBG32" s="1259"/>
      <c r="WBH32" s="1259"/>
      <c r="WBI32" s="1259"/>
      <c r="WBJ32" s="1259"/>
      <c r="WBK32" s="1259"/>
      <c r="WBL32" s="1259"/>
      <c r="WBM32" s="1259"/>
      <c r="WBN32" s="1259"/>
      <c r="WBO32" s="1259"/>
      <c r="WBP32" s="1259"/>
      <c r="WBQ32" s="1259"/>
      <c r="WBR32" s="1259"/>
      <c r="WBS32" s="1259"/>
      <c r="WBT32" s="1259"/>
      <c r="WBU32" s="1259"/>
      <c r="WBV32" s="1259"/>
      <c r="WBW32" s="1259"/>
      <c r="WBX32" s="1259"/>
      <c r="WBY32" s="1259"/>
      <c r="WBZ32" s="1259"/>
      <c r="WCA32" s="1259"/>
      <c r="WCB32" s="1259"/>
      <c r="WCC32" s="1259"/>
      <c r="WCD32" s="1259"/>
      <c r="WCE32" s="1259"/>
      <c r="WCF32" s="1259"/>
      <c r="WCG32" s="1259"/>
      <c r="WCH32" s="1259"/>
      <c r="WCI32" s="1259"/>
      <c r="WCJ32" s="1259"/>
      <c r="WCK32" s="1259"/>
      <c r="WCL32" s="1259"/>
      <c r="WCM32" s="1259"/>
      <c r="WCN32" s="1259"/>
      <c r="WCO32" s="1259"/>
      <c r="WCP32" s="1259"/>
      <c r="WCQ32" s="1259"/>
      <c r="WCR32" s="1259"/>
      <c r="WCS32" s="1259"/>
      <c r="WCT32" s="1259"/>
      <c r="WCU32" s="1259"/>
      <c r="WCV32" s="1259"/>
      <c r="WCW32" s="1259"/>
      <c r="WCX32" s="1259"/>
      <c r="WCY32" s="1259"/>
      <c r="WCZ32" s="1259"/>
      <c r="WDA32" s="1259"/>
      <c r="WDB32" s="1259"/>
      <c r="WDC32" s="1259"/>
      <c r="WDD32" s="1259"/>
      <c r="WDE32" s="1259"/>
      <c r="WDF32" s="1259"/>
      <c r="WDG32" s="1259"/>
      <c r="WDH32" s="1259"/>
      <c r="WDI32" s="1259"/>
      <c r="WDJ32" s="1259"/>
      <c r="WDK32" s="1259"/>
      <c r="WDL32" s="1259"/>
      <c r="WDM32" s="1259"/>
      <c r="WDN32" s="1259"/>
      <c r="WDO32" s="1259"/>
      <c r="WDP32" s="1259"/>
      <c r="WDQ32" s="1259"/>
      <c r="WDR32" s="1259"/>
      <c r="WDS32" s="1259"/>
      <c r="WDT32" s="1259"/>
      <c r="WDU32" s="1259"/>
      <c r="WDV32" s="1259"/>
      <c r="WDW32" s="1259"/>
      <c r="WDX32" s="1259"/>
      <c r="WDY32" s="1259"/>
      <c r="WDZ32" s="1259"/>
      <c r="WEA32" s="1259"/>
      <c r="WEB32" s="1259"/>
      <c r="WEC32" s="1259"/>
      <c r="WED32" s="1259"/>
      <c r="WEE32" s="1259"/>
      <c r="WEF32" s="1259"/>
      <c r="WEG32" s="1259"/>
      <c r="WEH32" s="1259"/>
      <c r="WEI32" s="1259"/>
      <c r="WEJ32" s="1259"/>
      <c r="WEK32" s="1259"/>
      <c r="WEL32" s="1259"/>
      <c r="WEM32" s="1259"/>
      <c r="WEN32" s="1259"/>
      <c r="WEO32" s="1259"/>
      <c r="WEP32" s="1259"/>
      <c r="WEQ32" s="1259"/>
      <c r="WER32" s="1259"/>
      <c r="WES32" s="1259"/>
      <c r="WET32" s="1259"/>
      <c r="WEU32" s="1259"/>
      <c r="WEV32" s="1259"/>
      <c r="WEW32" s="1259"/>
      <c r="WEX32" s="1259"/>
      <c r="WEY32" s="1259"/>
      <c r="WEZ32" s="1259"/>
      <c r="WFA32" s="1259"/>
      <c r="WFB32" s="1259"/>
      <c r="WFC32" s="1259"/>
      <c r="WFD32" s="1259"/>
      <c r="WFE32" s="1259"/>
      <c r="WFF32" s="1259"/>
      <c r="WFG32" s="1259"/>
      <c r="WFH32" s="1259"/>
      <c r="WFI32" s="1259"/>
      <c r="WFJ32" s="1259"/>
      <c r="WFK32" s="1259"/>
      <c r="WFL32" s="1259"/>
      <c r="WFM32" s="1259"/>
      <c r="WFN32" s="1259"/>
      <c r="WFO32" s="1259"/>
      <c r="WFP32" s="1259"/>
      <c r="WFQ32" s="1259"/>
      <c r="WFR32" s="1259"/>
      <c r="WFS32" s="1259"/>
      <c r="WFT32" s="1259"/>
      <c r="WFU32" s="1259"/>
      <c r="WFV32" s="1259"/>
      <c r="WFW32" s="1259"/>
      <c r="WFX32" s="1259"/>
      <c r="WFY32" s="1259"/>
      <c r="WFZ32" s="1259"/>
      <c r="WGA32" s="1259"/>
      <c r="WGB32" s="1259"/>
      <c r="WGC32" s="1259"/>
      <c r="WGD32" s="1259"/>
      <c r="WGE32" s="1259"/>
      <c r="WGF32" s="1259"/>
      <c r="WGG32" s="1259"/>
      <c r="WGH32" s="1259"/>
      <c r="WGI32" s="1259"/>
      <c r="WGJ32" s="1259"/>
      <c r="WGK32" s="1259"/>
      <c r="WGL32" s="1259"/>
      <c r="WGM32" s="1259"/>
      <c r="WGN32" s="1259"/>
      <c r="WGO32" s="1259"/>
      <c r="WGP32" s="1259"/>
      <c r="WGQ32" s="1259"/>
      <c r="WGR32" s="1259"/>
      <c r="WGS32" s="1259"/>
      <c r="WGT32" s="1259"/>
      <c r="WGU32" s="1259"/>
      <c r="WGV32" s="1259"/>
      <c r="WGW32" s="1259"/>
      <c r="WGX32" s="1259"/>
      <c r="WGY32" s="1259"/>
      <c r="WGZ32" s="1259"/>
      <c r="WHA32" s="1259"/>
      <c r="WHB32" s="1259"/>
      <c r="WHC32" s="1259"/>
      <c r="WHD32" s="1259"/>
      <c r="WHE32" s="1259"/>
      <c r="WHF32" s="1259"/>
      <c r="WHG32" s="1259"/>
      <c r="WHH32" s="1259"/>
      <c r="WHI32" s="1259"/>
      <c r="WHJ32" s="1259"/>
      <c r="WHK32" s="1259"/>
      <c r="WHL32" s="1259"/>
      <c r="WHM32" s="1259"/>
      <c r="WHN32" s="1259"/>
      <c r="WHO32" s="1259"/>
      <c r="WHP32" s="1259"/>
      <c r="WHQ32" s="1259"/>
      <c r="WHR32" s="1259"/>
      <c r="WHS32" s="1259"/>
      <c r="WHT32" s="1259"/>
      <c r="WHU32" s="1259"/>
      <c r="WHV32" s="1259"/>
      <c r="WHW32" s="1259"/>
      <c r="WHX32" s="1259"/>
      <c r="WHY32" s="1259"/>
      <c r="WHZ32" s="1259"/>
      <c r="WIA32" s="1259"/>
      <c r="WIB32" s="1259"/>
      <c r="WIC32" s="1259"/>
      <c r="WID32" s="1259"/>
      <c r="WIE32" s="1259"/>
      <c r="WIF32" s="1259"/>
      <c r="WIG32" s="1259"/>
      <c r="WIH32" s="1259"/>
      <c r="WII32" s="1259"/>
      <c r="WIJ32" s="1259"/>
      <c r="WIK32" s="1259"/>
      <c r="WIL32" s="1259"/>
      <c r="WIM32" s="1259"/>
      <c r="WIN32" s="1259"/>
      <c r="WIO32" s="1259"/>
      <c r="WIP32" s="1259"/>
      <c r="WIQ32" s="1259"/>
      <c r="WIR32" s="1259"/>
      <c r="WIS32" s="1259"/>
      <c r="WIT32" s="1259"/>
      <c r="WIU32" s="1259"/>
      <c r="WIV32" s="1259"/>
      <c r="WIW32" s="1259"/>
      <c r="WIX32" s="1259"/>
      <c r="WIY32" s="1259"/>
      <c r="WIZ32" s="1259"/>
      <c r="WJA32" s="1259"/>
      <c r="WJB32" s="1259"/>
      <c r="WJC32" s="1259"/>
      <c r="WJD32" s="1259"/>
      <c r="WJE32" s="1259"/>
      <c r="WJF32" s="1259"/>
      <c r="WJG32" s="1259"/>
      <c r="WJH32" s="1259"/>
      <c r="WJI32" s="1259"/>
      <c r="WJJ32" s="1259"/>
      <c r="WJK32" s="1259"/>
      <c r="WJL32" s="1259"/>
      <c r="WJM32" s="1259"/>
      <c r="WJN32" s="1259"/>
      <c r="WJO32" s="1259"/>
      <c r="WJP32" s="1259"/>
      <c r="WJQ32" s="1259"/>
      <c r="WJR32" s="1259"/>
      <c r="WJS32" s="1259"/>
      <c r="WJT32" s="1259"/>
      <c r="WJU32" s="1259"/>
      <c r="WJV32" s="1259"/>
      <c r="WJW32" s="1259"/>
      <c r="WJX32" s="1259"/>
      <c r="WJY32" s="1259"/>
      <c r="WJZ32" s="1259"/>
      <c r="WKA32" s="1259"/>
      <c r="WKB32" s="1259"/>
      <c r="WKC32" s="1259"/>
      <c r="WKD32" s="1259"/>
      <c r="WKE32" s="1259"/>
      <c r="WKF32" s="1259"/>
      <c r="WKG32" s="1259"/>
      <c r="WKH32" s="1259"/>
      <c r="WKI32" s="1259"/>
      <c r="WKJ32" s="1259"/>
      <c r="WKK32" s="1259"/>
      <c r="WKL32" s="1259"/>
      <c r="WKM32" s="1259"/>
      <c r="WKN32" s="1259"/>
      <c r="WKO32" s="1259"/>
      <c r="WKP32" s="1259"/>
      <c r="WKQ32" s="1259"/>
      <c r="WKR32" s="1259"/>
      <c r="WKS32" s="1259"/>
      <c r="WKT32" s="1259"/>
      <c r="WKU32" s="1259"/>
      <c r="WKV32" s="1259"/>
      <c r="WKW32" s="1259"/>
      <c r="WKX32" s="1259"/>
      <c r="WKY32" s="1259"/>
      <c r="WKZ32" s="1259"/>
      <c r="WLA32" s="1259"/>
      <c r="WLB32" s="1259"/>
      <c r="WLC32" s="1259"/>
      <c r="WLD32" s="1259"/>
      <c r="WLE32" s="1259"/>
      <c r="WLF32" s="1259"/>
      <c r="WLG32" s="1259"/>
      <c r="WLH32" s="1259"/>
      <c r="WLI32" s="1259"/>
      <c r="WLJ32" s="1259"/>
      <c r="WLK32" s="1259"/>
      <c r="WLL32" s="1259"/>
      <c r="WLM32" s="1259"/>
      <c r="WLN32" s="1259"/>
      <c r="WLO32" s="1259"/>
      <c r="WLP32" s="1259"/>
      <c r="WLQ32" s="1259"/>
      <c r="WLR32" s="1259"/>
      <c r="WLS32" s="1259"/>
      <c r="WLT32" s="1259"/>
      <c r="WLU32" s="1259"/>
      <c r="WLV32" s="1259"/>
      <c r="WLW32" s="1259"/>
      <c r="WLX32" s="1259"/>
      <c r="WLY32" s="1259"/>
      <c r="WLZ32" s="1259"/>
      <c r="WMA32" s="1259"/>
      <c r="WMB32" s="1259"/>
      <c r="WMC32" s="1259"/>
      <c r="WMD32" s="1259"/>
      <c r="WME32" s="1259"/>
      <c r="WMF32" s="1259"/>
      <c r="WMG32" s="1259"/>
      <c r="WMH32" s="1259"/>
      <c r="WMI32" s="1259"/>
      <c r="WMJ32" s="1259"/>
      <c r="WMK32" s="1259"/>
      <c r="WML32" s="1259"/>
      <c r="WMM32" s="1259"/>
      <c r="WMN32" s="1259"/>
      <c r="WMO32" s="1259"/>
      <c r="WMP32" s="1259"/>
      <c r="WMQ32" s="1259"/>
      <c r="WMR32" s="1259"/>
      <c r="WMS32" s="1259"/>
      <c r="WMT32" s="1259"/>
      <c r="WMU32" s="1259"/>
      <c r="WMV32" s="1259"/>
      <c r="WMW32" s="1259"/>
      <c r="WMX32" s="1259"/>
      <c r="WMY32" s="1259"/>
      <c r="WMZ32" s="1259"/>
      <c r="WNA32" s="1259"/>
      <c r="WNB32" s="1259"/>
      <c r="WNC32" s="1259"/>
      <c r="WND32" s="1259"/>
      <c r="WNE32" s="1259"/>
      <c r="WNF32" s="1259"/>
      <c r="WNG32" s="1259"/>
      <c r="WNH32" s="1259"/>
      <c r="WNI32" s="1259"/>
      <c r="WNJ32" s="1259"/>
      <c r="WNK32" s="1259"/>
      <c r="WNL32" s="1259"/>
      <c r="WNM32" s="1259"/>
      <c r="WNN32" s="1259"/>
      <c r="WNO32" s="1259"/>
      <c r="WNP32" s="1259"/>
      <c r="WNQ32" s="1259"/>
      <c r="WNR32" s="1259"/>
      <c r="WNS32" s="1259"/>
      <c r="WNT32" s="1259"/>
      <c r="WNU32" s="1259"/>
      <c r="WNV32" s="1259"/>
      <c r="WNW32" s="1259"/>
      <c r="WNX32" s="1259"/>
      <c r="WNY32" s="1259"/>
      <c r="WNZ32" s="1259"/>
      <c r="WOA32" s="1259"/>
      <c r="WOB32" s="1259"/>
      <c r="WOC32" s="1259"/>
      <c r="WOD32" s="1259"/>
      <c r="WOE32" s="1259"/>
      <c r="WOF32" s="1259"/>
      <c r="WOG32" s="1259"/>
      <c r="WOH32" s="1259"/>
      <c r="WOI32" s="1259"/>
      <c r="WOJ32" s="1259"/>
      <c r="WOK32" s="1259"/>
      <c r="WOL32" s="1259"/>
      <c r="WOM32" s="1259"/>
      <c r="WON32" s="1259"/>
      <c r="WOO32" s="1259"/>
      <c r="WOP32" s="1259"/>
      <c r="WOQ32" s="1259"/>
      <c r="WOR32" s="1259"/>
      <c r="WOS32" s="1259"/>
      <c r="WOT32" s="1259"/>
      <c r="WOU32" s="1259"/>
      <c r="WOV32" s="1259"/>
      <c r="WOW32" s="1259"/>
      <c r="WOX32" s="1259"/>
      <c r="WOY32" s="1259"/>
      <c r="WOZ32" s="1259"/>
      <c r="WPA32" s="1259"/>
      <c r="WPB32" s="1259"/>
      <c r="WPC32" s="1259"/>
      <c r="WPD32" s="1259"/>
      <c r="WPE32" s="1259"/>
      <c r="WPF32" s="1259"/>
      <c r="WPG32" s="1259"/>
      <c r="WPH32" s="1259"/>
      <c r="WPI32" s="1259"/>
      <c r="WPJ32" s="1259"/>
      <c r="WPK32" s="1259"/>
      <c r="WPL32" s="1259"/>
      <c r="WPM32" s="1259"/>
      <c r="WPN32" s="1259"/>
      <c r="WPO32" s="1259"/>
      <c r="WPP32" s="1259"/>
      <c r="WPQ32" s="1259"/>
      <c r="WPR32" s="1259"/>
      <c r="WPS32" s="1259"/>
      <c r="WPT32" s="1259"/>
      <c r="WPU32" s="1259"/>
      <c r="WPV32" s="1259"/>
      <c r="WPW32" s="1259"/>
      <c r="WPX32" s="1259"/>
      <c r="WPY32" s="1259"/>
      <c r="WPZ32" s="1259"/>
      <c r="WQA32" s="1259"/>
      <c r="WQB32" s="1259"/>
      <c r="WQC32" s="1259"/>
      <c r="WQD32" s="1259"/>
      <c r="WQE32" s="1259"/>
      <c r="WQF32" s="1259"/>
      <c r="WQG32" s="1259"/>
      <c r="WQH32" s="1259"/>
      <c r="WQI32" s="1259"/>
      <c r="WQJ32" s="1259"/>
      <c r="WQK32" s="1259"/>
      <c r="WQL32" s="1259"/>
      <c r="WQM32" s="1259"/>
      <c r="WQN32" s="1259"/>
      <c r="WQO32" s="1259"/>
      <c r="WQP32" s="1259"/>
      <c r="WQQ32" s="1259"/>
      <c r="WQR32" s="1259"/>
      <c r="WQS32" s="1259"/>
      <c r="WQT32" s="1259"/>
      <c r="WQU32" s="1259"/>
      <c r="WQV32" s="1259"/>
      <c r="WQW32" s="1259"/>
      <c r="WQX32" s="1259"/>
      <c r="WQY32" s="1259"/>
      <c r="WQZ32" s="1259"/>
      <c r="WRA32" s="1259"/>
      <c r="WRB32" s="1259"/>
      <c r="WRC32" s="1259"/>
      <c r="WRD32" s="1259"/>
      <c r="WRE32" s="1259"/>
      <c r="WRF32" s="1259"/>
      <c r="WRG32" s="1259"/>
      <c r="WRH32" s="1259"/>
      <c r="WRI32" s="1259"/>
      <c r="WRJ32" s="1259"/>
      <c r="WRK32" s="1259"/>
      <c r="WRL32" s="1259"/>
      <c r="WRM32" s="1259"/>
      <c r="WRN32" s="1259"/>
      <c r="WRO32" s="1259"/>
      <c r="WRP32" s="1259"/>
      <c r="WRQ32" s="1259"/>
      <c r="WRR32" s="1259"/>
      <c r="WRS32" s="1259"/>
      <c r="WRT32" s="1259"/>
      <c r="WRU32" s="1259"/>
      <c r="WRV32" s="1259"/>
      <c r="WRW32" s="1259"/>
      <c r="WRX32" s="1259"/>
      <c r="WRY32" s="1259"/>
      <c r="WRZ32" s="1259"/>
      <c r="WSA32" s="1259"/>
      <c r="WSB32" s="1259"/>
      <c r="WSC32" s="1259"/>
      <c r="WSD32" s="1259"/>
      <c r="WSE32" s="1259"/>
      <c r="WSF32" s="1259"/>
      <c r="WSG32" s="1259"/>
      <c r="WSH32" s="1259"/>
      <c r="WSI32" s="1259"/>
      <c r="WSJ32" s="1259"/>
      <c r="WSK32" s="1259"/>
      <c r="WSL32" s="1259"/>
      <c r="WSM32" s="1259"/>
      <c r="WSN32" s="1259"/>
      <c r="WSO32" s="1259"/>
      <c r="WSP32" s="1259"/>
      <c r="WSQ32" s="1259"/>
      <c r="WSR32" s="1259"/>
      <c r="WSS32" s="1259"/>
      <c r="WST32" s="1259"/>
      <c r="WSU32" s="1259"/>
      <c r="WSV32" s="1259"/>
      <c r="WSW32" s="1259"/>
      <c r="WSX32" s="1259"/>
      <c r="WSY32" s="1259"/>
      <c r="WSZ32" s="1259"/>
      <c r="WTA32" s="1259"/>
      <c r="WTB32" s="1259"/>
      <c r="WTC32" s="1259"/>
      <c r="WTD32" s="1259"/>
      <c r="WTE32" s="1259"/>
      <c r="WTF32" s="1259"/>
      <c r="WTG32" s="1259"/>
      <c r="WTH32" s="1259"/>
      <c r="WTI32" s="1259"/>
      <c r="WTJ32" s="1259"/>
      <c r="WTK32" s="1259"/>
      <c r="WTL32" s="1259"/>
      <c r="WTM32" s="1259"/>
      <c r="WTN32" s="1259"/>
      <c r="WTO32" s="1259"/>
      <c r="WTP32" s="1259"/>
      <c r="WTQ32" s="1259"/>
      <c r="WTR32" s="1259"/>
      <c r="WTS32" s="1259"/>
      <c r="WTT32" s="1259"/>
      <c r="WTU32" s="1259"/>
      <c r="WTV32" s="1259"/>
      <c r="WTW32" s="1259"/>
      <c r="WTX32" s="1259"/>
      <c r="WTY32" s="1259"/>
      <c r="WTZ32" s="1259"/>
      <c r="WUA32" s="1259"/>
      <c r="WUB32" s="1259"/>
      <c r="WUC32" s="1259"/>
      <c r="WUD32" s="1259"/>
      <c r="WUE32" s="1259"/>
      <c r="WUF32" s="1259"/>
      <c r="WUG32" s="1259"/>
      <c r="WUH32" s="1259"/>
      <c r="WUI32" s="1259"/>
      <c r="WUJ32" s="1259"/>
      <c r="WUK32" s="1259"/>
      <c r="WUL32" s="1259"/>
      <c r="WUM32" s="1259"/>
      <c r="WUN32" s="1259"/>
      <c r="WUO32" s="1259"/>
      <c r="WUP32" s="1259"/>
      <c r="WUQ32" s="1259"/>
      <c r="WUR32" s="1259"/>
      <c r="WUS32" s="1259"/>
      <c r="WUT32" s="1259"/>
      <c r="WUU32" s="1259"/>
      <c r="WUV32" s="1259"/>
      <c r="WUW32" s="1259"/>
      <c r="WUX32" s="1259"/>
      <c r="WUY32" s="1259"/>
      <c r="WUZ32" s="1259"/>
      <c r="WVA32" s="1259"/>
      <c r="WVB32" s="1259"/>
      <c r="WVC32" s="1259"/>
      <c r="WVD32" s="1259"/>
      <c r="WVE32" s="1259"/>
      <c r="WVF32" s="1259"/>
      <c r="WVG32" s="1259"/>
      <c r="WVH32" s="1259"/>
      <c r="WVI32" s="1259"/>
      <c r="WVJ32" s="1259"/>
      <c r="WVK32" s="1259"/>
      <c r="WVL32" s="1259"/>
      <c r="WVM32" s="1259"/>
      <c r="WVN32" s="1259"/>
      <c r="WVO32" s="1259"/>
      <c r="WVP32" s="1259"/>
      <c r="WVQ32" s="1259"/>
      <c r="WVR32" s="1259"/>
      <c r="WVS32" s="1259"/>
      <c r="WVT32" s="1259"/>
      <c r="WVU32" s="1259"/>
      <c r="WVV32" s="1259"/>
      <c r="WVW32" s="1259"/>
      <c r="WVX32" s="1259"/>
      <c r="WVY32" s="1259"/>
      <c r="WVZ32" s="1259"/>
      <c r="WWA32" s="1259"/>
      <c r="WWB32" s="1259"/>
      <c r="WWC32" s="1259"/>
      <c r="WWD32" s="1259"/>
      <c r="WWE32" s="1259"/>
      <c r="WWF32" s="1259"/>
      <c r="WWG32" s="1259"/>
      <c r="WWH32" s="1259"/>
      <c r="WWI32" s="1259"/>
      <c r="WWJ32" s="1259"/>
      <c r="WWK32" s="1259"/>
      <c r="WWL32" s="1259"/>
      <c r="WWM32" s="1259"/>
      <c r="WWN32" s="1259"/>
      <c r="WWO32" s="1259"/>
      <c r="WWP32" s="1259"/>
      <c r="WWQ32" s="1259"/>
      <c r="WWR32" s="1259"/>
      <c r="WWS32" s="1259"/>
      <c r="WWT32" s="1259"/>
      <c r="WWU32" s="1259"/>
      <c r="WWV32" s="1259"/>
      <c r="WWW32" s="1259"/>
      <c r="WWX32" s="1259"/>
      <c r="WWY32" s="1259"/>
      <c r="WWZ32" s="1259"/>
      <c r="WXA32" s="1259"/>
      <c r="WXB32" s="1259"/>
      <c r="WXC32" s="1259"/>
      <c r="WXD32" s="1259"/>
      <c r="WXE32" s="1259"/>
      <c r="WXF32" s="1259"/>
      <c r="WXG32" s="1259"/>
      <c r="WXH32" s="1259"/>
      <c r="WXI32" s="1259"/>
      <c r="WXJ32" s="1259"/>
      <c r="WXK32" s="1259"/>
      <c r="WXL32" s="1259"/>
      <c r="WXM32" s="1259"/>
      <c r="WXN32" s="1259"/>
      <c r="WXO32" s="1259"/>
      <c r="WXP32" s="1259"/>
      <c r="WXQ32" s="1259"/>
      <c r="WXR32" s="1259"/>
      <c r="WXS32" s="1259"/>
      <c r="WXT32" s="1259"/>
      <c r="WXU32" s="1259"/>
      <c r="WXV32" s="1259"/>
      <c r="WXW32" s="1259"/>
      <c r="WXX32" s="1259"/>
      <c r="WXY32" s="1259"/>
      <c r="WXZ32" s="1259"/>
      <c r="WYA32" s="1259"/>
      <c r="WYB32" s="1259"/>
      <c r="WYC32" s="1259"/>
      <c r="WYD32" s="1259"/>
      <c r="WYE32" s="1259"/>
      <c r="WYF32" s="1259"/>
      <c r="WYG32" s="1259"/>
      <c r="WYH32" s="1259"/>
      <c r="WYI32" s="1259"/>
      <c r="WYJ32" s="1259"/>
      <c r="WYK32" s="1259"/>
      <c r="WYL32" s="1259"/>
      <c r="WYM32" s="1259"/>
      <c r="WYN32" s="1259"/>
      <c r="WYO32" s="1259"/>
      <c r="WYP32" s="1259"/>
      <c r="WYQ32" s="1259"/>
      <c r="WYR32" s="1259"/>
      <c r="WYS32" s="1259"/>
      <c r="WYT32" s="1259"/>
      <c r="WYU32" s="1259"/>
      <c r="WYV32" s="1259"/>
      <c r="WYW32" s="1259"/>
      <c r="WYX32" s="1259"/>
      <c r="WYY32" s="1259"/>
      <c r="WYZ32" s="1259"/>
      <c r="WZA32" s="1259"/>
      <c r="WZB32" s="1259"/>
      <c r="WZC32" s="1259"/>
      <c r="WZD32" s="1259"/>
      <c r="WZE32" s="1259"/>
      <c r="WZF32" s="1259"/>
      <c r="WZG32" s="1259"/>
      <c r="WZH32" s="1259"/>
      <c r="WZI32" s="1259"/>
      <c r="WZJ32" s="1259"/>
      <c r="WZK32" s="1259"/>
      <c r="WZL32" s="1259"/>
      <c r="WZM32" s="1259"/>
      <c r="WZN32" s="1259"/>
      <c r="WZO32" s="1259"/>
      <c r="WZP32" s="1259"/>
      <c r="WZQ32" s="1259"/>
      <c r="WZR32" s="1259"/>
      <c r="WZS32" s="1259"/>
      <c r="WZT32" s="1259"/>
      <c r="WZU32" s="1259"/>
      <c r="WZV32" s="1259"/>
      <c r="WZW32" s="1259"/>
      <c r="WZX32" s="1259"/>
      <c r="WZY32" s="1259"/>
      <c r="WZZ32" s="1259"/>
      <c r="XAA32" s="1259"/>
      <c r="XAB32" s="1259"/>
      <c r="XAC32" s="1259"/>
      <c r="XAD32" s="1259"/>
      <c r="XAE32" s="1259"/>
      <c r="XAF32" s="1259"/>
      <c r="XAG32" s="1259"/>
      <c r="XAH32" s="1259"/>
      <c r="XAI32" s="1259"/>
      <c r="XAJ32" s="1259"/>
      <c r="XAK32" s="1259"/>
      <c r="XAL32" s="1259"/>
      <c r="XAM32" s="1259"/>
      <c r="XAN32" s="1259"/>
      <c r="XAO32" s="1259"/>
      <c r="XAP32" s="1259"/>
      <c r="XAQ32" s="1259"/>
      <c r="XAR32" s="1259"/>
      <c r="XAS32" s="1259"/>
      <c r="XAT32" s="1259"/>
      <c r="XAU32" s="1259"/>
      <c r="XAV32" s="1259"/>
      <c r="XAW32" s="1259"/>
      <c r="XAX32" s="1259"/>
      <c r="XAY32" s="1259"/>
      <c r="XAZ32" s="1259"/>
      <c r="XBA32" s="1259"/>
      <c r="XBB32" s="1259"/>
      <c r="XBC32" s="1259"/>
      <c r="XBD32" s="1259"/>
      <c r="XBE32" s="1259"/>
      <c r="XBF32" s="1259"/>
      <c r="XBG32" s="1259"/>
      <c r="XBH32" s="1259"/>
      <c r="XBI32" s="1259"/>
      <c r="XBJ32" s="1259"/>
      <c r="XBK32" s="1259"/>
      <c r="XBL32" s="1259"/>
      <c r="XBM32" s="1259"/>
      <c r="XBN32" s="1259"/>
      <c r="XBO32" s="1259"/>
      <c r="XBP32" s="1259"/>
      <c r="XBQ32" s="1259"/>
      <c r="XBR32" s="1259"/>
      <c r="XBS32" s="1259"/>
      <c r="XBT32" s="1259"/>
      <c r="XBU32" s="1259"/>
      <c r="XBV32" s="1259"/>
      <c r="XBW32" s="1259"/>
      <c r="XBX32" s="1259"/>
      <c r="XBY32" s="1259"/>
      <c r="XBZ32" s="1259"/>
      <c r="XCA32" s="1259"/>
      <c r="XCB32" s="1259"/>
      <c r="XCC32" s="1259"/>
      <c r="XCD32" s="1259"/>
      <c r="XCE32" s="1259"/>
      <c r="XCF32" s="1259"/>
      <c r="XCG32" s="1259"/>
      <c r="XCH32" s="1259"/>
      <c r="XCI32" s="1259"/>
      <c r="XCJ32" s="1259"/>
      <c r="XCK32" s="1259"/>
      <c r="XCL32" s="1259"/>
      <c r="XCM32" s="1259"/>
      <c r="XCN32" s="1259"/>
      <c r="XCO32" s="1259"/>
      <c r="XCP32" s="1259"/>
      <c r="XCQ32" s="1259"/>
      <c r="XCR32" s="1259"/>
      <c r="XCS32" s="1259"/>
      <c r="XCT32" s="1259"/>
      <c r="XCU32" s="1259"/>
      <c r="XCV32" s="1259"/>
      <c r="XCW32" s="1259"/>
      <c r="XCX32" s="1259"/>
      <c r="XCY32" s="1259"/>
      <c r="XCZ32" s="1259"/>
      <c r="XDA32" s="1259"/>
      <c r="XDB32" s="1259"/>
      <c r="XDC32" s="1259"/>
      <c r="XDD32" s="1259"/>
      <c r="XDE32" s="1259"/>
      <c r="XDF32" s="1259"/>
      <c r="XDG32" s="1259"/>
      <c r="XDH32" s="1259"/>
      <c r="XDI32" s="1259"/>
      <c r="XDJ32" s="1259"/>
      <c r="XDK32" s="1259"/>
      <c r="XDL32" s="1259"/>
      <c r="XDM32" s="1259"/>
      <c r="XDN32" s="1259"/>
      <c r="XDO32" s="1259"/>
      <c r="XDP32" s="1259"/>
      <c r="XDQ32" s="1259"/>
      <c r="XDR32" s="1259"/>
      <c r="XDS32" s="1259"/>
      <c r="XDT32" s="1259"/>
      <c r="XDU32" s="1259"/>
      <c r="XDV32" s="1259"/>
      <c r="XDW32" s="1259"/>
      <c r="XDX32" s="1259"/>
      <c r="XDY32" s="1259"/>
      <c r="XDZ32" s="1259"/>
      <c r="XEA32" s="1259"/>
      <c r="XEB32" s="1259"/>
      <c r="XEC32" s="1259"/>
      <c r="XED32" s="1259"/>
      <c r="XEE32" s="1259"/>
      <c r="XEF32" s="1259"/>
      <c r="XEG32" s="1259"/>
      <c r="XEH32" s="1259"/>
      <c r="XEI32" s="1259"/>
      <c r="XEJ32" s="1259"/>
      <c r="XEK32" s="1259"/>
      <c r="XEL32" s="1259"/>
      <c r="XEM32" s="1259"/>
      <c r="XEN32" s="1259"/>
      <c r="XEO32" s="1259"/>
      <c r="XEP32" s="1259"/>
      <c r="XEQ32" s="1259"/>
      <c r="XER32" s="1259"/>
      <c r="XES32" s="1259"/>
      <c r="XET32" s="1259"/>
      <c r="XEU32" s="1259"/>
      <c r="XEV32" s="1259"/>
      <c r="XEW32" s="1259"/>
      <c r="XEX32" s="1259"/>
      <c r="XEY32" s="1259"/>
      <c r="XEZ32" s="1259"/>
      <c r="XFA32" s="1259"/>
      <c r="XFB32" s="1259"/>
      <c r="XFC32" s="1259"/>
      <c r="XFD32" s="1259"/>
    </row>
  </sheetData>
  <mergeCells count="65542">
    <mergeCell ref="A23:B23"/>
    <mergeCell ref="A24:B24"/>
    <mergeCell ref="A25:B25"/>
    <mergeCell ref="C25:D25"/>
    <mergeCell ref="E25:F25"/>
    <mergeCell ref="G25:H25"/>
    <mergeCell ref="BQ25:BR25"/>
    <mergeCell ref="BS25:BT25"/>
    <mergeCell ref="BU25:BV25"/>
    <mergeCell ref="BW25:BX25"/>
    <mergeCell ref="BY25:BZ25"/>
    <mergeCell ref="CA25:CB25"/>
    <mergeCell ref="BE25:BF25"/>
    <mergeCell ref="BG25:BH25"/>
    <mergeCell ref="BI25:BJ25"/>
    <mergeCell ref="BK25:BL25"/>
    <mergeCell ref="BM25:BN25"/>
    <mergeCell ref="BO25:BP25"/>
    <mergeCell ref="AS25:AT25"/>
    <mergeCell ref="AU25:AV25"/>
    <mergeCell ref="AW25:AX25"/>
    <mergeCell ref="AY25:AZ25"/>
    <mergeCell ref="BA25:BB25"/>
    <mergeCell ref="BC25:BD25"/>
    <mergeCell ref="AG25:AH25"/>
    <mergeCell ref="AI25:AJ25"/>
    <mergeCell ref="AK25:AL25"/>
    <mergeCell ref="AM25:AN25"/>
    <mergeCell ref="AO25:AP25"/>
    <mergeCell ref="AQ25:AR25"/>
    <mergeCell ref="U25:V25"/>
    <mergeCell ref="W25:X25"/>
    <mergeCell ref="Y25:Z25"/>
    <mergeCell ref="AA25:AB25"/>
    <mergeCell ref="AC25:AD25"/>
    <mergeCell ref="AE25:AF25"/>
    <mergeCell ref="I25:J25"/>
    <mergeCell ref="K25:L25"/>
    <mergeCell ref="M25:N25"/>
    <mergeCell ref="O25:P25"/>
    <mergeCell ref="Q25:R25"/>
    <mergeCell ref="S25:T25"/>
    <mergeCell ref="EK25:EL25"/>
    <mergeCell ref="EM25:EN25"/>
    <mergeCell ref="EO25:EP25"/>
    <mergeCell ref="EQ25:ER25"/>
    <mergeCell ref="ES25:ET25"/>
    <mergeCell ref="EU25:EV25"/>
    <mergeCell ref="DY25:DZ25"/>
    <mergeCell ref="EA25:EB25"/>
    <mergeCell ref="EC25:ED25"/>
    <mergeCell ref="EE25:EF25"/>
    <mergeCell ref="EG25:EH25"/>
    <mergeCell ref="EI25:EJ25"/>
    <mergeCell ref="DM25:DN25"/>
    <mergeCell ref="DO25:DP25"/>
    <mergeCell ref="DQ25:DR25"/>
    <mergeCell ref="DS25:DT25"/>
    <mergeCell ref="DU25:DV25"/>
    <mergeCell ref="DW25:DX25"/>
    <mergeCell ref="DA25:DB25"/>
    <mergeCell ref="DC25:DD25"/>
    <mergeCell ref="DE25:DF25"/>
    <mergeCell ref="DG25:DH25"/>
    <mergeCell ref="DI25:DJ25"/>
    <mergeCell ref="DK25:DL25"/>
    <mergeCell ref="CO25:CP25"/>
    <mergeCell ref="CQ25:CR25"/>
    <mergeCell ref="CS25:CT25"/>
    <mergeCell ref="CU25:CV25"/>
    <mergeCell ref="CW25:CX25"/>
    <mergeCell ref="CY25:CZ25"/>
    <mergeCell ref="CC25:CD25"/>
    <mergeCell ref="CE25:CF25"/>
    <mergeCell ref="CG25:CH25"/>
    <mergeCell ref="CI25:CJ25"/>
    <mergeCell ref="CK25:CL25"/>
    <mergeCell ref="CM25:CN25"/>
    <mergeCell ref="HE25:HF25"/>
    <mergeCell ref="HG25:HH25"/>
    <mergeCell ref="HI25:HJ25"/>
    <mergeCell ref="HK25:HL25"/>
    <mergeCell ref="HM25:HN25"/>
    <mergeCell ref="HO25:HP25"/>
    <mergeCell ref="GS25:GT25"/>
    <mergeCell ref="GU25:GV25"/>
    <mergeCell ref="GW25:GX25"/>
    <mergeCell ref="GY25:GZ25"/>
    <mergeCell ref="HA25:HB25"/>
    <mergeCell ref="HC25:HD25"/>
    <mergeCell ref="GG25:GH25"/>
    <mergeCell ref="GI25:GJ25"/>
    <mergeCell ref="GK25:GL25"/>
    <mergeCell ref="GM25:GN25"/>
    <mergeCell ref="GO25:GP25"/>
    <mergeCell ref="GQ25:GR25"/>
    <mergeCell ref="FU25:FV25"/>
    <mergeCell ref="FW25:FX25"/>
    <mergeCell ref="FY25:FZ25"/>
    <mergeCell ref="GA25:GB25"/>
    <mergeCell ref="GC25:GD25"/>
    <mergeCell ref="GE25:GF25"/>
    <mergeCell ref="FI25:FJ25"/>
    <mergeCell ref="FK25:FL25"/>
    <mergeCell ref="FM25:FN25"/>
    <mergeCell ref="FO25:FP25"/>
    <mergeCell ref="FQ25:FR25"/>
    <mergeCell ref="FS25:FT25"/>
    <mergeCell ref="EW25:EX25"/>
    <mergeCell ref="EY25:EZ25"/>
    <mergeCell ref="FA25:FB25"/>
    <mergeCell ref="FC25:FD25"/>
    <mergeCell ref="FE25:FF25"/>
    <mergeCell ref="FG25:FH25"/>
    <mergeCell ref="JY25:JZ25"/>
    <mergeCell ref="KA25:KB25"/>
    <mergeCell ref="KC25:KD25"/>
    <mergeCell ref="KE25:KF25"/>
    <mergeCell ref="KG25:KH25"/>
    <mergeCell ref="KI25:KJ25"/>
    <mergeCell ref="JM25:JN25"/>
    <mergeCell ref="JO25:JP25"/>
    <mergeCell ref="JQ25:JR25"/>
    <mergeCell ref="JS25:JT25"/>
    <mergeCell ref="JU25:JV25"/>
    <mergeCell ref="JW25:JX25"/>
    <mergeCell ref="JA25:JB25"/>
    <mergeCell ref="JC25:JD25"/>
    <mergeCell ref="JE25:JF25"/>
    <mergeCell ref="JG25:JH25"/>
    <mergeCell ref="JI25:JJ25"/>
    <mergeCell ref="JK25:JL25"/>
    <mergeCell ref="IO25:IP25"/>
    <mergeCell ref="IQ25:IR25"/>
    <mergeCell ref="IS25:IT25"/>
    <mergeCell ref="IU25:IV25"/>
    <mergeCell ref="IW25:IX25"/>
    <mergeCell ref="IY25:IZ25"/>
    <mergeCell ref="IC25:ID25"/>
    <mergeCell ref="IE25:IF25"/>
    <mergeCell ref="IG25:IH25"/>
    <mergeCell ref="II25:IJ25"/>
    <mergeCell ref="IK25:IL25"/>
    <mergeCell ref="IM25:IN25"/>
    <mergeCell ref="HQ25:HR25"/>
    <mergeCell ref="HS25:HT25"/>
    <mergeCell ref="HU25:HV25"/>
    <mergeCell ref="HW25:HX25"/>
    <mergeCell ref="HY25:HZ25"/>
    <mergeCell ref="IA25:IB25"/>
    <mergeCell ref="MS25:MT25"/>
    <mergeCell ref="MU25:MV25"/>
    <mergeCell ref="MW25:MX25"/>
    <mergeCell ref="MY25:MZ25"/>
    <mergeCell ref="NA25:NB25"/>
    <mergeCell ref="NC25:ND25"/>
    <mergeCell ref="MG25:MH25"/>
    <mergeCell ref="MI25:MJ25"/>
    <mergeCell ref="MK25:ML25"/>
    <mergeCell ref="MM25:MN25"/>
    <mergeCell ref="MO25:MP25"/>
    <mergeCell ref="MQ25:MR25"/>
    <mergeCell ref="LU25:LV25"/>
    <mergeCell ref="LW25:LX25"/>
    <mergeCell ref="LY25:LZ25"/>
    <mergeCell ref="MA25:MB25"/>
    <mergeCell ref="MC25:MD25"/>
    <mergeCell ref="ME25:MF25"/>
    <mergeCell ref="LI25:LJ25"/>
    <mergeCell ref="LK25:LL25"/>
    <mergeCell ref="LM25:LN25"/>
    <mergeCell ref="LO25:LP25"/>
    <mergeCell ref="LQ25:LR25"/>
    <mergeCell ref="LS25:LT25"/>
    <mergeCell ref="KW25:KX25"/>
    <mergeCell ref="KY25:KZ25"/>
    <mergeCell ref="LA25:LB25"/>
    <mergeCell ref="LC25:LD25"/>
    <mergeCell ref="LE25:LF25"/>
    <mergeCell ref="LG25:LH25"/>
    <mergeCell ref="KK25:KL25"/>
    <mergeCell ref="KM25:KN25"/>
    <mergeCell ref="KO25:KP25"/>
    <mergeCell ref="KQ25:KR25"/>
    <mergeCell ref="KS25:KT25"/>
    <mergeCell ref="KU25:KV25"/>
    <mergeCell ref="PM25:PN25"/>
    <mergeCell ref="PO25:PP25"/>
    <mergeCell ref="PQ25:PR25"/>
    <mergeCell ref="PS25:PT25"/>
    <mergeCell ref="PU25:PV25"/>
    <mergeCell ref="PW25:PX25"/>
    <mergeCell ref="PA25:PB25"/>
    <mergeCell ref="PC25:PD25"/>
    <mergeCell ref="PE25:PF25"/>
    <mergeCell ref="PG25:PH25"/>
    <mergeCell ref="PI25:PJ25"/>
    <mergeCell ref="PK25:PL25"/>
    <mergeCell ref="OO25:OP25"/>
    <mergeCell ref="OQ25:OR25"/>
    <mergeCell ref="OS25:OT25"/>
    <mergeCell ref="OU25:OV25"/>
    <mergeCell ref="OW25:OX25"/>
    <mergeCell ref="OY25:OZ25"/>
    <mergeCell ref="OC25:OD25"/>
    <mergeCell ref="OE25:OF25"/>
    <mergeCell ref="OG25:OH25"/>
    <mergeCell ref="OI25:OJ25"/>
    <mergeCell ref="OK25:OL25"/>
    <mergeCell ref="OM25:ON25"/>
    <mergeCell ref="NQ25:NR25"/>
    <mergeCell ref="NS25:NT25"/>
    <mergeCell ref="NU25:NV25"/>
    <mergeCell ref="NW25:NX25"/>
    <mergeCell ref="NY25:NZ25"/>
    <mergeCell ref="OA25:OB25"/>
    <mergeCell ref="NE25:NF25"/>
    <mergeCell ref="NG25:NH25"/>
    <mergeCell ref="NI25:NJ25"/>
    <mergeCell ref="NK25:NL25"/>
    <mergeCell ref="NM25:NN25"/>
    <mergeCell ref="NO25:NP25"/>
    <mergeCell ref="SG25:SH25"/>
    <mergeCell ref="SI25:SJ25"/>
    <mergeCell ref="SK25:SL25"/>
    <mergeCell ref="SM25:SN25"/>
    <mergeCell ref="SO25:SP25"/>
    <mergeCell ref="SQ25:SR25"/>
    <mergeCell ref="RU25:RV25"/>
    <mergeCell ref="RW25:RX25"/>
    <mergeCell ref="RY25:RZ25"/>
    <mergeCell ref="SA25:SB25"/>
    <mergeCell ref="SC25:SD25"/>
    <mergeCell ref="SE25:SF25"/>
    <mergeCell ref="RI25:RJ25"/>
    <mergeCell ref="RK25:RL25"/>
    <mergeCell ref="RM25:RN25"/>
    <mergeCell ref="RO25:RP25"/>
    <mergeCell ref="RQ25:RR25"/>
    <mergeCell ref="RS25:RT25"/>
    <mergeCell ref="QW25:QX25"/>
    <mergeCell ref="QY25:QZ25"/>
    <mergeCell ref="RA25:RB25"/>
    <mergeCell ref="RC25:RD25"/>
    <mergeCell ref="RE25:RF25"/>
    <mergeCell ref="RG25:RH25"/>
    <mergeCell ref="QK25:QL25"/>
    <mergeCell ref="QM25:QN25"/>
    <mergeCell ref="QO25:QP25"/>
    <mergeCell ref="QQ25:QR25"/>
    <mergeCell ref="QS25:QT25"/>
    <mergeCell ref="QU25:QV25"/>
    <mergeCell ref="PY25:PZ25"/>
    <mergeCell ref="QA25:QB25"/>
    <mergeCell ref="QC25:QD25"/>
    <mergeCell ref="QE25:QF25"/>
    <mergeCell ref="QG25:QH25"/>
    <mergeCell ref="QI25:QJ25"/>
    <mergeCell ref="VA25:VB25"/>
    <mergeCell ref="VC25:VD25"/>
    <mergeCell ref="VE25:VF25"/>
    <mergeCell ref="VG25:VH25"/>
    <mergeCell ref="VI25:VJ25"/>
    <mergeCell ref="VK25:VL25"/>
    <mergeCell ref="UO25:UP25"/>
    <mergeCell ref="UQ25:UR25"/>
    <mergeCell ref="US25:UT25"/>
    <mergeCell ref="UU25:UV25"/>
    <mergeCell ref="UW25:UX25"/>
    <mergeCell ref="UY25:UZ25"/>
    <mergeCell ref="UC25:UD25"/>
    <mergeCell ref="UE25:UF25"/>
    <mergeCell ref="UG25:UH25"/>
    <mergeCell ref="UI25:UJ25"/>
    <mergeCell ref="UK25:UL25"/>
    <mergeCell ref="UM25:UN25"/>
    <mergeCell ref="TQ25:TR25"/>
    <mergeCell ref="TS25:TT25"/>
    <mergeCell ref="TU25:TV25"/>
    <mergeCell ref="TW25:TX25"/>
    <mergeCell ref="TY25:TZ25"/>
    <mergeCell ref="UA25:UB25"/>
    <mergeCell ref="TE25:TF25"/>
    <mergeCell ref="TG25:TH25"/>
    <mergeCell ref="TI25:TJ25"/>
    <mergeCell ref="TK25:TL25"/>
    <mergeCell ref="TM25:TN25"/>
    <mergeCell ref="TO25:TP25"/>
    <mergeCell ref="SS25:ST25"/>
    <mergeCell ref="SU25:SV25"/>
    <mergeCell ref="SW25:SX25"/>
    <mergeCell ref="SY25:SZ25"/>
    <mergeCell ref="TA25:TB25"/>
    <mergeCell ref="TC25:TD25"/>
    <mergeCell ref="XU25:XV25"/>
    <mergeCell ref="XW25:XX25"/>
    <mergeCell ref="XY25:XZ25"/>
    <mergeCell ref="YA25:YB25"/>
    <mergeCell ref="YC25:YD25"/>
    <mergeCell ref="YE25:YF25"/>
    <mergeCell ref="XI25:XJ25"/>
    <mergeCell ref="XK25:XL25"/>
    <mergeCell ref="XM25:XN25"/>
    <mergeCell ref="XO25:XP25"/>
    <mergeCell ref="XQ25:XR25"/>
    <mergeCell ref="XS25:XT25"/>
    <mergeCell ref="WW25:WX25"/>
    <mergeCell ref="WY25:WZ25"/>
    <mergeCell ref="XA25:XB25"/>
    <mergeCell ref="XC25:XD25"/>
    <mergeCell ref="XE25:XF25"/>
    <mergeCell ref="XG25:XH25"/>
    <mergeCell ref="WK25:WL25"/>
    <mergeCell ref="WM25:WN25"/>
    <mergeCell ref="WO25:WP25"/>
    <mergeCell ref="WQ25:WR25"/>
    <mergeCell ref="WS25:WT25"/>
    <mergeCell ref="WU25:WV25"/>
    <mergeCell ref="VY25:VZ25"/>
    <mergeCell ref="WA25:WB25"/>
    <mergeCell ref="WC25:WD25"/>
    <mergeCell ref="WE25:WF25"/>
    <mergeCell ref="WG25:WH25"/>
    <mergeCell ref="WI25:WJ25"/>
    <mergeCell ref="VM25:VN25"/>
    <mergeCell ref="VO25:VP25"/>
    <mergeCell ref="VQ25:VR25"/>
    <mergeCell ref="VS25:VT25"/>
    <mergeCell ref="VU25:VV25"/>
    <mergeCell ref="VW25:VX25"/>
    <mergeCell ref="AAO25:AAP25"/>
    <mergeCell ref="AAQ25:AAR25"/>
    <mergeCell ref="AAS25:AAT25"/>
    <mergeCell ref="AAU25:AAV25"/>
    <mergeCell ref="AAW25:AAX25"/>
    <mergeCell ref="AAY25:AAZ25"/>
    <mergeCell ref="AAC25:AAD25"/>
    <mergeCell ref="AAE25:AAF25"/>
    <mergeCell ref="AAG25:AAH25"/>
    <mergeCell ref="AAI25:AAJ25"/>
    <mergeCell ref="AAK25:AAL25"/>
    <mergeCell ref="AAM25:AAN25"/>
    <mergeCell ref="ZQ25:ZR25"/>
    <mergeCell ref="ZS25:ZT25"/>
    <mergeCell ref="ZU25:ZV25"/>
    <mergeCell ref="ZW25:ZX25"/>
    <mergeCell ref="ZY25:ZZ25"/>
    <mergeCell ref="AAA25:AAB25"/>
    <mergeCell ref="ZE25:ZF25"/>
    <mergeCell ref="ZG25:ZH25"/>
    <mergeCell ref="ZI25:ZJ25"/>
    <mergeCell ref="ZK25:ZL25"/>
    <mergeCell ref="ZM25:ZN25"/>
    <mergeCell ref="ZO25:ZP25"/>
    <mergeCell ref="YS25:YT25"/>
    <mergeCell ref="YU25:YV25"/>
    <mergeCell ref="YW25:YX25"/>
    <mergeCell ref="YY25:YZ25"/>
    <mergeCell ref="ZA25:ZB25"/>
    <mergeCell ref="ZC25:ZD25"/>
    <mergeCell ref="YG25:YH25"/>
    <mergeCell ref="YI25:YJ25"/>
    <mergeCell ref="YK25:YL25"/>
    <mergeCell ref="YM25:YN25"/>
    <mergeCell ref="YO25:YP25"/>
    <mergeCell ref="YQ25:YR25"/>
    <mergeCell ref="ADI25:ADJ25"/>
    <mergeCell ref="ADK25:ADL25"/>
    <mergeCell ref="ADM25:ADN25"/>
    <mergeCell ref="ADO25:ADP25"/>
    <mergeCell ref="ADQ25:ADR25"/>
    <mergeCell ref="ADS25:ADT25"/>
    <mergeCell ref="ACW25:ACX25"/>
    <mergeCell ref="ACY25:ACZ25"/>
    <mergeCell ref="ADA25:ADB25"/>
    <mergeCell ref="ADC25:ADD25"/>
    <mergeCell ref="ADE25:ADF25"/>
    <mergeCell ref="ADG25:ADH25"/>
    <mergeCell ref="ACK25:ACL25"/>
    <mergeCell ref="ACM25:ACN25"/>
    <mergeCell ref="ACO25:ACP25"/>
    <mergeCell ref="ACQ25:ACR25"/>
    <mergeCell ref="ACS25:ACT25"/>
    <mergeCell ref="ACU25:ACV25"/>
    <mergeCell ref="ABY25:ABZ25"/>
    <mergeCell ref="ACA25:ACB25"/>
    <mergeCell ref="ACC25:ACD25"/>
    <mergeCell ref="ACE25:ACF25"/>
    <mergeCell ref="ACG25:ACH25"/>
    <mergeCell ref="ACI25:ACJ25"/>
    <mergeCell ref="ABM25:ABN25"/>
    <mergeCell ref="ABO25:ABP25"/>
    <mergeCell ref="ABQ25:ABR25"/>
    <mergeCell ref="ABS25:ABT25"/>
    <mergeCell ref="ABU25:ABV25"/>
    <mergeCell ref="ABW25:ABX25"/>
    <mergeCell ref="ABA25:ABB25"/>
    <mergeCell ref="ABC25:ABD25"/>
    <mergeCell ref="ABE25:ABF25"/>
    <mergeCell ref="ABG25:ABH25"/>
    <mergeCell ref="ABI25:ABJ25"/>
    <mergeCell ref="ABK25:ABL25"/>
    <mergeCell ref="AGC25:AGD25"/>
    <mergeCell ref="AGE25:AGF25"/>
    <mergeCell ref="AGG25:AGH25"/>
    <mergeCell ref="AGI25:AGJ25"/>
    <mergeCell ref="AGK25:AGL25"/>
    <mergeCell ref="AGM25:AGN25"/>
    <mergeCell ref="AFQ25:AFR25"/>
    <mergeCell ref="AFS25:AFT25"/>
    <mergeCell ref="AFU25:AFV25"/>
    <mergeCell ref="AFW25:AFX25"/>
    <mergeCell ref="AFY25:AFZ25"/>
    <mergeCell ref="AGA25:AGB25"/>
    <mergeCell ref="AFE25:AFF25"/>
    <mergeCell ref="AFG25:AFH25"/>
    <mergeCell ref="AFI25:AFJ25"/>
    <mergeCell ref="AFK25:AFL25"/>
    <mergeCell ref="AFM25:AFN25"/>
    <mergeCell ref="AFO25:AFP25"/>
    <mergeCell ref="AES25:AET25"/>
    <mergeCell ref="AEU25:AEV25"/>
    <mergeCell ref="AEW25:AEX25"/>
    <mergeCell ref="AEY25:AEZ25"/>
    <mergeCell ref="AFA25:AFB25"/>
    <mergeCell ref="AFC25:AFD25"/>
    <mergeCell ref="AEG25:AEH25"/>
    <mergeCell ref="AEI25:AEJ25"/>
    <mergeCell ref="AEK25:AEL25"/>
    <mergeCell ref="AEM25:AEN25"/>
    <mergeCell ref="AEO25:AEP25"/>
    <mergeCell ref="AEQ25:AER25"/>
    <mergeCell ref="ADU25:ADV25"/>
    <mergeCell ref="ADW25:ADX25"/>
    <mergeCell ref="ADY25:ADZ25"/>
    <mergeCell ref="AEA25:AEB25"/>
    <mergeCell ref="AEC25:AED25"/>
    <mergeCell ref="AEE25:AEF25"/>
    <mergeCell ref="AIW25:AIX25"/>
    <mergeCell ref="AIY25:AIZ25"/>
    <mergeCell ref="AJA25:AJB25"/>
    <mergeCell ref="AJC25:AJD25"/>
    <mergeCell ref="AJE25:AJF25"/>
    <mergeCell ref="AJG25:AJH25"/>
    <mergeCell ref="AIK25:AIL25"/>
    <mergeCell ref="AIM25:AIN25"/>
    <mergeCell ref="AIO25:AIP25"/>
    <mergeCell ref="AIQ25:AIR25"/>
    <mergeCell ref="AIS25:AIT25"/>
    <mergeCell ref="AIU25:AIV25"/>
    <mergeCell ref="AHY25:AHZ25"/>
    <mergeCell ref="AIA25:AIB25"/>
    <mergeCell ref="AIC25:AID25"/>
    <mergeCell ref="AIE25:AIF25"/>
    <mergeCell ref="AIG25:AIH25"/>
    <mergeCell ref="AII25:AIJ25"/>
    <mergeCell ref="AHM25:AHN25"/>
    <mergeCell ref="AHO25:AHP25"/>
    <mergeCell ref="AHQ25:AHR25"/>
    <mergeCell ref="AHS25:AHT25"/>
    <mergeCell ref="AHU25:AHV25"/>
    <mergeCell ref="AHW25:AHX25"/>
    <mergeCell ref="AHA25:AHB25"/>
    <mergeCell ref="AHC25:AHD25"/>
    <mergeCell ref="AHE25:AHF25"/>
    <mergeCell ref="AHG25:AHH25"/>
    <mergeCell ref="AHI25:AHJ25"/>
    <mergeCell ref="AHK25:AHL25"/>
    <mergeCell ref="AGO25:AGP25"/>
    <mergeCell ref="AGQ25:AGR25"/>
    <mergeCell ref="AGS25:AGT25"/>
    <mergeCell ref="AGU25:AGV25"/>
    <mergeCell ref="AGW25:AGX25"/>
    <mergeCell ref="AGY25:AGZ25"/>
    <mergeCell ref="ALQ25:ALR25"/>
    <mergeCell ref="ALS25:ALT25"/>
    <mergeCell ref="ALU25:ALV25"/>
    <mergeCell ref="ALW25:ALX25"/>
    <mergeCell ref="ALY25:ALZ25"/>
    <mergeCell ref="AMA25:AMB25"/>
    <mergeCell ref="ALE25:ALF25"/>
    <mergeCell ref="ALG25:ALH25"/>
    <mergeCell ref="ALI25:ALJ25"/>
    <mergeCell ref="ALK25:ALL25"/>
    <mergeCell ref="ALM25:ALN25"/>
    <mergeCell ref="ALO25:ALP25"/>
    <mergeCell ref="AKS25:AKT25"/>
    <mergeCell ref="AKU25:AKV25"/>
    <mergeCell ref="AKW25:AKX25"/>
    <mergeCell ref="AKY25:AKZ25"/>
    <mergeCell ref="ALA25:ALB25"/>
    <mergeCell ref="ALC25:ALD25"/>
    <mergeCell ref="AKG25:AKH25"/>
    <mergeCell ref="AKI25:AKJ25"/>
    <mergeCell ref="AKK25:AKL25"/>
    <mergeCell ref="AKM25:AKN25"/>
    <mergeCell ref="AKO25:AKP25"/>
    <mergeCell ref="AKQ25:AKR25"/>
    <mergeCell ref="AJU25:AJV25"/>
    <mergeCell ref="AJW25:AJX25"/>
    <mergeCell ref="AJY25:AJZ25"/>
    <mergeCell ref="AKA25:AKB25"/>
    <mergeCell ref="AKC25:AKD25"/>
    <mergeCell ref="AKE25:AKF25"/>
    <mergeCell ref="AJI25:AJJ25"/>
    <mergeCell ref="AJK25:AJL25"/>
    <mergeCell ref="AJM25:AJN25"/>
    <mergeCell ref="AJO25:AJP25"/>
    <mergeCell ref="AJQ25:AJR25"/>
    <mergeCell ref="AJS25:AJT25"/>
    <mergeCell ref="AOK25:AOL25"/>
    <mergeCell ref="AOM25:AON25"/>
    <mergeCell ref="AOO25:AOP25"/>
    <mergeCell ref="AOQ25:AOR25"/>
    <mergeCell ref="AOS25:AOT25"/>
    <mergeCell ref="AOU25:AOV25"/>
    <mergeCell ref="ANY25:ANZ25"/>
    <mergeCell ref="AOA25:AOB25"/>
    <mergeCell ref="AOC25:AOD25"/>
    <mergeCell ref="AOE25:AOF25"/>
    <mergeCell ref="AOG25:AOH25"/>
    <mergeCell ref="AOI25:AOJ25"/>
    <mergeCell ref="ANM25:ANN25"/>
    <mergeCell ref="ANO25:ANP25"/>
    <mergeCell ref="ANQ25:ANR25"/>
    <mergeCell ref="ANS25:ANT25"/>
    <mergeCell ref="ANU25:ANV25"/>
    <mergeCell ref="ANW25:ANX25"/>
    <mergeCell ref="ANA25:ANB25"/>
    <mergeCell ref="ANC25:AND25"/>
    <mergeCell ref="ANE25:ANF25"/>
    <mergeCell ref="ANG25:ANH25"/>
    <mergeCell ref="ANI25:ANJ25"/>
    <mergeCell ref="ANK25:ANL25"/>
    <mergeCell ref="AMO25:AMP25"/>
    <mergeCell ref="AMQ25:AMR25"/>
    <mergeCell ref="AMS25:AMT25"/>
    <mergeCell ref="AMU25:AMV25"/>
    <mergeCell ref="AMW25:AMX25"/>
    <mergeCell ref="AMY25:AMZ25"/>
    <mergeCell ref="AMC25:AMD25"/>
    <mergeCell ref="AME25:AMF25"/>
    <mergeCell ref="AMG25:AMH25"/>
    <mergeCell ref="AMI25:AMJ25"/>
    <mergeCell ref="AMK25:AML25"/>
    <mergeCell ref="AMM25:AMN25"/>
    <mergeCell ref="ARE25:ARF25"/>
    <mergeCell ref="ARG25:ARH25"/>
    <mergeCell ref="ARI25:ARJ25"/>
    <mergeCell ref="ARK25:ARL25"/>
    <mergeCell ref="ARM25:ARN25"/>
    <mergeCell ref="ARO25:ARP25"/>
    <mergeCell ref="AQS25:AQT25"/>
    <mergeCell ref="AQU25:AQV25"/>
    <mergeCell ref="AQW25:AQX25"/>
    <mergeCell ref="AQY25:AQZ25"/>
    <mergeCell ref="ARA25:ARB25"/>
    <mergeCell ref="ARC25:ARD25"/>
    <mergeCell ref="AQG25:AQH25"/>
    <mergeCell ref="AQI25:AQJ25"/>
    <mergeCell ref="AQK25:AQL25"/>
    <mergeCell ref="AQM25:AQN25"/>
    <mergeCell ref="AQO25:AQP25"/>
    <mergeCell ref="AQQ25:AQR25"/>
    <mergeCell ref="APU25:APV25"/>
    <mergeCell ref="APW25:APX25"/>
    <mergeCell ref="APY25:APZ25"/>
    <mergeCell ref="AQA25:AQB25"/>
    <mergeCell ref="AQC25:AQD25"/>
    <mergeCell ref="AQE25:AQF25"/>
    <mergeCell ref="API25:APJ25"/>
    <mergeCell ref="APK25:APL25"/>
    <mergeCell ref="APM25:APN25"/>
    <mergeCell ref="APO25:APP25"/>
    <mergeCell ref="APQ25:APR25"/>
    <mergeCell ref="APS25:APT25"/>
    <mergeCell ref="AOW25:AOX25"/>
    <mergeCell ref="AOY25:AOZ25"/>
    <mergeCell ref="APA25:APB25"/>
    <mergeCell ref="APC25:APD25"/>
    <mergeCell ref="APE25:APF25"/>
    <mergeCell ref="APG25:APH25"/>
    <mergeCell ref="ATY25:ATZ25"/>
    <mergeCell ref="AUA25:AUB25"/>
    <mergeCell ref="AUC25:AUD25"/>
    <mergeCell ref="AUE25:AUF25"/>
    <mergeCell ref="AUG25:AUH25"/>
    <mergeCell ref="AUI25:AUJ25"/>
    <mergeCell ref="ATM25:ATN25"/>
    <mergeCell ref="ATO25:ATP25"/>
    <mergeCell ref="ATQ25:ATR25"/>
    <mergeCell ref="ATS25:ATT25"/>
    <mergeCell ref="ATU25:ATV25"/>
    <mergeCell ref="ATW25:ATX25"/>
    <mergeCell ref="ATA25:ATB25"/>
    <mergeCell ref="ATC25:ATD25"/>
    <mergeCell ref="ATE25:ATF25"/>
    <mergeCell ref="ATG25:ATH25"/>
    <mergeCell ref="ATI25:ATJ25"/>
    <mergeCell ref="ATK25:ATL25"/>
    <mergeCell ref="ASO25:ASP25"/>
    <mergeCell ref="ASQ25:ASR25"/>
    <mergeCell ref="ASS25:AST25"/>
    <mergeCell ref="ASU25:ASV25"/>
    <mergeCell ref="ASW25:ASX25"/>
    <mergeCell ref="ASY25:ASZ25"/>
    <mergeCell ref="ASC25:ASD25"/>
    <mergeCell ref="ASE25:ASF25"/>
    <mergeCell ref="ASG25:ASH25"/>
    <mergeCell ref="ASI25:ASJ25"/>
    <mergeCell ref="ASK25:ASL25"/>
    <mergeCell ref="ASM25:ASN25"/>
    <mergeCell ref="ARQ25:ARR25"/>
    <mergeCell ref="ARS25:ART25"/>
    <mergeCell ref="ARU25:ARV25"/>
    <mergeCell ref="ARW25:ARX25"/>
    <mergeCell ref="ARY25:ARZ25"/>
    <mergeCell ref="ASA25:ASB25"/>
    <mergeCell ref="AWS25:AWT25"/>
    <mergeCell ref="AWU25:AWV25"/>
    <mergeCell ref="AWW25:AWX25"/>
    <mergeCell ref="AWY25:AWZ25"/>
    <mergeCell ref="AXA25:AXB25"/>
    <mergeCell ref="AXC25:AXD25"/>
    <mergeCell ref="AWG25:AWH25"/>
    <mergeCell ref="AWI25:AWJ25"/>
    <mergeCell ref="AWK25:AWL25"/>
    <mergeCell ref="AWM25:AWN25"/>
    <mergeCell ref="AWO25:AWP25"/>
    <mergeCell ref="AWQ25:AWR25"/>
    <mergeCell ref="AVU25:AVV25"/>
    <mergeCell ref="AVW25:AVX25"/>
    <mergeCell ref="AVY25:AVZ25"/>
    <mergeCell ref="AWA25:AWB25"/>
    <mergeCell ref="AWC25:AWD25"/>
    <mergeCell ref="AWE25:AWF25"/>
    <mergeCell ref="AVI25:AVJ25"/>
    <mergeCell ref="AVK25:AVL25"/>
    <mergeCell ref="AVM25:AVN25"/>
    <mergeCell ref="AVO25:AVP25"/>
    <mergeCell ref="AVQ25:AVR25"/>
    <mergeCell ref="AVS25:AVT25"/>
    <mergeCell ref="AUW25:AUX25"/>
    <mergeCell ref="AUY25:AUZ25"/>
    <mergeCell ref="AVA25:AVB25"/>
    <mergeCell ref="AVC25:AVD25"/>
    <mergeCell ref="AVE25:AVF25"/>
    <mergeCell ref="AVG25:AVH25"/>
    <mergeCell ref="AUK25:AUL25"/>
    <mergeCell ref="AUM25:AUN25"/>
    <mergeCell ref="AUO25:AUP25"/>
    <mergeCell ref="AUQ25:AUR25"/>
    <mergeCell ref="AUS25:AUT25"/>
    <mergeCell ref="AUU25:AUV25"/>
    <mergeCell ref="AZM25:AZN25"/>
    <mergeCell ref="AZO25:AZP25"/>
    <mergeCell ref="AZQ25:AZR25"/>
    <mergeCell ref="AZS25:AZT25"/>
    <mergeCell ref="AZU25:AZV25"/>
    <mergeCell ref="AZW25:AZX25"/>
    <mergeCell ref="AZA25:AZB25"/>
    <mergeCell ref="AZC25:AZD25"/>
    <mergeCell ref="AZE25:AZF25"/>
    <mergeCell ref="AZG25:AZH25"/>
    <mergeCell ref="AZI25:AZJ25"/>
    <mergeCell ref="AZK25:AZL25"/>
    <mergeCell ref="AYO25:AYP25"/>
    <mergeCell ref="AYQ25:AYR25"/>
    <mergeCell ref="AYS25:AYT25"/>
    <mergeCell ref="AYU25:AYV25"/>
    <mergeCell ref="AYW25:AYX25"/>
    <mergeCell ref="AYY25:AYZ25"/>
    <mergeCell ref="AYC25:AYD25"/>
    <mergeCell ref="AYE25:AYF25"/>
    <mergeCell ref="AYG25:AYH25"/>
    <mergeCell ref="AYI25:AYJ25"/>
    <mergeCell ref="AYK25:AYL25"/>
    <mergeCell ref="AYM25:AYN25"/>
    <mergeCell ref="AXQ25:AXR25"/>
    <mergeCell ref="AXS25:AXT25"/>
    <mergeCell ref="AXU25:AXV25"/>
    <mergeCell ref="AXW25:AXX25"/>
    <mergeCell ref="AXY25:AXZ25"/>
    <mergeCell ref="AYA25:AYB25"/>
    <mergeCell ref="AXE25:AXF25"/>
    <mergeCell ref="AXG25:AXH25"/>
    <mergeCell ref="AXI25:AXJ25"/>
    <mergeCell ref="AXK25:AXL25"/>
    <mergeCell ref="AXM25:AXN25"/>
    <mergeCell ref="AXO25:AXP25"/>
    <mergeCell ref="BCG25:BCH25"/>
    <mergeCell ref="BCI25:BCJ25"/>
    <mergeCell ref="BCK25:BCL25"/>
    <mergeCell ref="BCM25:BCN25"/>
    <mergeCell ref="BCO25:BCP25"/>
    <mergeCell ref="BCQ25:BCR25"/>
    <mergeCell ref="BBU25:BBV25"/>
    <mergeCell ref="BBW25:BBX25"/>
    <mergeCell ref="BBY25:BBZ25"/>
    <mergeCell ref="BCA25:BCB25"/>
    <mergeCell ref="BCC25:BCD25"/>
    <mergeCell ref="BCE25:BCF25"/>
    <mergeCell ref="BBI25:BBJ25"/>
    <mergeCell ref="BBK25:BBL25"/>
    <mergeCell ref="BBM25:BBN25"/>
    <mergeCell ref="BBO25:BBP25"/>
    <mergeCell ref="BBQ25:BBR25"/>
    <mergeCell ref="BBS25:BBT25"/>
    <mergeCell ref="BAW25:BAX25"/>
    <mergeCell ref="BAY25:BAZ25"/>
    <mergeCell ref="BBA25:BBB25"/>
    <mergeCell ref="BBC25:BBD25"/>
    <mergeCell ref="BBE25:BBF25"/>
    <mergeCell ref="BBG25:BBH25"/>
    <mergeCell ref="BAK25:BAL25"/>
    <mergeCell ref="BAM25:BAN25"/>
    <mergeCell ref="BAO25:BAP25"/>
    <mergeCell ref="BAQ25:BAR25"/>
    <mergeCell ref="BAS25:BAT25"/>
    <mergeCell ref="BAU25:BAV25"/>
    <mergeCell ref="AZY25:AZZ25"/>
    <mergeCell ref="BAA25:BAB25"/>
    <mergeCell ref="BAC25:BAD25"/>
    <mergeCell ref="BAE25:BAF25"/>
    <mergeCell ref="BAG25:BAH25"/>
    <mergeCell ref="BAI25:BAJ25"/>
    <mergeCell ref="BFA25:BFB25"/>
    <mergeCell ref="BFC25:BFD25"/>
    <mergeCell ref="BFE25:BFF25"/>
    <mergeCell ref="BFG25:BFH25"/>
    <mergeCell ref="BFI25:BFJ25"/>
    <mergeCell ref="BFK25:BFL25"/>
    <mergeCell ref="BEO25:BEP25"/>
    <mergeCell ref="BEQ25:BER25"/>
    <mergeCell ref="BES25:BET25"/>
    <mergeCell ref="BEU25:BEV25"/>
    <mergeCell ref="BEW25:BEX25"/>
    <mergeCell ref="BEY25:BEZ25"/>
    <mergeCell ref="BEC25:BED25"/>
    <mergeCell ref="BEE25:BEF25"/>
    <mergeCell ref="BEG25:BEH25"/>
    <mergeCell ref="BEI25:BEJ25"/>
    <mergeCell ref="BEK25:BEL25"/>
    <mergeCell ref="BEM25:BEN25"/>
    <mergeCell ref="BDQ25:BDR25"/>
    <mergeCell ref="BDS25:BDT25"/>
    <mergeCell ref="BDU25:BDV25"/>
    <mergeCell ref="BDW25:BDX25"/>
    <mergeCell ref="BDY25:BDZ25"/>
    <mergeCell ref="BEA25:BEB25"/>
    <mergeCell ref="BDE25:BDF25"/>
    <mergeCell ref="BDG25:BDH25"/>
    <mergeCell ref="BDI25:BDJ25"/>
    <mergeCell ref="BDK25:BDL25"/>
    <mergeCell ref="BDM25:BDN25"/>
    <mergeCell ref="BDO25:BDP25"/>
    <mergeCell ref="BCS25:BCT25"/>
    <mergeCell ref="BCU25:BCV25"/>
    <mergeCell ref="BCW25:BCX25"/>
    <mergeCell ref="BCY25:BCZ25"/>
    <mergeCell ref="BDA25:BDB25"/>
    <mergeCell ref="BDC25:BDD25"/>
    <mergeCell ref="BHU25:BHV25"/>
    <mergeCell ref="BHW25:BHX25"/>
    <mergeCell ref="BHY25:BHZ25"/>
    <mergeCell ref="BIA25:BIB25"/>
    <mergeCell ref="BIC25:BID25"/>
    <mergeCell ref="BIE25:BIF25"/>
    <mergeCell ref="BHI25:BHJ25"/>
    <mergeCell ref="BHK25:BHL25"/>
    <mergeCell ref="BHM25:BHN25"/>
    <mergeCell ref="BHO25:BHP25"/>
    <mergeCell ref="BHQ25:BHR25"/>
    <mergeCell ref="BHS25:BHT25"/>
    <mergeCell ref="BGW25:BGX25"/>
    <mergeCell ref="BGY25:BGZ25"/>
    <mergeCell ref="BHA25:BHB25"/>
    <mergeCell ref="BHC25:BHD25"/>
    <mergeCell ref="BHE25:BHF25"/>
    <mergeCell ref="BHG25:BHH25"/>
    <mergeCell ref="BGK25:BGL25"/>
    <mergeCell ref="BGM25:BGN25"/>
    <mergeCell ref="BGO25:BGP25"/>
    <mergeCell ref="BGQ25:BGR25"/>
    <mergeCell ref="BGS25:BGT25"/>
    <mergeCell ref="BGU25:BGV25"/>
    <mergeCell ref="BFY25:BFZ25"/>
    <mergeCell ref="BGA25:BGB25"/>
    <mergeCell ref="BGC25:BGD25"/>
    <mergeCell ref="BGE25:BGF25"/>
    <mergeCell ref="BGG25:BGH25"/>
    <mergeCell ref="BGI25:BGJ25"/>
    <mergeCell ref="BFM25:BFN25"/>
    <mergeCell ref="BFO25:BFP25"/>
    <mergeCell ref="BFQ25:BFR25"/>
    <mergeCell ref="BFS25:BFT25"/>
    <mergeCell ref="BFU25:BFV25"/>
    <mergeCell ref="BFW25:BFX25"/>
    <mergeCell ref="BKO25:BKP25"/>
    <mergeCell ref="BKQ25:BKR25"/>
    <mergeCell ref="BKS25:BKT25"/>
    <mergeCell ref="BKU25:BKV25"/>
    <mergeCell ref="BKW25:BKX25"/>
    <mergeCell ref="BKY25:BKZ25"/>
    <mergeCell ref="BKC25:BKD25"/>
    <mergeCell ref="BKE25:BKF25"/>
    <mergeCell ref="BKG25:BKH25"/>
    <mergeCell ref="BKI25:BKJ25"/>
    <mergeCell ref="BKK25:BKL25"/>
    <mergeCell ref="BKM25:BKN25"/>
    <mergeCell ref="BJQ25:BJR25"/>
    <mergeCell ref="BJS25:BJT25"/>
    <mergeCell ref="BJU25:BJV25"/>
    <mergeCell ref="BJW25:BJX25"/>
    <mergeCell ref="BJY25:BJZ25"/>
    <mergeCell ref="BKA25:BKB25"/>
    <mergeCell ref="BJE25:BJF25"/>
    <mergeCell ref="BJG25:BJH25"/>
    <mergeCell ref="BJI25:BJJ25"/>
    <mergeCell ref="BJK25:BJL25"/>
    <mergeCell ref="BJM25:BJN25"/>
    <mergeCell ref="BJO25:BJP25"/>
    <mergeCell ref="BIS25:BIT25"/>
    <mergeCell ref="BIU25:BIV25"/>
    <mergeCell ref="BIW25:BIX25"/>
    <mergeCell ref="BIY25:BIZ25"/>
    <mergeCell ref="BJA25:BJB25"/>
    <mergeCell ref="BJC25:BJD25"/>
    <mergeCell ref="BIG25:BIH25"/>
    <mergeCell ref="BII25:BIJ25"/>
    <mergeCell ref="BIK25:BIL25"/>
    <mergeCell ref="BIM25:BIN25"/>
    <mergeCell ref="BIO25:BIP25"/>
    <mergeCell ref="BIQ25:BIR25"/>
    <mergeCell ref="BNI25:BNJ25"/>
    <mergeCell ref="BNK25:BNL25"/>
    <mergeCell ref="BNM25:BNN25"/>
    <mergeCell ref="BNO25:BNP25"/>
    <mergeCell ref="BNQ25:BNR25"/>
    <mergeCell ref="BNS25:BNT25"/>
    <mergeCell ref="BMW25:BMX25"/>
    <mergeCell ref="BMY25:BMZ25"/>
    <mergeCell ref="BNA25:BNB25"/>
    <mergeCell ref="BNC25:BND25"/>
    <mergeCell ref="BNE25:BNF25"/>
    <mergeCell ref="BNG25:BNH25"/>
    <mergeCell ref="BMK25:BML25"/>
    <mergeCell ref="BMM25:BMN25"/>
    <mergeCell ref="BMO25:BMP25"/>
    <mergeCell ref="BMQ25:BMR25"/>
    <mergeCell ref="BMS25:BMT25"/>
    <mergeCell ref="BMU25:BMV25"/>
    <mergeCell ref="BLY25:BLZ25"/>
    <mergeCell ref="BMA25:BMB25"/>
    <mergeCell ref="BMC25:BMD25"/>
    <mergeCell ref="BME25:BMF25"/>
    <mergeCell ref="BMG25:BMH25"/>
    <mergeCell ref="BMI25:BMJ25"/>
    <mergeCell ref="BLM25:BLN25"/>
    <mergeCell ref="BLO25:BLP25"/>
    <mergeCell ref="BLQ25:BLR25"/>
    <mergeCell ref="BLS25:BLT25"/>
    <mergeCell ref="BLU25:BLV25"/>
    <mergeCell ref="BLW25:BLX25"/>
    <mergeCell ref="BLA25:BLB25"/>
    <mergeCell ref="BLC25:BLD25"/>
    <mergeCell ref="BLE25:BLF25"/>
    <mergeCell ref="BLG25:BLH25"/>
    <mergeCell ref="BLI25:BLJ25"/>
    <mergeCell ref="BLK25:BLL25"/>
    <mergeCell ref="BQC25:BQD25"/>
    <mergeCell ref="BQE25:BQF25"/>
    <mergeCell ref="BQG25:BQH25"/>
    <mergeCell ref="BQI25:BQJ25"/>
    <mergeCell ref="BQK25:BQL25"/>
    <mergeCell ref="BQM25:BQN25"/>
    <mergeCell ref="BPQ25:BPR25"/>
    <mergeCell ref="BPS25:BPT25"/>
    <mergeCell ref="BPU25:BPV25"/>
    <mergeCell ref="BPW25:BPX25"/>
    <mergeCell ref="BPY25:BPZ25"/>
    <mergeCell ref="BQA25:BQB25"/>
    <mergeCell ref="BPE25:BPF25"/>
    <mergeCell ref="BPG25:BPH25"/>
    <mergeCell ref="BPI25:BPJ25"/>
    <mergeCell ref="BPK25:BPL25"/>
    <mergeCell ref="BPM25:BPN25"/>
    <mergeCell ref="BPO25:BPP25"/>
    <mergeCell ref="BOS25:BOT25"/>
    <mergeCell ref="BOU25:BOV25"/>
    <mergeCell ref="BOW25:BOX25"/>
    <mergeCell ref="BOY25:BOZ25"/>
    <mergeCell ref="BPA25:BPB25"/>
    <mergeCell ref="BPC25:BPD25"/>
    <mergeCell ref="BOG25:BOH25"/>
    <mergeCell ref="BOI25:BOJ25"/>
    <mergeCell ref="BOK25:BOL25"/>
    <mergeCell ref="BOM25:BON25"/>
    <mergeCell ref="BOO25:BOP25"/>
    <mergeCell ref="BOQ25:BOR25"/>
    <mergeCell ref="BNU25:BNV25"/>
    <mergeCell ref="BNW25:BNX25"/>
    <mergeCell ref="BNY25:BNZ25"/>
    <mergeCell ref="BOA25:BOB25"/>
    <mergeCell ref="BOC25:BOD25"/>
    <mergeCell ref="BOE25:BOF25"/>
    <mergeCell ref="BSW25:BSX25"/>
    <mergeCell ref="BSY25:BSZ25"/>
    <mergeCell ref="BTA25:BTB25"/>
    <mergeCell ref="BTC25:BTD25"/>
    <mergeCell ref="BTE25:BTF25"/>
    <mergeCell ref="BTG25:BTH25"/>
    <mergeCell ref="BSK25:BSL25"/>
    <mergeCell ref="BSM25:BSN25"/>
    <mergeCell ref="BSO25:BSP25"/>
    <mergeCell ref="BSQ25:BSR25"/>
    <mergeCell ref="BSS25:BST25"/>
    <mergeCell ref="BSU25:BSV25"/>
    <mergeCell ref="BRY25:BRZ25"/>
    <mergeCell ref="BSA25:BSB25"/>
    <mergeCell ref="BSC25:BSD25"/>
    <mergeCell ref="BSE25:BSF25"/>
    <mergeCell ref="BSG25:BSH25"/>
    <mergeCell ref="BSI25:BSJ25"/>
    <mergeCell ref="BRM25:BRN25"/>
    <mergeCell ref="BRO25:BRP25"/>
    <mergeCell ref="BRQ25:BRR25"/>
    <mergeCell ref="BRS25:BRT25"/>
    <mergeCell ref="BRU25:BRV25"/>
    <mergeCell ref="BRW25:BRX25"/>
    <mergeCell ref="BRA25:BRB25"/>
    <mergeCell ref="BRC25:BRD25"/>
    <mergeCell ref="BRE25:BRF25"/>
    <mergeCell ref="BRG25:BRH25"/>
    <mergeCell ref="BRI25:BRJ25"/>
    <mergeCell ref="BRK25:BRL25"/>
    <mergeCell ref="BQO25:BQP25"/>
    <mergeCell ref="BQQ25:BQR25"/>
    <mergeCell ref="BQS25:BQT25"/>
    <mergeCell ref="BQU25:BQV25"/>
    <mergeCell ref="BQW25:BQX25"/>
    <mergeCell ref="BQY25:BQZ25"/>
    <mergeCell ref="BVQ25:BVR25"/>
    <mergeCell ref="BVS25:BVT25"/>
    <mergeCell ref="BVU25:BVV25"/>
    <mergeCell ref="BVW25:BVX25"/>
    <mergeCell ref="BVY25:BVZ25"/>
    <mergeCell ref="BWA25:BWB25"/>
    <mergeCell ref="BVE25:BVF25"/>
    <mergeCell ref="BVG25:BVH25"/>
    <mergeCell ref="BVI25:BVJ25"/>
    <mergeCell ref="BVK25:BVL25"/>
    <mergeCell ref="BVM25:BVN25"/>
    <mergeCell ref="BVO25:BVP25"/>
    <mergeCell ref="BUS25:BUT25"/>
    <mergeCell ref="BUU25:BUV25"/>
    <mergeCell ref="BUW25:BUX25"/>
    <mergeCell ref="BUY25:BUZ25"/>
    <mergeCell ref="BVA25:BVB25"/>
    <mergeCell ref="BVC25:BVD25"/>
    <mergeCell ref="BUG25:BUH25"/>
    <mergeCell ref="BUI25:BUJ25"/>
    <mergeCell ref="BUK25:BUL25"/>
    <mergeCell ref="BUM25:BUN25"/>
    <mergeCell ref="BUO25:BUP25"/>
    <mergeCell ref="BUQ25:BUR25"/>
    <mergeCell ref="BTU25:BTV25"/>
    <mergeCell ref="BTW25:BTX25"/>
    <mergeCell ref="BTY25:BTZ25"/>
    <mergeCell ref="BUA25:BUB25"/>
    <mergeCell ref="BUC25:BUD25"/>
    <mergeCell ref="BUE25:BUF25"/>
    <mergeCell ref="BTI25:BTJ25"/>
    <mergeCell ref="BTK25:BTL25"/>
    <mergeCell ref="BTM25:BTN25"/>
    <mergeCell ref="BTO25:BTP25"/>
    <mergeCell ref="BTQ25:BTR25"/>
    <mergeCell ref="BTS25:BTT25"/>
    <mergeCell ref="BYK25:BYL25"/>
    <mergeCell ref="BYM25:BYN25"/>
    <mergeCell ref="BYO25:BYP25"/>
    <mergeCell ref="BYQ25:BYR25"/>
    <mergeCell ref="BYS25:BYT25"/>
    <mergeCell ref="BYU25:BYV25"/>
    <mergeCell ref="BXY25:BXZ25"/>
    <mergeCell ref="BYA25:BYB25"/>
    <mergeCell ref="BYC25:BYD25"/>
    <mergeCell ref="BYE25:BYF25"/>
    <mergeCell ref="BYG25:BYH25"/>
    <mergeCell ref="BYI25:BYJ25"/>
    <mergeCell ref="BXM25:BXN25"/>
    <mergeCell ref="BXO25:BXP25"/>
    <mergeCell ref="BXQ25:BXR25"/>
    <mergeCell ref="BXS25:BXT25"/>
    <mergeCell ref="BXU25:BXV25"/>
    <mergeCell ref="BXW25:BXX25"/>
    <mergeCell ref="BXA25:BXB25"/>
    <mergeCell ref="BXC25:BXD25"/>
    <mergeCell ref="BXE25:BXF25"/>
    <mergeCell ref="BXG25:BXH25"/>
    <mergeCell ref="BXI25:BXJ25"/>
    <mergeCell ref="BXK25:BXL25"/>
    <mergeCell ref="BWO25:BWP25"/>
    <mergeCell ref="BWQ25:BWR25"/>
    <mergeCell ref="BWS25:BWT25"/>
    <mergeCell ref="BWU25:BWV25"/>
    <mergeCell ref="BWW25:BWX25"/>
    <mergeCell ref="BWY25:BWZ25"/>
    <mergeCell ref="BWC25:BWD25"/>
    <mergeCell ref="BWE25:BWF25"/>
    <mergeCell ref="BWG25:BWH25"/>
    <mergeCell ref="BWI25:BWJ25"/>
    <mergeCell ref="BWK25:BWL25"/>
    <mergeCell ref="BWM25:BWN25"/>
    <mergeCell ref="CBE25:CBF25"/>
    <mergeCell ref="CBG25:CBH25"/>
    <mergeCell ref="CBI25:CBJ25"/>
    <mergeCell ref="CBK25:CBL25"/>
    <mergeCell ref="CBM25:CBN25"/>
    <mergeCell ref="CBO25:CBP25"/>
    <mergeCell ref="CAS25:CAT25"/>
    <mergeCell ref="CAU25:CAV25"/>
    <mergeCell ref="CAW25:CAX25"/>
    <mergeCell ref="CAY25:CAZ25"/>
    <mergeCell ref="CBA25:CBB25"/>
    <mergeCell ref="CBC25:CBD25"/>
    <mergeCell ref="CAG25:CAH25"/>
    <mergeCell ref="CAI25:CAJ25"/>
    <mergeCell ref="CAK25:CAL25"/>
    <mergeCell ref="CAM25:CAN25"/>
    <mergeCell ref="CAO25:CAP25"/>
    <mergeCell ref="CAQ25:CAR25"/>
    <mergeCell ref="BZU25:BZV25"/>
    <mergeCell ref="BZW25:BZX25"/>
    <mergeCell ref="BZY25:BZZ25"/>
    <mergeCell ref="CAA25:CAB25"/>
    <mergeCell ref="CAC25:CAD25"/>
    <mergeCell ref="CAE25:CAF25"/>
    <mergeCell ref="BZI25:BZJ25"/>
    <mergeCell ref="BZK25:BZL25"/>
    <mergeCell ref="BZM25:BZN25"/>
    <mergeCell ref="BZO25:BZP25"/>
    <mergeCell ref="BZQ25:BZR25"/>
    <mergeCell ref="BZS25:BZT25"/>
    <mergeCell ref="BYW25:BYX25"/>
    <mergeCell ref="BYY25:BYZ25"/>
    <mergeCell ref="BZA25:BZB25"/>
    <mergeCell ref="BZC25:BZD25"/>
    <mergeCell ref="BZE25:BZF25"/>
    <mergeCell ref="BZG25:BZH25"/>
    <mergeCell ref="CDY25:CDZ25"/>
    <mergeCell ref="CEA25:CEB25"/>
    <mergeCell ref="CEC25:CED25"/>
    <mergeCell ref="CEE25:CEF25"/>
    <mergeCell ref="CEG25:CEH25"/>
    <mergeCell ref="CEI25:CEJ25"/>
    <mergeCell ref="CDM25:CDN25"/>
    <mergeCell ref="CDO25:CDP25"/>
    <mergeCell ref="CDQ25:CDR25"/>
    <mergeCell ref="CDS25:CDT25"/>
    <mergeCell ref="CDU25:CDV25"/>
    <mergeCell ref="CDW25:CDX25"/>
    <mergeCell ref="CDA25:CDB25"/>
    <mergeCell ref="CDC25:CDD25"/>
    <mergeCell ref="CDE25:CDF25"/>
    <mergeCell ref="CDG25:CDH25"/>
    <mergeCell ref="CDI25:CDJ25"/>
    <mergeCell ref="CDK25:CDL25"/>
    <mergeCell ref="CCO25:CCP25"/>
    <mergeCell ref="CCQ25:CCR25"/>
    <mergeCell ref="CCS25:CCT25"/>
    <mergeCell ref="CCU25:CCV25"/>
    <mergeCell ref="CCW25:CCX25"/>
    <mergeCell ref="CCY25:CCZ25"/>
    <mergeCell ref="CCC25:CCD25"/>
    <mergeCell ref="CCE25:CCF25"/>
    <mergeCell ref="CCG25:CCH25"/>
    <mergeCell ref="CCI25:CCJ25"/>
    <mergeCell ref="CCK25:CCL25"/>
    <mergeCell ref="CCM25:CCN25"/>
    <mergeCell ref="CBQ25:CBR25"/>
    <mergeCell ref="CBS25:CBT25"/>
    <mergeCell ref="CBU25:CBV25"/>
    <mergeCell ref="CBW25:CBX25"/>
    <mergeCell ref="CBY25:CBZ25"/>
    <mergeCell ref="CCA25:CCB25"/>
    <mergeCell ref="CGS25:CGT25"/>
    <mergeCell ref="CGU25:CGV25"/>
    <mergeCell ref="CGW25:CGX25"/>
    <mergeCell ref="CGY25:CGZ25"/>
    <mergeCell ref="CHA25:CHB25"/>
    <mergeCell ref="CHC25:CHD25"/>
    <mergeCell ref="CGG25:CGH25"/>
    <mergeCell ref="CGI25:CGJ25"/>
    <mergeCell ref="CGK25:CGL25"/>
    <mergeCell ref="CGM25:CGN25"/>
    <mergeCell ref="CGO25:CGP25"/>
    <mergeCell ref="CGQ25:CGR25"/>
    <mergeCell ref="CFU25:CFV25"/>
    <mergeCell ref="CFW25:CFX25"/>
    <mergeCell ref="CFY25:CFZ25"/>
    <mergeCell ref="CGA25:CGB25"/>
    <mergeCell ref="CGC25:CGD25"/>
    <mergeCell ref="CGE25:CGF25"/>
    <mergeCell ref="CFI25:CFJ25"/>
    <mergeCell ref="CFK25:CFL25"/>
    <mergeCell ref="CFM25:CFN25"/>
    <mergeCell ref="CFO25:CFP25"/>
    <mergeCell ref="CFQ25:CFR25"/>
    <mergeCell ref="CFS25:CFT25"/>
    <mergeCell ref="CEW25:CEX25"/>
    <mergeCell ref="CEY25:CEZ25"/>
    <mergeCell ref="CFA25:CFB25"/>
    <mergeCell ref="CFC25:CFD25"/>
    <mergeCell ref="CFE25:CFF25"/>
    <mergeCell ref="CFG25:CFH25"/>
    <mergeCell ref="CEK25:CEL25"/>
    <mergeCell ref="CEM25:CEN25"/>
    <mergeCell ref="CEO25:CEP25"/>
    <mergeCell ref="CEQ25:CER25"/>
    <mergeCell ref="CES25:CET25"/>
    <mergeCell ref="CEU25:CEV25"/>
    <mergeCell ref="CJM25:CJN25"/>
    <mergeCell ref="CJO25:CJP25"/>
    <mergeCell ref="CJQ25:CJR25"/>
    <mergeCell ref="CJS25:CJT25"/>
    <mergeCell ref="CJU25:CJV25"/>
    <mergeCell ref="CJW25:CJX25"/>
    <mergeCell ref="CJA25:CJB25"/>
    <mergeCell ref="CJC25:CJD25"/>
    <mergeCell ref="CJE25:CJF25"/>
    <mergeCell ref="CJG25:CJH25"/>
    <mergeCell ref="CJI25:CJJ25"/>
    <mergeCell ref="CJK25:CJL25"/>
    <mergeCell ref="CIO25:CIP25"/>
    <mergeCell ref="CIQ25:CIR25"/>
    <mergeCell ref="CIS25:CIT25"/>
    <mergeCell ref="CIU25:CIV25"/>
    <mergeCell ref="CIW25:CIX25"/>
    <mergeCell ref="CIY25:CIZ25"/>
    <mergeCell ref="CIC25:CID25"/>
    <mergeCell ref="CIE25:CIF25"/>
    <mergeCell ref="CIG25:CIH25"/>
    <mergeCell ref="CII25:CIJ25"/>
    <mergeCell ref="CIK25:CIL25"/>
    <mergeCell ref="CIM25:CIN25"/>
    <mergeCell ref="CHQ25:CHR25"/>
    <mergeCell ref="CHS25:CHT25"/>
    <mergeCell ref="CHU25:CHV25"/>
    <mergeCell ref="CHW25:CHX25"/>
    <mergeCell ref="CHY25:CHZ25"/>
    <mergeCell ref="CIA25:CIB25"/>
    <mergeCell ref="CHE25:CHF25"/>
    <mergeCell ref="CHG25:CHH25"/>
    <mergeCell ref="CHI25:CHJ25"/>
    <mergeCell ref="CHK25:CHL25"/>
    <mergeCell ref="CHM25:CHN25"/>
    <mergeCell ref="CHO25:CHP25"/>
    <mergeCell ref="CMG25:CMH25"/>
    <mergeCell ref="CMI25:CMJ25"/>
    <mergeCell ref="CMK25:CML25"/>
    <mergeCell ref="CMM25:CMN25"/>
    <mergeCell ref="CMO25:CMP25"/>
    <mergeCell ref="CMQ25:CMR25"/>
    <mergeCell ref="CLU25:CLV25"/>
    <mergeCell ref="CLW25:CLX25"/>
    <mergeCell ref="CLY25:CLZ25"/>
    <mergeCell ref="CMA25:CMB25"/>
    <mergeCell ref="CMC25:CMD25"/>
    <mergeCell ref="CME25:CMF25"/>
    <mergeCell ref="CLI25:CLJ25"/>
    <mergeCell ref="CLK25:CLL25"/>
    <mergeCell ref="CLM25:CLN25"/>
    <mergeCell ref="CLO25:CLP25"/>
    <mergeCell ref="CLQ25:CLR25"/>
    <mergeCell ref="CLS25:CLT25"/>
    <mergeCell ref="CKW25:CKX25"/>
    <mergeCell ref="CKY25:CKZ25"/>
    <mergeCell ref="CLA25:CLB25"/>
    <mergeCell ref="CLC25:CLD25"/>
    <mergeCell ref="CLE25:CLF25"/>
    <mergeCell ref="CLG25:CLH25"/>
    <mergeCell ref="CKK25:CKL25"/>
    <mergeCell ref="CKM25:CKN25"/>
    <mergeCell ref="CKO25:CKP25"/>
    <mergeCell ref="CKQ25:CKR25"/>
    <mergeCell ref="CKS25:CKT25"/>
    <mergeCell ref="CKU25:CKV25"/>
    <mergeCell ref="CJY25:CJZ25"/>
    <mergeCell ref="CKA25:CKB25"/>
    <mergeCell ref="CKC25:CKD25"/>
    <mergeCell ref="CKE25:CKF25"/>
    <mergeCell ref="CKG25:CKH25"/>
    <mergeCell ref="CKI25:CKJ25"/>
    <mergeCell ref="CPA25:CPB25"/>
    <mergeCell ref="CPC25:CPD25"/>
    <mergeCell ref="CPE25:CPF25"/>
    <mergeCell ref="CPG25:CPH25"/>
    <mergeCell ref="CPI25:CPJ25"/>
    <mergeCell ref="CPK25:CPL25"/>
    <mergeCell ref="COO25:COP25"/>
    <mergeCell ref="COQ25:COR25"/>
    <mergeCell ref="COS25:COT25"/>
    <mergeCell ref="COU25:COV25"/>
    <mergeCell ref="COW25:COX25"/>
    <mergeCell ref="COY25:COZ25"/>
    <mergeCell ref="COC25:COD25"/>
    <mergeCell ref="COE25:COF25"/>
    <mergeCell ref="COG25:COH25"/>
    <mergeCell ref="COI25:COJ25"/>
    <mergeCell ref="COK25:COL25"/>
    <mergeCell ref="COM25:CON25"/>
    <mergeCell ref="CNQ25:CNR25"/>
    <mergeCell ref="CNS25:CNT25"/>
    <mergeCell ref="CNU25:CNV25"/>
    <mergeCell ref="CNW25:CNX25"/>
    <mergeCell ref="CNY25:CNZ25"/>
    <mergeCell ref="COA25:COB25"/>
    <mergeCell ref="CNE25:CNF25"/>
    <mergeCell ref="CNG25:CNH25"/>
    <mergeCell ref="CNI25:CNJ25"/>
    <mergeCell ref="CNK25:CNL25"/>
    <mergeCell ref="CNM25:CNN25"/>
    <mergeCell ref="CNO25:CNP25"/>
    <mergeCell ref="CMS25:CMT25"/>
    <mergeCell ref="CMU25:CMV25"/>
    <mergeCell ref="CMW25:CMX25"/>
    <mergeCell ref="CMY25:CMZ25"/>
    <mergeCell ref="CNA25:CNB25"/>
    <mergeCell ref="CNC25:CND25"/>
    <mergeCell ref="CRU25:CRV25"/>
    <mergeCell ref="CRW25:CRX25"/>
    <mergeCell ref="CRY25:CRZ25"/>
    <mergeCell ref="CSA25:CSB25"/>
    <mergeCell ref="CSC25:CSD25"/>
    <mergeCell ref="CSE25:CSF25"/>
    <mergeCell ref="CRI25:CRJ25"/>
    <mergeCell ref="CRK25:CRL25"/>
    <mergeCell ref="CRM25:CRN25"/>
    <mergeCell ref="CRO25:CRP25"/>
    <mergeCell ref="CRQ25:CRR25"/>
    <mergeCell ref="CRS25:CRT25"/>
    <mergeCell ref="CQW25:CQX25"/>
    <mergeCell ref="CQY25:CQZ25"/>
    <mergeCell ref="CRA25:CRB25"/>
    <mergeCell ref="CRC25:CRD25"/>
    <mergeCell ref="CRE25:CRF25"/>
    <mergeCell ref="CRG25:CRH25"/>
    <mergeCell ref="CQK25:CQL25"/>
    <mergeCell ref="CQM25:CQN25"/>
    <mergeCell ref="CQO25:CQP25"/>
    <mergeCell ref="CQQ25:CQR25"/>
    <mergeCell ref="CQS25:CQT25"/>
    <mergeCell ref="CQU25:CQV25"/>
    <mergeCell ref="CPY25:CPZ25"/>
    <mergeCell ref="CQA25:CQB25"/>
    <mergeCell ref="CQC25:CQD25"/>
    <mergeCell ref="CQE25:CQF25"/>
    <mergeCell ref="CQG25:CQH25"/>
    <mergeCell ref="CQI25:CQJ25"/>
    <mergeCell ref="CPM25:CPN25"/>
    <mergeCell ref="CPO25:CPP25"/>
    <mergeCell ref="CPQ25:CPR25"/>
    <mergeCell ref="CPS25:CPT25"/>
    <mergeCell ref="CPU25:CPV25"/>
    <mergeCell ref="CPW25:CPX25"/>
    <mergeCell ref="CUO25:CUP25"/>
    <mergeCell ref="CUQ25:CUR25"/>
    <mergeCell ref="CUS25:CUT25"/>
    <mergeCell ref="CUU25:CUV25"/>
    <mergeCell ref="CUW25:CUX25"/>
    <mergeCell ref="CUY25:CUZ25"/>
    <mergeCell ref="CUC25:CUD25"/>
    <mergeCell ref="CUE25:CUF25"/>
    <mergeCell ref="CUG25:CUH25"/>
    <mergeCell ref="CUI25:CUJ25"/>
    <mergeCell ref="CUK25:CUL25"/>
    <mergeCell ref="CUM25:CUN25"/>
    <mergeCell ref="CTQ25:CTR25"/>
    <mergeCell ref="CTS25:CTT25"/>
    <mergeCell ref="CTU25:CTV25"/>
    <mergeCell ref="CTW25:CTX25"/>
    <mergeCell ref="CTY25:CTZ25"/>
    <mergeCell ref="CUA25:CUB25"/>
    <mergeCell ref="CTE25:CTF25"/>
    <mergeCell ref="CTG25:CTH25"/>
    <mergeCell ref="CTI25:CTJ25"/>
    <mergeCell ref="CTK25:CTL25"/>
    <mergeCell ref="CTM25:CTN25"/>
    <mergeCell ref="CTO25:CTP25"/>
    <mergeCell ref="CSS25:CST25"/>
    <mergeCell ref="CSU25:CSV25"/>
    <mergeCell ref="CSW25:CSX25"/>
    <mergeCell ref="CSY25:CSZ25"/>
    <mergeCell ref="CTA25:CTB25"/>
    <mergeCell ref="CTC25:CTD25"/>
    <mergeCell ref="CSG25:CSH25"/>
    <mergeCell ref="CSI25:CSJ25"/>
    <mergeCell ref="CSK25:CSL25"/>
    <mergeCell ref="CSM25:CSN25"/>
    <mergeCell ref="CSO25:CSP25"/>
    <mergeCell ref="CSQ25:CSR25"/>
    <mergeCell ref="CXI25:CXJ25"/>
    <mergeCell ref="CXK25:CXL25"/>
    <mergeCell ref="CXM25:CXN25"/>
    <mergeCell ref="CXO25:CXP25"/>
    <mergeCell ref="CXQ25:CXR25"/>
    <mergeCell ref="CXS25:CXT25"/>
    <mergeCell ref="CWW25:CWX25"/>
    <mergeCell ref="CWY25:CWZ25"/>
    <mergeCell ref="CXA25:CXB25"/>
    <mergeCell ref="CXC25:CXD25"/>
    <mergeCell ref="CXE25:CXF25"/>
    <mergeCell ref="CXG25:CXH25"/>
    <mergeCell ref="CWK25:CWL25"/>
    <mergeCell ref="CWM25:CWN25"/>
    <mergeCell ref="CWO25:CWP25"/>
    <mergeCell ref="CWQ25:CWR25"/>
    <mergeCell ref="CWS25:CWT25"/>
    <mergeCell ref="CWU25:CWV25"/>
    <mergeCell ref="CVY25:CVZ25"/>
    <mergeCell ref="CWA25:CWB25"/>
    <mergeCell ref="CWC25:CWD25"/>
    <mergeCell ref="CWE25:CWF25"/>
    <mergeCell ref="CWG25:CWH25"/>
    <mergeCell ref="CWI25:CWJ25"/>
    <mergeCell ref="CVM25:CVN25"/>
    <mergeCell ref="CVO25:CVP25"/>
    <mergeCell ref="CVQ25:CVR25"/>
    <mergeCell ref="CVS25:CVT25"/>
    <mergeCell ref="CVU25:CVV25"/>
    <mergeCell ref="CVW25:CVX25"/>
    <mergeCell ref="CVA25:CVB25"/>
    <mergeCell ref="CVC25:CVD25"/>
    <mergeCell ref="CVE25:CVF25"/>
    <mergeCell ref="CVG25:CVH25"/>
    <mergeCell ref="CVI25:CVJ25"/>
    <mergeCell ref="CVK25:CVL25"/>
    <mergeCell ref="DAC25:DAD25"/>
    <mergeCell ref="DAE25:DAF25"/>
    <mergeCell ref="DAG25:DAH25"/>
    <mergeCell ref="DAI25:DAJ25"/>
    <mergeCell ref="DAK25:DAL25"/>
    <mergeCell ref="DAM25:DAN25"/>
    <mergeCell ref="CZQ25:CZR25"/>
    <mergeCell ref="CZS25:CZT25"/>
    <mergeCell ref="CZU25:CZV25"/>
    <mergeCell ref="CZW25:CZX25"/>
    <mergeCell ref="CZY25:CZZ25"/>
    <mergeCell ref="DAA25:DAB25"/>
    <mergeCell ref="CZE25:CZF25"/>
    <mergeCell ref="CZG25:CZH25"/>
    <mergeCell ref="CZI25:CZJ25"/>
    <mergeCell ref="CZK25:CZL25"/>
    <mergeCell ref="CZM25:CZN25"/>
    <mergeCell ref="CZO25:CZP25"/>
    <mergeCell ref="CYS25:CYT25"/>
    <mergeCell ref="CYU25:CYV25"/>
    <mergeCell ref="CYW25:CYX25"/>
    <mergeCell ref="CYY25:CYZ25"/>
    <mergeCell ref="CZA25:CZB25"/>
    <mergeCell ref="CZC25:CZD25"/>
    <mergeCell ref="CYG25:CYH25"/>
    <mergeCell ref="CYI25:CYJ25"/>
    <mergeCell ref="CYK25:CYL25"/>
    <mergeCell ref="CYM25:CYN25"/>
    <mergeCell ref="CYO25:CYP25"/>
    <mergeCell ref="CYQ25:CYR25"/>
    <mergeCell ref="CXU25:CXV25"/>
    <mergeCell ref="CXW25:CXX25"/>
    <mergeCell ref="CXY25:CXZ25"/>
    <mergeCell ref="CYA25:CYB25"/>
    <mergeCell ref="CYC25:CYD25"/>
    <mergeCell ref="CYE25:CYF25"/>
    <mergeCell ref="DCW25:DCX25"/>
    <mergeCell ref="DCY25:DCZ25"/>
    <mergeCell ref="DDA25:DDB25"/>
    <mergeCell ref="DDC25:DDD25"/>
    <mergeCell ref="DDE25:DDF25"/>
    <mergeCell ref="DDG25:DDH25"/>
    <mergeCell ref="DCK25:DCL25"/>
    <mergeCell ref="DCM25:DCN25"/>
    <mergeCell ref="DCO25:DCP25"/>
    <mergeCell ref="DCQ25:DCR25"/>
    <mergeCell ref="DCS25:DCT25"/>
    <mergeCell ref="DCU25:DCV25"/>
    <mergeCell ref="DBY25:DBZ25"/>
    <mergeCell ref="DCA25:DCB25"/>
    <mergeCell ref="DCC25:DCD25"/>
    <mergeCell ref="DCE25:DCF25"/>
    <mergeCell ref="DCG25:DCH25"/>
    <mergeCell ref="DCI25:DCJ25"/>
    <mergeCell ref="DBM25:DBN25"/>
    <mergeCell ref="DBO25:DBP25"/>
    <mergeCell ref="DBQ25:DBR25"/>
    <mergeCell ref="DBS25:DBT25"/>
    <mergeCell ref="DBU25:DBV25"/>
    <mergeCell ref="DBW25:DBX25"/>
    <mergeCell ref="DBA25:DBB25"/>
    <mergeCell ref="DBC25:DBD25"/>
    <mergeCell ref="DBE25:DBF25"/>
    <mergeCell ref="DBG25:DBH25"/>
    <mergeCell ref="DBI25:DBJ25"/>
    <mergeCell ref="DBK25:DBL25"/>
    <mergeCell ref="DAO25:DAP25"/>
    <mergeCell ref="DAQ25:DAR25"/>
    <mergeCell ref="DAS25:DAT25"/>
    <mergeCell ref="DAU25:DAV25"/>
    <mergeCell ref="DAW25:DAX25"/>
    <mergeCell ref="DAY25:DAZ25"/>
    <mergeCell ref="DFQ25:DFR25"/>
    <mergeCell ref="DFS25:DFT25"/>
    <mergeCell ref="DFU25:DFV25"/>
    <mergeCell ref="DFW25:DFX25"/>
    <mergeCell ref="DFY25:DFZ25"/>
    <mergeCell ref="DGA25:DGB25"/>
    <mergeCell ref="DFE25:DFF25"/>
    <mergeCell ref="DFG25:DFH25"/>
    <mergeCell ref="DFI25:DFJ25"/>
    <mergeCell ref="DFK25:DFL25"/>
    <mergeCell ref="DFM25:DFN25"/>
    <mergeCell ref="DFO25:DFP25"/>
    <mergeCell ref="DES25:DET25"/>
    <mergeCell ref="DEU25:DEV25"/>
    <mergeCell ref="DEW25:DEX25"/>
    <mergeCell ref="DEY25:DEZ25"/>
    <mergeCell ref="DFA25:DFB25"/>
    <mergeCell ref="DFC25:DFD25"/>
    <mergeCell ref="DEG25:DEH25"/>
    <mergeCell ref="DEI25:DEJ25"/>
    <mergeCell ref="DEK25:DEL25"/>
    <mergeCell ref="DEM25:DEN25"/>
    <mergeCell ref="DEO25:DEP25"/>
    <mergeCell ref="DEQ25:DER25"/>
    <mergeCell ref="DDU25:DDV25"/>
    <mergeCell ref="DDW25:DDX25"/>
    <mergeCell ref="DDY25:DDZ25"/>
    <mergeCell ref="DEA25:DEB25"/>
    <mergeCell ref="DEC25:DED25"/>
    <mergeCell ref="DEE25:DEF25"/>
    <mergeCell ref="DDI25:DDJ25"/>
    <mergeCell ref="DDK25:DDL25"/>
    <mergeCell ref="DDM25:DDN25"/>
    <mergeCell ref="DDO25:DDP25"/>
    <mergeCell ref="DDQ25:DDR25"/>
    <mergeCell ref="DDS25:DDT25"/>
    <mergeCell ref="DIK25:DIL25"/>
    <mergeCell ref="DIM25:DIN25"/>
    <mergeCell ref="DIO25:DIP25"/>
    <mergeCell ref="DIQ25:DIR25"/>
    <mergeCell ref="DIS25:DIT25"/>
    <mergeCell ref="DIU25:DIV25"/>
    <mergeCell ref="DHY25:DHZ25"/>
    <mergeCell ref="DIA25:DIB25"/>
    <mergeCell ref="DIC25:DID25"/>
    <mergeCell ref="DIE25:DIF25"/>
    <mergeCell ref="DIG25:DIH25"/>
    <mergeCell ref="DII25:DIJ25"/>
    <mergeCell ref="DHM25:DHN25"/>
    <mergeCell ref="DHO25:DHP25"/>
    <mergeCell ref="DHQ25:DHR25"/>
    <mergeCell ref="DHS25:DHT25"/>
    <mergeCell ref="DHU25:DHV25"/>
    <mergeCell ref="DHW25:DHX25"/>
    <mergeCell ref="DHA25:DHB25"/>
    <mergeCell ref="DHC25:DHD25"/>
    <mergeCell ref="DHE25:DHF25"/>
    <mergeCell ref="DHG25:DHH25"/>
    <mergeCell ref="DHI25:DHJ25"/>
    <mergeCell ref="DHK25:DHL25"/>
    <mergeCell ref="DGO25:DGP25"/>
    <mergeCell ref="DGQ25:DGR25"/>
    <mergeCell ref="DGS25:DGT25"/>
    <mergeCell ref="DGU25:DGV25"/>
    <mergeCell ref="DGW25:DGX25"/>
    <mergeCell ref="DGY25:DGZ25"/>
    <mergeCell ref="DGC25:DGD25"/>
    <mergeCell ref="DGE25:DGF25"/>
    <mergeCell ref="DGG25:DGH25"/>
    <mergeCell ref="DGI25:DGJ25"/>
    <mergeCell ref="DGK25:DGL25"/>
    <mergeCell ref="DGM25:DGN25"/>
    <mergeCell ref="DLE25:DLF25"/>
    <mergeCell ref="DLG25:DLH25"/>
    <mergeCell ref="DLI25:DLJ25"/>
    <mergeCell ref="DLK25:DLL25"/>
    <mergeCell ref="DLM25:DLN25"/>
    <mergeCell ref="DLO25:DLP25"/>
    <mergeCell ref="DKS25:DKT25"/>
    <mergeCell ref="DKU25:DKV25"/>
    <mergeCell ref="DKW25:DKX25"/>
    <mergeCell ref="DKY25:DKZ25"/>
    <mergeCell ref="DLA25:DLB25"/>
    <mergeCell ref="DLC25:DLD25"/>
    <mergeCell ref="DKG25:DKH25"/>
    <mergeCell ref="DKI25:DKJ25"/>
    <mergeCell ref="DKK25:DKL25"/>
    <mergeCell ref="DKM25:DKN25"/>
    <mergeCell ref="DKO25:DKP25"/>
    <mergeCell ref="DKQ25:DKR25"/>
    <mergeCell ref="DJU25:DJV25"/>
    <mergeCell ref="DJW25:DJX25"/>
    <mergeCell ref="DJY25:DJZ25"/>
    <mergeCell ref="DKA25:DKB25"/>
    <mergeCell ref="DKC25:DKD25"/>
    <mergeCell ref="DKE25:DKF25"/>
    <mergeCell ref="DJI25:DJJ25"/>
    <mergeCell ref="DJK25:DJL25"/>
    <mergeCell ref="DJM25:DJN25"/>
    <mergeCell ref="DJO25:DJP25"/>
    <mergeCell ref="DJQ25:DJR25"/>
    <mergeCell ref="DJS25:DJT25"/>
    <mergeCell ref="DIW25:DIX25"/>
    <mergeCell ref="DIY25:DIZ25"/>
    <mergeCell ref="DJA25:DJB25"/>
    <mergeCell ref="DJC25:DJD25"/>
    <mergeCell ref="DJE25:DJF25"/>
    <mergeCell ref="DJG25:DJH25"/>
    <mergeCell ref="DNY25:DNZ25"/>
    <mergeCell ref="DOA25:DOB25"/>
    <mergeCell ref="DOC25:DOD25"/>
    <mergeCell ref="DOE25:DOF25"/>
    <mergeCell ref="DOG25:DOH25"/>
    <mergeCell ref="DOI25:DOJ25"/>
    <mergeCell ref="DNM25:DNN25"/>
    <mergeCell ref="DNO25:DNP25"/>
    <mergeCell ref="DNQ25:DNR25"/>
    <mergeCell ref="DNS25:DNT25"/>
    <mergeCell ref="DNU25:DNV25"/>
    <mergeCell ref="DNW25:DNX25"/>
    <mergeCell ref="DNA25:DNB25"/>
    <mergeCell ref="DNC25:DND25"/>
    <mergeCell ref="DNE25:DNF25"/>
    <mergeCell ref="DNG25:DNH25"/>
    <mergeCell ref="DNI25:DNJ25"/>
    <mergeCell ref="DNK25:DNL25"/>
    <mergeCell ref="DMO25:DMP25"/>
    <mergeCell ref="DMQ25:DMR25"/>
    <mergeCell ref="DMS25:DMT25"/>
    <mergeCell ref="DMU25:DMV25"/>
    <mergeCell ref="DMW25:DMX25"/>
    <mergeCell ref="DMY25:DMZ25"/>
    <mergeCell ref="DMC25:DMD25"/>
    <mergeCell ref="DME25:DMF25"/>
    <mergeCell ref="DMG25:DMH25"/>
    <mergeCell ref="DMI25:DMJ25"/>
    <mergeCell ref="DMK25:DML25"/>
    <mergeCell ref="DMM25:DMN25"/>
    <mergeCell ref="DLQ25:DLR25"/>
    <mergeCell ref="DLS25:DLT25"/>
    <mergeCell ref="DLU25:DLV25"/>
    <mergeCell ref="DLW25:DLX25"/>
    <mergeCell ref="DLY25:DLZ25"/>
    <mergeCell ref="DMA25:DMB25"/>
    <mergeCell ref="DQS25:DQT25"/>
    <mergeCell ref="DQU25:DQV25"/>
    <mergeCell ref="DQW25:DQX25"/>
    <mergeCell ref="DQY25:DQZ25"/>
    <mergeCell ref="DRA25:DRB25"/>
    <mergeCell ref="DRC25:DRD25"/>
    <mergeCell ref="DQG25:DQH25"/>
    <mergeCell ref="DQI25:DQJ25"/>
    <mergeCell ref="DQK25:DQL25"/>
    <mergeCell ref="DQM25:DQN25"/>
    <mergeCell ref="DQO25:DQP25"/>
    <mergeCell ref="DQQ25:DQR25"/>
    <mergeCell ref="DPU25:DPV25"/>
    <mergeCell ref="DPW25:DPX25"/>
    <mergeCell ref="DPY25:DPZ25"/>
    <mergeCell ref="DQA25:DQB25"/>
    <mergeCell ref="DQC25:DQD25"/>
    <mergeCell ref="DQE25:DQF25"/>
    <mergeCell ref="DPI25:DPJ25"/>
    <mergeCell ref="DPK25:DPL25"/>
    <mergeCell ref="DPM25:DPN25"/>
    <mergeCell ref="DPO25:DPP25"/>
    <mergeCell ref="DPQ25:DPR25"/>
    <mergeCell ref="DPS25:DPT25"/>
    <mergeCell ref="DOW25:DOX25"/>
    <mergeCell ref="DOY25:DOZ25"/>
    <mergeCell ref="DPA25:DPB25"/>
    <mergeCell ref="DPC25:DPD25"/>
    <mergeCell ref="DPE25:DPF25"/>
    <mergeCell ref="DPG25:DPH25"/>
    <mergeCell ref="DOK25:DOL25"/>
    <mergeCell ref="DOM25:DON25"/>
    <mergeCell ref="DOO25:DOP25"/>
    <mergeCell ref="DOQ25:DOR25"/>
    <mergeCell ref="DOS25:DOT25"/>
    <mergeCell ref="DOU25:DOV25"/>
    <mergeCell ref="DTM25:DTN25"/>
    <mergeCell ref="DTO25:DTP25"/>
    <mergeCell ref="DTQ25:DTR25"/>
    <mergeCell ref="DTS25:DTT25"/>
    <mergeCell ref="DTU25:DTV25"/>
    <mergeCell ref="DTW25:DTX25"/>
    <mergeCell ref="DTA25:DTB25"/>
    <mergeCell ref="DTC25:DTD25"/>
    <mergeCell ref="DTE25:DTF25"/>
    <mergeCell ref="DTG25:DTH25"/>
    <mergeCell ref="DTI25:DTJ25"/>
    <mergeCell ref="DTK25:DTL25"/>
    <mergeCell ref="DSO25:DSP25"/>
    <mergeCell ref="DSQ25:DSR25"/>
    <mergeCell ref="DSS25:DST25"/>
    <mergeCell ref="DSU25:DSV25"/>
    <mergeCell ref="DSW25:DSX25"/>
    <mergeCell ref="DSY25:DSZ25"/>
    <mergeCell ref="DSC25:DSD25"/>
    <mergeCell ref="DSE25:DSF25"/>
    <mergeCell ref="DSG25:DSH25"/>
    <mergeCell ref="DSI25:DSJ25"/>
    <mergeCell ref="DSK25:DSL25"/>
    <mergeCell ref="DSM25:DSN25"/>
    <mergeCell ref="DRQ25:DRR25"/>
    <mergeCell ref="DRS25:DRT25"/>
    <mergeCell ref="DRU25:DRV25"/>
    <mergeCell ref="DRW25:DRX25"/>
    <mergeCell ref="DRY25:DRZ25"/>
    <mergeCell ref="DSA25:DSB25"/>
    <mergeCell ref="DRE25:DRF25"/>
    <mergeCell ref="DRG25:DRH25"/>
    <mergeCell ref="DRI25:DRJ25"/>
    <mergeCell ref="DRK25:DRL25"/>
    <mergeCell ref="DRM25:DRN25"/>
    <mergeCell ref="DRO25:DRP25"/>
    <mergeCell ref="DWG25:DWH25"/>
    <mergeCell ref="DWI25:DWJ25"/>
    <mergeCell ref="DWK25:DWL25"/>
    <mergeCell ref="DWM25:DWN25"/>
    <mergeCell ref="DWO25:DWP25"/>
    <mergeCell ref="DWQ25:DWR25"/>
    <mergeCell ref="DVU25:DVV25"/>
    <mergeCell ref="DVW25:DVX25"/>
    <mergeCell ref="DVY25:DVZ25"/>
    <mergeCell ref="DWA25:DWB25"/>
    <mergeCell ref="DWC25:DWD25"/>
    <mergeCell ref="DWE25:DWF25"/>
    <mergeCell ref="DVI25:DVJ25"/>
    <mergeCell ref="DVK25:DVL25"/>
    <mergeCell ref="DVM25:DVN25"/>
    <mergeCell ref="DVO25:DVP25"/>
    <mergeCell ref="DVQ25:DVR25"/>
    <mergeCell ref="DVS25:DVT25"/>
    <mergeCell ref="DUW25:DUX25"/>
    <mergeCell ref="DUY25:DUZ25"/>
    <mergeCell ref="DVA25:DVB25"/>
    <mergeCell ref="DVC25:DVD25"/>
    <mergeCell ref="DVE25:DVF25"/>
    <mergeCell ref="DVG25:DVH25"/>
    <mergeCell ref="DUK25:DUL25"/>
    <mergeCell ref="DUM25:DUN25"/>
    <mergeCell ref="DUO25:DUP25"/>
    <mergeCell ref="DUQ25:DUR25"/>
    <mergeCell ref="DUS25:DUT25"/>
    <mergeCell ref="DUU25:DUV25"/>
    <mergeCell ref="DTY25:DTZ25"/>
    <mergeCell ref="DUA25:DUB25"/>
    <mergeCell ref="DUC25:DUD25"/>
    <mergeCell ref="DUE25:DUF25"/>
    <mergeCell ref="DUG25:DUH25"/>
    <mergeCell ref="DUI25:DUJ25"/>
    <mergeCell ref="DZA25:DZB25"/>
    <mergeCell ref="DZC25:DZD25"/>
    <mergeCell ref="DZE25:DZF25"/>
    <mergeCell ref="DZG25:DZH25"/>
    <mergeCell ref="DZI25:DZJ25"/>
    <mergeCell ref="DZK25:DZL25"/>
    <mergeCell ref="DYO25:DYP25"/>
    <mergeCell ref="DYQ25:DYR25"/>
    <mergeCell ref="DYS25:DYT25"/>
    <mergeCell ref="DYU25:DYV25"/>
    <mergeCell ref="DYW25:DYX25"/>
    <mergeCell ref="DYY25:DYZ25"/>
    <mergeCell ref="DYC25:DYD25"/>
    <mergeCell ref="DYE25:DYF25"/>
    <mergeCell ref="DYG25:DYH25"/>
    <mergeCell ref="DYI25:DYJ25"/>
    <mergeCell ref="DYK25:DYL25"/>
    <mergeCell ref="DYM25:DYN25"/>
    <mergeCell ref="DXQ25:DXR25"/>
    <mergeCell ref="DXS25:DXT25"/>
    <mergeCell ref="DXU25:DXV25"/>
    <mergeCell ref="DXW25:DXX25"/>
    <mergeCell ref="DXY25:DXZ25"/>
    <mergeCell ref="DYA25:DYB25"/>
    <mergeCell ref="DXE25:DXF25"/>
    <mergeCell ref="DXG25:DXH25"/>
    <mergeCell ref="DXI25:DXJ25"/>
    <mergeCell ref="DXK25:DXL25"/>
    <mergeCell ref="DXM25:DXN25"/>
    <mergeCell ref="DXO25:DXP25"/>
    <mergeCell ref="DWS25:DWT25"/>
    <mergeCell ref="DWU25:DWV25"/>
    <mergeCell ref="DWW25:DWX25"/>
    <mergeCell ref="DWY25:DWZ25"/>
    <mergeCell ref="DXA25:DXB25"/>
    <mergeCell ref="DXC25:DXD25"/>
    <mergeCell ref="EBU25:EBV25"/>
    <mergeCell ref="EBW25:EBX25"/>
    <mergeCell ref="EBY25:EBZ25"/>
    <mergeCell ref="ECA25:ECB25"/>
    <mergeCell ref="ECC25:ECD25"/>
    <mergeCell ref="ECE25:ECF25"/>
    <mergeCell ref="EBI25:EBJ25"/>
    <mergeCell ref="EBK25:EBL25"/>
    <mergeCell ref="EBM25:EBN25"/>
    <mergeCell ref="EBO25:EBP25"/>
    <mergeCell ref="EBQ25:EBR25"/>
    <mergeCell ref="EBS25:EBT25"/>
    <mergeCell ref="EAW25:EAX25"/>
    <mergeCell ref="EAY25:EAZ25"/>
    <mergeCell ref="EBA25:EBB25"/>
    <mergeCell ref="EBC25:EBD25"/>
    <mergeCell ref="EBE25:EBF25"/>
    <mergeCell ref="EBG25:EBH25"/>
    <mergeCell ref="EAK25:EAL25"/>
    <mergeCell ref="EAM25:EAN25"/>
    <mergeCell ref="EAO25:EAP25"/>
    <mergeCell ref="EAQ25:EAR25"/>
    <mergeCell ref="EAS25:EAT25"/>
    <mergeCell ref="EAU25:EAV25"/>
    <mergeCell ref="DZY25:DZZ25"/>
    <mergeCell ref="EAA25:EAB25"/>
    <mergeCell ref="EAC25:EAD25"/>
    <mergeCell ref="EAE25:EAF25"/>
    <mergeCell ref="EAG25:EAH25"/>
    <mergeCell ref="EAI25:EAJ25"/>
    <mergeCell ref="DZM25:DZN25"/>
    <mergeCell ref="DZO25:DZP25"/>
    <mergeCell ref="DZQ25:DZR25"/>
    <mergeCell ref="DZS25:DZT25"/>
    <mergeCell ref="DZU25:DZV25"/>
    <mergeCell ref="DZW25:DZX25"/>
    <mergeCell ref="EEO25:EEP25"/>
    <mergeCell ref="EEQ25:EER25"/>
    <mergeCell ref="EES25:EET25"/>
    <mergeCell ref="EEU25:EEV25"/>
    <mergeCell ref="EEW25:EEX25"/>
    <mergeCell ref="EEY25:EEZ25"/>
    <mergeCell ref="EEC25:EED25"/>
    <mergeCell ref="EEE25:EEF25"/>
    <mergeCell ref="EEG25:EEH25"/>
    <mergeCell ref="EEI25:EEJ25"/>
    <mergeCell ref="EEK25:EEL25"/>
    <mergeCell ref="EEM25:EEN25"/>
    <mergeCell ref="EDQ25:EDR25"/>
    <mergeCell ref="EDS25:EDT25"/>
    <mergeCell ref="EDU25:EDV25"/>
    <mergeCell ref="EDW25:EDX25"/>
    <mergeCell ref="EDY25:EDZ25"/>
    <mergeCell ref="EEA25:EEB25"/>
    <mergeCell ref="EDE25:EDF25"/>
    <mergeCell ref="EDG25:EDH25"/>
    <mergeCell ref="EDI25:EDJ25"/>
    <mergeCell ref="EDK25:EDL25"/>
    <mergeCell ref="EDM25:EDN25"/>
    <mergeCell ref="EDO25:EDP25"/>
    <mergeCell ref="ECS25:ECT25"/>
    <mergeCell ref="ECU25:ECV25"/>
    <mergeCell ref="ECW25:ECX25"/>
    <mergeCell ref="ECY25:ECZ25"/>
    <mergeCell ref="EDA25:EDB25"/>
    <mergeCell ref="EDC25:EDD25"/>
    <mergeCell ref="ECG25:ECH25"/>
    <mergeCell ref="ECI25:ECJ25"/>
    <mergeCell ref="ECK25:ECL25"/>
    <mergeCell ref="ECM25:ECN25"/>
    <mergeCell ref="ECO25:ECP25"/>
    <mergeCell ref="ECQ25:ECR25"/>
    <mergeCell ref="EHI25:EHJ25"/>
    <mergeCell ref="EHK25:EHL25"/>
    <mergeCell ref="EHM25:EHN25"/>
    <mergeCell ref="EHO25:EHP25"/>
    <mergeCell ref="EHQ25:EHR25"/>
    <mergeCell ref="EHS25:EHT25"/>
    <mergeCell ref="EGW25:EGX25"/>
    <mergeCell ref="EGY25:EGZ25"/>
    <mergeCell ref="EHA25:EHB25"/>
    <mergeCell ref="EHC25:EHD25"/>
    <mergeCell ref="EHE25:EHF25"/>
    <mergeCell ref="EHG25:EHH25"/>
    <mergeCell ref="EGK25:EGL25"/>
    <mergeCell ref="EGM25:EGN25"/>
    <mergeCell ref="EGO25:EGP25"/>
    <mergeCell ref="EGQ25:EGR25"/>
    <mergeCell ref="EGS25:EGT25"/>
    <mergeCell ref="EGU25:EGV25"/>
    <mergeCell ref="EFY25:EFZ25"/>
    <mergeCell ref="EGA25:EGB25"/>
    <mergeCell ref="EGC25:EGD25"/>
    <mergeCell ref="EGE25:EGF25"/>
    <mergeCell ref="EGG25:EGH25"/>
    <mergeCell ref="EGI25:EGJ25"/>
    <mergeCell ref="EFM25:EFN25"/>
    <mergeCell ref="EFO25:EFP25"/>
    <mergeCell ref="EFQ25:EFR25"/>
    <mergeCell ref="EFS25:EFT25"/>
    <mergeCell ref="EFU25:EFV25"/>
    <mergeCell ref="EFW25:EFX25"/>
    <mergeCell ref="EFA25:EFB25"/>
    <mergeCell ref="EFC25:EFD25"/>
    <mergeCell ref="EFE25:EFF25"/>
    <mergeCell ref="EFG25:EFH25"/>
    <mergeCell ref="EFI25:EFJ25"/>
    <mergeCell ref="EFK25:EFL25"/>
    <mergeCell ref="EKC25:EKD25"/>
    <mergeCell ref="EKE25:EKF25"/>
    <mergeCell ref="EKG25:EKH25"/>
    <mergeCell ref="EKI25:EKJ25"/>
    <mergeCell ref="EKK25:EKL25"/>
    <mergeCell ref="EKM25:EKN25"/>
    <mergeCell ref="EJQ25:EJR25"/>
    <mergeCell ref="EJS25:EJT25"/>
    <mergeCell ref="EJU25:EJV25"/>
    <mergeCell ref="EJW25:EJX25"/>
    <mergeCell ref="EJY25:EJZ25"/>
    <mergeCell ref="EKA25:EKB25"/>
    <mergeCell ref="EJE25:EJF25"/>
    <mergeCell ref="EJG25:EJH25"/>
    <mergeCell ref="EJI25:EJJ25"/>
    <mergeCell ref="EJK25:EJL25"/>
    <mergeCell ref="EJM25:EJN25"/>
    <mergeCell ref="EJO25:EJP25"/>
    <mergeCell ref="EIS25:EIT25"/>
    <mergeCell ref="EIU25:EIV25"/>
    <mergeCell ref="EIW25:EIX25"/>
    <mergeCell ref="EIY25:EIZ25"/>
    <mergeCell ref="EJA25:EJB25"/>
    <mergeCell ref="EJC25:EJD25"/>
    <mergeCell ref="EIG25:EIH25"/>
    <mergeCell ref="EII25:EIJ25"/>
    <mergeCell ref="EIK25:EIL25"/>
    <mergeCell ref="EIM25:EIN25"/>
    <mergeCell ref="EIO25:EIP25"/>
    <mergeCell ref="EIQ25:EIR25"/>
    <mergeCell ref="EHU25:EHV25"/>
    <mergeCell ref="EHW25:EHX25"/>
    <mergeCell ref="EHY25:EHZ25"/>
    <mergeCell ref="EIA25:EIB25"/>
    <mergeCell ref="EIC25:EID25"/>
    <mergeCell ref="EIE25:EIF25"/>
    <mergeCell ref="EMW25:EMX25"/>
    <mergeCell ref="EMY25:EMZ25"/>
    <mergeCell ref="ENA25:ENB25"/>
    <mergeCell ref="ENC25:END25"/>
    <mergeCell ref="ENE25:ENF25"/>
    <mergeCell ref="ENG25:ENH25"/>
    <mergeCell ref="EMK25:EML25"/>
    <mergeCell ref="EMM25:EMN25"/>
    <mergeCell ref="EMO25:EMP25"/>
    <mergeCell ref="EMQ25:EMR25"/>
    <mergeCell ref="EMS25:EMT25"/>
    <mergeCell ref="EMU25:EMV25"/>
    <mergeCell ref="ELY25:ELZ25"/>
    <mergeCell ref="EMA25:EMB25"/>
    <mergeCell ref="EMC25:EMD25"/>
    <mergeCell ref="EME25:EMF25"/>
    <mergeCell ref="EMG25:EMH25"/>
    <mergeCell ref="EMI25:EMJ25"/>
    <mergeCell ref="ELM25:ELN25"/>
    <mergeCell ref="ELO25:ELP25"/>
    <mergeCell ref="ELQ25:ELR25"/>
    <mergeCell ref="ELS25:ELT25"/>
    <mergeCell ref="ELU25:ELV25"/>
    <mergeCell ref="ELW25:ELX25"/>
    <mergeCell ref="ELA25:ELB25"/>
    <mergeCell ref="ELC25:ELD25"/>
    <mergeCell ref="ELE25:ELF25"/>
    <mergeCell ref="ELG25:ELH25"/>
    <mergeCell ref="ELI25:ELJ25"/>
    <mergeCell ref="ELK25:ELL25"/>
    <mergeCell ref="EKO25:EKP25"/>
    <mergeCell ref="EKQ25:EKR25"/>
    <mergeCell ref="EKS25:EKT25"/>
    <mergeCell ref="EKU25:EKV25"/>
    <mergeCell ref="EKW25:EKX25"/>
    <mergeCell ref="EKY25:EKZ25"/>
    <mergeCell ref="EPQ25:EPR25"/>
    <mergeCell ref="EPS25:EPT25"/>
    <mergeCell ref="EPU25:EPV25"/>
    <mergeCell ref="EPW25:EPX25"/>
    <mergeCell ref="EPY25:EPZ25"/>
    <mergeCell ref="EQA25:EQB25"/>
    <mergeCell ref="EPE25:EPF25"/>
    <mergeCell ref="EPG25:EPH25"/>
    <mergeCell ref="EPI25:EPJ25"/>
    <mergeCell ref="EPK25:EPL25"/>
    <mergeCell ref="EPM25:EPN25"/>
    <mergeCell ref="EPO25:EPP25"/>
    <mergeCell ref="EOS25:EOT25"/>
    <mergeCell ref="EOU25:EOV25"/>
    <mergeCell ref="EOW25:EOX25"/>
    <mergeCell ref="EOY25:EOZ25"/>
    <mergeCell ref="EPA25:EPB25"/>
    <mergeCell ref="EPC25:EPD25"/>
    <mergeCell ref="EOG25:EOH25"/>
    <mergeCell ref="EOI25:EOJ25"/>
    <mergeCell ref="EOK25:EOL25"/>
    <mergeCell ref="EOM25:EON25"/>
    <mergeCell ref="EOO25:EOP25"/>
    <mergeCell ref="EOQ25:EOR25"/>
    <mergeCell ref="ENU25:ENV25"/>
    <mergeCell ref="ENW25:ENX25"/>
    <mergeCell ref="ENY25:ENZ25"/>
    <mergeCell ref="EOA25:EOB25"/>
    <mergeCell ref="EOC25:EOD25"/>
    <mergeCell ref="EOE25:EOF25"/>
    <mergeCell ref="ENI25:ENJ25"/>
    <mergeCell ref="ENK25:ENL25"/>
    <mergeCell ref="ENM25:ENN25"/>
    <mergeCell ref="ENO25:ENP25"/>
    <mergeCell ref="ENQ25:ENR25"/>
    <mergeCell ref="ENS25:ENT25"/>
    <mergeCell ref="ESK25:ESL25"/>
    <mergeCell ref="ESM25:ESN25"/>
    <mergeCell ref="ESO25:ESP25"/>
    <mergeCell ref="ESQ25:ESR25"/>
    <mergeCell ref="ESS25:EST25"/>
    <mergeCell ref="ESU25:ESV25"/>
    <mergeCell ref="ERY25:ERZ25"/>
    <mergeCell ref="ESA25:ESB25"/>
    <mergeCell ref="ESC25:ESD25"/>
    <mergeCell ref="ESE25:ESF25"/>
    <mergeCell ref="ESG25:ESH25"/>
    <mergeCell ref="ESI25:ESJ25"/>
    <mergeCell ref="ERM25:ERN25"/>
    <mergeCell ref="ERO25:ERP25"/>
    <mergeCell ref="ERQ25:ERR25"/>
    <mergeCell ref="ERS25:ERT25"/>
    <mergeCell ref="ERU25:ERV25"/>
    <mergeCell ref="ERW25:ERX25"/>
    <mergeCell ref="ERA25:ERB25"/>
    <mergeCell ref="ERC25:ERD25"/>
    <mergeCell ref="ERE25:ERF25"/>
    <mergeCell ref="ERG25:ERH25"/>
    <mergeCell ref="ERI25:ERJ25"/>
    <mergeCell ref="ERK25:ERL25"/>
    <mergeCell ref="EQO25:EQP25"/>
    <mergeCell ref="EQQ25:EQR25"/>
    <mergeCell ref="EQS25:EQT25"/>
    <mergeCell ref="EQU25:EQV25"/>
    <mergeCell ref="EQW25:EQX25"/>
    <mergeCell ref="EQY25:EQZ25"/>
    <mergeCell ref="EQC25:EQD25"/>
    <mergeCell ref="EQE25:EQF25"/>
    <mergeCell ref="EQG25:EQH25"/>
    <mergeCell ref="EQI25:EQJ25"/>
    <mergeCell ref="EQK25:EQL25"/>
    <mergeCell ref="EQM25:EQN25"/>
    <mergeCell ref="EVE25:EVF25"/>
    <mergeCell ref="EVG25:EVH25"/>
    <mergeCell ref="EVI25:EVJ25"/>
    <mergeCell ref="EVK25:EVL25"/>
    <mergeCell ref="EVM25:EVN25"/>
    <mergeCell ref="EVO25:EVP25"/>
    <mergeCell ref="EUS25:EUT25"/>
    <mergeCell ref="EUU25:EUV25"/>
    <mergeCell ref="EUW25:EUX25"/>
    <mergeCell ref="EUY25:EUZ25"/>
    <mergeCell ref="EVA25:EVB25"/>
    <mergeCell ref="EVC25:EVD25"/>
    <mergeCell ref="EUG25:EUH25"/>
    <mergeCell ref="EUI25:EUJ25"/>
    <mergeCell ref="EUK25:EUL25"/>
    <mergeCell ref="EUM25:EUN25"/>
    <mergeCell ref="EUO25:EUP25"/>
    <mergeCell ref="EUQ25:EUR25"/>
    <mergeCell ref="ETU25:ETV25"/>
    <mergeCell ref="ETW25:ETX25"/>
    <mergeCell ref="ETY25:ETZ25"/>
    <mergeCell ref="EUA25:EUB25"/>
    <mergeCell ref="EUC25:EUD25"/>
    <mergeCell ref="EUE25:EUF25"/>
    <mergeCell ref="ETI25:ETJ25"/>
    <mergeCell ref="ETK25:ETL25"/>
    <mergeCell ref="ETM25:ETN25"/>
    <mergeCell ref="ETO25:ETP25"/>
    <mergeCell ref="ETQ25:ETR25"/>
    <mergeCell ref="ETS25:ETT25"/>
    <mergeCell ref="ESW25:ESX25"/>
    <mergeCell ref="ESY25:ESZ25"/>
    <mergeCell ref="ETA25:ETB25"/>
    <mergeCell ref="ETC25:ETD25"/>
    <mergeCell ref="ETE25:ETF25"/>
    <mergeCell ref="ETG25:ETH25"/>
    <mergeCell ref="EXY25:EXZ25"/>
    <mergeCell ref="EYA25:EYB25"/>
    <mergeCell ref="EYC25:EYD25"/>
    <mergeCell ref="EYE25:EYF25"/>
    <mergeCell ref="EYG25:EYH25"/>
    <mergeCell ref="EYI25:EYJ25"/>
    <mergeCell ref="EXM25:EXN25"/>
    <mergeCell ref="EXO25:EXP25"/>
    <mergeCell ref="EXQ25:EXR25"/>
    <mergeCell ref="EXS25:EXT25"/>
    <mergeCell ref="EXU25:EXV25"/>
    <mergeCell ref="EXW25:EXX25"/>
    <mergeCell ref="EXA25:EXB25"/>
    <mergeCell ref="EXC25:EXD25"/>
    <mergeCell ref="EXE25:EXF25"/>
    <mergeCell ref="EXG25:EXH25"/>
    <mergeCell ref="EXI25:EXJ25"/>
    <mergeCell ref="EXK25:EXL25"/>
    <mergeCell ref="EWO25:EWP25"/>
    <mergeCell ref="EWQ25:EWR25"/>
    <mergeCell ref="EWS25:EWT25"/>
    <mergeCell ref="EWU25:EWV25"/>
    <mergeCell ref="EWW25:EWX25"/>
    <mergeCell ref="EWY25:EWZ25"/>
    <mergeCell ref="EWC25:EWD25"/>
    <mergeCell ref="EWE25:EWF25"/>
    <mergeCell ref="EWG25:EWH25"/>
    <mergeCell ref="EWI25:EWJ25"/>
    <mergeCell ref="EWK25:EWL25"/>
    <mergeCell ref="EWM25:EWN25"/>
    <mergeCell ref="EVQ25:EVR25"/>
    <mergeCell ref="EVS25:EVT25"/>
    <mergeCell ref="EVU25:EVV25"/>
    <mergeCell ref="EVW25:EVX25"/>
    <mergeCell ref="EVY25:EVZ25"/>
    <mergeCell ref="EWA25:EWB25"/>
    <mergeCell ref="FAS25:FAT25"/>
    <mergeCell ref="FAU25:FAV25"/>
    <mergeCell ref="FAW25:FAX25"/>
    <mergeCell ref="FAY25:FAZ25"/>
    <mergeCell ref="FBA25:FBB25"/>
    <mergeCell ref="FBC25:FBD25"/>
    <mergeCell ref="FAG25:FAH25"/>
    <mergeCell ref="FAI25:FAJ25"/>
    <mergeCell ref="FAK25:FAL25"/>
    <mergeCell ref="FAM25:FAN25"/>
    <mergeCell ref="FAO25:FAP25"/>
    <mergeCell ref="FAQ25:FAR25"/>
    <mergeCell ref="EZU25:EZV25"/>
    <mergeCell ref="EZW25:EZX25"/>
    <mergeCell ref="EZY25:EZZ25"/>
    <mergeCell ref="FAA25:FAB25"/>
    <mergeCell ref="FAC25:FAD25"/>
    <mergeCell ref="FAE25:FAF25"/>
    <mergeCell ref="EZI25:EZJ25"/>
    <mergeCell ref="EZK25:EZL25"/>
    <mergeCell ref="EZM25:EZN25"/>
    <mergeCell ref="EZO25:EZP25"/>
    <mergeCell ref="EZQ25:EZR25"/>
    <mergeCell ref="EZS25:EZT25"/>
    <mergeCell ref="EYW25:EYX25"/>
    <mergeCell ref="EYY25:EYZ25"/>
    <mergeCell ref="EZA25:EZB25"/>
    <mergeCell ref="EZC25:EZD25"/>
    <mergeCell ref="EZE25:EZF25"/>
    <mergeCell ref="EZG25:EZH25"/>
    <mergeCell ref="EYK25:EYL25"/>
    <mergeCell ref="EYM25:EYN25"/>
    <mergeCell ref="EYO25:EYP25"/>
    <mergeCell ref="EYQ25:EYR25"/>
    <mergeCell ref="EYS25:EYT25"/>
    <mergeCell ref="EYU25:EYV25"/>
    <mergeCell ref="FDM25:FDN25"/>
    <mergeCell ref="FDO25:FDP25"/>
    <mergeCell ref="FDQ25:FDR25"/>
    <mergeCell ref="FDS25:FDT25"/>
    <mergeCell ref="FDU25:FDV25"/>
    <mergeCell ref="FDW25:FDX25"/>
    <mergeCell ref="FDA25:FDB25"/>
    <mergeCell ref="FDC25:FDD25"/>
    <mergeCell ref="FDE25:FDF25"/>
    <mergeCell ref="FDG25:FDH25"/>
    <mergeCell ref="FDI25:FDJ25"/>
    <mergeCell ref="FDK25:FDL25"/>
    <mergeCell ref="FCO25:FCP25"/>
    <mergeCell ref="FCQ25:FCR25"/>
    <mergeCell ref="FCS25:FCT25"/>
    <mergeCell ref="FCU25:FCV25"/>
    <mergeCell ref="FCW25:FCX25"/>
    <mergeCell ref="FCY25:FCZ25"/>
    <mergeCell ref="FCC25:FCD25"/>
    <mergeCell ref="FCE25:FCF25"/>
    <mergeCell ref="FCG25:FCH25"/>
    <mergeCell ref="FCI25:FCJ25"/>
    <mergeCell ref="FCK25:FCL25"/>
    <mergeCell ref="FCM25:FCN25"/>
    <mergeCell ref="FBQ25:FBR25"/>
    <mergeCell ref="FBS25:FBT25"/>
    <mergeCell ref="FBU25:FBV25"/>
    <mergeCell ref="FBW25:FBX25"/>
    <mergeCell ref="FBY25:FBZ25"/>
    <mergeCell ref="FCA25:FCB25"/>
    <mergeCell ref="FBE25:FBF25"/>
    <mergeCell ref="FBG25:FBH25"/>
    <mergeCell ref="FBI25:FBJ25"/>
    <mergeCell ref="FBK25:FBL25"/>
    <mergeCell ref="FBM25:FBN25"/>
    <mergeCell ref="FBO25:FBP25"/>
    <mergeCell ref="FGG25:FGH25"/>
    <mergeCell ref="FGI25:FGJ25"/>
    <mergeCell ref="FGK25:FGL25"/>
    <mergeCell ref="FGM25:FGN25"/>
    <mergeCell ref="FGO25:FGP25"/>
    <mergeCell ref="FGQ25:FGR25"/>
    <mergeCell ref="FFU25:FFV25"/>
    <mergeCell ref="FFW25:FFX25"/>
    <mergeCell ref="FFY25:FFZ25"/>
    <mergeCell ref="FGA25:FGB25"/>
    <mergeCell ref="FGC25:FGD25"/>
    <mergeCell ref="FGE25:FGF25"/>
    <mergeCell ref="FFI25:FFJ25"/>
    <mergeCell ref="FFK25:FFL25"/>
    <mergeCell ref="FFM25:FFN25"/>
    <mergeCell ref="FFO25:FFP25"/>
    <mergeCell ref="FFQ25:FFR25"/>
    <mergeCell ref="FFS25:FFT25"/>
    <mergeCell ref="FEW25:FEX25"/>
    <mergeCell ref="FEY25:FEZ25"/>
    <mergeCell ref="FFA25:FFB25"/>
    <mergeCell ref="FFC25:FFD25"/>
    <mergeCell ref="FFE25:FFF25"/>
    <mergeCell ref="FFG25:FFH25"/>
    <mergeCell ref="FEK25:FEL25"/>
    <mergeCell ref="FEM25:FEN25"/>
    <mergeCell ref="FEO25:FEP25"/>
    <mergeCell ref="FEQ25:FER25"/>
    <mergeCell ref="FES25:FET25"/>
    <mergeCell ref="FEU25:FEV25"/>
    <mergeCell ref="FDY25:FDZ25"/>
    <mergeCell ref="FEA25:FEB25"/>
    <mergeCell ref="FEC25:FED25"/>
    <mergeCell ref="FEE25:FEF25"/>
    <mergeCell ref="FEG25:FEH25"/>
    <mergeCell ref="FEI25:FEJ25"/>
    <mergeCell ref="FJA25:FJB25"/>
    <mergeCell ref="FJC25:FJD25"/>
    <mergeCell ref="FJE25:FJF25"/>
    <mergeCell ref="FJG25:FJH25"/>
    <mergeCell ref="FJI25:FJJ25"/>
    <mergeCell ref="FJK25:FJL25"/>
    <mergeCell ref="FIO25:FIP25"/>
    <mergeCell ref="FIQ25:FIR25"/>
    <mergeCell ref="FIS25:FIT25"/>
    <mergeCell ref="FIU25:FIV25"/>
    <mergeCell ref="FIW25:FIX25"/>
    <mergeCell ref="FIY25:FIZ25"/>
    <mergeCell ref="FIC25:FID25"/>
    <mergeCell ref="FIE25:FIF25"/>
    <mergeCell ref="FIG25:FIH25"/>
    <mergeCell ref="FII25:FIJ25"/>
    <mergeCell ref="FIK25:FIL25"/>
    <mergeCell ref="FIM25:FIN25"/>
    <mergeCell ref="FHQ25:FHR25"/>
    <mergeCell ref="FHS25:FHT25"/>
    <mergeCell ref="FHU25:FHV25"/>
    <mergeCell ref="FHW25:FHX25"/>
    <mergeCell ref="FHY25:FHZ25"/>
    <mergeCell ref="FIA25:FIB25"/>
    <mergeCell ref="FHE25:FHF25"/>
    <mergeCell ref="FHG25:FHH25"/>
    <mergeCell ref="FHI25:FHJ25"/>
    <mergeCell ref="FHK25:FHL25"/>
    <mergeCell ref="FHM25:FHN25"/>
    <mergeCell ref="FHO25:FHP25"/>
    <mergeCell ref="FGS25:FGT25"/>
    <mergeCell ref="FGU25:FGV25"/>
    <mergeCell ref="FGW25:FGX25"/>
    <mergeCell ref="FGY25:FGZ25"/>
    <mergeCell ref="FHA25:FHB25"/>
    <mergeCell ref="FHC25:FHD25"/>
    <mergeCell ref="FLU25:FLV25"/>
    <mergeCell ref="FLW25:FLX25"/>
    <mergeCell ref="FLY25:FLZ25"/>
    <mergeCell ref="FMA25:FMB25"/>
    <mergeCell ref="FMC25:FMD25"/>
    <mergeCell ref="FME25:FMF25"/>
    <mergeCell ref="FLI25:FLJ25"/>
    <mergeCell ref="FLK25:FLL25"/>
    <mergeCell ref="FLM25:FLN25"/>
    <mergeCell ref="FLO25:FLP25"/>
    <mergeCell ref="FLQ25:FLR25"/>
    <mergeCell ref="FLS25:FLT25"/>
    <mergeCell ref="FKW25:FKX25"/>
    <mergeCell ref="FKY25:FKZ25"/>
    <mergeCell ref="FLA25:FLB25"/>
    <mergeCell ref="FLC25:FLD25"/>
    <mergeCell ref="FLE25:FLF25"/>
    <mergeCell ref="FLG25:FLH25"/>
    <mergeCell ref="FKK25:FKL25"/>
    <mergeCell ref="FKM25:FKN25"/>
    <mergeCell ref="FKO25:FKP25"/>
    <mergeCell ref="FKQ25:FKR25"/>
    <mergeCell ref="FKS25:FKT25"/>
    <mergeCell ref="FKU25:FKV25"/>
    <mergeCell ref="FJY25:FJZ25"/>
    <mergeCell ref="FKA25:FKB25"/>
    <mergeCell ref="FKC25:FKD25"/>
    <mergeCell ref="FKE25:FKF25"/>
    <mergeCell ref="FKG25:FKH25"/>
    <mergeCell ref="FKI25:FKJ25"/>
    <mergeCell ref="FJM25:FJN25"/>
    <mergeCell ref="FJO25:FJP25"/>
    <mergeCell ref="FJQ25:FJR25"/>
    <mergeCell ref="FJS25:FJT25"/>
    <mergeCell ref="FJU25:FJV25"/>
    <mergeCell ref="FJW25:FJX25"/>
    <mergeCell ref="FOO25:FOP25"/>
    <mergeCell ref="FOQ25:FOR25"/>
    <mergeCell ref="FOS25:FOT25"/>
    <mergeCell ref="FOU25:FOV25"/>
    <mergeCell ref="FOW25:FOX25"/>
    <mergeCell ref="FOY25:FOZ25"/>
    <mergeCell ref="FOC25:FOD25"/>
    <mergeCell ref="FOE25:FOF25"/>
    <mergeCell ref="FOG25:FOH25"/>
    <mergeCell ref="FOI25:FOJ25"/>
    <mergeCell ref="FOK25:FOL25"/>
    <mergeCell ref="FOM25:FON25"/>
    <mergeCell ref="FNQ25:FNR25"/>
    <mergeCell ref="FNS25:FNT25"/>
    <mergeCell ref="FNU25:FNV25"/>
    <mergeCell ref="FNW25:FNX25"/>
    <mergeCell ref="FNY25:FNZ25"/>
    <mergeCell ref="FOA25:FOB25"/>
    <mergeCell ref="FNE25:FNF25"/>
    <mergeCell ref="FNG25:FNH25"/>
    <mergeCell ref="FNI25:FNJ25"/>
    <mergeCell ref="FNK25:FNL25"/>
    <mergeCell ref="FNM25:FNN25"/>
    <mergeCell ref="FNO25:FNP25"/>
    <mergeCell ref="FMS25:FMT25"/>
    <mergeCell ref="FMU25:FMV25"/>
    <mergeCell ref="FMW25:FMX25"/>
    <mergeCell ref="FMY25:FMZ25"/>
    <mergeCell ref="FNA25:FNB25"/>
    <mergeCell ref="FNC25:FND25"/>
    <mergeCell ref="FMG25:FMH25"/>
    <mergeCell ref="FMI25:FMJ25"/>
    <mergeCell ref="FMK25:FML25"/>
    <mergeCell ref="FMM25:FMN25"/>
    <mergeCell ref="FMO25:FMP25"/>
    <mergeCell ref="FMQ25:FMR25"/>
    <mergeCell ref="FRI25:FRJ25"/>
    <mergeCell ref="FRK25:FRL25"/>
    <mergeCell ref="FRM25:FRN25"/>
    <mergeCell ref="FRO25:FRP25"/>
    <mergeCell ref="FRQ25:FRR25"/>
    <mergeCell ref="FRS25:FRT25"/>
    <mergeCell ref="FQW25:FQX25"/>
    <mergeCell ref="FQY25:FQZ25"/>
    <mergeCell ref="FRA25:FRB25"/>
    <mergeCell ref="FRC25:FRD25"/>
    <mergeCell ref="FRE25:FRF25"/>
    <mergeCell ref="FRG25:FRH25"/>
    <mergeCell ref="FQK25:FQL25"/>
    <mergeCell ref="FQM25:FQN25"/>
    <mergeCell ref="FQO25:FQP25"/>
    <mergeCell ref="FQQ25:FQR25"/>
    <mergeCell ref="FQS25:FQT25"/>
    <mergeCell ref="FQU25:FQV25"/>
    <mergeCell ref="FPY25:FPZ25"/>
    <mergeCell ref="FQA25:FQB25"/>
    <mergeCell ref="FQC25:FQD25"/>
    <mergeCell ref="FQE25:FQF25"/>
    <mergeCell ref="FQG25:FQH25"/>
    <mergeCell ref="FQI25:FQJ25"/>
    <mergeCell ref="FPM25:FPN25"/>
    <mergeCell ref="FPO25:FPP25"/>
    <mergeCell ref="FPQ25:FPR25"/>
    <mergeCell ref="FPS25:FPT25"/>
    <mergeCell ref="FPU25:FPV25"/>
    <mergeCell ref="FPW25:FPX25"/>
    <mergeCell ref="FPA25:FPB25"/>
    <mergeCell ref="FPC25:FPD25"/>
    <mergeCell ref="FPE25:FPF25"/>
    <mergeCell ref="FPG25:FPH25"/>
    <mergeCell ref="FPI25:FPJ25"/>
    <mergeCell ref="FPK25:FPL25"/>
    <mergeCell ref="FUC25:FUD25"/>
    <mergeCell ref="FUE25:FUF25"/>
    <mergeCell ref="FUG25:FUH25"/>
    <mergeCell ref="FUI25:FUJ25"/>
    <mergeCell ref="FUK25:FUL25"/>
    <mergeCell ref="FUM25:FUN25"/>
    <mergeCell ref="FTQ25:FTR25"/>
    <mergeCell ref="FTS25:FTT25"/>
    <mergeCell ref="FTU25:FTV25"/>
    <mergeCell ref="FTW25:FTX25"/>
    <mergeCell ref="FTY25:FTZ25"/>
    <mergeCell ref="FUA25:FUB25"/>
    <mergeCell ref="FTE25:FTF25"/>
    <mergeCell ref="FTG25:FTH25"/>
    <mergeCell ref="FTI25:FTJ25"/>
    <mergeCell ref="FTK25:FTL25"/>
    <mergeCell ref="FTM25:FTN25"/>
    <mergeCell ref="FTO25:FTP25"/>
    <mergeCell ref="FSS25:FST25"/>
    <mergeCell ref="FSU25:FSV25"/>
    <mergeCell ref="FSW25:FSX25"/>
    <mergeCell ref="FSY25:FSZ25"/>
    <mergeCell ref="FTA25:FTB25"/>
    <mergeCell ref="FTC25:FTD25"/>
    <mergeCell ref="FSG25:FSH25"/>
    <mergeCell ref="FSI25:FSJ25"/>
    <mergeCell ref="FSK25:FSL25"/>
    <mergeCell ref="FSM25:FSN25"/>
    <mergeCell ref="FSO25:FSP25"/>
    <mergeCell ref="FSQ25:FSR25"/>
    <mergeCell ref="FRU25:FRV25"/>
    <mergeCell ref="FRW25:FRX25"/>
    <mergeCell ref="FRY25:FRZ25"/>
    <mergeCell ref="FSA25:FSB25"/>
    <mergeCell ref="FSC25:FSD25"/>
    <mergeCell ref="FSE25:FSF25"/>
    <mergeCell ref="FWW25:FWX25"/>
    <mergeCell ref="FWY25:FWZ25"/>
    <mergeCell ref="FXA25:FXB25"/>
    <mergeCell ref="FXC25:FXD25"/>
    <mergeCell ref="FXE25:FXF25"/>
    <mergeCell ref="FXG25:FXH25"/>
    <mergeCell ref="FWK25:FWL25"/>
    <mergeCell ref="FWM25:FWN25"/>
    <mergeCell ref="FWO25:FWP25"/>
    <mergeCell ref="FWQ25:FWR25"/>
    <mergeCell ref="FWS25:FWT25"/>
    <mergeCell ref="FWU25:FWV25"/>
    <mergeCell ref="FVY25:FVZ25"/>
    <mergeCell ref="FWA25:FWB25"/>
    <mergeCell ref="FWC25:FWD25"/>
    <mergeCell ref="FWE25:FWF25"/>
    <mergeCell ref="FWG25:FWH25"/>
    <mergeCell ref="FWI25:FWJ25"/>
    <mergeCell ref="FVM25:FVN25"/>
    <mergeCell ref="FVO25:FVP25"/>
    <mergeCell ref="FVQ25:FVR25"/>
    <mergeCell ref="FVS25:FVT25"/>
    <mergeCell ref="FVU25:FVV25"/>
    <mergeCell ref="FVW25:FVX25"/>
    <mergeCell ref="FVA25:FVB25"/>
    <mergeCell ref="FVC25:FVD25"/>
    <mergeCell ref="FVE25:FVF25"/>
    <mergeCell ref="FVG25:FVH25"/>
    <mergeCell ref="FVI25:FVJ25"/>
    <mergeCell ref="FVK25:FVL25"/>
    <mergeCell ref="FUO25:FUP25"/>
    <mergeCell ref="FUQ25:FUR25"/>
    <mergeCell ref="FUS25:FUT25"/>
    <mergeCell ref="FUU25:FUV25"/>
    <mergeCell ref="FUW25:FUX25"/>
    <mergeCell ref="FUY25:FUZ25"/>
    <mergeCell ref="FZQ25:FZR25"/>
    <mergeCell ref="FZS25:FZT25"/>
    <mergeCell ref="FZU25:FZV25"/>
    <mergeCell ref="FZW25:FZX25"/>
    <mergeCell ref="FZY25:FZZ25"/>
    <mergeCell ref="GAA25:GAB25"/>
    <mergeCell ref="FZE25:FZF25"/>
    <mergeCell ref="FZG25:FZH25"/>
    <mergeCell ref="FZI25:FZJ25"/>
    <mergeCell ref="FZK25:FZL25"/>
    <mergeCell ref="FZM25:FZN25"/>
    <mergeCell ref="FZO25:FZP25"/>
    <mergeCell ref="FYS25:FYT25"/>
    <mergeCell ref="FYU25:FYV25"/>
    <mergeCell ref="FYW25:FYX25"/>
    <mergeCell ref="FYY25:FYZ25"/>
    <mergeCell ref="FZA25:FZB25"/>
    <mergeCell ref="FZC25:FZD25"/>
    <mergeCell ref="FYG25:FYH25"/>
    <mergeCell ref="FYI25:FYJ25"/>
    <mergeCell ref="FYK25:FYL25"/>
    <mergeCell ref="FYM25:FYN25"/>
    <mergeCell ref="FYO25:FYP25"/>
    <mergeCell ref="FYQ25:FYR25"/>
    <mergeCell ref="FXU25:FXV25"/>
    <mergeCell ref="FXW25:FXX25"/>
    <mergeCell ref="FXY25:FXZ25"/>
    <mergeCell ref="FYA25:FYB25"/>
    <mergeCell ref="FYC25:FYD25"/>
    <mergeCell ref="FYE25:FYF25"/>
    <mergeCell ref="FXI25:FXJ25"/>
    <mergeCell ref="FXK25:FXL25"/>
    <mergeCell ref="FXM25:FXN25"/>
    <mergeCell ref="FXO25:FXP25"/>
    <mergeCell ref="FXQ25:FXR25"/>
    <mergeCell ref="FXS25:FXT25"/>
    <mergeCell ref="GCK25:GCL25"/>
    <mergeCell ref="GCM25:GCN25"/>
    <mergeCell ref="GCO25:GCP25"/>
    <mergeCell ref="GCQ25:GCR25"/>
    <mergeCell ref="GCS25:GCT25"/>
    <mergeCell ref="GCU25:GCV25"/>
    <mergeCell ref="GBY25:GBZ25"/>
    <mergeCell ref="GCA25:GCB25"/>
    <mergeCell ref="GCC25:GCD25"/>
    <mergeCell ref="GCE25:GCF25"/>
    <mergeCell ref="GCG25:GCH25"/>
    <mergeCell ref="GCI25:GCJ25"/>
    <mergeCell ref="GBM25:GBN25"/>
    <mergeCell ref="GBO25:GBP25"/>
    <mergeCell ref="GBQ25:GBR25"/>
    <mergeCell ref="GBS25:GBT25"/>
    <mergeCell ref="GBU25:GBV25"/>
    <mergeCell ref="GBW25:GBX25"/>
    <mergeCell ref="GBA25:GBB25"/>
    <mergeCell ref="GBC25:GBD25"/>
    <mergeCell ref="GBE25:GBF25"/>
    <mergeCell ref="GBG25:GBH25"/>
    <mergeCell ref="GBI25:GBJ25"/>
    <mergeCell ref="GBK25:GBL25"/>
    <mergeCell ref="GAO25:GAP25"/>
    <mergeCell ref="GAQ25:GAR25"/>
    <mergeCell ref="GAS25:GAT25"/>
    <mergeCell ref="GAU25:GAV25"/>
    <mergeCell ref="GAW25:GAX25"/>
    <mergeCell ref="GAY25:GAZ25"/>
    <mergeCell ref="GAC25:GAD25"/>
    <mergeCell ref="GAE25:GAF25"/>
    <mergeCell ref="GAG25:GAH25"/>
    <mergeCell ref="GAI25:GAJ25"/>
    <mergeCell ref="GAK25:GAL25"/>
    <mergeCell ref="GAM25:GAN25"/>
    <mergeCell ref="GFE25:GFF25"/>
    <mergeCell ref="GFG25:GFH25"/>
    <mergeCell ref="GFI25:GFJ25"/>
    <mergeCell ref="GFK25:GFL25"/>
    <mergeCell ref="GFM25:GFN25"/>
    <mergeCell ref="GFO25:GFP25"/>
    <mergeCell ref="GES25:GET25"/>
    <mergeCell ref="GEU25:GEV25"/>
    <mergeCell ref="GEW25:GEX25"/>
    <mergeCell ref="GEY25:GEZ25"/>
    <mergeCell ref="GFA25:GFB25"/>
    <mergeCell ref="GFC25:GFD25"/>
    <mergeCell ref="GEG25:GEH25"/>
    <mergeCell ref="GEI25:GEJ25"/>
    <mergeCell ref="GEK25:GEL25"/>
    <mergeCell ref="GEM25:GEN25"/>
    <mergeCell ref="GEO25:GEP25"/>
    <mergeCell ref="GEQ25:GER25"/>
    <mergeCell ref="GDU25:GDV25"/>
    <mergeCell ref="GDW25:GDX25"/>
    <mergeCell ref="GDY25:GDZ25"/>
    <mergeCell ref="GEA25:GEB25"/>
    <mergeCell ref="GEC25:GED25"/>
    <mergeCell ref="GEE25:GEF25"/>
    <mergeCell ref="GDI25:GDJ25"/>
    <mergeCell ref="GDK25:GDL25"/>
    <mergeCell ref="GDM25:GDN25"/>
    <mergeCell ref="GDO25:GDP25"/>
    <mergeCell ref="GDQ25:GDR25"/>
    <mergeCell ref="GDS25:GDT25"/>
    <mergeCell ref="GCW25:GCX25"/>
    <mergeCell ref="GCY25:GCZ25"/>
    <mergeCell ref="GDA25:GDB25"/>
    <mergeCell ref="GDC25:GDD25"/>
    <mergeCell ref="GDE25:GDF25"/>
    <mergeCell ref="GDG25:GDH25"/>
    <mergeCell ref="GHY25:GHZ25"/>
    <mergeCell ref="GIA25:GIB25"/>
    <mergeCell ref="GIC25:GID25"/>
    <mergeCell ref="GIE25:GIF25"/>
    <mergeCell ref="GIG25:GIH25"/>
    <mergeCell ref="GII25:GIJ25"/>
    <mergeCell ref="GHM25:GHN25"/>
    <mergeCell ref="GHO25:GHP25"/>
    <mergeCell ref="GHQ25:GHR25"/>
    <mergeCell ref="GHS25:GHT25"/>
    <mergeCell ref="GHU25:GHV25"/>
    <mergeCell ref="GHW25:GHX25"/>
    <mergeCell ref="GHA25:GHB25"/>
    <mergeCell ref="GHC25:GHD25"/>
    <mergeCell ref="GHE25:GHF25"/>
    <mergeCell ref="GHG25:GHH25"/>
    <mergeCell ref="GHI25:GHJ25"/>
    <mergeCell ref="GHK25:GHL25"/>
    <mergeCell ref="GGO25:GGP25"/>
    <mergeCell ref="GGQ25:GGR25"/>
    <mergeCell ref="GGS25:GGT25"/>
    <mergeCell ref="GGU25:GGV25"/>
    <mergeCell ref="GGW25:GGX25"/>
    <mergeCell ref="GGY25:GGZ25"/>
    <mergeCell ref="GGC25:GGD25"/>
    <mergeCell ref="GGE25:GGF25"/>
    <mergeCell ref="GGG25:GGH25"/>
    <mergeCell ref="GGI25:GGJ25"/>
    <mergeCell ref="GGK25:GGL25"/>
    <mergeCell ref="GGM25:GGN25"/>
    <mergeCell ref="GFQ25:GFR25"/>
    <mergeCell ref="GFS25:GFT25"/>
    <mergeCell ref="GFU25:GFV25"/>
    <mergeCell ref="GFW25:GFX25"/>
    <mergeCell ref="GFY25:GFZ25"/>
    <mergeCell ref="GGA25:GGB25"/>
    <mergeCell ref="GKS25:GKT25"/>
    <mergeCell ref="GKU25:GKV25"/>
    <mergeCell ref="GKW25:GKX25"/>
    <mergeCell ref="GKY25:GKZ25"/>
    <mergeCell ref="GLA25:GLB25"/>
    <mergeCell ref="GLC25:GLD25"/>
    <mergeCell ref="GKG25:GKH25"/>
    <mergeCell ref="GKI25:GKJ25"/>
    <mergeCell ref="GKK25:GKL25"/>
    <mergeCell ref="GKM25:GKN25"/>
    <mergeCell ref="GKO25:GKP25"/>
    <mergeCell ref="GKQ25:GKR25"/>
    <mergeCell ref="GJU25:GJV25"/>
    <mergeCell ref="GJW25:GJX25"/>
    <mergeCell ref="GJY25:GJZ25"/>
    <mergeCell ref="GKA25:GKB25"/>
    <mergeCell ref="GKC25:GKD25"/>
    <mergeCell ref="GKE25:GKF25"/>
    <mergeCell ref="GJI25:GJJ25"/>
    <mergeCell ref="GJK25:GJL25"/>
    <mergeCell ref="GJM25:GJN25"/>
    <mergeCell ref="GJO25:GJP25"/>
    <mergeCell ref="GJQ25:GJR25"/>
    <mergeCell ref="GJS25:GJT25"/>
    <mergeCell ref="GIW25:GIX25"/>
    <mergeCell ref="GIY25:GIZ25"/>
    <mergeCell ref="GJA25:GJB25"/>
    <mergeCell ref="GJC25:GJD25"/>
    <mergeCell ref="GJE25:GJF25"/>
    <mergeCell ref="GJG25:GJH25"/>
    <mergeCell ref="GIK25:GIL25"/>
    <mergeCell ref="GIM25:GIN25"/>
    <mergeCell ref="GIO25:GIP25"/>
    <mergeCell ref="GIQ25:GIR25"/>
    <mergeCell ref="GIS25:GIT25"/>
    <mergeCell ref="GIU25:GIV25"/>
    <mergeCell ref="GNM25:GNN25"/>
    <mergeCell ref="GNO25:GNP25"/>
    <mergeCell ref="GNQ25:GNR25"/>
    <mergeCell ref="GNS25:GNT25"/>
    <mergeCell ref="GNU25:GNV25"/>
    <mergeCell ref="GNW25:GNX25"/>
    <mergeCell ref="GNA25:GNB25"/>
    <mergeCell ref="GNC25:GND25"/>
    <mergeCell ref="GNE25:GNF25"/>
    <mergeCell ref="GNG25:GNH25"/>
    <mergeCell ref="GNI25:GNJ25"/>
    <mergeCell ref="GNK25:GNL25"/>
    <mergeCell ref="GMO25:GMP25"/>
    <mergeCell ref="GMQ25:GMR25"/>
    <mergeCell ref="GMS25:GMT25"/>
    <mergeCell ref="GMU25:GMV25"/>
    <mergeCell ref="GMW25:GMX25"/>
    <mergeCell ref="GMY25:GMZ25"/>
    <mergeCell ref="GMC25:GMD25"/>
    <mergeCell ref="GME25:GMF25"/>
    <mergeCell ref="GMG25:GMH25"/>
    <mergeCell ref="GMI25:GMJ25"/>
    <mergeCell ref="GMK25:GML25"/>
    <mergeCell ref="GMM25:GMN25"/>
    <mergeCell ref="GLQ25:GLR25"/>
    <mergeCell ref="GLS25:GLT25"/>
    <mergeCell ref="GLU25:GLV25"/>
    <mergeCell ref="GLW25:GLX25"/>
    <mergeCell ref="GLY25:GLZ25"/>
    <mergeCell ref="GMA25:GMB25"/>
    <mergeCell ref="GLE25:GLF25"/>
    <mergeCell ref="GLG25:GLH25"/>
    <mergeCell ref="GLI25:GLJ25"/>
    <mergeCell ref="GLK25:GLL25"/>
    <mergeCell ref="GLM25:GLN25"/>
    <mergeCell ref="GLO25:GLP25"/>
    <mergeCell ref="GQG25:GQH25"/>
    <mergeCell ref="GQI25:GQJ25"/>
    <mergeCell ref="GQK25:GQL25"/>
    <mergeCell ref="GQM25:GQN25"/>
    <mergeCell ref="GQO25:GQP25"/>
    <mergeCell ref="GQQ25:GQR25"/>
    <mergeCell ref="GPU25:GPV25"/>
    <mergeCell ref="GPW25:GPX25"/>
    <mergeCell ref="GPY25:GPZ25"/>
    <mergeCell ref="GQA25:GQB25"/>
    <mergeCell ref="GQC25:GQD25"/>
    <mergeCell ref="GQE25:GQF25"/>
    <mergeCell ref="GPI25:GPJ25"/>
    <mergeCell ref="GPK25:GPL25"/>
    <mergeCell ref="GPM25:GPN25"/>
    <mergeCell ref="GPO25:GPP25"/>
    <mergeCell ref="GPQ25:GPR25"/>
    <mergeCell ref="GPS25:GPT25"/>
    <mergeCell ref="GOW25:GOX25"/>
    <mergeCell ref="GOY25:GOZ25"/>
    <mergeCell ref="GPA25:GPB25"/>
    <mergeCell ref="GPC25:GPD25"/>
    <mergeCell ref="GPE25:GPF25"/>
    <mergeCell ref="GPG25:GPH25"/>
    <mergeCell ref="GOK25:GOL25"/>
    <mergeCell ref="GOM25:GON25"/>
    <mergeCell ref="GOO25:GOP25"/>
    <mergeCell ref="GOQ25:GOR25"/>
    <mergeCell ref="GOS25:GOT25"/>
    <mergeCell ref="GOU25:GOV25"/>
    <mergeCell ref="GNY25:GNZ25"/>
    <mergeCell ref="GOA25:GOB25"/>
    <mergeCell ref="GOC25:GOD25"/>
    <mergeCell ref="GOE25:GOF25"/>
    <mergeCell ref="GOG25:GOH25"/>
    <mergeCell ref="GOI25:GOJ25"/>
    <mergeCell ref="GTA25:GTB25"/>
    <mergeCell ref="GTC25:GTD25"/>
    <mergeCell ref="GTE25:GTF25"/>
    <mergeCell ref="GTG25:GTH25"/>
    <mergeCell ref="GTI25:GTJ25"/>
    <mergeCell ref="GTK25:GTL25"/>
    <mergeCell ref="GSO25:GSP25"/>
    <mergeCell ref="GSQ25:GSR25"/>
    <mergeCell ref="GSS25:GST25"/>
    <mergeCell ref="GSU25:GSV25"/>
    <mergeCell ref="GSW25:GSX25"/>
    <mergeCell ref="GSY25:GSZ25"/>
    <mergeCell ref="GSC25:GSD25"/>
    <mergeCell ref="GSE25:GSF25"/>
    <mergeCell ref="GSG25:GSH25"/>
    <mergeCell ref="GSI25:GSJ25"/>
    <mergeCell ref="GSK25:GSL25"/>
    <mergeCell ref="GSM25:GSN25"/>
    <mergeCell ref="GRQ25:GRR25"/>
    <mergeCell ref="GRS25:GRT25"/>
    <mergeCell ref="GRU25:GRV25"/>
    <mergeCell ref="GRW25:GRX25"/>
    <mergeCell ref="GRY25:GRZ25"/>
    <mergeCell ref="GSA25:GSB25"/>
    <mergeCell ref="GRE25:GRF25"/>
    <mergeCell ref="GRG25:GRH25"/>
    <mergeCell ref="GRI25:GRJ25"/>
    <mergeCell ref="GRK25:GRL25"/>
    <mergeCell ref="GRM25:GRN25"/>
    <mergeCell ref="GRO25:GRP25"/>
    <mergeCell ref="GQS25:GQT25"/>
    <mergeCell ref="GQU25:GQV25"/>
    <mergeCell ref="GQW25:GQX25"/>
    <mergeCell ref="GQY25:GQZ25"/>
    <mergeCell ref="GRA25:GRB25"/>
    <mergeCell ref="GRC25:GRD25"/>
    <mergeCell ref="GVU25:GVV25"/>
    <mergeCell ref="GVW25:GVX25"/>
    <mergeCell ref="GVY25:GVZ25"/>
    <mergeCell ref="GWA25:GWB25"/>
    <mergeCell ref="GWC25:GWD25"/>
    <mergeCell ref="GWE25:GWF25"/>
    <mergeCell ref="GVI25:GVJ25"/>
    <mergeCell ref="GVK25:GVL25"/>
    <mergeCell ref="GVM25:GVN25"/>
    <mergeCell ref="GVO25:GVP25"/>
    <mergeCell ref="GVQ25:GVR25"/>
    <mergeCell ref="GVS25:GVT25"/>
    <mergeCell ref="GUW25:GUX25"/>
    <mergeCell ref="GUY25:GUZ25"/>
    <mergeCell ref="GVA25:GVB25"/>
    <mergeCell ref="GVC25:GVD25"/>
    <mergeCell ref="GVE25:GVF25"/>
    <mergeCell ref="GVG25:GVH25"/>
    <mergeCell ref="GUK25:GUL25"/>
    <mergeCell ref="GUM25:GUN25"/>
    <mergeCell ref="GUO25:GUP25"/>
    <mergeCell ref="GUQ25:GUR25"/>
    <mergeCell ref="GUS25:GUT25"/>
    <mergeCell ref="GUU25:GUV25"/>
    <mergeCell ref="GTY25:GTZ25"/>
    <mergeCell ref="GUA25:GUB25"/>
    <mergeCell ref="GUC25:GUD25"/>
    <mergeCell ref="GUE25:GUF25"/>
    <mergeCell ref="GUG25:GUH25"/>
    <mergeCell ref="GUI25:GUJ25"/>
    <mergeCell ref="GTM25:GTN25"/>
    <mergeCell ref="GTO25:GTP25"/>
    <mergeCell ref="GTQ25:GTR25"/>
    <mergeCell ref="GTS25:GTT25"/>
    <mergeCell ref="GTU25:GTV25"/>
    <mergeCell ref="GTW25:GTX25"/>
    <mergeCell ref="GYO25:GYP25"/>
    <mergeCell ref="GYQ25:GYR25"/>
    <mergeCell ref="GYS25:GYT25"/>
    <mergeCell ref="GYU25:GYV25"/>
    <mergeCell ref="GYW25:GYX25"/>
    <mergeCell ref="GYY25:GYZ25"/>
    <mergeCell ref="GYC25:GYD25"/>
    <mergeCell ref="GYE25:GYF25"/>
    <mergeCell ref="GYG25:GYH25"/>
    <mergeCell ref="GYI25:GYJ25"/>
    <mergeCell ref="GYK25:GYL25"/>
    <mergeCell ref="GYM25:GYN25"/>
    <mergeCell ref="GXQ25:GXR25"/>
    <mergeCell ref="GXS25:GXT25"/>
    <mergeCell ref="GXU25:GXV25"/>
    <mergeCell ref="GXW25:GXX25"/>
    <mergeCell ref="GXY25:GXZ25"/>
    <mergeCell ref="GYA25:GYB25"/>
    <mergeCell ref="GXE25:GXF25"/>
    <mergeCell ref="GXG25:GXH25"/>
    <mergeCell ref="GXI25:GXJ25"/>
    <mergeCell ref="GXK25:GXL25"/>
    <mergeCell ref="GXM25:GXN25"/>
    <mergeCell ref="GXO25:GXP25"/>
    <mergeCell ref="GWS25:GWT25"/>
    <mergeCell ref="GWU25:GWV25"/>
    <mergeCell ref="GWW25:GWX25"/>
    <mergeCell ref="GWY25:GWZ25"/>
    <mergeCell ref="GXA25:GXB25"/>
    <mergeCell ref="GXC25:GXD25"/>
    <mergeCell ref="GWG25:GWH25"/>
    <mergeCell ref="GWI25:GWJ25"/>
    <mergeCell ref="GWK25:GWL25"/>
    <mergeCell ref="GWM25:GWN25"/>
    <mergeCell ref="GWO25:GWP25"/>
    <mergeCell ref="GWQ25:GWR25"/>
    <mergeCell ref="HBI25:HBJ25"/>
    <mergeCell ref="HBK25:HBL25"/>
    <mergeCell ref="HBM25:HBN25"/>
    <mergeCell ref="HBO25:HBP25"/>
    <mergeCell ref="HBQ25:HBR25"/>
    <mergeCell ref="HBS25:HBT25"/>
    <mergeCell ref="HAW25:HAX25"/>
    <mergeCell ref="HAY25:HAZ25"/>
    <mergeCell ref="HBA25:HBB25"/>
    <mergeCell ref="HBC25:HBD25"/>
    <mergeCell ref="HBE25:HBF25"/>
    <mergeCell ref="HBG25:HBH25"/>
    <mergeCell ref="HAK25:HAL25"/>
    <mergeCell ref="HAM25:HAN25"/>
    <mergeCell ref="HAO25:HAP25"/>
    <mergeCell ref="HAQ25:HAR25"/>
    <mergeCell ref="HAS25:HAT25"/>
    <mergeCell ref="HAU25:HAV25"/>
    <mergeCell ref="GZY25:GZZ25"/>
    <mergeCell ref="HAA25:HAB25"/>
    <mergeCell ref="HAC25:HAD25"/>
    <mergeCell ref="HAE25:HAF25"/>
    <mergeCell ref="HAG25:HAH25"/>
    <mergeCell ref="HAI25:HAJ25"/>
    <mergeCell ref="GZM25:GZN25"/>
    <mergeCell ref="GZO25:GZP25"/>
    <mergeCell ref="GZQ25:GZR25"/>
    <mergeCell ref="GZS25:GZT25"/>
    <mergeCell ref="GZU25:GZV25"/>
    <mergeCell ref="GZW25:GZX25"/>
    <mergeCell ref="GZA25:GZB25"/>
    <mergeCell ref="GZC25:GZD25"/>
    <mergeCell ref="GZE25:GZF25"/>
    <mergeCell ref="GZG25:GZH25"/>
    <mergeCell ref="GZI25:GZJ25"/>
    <mergeCell ref="GZK25:GZL25"/>
    <mergeCell ref="HEC25:HED25"/>
    <mergeCell ref="HEE25:HEF25"/>
    <mergeCell ref="HEG25:HEH25"/>
    <mergeCell ref="HEI25:HEJ25"/>
    <mergeCell ref="HEK25:HEL25"/>
    <mergeCell ref="HEM25:HEN25"/>
    <mergeCell ref="HDQ25:HDR25"/>
    <mergeCell ref="HDS25:HDT25"/>
    <mergeCell ref="HDU25:HDV25"/>
    <mergeCell ref="HDW25:HDX25"/>
    <mergeCell ref="HDY25:HDZ25"/>
    <mergeCell ref="HEA25:HEB25"/>
    <mergeCell ref="HDE25:HDF25"/>
    <mergeCell ref="HDG25:HDH25"/>
    <mergeCell ref="HDI25:HDJ25"/>
    <mergeCell ref="HDK25:HDL25"/>
    <mergeCell ref="HDM25:HDN25"/>
    <mergeCell ref="HDO25:HDP25"/>
    <mergeCell ref="HCS25:HCT25"/>
    <mergeCell ref="HCU25:HCV25"/>
    <mergeCell ref="HCW25:HCX25"/>
    <mergeCell ref="HCY25:HCZ25"/>
    <mergeCell ref="HDA25:HDB25"/>
    <mergeCell ref="HDC25:HDD25"/>
    <mergeCell ref="HCG25:HCH25"/>
    <mergeCell ref="HCI25:HCJ25"/>
    <mergeCell ref="HCK25:HCL25"/>
    <mergeCell ref="HCM25:HCN25"/>
    <mergeCell ref="HCO25:HCP25"/>
    <mergeCell ref="HCQ25:HCR25"/>
    <mergeCell ref="HBU25:HBV25"/>
    <mergeCell ref="HBW25:HBX25"/>
    <mergeCell ref="HBY25:HBZ25"/>
    <mergeCell ref="HCA25:HCB25"/>
    <mergeCell ref="HCC25:HCD25"/>
    <mergeCell ref="HCE25:HCF25"/>
    <mergeCell ref="HGW25:HGX25"/>
    <mergeCell ref="HGY25:HGZ25"/>
    <mergeCell ref="HHA25:HHB25"/>
    <mergeCell ref="HHC25:HHD25"/>
    <mergeCell ref="HHE25:HHF25"/>
    <mergeCell ref="HHG25:HHH25"/>
    <mergeCell ref="HGK25:HGL25"/>
    <mergeCell ref="HGM25:HGN25"/>
    <mergeCell ref="HGO25:HGP25"/>
    <mergeCell ref="HGQ25:HGR25"/>
    <mergeCell ref="HGS25:HGT25"/>
    <mergeCell ref="HGU25:HGV25"/>
    <mergeCell ref="HFY25:HFZ25"/>
    <mergeCell ref="HGA25:HGB25"/>
    <mergeCell ref="HGC25:HGD25"/>
    <mergeCell ref="HGE25:HGF25"/>
    <mergeCell ref="HGG25:HGH25"/>
    <mergeCell ref="HGI25:HGJ25"/>
    <mergeCell ref="HFM25:HFN25"/>
    <mergeCell ref="HFO25:HFP25"/>
    <mergeCell ref="HFQ25:HFR25"/>
    <mergeCell ref="HFS25:HFT25"/>
    <mergeCell ref="HFU25:HFV25"/>
    <mergeCell ref="HFW25:HFX25"/>
    <mergeCell ref="HFA25:HFB25"/>
    <mergeCell ref="HFC25:HFD25"/>
    <mergeCell ref="HFE25:HFF25"/>
    <mergeCell ref="HFG25:HFH25"/>
    <mergeCell ref="HFI25:HFJ25"/>
    <mergeCell ref="HFK25:HFL25"/>
    <mergeCell ref="HEO25:HEP25"/>
    <mergeCell ref="HEQ25:HER25"/>
    <mergeCell ref="HES25:HET25"/>
    <mergeCell ref="HEU25:HEV25"/>
    <mergeCell ref="HEW25:HEX25"/>
    <mergeCell ref="HEY25:HEZ25"/>
    <mergeCell ref="HJQ25:HJR25"/>
    <mergeCell ref="HJS25:HJT25"/>
    <mergeCell ref="HJU25:HJV25"/>
    <mergeCell ref="HJW25:HJX25"/>
    <mergeCell ref="HJY25:HJZ25"/>
    <mergeCell ref="HKA25:HKB25"/>
    <mergeCell ref="HJE25:HJF25"/>
    <mergeCell ref="HJG25:HJH25"/>
    <mergeCell ref="HJI25:HJJ25"/>
    <mergeCell ref="HJK25:HJL25"/>
    <mergeCell ref="HJM25:HJN25"/>
    <mergeCell ref="HJO25:HJP25"/>
    <mergeCell ref="HIS25:HIT25"/>
    <mergeCell ref="HIU25:HIV25"/>
    <mergeCell ref="HIW25:HIX25"/>
    <mergeCell ref="HIY25:HIZ25"/>
    <mergeCell ref="HJA25:HJB25"/>
    <mergeCell ref="HJC25:HJD25"/>
    <mergeCell ref="HIG25:HIH25"/>
    <mergeCell ref="HII25:HIJ25"/>
    <mergeCell ref="HIK25:HIL25"/>
    <mergeCell ref="HIM25:HIN25"/>
    <mergeCell ref="HIO25:HIP25"/>
    <mergeCell ref="HIQ25:HIR25"/>
    <mergeCell ref="HHU25:HHV25"/>
    <mergeCell ref="HHW25:HHX25"/>
    <mergeCell ref="HHY25:HHZ25"/>
    <mergeCell ref="HIA25:HIB25"/>
    <mergeCell ref="HIC25:HID25"/>
    <mergeCell ref="HIE25:HIF25"/>
    <mergeCell ref="HHI25:HHJ25"/>
    <mergeCell ref="HHK25:HHL25"/>
    <mergeCell ref="HHM25:HHN25"/>
    <mergeCell ref="HHO25:HHP25"/>
    <mergeCell ref="HHQ25:HHR25"/>
    <mergeCell ref="HHS25:HHT25"/>
    <mergeCell ref="HMK25:HML25"/>
    <mergeCell ref="HMM25:HMN25"/>
    <mergeCell ref="HMO25:HMP25"/>
    <mergeCell ref="HMQ25:HMR25"/>
    <mergeCell ref="HMS25:HMT25"/>
    <mergeCell ref="HMU25:HMV25"/>
    <mergeCell ref="HLY25:HLZ25"/>
    <mergeCell ref="HMA25:HMB25"/>
    <mergeCell ref="HMC25:HMD25"/>
    <mergeCell ref="HME25:HMF25"/>
    <mergeCell ref="HMG25:HMH25"/>
    <mergeCell ref="HMI25:HMJ25"/>
    <mergeCell ref="HLM25:HLN25"/>
    <mergeCell ref="HLO25:HLP25"/>
    <mergeCell ref="HLQ25:HLR25"/>
    <mergeCell ref="HLS25:HLT25"/>
    <mergeCell ref="HLU25:HLV25"/>
    <mergeCell ref="HLW25:HLX25"/>
    <mergeCell ref="HLA25:HLB25"/>
    <mergeCell ref="HLC25:HLD25"/>
    <mergeCell ref="HLE25:HLF25"/>
    <mergeCell ref="HLG25:HLH25"/>
    <mergeCell ref="HLI25:HLJ25"/>
    <mergeCell ref="HLK25:HLL25"/>
    <mergeCell ref="HKO25:HKP25"/>
    <mergeCell ref="HKQ25:HKR25"/>
    <mergeCell ref="HKS25:HKT25"/>
    <mergeCell ref="HKU25:HKV25"/>
    <mergeCell ref="HKW25:HKX25"/>
    <mergeCell ref="HKY25:HKZ25"/>
    <mergeCell ref="HKC25:HKD25"/>
    <mergeCell ref="HKE25:HKF25"/>
    <mergeCell ref="HKG25:HKH25"/>
    <mergeCell ref="HKI25:HKJ25"/>
    <mergeCell ref="HKK25:HKL25"/>
    <mergeCell ref="HKM25:HKN25"/>
    <mergeCell ref="HPE25:HPF25"/>
    <mergeCell ref="HPG25:HPH25"/>
    <mergeCell ref="HPI25:HPJ25"/>
    <mergeCell ref="HPK25:HPL25"/>
    <mergeCell ref="HPM25:HPN25"/>
    <mergeCell ref="HPO25:HPP25"/>
    <mergeCell ref="HOS25:HOT25"/>
    <mergeCell ref="HOU25:HOV25"/>
    <mergeCell ref="HOW25:HOX25"/>
    <mergeCell ref="HOY25:HOZ25"/>
    <mergeCell ref="HPA25:HPB25"/>
    <mergeCell ref="HPC25:HPD25"/>
    <mergeCell ref="HOG25:HOH25"/>
    <mergeCell ref="HOI25:HOJ25"/>
    <mergeCell ref="HOK25:HOL25"/>
    <mergeCell ref="HOM25:HON25"/>
    <mergeCell ref="HOO25:HOP25"/>
    <mergeCell ref="HOQ25:HOR25"/>
    <mergeCell ref="HNU25:HNV25"/>
    <mergeCell ref="HNW25:HNX25"/>
    <mergeCell ref="HNY25:HNZ25"/>
    <mergeCell ref="HOA25:HOB25"/>
    <mergeCell ref="HOC25:HOD25"/>
    <mergeCell ref="HOE25:HOF25"/>
    <mergeCell ref="HNI25:HNJ25"/>
    <mergeCell ref="HNK25:HNL25"/>
    <mergeCell ref="HNM25:HNN25"/>
    <mergeCell ref="HNO25:HNP25"/>
    <mergeCell ref="HNQ25:HNR25"/>
    <mergeCell ref="HNS25:HNT25"/>
    <mergeCell ref="HMW25:HMX25"/>
    <mergeCell ref="HMY25:HMZ25"/>
    <mergeCell ref="HNA25:HNB25"/>
    <mergeCell ref="HNC25:HND25"/>
    <mergeCell ref="HNE25:HNF25"/>
    <mergeCell ref="HNG25:HNH25"/>
    <mergeCell ref="HRY25:HRZ25"/>
    <mergeCell ref="HSA25:HSB25"/>
    <mergeCell ref="HSC25:HSD25"/>
    <mergeCell ref="HSE25:HSF25"/>
    <mergeCell ref="HSG25:HSH25"/>
    <mergeCell ref="HSI25:HSJ25"/>
    <mergeCell ref="HRM25:HRN25"/>
    <mergeCell ref="HRO25:HRP25"/>
    <mergeCell ref="HRQ25:HRR25"/>
    <mergeCell ref="HRS25:HRT25"/>
    <mergeCell ref="HRU25:HRV25"/>
    <mergeCell ref="HRW25:HRX25"/>
    <mergeCell ref="HRA25:HRB25"/>
    <mergeCell ref="HRC25:HRD25"/>
    <mergeCell ref="HRE25:HRF25"/>
    <mergeCell ref="HRG25:HRH25"/>
    <mergeCell ref="HRI25:HRJ25"/>
    <mergeCell ref="HRK25:HRL25"/>
    <mergeCell ref="HQO25:HQP25"/>
    <mergeCell ref="HQQ25:HQR25"/>
    <mergeCell ref="HQS25:HQT25"/>
    <mergeCell ref="HQU25:HQV25"/>
    <mergeCell ref="HQW25:HQX25"/>
    <mergeCell ref="HQY25:HQZ25"/>
    <mergeCell ref="HQC25:HQD25"/>
    <mergeCell ref="HQE25:HQF25"/>
    <mergeCell ref="HQG25:HQH25"/>
    <mergeCell ref="HQI25:HQJ25"/>
    <mergeCell ref="HQK25:HQL25"/>
    <mergeCell ref="HQM25:HQN25"/>
    <mergeCell ref="HPQ25:HPR25"/>
    <mergeCell ref="HPS25:HPT25"/>
    <mergeCell ref="HPU25:HPV25"/>
    <mergeCell ref="HPW25:HPX25"/>
    <mergeCell ref="HPY25:HPZ25"/>
    <mergeCell ref="HQA25:HQB25"/>
    <mergeCell ref="HUS25:HUT25"/>
    <mergeCell ref="HUU25:HUV25"/>
    <mergeCell ref="HUW25:HUX25"/>
    <mergeCell ref="HUY25:HUZ25"/>
    <mergeCell ref="HVA25:HVB25"/>
    <mergeCell ref="HVC25:HVD25"/>
    <mergeCell ref="HUG25:HUH25"/>
    <mergeCell ref="HUI25:HUJ25"/>
    <mergeCell ref="HUK25:HUL25"/>
    <mergeCell ref="HUM25:HUN25"/>
    <mergeCell ref="HUO25:HUP25"/>
    <mergeCell ref="HUQ25:HUR25"/>
    <mergeCell ref="HTU25:HTV25"/>
    <mergeCell ref="HTW25:HTX25"/>
    <mergeCell ref="HTY25:HTZ25"/>
    <mergeCell ref="HUA25:HUB25"/>
    <mergeCell ref="HUC25:HUD25"/>
    <mergeCell ref="HUE25:HUF25"/>
    <mergeCell ref="HTI25:HTJ25"/>
    <mergeCell ref="HTK25:HTL25"/>
    <mergeCell ref="HTM25:HTN25"/>
    <mergeCell ref="HTO25:HTP25"/>
    <mergeCell ref="HTQ25:HTR25"/>
    <mergeCell ref="HTS25:HTT25"/>
    <mergeCell ref="HSW25:HSX25"/>
    <mergeCell ref="HSY25:HSZ25"/>
    <mergeCell ref="HTA25:HTB25"/>
    <mergeCell ref="HTC25:HTD25"/>
    <mergeCell ref="HTE25:HTF25"/>
    <mergeCell ref="HTG25:HTH25"/>
    <mergeCell ref="HSK25:HSL25"/>
    <mergeCell ref="HSM25:HSN25"/>
    <mergeCell ref="HSO25:HSP25"/>
    <mergeCell ref="HSQ25:HSR25"/>
    <mergeCell ref="HSS25:HST25"/>
    <mergeCell ref="HSU25:HSV25"/>
    <mergeCell ref="HXM25:HXN25"/>
    <mergeCell ref="HXO25:HXP25"/>
    <mergeCell ref="HXQ25:HXR25"/>
    <mergeCell ref="HXS25:HXT25"/>
    <mergeCell ref="HXU25:HXV25"/>
    <mergeCell ref="HXW25:HXX25"/>
    <mergeCell ref="HXA25:HXB25"/>
    <mergeCell ref="HXC25:HXD25"/>
    <mergeCell ref="HXE25:HXF25"/>
    <mergeCell ref="HXG25:HXH25"/>
    <mergeCell ref="HXI25:HXJ25"/>
    <mergeCell ref="HXK25:HXL25"/>
    <mergeCell ref="HWO25:HWP25"/>
    <mergeCell ref="HWQ25:HWR25"/>
    <mergeCell ref="HWS25:HWT25"/>
    <mergeCell ref="HWU25:HWV25"/>
    <mergeCell ref="HWW25:HWX25"/>
    <mergeCell ref="HWY25:HWZ25"/>
    <mergeCell ref="HWC25:HWD25"/>
    <mergeCell ref="HWE25:HWF25"/>
    <mergeCell ref="HWG25:HWH25"/>
    <mergeCell ref="HWI25:HWJ25"/>
    <mergeCell ref="HWK25:HWL25"/>
    <mergeCell ref="HWM25:HWN25"/>
    <mergeCell ref="HVQ25:HVR25"/>
    <mergeCell ref="HVS25:HVT25"/>
    <mergeCell ref="HVU25:HVV25"/>
    <mergeCell ref="HVW25:HVX25"/>
    <mergeCell ref="HVY25:HVZ25"/>
    <mergeCell ref="HWA25:HWB25"/>
    <mergeCell ref="HVE25:HVF25"/>
    <mergeCell ref="HVG25:HVH25"/>
    <mergeCell ref="HVI25:HVJ25"/>
    <mergeCell ref="HVK25:HVL25"/>
    <mergeCell ref="HVM25:HVN25"/>
    <mergeCell ref="HVO25:HVP25"/>
    <mergeCell ref="IAG25:IAH25"/>
    <mergeCell ref="IAI25:IAJ25"/>
    <mergeCell ref="IAK25:IAL25"/>
    <mergeCell ref="IAM25:IAN25"/>
    <mergeCell ref="IAO25:IAP25"/>
    <mergeCell ref="IAQ25:IAR25"/>
    <mergeCell ref="HZU25:HZV25"/>
    <mergeCell ref="HZW25:HZX25"/>
    <mergeCell ref="HZY25:HZZ25"/>
    <mergeCell ref="IAA25:IAB25"/>
    <mergeCell ref="IAC25:IAD25"/>
    <mergeCell ref="IAE25:IAF25"/>
    <mergeCell ref="HZI25:HZJ25"/>
    <mergeCell ref="HZK25:HZL25"/>
    <mergeCell ref="HZM25:HZN25"/>
    <mergeCell ref="HZO25:HZP25"/>
    <mergeCell ref="HZQ25:HZR25"/>
    <mergeCell ref="HZS25:HZT25"/>
    <mergeCell ref="HYW25:HYX25"/>
    <mergeCell ref="HYY25:HYZ25"/>
    <mergeCell ref="HZA25:HZB25"/>
    <mergeCell ref="HZC25:HZD25"/>
    <mergeCell ref="HZE25:HZF25"/>
    <mergeCell ref="HZG25:HZH25"/>
    <mergeCell ref="HYK25:HYL25"/>
    <mergeCell ref="HYM25:HYN25"/>
    <mergeCell ref="HYO25:HYP25"/>
    <mergeCell ref="HYQ25:HYR25"/>
    <mergeCell ref="HYS25:HYT25"/>
    <mergeCell ref="HYU25:HYV25"/>
    <mergeCell ref="HXY25:HXZ25"/>
    <mergeCell ref="HYA25:HYB25"/>
    <mergeCell ref="HYC25:HYD25"/>
    <mergeCell ref="HYE25:HYF25"/>
    <mergeCell ref="HYG25:HYH25"/>
    <mergeCell ref="HYI25:HYJ25"/>
    <mergeCell ref="IDA25:IDB25"/>
    <mergeCell ref="IDC25:IDD25"/>
    <mergeCell ref="IDE25:IDF25"/>
    <mergeCell ref="IDG25:IDH25"/>
    <mergeCell ref="IDI25:IDJ25"/>
    <mergeCell ref="IDK25:IDL25"/>
    <mergeCell ref="ICO25:ICP25"/>
    <mergeCell ref="ICQ25:ICR25"/>
    <mergeCell ref="ICS25:ICT25"/>
    <mergeCell ref="ICU25:ICV25"/>
    <mergeCell ref="ICW25:ICX25"/>
    <mergeCell ref="ICY25:ICZ25"/>
    <mergeCell ref="ICC25:ICD25"/>
    <mergeCell ref="ICE25:ICF25"/>
    <mergeCell ref="ICG25:ICH25"/>
    <mergeCell ref="ICI25:ICJ25"/>
    <mergeCell ref="ICK25:ICL25"/>
    <mergeCell ref="ICM25:ICN25"/>
    <mergeCell ref="IBQ25:IBR25"/>
    <mergeCell ref="IBS25:IBT25"/>
    <mergeCell ref="IBU25:IBV25"/>
    <mergeCell ref="IBW25:IBX25"/>
    <mergeCell ref="IBY25:IBZ25"/>
    <mergeCell ref="ICA25:ICB25"/>
    <mergeCell ref="IBE25:IBF25"/>
    <mergeCell ref="IBG25:IBH25"/>
    <mergeCell ref="IBI25:IBJ25"/>
    <mergeCell ref="IBK25:IBL25"/>
    <mergeCell ref="IBM25:IBN25"/>
    <mergeCell ref="IBO25:IBP25"/>
    <mergeCell ref="IAS25:IAT25"/>
    <mergeCell ref="IAU25:IAV25"/>
    <mergeCell ref="IAW25:IAX25"/>
    <mergeCell ref="IAY25:IAZ25"/>
    <mergeCell ref="IBA25:IBB25"/>
    <mergeCell ref="IBC25:IBD25"/>
    <mergeCell ref="IFU25:IFV25"/>
    <mergeCell ref="IFW25:IFX25"/>
    <mergeCell ref="IFY25:IFZ25"/>
    <mergeCell ref="IGA25:IGB25"/>
    <mergeCell ref="IGC25:IGD25"/>
    <mergeCell ref="IGE25:IGF25"/>
    <mergeCell ref="IFI25:IFJ25"/>
    <mergeCell ref="IFK25:IFL25"/>
    <mergeCell ref="IFM25:IFN25"/>
    <mergeCell ref="IFO25:IFP25"/>
    <mergeCell ref="IFQ25:IFR25"/>
    <mergeCell ref="IFS25:IFT25"/>
    <mergeCell ref="IEW25:IEX25"/>
    <mergeCell ref="IEY25:IEZ25"/>
    <mergeCell ref="IFA25:IFB25"/>
    <mergeCell ref="IFC25:IFD25"/>
    <mergeCell ref="IFE25:IFF25"/>
    <mergeCell ref="IFG25:IFH25"/>
    <mergeCell ref="IEK25:IEL25"/>
    <mergeCell ref="IEM25:IEN25"/>
    <mergeCell ref="IEO25:IEP25"/>
    <mergeCell ref="IEQ25:IER25"/>
    <mergeCell ref="IES25:IET25"/>
    <mergeCell ref="IEU25:IEV25"/>
    <mergeCell ref="IDY25:IDZ25"/>
    <mergeCell ref="IEA25:IEB25"/>
    <mergeCell ref="IEC25:IED25"/>
    <mergeCell ref="IEE25:IEF25"/>
    <mergeCell ref="IEG25:IEH25"/>
    <mergeCell ref="IEI25:IEJ25"/>
    <mergeCell ref="IDM25:IDN25"/>
    <mergeCell ref="IDO25:IDP25"/>
    <mergeCell ref="IDQ25:IDR25"/>
    <mergeCell ref="IDS25:IDT25"/>
    <mergeCell ref="IDU25:IDV25"/>
    <mergeCell ref="IDW25:IDX25"/>
    <mergeCell ref="IIO25:IIP25"/>
    <mergeCell ref="IIQ25:IIR25"/>
    <mergeCell ref="IIS25:IIT25"/>
    <mergeCell ref="IIU25:IIV25"/>
    <mergeCell ref="IIW25:IIX25"/>
    <mergeCell ref="IIY25:IIZ25"/>
    <mergeCell ref="IIC25:IID25"/>
    <mergeCell ref="IIE25:IIF25"/>
    <mergeCell ref="IIG25:IIH25"/>
    <mergeCell ref="III25:IIJ25"/>
    <mergeCell ref="IIK25:IIL25"/>
    <mergeCell ref="IIM25:IIN25"/>
    <mergeCell ref="IHQ25:IHR25"/>
    <mergeCell ref="IHS25:IHT25"/>
    <mergeCell ref="IHU25:IHV25"/>
    <mergeCell ref="IHW25:IHX25"/>
    <mergeCell ref="IHY25:IHZ25"/>
    <mergeCell ref="IIA25:IIB25"/>
    <mergeCell ref="IHE25:IHF25"/>
    <mergeCell ref="IHG25:IHH25"/>
    <mergeCell ref="IHI25:IHJ25"/>
    <mergeCell ref="IHK25:IHL25"/>
    <mergeCell ref="IHM25:IHN25"/>
    <mergeCell ref="IHO25:IHP25"/>
    <mergeCell ref="IGS25:IGT25"/>
    <mergeCell ref="IGU25:IGV25"/>
    <mergeCell ref="IGW25:IGX25"/>
    <mergeCell ref="IGY25:IGZ25"/>
    <mergeCell ref="IHA25:IHB25"/>
    <mergeCell ref="IHC25:IHD25"/>
    <mergeCell ref="IGG25:IGH25"/>
    <mergeCell ref="IGI25:IGJ25"/>
    <mergeCell ref="IGK25:IGL25"/>
    <mergeCell ref="IGM25:IGN25"/>
    <mergeCell ref="IGO25:IGP25"/>
    <mergeCell ref="IGQ25:IGR25"/>
    <mergeCell ref="ILI25:ILJ25"/>
    <mergeCell ref="ILK25:ILL25"/>
    <mergeCell ref="ILM25:ILN25"/>
    <mergeCell ref="ILO25:ILP25"/>
    <mergeCell ref="ILQ25:ILR25"/>
    <mergeCell ref="ILS25:ILT25"/>
    <mergeCell ref="IKW25:IKX25"/>
    <mergeCell ref="IKY25:IKZ25"/>
    <mergeCell ref="ILA25:ILB25"/>
    <mergeCell ref="ILC25:ILD25"/>
    <mergeCell ref="ILE25:ILF25"/>
    <mergeCell ref="ILG25:ILH25"/>
    <mergeCell ref="IKK25:IKL25"/>
    <mergeCell ref="IKM25:IKN25"/>
    <mergeCell ref="IKO25:IKP25"/>
    <mergeCell ref="IKQ25:IKR25"/>
    <mergeCell ref="IKS25:IKT25"/>
    <mergeCell ref="IKU25:IKV25"/>
    <mergeCell ref="IJY25:IJZ25"/>
    <mergeCell ref="IKA25:IKB25"/>
    <mergeCell ref="IKC25:IKD25"/>
    <mergeCell ref="IKE25:IKF25"/>
    <mergeCell ref="IKG25:IKH25"/>
    <mergeCell ref="IKI25:IKJ25"/>
    <mergeCell ref="IJM25:IJN25"/>
    <mergeCell ref="IJO25:IJP25"/>
    <mergeCell ref="IJQ25:IJR25"/>
    <mergeCell ref="IJS25:IJT25"/>
    <mergeCell ref="IJU25:IJV25"/>
    <mergeCell ref="IJW25:IJX25"/>
    <mergeCell ref="IJA25:IJB25"/>
    <mergeCell ref="IJC25:IJD25"/>
    <mergeCell ref="IJE25:IJF25"/>
    <mergeCell ref="IJG25:IJH25"/>
    <mergeCell ref="IJI25:IJJ25"/>
    <mergeCell ref="IJK25:IJL25"/>
    <mergeCell ref="IOC25:IOD25"/>
    <mergeCell ref="IOE25:IOF25"/>
    <mergeCell ref="IOG25:IOH25"/>
    <mergeCell ref="IOI25:IOJ25"/>
    <mergeCell ref="IOK25:IOL25"/>
    <mergeCell ref="IOM25:ION25"/>
    <mergeCell ref="INQ25:INR25"/>
    <mergeCell ref="INS25:INT25"/>
    <mergeCell ref="INU25:INV25"/>
    <mergeCell ref="INW25:INX25"/>
    <mergeCell ref="INY25:INZ25"/>
    <mergeCell ref="IOA25:IOB25"/>
    <mergeCell ref="INE25:INF25"/>
    <mergeCell ref="ING25:INH25"/>
    <mergeCell ref="INI25:INJ25"/>
    <mergeCell ref="INK25:INL25"/>
    <mergeCell ref="INM25:INN25"/>
    <mergeCell ref="INO25:INP25"/>
    <mergeCell ref="IMS25:IMT25"/>
    <mergeCell ref="IMU25:IMV25"/>
    <mergeCell ref="IMW25:IMX25"/>
    <mergeCell ref="IMY25:IMZ25"/>
    <mergeCell ref="INA25:INB25"/>
    <mergeCell ref="INC25:IND25"/>
    <mergeCell ref="IMG25:IMH25"/>
    <mergeCell ref="IMI25:IMJ25"/>
    <mergeCell ref="IMK25:IML25"/>
    <mergeCell ref="IMM25:IMN25"/>
    <mergeCell ref="IMO25:IMP25"/>
    <mergeCell ref="IMQ25:IMR25"/>
    <mergeCell ref="ILU25:ILV25"/>
    <mergeCell ref="ILW25:ILX25"/>
    <mergeCell ref="ILY25:ILZ25"/>
    <mergeCell ref="IMA25:IMB25"/>
    <mergeCell ref="IMC25:IMD25"/>
    <mergeCell ref="IME25:IMF25"/>
    <mergeCell ref="IQW25:IQX25"/>
    <mergeCell ref="IQY25:IQZ25"/>
    <mergeCell ref="IRA25:IRB25"/>
    <mergeCell ref="IRC25:IRD25"/>
    <mergeCell ref="IRE25:IRF25"/>
    <mergeCell ref="IRG25:IRH25"/>
    <mergeCell ref="IQK25:IQL25"/>
    <mergeCell ref="IQM25:IQN25"/>
    <mergeCell ref="IQO25:IQP25"/>
    <mergeCell ref="IQQ25:IQR25"/>
    <mergeCell ref="IQS25:IQT25"/>
    <mergeCell ref="IQU25:IQV25"/>
    <mergeCell ref="IPY25:IPZ25"/>
    <mergeCell ref="IQA25:IQB25"/>
    <mergeCell ref="IQC25:IQD25"/>
    <mergeCell ref="IQE25:IQF25"/>
    <mergeCell ref="IQG25:IQH25"/>
    <mergeCell ref="IQI25:IQJ25"/>
    <mergeCell ref="IPM25:IPN25"/>
    <mergeCell ref="IPO25:IPP25"/>
    <mergeCell ref="IPQ25:IPR25"/>
    <mergeCell ref="IPS25:IPT25"/>
    <mergeCell ref="IPU25:IPV25"/>
    <mergeCell ref="IPW25:IPX25"/>
    <mergeCell ref="IPA25:IPB25"/>
    <mergeCell ref="IPC25:IPD25"/>
    <mergeCell ref="IPE25:IPF25"/>
    <mergeCell ref="IPG25:IPH25"/>
    <mergeCell ref="IPI25:IPJ25"/>
    <mergeCell ref="IPK25:IPL25"/>
    <mergeCell ref="IOO25:IOP25"/>
    <mergeCell ref="IOQ25:IOR25"/>
    <mergeCell ref="IOS25:IOT25"/>
    <mergeCell ref="IOU25:IOV25"/>
    <mergeCell ref="IOW25:IOX25"/>
    <mergeCell ref="IOY25:IOZ25"/>
    <mergeCell ref="ITQ25:ITR25"/>
    <mergeCell ref="ITS25:ITT25"/>
    <mergeCell ref="ITU25:ITV25"/>
    <mergeCell ref="ITW25:ITX25"/>
    <mergeCell ref="ITY25:ITZ25"/>
    <mergeCell ref="IUA25:IUB25"/>
    <mergeCell ref="ITE25:ITF25"/>
    <mergeCell ref="ITG25:ITH25"/>
    <mergeCell ref="ITI25:ITJ25"/>
    <mergeCell ref="ITK25:ITL25"/>
    <mergeCell ref="ITM25:ITN25"/>
    <mergeCell ref="ITO25:ITP25"/>
    <mergeCell ref="ISS25:IST25"/>
    <mergeCell ref="ISU25:ISV25"/>
    <mergeCell ref="ISW25:ISX25"/>
    <mergeCell ref="ISY25:ISZ25"/>
    <mergeCell ref="ITA25:ITB25"/>
    <mergeCell ref="ITC25:ITD25"/>
    <mergeCell ref="ISG25:ISH25"/>
    <mergeCell ref="ISI25:ISJ25"/>
    <mergeCell ref="ISK25:ISL25"/>
    <mergeCell ref="ISM25:ISN25"/>
    <mergeCell ref="ISO25:ISP25"/>
    <mergeCell ref="ISQ25:ISR25"/>
    <mergeCell ref="IRU25:IRV25"/>
    <mergeCell ref="IRW25:IRX25"/>
    <mergeCell ref="IRY25:IRZ25"/>
    <mergeCell ref="ISA25:ISB25"/>
    <mergeCell ref="ISC25:ISD25"/>
    <mergeCell ref="ISE25:ISF25"/>
    <mergeCell ref="IRI25:IRJ25"/>
    <mergeCell ref="IRK25:IRL25"/>
    <mergeCell ref="IRM25:IRN25"/>
    <mergeCell ref="IRO25:IRP25"/>
    <mergeCell ref="IRQ25:IRR25"/>
    <mergeCell ref="IRS25:IRT25"/>
    <mergeCell ref="IWK25:IWL25"/>
    <mergeCell ref="IWM25:IWN25"/>
    <mergeCell ref="IWO25:IWP25"/>
    <mergeCell ref="IWQ25:IWR25"/>
    <mergeCell ref="IWS25:IWT25"/>
    <mergeCell ref="IWU25:IWV25"/>
    <mergeCell ref="IVY25:IVZ25"/>
    <mergeCell ref="IWA25:IWB25"/>
    <mergeCell ref="IWC25:IWD25"/>
    <mergeCell ref="IWE25:IWF25"/>
    <mergeCell ref="IWG25:IWH25"/>
    <mergeCell ref="IWI25:IWJ25"/>
    <mergeCell ref="IVM25:IVN25"/>
    <mergeCell ref="IVO25:IVP25"/>
    <mergeCell ref="IVQ25:IVR25"/>
    <mergeCell ref="IVS25:IVT25"/>
    <mergeCell ref="IVU25:IVV25"/>
    <mergeCell ref="IVW25:IVX25"/>
    <mergeCell ref="IVA25:IVB25"/>
    <mergeCell ref="IVC25:IVD25"/>
    <mergeCell ref="IVE25:IVF25"/>
    <mergeCell ref="IVG25:IVH25"/>
    <mergeCell ref="IVI25:IVJ25"/>
    <mergeCell ref="IVK25:IVL25"/>
    <mergeCell ref="IUO25:IUP25"/>
    <mergeCell ref="IUQ25:IUR25"/>
    <mergeCell ref="IUS25:IUT25"/>
    <mergeCell ref="IUU25:IUV25"/>
    <mergeCell ref="IUW25:IUX25"/>
    <mergeCell ref="IUY25:IUZ25"/>
    <mergeCell ref="IUC25:IUD25"/>
    <mergeCell ref="IUE25:IUF25"/>
    <mergeCell ref="IUG25:IUH25"/>
    <mergeCell ref="IUI25:IUJ25"/>
    <mergeCell ref="IUK25:IUL25"/>
    <mergeCell ref="IUM25:IUN25"/>
    <mergeCell ref="IZE25:IZF25"/>
    <mergeCell ref="IZG25:IZH25"/>
    <mergeCell ref="IZI25:IZJ25"/>
    <mergeCell ref="IZK25:IZL25"/>
    <mergeCell ref="IZM25:IZN25"/>
    <mergeCell ref="IZO25:IZP25"/>
    <mergeCell ref="IYS25:IYT25"/>
    <mergeCell ref="IYU25:IYV25"/>
    <mergeCell ref="IYW25:IYX25"/>
    <mergeCell ref="IYY25:IYZ25"/>
    <mergeCell ref="IZA25:IZB25"/>
    <mergeCell ref="IZC25:IZD25"/>
    <mergeCell ref="IYG25:IYH25"/>
    <mergeCell ref="IYI25:IYJ25"/>
    <mergeCell ref="IYK25:IYL25"/>
    <mergeCell ref="IYM25:IYN25"/>
    <mergeCell ref="IYO25:IYP25"/>
    <mergeCell ref="IYQ25:IYR25"/>
    <mergeCell ref="IXU25:IXV25"/>
    <mergeCell ref="IXW25:IXX25"/>
    <mergeCell ref="IXY25:IXZ25"/>
    <mergeCell ref="IYA25:IYB25"/>
    <mergeCell ref="IYC25:IYD25"/>
    <mergeCell ref="IYE25:IYF25"/>
    <mergeCell ref="IXI25:IXJ25"/>
    <mergeCell ref="IXK25:IXL25"/>
    <mergeCell ref="IXM25:IXN25"/>
    <mergeCell ref="IXO25:IXP25"/>
    <mergeCell ref="IXQ25:IXR25"/>
    <mergeCell ref="IXS25:IXT25"/>
    <mergeCell ref="IWW25:IWX25"/>
    <mergeCell ref="IWY25:IWZ25"/>
    <mergeCell ref="IXA25:IXB25"/>
    <mergeCell ref="IXC25:IXD25"/>
    <mergeCell ref="IXE25:IXF25"/>
    <mergeCell ref="IXG25:IXH25"/>
    <mergeCell ref="JBY25:JBZ25"/>
    <mergeCell ref="JCA25:JCB25"/>
    <mergeCell ref="JCC25:JCD25"/>
    <mergeCell ref="JCE25:JCF25"/>
    <mergeCell ref="JCG25:JCH25"/>
    <mergeCell ref="JCI25:JCJ25"/>
    <mergeCell ref="JBM25:JBN25"/>
    <mergeCell ref="JBO25:JBP25"/>
    <mergeCell ref="JBQ25:JBR25"/>
    <mergeCell ref="JBS25:JBT25"/>
    <mergeCell ref="JBU25:JBV25"/>
    <mergeCell ref="JBW25:JBX25"/>
    <mergeCell ref="JBA25:JBB25"/>
    <mergeCell ref="JBC25:JBD25"/>
    <mergeCell ref="JBE25:JBF25"/>
    <mergeCell ref="JBG25:JBH25"/>
    <mergeCell ref="JBI25:JBJ25"/>
    <mergeCell ref="JBK25:JBL25"/>
    <mergeCell ref="JAO25:JAP25"/>
    <mergeCell ref="JAQ25:JAR25"/>
    <mergeCell ref="JAS25:JAT25"/>
    <mergeCell ref="JAU25:JAV25"/>
    <mergeCell ref="JAW25:JAX25"/>
    <mergeCell ref="JAY25:JAZ25"/>
    <mergeCell ref="JAC25:JAD25"/>
    <mergeCell ref="JAE25:JAF25"/>
    <mergeCell ref="JAG25:JAH25"/>
    <mergeCell ref="JAI25:JAJ25"/>
    <mergeCell ref="JAK25:JAL25"/>
    <mergeCell ref="JAM25:JAN25"/>
    <mergeCell ref="IZQ25:IZR25"/>
    <mergeCell ref="IZS25:IZT25"/>
    <mergeCell ref="IZU25:IZV25"/>
    <mergeCell ref="IZW25:IZX25"/>
    <mergeCell ref="IZY25:IZZ25"/>
    <mergeCell ref="JAA25:JAB25"/>
    <mergeCell ref="JES25:JET25"/>
    <mergeCell ref="JEU25:JEV25"/>
    <mergeCell ref="JEW25:JEX25"/>
    <mergeCell ref="JEY25:JEZ25"/>
    <mergeCell ref="JFA25:JFB25"/>
    <mergeCell ref="JFC25:JFD25"/>
    <mergeCell ref="JEG25:JEH25"/>
    <mergeCell ref="JEI25:JEJ25"/>
    <mergeCell ref="JEK25:JEL25"/>
    <mergeCell ref="JEM25:JEN25"/>
    <mergeCell ref="JEO25:JEP25"/>
    <mergeCell ref="JEQ25:JER25"/>
    <mergeCell ref="JDU25:JDV25"/>
    <mergeCell ref="JDW25:JDX25"/>
    <mergeCell ref="JDY25:JDZ25"/>
    <mergeCell ref="JEA25:JEB25"/>
    <mergeCell ref="JEC25:JED25"/>
    <mergeCell ref="JEE25:JEF25"/>
    <mergeCell ref="JDI25:JDJ25"/>
    <mergeCell ref="JDK25:JDL25"/>
    <mergeCell ref="JDM25:JDN25"/>
    <mergeCell ref="JDO25:JDP25"/>
    <mergeCell ref="JDQ25:JDR25"/>
    <mergeCell ref="JDS25:JDT25"/>
    <mergeCell ref="JCW25:JCX25"/>
    <mergeCell ref="JCY25:JCZ25"/>
    <mergeCell ref="JDA25:JDB25"/>
    <mergeCell ref="JDC25:JDD25"/>
    <mergeCell ref="JDE25:JDF25"/>
    <mergeCell ref="JDG25:JDH25"/>
    <mergeCell ref="JCK25:JCL25"/>
    <mergeCell ref="JCM25:JCN25"/>
    <mergeCell ref="JCO25:JCP25"/>
    <mergeCell ref="JCQ25:JCR25"/>
    <mergeCell ref="JCS25:JCT25"/>
    <mergeCell ref="JCU25:JCV25"/>
    <mergeCell ref="JHM25:JHN25"/>
    <mergeCell ref="JHO25:JHP25"/>
    <mergeCell ref="JHQ25:JHR25"/>
    <mergeCell ref="JHS25:JHT25"/>
    <mergeCell ref="JHU25:JHV25"/>
    <mergeCell ref="JHW25:JHX25"/>
    <mergeCell ref="JHA25:JHB25"/>
    <mergeCell ref="JHC25:JHD25"/>
    <mergeCell ref="JHE25:JHF25"/>
    <mergeCell ref="JHG25:JHH25"/>
    <mergeCell ref="JHI25:JHJ25"/>
    <mergeCell ref="JHK25:JHL25"/>
    <mergeCell ref="JGO25:JGP25"/>
    <mergeCell ref="JGQ25:JGR25"/>
    <mergeCell ref="JGS25:JGT25"/>
    <mergeCell ref="JGU25:JGV25"/>
    <mergeCell ref="JGW25:JGX25"/>
    <mergeCell ref="JGY25:JGZ25"/>
    <mergeCell ref="JGC25:JGD25"/>
    <mergeCell ref="JGE25:JGF25"/>
    <mergeCell ref="JGG25:JGH25"/>
    <mergeCell ref="JGI25:JGJ25"/>
    <mergeCell ref="JGK25:JGL25"/>
    <mergeCell ref="JGM25:JGN25"/>
    <mergeCell ref="JFQ25:JFR25"/>
    <mergeCell ref="JFS25:JFT25"/>
    <mergeCell ref="JFU25:JFV25"/>
    <mergeCell ref="JFW25:JFX25"/>
    <mergeCell ref="JFY25:JFZ25"/>
    <mergeCell ref="JGA25:JGB25"/>
    <mergeCell ref="JFE25:JFF25"/>
    <mergeCell ref="JFG25:JFH25"/>
    <mergeCell ref="JFI25:JFJ25"/>
    <mergeCell ref="JFK25:JFL25"/>
    <mergeCell ref="JFM25:JFN25"/>
    <mergeCell ref="JFO25:JFP25"/>
    <mergeCell ref="JKG25:JKH25"/>
    <mergeCell ref="JKI25:JKJ25"/>
    <mergeCell ref="JKK25:JKL25"/>
    <mergeCell ref="JKM25:JKN25"/>
    <mergeCell ref="JKO25:JKP25"/>
    <mergeCell ref="JKQ25:JKR25"/>
    <mergeCell ref="JJU25:JJV25"/>
    <mergeCell ref="JJW25:JJX25"/>
    <mergeCell ref="JJY25:JJZ25"/>
    <mergeCell ref="JKA25:JKB25"/>
    <mergeCell ref="JKC25:JKD25"/>
    <mergeCell ref="JKE25:JKF25"/>
    <mergeCell ref="JJI25:JJJ25"/>
    <mergeCell ref="JJK25:JJL25"/>
    <mergeCell ref="JJM25:JJN25"/>
    <mergeCell ref="JJO25:JJP25"/>
    <mergeCell ref="JJQ25:JJR25"/>
    <mergeCell ref="JJS25:JJT25"/>
    <mergeCell ref="JIW25:JIX25"/>
    <mergeCell ref="JIY25:JIZ25"/>
    <mergeCell ref="JJA25:JJB25"/>
    <mergeCell ref="JJC25:JJD25"/>
    <mergeCell ref="JJE25:JJF25"/>
    <mergeCell ref="JJG25:JJH25"/>
    <mergeCell ref="JIK25:JIL25"/>
    <mergeCell ref="JIM25:JIN25"/>
    <mergeCell ref="JIO25:JIP25"/>
    <mergeCell ref="JIQ25:JIR25"/>
    <mergeCell ref="JIS25:JIT25"/>
    <mergeCell ref="JIU25:JIV25"/>
    <mergeCell ref="JHY25:JHZ25"/>
    <mergeCell ref="JIA25:JIB25"/>
    <mergeCell ref="JIC25:JID25"/>
    <mergeCell ref="JIE25:JIF25"/>
    <mergeCell ref="JIG25:JIH25"/>
    <mergeCell ref="JII25:JIJ25"/>
    <mergeCell ref="JNA25:JNB25"/>
    <mergeCell ref="JNC25:JND25"/>
    <mergeCell ref="JNE25:JNF25"/>
    <mergeCell ref="JNG25:JNH25"/>
    <mergeCell ref="JNI25:JNJ25"/>
    <mergeCell ref="JNK25:JNL25"/>
    <mergeCell ref="JMO25:JMP25"/>
    <mergeCell ref="JMQ25:JMR25"/>
    <mergeCell ref="JMS25:JMT25"/>
    <mergeCell ref="JMU25:JMV25"/>
    <mergeCell ref="JMW25:JMX25"/>
    <mergeCell ref="JMY25:JMZ25"/>
    <mergeCell ref="JMC25:JMD25"/>
    <mergeCell ref="JME25:JMF25"/>
    <mergeCell ref="JMG25:JMH25"/>
    <mergeCell ref="JMI25:JMJ25"/>
    <mergeCell ref="JMK25:JML25"/>
    <mergeCell ref="JMM25:JMN25"/>
    <mergeCell ref="JLQ25:JLR25"/>
    <mergeCell ref="JLS25:JLT25"/>
    <mergeCell ref="JLU25:JLV25"/>
    <mergeCell ref="JLW25:JLX25"/>
    <mergeCell ref="JLY25:JLZ25"/>
    <mergeCell ref="JMA25:JMB25"/>
    <mergeCell ref="JLE25:JLF25"/>
    <mergeCell ref="JLG25:JLH25"/>
    <mergeCell ref="JLI25:JLJ25"/>
    <mergeCell ref="JLK25:JLL25"/>
    <mergeCell ref="JLM25:JLN25"/>
    <mergeCell ref="JLO25:JLP25"/>
    <mergeCell ref="JKS25:JKT25"/>
    <mergeCell ref="JKU25:JKV25"/>
    <mergeCell ref="JKW25:JKX25"/>
    <mergeCell ref="JKY25:JKZ25"/>
    <mergeCell ref="JLA25:JLB25"/>
    <mergeCell ref="JLC25:JLD25"/>
    <mergeCell ref="JPU25:JPV25"/>
    <mergeCell ref="JPW25:JPX25"/>
    <mergeCell ref="JPY25:JPZ25"/>
    <mergeCell ref="JQA25:JQB25"/>
    <mergeCell ref="JQC25:JQD25"/>
    <mergeCell ref="JQE25:JQF25"/>
    <mergeCell ref="JPI25:JPJ25"/>
    <mergeCell ref="JPK25:JPL25"/>
    <mergeCell ref="JPM25:JPN25"/>
    <mergeCell ref="JPO25:JPP25"/>
    <mergeCell ref="JPQ25:JPR25"/>
    <mergeCell ref="JPS25:JPT25"/>
    <mergeCell ref="JOW25:JOX25"/>
    <mergeCell ref="JOY25:JOZ25"/>
    <mergeCell ref="JPA25:JPB25"/>
    <mergeCell ref="JPC25:JPD25"/>
    <mergeCell ref="JPE25:JPF25"/>
    <mergeCell ref="JPG25:JPH25"/>
    <mergeCell ref="JOK25:JOL25"/>
    <mergeCell ref="JOM25:JON25"/>
    <mergeCell ref="JOO25:JOP25"/>
    <mergeCell ref="JOQ25:JOR25"/>
    <mergeCell ref="JOS25:JOT25"/>
    <mergeCell ref="JOU25:JOV25"/>
    <mergeCell ref="JNY25:JNZ25"/>
    <mergeCell ref="JOA25:JOB25"/>
    <mergeCell ref="JOC25:JOD25"/>
    <mergeCell ref="JOE25:JOF25"/>
    <mergeCell ref="JOG25:JOH25"/>
    <mergeCell ref="JOI25:JOJ25"/>
    <mergeCell ref="JNM25:JNN25"/>
    <mergeCell ref="JNO25:JNP25"/>
    <mergeCell ref="JNQ25:JNR25"/>
    <mergeCell ref="JNS25:JNT25"/>
    <mergeCell ref="JNU25:JNV25"/>
    <mergeCell ref="JNW25:JNX25"/>
    <mergeCell ref="JSO25:JSP25"/>
    <mergeCell ref="JSQ25:JSR25"/>
    <mergeCell ref="JSS25:JST25"/>
    <mergeCell ref="JSU25:JSV25"/>
    <mergeCell ref="JSW25:JSX25"/>
    <mergeCell ref="JSY25:JSZ25"/>
    <mergeCell ref="JSC25:JSD25"/>
    <mergeCell ref="JSE25:JSF25"/>
    <mergeCell ref="JSG25:JSH25"/>
    <mergeCell ref="JSI25:JSJ25"/>
    <mergeCell ref="JSK25:JSL25"/>
    <mergeCell ref="JSM25:JSN25"/>
    <mergeCell ref="JRQ25:JRR25"/>
    <mergeCell ref="JRS25:JRT25"/>
    <mergeCell ref="JRU25:JRV25"/>
    <mergeCell ref="JRW25:JRX25"/>
    <mergeCell ref="JRY25:JRZ25"/>
    <mergeCell ref="JSA25:JSB25"/>
    <mergeCell ref="JRE25:JRF25"/>
    <mergeCell ref="JRG25:JRH25"/>
    <mergeCell ref="JRI25:JRJ25"/>
    <mergeCell ref="JRK25:JRL25"/>
    <mergeCell ref="JRM25:JRN25"/>
    <mergeCell ref="JRO25:JRP25"/>
    <mergeCell ref="JQS25:JQT25"/>
    <mergeCell ref="JQU25:JQV25"/>
    <mergeCell ref="JQW25:JQX25"/>
    <mergeCell ref="JQY25:JQZ25"/>
    <mergeCell ref="JRA25:JRB25"/>
    <mergeCell ref="JRC25:JRD25"/>
    <mergeCell ref="JQG25:JQH25"/>
    <mergeCell ref="JQI25:JQJ25"/>
    <mergeCell ref="JQK25:JQL25"/>
    <mergeCell ref="JQM25:JQN25"/>
    <mergeCell ref="JQO25:JQP25"/>
    <mergeCell ref="JQQ25:JQR25"/>
    <mergeCell ref="JVI25:JVJ25"/>
    <mergeCell ref="JVK25:JVL25"/>
    <mergeCell ref="JVM25:JVN25"/>
    <mergeCell ref="JVO25:JVP25"/>
    <mergeCell ref="JVQ25:JVR25"/>
    <mergeCell ref="JVS25:JVT25"/>
    <mergeCell ref="JUW25:JUX25"/>
    <mergeCell ref="JUY25:JUZ25"/>
    <mergeCell ref="JVA25:JVB25"/>
    <mergeCell ref="JVC25:JVD25"/>
    <mergeCell ref="JVE25:JVF25"/>
    <mergeCell ref="JVG25:JVH25"/>
    <mergeCell ref="JUK25:JUL25"/>
    <mergeCell ref="JUM25:JUN25"/>
    <mergeCell ref="JUO25:JUP25"/>
    <mergeCell ref="JUQ25:JUR25"/>
    <mergeCell ref="JUS25:JUT25"/>
    <mergeCell ref="JUU25:JUV25"/>
    <mergeCell ref="JTY25:JTZ25"/>
    <mergeCell ref="JUA25:JUB25"/>
    <mergeCell ref="JUC25:JUD25"/>
    <mergeCell ref="JUE25:JUF25"/>
    <mergeCell ref="JUG25:JUH25"/>
    <mergeCell ref="JUI25:JUJ25"/>
    <mergeCell ref="JTM25:JTN25"/>
    <mergeCell ref="JTO25:JTP25"/>
    <mergeCell ref="JTQ25:JTR25"/>
    <mergeCell ref="JTS25:JTT25"/>
    <mergeCell ref="JTU25:JTV25"/>
    <mergeCell ref="JTW25:JTX25"/>
    <mergeCell ref="JTA25:JTB25"/>
    <mergeCell ref="JTC25:JTD25"/>
    <mergeCell ref="JTE25:JTF25"/>
    <mergeCell ref="JTG25:JTH25"/>
    <mergeCell ref="JTI25:JTJ25"/>
    <mergeCell ref="JTK25:JTL25"/>
    <mergeCell ref="JYC25:JYD25"/>
    <mergeCell ref="JYE25:JYF25"/>
    <mergeCell ref="JYG25:JYH25"/>
    <mergeCell ref="JYI25:JYJ25"/>
    <mergeCell ref="JYK25:JYL25"/>
    <mergeCell ref="JYM25:JYN25"/>
    <mergeCell ref="JXQ25:JXR25"/>
    <mergeCell ref="JXS25:JXT25"/>
    <mergeCell ref="JXU25:JXV25"/>
    <mergeCell ref="JXW25:JXX25"/>
    <mergeCell ref="JXY25:JXZ25"/>
    <mergeCell ref="JYA25:JYB25"/>
    <mergeCell ref="JXE25:JXF25"/>
    <mergeCell ref="JXG25:JXH25"/>
    <mergeCell ref="JXI25:JXJ25"/>
    <mergeCell ref="JXK25:JXL25"/>
    <mergeCell ref="JXM25:JXN25"/>
    <mergeCell ref="JXO25:JXP25"/>
    <mergeCell ref="JWS25:JWT25"/>
    <mergeCell ref="JWU25:JWV25"/>
    <mergeCell ref="JWW25:JWX25"/>
    <mergeCell ref="JWY25:JWZ25"/>
    <mergeCell ref="JXA25:JXB25"/>
    <mergeCell ref="JXC25:JXD25"/>
    <mergeCell ref="JWG25:JWH25"/>
    <mergeCell ref="JWI25:JWJ25"/>
    <mergeCell ref="JWK25:JWL25"/>
    <mergeCell ref="JWM25:JWN25"/>
    <mergeCell ref="JWO25:JWP25"/>
    <mergeCell ref="JWQ25:JWR25"/>
    <mergeCell ref="JVU25:JVV25"/>
    <mergeCell ref="JVW25:JVX25"/>
    <mergeCell ref="JVY25:JVZ25"/>
    <mergeCell ref="JWA25:JWB25"/>
    <mergeCell ref="JWC25:JWD25"/>
    <mergeCell ref="JWE25:JWF25"/>
    <mergeCell ref="KAW25:KAX25"/>
    <mergeCell ref="KAY25:KAZ25"/>
    <mergeCell ref="KBA25:KBB25"/>
    <mergeCell ref="KBC25:KBD25"/>
    <mergeCell ref="KBE25:KBF25"/>
    <mergeCell ref="KBG25:KBH25"/>
    <mergeCell ref="KAK25:KAL25"/>
    <mergeCell ref="KAM25:KAN25"/>
    <mergeCell ref="KAO25:KAP25"/>
    <mergeCell ref="KAQ25:KAR25"/>
    <mergeCell ref="KAS25:KAT25"/>
    <mergeCell ref="KAU25:KAV25"/>
    <mergeCell ref="JZY25:JZZ25"/>
    <mergeCell ref="KAA25:KAB25"/>
    <mergeCell ref="KAC25:KAD25"/>
    <mergeCell ref="KAE25:KAF25"/>
    <mergeCell ref="KAG25:KAH25"/>
    <mergeCell ref="KAI25:KAJ25"/>
    <mergeCell ref="JZM25:JZN25"/>
    <mergeCell ref="JZO25:JZP25"/>
    <mergeCell ref="JZQ25:JZR25"/>
    <mergeCell ref="JZS25:JZT25"/>
    <mergeCell ref="JZU25:JZV25"/>
    <mergeCell ref="JZW25:JZX25"/>
    <mergeCell ref="JZA25:JZB25"/>
    <mergeCell ref="JZC25:JZD25"/>
    <mergeCell ref="JZE25:JZF25"/>
    <mergeCell ref="JZG25:JZH25"/>
    <mergeCell ref="JZI25:JZJ25"/>
    <mergeCell ref="JZK25:JZL25"/>
    <mergeCell ref="JYO25:JYP25"/>
    <mergeCell ref="JYQ25:JYR25"/>
    <mergeCell ref="JYS25:JYT25"/>
    <mergeCell ref="JYU25:JYV25"/>
    <mergeCell ref="JYW25:JYX25"/>
    <mergeCell ref="JYY25:JYZ25"/>
    <mergeCell ref="KDQ25:KDR25"/>
    <mergeCell ref="KDS25:KDT25"/>
    <mergeCell ref="KDU25:KDV25"/>
    <mergeCell ref="KDW25:KDX25"/>
    <mergeCell ref="KDY25:KDZ25"/>
    <mergeCell ref="KEA25:KEB25"/>
    <mergeCell ref="KDE25:KDF25"/>
    <mergeCell ref="KDG25:KDH25"/>
    <mergeCell ref="KDI25:KDJ25"/>
    <mergeCell ref="KDK25:KDL25"/>
    <mergeCell ref="KDM25:KDN25"/>
    <mergeCell ref="KDO25:KDP25"/>
    <mergeCell ref="KCS25:KCT25"/>
    <mergeCell ref="KCU25:KCV25"/>
    <mergeCell ref="KCW25:KCX25"/>
    <mergeCell ref="KCY25:KCZ25"/>
    <mergeCell ref="KDA25:KDB25"/>
    <mergeCell ref="KDC25:KDD25"/>
    <mergeCell ref="KCG25:KCH25"/>
    <mergeCell ref="KCI25:KCJ25"/>
    <mergeCell ref="KCK25:KCL25"/>
    <mergeCell ref="KCM25:KCN25"/>
    <mergeCell ref="KCO25:KCP25"/>
    <mergeCell ref="KCQ25:KCR25"/>
    <mergeCell ref="KBU25:KBV25"/>
    <mergeCell ref="KBW25:KBX25"/>
    <mergeCell ref="KBY25:KBZ25"/>
    <mergeCell ref="KCA25:KCB25"/>
    <mergeCell ref="KCC25:KCD25"/>
    <mergeCell ref="KCE25:KCF25"/>
    <mergeCell ref="KBI25:KBJ25"/>
    <mergeCell ref="KBK25:KBL25"/>
    <mergeCell ref="KBM25:KBN25"/>
    <mergeCell ref="KBO25:KBP25"/>
    <mergeCell ref="KBQ25:KBR25"/>
    <mergeCell ref="KBS25:KBT25"/>
    <mergeCell ref="KGK25:KGL25"/>
    <mergeCell ref="KGM25:KGN25"/>
    <mergeCell ref="KGO25:KGP25"/>
    <mergeCell ref="KGQ25:KGR25"/>
    <mergeCell ref="KGS25:KGT25"/>
    <mergeCell ref="KGU25:KGV25"/>
    <mergeCell ref="KFY25:KFZ25"/>
    <mergeCell ref="KGA25:KGB25"/>
    <mergeCell ref="KGC25:KGD25"/>
    <mergeCell ref="KGE25:KGF25"/>
    <mergeCell ref="KGG25:KGH25"/>
    <mergeCell ref="KGI25:KGJ25"/>
    <mergeCell ref="KFM25:KFN25"/>
    <mergeCell ref="KFO25:KFP25"/>
    <mergeCell ref="KFQ25:KFR25"/>
    <mergeCell ref="KFS25:KFT25"/>
    <mergeCell ref="KFU25:KFV25"/>
    <mergeCell ref="KFW25:KFX25"/>
    <mergeCell ref="KFA25:KFB25"/>
    <mergeCell ref="KFC25:KFD25"/>
    <mergeCell ref="KFE25:KFF25"/>
    <mergeCell ref="KFG25:KFH25"/>
    <mergeCell ref="KFI25:KFJ25"/>
    <mergeCell ref="KFK25:KFL25"/>
    <mergeCell ref="KEO25:KEP25"/>
    <mergeCell ref="KEQ25:KER25"/>
    <mergeCell ref="KES25:KET25"/>
    <mergeCell ref="KEU25:KEV25"/>
    <mergeCell ref="KEW25:KEX25"/>
    <mergeCell ref="KEY25:KEZ25"/>
    <mergeCell ref="KEC25:KED25"/>
    <mergeCell ref="KEE25:KEF25"/>
    <mergeCell ref="KEG25:KEH25"/>
    <mergeCell ref="KEI25:KEJ25"/>
    <mergeCell ref="KEK25:KEL25"/>
    <mergeCell ref="KEM25:KEN25"/>
    <mergeCell ref="KJE25:KJF25"/>
    <mergeCell ref="KJG25:KJH25"/>
    <mergeCell ref="KJI25:KJJ25"/>
    <mergeCell ref="KJK25:KJL25"/>
    <mergeCell ref="KJM25:KJN25"/>
    <mergeCell ref="KJO25:KJP25"/>
    <mergeCell ref="KIS25:KIT25"/>
    <mergeCell ref="KIU25:KIV25"/>
    <mergeCell ref="KIW25:KIX25"/>
    <mergeCell ref="KIY25:KIZ25"/>
    <mergeCell ref="KJA25:KJB25"/>
    <mergeCell ref="KJC25:KJD25"/>
    <mergeCell ref="KIG25:KIH25"/>
    <mergeCell ref="KII25:KIJ25"/>
    <mergeCell ref="KIK25:KIL25"/>
    <mergeCell ref="KIM25:KIN25"/>
    <mergeCell ref="KIO25:KIP25"/>
    <mergeCell ref="KIQ25:KIR25"/>
    <mergeCell ref="KHU25:KHV25"/>
    <mergeCell ref="KHW25:KHX25"/>
    <mergeCell ref="KHY25:KHZ25"/>
    <mergeCell ref="KIA25:KIB25"/>
    <mergeCell ref="KIC25:KID25"/>
    <mergeCell ref="KIE25:KIF25"/>
    <mergeCell ref="KHI25:KHJ25"/>
    <mergeCell ref="KHK25:KHL25"/>
    <mergeCell ref="KHM25:KHN25"/>
    <mergeCell ref="KHO25:KHP25"/>
    <mergeCell ref="KHQ25:KHR25"/>
    <mergeCell ref="KHS25:KHT25"/>
    <mergeCell ref="KGW25:KGX25"/>
    <mergeCell ref="KGY25:KGZ25"/>
    <mergeCell ref="KHA25:KHB25"/>
    <mergeCell ref="KHC25:KHD25"/>
    <mergeCell ref="KHE25:KHF25"/>
    <mergeCell ref="KHG25:KHH25"/>
    <mergeCell ref="KLY25:KLZ25"/>
    <mergeCell ref="KMA25:KMB25"/>
    <mergeCell ref="KMC25:KMD25"/>
    <mergeCell ref="KME25:KMF25"/>
    <mergeCell ref="KMG25:KMH25"/>
    <mergeCell ref="KMI25:KMJ25"/>
    <mergeCell ref="KLM25:KLN25"/>
    <mergeCell ref="KLO25:KLP25"/>
    <mergeCell ref="KLQ25:KLR25"/>
    <mergeCell ref="KLS25:KLT25"/>
    <mergeCell ref="KLU25:KLV25"/>
    <mergeCell ref="KLW25:KLX25"/>
    <mergeCell ref="KLA25:KLB25"/>
    <mergeCell ref="KLC25:KLD25"/>
    <mergeCell ref="KLE25:KLF25"/>
    <mergeCell ref="KLG25:KLH25"/>
    <mergeCell ref="KLI25:KLJ25"/>
    <mergeCell ref="KLK25:KLL25"/>
    <mergeCell ref="KKO25:KKP25"/>
    <mergeCell ref="KKQ25:KKR25"/>
    <mergeCell ref="KKS25:KKT25"/>
    <mergeCell ref="KKU25:KKV25"/>
    <mergeCell ref="KKW25:KKX25"/>
    <mergeCell ref="KKY25:KKZ25"/>
    <mergeCell ref="KKC25:KKD25"/>
    <mergeCell ref="KKE25:KKF25"/>
    <mergeCell ref="KKG25:KKH25"/>
    <mergeCell ref="KKI25:KKJ25"/>
    <mergeCell ref="KKK25:KKL25"/>
    <mergeCell ref="KKM25:KKN25"/>
    <mergeCell ref="KJQ25:KJR25"/>
    <mergeCell ref="KJS25:KJT25"/>
    <mergeCell ref="KJU25:KJV25"/>
    <mergeCell ref="KJW25:KJX25"/>
    <mergeCell ref="KJY25:KJZ25"/>
    <mergeCell ref="KKA25:KKB25"/>
    <mergeCell ref="KOS25:KOT25"/>
    <mergeCell ref="KOU25:KOV25"/>
    <mergeCell ref="KOW25:KOX25"/>
    <mergeCell ref="KOY25:KOZ25"/>
    <mergeCell ref="KPA25:KPB25"/>
    <mergeCell ref="KPC25:KPD25"/>
    <mergeCell ref="KOG25:KOH25"/>
    <mergeCell ref="KOI25:KOJ25"/>
    <mergeCell ref="KOK25:KOL25"/>
    <mergeCell ref="KOM25:KON25"/>
    <mergeCell ref="KOO25:KOP25"/>
    <mergeCell ref="KOQ25:KOR25"/>
    <mergeCell ref="KNU25:KNV25"/>
    <mergeCell ref="KNW25:KNX25"/>
    <mergeCell ref="KNY25:KNZ25"/>
    <mergeCell ref="KOA25:KOB25"/>
    <mergeCell ref="KOC25:KOD25"/>
    <mergeCell ref="KOE25:KOF25"/>
    <mergeCell ref="KNI25:KNJ25"/>
    <mergeCell ref="KNK25:KNL25"/>
    <mergeCell ref="KNM25:KNN25"/>
    <mergeCell ref="KNO25:KNP25"/>
    <mergeCell ref="KNQ25:KNR25"/>
    <mergeCell ref="KNS25:KNT25"/>
    <mergeCell ref="KMW25:KMX25"/>
    <mergeCell ref="KMY25:KMZ25"/>
    <mergeCell ref="KNA25:KNB25"/>
    <mergeCell ref="KNC25:KND25"/>
    <mergeCell ref="KNE25:KNF25"/>
    <mergeCell ref="KNG25:KNH25"/>
    <mergeCell ref="KMK25:KML25"/>
    <mergeCell ref="KMM25:KMN25"/>
    <mergeCell ref="KMO25:KMP25"/>
    <mergeCell ref="KMQ25:KMR25"/>
    <mergeCell ref="KMS25:KMT25"/>
    <mergeCell ref="KMU25:KMV25"/>
    <mergeCell ref="KRM25:KRN25"/>
    <mergeCell ref="KRO25:KRP25"/>
    <mergeCell ref="KRQ25:KRR25"/>
    <mergeCell ref="KRS25:KRT25"/>
    <mergeCell ref="KRU25:KRV25"/>
    <mergeCell ref="KRW25:KRX25"/>
    <mergeCell ref="KRA25:KRB25"/>
    <mergeCell ref="KRC25:KRD25"/>
    <mergeCell ref="KRE25:KRF25"/>
    <mergeCell ref="KRG25:KRH25"/>
    <mergeCell ref="KRI25:KRJ25"/>
    <mergeCell ref="KRK25:KRL25"/>
    <mergeCell ref="KQO25:KQP25"/>
    <mergeCell ref="KQQ25:KQR25"/>
    <mergeCell ref="KQS25:KQT25"/>
    <mergeCell ref="KQU25:KQV25"/>
    <mergeCell ref="KQW25:KQX25"/>
    <mergeCell ref="KQY25:KQZ25"/>
    <mergeCell ref="KQC25:KQD25"/>
    <mergeCell ref="KQE25:KQF25"/>
    <mergeCell ref="KQG25:KQH25"/>
    <mergeCell ref="KQI25:KQJ25"/>
    <mergeCell ref="KQK25:KQL25"/>
    <mergeCell ref="KQM25:KQN25"/>
    <mergeCell ref="KPQ25:KPR25"/>
    <mergeCell ref="KPS25:KPT25"/>
    <mergeCell ref="KPU25:KPV25"/>
    <mergeCell ref="KPW25:KPX25"/>
    <mergeCell ref="KPY25:KPZ25"/>
    <mergeCell ref="KQA25:KQB25"/>
    <mergeCell ref="KPE25:KPF25"/>
    <mergeCell ref="KPG25:KPH25"/>
    <mergeCell ref="KPI25:KPJ25"/>
    <mergeCell ref="KPK25:KPL25"/>
    <mergeCell ref="KPM25:KPN25"/>
    <mergeCell ref="KPO25:KPP25"/>
    <mergeCell ref="KUG25:KUH25"/>
    <mergeCell ref="KUI25:KUJ25"/>
    <mergeCell ref="KUK25:KUL25"/>
    <mergeCell ref="KUM25:KUN25"/>
    <mergeCell ref="KUO25:KUP25"/>
    <mergeCell ref="KUQ25:KUR25"/>
    <mergeCell ref="KTU25:KTV25"/>
    <mergeCell ref="KTW25:KTX25"/>
    <mergeCell ref="KTY25:KTZ25"/>
    <mergeCell ref="KUA25:KUB25"/>
    <mergeCell ref="KUC25:KUD25"/>
    <mergeCell ref="KUE25:KUF25"/>
    <mergeCell ref="KTI25:KTJ25"/>
    <mergeCell ref="KTK25:KTL25"/>
    <mergeCell ref="KTM25:KTN25"/>
    <mergeCell ref="KTO25:KTP25"/>
    <mergeCell ref="KTQ25:KTR25"/>
    <mergeCell ref="KTS25:KTT25"/>
    <mergeCell ref="KSW25:KSX25"/>
    <mergeCell ref="KSY25:KSZ25"/>
    <mergeCell ref="KTA25:KTB25"/>
    <mergeCell ref="KTC25:KTD25"/>
    <mergeCell ref="KTE25:KTF25"/>
    <mergeCell ref="KTG25:KTH25"/>
    <mergeCell ref="KSK25:KSL25"/>
    <mergeCell ref="KSM25:KSN25"/>
    <mergeCell ref="KSO25:KSP25"/>
    <mergeCell ref="KSQ25:KSR25"/>
    <mergeCell ref="KSS25:KST25"/>
    <mergeCell ref="KSU25:KSV25"/>
    <mergeCell ref="KRY25:KRZ25"/>
    <mergeCell ref="KSA25:KSB25"/>
    <mergeCell ref="KSC25:KSD25"/>
    <mergeCell ref="KSE25:KSF25"/>
    <mergeCell ref="KSG25:KSH25"/>
    <mergeCell ref="KSI25:KSJ25"/>
    <mergeCell ref="KXA25:KXB25"/>
    <mergeCell ref="KXC25:KXD25"/>
    <mergeCell ref="KXE25:KXF25"/>
    <mergeCell ref="KXG25:KXH25"/>
    <mergeCell ref="KXI25:KXJ25"/>
    <mergeCell ref="KXK25:KXL25"/>
    <mergeCell ref="KWO25:KWP25"/>
    <mergeCell ref="KWQ25:KWR25"/>
    <mergeCell ref="KWS25:KWT25"/>
    <mergeCell ref="KWU25:KWV25"/>
    <mergeCell ref="KWW25:KWX25"/>
    <mergeCell ref="KWY25:KWZ25"/>
    <mergeCell ref="KWC25:KWD25"/>
    <mergeCell ref="KWE25:KWF25"/>
    <mergeCell ref="KWG25:KWH25"/>
    <mergeCell ref="KWI25:KWJ25"/>
    <mergeCell ref="KWK25:KWL25"/>
    <mergeCell ref="KWM25:KWN25"/>
    <mergeCell ref="KVQ25:KVR25"/>
    <mergeCell ref="KVS25:KVT25"/>
    <mergeCell ref="KVU25:KVV25"/>
    <mergeCell ref="KVW25:KVX25"/>
    <mergeCell ref="KVY25:KVZ25"/>
    <mergeCell ref="KWA25:KWB25"/>
    <mergeCell ref="KVE25:KVF25"/>
    <mergeCell ref="KVG25:KVH25"/>
    <mergeCell ref="KVI25:KVJ25"/>
    <mergeCell ref="KVK25:KVL25"/>
    <mergeCell ref="KVM25:KVN25"/>
    <mergeCell ref="KVO25:KVP25"/>
    <mergeCell ref="KUS25:KUT25"/>
    <mergeCell ref="KUU25:KUV25"/>
    <mergeCell ref="KUW25:KUX25"/>
    <mergeCell ref="KUY25:KUZ25"/>
    <mergeCell ref="KVA25:KVB25"/>
    <mergeCell ref="KVC25:KVD25"/>
    <mergeCell ref="KZU25:KZV25"/>
    <mergeCell ref="KZW25:KZX25"/>
    <mergeCell ref="KZY25:KZZ25"/>
    <mergeCell ref="LAA25:LAB25"/>
    <mergeCell ref="LAC25:LAD25"/>
    <mergeCell ref="LAE25:LAF25"/>
    <mergeCell ref="KZI25:KZJ25"/>
    <mergeCell ref="KZK25:KZL25"/>
    <mergeCell ref="KZM25:KZN25"/>
    <mergeCell ref="KZO25:KZP25"/>
    <mergeCell ref="KZQ25:KZR25"/>
    <mergeCell ref="KZS25:KZT25"/>
    <mergeCell ref="KYW25:KYX25"/>
    <mergeCell ref="KYY25:KYZ25"/>
    <mergeCell ref="KZA25:KZB25"/>
    <mergeCell ref="KZC25:KZD25"/>
    <mergeCell ref="KZE25:KZF25"/>
    <mergeCell ref="KZG25:KZH25"/>
    <mergeCell ref="KYK25:KYL25"/>
    <mergeCell ref="KYM25:KYN25"/>
    <mergeCell ref="KYO25:KYP25"/>
    <mergeCell ref="KYQ25:KYR25"/>
    <mergeCell ref="KYS25:KYT25"/>
    <mergeCell ref="KYU25:KYV25"/>
    <mergeCell ref="KXY25:KXZ25"/>
    <mergeCell ref="KYA25:KYB25"/>
    <mergeCell ref="KYC25:KYD25"/>
    <mergeCell ref="KYE25:KYF25"/>
    <mergeCell ref="KYG25:KYH25"/>
    <mergeCell ref="KYI25:KYJ25"/>
    <mergeCell ref="KXM25:KXN25"/>
    <mergeCell ref="KXO25:KXP25"/>
    <mergeCell ref="KXQ25:KXR25"/>
    <mergeCell ref="KXS25:KXT25"/>
    <mergeCell ref="KXU25:KXV25"/>
    <mergeCell ref="KXW25:KXX25"/>
    <mergeCell ref="LCO25:LCP25"/>
    <mergeCell ref="LCQ25:LCR25"/>
    <mergeCell ref="LCS25:LCT25"/>
    <mergeCell ref="LCU25:LCV25"/>
    <mergeCell ref="LCW25:LCX25"/>
    <mergeCell ref="LCY25:LCZ25"/>
    <mergeCell ref="LCC25:LCD25"/>
    <mergeCell ref="LCE25:LCF25"/>
    <mergeCell ref="LCG25:LCH25"/>
    <mergeCell ref="LCI25:LCJ25"/>
    <mergeCell ref="LCK25:LCL25"/>
    <mergeCell ref="LCM25:LCN25"/>
    <mergeCell ref="LBQ25:LBR25"/>
    <mergeCell ref="LBS25:LBT25"/>
    <mergeCell ref="LBU25:LBV25"/>
    <mergeCell ref="LBW25:LBX25"/>
    <mergeCell ref="LBY25:LBZ25"/>
    <mergeCell ref="LCA25:LCB25"/>
    <mergeCell ref="LBE25:LBF25"/>
    <mergeCell ref="LBG25:LBH25"/>
    <mergeCell ref="LBI25:LBJ25"/>
    <mergeCell ref="LBK25:LBL25"/>
    <mergeCell ref="LBM25:LBN25"/>
    <mergeCell ref="LBO25:LBP25"/>
    <mergeCell ref="LAS25:LAT25"/>
    <mergeCell ref="LAU25:LAV25"/>
    <mergeCell ref="LAW25:LAX25"/>
    <mergeCell ref="LAY25:LAZ25"/>
    <mergeCell ref="LBA25:LBB25"/>
    <mergeCell ref="LBC25:LBD25"/>
    <mergeCell ref="LAG25:LAH25"/>
    <mergeCell ref="LAI25:LAJ25"/>
    <mergeCell ref="LAK25:LAL25"/>
    <mergeCell ref="LAM25:LAN25"/>
    <mergeCell ref="LAO25:LAP25"/>
    <mergeCell ref="LAQ25:LAR25"/>
    <mergeCell ref="LFI25:LFJ25"/>
    <mergeCell ref="LFK25:LFL25"/>
    <mergeCell ref="LFM25:LFN25"/>
    <mergeCell ref="LFO25:LFP25"/>
    <mergeCell ref="LFQ25:LFR25"/>
    <mergeCell ref="LFS25:LFT25"/>
    <mergeCell ref="LEW25:LEX25"/>
    <mergeCell ref="LEY25:LEZ25"/>
    <mergeCell ref="LFA25:LFB25"/>
    <mergeCell ref="LFC25:LFD25"/>
    <mergeCell ref="LFE25:LFF25"/>
    <mergeCell ref="LFG25:LFH25"/>
    <mergeCell ref="LEK25:LEL25"/>
    <mergeCell ref="LEM25:LEN25"/>
    <mergeCell ref="LEO25:LEP25"/>
    <mergeCell ref="LEQ25:LER25"/>
    <mergeCell ref="LES25:LET25"/>
    <mergeCell ref="LEU25:LEV25"/>
    <mergeCell ref="LDY25:LDZ25"/>
    <mergeCell ref="LEA25:LEB25"/>
    <mergeCell ref="LEC25:LED25"/>
    <mergeCell ref="LEE25:LEF25"/>
    <mergeCell ref="LEG25:LEH25"/>
    <mergeCell ref="LEI25:LEJ25"/>
    <mergeCell ref="LDM25:LDN25"/>
    <mergeCell ref="LDO25:LDP25"/>
    <mergeCell ref="LDQ25:LDR25"/>
    <mergeCell ref="LDS25:LDT25"/>
    <mergeCell ref="LDU25:LDV25"/>
    <mergeCell ref="LDW25:LDX25"/>
    <mergeCell ref="LDA25:LDB25"/>
    <mergeCell ref="LDC25:LDD25"/>
    <mergeCell ref="LDE25:LDF25"/>
    <mergeCell ref="LDG25:LDH25"/>
    <mergeCell ref="LDI25:LDJ25"/>
    <mergeCell ref="LDK25:LDL25"/>
    <mergeCell ref="LIC25:LID25"/>
    <mergeCell ref="LIE25:LIF25"/>
    <mergeCell ref="LIG25:LIH25"/>
    <mergeCell ref="LII25:LIJ25"/>
    <mergeCell ref="LIK25:LIL25"/>
    <mergeCell ref="LIM25:LIN25"/>
    <mergeCell ref="LHQ25:LHR25"/>
    <mergeCell ref="LHS25:LHT25"/>
    <mergeCell ref="LHU25:LHV25"/>
    <mergeCell ref="LHW25:LHX25"/>
    <mergeCell ref="LHY25:LHZ25"/>
    <mergeCell ref="LIA25:LIB25"/>
    <mergeCell ref="LHE25:LHF25"/>
    <mergeCell ref="LHG25:LHH25"/>
    <mergeCell ref="LHI25:LHJ25"/>
    <mergeCell ref="LHK25:LHL25"/>
    <mergeCell ref="LHM25:LHN25"/>
    <mergeCell ref="LHO25:LHP25"/>
    <mergeCell ref="LGS25:LGT25"/>
    <mergeCell ref="LGU25:LGV25"/>
    <mergeCell ref="LGW25:LGX25"/>
    <mergeCell ref="LGY25:LGZ25"/>
    <mergeCell ref="LHA25:LHB25"/>
    <mergeCell ref="LHC25:LHD25"/>
    <mergeCell ref="LGG25:LGH25"/>
    <mergeCell ref="LGI25:LGJ25"/>
    <mergeCell ref="LGK25:LGL25"/>
    <mergeCell ref="LGM25:LGN25"/>
    <mergeCell ref="LGO25:LGP25"/>
    <mergeCell ref="LGQ25:LGR25"/>
    <mergeCell ref="LFU25:LFV25"/>
    <mergeCell ref="LFW25:LFX25"/>
    <mergeCell ref="LFY25:LFZ25"/>
    <mergeCell ref="LGA25:LGB25"/>
    <mergeCell ref="LGC25:LGD25"/>
    <mergeCell ref="LGE25:LGF25"/>
    <mergeCell ref="LKW25:LKX25"/>
    <mergeCell ref="LKY25:LKZ25"/>
    <mergeCell ref="LLA25:LLB25"/>
    <mergeCell ref="LLC25:LLD25"/>
    <mergeCell ref="LLE25:LLF25"/>
    <mergeCell ref="LLG25:LLH25"/>
    <mergeCell ref="LKK25:LKL25"/>
    <mergeCell ref="LKM25:LKN25"/>
    <mergeCell ref="LKO25:LKP25"/>
    <mergeCell ref="LKQ25:LKR25"/>
    <mergeCell ref="LKS25:LKT25"/>
    <mergeCell ref="LKU25:LKV25"/>
    <mergeCell ref="LJY25:LJZ25"/>
    <mergeCell ref="LKA25:LKB25"/>
    <mergeCell ref="LKC25:LKD25"/>
    <mergeCell ref="LKE25:LKF25"/>
    <mergeCell ref="LKG25:LKH25"/>
    <mergeCell ref="LKI25:LKJ25"/>
    <mergeCell ref="LJM25:LJN25"/>
    <mergeCell ref="LJO25:LJP25"/>
    <mergeCell ref="LJQ25:LJR25"/>
    <mergeCell ref="LJS25:LJT25"/>
    <mergeCell ref="LJU25:LJV25"/>
    <mergeCell ref="LJW25:LJX25"/>
    <mergeCell ref="LJA25:LJB25"/>
    <mergeCell ref="LJC25:LJD25"/>
    <mergeCell ref="LJE25:LJF25"/>
    <mergeCell ref="LJG25:LJH25"/>
    <mergeCell ref="LJI25:LJJ25"/>
    <mergeCell ref="LJK25:LJL25"/>
    <mergeCell ref="LIO25:LIP25"/>
    <mergeCell ref="LIQ25:LIR25"/>
    <mergeCell ref="LIS25:LIT25"/>
    <mergeCell ref="LIU25:LIV25"/>
    <mergeCell ref="LIW25:LIX25"/>
    <mergeCell ref="LIY25:LIZ25"/>
    <mergeCell ref="LNQ25:LNR25"/>
    <mergeCell ref="LNS25:LNT25"/>
    <mergeCell ref="LNU25:LNV25"/>
    <mergeCell ref="LNW25:LNX25"/>
    <mergeCell ref="LNY25:LNZ25"/>
    <mergeCell ref="LOA25:LOB25"/>
    <mergeCell ref="LNE25:LNF25"/>
    <mergeCell ref="LNG25:LNH25"/>
    <mergeCell ref="LNI25:LNJ25"/>
    <mergeCell ref="LNK25:LNL25"/>
    <mergeCell ref="LNM25:LNN25"/>
    <mergeCell ref="LNO25:LNP25"/>
    <mergeCell ref="LMS25:LMT25"/>
    <mergeCell ref="LMU25:LMV25"/>
    <mergeCell ref="LMW25:LMX25"/>
    <mergeCell ref="LMY25:LMZ25"/>
    <mergeCell ref="LNA25:LNB25"/>
    <mergeCell ref="LNC25:LND25"/>
    <mergeCell ref="LMG25:LMH25"/>
    <mergeCell ref="LMI25:LMJ25"/>
    <mergeCell ref="LMK25:LML25"/>
    <mergeCell ref="LMM25:LMN25"/>
    <mergeCell ref="LMO25:LMP25"/>
    <mergeCell ref="LMQ25:LMR25"/>
    <mergeCell ref="LLU25:LLV25"/>
    <mergeCell ref="LLW25:LLX25"/>
    <mergeCell ref="LLY25:LLZ25"/>
    <mergeCell ref="LMA25:LMB25"/>
    <mergeCell ref="LMC25:LMD25"/>
    <mergeCell ref="LME25:LMF25"/>
    <mergeCell ref="LLI25:LLJ25"/>
    <mergeCell ref="LLK25:LLL25"/>
    <mergeCell ref="LLM25:LLN25"/>
    <mergeCell ref="LLO25:LLP25"/>
    <mergeCell ref="LLQ25:LLR25"/>
    <mergeCell ref="LLS25:LLT25"/>
    <mergeCell ref="LQK25:LQL25"/>
    <mergeCell ref="LQM25:LQN25"/>
    <mergeCell ref="LQO25:LQP25"/>
    <mergeCell ref="LQQ25:LQR25"/>
    <mergeCell ref="LQS25:LQT25"/>
    <mergeCell ref="LQU25:LQV25"/>
    <mergeCell ref="LPY25:LPZ25"/>
    <mergeCell ref="LQA25:LQB25"/>
    <mergeCell ref="LQC25:LQD25"/>
    <mergeCell ref="LQE25:LQF25"/>
    <mergeCell ref="LQG25:LQH25"/>
    <mergeCell ref="LQI25:LQJ25"/>
    <mergeCell ref="LPM25:LPN25"/>
    <mergeCell ref="LPO25:LPP25"/>
    <mergeCell ref="LPQ25:LPR25"/>
    <mergeCell ref="LPS25:LPT25"/>
    <mergeCell ref="LPU25:LPV25"/>
    <mergeCell ref="LPW25:LPX25"/>
    <mergeCell ref="LPA25:LPB25"/>
    <mergeCell ref="LPC25:LPD25"/>
    <mergeCell ref="LPE25:LPF25"/>
    <mergeCell ref="LPG25:LPH25"/>
    <mergeCell ref="LPI25:LPJ25"/>
    <mergeCell ref="LPK25:LPL25"/>
    <mergeCell ref="LOO25:LOP25"/>
    <mergeCell ref="LOQ25:LOR25"/>
    <mergeCell ref="LOS25:LOT25"/>
    <mergeCell ref="LOU25:LOV25"/>
    <mergeCell ref="LOW25:LOX25"/>
    <mergeCell ref="LOY25:LOZ25"/>
    <mergeCell ref="LOC25:LOD25"/>
    <mergeCell ref="LOE25:LOF25"/>
    <mergeCell ref="LOG25:LOH25"/>
    <mergeCell ref="LOI25:LOJ25"/>
    <mergeCell ref="LOK25:LOL25"/>
    <mergeCell ref="LOM25:LON25"/>
    <mergeCell ref="LTE25:LTF25"/>
    <mergeCell ref="LTG25:LTH25"/>
    <mergeCell ref="LTI25:LTJ25"/>
    <mergeCell ref="LTK25:LTL25"/>
    <mergeCell ref="LTM25:LTN25"/>
    <mergeCell ref="LTO25:LTP25"/>
    <mergeCell ref="LSS25:LST25"/>
    <mergeCell ref="LSU25:LSV25"/>
    <mergeCell ref="LSW25:LSX25"/>
    <mergeCell ref="LSY25:LSZ25"/>
    <mergeCell ref="LTA25:LTB25"/>
    <mergeCell ref="LTC25:LTD25"/>
    <mergeCell ref="LSG25:LSH25"/>
    <mergeCell ref="LSI25:LSJ25"/>
    <mergeCell ref="LSK25:LSL25"/>
    <mergeCell ref="LSM25:LSN25"/>
    <mergeCell ref="LSO25:LSP25"/>
    <mergeCell ref="LSQ25:LSR25"/>
    <mergeCell ref="LRU25:LRV25"/>
    <mergeCell ref="LRW25:LRX25"/>
    <mergeCell ref="LRY25:LRZ25"/>
    <mergeCell ref="LSA25:LSB25"/>
    <mergeCell ref="LSC25:LSD25"/>
    <mergeCell ref="LSE25:LSF25"/>
    <mergeCell ref="LRI25:LRJ25"/>
    <mergeCell ref="LRK25:LRL25"/>
    <mergeCell ref="LRM25:LRN25"/>
    <mergeCell ref="LRO25:LRP25"/>
    <mergeCell ref="LRQ25:LRR25"/>
    <mergeCell ref="LRS25:LRT25"/>
    <mergeCell ref="LQW25:LQX25"/>
    <mergeCell ref="LQY25:LQZ25"/>
    <mergeCell ref="LRA25:LRB25"/>
    <mergeCell ref="LRC25:LRD25"/>
    <mergeCell ref="LRE25:LRF25"/>
    <mergeCell ref="LRG25:LRH25"/>
    <mergeCell ref="LVY25:LVZ25"/>
    <mergeCell ref="LWA25:LWB25"/>
    <mergeCell ref="LWC25:LWD25"/>
    <mergeCell ref="LWE25:LWF25"/>
    <mergeCell ref="LWG25:LWH25"/>
    <mergeCell ref="LWI25:LWJ25"/>
    <mergeCell ref="LVM25:LVN25"/>
    <mergeCell ref="LVO25:LVP25"/>
    <mergeCell ref="LVQ25:LVR25"/>
    <mergeCell ref="LVS25:LVT25"/>
    <mergeCell ref="LVU25:LVV25"/>
    <mergeCell ref="LVW25:LVX25"/>
    <mergeCell ref="LVA25:LVB25"/>
    <mergeCell ref="LVC25:LVD25"/>
    <mergeCell ref="LVE25:LVF25"/>
    <mergeCell ref="LVG25:LVH25"/>
    <mergeCell ref="LVI25:LVJ25"/>
    <mergeCell ref="LVK25:LVL25"/>
    <mergeCell ref="LUO25:LUP25"/>
    <mergeCell ref="LUQ25:LUR25"/>
    <mergeCell ref="LUS25:LUT25"/>
    <mergeCell ref="LUU25:LUV25"/>
    <mergeCell ref="LUW25:LUX25"/>
    <mergeCell ref="LUY25:LUZ25"/>
    <mergeCell ref="LUC25:LUD25"/>
    <mergeCell ref="LUE25:LUF25"/>
    <mergeCell ref="LUG25:LUH25"/>
    <mergeCell ref="LUI25:LUJ25"/>
    <mergeCell ref="LUK25:LUL25"/>
    <mergeCell ref="LUM25:LUN25"/>
    <mergeCell ref="LTQ25:LTR25"/>
    <mergeCell ref="LTS25:LTT25"/>
    <mergeCell ref="LTU25:LTV25"/>
    <mergeCell ref="LTW25:LTX25"/>
    <mergeCell ref="LTY25:LTZ25"/>
    <mergeCell ref="LUA25:LUB25"/>
    <mergeCell ref="LYS25:LYT25"/>
    <mergeCell ref="LYU25:LYV25"/>
    <mergeCell ref="LYW25:LYX25"/>
    <mergeCell ref="LYY25:LYZ25"/>
    <mergeCell ref="LZA25:LZB25"/>
    <mergeCell ref="LZC25:LZD25"/>
    <mergeCell ref="LYG25:LYH25"/>
    <mergeCell ref="LYI25:LYJ25"/>
    <mergeCell ref="LYK25:LYL25"/>
    <mergeCell ref="LYM25:LYN25"/>
    <mergeCell ref="LYO25:LYP25"/>
    <mergeCell ref="LYQ25:LYR25"/>
    <mergeCell ref="LXU25:LXV25"/>
    <mergeCell ref="LXW25:LXX25"/>
    <mergeCell ref="LXY25:LXZ25"/>
    <mergeCell ref="LYA25:LYB25"/>
    <mergeCell ref="LYC25:LYD25"/>
    <mergeCell ref="LYE25:LYF25"/>
    <mergeCell ref="LXI25:LXJ25"/>
    <mergeCell ref="LXK25:LXL25"/>
    <mergeCell ref="LXM25:LXN25"/>
    <mergeCell ref="LXO25:LXP25"/>
    <mergeCell ref="LXQ25:LXR25"/>
    <mergeCell ref="LXS25:LXT25"/>
    <mergeCell ref="LWW25:LWX25"/>
    <mergeCell ref="LWY25:LWZ25"/>
    <mergeCell ref="LXA25:LXB25"/>
    <mergeCell ref="LXC25:LXD25"/>
    <mergeCell ref="LXE25:LXF25"/>
    <mergeCell ref="LXG25:LXH25"/>
    <mergeCell ref="LWK25:LWL25"/>
    <mergeCell ref="LWM25:LWN25"/>
    <mergeCell ref="LWO25:LWP25"/>
    <mergeCell ref="LWQ25:LWR25"/>
    <mergeCell ref="LWS25:LWT25"/>
    <mergeCell ref="LWU25:LWV25"/>
    <mergeCell ref="MBM25:MBN25"/>
    <mergeCell ref="MBO25:MBP25"/>
    <mergeCell ref="MBQ25:MBR25"/>
    <mergeCell ref="MBS25:MBT25"/>
    <mergeCell ref="MBU25:MBV25"/>
    <mergeCell ref="MBW25:MBX25"/>
    <mergeCell ref="MBA25:MBB25"/>
    <mergeCell ref="MBC25:MBD25"/>
    <mergeCell ref="MBE25:MBF25"/>
    <mergeCell ref="MBG25:MBH25"/>
    <mergeCell ref="MBI25:MBJ25"/>
    <mergeCell ref="MBK25:MBL25"/>
    <mergeCell ref="MAO25:MAP25"/>
    <mergeCell ref="MAQ25:MAR25"/>
    <mergeCell ref="MAS25:MAT25"/>
    <mergeCell ref="MAU25:MAV25"/>
    <mergeCell ref="MAW25:MAX25"/>
    <mergeCell ref="MAY25:MAZ25"/>
    <mergeCell ref="MAC25:MAD25"/>
    <mergeCell ref="MAE25:MAF25"/>
    <mergeCell ref="MAG25:MAH25"/>
    <mergeCell ref="MAI25:MAJ25"/>
    <mergeCell ref="MAK25:MAL25"/>
    <mergeCell ref="MAM25:MAN25"/>
    <mergeCell ref="LZQ25:LZR25"/>
    <mergeCell ref="LZS25:LZT25"/>
    <mergeCell ref="LZU25:LZV25"/>
    <mergeCell ref="LZW25:LZX25"/>
    <mergeCell ref="LZY25:LZZ25"/>
    <mergeCell ref="MAA25:MAB25"/>
    <mergeCell ref="LZE25:LZF25"/>
    <mergeCell ref="LZG25:LZH25"/>
    <mergeCell ref="LZI25:LZJ25"/>
    <mergeCell ref="LZK25:LZL25"/>
    <mergeCell ref="LZM25:LZN25"/>
    <mergeCell ref="LZO25:LZP25"/>
    <mergeCell ref="MEG25:MEH25"/>
    <mergeCell ref="MEI25:MEJ25"/>
    <mergeCell ref="MEK25:MEL25"/>
    <mergeCell ref="MEM25:MEN25"/>
    <mergeCell ref="MEO25:MEP25"/>
    <mergeCell ref="MEQ25:MER25"/>
    <mergeCell ref="MDU25:MDV25"/>
    <mergeCell ref="MDW25:MDX25"/>
    <mergeCell ref="MDY25:MDZ25"/>
    <mergeCell ref="MEA25:MEB25"/>
    <mergeCell ref="MEC25:MED25"/>
    <mergeCell ref="MEE25:MEF25"/>
    <mergeCell ref="MDI25:MDJ25"/>
    <mergeCell ref="MDK25:MDL25"/>
    <mergeCell ref="MDM25:MDN25"/>
    <mergeCell ref="MDO25:MDP25"/>
    <mergeCell ref="MDQ25:MDR25"/>
    <mergeCell ref="MDS25:MDT25"/>
    <mergeCell ref="MCW25:MCX25"/>
    <mergeCell ref="MCY25:MCZ25"/>
    <mergeCell ref="MDA25:MDB25"/>
    <mergeCell ref="MDC25:MDD25"/>
    <mergeCell ref="MDE25:MDF25"/>
    <mergeCell ref="MDG25:MDH25"/>
    <mergeCell ref="MCK25:MCL25"/>
    <mergeCell ref="MCM25:MCN25"/>
    <mergeCell ref="MCO25:MCP25"/>
    <mergeCell ref="MCQ25:MCR25"/>
    <mergeCell ref="MCS25:MCT25"/>
    <mergeCell ref="MCU25:MCV25"/>
    <mergeCell ref="MBY25:MBZ25"/>
    <mergeCell ref="MCA25:MCB25"/>
    <mergeCell ref="MCC25:MCD25"/>
    <mergeCell ref="MCE25:MCF25"/>
    <mergeCell ref="MCG25:MCH25"/>
    <mergeCell ref="MCI25:MCJ25"/>
    <mergeCell ref="MHA25:MHB25"/>
    <mergeCell ref="MHC25:MHD25"/>
    <mergeCell ref="MHE25:MHF25"/>
    <mergeCell ref="MHG25:MHH25"/>
    <mergeCell ref="MHI25:MHJ25"/>
    <mergeCell ref="MHK25:MHL25"/>
    <mergeCell ref="MGO25:MGP25"/>
    <mergeCell ref="MGQ25:MGR25"/>
    <mergeCell ref="MGS25:MGT25"/>
    <mergeCell ref="MGU25:MGV25"/>
    <mergeCell ref="MGW25:MGX25"/>
    <mergeCell ref="MGY25:MGZ25"/>
    <mergeCell ref="MGC25:MGD25"/>
    <mergeCell ref="MGE25:MGF25"/>
    <mergeCell ref="MGG25:MGH25"/>
    <mergeCell ref="MGI25:MGJ25"/>
    <mergeCell ref="MGK25:MGL25"/>
    <mergeCell ref="MGM25:MGN25"/>
    <mergeCell ref="MFQ25:MFR25"/>
    <mergeCell ref="MFS25:MFT25"/>
    <mergeCell ref="MFU25:MFV25"/>
    <mergeCell ref="MFW25:MFX25"/>
    <mergeCell ref="MFY25:MFZ25"/>
    <mergeCell ref="MGA25:MGB25"/>
    <mergeCell ref="MFE25:MFF25"/>
    <mergeCell ref="MFG25:MFH25"/>
    <mergeCell ref="MFI25:MFJ25"/>
    <mergeCell ref="MFK25:MFL25"/>
    <mergeCell ref="MFM25:MFN25"/>
    <mergeCell ref="MFO25:MFP25"/>
    <mergeCell ref="MES25:MET25"/>
    <mergeCell ref="MEU25:MEV25"/>
    <mergeCell ref="MEW25:MEX25"/>
    <mergeCell ref="MEY25:MEZ25"/>
    <mergeCell ref="MFA25:MFB25"/>
    <mergeCell ref="MFC25:MFD25"/>
    <mergeCell ref="MJU25:MJV25"/>
    <mergeCell ref="MJW25:MJX25"/>
    <mergeCell ref="MJY25:MJZ25"/>
    <mergeCell ref="MKA25:MKB25"/>
    <mergeCell ref="MKC25:MKD25"/>
    <mergeCell ref="MKE25:MKF25"/>
    <mergeCell ref="MJI25:MJJ25"/>
    <mergeCell ref="MJK25:MJL25"/>
    <mergeCell ref="MJM25:MJN25"/>
    <mergeCell ref="MJO25:MJP25"/>
    <mergeCell ref="MJQ25:MJR25"/>
    <mergeCell ref="MJS25:MJT25"/>
    <mergeCell ref="MIW25:MIX25"/>
    <mergeCell ref="MIY25:MIZ25"/>
    <mergeCell ref="MJA25:MJB25"/>
    <mergeCell ref="MJC25:MJD25"/>
    <mergeCell ref="MJE25:MJF25"/>
    <mergeCell ref="MJG25:MJH25"/>
    <mergeCell ref="MIK25:MIL25"/>
    <mergeCell ref="MIM25:MIN25"/>
    <mergeCell ref="MIO25:MIP25"/>
    <mergeCell ref="MIQ25:MIR25"/>
    <mergeCell ref="MIS25:MIT25"/>
    <mergeCell ref="MIU25:MIV25"/>
    <mergeCell ref="MHY25:MHZ25"/>
    <mergeCell ref="MIA25:MIB25"/>
    <mergeCell ref="MIC25:MID25"/>
    <mergeCell ref="MIE25:MIF25"/>
    <mergeCell ref="MIG25:MIH25"/>
    <mergeCell ref="MII25:MIJ25"/>
    <mergeCell ref="MHM25:MHN25"/>
    <mergeCell ref="MHO25:MHP25"/>
    <mergeCell ref="MHQ25:MHR25"/>
    <mergeCell ref="MHS25:MHT25"/>
    <mergeCell ref="MHU25:MHV25"/>
    <mergeCell ref="MHW25:MHX25"/>
    <mergeCell ref="MMO25:MMP25"/>
    <mergeCell ref="MMQ25:MMR25"/>
    <mergeCell ref="MMS25:MMT25"/>
    <mergeCell ref="MMU25:MMV25"/>
    <mergeCell ref="MMW25:MMX25"/>
    <mergeCell ref="MMY25:MMZ25"/>
    <mergeCell ref="MMC25:MMD25"/>
    <mergeCell ref="MME25:MMF25"/>
    <mergeCell ref="MMG25:MMH25"/>
    <mergeCell ref="MMI25:MMJ25"/>
    <mergeCell ref="MMK25:MML25"/>
    <mergeCell ref="MMM25:MMN25"/>
    <mergeCell ref="MLQ25:MLR25"/>
    <mergeCell ref="MLS25:MLT25"/>
    <mergeCell ref="MLU25:MLV25"/>
    <mergeCell ref="MLW25:MLX25"/>
    <mergeCell ref="MLY25:MLZ25"/>
    <mergeCell ref="MMA25:MMB25"/>
    <mergeCell ref="MLE25:MLF25"/>
    <mergeCell ref="MLG25:MLH25"/>
    <mergeCell ref="MLI25:MLJ25"/>
    <mergeCell ref="MLK25:MLL25"/>
    <mergeCell ref="MLM25:MLN25"/>
    <mergeCell ref="MLO25:MLP25"/>
    <mergeCell ref="MKS25:MKT25"/>
    <mergeCell ref="MKU25:MKV25"/>
    <mergeCell ref="MKW25:MKX25"/>
    <mergeCell ref="MKY25:MKZ25"/>
    <mergeCell ref="MLA25:MLB25"/>
    <mergeCell ref="MLC25:MLD25"/>
    <mergeCell ref="MKG25:MKH25"/>
    <mergeCell ref="MKI25:MKJ25"/>
    <mergeCell ref="MKK25:MKL25"/>
    <mergeCell ref="MKM25:MKN25"/>
    <mergeCell ref="MKO25:MKP25"/>
    <mergeCell ref="MKQ25:MKR25"/>
    <mergeCell ref="MPI25:MPJ25"/>
    <mergeCell ref="MPK25:MPL25"/>
    <mergeCell ref="MPM25:MPN25"/>
    <mergeCell ref="MPO25:MPP25"/>
    <mergeCell ref="MPQ25:MPR25"/>
    <mergeCell ref="MPS25:MPT25"/>
    <mergeCell ref="MOW25:MOX25"/>
    <mergeCell ref="MOY25:MOZ25"/>
    <mergeCell ref="MPA25:MPB25"/>
    <mergeCell ref="MPC25:MPD25"/>
    <mergeCell ref="MPE25:MPF25"/>
    <mergeCell ref="MPG25:MPH25"/>
    <mergeCell ref="MOK25:MOL25"/>
    <mergeCell ref="MOM25:MON25"/>
    <mergeCell ref="MOO25:MOP25"/>
    <mergeCell ref="MOQ25:MOR25"/>
    <mergeCell ref="MOS25:MOT25"/>
    <mergeCell ref="MOU25:MOV25"/>
    <mergeCell ref="MNY25:MNZ25"/>
    <mergeCell ref="MOA25:MOB25"/>
    <mergeCell ref="MOC25:MOD25"/>
    <mergeCell ref="MOE25:MOF25"/>
    <mergeCell ref="MOG25:MOH25"/>
    <mergeCell ref="MOI25:MOJ25"/>
    <mergeCell ref="MNM25:MNN25"/>
    <mergeCell ref="MNO25:MNP25"/>
    <mergeCell ref="MNQ25:MNR25"/>
    <mergeCell ref="MNS25:MNT25"/>
    <mergeCell ref="MNU25:MNV25"/>
    <mergeCell ref="MNW25:MNX25"/>
    <mergeCell ref="MNA25:MNB25"/>
    <mergeCell ref="MNC25:MND25"/>
    <mergeCell ref="MNE25:MNF25"/>
    <mergeCell ref="MNG25:MNH25"/>
    <mergeCell ref="MNI25:MNJ25"/>
    <mergeCell ref="MNK25:MNL25"/>
    <mergeCell ref="MSC25:MSD25"/>
    <mergeCell ref="MSE25:MSF25"/>
    <mergeCell ref="MSG25:MSH25"/>
    <mergeCell ref="MSI25:MSJ25"/>
    <mergeCell ref="MSK25:MSL25"/>
    <mergeCell ref="MSM25:MSN25"/>
    <mergeCell ref="MRQ25:MRR25"/>
    <mergeCell ref="MRS25:MRT25"/>
    <mergeCell ref="MRU25:MRV25"/>
    <mergeCell ref="MRW25:MRX25"/>
    <mergeCell ref="MRY25:MRZ25"/>
    <mergeCell ref="MSA25:MSB25"/>
    <mergeCell ref="MRE25:MRF25"/>
    <mergeCell ref="MRG25:MRH25"/>
    <mergeCell ref="MRI25:MRJ25"/>
    <mergeCell ref="MRK25:MRL25"/>
    <mergeCell ref="MRM25:MRN25"/>
    <mergeCell ref="MRO25:MRP25"/>
    <mergeCell ref="MQS25:MQT25"/>
    <mergeCell ref="MQU25:MQV25"/>
    <mergeCell ref="MQW25:MQX25"/>
    <mergeCell ref="MQY25:MQZ25"/>
    <mergeCell ref="MRA25:MRB25"/>
    <mergeCell ref="MRC25:MRD25"/>
    <mergeCell ref="MQG25:MQH25"/>
    <mergeCell ref="MQI25:MQJ25"/>
    <mergeCell ref="MQK25:MQL25"/>
    <mergeCell ref="MQM25:MQN25"/>
    <mergeCell ref="MQO25:MQP25"/>
    <mergeCell ref="MQQ25:MQR25"/>
    <mergeCell ref="MPU25:MPV25"/>
    <mergeCell ref="MPW25:MPX25"/>
    <mergeCell ref="MPY25:MPZ25"/>
    <mergeCell ref="MQA25:MQB25"/>
    <mergeCell ref="MQC25:MQD25"/>
    <mergeCell ref="MQE25:MQF25"/>
    <mergeCell ref="MUW25:MUX25"/>
    <mergeCell ref="MUY25:MUZ25"/>
    <mergeCell ref="MVA25:MVB25"/>
    <mergeCell ref="MVC25:MVD25"/>
    <mergeCell ref="MVE25:MVF25"/>
    <mergeCell ref="MVG25:MVH25"/>
    <mergeCell ref="MUK25:MUL25"/>
    <mergeCell ref="MUM25:MUN25"/>
    <mergeCell ref="MUO25:MUP25"/>
    <mergeCell ref="MUQ25:MUR25"/>
    <mergeCell ref="MUS25:MUT25"/>
    <mergeCell ref="MUU25:MUV25"/>
    <mergeCell ref="MTY25:MTZ25"/>
    <mergeCell ref="MUA25:MUB25"/>
    <mergeCell ref="MUC25:MUD25"/>
    <mergeCell ref="MUE25:MUF25"/>
    <mergeCell ref="MUG25:MUH25"/>
    <mergeCell ref="MUI25:MUJ25"/>
    <mergeCell ref="MTM25:MTN25"/>
    <mergeCell ref="MTO25:MTP25"/>
    <mergeCell ref="MTQ25:MTR25"/>
    <mergeCell ref="MTS25:MTT25"/>
    <mergeCell ref="MTU25:MTV25"/>
    <mergeCell ref="MTW25:MTX25"/>
    <mergeCell ref="MTA25:MTB25"/>
    <mergeCell ref="MTC25:MTD25"/>
    <mergeCell ref="MTE25:MTF25"/>
    <mergeCell ref="MTG25:MTH25"/>
    <mergeCell ref="MTI25:MTJ25"/>
    <mergeCell ref="MTK25:MTL25"/>
    <mergeCell ref="MSO25:MSP25"/>
    <mergeCell ref="MSQ25:MSR25"/>
    <mergeCell ref="MSS25:MST25"/>
    <mergeCell ref="MSU25:MSV25"/>
    <mergeCell ref="MSW25:MSX25"/>
    <mergeCell ref="MSY25:MSZ25"/>
    <mergeCell ref="MXQ25:MXR25"/>
    <mergeCell ref="MXS25:MXT25"/>
    <mergeCell ref="MXU25:MXV25"/>
    <mergeCell ref="MXW25:MXX25"/>
    <mergeCell ref="MXY25:MXZ25"/>
    <mergeCell ref="MYA25:MYB25"/>
    <mergeCell ref="MXE25:MXF25"/>
    <mergeCell ref="MXG25:MXH25"/>
    <mergeCell ref="MXI25:MXJ25"/>
    <mergeCell ref="MXK25:MXL25"/>
    <mergeCell ref="MXM25:MXN25"/>
    <mergeCell ref="MXO25:MXP25"/>
    <mergeCell ref="MWS25:MWT25"/>
    <mergeCell ref="MWU25:MWV25"/>
    <mergeCell ref="MWW25:MWX25"/>
    <mergeCell ref="MWY25:MWZ25"/>
    <mergeCell ref="MXA25:MXB25"/>
    <mergeCell ref="MXC25:MXD25"/>
    <mergeCell ref="MWG25:MWH25"/>
    <mergeCell ref="MWI25:MWJ25"/>
    <mergeCell ref="MWK25:MWL25"/>
    <mergeCell ref="MWM25:MWN25"/>
    <mergeCell ref="MWO25:MWP25"/>
    <mergeCell ref="MWQ25:MWR25"/>
    <mergeCell ref="MVU25:MVV25"/>
    <mergeCell ref="MVW25:MVX25"/>
    <mergeCell ref="MVY25:MVZ25"/>
    <mergeCell ref="MWA25:MWB25"/>
    <mergeCell ref="MWC25:MWD25"/>
    <mergeCell ref="MWE25:MWF25"/>
    <mergeCell ref="MVI25:MVJ25"/>
    <mergeCell ref="MVK25:MVL25"/>
    <mergeCell ref="MVM25:MVN25"/>
    <mergeCell ref="MVO25:MVP25"/>
    <mergeCell ref="MVQ25:MVR25"/>
    <mergeCell ref="MVS25:MVT25"/>
    <mergeCell ref="NAK25:NAL25"/>
    <mergeCell ref="NAM25:NAN25"/>
    <mergeCell ref="NAO25:NAP25"/>
    <mergeCell ref="NAQ25:NAR25"/>
    <mergeCell ref="NAS25:NAT25"/>
    <mergeCell ref="NAU25:NAV25"/>
    <mergeCell ref="MZY25:MZZ25"/>
    <mergeCell ref="NAA25:NAB25"/>
    <mergeCell ref="NAC25:NAD25"/>
    <mergeCell ref="NAE25:NAF25"/>
    <mergeCell ref="NAG25:NAH25"/>
    <mergeCell ref="NAI25:NAJ25"/>
    <mergeCell ref="MZM25:MZN25"/>
    <mergeCell ref="MZO25:MZP25"/>
    <mergeCell ref="MZQ25:MZR25"/>
    <mergeCell ref="MZS25:MZT25"/>
    <mergeCell ref="MZU25:MZV25"/>
    <mergeCell ref="MZW25:MZX25"/>
    <mergeCell ref="MZA25:MZB25"/>
    <mergeCell ref="MZC25:MZD25"/>
    <mergeCell ref="MZE25:MZF25"/>
    <mergeCell ref="MZG25:MZH25"/>
    <mergeCell ref="MZI25:MZJ25"/>
    <mergeCell ref="MZK25:MZL25"/>
    <mergeCell ref="MYO25:MYP25"/>
    <mergeCell ref="MYQ25:MYR25"/>
    <mergeCell ref="MYS25:MYT25"/>
    <mergeCell ref="MYU25:MYV25"/>
    <mergeCell ref="MYW25:MYX25"/>
    <mergeCell ref="MYY25:MYZ25"/>
    <mergeCell ref="MYC25:MYD25"/>
    <mergeCell ref="MYE25:MYF25"/>
    <mergeCell ref="MYG25:MYH25"/>
    <mergeCell ref="MYI25:MYJ25"/>
    <mergeCell ref="MYK25:MYL25"/>
    <mergeCell ref="MYM25:MYN25"/>
    <mergeCell ref="NDE25:NDF25"/>
    <mergeCell ref="NDG25:NDH25"/>
    <mergeCell ref="NDI25:NDJ25"/>
    <mergeCell ref="NDK25:NDL25"/>
    <mergeCell ref="NDM25:NDN25"/>
    <mergeCell ref="NDO25:NDP25"/>
    <mergeCell ref="NCS25:NCT25"/>
    <mergeCell ref="NCU25:NCV25"/>
    <mergeCell ref="NCW25:NCX25"/>
    <mergeCell ref="NCY25:NCZ25"/>
    <mergeCell ref="NDA25:NDB25"/>
    <mergeCell ref="NDC25:NDD25"/>
    <mergeCell ref="NCG25:NCH25"/>
    <mergeCell ref="NCI25:NCJ25"/>
    <mergeCell ref="NCK25:NCL25"/>
    <mergeCell ref="NCM25:NCN25"/>
    <mergeCell ref="NCO25:NCP25"/>
    <mergeCell ref="NCQ25:NCR25"/>
    <mergeCell ref="NBU25:NBV25"/>
    <mergeCell ref="NBW25:NBX25"/>
    <mergeCell ref="NBY25:NBZ25"/>
    <mergeCell ref="NCA25:NCB25"/>
    <mergeCell ref="NCC25:NCD25"/>
    <mergeCell ref="NCE25:NCF25"/>
    <mergeCell ref="NBI25:NBJ25"/>
    <mergeCell ref="NBK25:NBL25"/>
    <mergeCell ref="NBM25:NBN25"/>
    <mergeCell ref="NBO25:NBP25"/>
    <mergeCell ref="NBQ25:NBR25"/>
    <mergeCell ref="NBS25:NBT25"/>
    <mergeCell ref="NAW25:NAX25"/>
    <mergeCell ref="NAY25:NAZ25"/>
    <mergeCell ref="NBA25:NBB25"/>
    <mergeCell ref="NBC25:NBD25"/>
    <mergeCell ref="NBE25:NBF25"/>
    <mergeCell ref="NBG25:NBH25"/>
    <mergeCell ref="NFY25:NFZ25"/>
    <mergeCell ref="NGA25:NGB25"/>
    <mergeCell ref="NGC25:NGD25"/>
    <mergeCell ref="NGE25:NGF25"/>
    <mergeCell ref="NGG25:NGH25"/>
    <mergeCell ref="NGI25:NGJ25"/>
    <mergeCell ref="NFM25:NFN25"/>
    <mergeCell ref="NFO25:NFP25"/>
    <mergeCell ref="NFQ25:NFR25"/>
    <mergeCell ref="NFS25:NFT25"/>
    <mergeCell ref="NFU25:NFV25"/>
    <mergeCell ref="NFW25:NFX25"/>
    <mergeCell ref="NFA25:NFB25"/>
    <mergeCell ref="NFC25:NFD25"/>
    <mergeCell ref="NFE25:NFF25"/>
    <mergeCell ref="NFG25:NFH25"/>
    <mergeCell ref="NFI25:NFJ25"/>
    <mergeCell ref="NFK25:NFL25"/>
    <mergeCell ref="NEO25:NEP25"/>
    <mergeCell ref="NEQ25:NER25"/>
    <mergeCell ref="NES25:NET25"/>
    <mergeCell ref="NEU25:NEV25"/>
    <mergeCell ref="NEW25:NEX25"/>
    <mergeCell ref="NEY25:NEZ25"/>
    <mergeCell ref="NEC25:NED25"/>
    <mergeCell ref="NEE25:NEF25"/>
    <mergeCell ref="NEG25:NEH25"/>
    <mergeCell ref="NEI25:NEJ25"/>
    <mergeCell ref="NEK25:NEL25"/>
    <mergeCell ref="NEM25:NEN25"/>
    <mergeCell ref="NDQ25:NDR25"/>
    <mergeCell ref="NDS25:NDT25"/>
    <mergeCell ref="NDU25:NDV25"/>
    <mergeCell ref="NDW25:NDX25"/>
    <mergeCell ref="NDY25:NDZ25"/>
    <mergeCell ref="NEA25:NEB25"/>
    <mergeCell ref="NIS25:NIT25"/>
    <mergeCell ref="NIU25:NIV25"/>
    <mergeCell ref="NIW25:NIX25"/>
    <mergeCell ref="NIY25:NIZ25"/>
    <mergeCell ref="NJA25:NJB25"/>
    <mergeCell ref="NJC25:NJD25"/>
    <mergeCell ref="NIG25:NIH25"/>
    <mergeCell ref="NII25:NIJ25"/>
    <mergeCell ref="NIK25:NIL25"/>
    <mergeCell ref="NIM25:NIN25"/>
    <mergeCell ref="NIO25:NIP25"/>
    <mergeCell ref="NIQ25:NIR25"/>
    <mergeCell ref="NHU25:NHV25"/>
    <mergeCell ref="NHW25:NHX25"/>
    <mergeCell ref="NHY25:NHZ25"/>
    <mergeCell ref="NIA25:NIB25"/>
    <mergeCell ref="NIC25:NID25"/>
    <mergeCell ref="NIE25:NIF25"/>
    <mergeCell ref="NHI25:NHJ25"/>
    <mergeCell ref="NHK25:NHL25"/>
    <mergeCell ref="NHM25:NHN25"/>
    <mergeCell ref="NHO25:NHP25"/>
    <mergeCell ref="NHQ25:NHR25"/>
    <mergeCell ref="NHS25:NHT25"/>
    <mergeCell ref="NGW25:NGX25"/>
    <mergeCell ref="NGY25:NGZ25"/>
    <mergeCell ref="NHA25:NHB25"/>
    <mergeCell ref="NHC25:NHD25"/>
    <mergeCell ref="NHE25:NHF25"/>
    <mergeCell ref="NHG25:NHH25"/>
    <mergeCell ref="NGK25:NGL25"/>
    <mergeCell ref="NGM25:NGN25"/>
    <mergeCell ref="NGO25:NGP25"/>
    <mergeCell ref="NGQ25:NGR25"/>
    <mergeCell ref="NGS25:NGT25"/>
    <mergeCell ref="NGU25:NGV25"/>
    <mergeCell ref="NLM25:NLN25"/>
    <mergeCell ref="NLO25:NLP25"/>
    <mergeCell ref="NLQ25:NLR25"/>
    <mergeCell ref="NLS25:NLT25"/>
    <mergeCell ref="NLU25:NLV25"/>
    <mergeCell ref="NLW25:NLX25"/>
    <mergeCell ref="NLA25:NLB25"/>
    <mergeCell ref="NLC25:NLD25"/>
    <mergeCell ref="NLE25:NLF25"/>
    <mergeCell ref="NLG25:NLH25"/>
    <mergeCell ref="NLI25:NLJ25"/>
    <mergeCell ref="NLK25:NLL25"/>
    <mergeCell ref="NKO25:NKP25"/>
    <mergeCell ref="NKQ25:NKR25"/>
    <mergeCell ref="NKS25:NKT25"/>
    <mergeCell ref="NKU25:NKV25"/>
    <mergeCell ref="NKW25:NKX25"/>
    <mergeCell ref="NKY25:NKZ25"/>
    <mergeCell ref="NKC25:NKD25"/>
    <mergeCell ref="NKE25:NKF25"/>
    <mergeCell ref="NKG25:NKH25"/>
    <mergeCell ref="NKI25:NKJ25"/>
    <mergeCell ref="NKK25:NKL25"/>
    <mergeCell ref="NKM25:NKN25"/>
    <mergeCell ref="NJQ25:NJR25"/>
    <mergeCell ref="NJS25:NJT25"/>
    <mergeCell ref="NJU25:NJV25"/>
    <mergeCell ref="NJW25:NJX25"/>
    <mergeCell ref="NJY25:NJZ25"/>
    <mergeCell ref="NKA25:NKB25"/>
    <mergeCell ref="NJE25:NJF25"/>
    <mergeCell ref="NJG25:NJH25"/>
    <mergeCell ref="NJI25:NJJ25"/>
    <mergeCell ref="NJK25:NJL25"/>
    <mergeCell ref="NJM25:NJN25"/>
    <mergeCell ref="NJO25:NJP25"/>
    <mergeCell ref="NOG25:NOH25"/>
    <mergeCell ref="NOI25:NOJ25"/>
    <mergeCell ref="NOK25:NOL25"/>
    <mergeCell ref="NOM25:NON25"/>
    <mergeCell ref="NOO25:NOP25"/>
    <mergeCell ref="NOQ25:NOR25"/>
    <mergeCell ref="NNU25:NNV25"/>
    <mergeCell ref="NNW25:NNX25"/>
    <mergeCell ref="NNY25:NNZ25"/>
    <mergeCell ref="NOA25:NOB25"/>
    <mergeCell ref="NOC25:NOD25"/>
    <mergeCell ref="NOE25:NOF25"/>
    <mergeCell ref="NNI25:NNJ25"/>
    <mergeCell ref="NNK25:NNL25"/>
    <mergeCell ref="NNM25:NNN25"/>
    <mergeCell ref="NNO25:NNP25"/>
    <mergeCell ref="NNQ25:NNR25"/>
    <mergeCell ref="NNS25:NNT25"/>
    <mergeCell ref="NMW25:NMX25"/>
    <mergeCell ref="NMY25:NMZ25"/>
    <mergeCell ref="NNA25:NNB25"/>
    <mergeCell ref="NNC25:NND25"/>
    <mergeCell ref="NNE25:NNF25"/>
    <mergeCell ref="NNG25:NNH25"/>
    <mergeCell ref="NMK25:NML25"/>
    <mergeCell ref="NMM25:NMN25"/>
    <mergeCell ref="NMO25:NMP25"/>
    <mergeCell ref="NMQ25:NMR25"/>
    <mergeCell ref="NMS25:NMT25"/>
    <mergeCell ref="NMU25:NMV25"/>
    <mergeCell ref="NLY25:NLZ25"/>
    <mergeCell ref="NMA25:NMB25"/>
    <mergeCell ref="NMC25:NMD25"/>
    <mergeCell ref="NME25:NMF25"/>
    <mergeCell ref="NMG25:NMH25"/>
    <mergeCell ref="NMI25:NMJ25"/>
    <mergeCell ref="NRA25:NRB25"/>
    <mergeCell ref="NRC25:NRD25"/>
    <mergeCell ref="NRE25:NRF25"/>
    <mergeCell ref="NRG25:NRH25"/>
    <mergeCell ref="NRI25:NRJ25"/>
    <mergeCell ref="NRK25:NRL25"/>
    <mergeCell ref="NQO25:NQP25"/>
    <mergeCell ref="NQQ25:NQR25"/>
    <mergeCell ref="NQS25:NQT25"/>
    <mergeCell ref="NQU25:NQV25"/>
    <mergeCell ref="NQW25:NQX25"/>
    <mergeCell ref="NQY25:NQZ25"/>
    <mergeCell ref="NQC25:NQD25"/>
    <mergeCell ref="NQE25:NQF25"/>
    <mergeCell ref="NQG25:NQH25"/>
    <mergeCell ref="NQI25:NQJ25"/>
    <mergeCell ref="NQK25:NQL25"/>
    <mergeCell ref="NQM25:NQN25"/>
    <mergeCell ref="NPQ25:NPR25"/>
    <mergeCell ref="NPS25:NPT25"/>
    <mergeCell ref="NPU25:NPV25"/>
    <mergeCell ref="NPW25:NPX25"/>
    <mergeCell ref="NPY25:NPZ25"/>
    <mergeCell ref="NQA25:NQB25"/>
    <mergeCell ref="NPE25:NPF25"/>
    <mergeCell ref="NPG25:NPH25"/>
    <mergeCell ref="NPI25:NPJ25"/>
    <mergeCell ref="NPK25:NPL25"/>
    <mergeCell ref="NPM25:NPN25"/>
    <mergeCell ref="NPO25:NPP25"/>
    <mergeCell ref="NOS25:NOT25"/>
    <mergeCell ref="NOU25:NOV25"/>
    <mergeCell ref="NOW25:NOX25"/>
    <mergeCell ref="NOY25:NOZ25"/>
    <mergeCell ref="NPA25:NPB25"/>
    <mergeCell ref="NPC25:NPD25"/>
    <mergeCell ref="NTU25:NTV25"/>
    <mergeCell ref="NTW25:NTX25"/>
    <mergeCell ref="NTY25:NTZ25"/>
    <mergeCell ref="NUA25:NUB25"/>
    <mergeCell ref="NUC25:NUD25"/>
    <mergeCell ref="NUE25:NUF25"/>
    <mergeCell ref="NTI25:NTJ25"/>
    <mergeCell ref="NTK25:NTL25"/>
    <mergeCell ref="NTM25:NTN25"/>
    <mergeCell ref="NTO25:NTP25"/>
    <mergeCell ref="NTQ25:NTR25"/>
    <mergeCell ref="NTS25:NTT25"/>
    <mergeCell ref="NSW25:NSX25"/>
    <mergeCell ref="NSY25:NSZ25"/>
    <mergeCell ref="NTA25:NTB25"/>
    <mergeCell ref="NTC25:NTD25"/>
    <mergeCell ref="NTE25:NTF25"/>
    <mergeCell ref="NTG25:NTH25"/>
    <mergeCell ref="NSK25:NSL25"/>
    <mergeCell ref="NSM25:NSN25"/>
    <mergeCell ref="NSO25:NSP25"/>
    <mergeCell ref="NSQ25:NSR25"/>
    <mergeCell ref="NSS25:NST25"/>
    <mergeCell ref="NSU25:NSV25"/>
    <mergeCell ref="NRY25:NRZ25"/>
    <mergeCell ref="NSA25:NSB25"/>
    <mergeCell ref="NSC25:NSD25"/>
    <mergeCell ref="NSE25:NSF25"/>
    <mergeCell ref="NSG25:NSH25"/>
    <mergeCell ref="NSI25:NSJ25"/>
    <mergeCell ref="NRM25:NRN25"/>
    <mergeCell ref="NRO25:NRP25"/>
    <mergeCell ref="NRQ25:NRR25"/>
    <mergeCell ref="NRS25:NRT25"/>
    <mergeCell ref="NRU25:NRV25"/>
    <mergeCell ref="NRW25:NRX25"/>
    <mergeCell ref="NWO25:NWP25"/>
    <mergeCell ref="NWQ25:NWR25"/>
    <mergeCell ref="NWS25:NWT25"/>
    <mergeCell ref="NWU25:NWV25"/>
    <mergeCell ref="NWW25:NWX25"/>
    <mergeCell ref="NWY25:NWZ25"/>
    <mergeCell ref="NWC25:NWD25"/>
    <mergeCell ref="NWE25:NWF25"/>
    <mergeCell ref="NWG25:NWH25"/>
    <mergeCell ref="NWI25:NWJ25"/>
    <mergeCell ref="NWK25:NWL25"/>
    <mergeCell ref="NWM25:NWN25"/>
    <mergeCell ref="NVQ25:NVR25"/>
    <mergeCell ref="NVS25:NVT25"/>
    <mergeCell ref="NVU25:NVV25"/>
    <mergeCell ref="NVW25:NVX25"/>
    <mergeCell ref="NVY25:NVZ25"/>
    <mergeCell ref="NWA25:NWB25"/>
    <mergeCell ref="NVE25:NVF25"/>
    <mergeCell ref="NVG25:NVH25"/>
    <mergeCell ref="NVI25:NVJ25"/>
    <mergeCell ref="NVK25:NVL25"/>
    <mergeCell ref="NVM25:NVN25"/>
    <mergeCell ref="NVO25:NVP25"/>
    <mergeCell ref="NUS25:NUT25"/>
    <mergeCell ref="NUU25:NUV25"/>
    <mergeCell ref="NUW25:NUX25"/>
    <mergeCell ref="NUY25:NUZ25"/>
    <mergeCell ref="NVA25:NVB25"/>
    <mergeCell ref="NVC25:NVD25"/>
    <mergeCell ref="NUG25:NUH25"/>
    <mergeCell ref="NUI25:NUJ25"/>
    <mergeCell ref="NUK25:NUL25"/>
    <mergeCell ref="NUM25:NUN25"/>
    <mergeCell ref="NUO25:NUP25"/>
    <mergeCell ref="NUQ25:NUR25"/>
    <mergeCell ref="NZI25:NZJ25"/>
    <mergeCell ref="NZK25:NZL25"/>
    <mergeCell ref="NZM25:NZN25"/>
    <mergeCell ref="NZO25:NZP25"/>
    <mergeCell ref="NZQ25:NZR25"/>
    <mergeCell ref="NZS25:NZT25"/>
    <mergeCell ref="NYW25:NYX25"/>
    <mergeCell ref="NYY25:NYZ25"/>
    <mergeCell ref="NZA25:NZB25"/>
    <mergeCell ref="NZC25:NZD25"/>
    <mergeCell ref="NZE25:NZF25"/>
    <mergeCell ref="NZG25:NZH25"/>
    <mergeCell ref="NYK25:NYL25"/>
    <mergeCell ref="NYM25:NYN25"/>
    <mergeCell ref="NYO25:NYP25"/>
    <mergeCell ref="NYQ25:NYR25"/>
    <mergeCell ref="NYS25:NYT25"/>
    <mergeCell ref="NYU25:NYV25"/>
    <mergeCell ref="NXY25:NXZ25"/>
    <mergeCell ref="NYA25:NYB25"/>
    <mergeCell ref="NYC25:NYD25"/>
    <mergeCell ref="NYE25:NYF25"/>
    <mergeCell ref="NYG25:NYH25"/>
    <mergeCell ref="NYI25:NYJ25"/>
    <mergeCell ref="NXM25:NXN25"/>
    <mergeCell ref="NXO25:NXP25"/>
    <mergeCell ref="NXQ25:NXR25"/>
    <mergeCell ref="NXS25:NXT25"/>
    <mergeCell ref="NXU25:NXV25"/>
    <mergeCell ref="NXW25:NXX25"/>
    <mergeCell ref="NXA25:NXB25"/>
    <mergeCell ref="NXC25:NXD25"/>
    <mergeCell ref="NXE25:NXF25"/>
    <mergeCell ref="NXG25:NXH25"/>
    <mergeCell ref="NXI25:NXJ25"/>
    <mergeCell ref="NXK25:NXL25"/>
    <mergeCell ref="OCC25:OCD25"/>
    <mergeCell ref="OCE25:OCF25"/>
    <mergeCell ref="OCG25:OCH25"/>
    <mergeCell ref="OCI25:OCJ25"/>
    <mergeCell ref="OCK25:OCL25"/>
    <mergeCell ref="OCM25:OCN25"/>
    <mergeCell ref="OBQ25:OBR25"/>
    <mergeCell ref="OBS25:OBT25"/>
    <mergeCell ref="OBU25:OBV25"/>
    <mergeCell ref="OBW25:OBX25"/>
    <mergeCell ref="OBY25:OBZ25"/>
    <mergeCell ref="OCA25:OCB25"/>
    <mergeCell ref="OBE25:OBF25"/>
    <mergeCell ref="OBG25:OBH25"/>
    <mergeCell ref="OBI25:OBJ25"/>
    <mergeCell ref="OBK25:OBL25"/>
    <mergeCell ref="OBM25:OBN25"/>
    <mergeCell ref="OBO25:OBP25"/>
    <mergeCell ref="OAS25:OAT25"/>
    <mergeCell ref="OAU25:OAV25"/>
    <mergeCell ref="OAW25:OAX25"/>
    <mergeCell ref="OAY25:OAZ25"/>
    <mergeCell ref="OBA25:OBB25"/>
    <mergeCell ref="OBC25:OBD25"/>
    <mergeCell ref="OAG25:OAH25"/>
    <mergeCell ref="OAI25:OAJ25"/>
    <mergeCell ref="OAK25:OAL25"/>
    <mergeCell ref="OAM25:OAN25"/>
    <mergeCell ref="OAO25:OAP25"/>
    <mergeCell ref="OAQ25:OAR25"/>
    <mergeCell ref="NZU25:NZV25"/>
    <mergeCell ref="NZW25:NZX25"/>
    <mergeCell ref="NZY25:NZZ25"/>
    <mergeCell ref="OAA25:OAB25"/>
    <mergeCell ref="OAC25:OAD25"/>
    <mergeCell ref="OAE25:OAF25"/>
    <mergeCell ref="OEW25:OEX25"/>
    <mergeCell ref="OEY25:OEZ25"/>
    <mergeCell ref="OFA25:OFB25"/>
    <mergeCell ref="OFC25:OFD25"/>
    <mergeCell ref="OFE25:OFF25"/>
    <mergeCell ref="OFG25:OFH25"/>
    <mergeCell ref="OEK25:OEL25"/>
    <mergeCell ref="OEM25:OEN25"/>
    <mergeCell ref="OEO25:OEP25"/>
    <mergeCell ref="OEQ25:OER25"/>
    <mergeCell ref="OES25:OET25"/>
    <mergeCell ref="OEU25:OEV25"/>
    <mergeCell ref="ODY25:ODZ25"/>
    <mergeCell ref="OEA25:OEB25"/>
    <mergeCell ref="OEC25:OED25"/>
    <mergeCell ref="OEE25:OEF25"/>
    <mergeCell ref="OEG25:OEH25"/>
    <mergeCell ref="OEI25:OEJ25"/>
    <mergeCell ref="ODM25:ODN25"/>
    <mergeCell ref="ODO25:ODP25"/>
    <mergeCell ref="ODQ25:ODR25"/>
    <mergeCell ref="ODS25:ODT25"/>
    <mergeCell ref="ODU25:ODV25"/>
    <mergeCell ref="ODW25:ODX25"/>
    <mergeCell ref="ODA25:ODB25"/>
    <mergeCell ref="ODC25:ODD25"/>
    <mergeCell ref="ODE25:ODF25"/>
    <mergeCell ref="ODG25:ODH25"/>
    <mergeCell ref="ODI25:ODJ25"/>
    <mergeCell ref="ODK25:ODL25"/>
    <mergeCell ref="OCO25:OCP25"/>
    <mergeCell ref="OCQ25:OCR25"/>
    <mergeCell ref="OCS25:OCT25"/>
    <mergeCell ref="OCU25:OCV25"/>
    <mergeCell ref="OCW25:OCX25"/>
    <mergeCell ref="OCY25:OCZ25"/>
    <mergeCell ref="OHQ25:OHR25"/>
    <mergeCell ref="OHS25:OHT25"/>
    <mergeCell ref="OHU25:OHV25"/>
    <mergeCell ref="OHW25:OHX25"/>
    <mergeCell ref="OHY25:OHZ25"/>
    <mergeCell ref="OIA25:OIB25"/>
    <mergeCell ref="OHE25:OHF25"/>
    <mergeCell ref="OHG25:OHH25"/>
    <mergeCell ref="OHI25:OHJ25"/>
    <mergeCell ref="OHK25:OHL25"/>
    <mergeCell ref="OHM25:OHN25"/>
    <mergeCell ref="OHO25:OHP25"/>
    <mergeCell ref="OGS25:OGT25"/>
    <mergeCell ref="OGU25:OGV25"/>
    <mergeCell ref="OGW25:OGX25"/>
    <mergeCell ref="OGY25:OGZ25"/>
    <mergeCell ref="OHA25:OHB25"/>
    <mergeCell ref="OHC25:OHD25"/>
    <mergeCell ref="OGG25:OGH25"/>
    <mergeCell ref="OGI25:OGJ25"/>
    <mergeCell ref="OGK25:OGL25"/>
    <mergeCell ref="OGM25:OGN25"/>
    <mergeCell ref="OGO25:OGP25"/>
    <mergeCell ref="OGQ25:OGR25"/>
    <mergeCell ref="OFU25:OFV25"/>
    <mergeCell ref="OFW25:OFX25"/>
    <mergeCell ref="OFY25:OFZ25"/>
    <mergeCell ref="OGA25:OGB25"/>
    <mergeCell ref="OGC25:OGD25"/>
    <mergeCell ref="OGE25:OGF25"/>
    <mergeCell ref="OFI25:OFJ25"/>
    <mergeCell ref="OFK25:OFL25"/>
    <mergeCell ref="OFM25:OFN25"/>
    <mergeCell ref="OFO25:OFP25"/>
    <mergeCell ref="OFQ25:OFR25"/>
    <mergeCell ref="OFS25:OFT25"/>
    <mergeCell ref="OKK25:OKL25"/>
    <mergeCell ref="OKM25:OKN25"/>
    <mergeCell ref="OKO25:OKP25"/>
    <mergeCell ref="OKQ25:OKR25"/>
    <mergeCell ref="OKS25:OKT25"/>
    <mergeCell ref="OKU25:OKV25"/>
    <mergeCell ref="OJY25:OJZ25"/>
    <mergeCell ref="OKA25:OKB25"/>
    <mergeCell ref="OKC25:OKD25"/>
    <mergeCell ref="OKE25:OKF25"/>
    <mergeCell ref="OKG25:OKH25"/>
    <mergeCell ref="OKI25:OKJ25"/>
    <mergeCell ref="OJM25:OJN25"/>
    <mergeCell ref="OJO25:OJP25"/>
    <mergeCell ref="OJQ25:OJR25"/>
    <mergeCell ref="OJS25:OJT25"/>
    <mergeCell ref="OJU25:OJV25"/>
    <mergeCell ref="OJW25:OJX25"/>
    <mergeCell ref="OJA25:OJB25"/>
    <mergeCell ref="OJC25:OJD25"/>
    <mergeCell ref="OJE25:OJF25"/>
    <mergeCell ref="OJG25:OJH25"/>
    <mergeCell ref="OJI25:OJJ25"/>
    <mergeCell ref="OJK25:OJL25"/>
    <mergeCell ref="OIO25:OIP25"/>
    <mergeCell ref="OIQ25:OIR25"/>
    <mergeCell ref="OIS25:OIT25"/>
    <mergeCell ref="OIU25:OIV25"/>
    <mergeCell ref="OIW25:OIX25"/>
    <mergeCell ref="OIY25:OIZ25"/>
    <mergeCell ref="OIC25:OID25"/>
    <mergeCell ref="OIE25:OIF25"/>
    <mergeCell ref="OIG25:OIH25"/>
    <mergeCell ref="OII25:OIJ25"/>
    <mergeCell ref="OIK25:OIL25"/>
    <mergeCell ref="OIM25:OIN25"/>
    <mergeCell ref="ONE25:ONF25"/>
    <mergeCell ref="ONG25:ONH25"/>
    <mergeCell ref="ONI25:ONJ25"/>
    <mergeCell ref="ONK25:ONL25"/>
    <mergeCell ref="ONM25:ONN25"/>
    <mergeCell ref="ONO25:ONP25"/>
    <mergeCell ref="OMS25:OMT25"/>
    <mergeCell ref="OMU25:OMV25"/>
    <mergeCell ref="OMW25:OMX25"/>
    <mergeCell ref="OMY25:OMZ25"/>
    <mergeCell ref="ONA25:ONB25"/>
    <mergeCell ref="ONC25:OND25"/>
    <mergeCell ref="OMG25:OMH25"/>
    <mergeCell ref="OMI25:OMJ25"/>
    <mergeCell ref="OMK25:OML25"/>
    <mergeCell ref="OMM25:OMN25"/>
    <mergeCell ref="OMO25:OMP25"/>
    <mergeCell ref="OMQ25:OMR25"/>
    <mergeCell ref="OLU25:OLV25"/>
    <mergeCell ref="OLW25:OLX25"/>
    <mergeCell ref="OLY25:OLZ25"/>
    <mergeCell ref="OMA25:OMB25"/>
    <mergeCell ref="OMC25:OMD25"/>
    <mergeCell ref="OME25:OMF25"/>
    <mergeCell ref="OLI25:OLJ25"/>
    <mergeCell ref="OLK25:OLL25"/>
    <mergeCell ref="OLM25:OLN25"/>
    <mergeCell ref="OLO25:OLP25"/>
    <mergeCell ref="OLQ25:OLR25"/>
    <mergeCell ref="OLS25:OLT25"/>
    <mergeCell ref="OKW25:OKX25"/>
    <mergeCell ref="OKY25:OKZ25"/>
    <mergeCell ref="OLA25:OLB25"/>
    <mergeCell ref="OLC25:OLD25"/>
    <mergeCell ref="OLE25:OLF25"/>
    <mergeCell ref="OLG25:OLH25"/>
    <mergeCell ref="OPY25:OPZ25"/>
    <mergeCell ref="OQA25:OQB25"/>
    <mergeCell ref="OQC25:OQD25"/>
    <mergeCell ref="OQE25:OQF25"/>
    <mergeCell ref="OQG25:OQH25"/>
    <mergeCell ref="OQI25:OQJ25"/>
    <mergeCell ref="OPM25:OPN25"/>
    <mergeCell ref="OPO25:OPP25"/>
    <mergeCell ref="OPQ25:OPR25"/>
    <mergeCell ref="OPS25:OPT25"/>
    <mergeCell ref="OPU25:OPV25"/>
    <mergeCell ref="OPW25:OPX25"/>
    <mergeCell ref="OPA25:OPB25"/>
    <mergeCell ref="OPC25:OPD25"/>
    <mergeCell ref="OPE25:OPF25"/>
    <mergeCell ref="OPG25:OPH25"/>
    <mergeCell ref="OPI25:OPJ25"/>
    <mergeCell ref="OPK25:OPL25"/>
    <mergeCell ref="OOO25:OOP25"/>
    <mergeCell ref="OOQ25:OOR25"/>
    <mergeCell ref="OOS25:OOT25"/>
    <mergeCell ref="OOU25:OOV25"/>
    <mergeCell ref="OOW25:OOX25"/>
    <mergeCell ref="OOY25:OOZ25"/>
    <mergeCell ref="OOC25:OOD25"/>
    <mergeCell ref="OOE25:OOF25"/>
    <mergeCell ref="OOG25:OOH25"/>
    <mergeCell ref="OOI25:OOJ25"/>
    <mergeCell ref="OOK25:OOL25"/>
    <mergeCell ref="OOM25:OON25"/>
    <mergeCell ref="ONQ25:ONR25"/>
    <mergeCell ref="ONS25:ONT25"/>
    <mergeCell ref="ONU25:ONV25"/>
    <mergeCell ref="ONW25:ONX25"/>
    <mergeCell ref="ONY25:ONZ25"/>
    <mergeCell ref="OOA25:OOB25"/>
    <mergeCell ref="OSS25:OST25"/>
    <mergeCell ref="OSU25:OSV25"/>
    <mergeCell ref="OSW25:OSX25"/>
    <mergeCell ref="OSY25:OSZ25"/>
    <mergeCell ref="OTA25:OTB25"/>
    <mergeCell ref="OTC25:OTD25"/>
    <mergeCell ref="OSG25:OSH25"/>
    <mergeCell ref="OSI25:OSJ25"/>
    <mergeCell ref="OSK25:OSL25"/>
    <mergeCell ref="OSM25:OSN25"/>
    <mergeCell ref="OSO25:OSP25"/>
    <mergeCell ref="OSQ25:OSR25"/>
    <mergeCell ref="ORU25:ORV25"/>
    <mergeCell ref="ORW25:ORX25"/>
    <mergeCell ref="ORY25:ORZ25"/>
    <mergeCell ref="OSA25:OSB25"/>
    <mergeCell ref="OSC25:OSD25"/>
    <mergeCell ref="OSE25:OSF25"/>
    <mergeCell ref="ORI25:ORJ25"/>
    <mergeCell ref="ORK25:ORL25"/>
    <mergeCell ref="ORM25:ORN25"/>
    <mergeCell ref="ORO25:ORP25"/>
    <mergeCell ref="ORQ25:ORR25"/>
    <mergeCell ref="ORS25:ORT25"/>
    <mergeCell ref="OQW25:OQX25"/>
    <mergeCell ref="OQY25:OQZ25"/>
    <mergeCell ref="ORA25:ORB25"/>
    <mergeCell ref="ORC25:ORD25"/>
    <mergeCell ref="ORE25:ORF25"/>
    <mergeCell ref="ORG25:ORH25"/>
    <mergeCell ref="OQK25:OQL25"/>
    <mergeCell ref="OQM25:OQN25"/>
    <mergeCell ref="OQO25:OQP25"/>
    <mergeCell ref="OQQ25:OQR25"/>
    <mergeCell ref="OQS25:OQT25"/>
    <mergeCell ref="OQU25:OQV25"/>
    <mergeCell ref="OVM25:OVN25"/>
    <mergeCell ref="OVO25:OVP25"/>
    <mergeCell ref="OVQ25:OVR25"/>
    <mergeCell ref="OVS25:OVT25"/>
    <mergeCell ref="OVU25:OVV25"/>
    <mergeCell ref="OVW25:OVX25"/>
    <mergeCell ref="OVA25:OVB25"/>
    <mergeCell ref="OVC25:OVD25"/>
    <mergeCell ref="OVE25:OVF25"/>
    <mergeCell ref="OVG25:OVH25"/>
    <mergeCell ref="OVI25:OVJ25"/>
    <mergeCell ref="OVK25:OVL25"/>
    <mergeCell ref="OUO25:OUP25"/>
    <mergeCell ref="OUQ25:OUR25"/>
    <mergeCell ref="OUS25:OUT25"/>
    <mergeCell ref="OUU25:OUV25"/>
    <mergeCell ref="OUW25:OUX25"/>
    <mergeCell ref="OUY25:OUZ25"/>
    <mergeCell ref="OUC25:OUD25"/>
    <mergeCell ref="OUE25:OUF25"/>
    <mergeCell ref="OUG25:OUH25"/>
    <mergeCell ref="OUI25:OUJ25"/>
    <mergeCell ref="OUK25:OUL25"/>
    <mergeCell ref="OUM25:OUN25"/>
    <mergeCell ref="OTQ25:OTR25"/>
    <mergeCell ref="OTS25:OTT25"/>
    <mergeCell ref="OTU25:OTV25"/>
    <mergeCell ref="OTW25:OTX25"/>
    <mergeCell ref="OTY25:OTZ25"/>
    <mergeCell ref="OUA25:OUB25"/>
    <mergeCell ref="OTE25:OTF25"/>
    <mergeCell ref="OTG25:OTH25"/>
    <mergeCell ref="OTI25:OTJ25"/>
    <mergeCell ref="OTK25:OTL25"/>
    <mergeCell ref="OTM25:OTN25"/>
    <mergeCell ref="OTO25:OTP25"/>
    <mergeCell ref="OYG25:OYH25"/>
    <mergeCell ref="OYI25:OYJ25"/>
    <mergeCell ref="OYK25:OYL25"/>
    <mergeCell ref="OYM25:OYN25"/>
    <mergeCell ref="OYO25:OYP25"/>
    <mergeCell ref="OYQ25:OYR25"/>
    <mergeCell ref="OXU25:OXV25"/>
    <mergeCell ref="OXW25:OXX25"/>
    <mergeCell ref="OXY25:OXZ25"/>
    <mergeCell ref="OYA25:OYB25"/>
    <mergeCell ref="OYC25:OYD25"/>
    <mergeCell ref="OYE25:OYF25"/>
    <mergeCell ref="OXI25:OXJ25"/>
    <mergeCell ref="OXK25:OXL25"/>
    <mergeCell ref="OXM25:OXN25"/>
    <mergeCell ref="OXO25:OXP25"/>
    <mergeCell ref="OXQ25:OXR25"/>
    <mergeCell ref="OXS25:OXT25"/>
    <mergeCell ref="OWW25:OWX25"/>
    <mergeCell ref="OWY25:OWZ25"/>
    <mergeCell ref="OXA25:OXB25"/>
    <mergeCell ref="OXC25:OXD25"/>
    <mergeCell ref="OXE25:OXF25"/>
    <mergeCell ref="OXG25:OXH25"/>
    <mergeCell ref="OWK25:OWL25"/>
    <mergeCell ref="OWM25:OWN25"/>
    <mergeCell ref="OWO25:OWP25"/>
    <mergeCell ref="OWQ25:OWR25"/>
    <mergeCell ref="OWS25:OWT25"/>
    <mergeCell ref="OWU25:OWV25"/>
    <mergeCell ref="OVY25:OVZ25"/>
    <mergeCell ref="OWA25:OWB25"/>
    <mergeCell ref="OWC25:OWD25"/>
    <mergeCell ref="OWE25:OWF25"/>
    <mergeCell ref="OWG25:OWH25"/>
    <mergeCell ref="OWI25:OWJ25"/>
    <mergeCell ref="PBA25:PBB25"/>
    <mergeCell ref="PBC25:PBD25"/>
    <mergeCell ref="PBE25:PBF25"/>
    <mergeCell ref="PBG25:PBH25"/>
    <mergeCell ref="PBI25:PBJ25"/>
    <mergeCell ref="PBK25:PBL25"/>
    <mergeCell ref="PAO25:PAP25"/>
    <mergeCell ref="PAQ25:PAR25"/>
    <mergeCell ref="PAS25:PAT25"/>
    <mergeCell ref="PAU25:PAV25"/>
    <mergeCell ref="PAW25:PAX25"/>
    <mergeCell ref="PAY25:PAZ25"/>
    <mergeCell ref="PAC25:PAD25"/>
    <mergeCell ref="PAE25:PAF25"/>
    <mergeCell ref="PAG25:PAH25"/>
    <mergeCell ref="PAI25:PAJ25"/>
    <mergeCell ref="PAK25:PAL25"/>
    <mergeCell ref="PAM25:PAN25"/>
    <mergeCell ref="OZQ25:OZR25"/>
    <mergeCell ref="OZS25:OZT25"/>
    <mergeCell ref="OZU25:OZV25"/>
    <mergeCell ref="OZW25:OZX25"/>
    <mergeCell ref="OZY25:OZZ25"/>
    <mergeCell ref="PAA25:PAB25"/>
    <mergeCell ref="OZE25:OZF25"/>
    <mergeCell ref="OZG25:OZH25"/>
    <mergeCell ref="OZI25:OZJ25"/>
    <mergeCell ref="OZK25:OZL25"/>
    <mergeCell ref="OZM25:OZN25"/>
    <mergeCell ref="OZO25:OZP25"/>
    <mergeCell ref="OYS25:OYT25"/>
    <mergeCell ref="OYU25:OYV25"/>
    <mergeCell ref="OYW25:OYX25"/>
    <mergeCell ref="OYY25:OYZ25"/>
    <mergeCell ref="OZA25:OZB25"/>
    <mergeCell ref="OZC25:OZD25"/>
    <mergeCell ref="PDU25:PDV25"/>
    <mergeCell ref="PDW25:PDX25"/>
    <mergeCell ref="PDY25:PDZ25"/>
    <mergeCell ref="PEA25:PEB25"/>
    <mergeCell ref="PEC25:PED25"/>
    <mergeCell ref="PEE25:PEF25"/>
    <mergeCell ref="PDI25:PDJ25"/>
    <mergeCell ref="PDK25:PDL25"/>
    <mergeCell ref="PDM25:PDN25"/>
    <mergeCell ref="PDO25:PDP25"/>
    <mergeCell ref="PDQ25:PDR25"/>
    <mergeCell ref="PDS25:PDT25"/>
    <mergeCell ref="PCW25:PCX25"/>
    <mergeCell ref="PCY25:PCZ25"/>
    <mergeCell ref="PDA25:PDB25"/>
    <mergeCell ref="PDC25:PDD25"/>
    <mergeCell ref="PDE25:PDF25"/>
    <mergeCell ref="PDG25:PDH25"/>
    <mergeCell ref="PCK25:PCL25"/>
    <mergeCell ref="PCM25:PCN25"/>
    <mergeCell ref="PCO25:PCP25"/>
    <mergeCell ref="PCQ25:PCR25"/>
    <mergeCell ref="PCS25:PCT25"/>
    <mergeCell ref="PCU25:PCV25"/>
    <mergeCell ref="PBY25:PBZ25"/>
    <mergeCell ref="PCA25:PCB25"/>
    <mergeCell ref="PCC25:PCD25"/>
    <mergeCell ref="PCE25:PCF25"/>
    <mergeCell ref="PCG25:PCH25"/>
    <mergeCell ref="PCI25:PCJ25"/>
    <mergeCell ref="PBM25:PBN25"/>
    <mergeCell ref="PBO25:PBP25"/>
    <mergeCell ref="PBQ25:PBR25"/>
    <mergeCell ref="PBS25:PBT25"/>
    <mergeCell ref="PBU25:PBV25"/>
    <mergeCell ref="PBW25:PBX25"/>
    <mergeCell ref="PGO25:PGP25"/>
    <mergeCell ref="PGQ25:PGR25"/>
    <mergeCell ref="PGS25:PGT25"/>
    <mergeCell ref="PGU25:PGV25"/>
    <mergeCell ref="PGW25:PGX25"/>
    <mergeCell ref="PGY25:PGZ25"/>
    <mergeCell ref="PGC25:PGD25"/>
    <mergeCell ref="PGE25:PGF25"/>
    <mergeCell ref="PGG25:PGH25"/>
    <mergeCell ref="PGI25:PGJ25"/>
    <mergeCell ref="PGK25:PGL25"/>
    <mergeCell ref="PGM25:PGN25"/>
    <mergeCell ref="PFQ25:PFR25"/>
    <mergeCell ref="PFS25:PFT25"/>
    <mergeCell ref="PFU25:PFV25"/>
    <mergeCell ref="PFW25:PFX25"/>
    <mergeCell ref="PFY25:PFZ25"/>
    <mergeCell ref="PGA25:PGB25"/>
    <mergeCell ref="PFE25:PFF25"/>
    <mergeCell ref="PFG25:PFH25"/>
    <mergeCell ref="PFI25:PFJ25"/>
    <mergeCell ref="PFK25:PFL25"/>
    <mergeCell ref="PFM25:PFN25"/>
    <mergeCell ref="PFO25:PFP25"/>
    <mergeCell ref="PES25:PET25"/>
    <mergeCell ref="PEU25:PEV25"/>
    <mergeCell ref="PEW25:PEX25"/>
    <mergeCell ref="PEY25:PEZ25"/>
    <mergeCell ref="PFA25:PFB25"/>
    <mergeCell ref="PFC25:PFD25"/>
    <mergeCell ref="PEG25:PEH25"/>
    <mergeCell ref="PEI25:PEJ25"/>
    <mergeCell ref="PEK25:PEL25"/>
    <mergeCell ref="PEM25:PEN25"/>
    <mergeCell ref="PEO25:PEP25"/>
    <mergeCell ref="PEQ25:PER25"/>
    <mergeCell ref="PJI25:PJJ25"/>
    <mergeCell ref="PJK25:PJL25"/>
    <mergeCell ref="PJM25:PJN25"/>
    <mergeCell ref="PJO25:PJP25"/>
    <mergeCell ref="PJQ25:PJR25"/>
    <mergeCell ref="PJS25:PJT25"/>
    <mergeCell ref="PIW25:PIX25"/>
    <mergeCell ref="PIY25:PIZ25"/>
    <mergeCell ref="PJA25:PJB25"/>
    <mergeCell ref="PJC25:PJD25"/>
    <mergeCell ref="PJE25:PJF25"/>
    <mergeCell ref="PJG25:PJH25"/>
    <mergeCell ref="PIK25:PIL25"/>
    <mergeCell ref="PIM25:PIN25"/>
    <mergeCell ref="PIO25:PIP25"/>
    <mergeCell ref="PIQ25:PIR25"/>
    <mergeCell ref="PIS25:PIT25"/>
    <mergeCell ref="PIU25:PIV25"/>
    <mergeCell ref="PHY25:PHZ25"/>
    <mergeCell ref="PIA25:PIB25"/>
    <mergeCell ref="PIC25:PID25"/>
    <mergeCell ref="PIE25:PIF25"/>
    <mergeCell ref="PIG25:PIH25"/>
    <mergeCell ref="PII25:PIJ25"/>
    <mergeCell ref="PHM25:PHN25"/>
    <mergeCell ref="PHO25:PHP25"/>
    <mergeCell ref="PHQ25:PHR25"/>
    <mergeCell ref="PHS25:PHT25"/>
    <mergeCell ref="PHU25:PHV25"/>
    <mergeCell ref="PHW25:PHX25"/>
    <mergeCell ref="PHA25:PHB25"/>
    <mergeCell ref="PHC25:PHD25"/>
    <mergeCell ref="PHE25:PHF25"/>
    <mergeCell ref="PHG25:PHH25"/>
    <mergeCell ref="PHI25:PHJ25"/>
    <mergeCell ref="PHK25:PHL25"/>
    <mergeCell ref="PMC25:PMD25"/>
    <mergeCell ref="PME25:PMF25"/>
    <mergeCell ref="PMG25:PMH25"/>
    <mergeCell ref="PMI25:PMJ25"/>
    <mergeCell ref="PMK25:PML25"/>
    <mergeCell ref="PMM25:PMN25"/>
    <mergeCell ref="PLQ25:PLR25"/>
    <mergeCell ref="PLS25:PLT25"/>
    <mergeCell ref="PLU25:PLV25"/>
    <mergeCell ref="PLW25:PLX25"/>
    <mergeCell ref="PLY25:PLZ25"/>
    <mergeCell ref="PMA25:PMB25"/>
    <mergeCell ref="PLE25:PLF25"/>
    <mergeCell ref="PLG25:PLH25"/>
    <mergeCell ref="PLI25:PLJ25"/>
    <mergeCell ref="PLK25:PLL25"/>
    <mergeCell ref="PLM25:PLN25"/>
    <mergeCell ref="PLO25:PLP25"/>
    <mergeCell ref="PKS25:PKT25"/>
    <mergeCell ref="PKU25:PKV25"/>
    <mergeCell ref="PKW25:PKX25"/>
    <mergeCell ref="PKY25:PKZ25"/>
    <mergeCell ref="PLA25:PLB25"/>
    <mergeCell ref="PLC25:PLD25"/>
    <mergeCell ref="PKG25:PKH25"/>
    <mergeCell ref="PKI25:PKJ25"/>
    <mergeCell ref="PKK25:PKL25"/>
    <mergeCell ref="PKM25:PKN25"/>
    <mergeCell ref="PKO25:PKP25"/>
    <mergeCell ref="PKQ25:PKR25"/>
    <mergeCell ref="PJU25:PJV25"/>
    <mergeCell ref="PJW25:PJX25"/>
    <mergeCell ref="PJY25:PJZ25"/>
    <mergeCell ref="PKA25:PKB25"/>
    <mergeCell ref="PKC25:PKD25"/>
    <mergeCell ref="PKE25:PKF25"/>
    <mergeCell ref="POW25:POX25"/>
    <mergeCell ref="POY25:POZ25"/>
    <mergeCell ref="PPA25:PPB25"/>
    <mergeCell ref="PPC25:PPD25"/>
    <mergeCell ref="PPE25:PPF25"/>
    <mergeCell ref="PPG25:PPH25"/>
    <mergeCell ref="POK25:POL25"/>
    <mergeCell ref="POM25:PON25"/>
    <mergeCell ref="POO25:POP25"/>
    <mergeCell ref="POQ25:POR25"/>
    <mergeCell ref="POS25:POT25"/>
    <mergeCell ref="POU25:POV25"/>
    <mergeCell ref="PNY25:PNZ25"/>
    <mergeCell ref="POA25:POB25"/>
    <mergeCell ref="POC25:POD25"/>
    <mergeCell ref="POE25:POF25"/>
    <mergeCell ref="POG25:POH25"/>
    <mergeCell ref="POI25:POJ25"/>
    <mergeCell ref="PNM25:PNN25"/>
    <mergeCell ref="PNO25:PNP25"/>
    <mergeCell ref="PNQ25:PNR25"/>
    <mergeCell ref="PNS25:PNT25"/>
    <mergeCell ref="PNU25:PNV25"/>
    <mergeCell ref="PNW25:PNX25"/>
    <mergeCell ref="PNA25:PNB25"/>
    <mergeCell ref="PNC25:PND25"/>
    <mergeCell ref="PNE25:PNF25"/>
    <mergeCell ref="PNG25:PNH25"/>
    <mergeCell ref="PNI25:PNJ25"/>
    <mergeCell ref="PNK25:PNL25"/>
    <mergeCell ref="PMO25:PMP25"/>
    <mergeCell ref="PMQ25:PMR25"/>
    <mergeCell ref="PMS25:PMT25"/>
    <mergeCell ref="PMU25:PMV25"/>
    <mergeCell ref="PMW25:PMX25"/>
    <mergeCell ref="PMY25:PMZ25"/>
    <mergeCell ref="PRQ25:PRR25"/>
    <mergeCell ref="PRS25:PRT25"/>
    <mergeCell ref="PRU25:PRV25"/>
    <mergeCell ref="PRW25:PRX25"/>
    <mergeCell ref="PRY25:PRZ25"/>
    <mergeCell ref="PSA25:PSB25"/>
    <mergeCell ref="PRE25:PRF25"/>
    <mergeCell ref="PRG25:PRH25"/>
    <mergeCell ref="PRI25:PRJ25"/>
    <mergeCell ref="PRK25:PRL25"/>
    <mergeCell ref="PRM25:PRN25"/>
    <mergeCell ref="PRO25:PRP25"/>
    <mergeCell ref="PQS25:PQT25"/>
    <mergeCell ref="PQU25:PQV25"/>
    <mergeCell ref="PQW25:PQX25"/>
    <mergeCell ref="PQY25:PQZ25"/>
    <mergeCell ref="PRA25:PRB25"/>
    <mergeCell ref="PRC25:PRD25"/>
    <mergeCell ref="PQG25:PQH25"/>
    <mergeCell ref="PQI25:PQJ25"/>
    <mergeCell ref="PQK25:PQL25"/>
    <mergeCell ref="PQM25:PQN25"/>
    <mergeCell ref="PQO25:PQP25"/>
    <mergeCell ref="PQQ25:PQR25"/>
    <mergeCell ref="PPU25:PPV25"/>
    <mergeCell ref="PPW25:PPX25"/>
    <mergeCell ref="PPY25:PPZ25"/>
    <mergeCell ref="PQA25:PQB25"/>
    <mergeCell ref="PQC25:PQD25"/>
    <mergeCell ref="PQE25:PQF25"/>
    <mergeCell ref="PPI25:PPJ25"/>
    <mergeCell ref="PPK25:PPL25"/>
    <mergeCell ref="PPM25:PPN25"/>
    <mergeCell ref="PPO25:PPP25"/>
    <mergeCell ref="PPQ25:PPR25"/>
    <mergeCell ref="PPS25:PPT25"/>
    <mergeCell ref="PUK25:PUL25"/>
    <mergeCell ref="PUM25:PUN25"/>
    <mergeCell ref="PUO25:PUP25"/>
    <mergeCell ref="PUQ25:PUR25"/>
    <mergeCell ref="PUS25:PUT25"/>
    <mergeCell ref="PUU25:PUV25"/>
    <mergeCell ref="PTY25:PTZ25"/>
    <mergeCell ref="PUA25:PUB25"/>
    <mergeCell ref="PUC25:PUD25"/>
    <mergeCell ref="PUE25:PUF25"/>
    <mergeCell ref="PUG25:PUH25"/>
    <mergeCell ref="PUI25:PUJ25"/>
    <mergeCell ref="PTM25:PTN25"/>
    <mergeCell ref="PTO25:PTP25"/>
    <mergeCell ref="PTQ25:PTR25"/>
    <mergeCell ref="PTS25:PTT25"/>
    <mergeCell ref="PTU25:PTV25"/>
    <mergeCell ref="PTW25:PTX25"/>
    <mergeCell ref="PTA25:PTB25"/>
    <mergeCell ref="PTC25:PTD25"/>
    <mergeCell ref="PTE25:PTF25"/>
    <mergeCell ref="PTG25:PTH25"/>
    <mergeCell ref="PTI25:PTJ25"/>
    <mergeCell ref="PTK25:PTL25"/>
    <mergeCell ref="PSO25:PSP25"/>
    <mergeCell ref="PSQ25:PSR25"/>
    <mergeCell ref="PSS25:PST25"/>
    <mergeCell ref="PSU25:PSV25"/>
    <mergeCell ref="PSW25:PSX25"/>
    <mergeCell ref="PSY25:PSZ25"/>
    <mergeCell ref="PSC25:PSD25"/>
    <mergeCell ref="PSE25:PSF25"/>
    <mergeCell ref="PSG25:PSH25"/>
    <mergeCell ref="PSI25:PSJ25"/>
    <mergeCell ref="PSK25:PSL25"/>
    <mergeCell ref="PSM25:PSN25"/>
    <mergeCell ref="PXE25:PXF25"/>
    <mergeCell ref="PXG25:PXH25"/>
    <mergeCell ref="PXI25:PXJ25"/>
    <mergeCell ref="PXK25:PXL25"/>
    <mergeCell ref="PXM25:PXN25"/>
    <mergeCell ref="PXO25:PXP25"/>
    <mergeCell ref="PWS25:PWT25"/>
    <mergeCell ref="PWU25:PWV25"/>
    <mergeCell ref="PWW25:PWX25"/>
    <mergeCell ref="PWY25:PWZ25"/>
    <mergeCell ref="PXA25:PXB25"/>
    <mergeCell ref="PXC25:PXD25"/>
    <mergeCell ref="PWG25:PWH25"/>
    <mergeCell ref="PWI25:PWJ25"/>
    <mergeCell ref="PWK25:PWL25"/>
    <mergeCell ref="PWM25:PWN25"/>
    <mergeCell ref="PWO25:PWP25"/>
    <mergeCell ref="PWQ25:PWR25"/>
    <mergeCell ref="PVU25:PVV25"/>
    <mergeCell ref="PVW25:PVX25"/>
    <mergeCell ref="PVY25:PVZ25"/>
    <mergeCell ref="PWA25:PWB25"/>
    <mergeCell ref="PWC25:PWD25"/>
    <mergeCell ref="PWE25:PWF25"/>
    <mergeCell ref="PVI25:PVJ25"/>
    <mergeCell ref="PVK25:PVL25"/>
    <mergeCell ref="PVM25:PVN25"/>
    <mergeCell ref="PVO25:PVP25"/>
    <mergeCell ref="PVQ25:PVR25"/>
    <mergeCell ref="PVS25:PVT25"/>
    <mergeCell ref="PUW25:PUX25"/>
    <mergeCell ref="PUY25:PUZ25"/>
    <mergeCell ref="PVA25:PVB25"/>
    <mergeCell ref="PVC25:PVD25"/>
    <mergeCell ref="PVE25:PVF25"/>
    <mergeCell ref="PVG25:PVH25"/>
    <mergeCell ref="PZY25:PZZ25"/>
    <mergeCell ref="QAA25:QAB25"/>
    <mergeCell ref="QAC25:QAD25"/>
    <mergeCell ref="QAE25:QAF25"/>
    <mergeCell ref="QAG25:QAH25"/>
    <mergeCell ref="QAI25:QAJ25"/>
    <mergeCell ref="PZM25:PZN25"/>
    <mergeCell ref="PZO25:PZP25"/>
    <mergeCell ref="PZQ25:PZR25"/>
    <mergeCell ref="PZS25:PZT25"/>
    <mergeCell ref="PZU25:PZV25"/>
    <mergeCell ref="PZW25:PZX25"/>
    <mergeCell ref="PZA25:PZB25"/>
    <mergeCell ref="PZC25:PZD25"/>
    <mergeCell ref="PZE25:PZF25"/>
    <mergeCell ref="PZG25:PZH25"/>
    <mergeCell ref="PZI25:PZJ25"/>
    <mergeCell ref="PZK25:PZL25"/>
    <mergeCell ref="PYO25:PYP25"/>
    <mergeCell ref="PYQ25:PYR25"/>
    <mergeCell ref="PYS25:PYT25"/>
    <mergeCell ref="PYU25:PYV25"/>
    <mergeCell ref="PYW25:PYX25"/>
    <mergeCell ref="PYY25:PYZ25"/>
    <mergeCell ref="PYC25:PYD25"/>
    <mergeCell ref="PYE25:PYF25"/>
    <mergeCell ref="PYG25:PYH25"/>
    <mergeCell ref="PYI25:PYJ25"/>
    <mergeCell ref="PYK25:PYL25"/>
    <mergeCell ref="PYM25:PYN25"/>
    <mergeCell ref="PXQ25:PXR25"/>
    <mergeCell ref="PXS25:PXT25"/>
    <mergeCell ref="PXU25:PXV25"/>
    <mergeCell ref="PXW25:PXX25"/>
    <mergeCell ref="PXY25:PXZ25"/>
    <mergeCell ref="PYA25:PYB25"/>
    <mergeCell ref="QCS25:QCT25"/>
    <mergeCell ref="QCU25:QCV25"/>
    <mergeCell ref="QCW25:QCX25"/>
    <mergeCell ref="QCY25:QCZ25"/>
    <mergeCell ref="QDA25:QDB25"/>
    <mergeCell ref="QDC25:QDD25"/>
    <mergeCell ref="QCG25:QCH25"/>
    <mergeCell ref="QCI25:QCJ25"/>
    <mergeCell ref="QCK25:QCL25"/>
    <mergeCell ref="QCM25:QCN25"/>
    <mergeCell ref="QCO25:QCP25"/>
    <mergeCell ref="QCQ25:QCR25"/>
    <mergeCell ref="QBU25:QBV25"/>
    <mergeCell ref="QBW25:QBX25"/>
    <mergeCell ref="QBY25:QBZ25"/>
    <mergeCell ref="QCA25:QCB25"/>
    <mergeCell ref="QCC25:QCD25"/>
    <mergeCell ref="QCE25:QCF25"/>
    <mergeCell ref="QBI25:QBJ25"/>
    <mergeCell ref="QBK25:QBL25"/>
    <mergeCell ref="QBM25:QBN25"/>
    <mergeCell ref="QBO25:QBP25"/>
    <mergeCell ref="QBQ25:QBR25"/>
    <mergeCell ref="QBS25:QBT25"/>
    <mergeCell ref="QAW25:QAX25"/>
    <mergeCell ref="QAY25:QAZ25"/>
    <mergeCell ref="QBA25:QBB25"/>
    <mergeCell ref="QBC25:QBD25"/>
    <mergeCell ref="QBE25:QBF25"/>
    <mergeCell ref="QBG25:QBH25"/>
    <mergeCell ref="QAK25:QAL25"/>
    <mergeCell ref="QAM25:QAN25"/>
    <mergeCell ref="QAO25:QAP25"/>
    <mergeCell ref="QAQ25:QAR25"/>
    <mergeCell ref="QAS25:QAT25"/>
    <mergeCell ref="QAU25:QAV25"/>
    <mergeCell ref="QFM25:QFN25"/>
    <mergeCell ref="QFO25:QFP25"/>
    <mergeCell ref="QFQ25:QFR25"/>
    <mergeCell ref="QFS25:QFT25"/>
    <mergeCell ref="QFU25:QFV25"/>
    <mergeCell ref="QFW25:QFX25"/>
    <mergeCell ref="QFA25:QFB25"/>
    <mergeCell ref="QFC25:QFD25"/>
    <mergeCell ref="QFE25:QFF25"/>
    <mergeCell ref="QFG25:QFH25"/>
    <mergeCell ref="QFI25:QFJ25"/>
    <mergeCell ref="QFK25:QFL25"/>
    <mergeCell ref="QEO25:QEP25"/>
    <mergeCell ref="QEQ25:QER25"/>
    <mergeCell ref="QES25:QET25"/>
    <mergeCell ref="QEU25:QEV25"/>
    <mergeCell ref="QEW25:QEX25"/>
    <mergeCell ref="QEY25:QEZ25"/>
    <mergeCell ref="QEC25:QED25"/>
    <mergeCell ref="QEE25:QEF25"/>
    <mergeCell ref="QEG25:QEH25"/>
    <mergeCell ref="QEI25:QEJ25"/>
    <mergeCell ref="QEK25:QEL25"/>
    <mergeCell ref="QEM25:QEN25"/>
    <mergeCell ref="QDQ25:QDR25"/>
    <mergeCell ref="QDS25:QDT25"/>
    <mergeCell ref="QDU25:QDV25"/>
    <mergeCell ref="QDW25:QDX25"/>
    <mergeCell ref="QDY25:QDZ25"/>
    <mergeCell ref="QEA25:QEB25"/>
    <mergeCell ref="QDE25:QDF25"/>
    <mergeCell ref="QDG25:QDH25"/>
    <mergeCell ref="QDI25:QDJ25"/>
    <mergeCell ref="QDK25:QDL25"/>
    <mergeCell ref="QDM25:QDN25"/>
    <mergeCell ref="QDO25:QDP25"/>
    <mergeCell ref="QIG25:QIH25"/>
    <mergeCell ref="QII25:QIJ25"/>
    <mergeCell ref="QIK25:QIL25"/>
    <mergeCell ref="QIM25:QIN25"/>
    <mergeCell ref="QIO25:QIP25"/>
    <mergeCell ref="QIQ25:QIR25"/>
    <mergeCell ref="QHU25:QHV25"/>
    <mergeCell ref="QHW25:QHX25"/>
    <mergeCell ref="QHY25:QHZ25"/>
    <mergeCell ref="QIA25:QIB25"/>
    <mergeCell ref="QIC25:QID25"/>
    <mergeCell ref="QIE25:QIF25"/>
    <mergeCell ref="QHI25:QHJ25"/>
    <mergeCell ref="QHK25:QHL25"/>
    <mergeCell ref="QHM25:QHN25"/>
    <mergeCell ref="QHO25:QHP25"/>
    <mergeCell ref="QHQ25:QHR25"/>
    <mergeCell ref="QHS25:QHT25"/>
    <mergeCell ref="QGW25:QGX25"/>
    <mergeCell ref="QGY25:QGZ25"/>
    <mergeCell ref="QHA25:QHB25"/>
    <mergeCell ref="QHC25:QHD25"/>
    <mergeCell ref="QHE25:QHF25"/>
    <mergeCell ref="QHG25:QHH25"/>
    <mergeCell ref="QGK25:QGL25"/>
    <mergeCell ref="QGM25:QGN25"/>
    <mergeCell ref="QGO25:QGP25"/>
    <mergeCell ref="QGQ25:QGR25"/>
    <mergeCell ref="QGS25:QGT25"/>
    <mergeCell ref="QGU25:QGV25"/>
    <mergeCell ref="QFY25:QFZ25"/>
    <mergeCell ref="QGA25:QGB25"/>
    <mergeCell ref="QGC25:QGD25"/>
    <mergeCell ref="QGE25:QGF25"/>
    <mergeCell ref="QGG25:QGH25"/>
    <mergeCell ref="QGI25:QGJ25"/>
    <mergeCell ref="QLA25:QLB25"/>
    <mergeCell ref="QLC25:QLD25"/>
    <mergeCell ref="QLE25:QLF25"/>
    <mergeCell ref="QLG25:QLH25"/>
    <mergeCell ref="QLI25:QLJ25"/>
    <mergeCell ref="QLK25:QLL25"/>
    <mergeCell ref="QKO25:QKP25"/>
    <mergeCell ref="QKQ25:QKR25"/>
    <mergeCell ref="QKS25:QKT25"/>
    <mergeCell ref="QKU25:QKV25"/>
    <mergeCell ref="QKW25:QKX25"/>
    <mergeCell ref="QKY25:QKZ25"/>
    <mergeCell ref="QKC25:QKD25"/>
    <mergeCell ref="QKE25:QKF25"/>
    <mergeCell ref="QKG25:QKH25"/>
    <mergeCell ref="QKI25:QKJ25"/>
    <mergeCell ref="QKK25:QKL25"/>
    <mergeCell ref="QKM25:QKN25"/>
    <mergeCell ref="QJQ25:QJR25"/>
    <mergeCell ref="QJS25:QJT25"/>
    <mergeCell ref="QJU25:QJV25"/>
    <mergeCell ref="QJW25:QJX25"/>
    <mergeCell ref="QJY25:QJZ25"/>
    <mergeCell ref="QKA25:QKB25"/>
    <mergeCell ref="QJE25:QJF25"/>
    <mergeCell ref="QJG25:QJH25"/>
    <mergeCell ref="QJI25:QJJ25"/>
    <mergeCell ref="QJK25:QJL25"/>
    <mergeCell ref="QJM25:QJN25"/>
    <mergeCell ref="QJO25:QJP25"/>
    <mergeCell ref="QIS25:QIT25"/>
    <mergeCell ref="QIU25:QIV25"/>
    <mergeCell ref="QIW25:QIX25"/>
    <mergeCell ref="QIY25:QIZ25"/>
    <mergeCell ref="QJA25:QJB25"/>
    <mergeCell ref="QJC25:QJD25"/>
    <mergeCell ref="QNU25:QNV25"/>
    <mergeCell ref="QNW25:QNX25"/>
    <mergeCell ref="QNY25:QNZ25"/>
    <mergeCell ref="QOA25:QOB25"/>
    <mergeCell ref="QOC25:QOD25"/>
    <mergeCell ref="QOE25:QOF25"/>
    <mergeCell ref="QNI25:QNJ25"/>
    <mergeCell ref="QNK25:QNL25"/>
    <mergeCell ref="QNM25:QNN25"/>
    <mergeCell ref="QNO25:QNP25"/>
    <mergeCell ref="QNQ25:QNR25"/>
    <mergeCell ref="QNS25:QNT25"/>
    <mergeCell ref="QMW25:QMX25"/>
    <mergeCell ref="QMY25:QMZ25"/>
    <mergeCell ref="QNA25:QNB25"/>
    <mergeCell ref="QNC25:QND25"/>
    <mergeCell ref="QNE25:QNF25"/>
    <mergeCell ref="QNG25:QNH25"/>
    <mergeCell ref="QMK25:QML25"/>
    <mergeCell ref="QMM25:QMN25"/>
    <mergeCell ref="QMO25:QMP25"/>
    <mergeCell ref="QMQ25:QMR25"/>
    <mergeCell ref="QMS25:QMT25"/>
    <mergeCell ref="QMU25:QMV25"/>
    <mergeCell ref="QLY25:QLZ25"/>
    <mergeCell ref="QMA25:QMB25"/>
    <mergeCell ref="QMC25:QMD25"/>
    <mergeCell ref="QME25:QMF25"/>
    <mergeCell ref="QMG25:QMH25"/>
    <mergeCell ref="QMI25:QMJ25"/>
    <mergeCell ref="QLM25:QLN25"/>
    <mergeCell ref="QLO25:QLP25"/>
    <mergeCell ref="QLQ25:QLR25"/>
    <mergeCell ref="QLS25:QLT25"/>
    <mergeCell ref="QLU25:QLV25"/>
    <mergeCell ref="QLW25:QLX25"/>
    <mergeCell ref="QQO25:QQP25"/>
    <mergeCell ref="QQQ25:QQR25"/>
    <mergeCell ref="QQS25:QQT25"/>
    <mergeCell ref="QQU25:QQV25"/>
    <mergeCell ref="QQW25:QQX25"/>
    <mergeCell ref="QQY25:QQZ25"/>
    <mergeCell ref="QQC25:QQD25"/>
    <mergeCell ref="QQE25:QQF25"/>
    <mergeCell ref="QQG25:QQH25"/>
    <mergeCell ref="QQI25:QQJ25"/>
    <mergeCell ref="QQK25:QQL25"/>
    <mergeCell ref="QQM25:QQN25"/>
    <mergeCell ref="QPQ25:QPR25"/>
    <mergeCell ref="QPS25:QPT25"/>
    <mergeCell ref="QPU25:QPV25"/>
    <mergeCell ref="QPW25:QPX25"/>
    <mergeCell ref="QPY25:QPZ25"/>
    <mergeCell ref="QQA25:QQB25"/>
    <mergeCell ref="QPE25:QPF25"/>
    <mergeCell ref="QPG25:QPH25"/>
    <mergeCell ref="QPI25:QPJ25"/>
    <mergeCell ref="QPK25:QPL25"/>
    <mergeCell ref="QPM25:QPN25"/>
    <mergeCell ref="QPO25:QPP25"/>
    <mergeCell ref="QOS25:QOT25"/>
    <mergeCell ref="QOU25:QOV25"/>
    <mergeCell ref="QOW25:QOX25"/>
    <mergeCell ref="QOY25:QOZ25"/>
    <mergeCell ref="QPA25:QPB25"/>
    <mergeCell ref="QPC25:QPD25"/>
    <mergeCell ref="QOG25:QOH25"/>
    <mergeCell ref="QOI25:QOJ25"/>
    <mergeCell ref="QOK25:QOL25"/>
    <mergeCell ref="QOM25:QON25"/>
    <mergeCell ref="QOO25:QOP25"/>
    <mergeCell ref="QOQ25:QOR25"/>
    <mergeCell ref="QTI25:QTJ25"/>
    <mergeCell ref="QTK25:QTL25"/>
    <mergeCell ref="QTM25:QTN25"/>
    <mergeCell ref="QTO25:QTP25"/>
    <mergeCell ref="QTQ25:QTR25"/>
    <mergeCell ref="QTS25:QTT25"/>
    <mergeCell ref="QSW25:QSX25"/>
    <mergeCell ref="QSY25:QSZ25"/>
    <mergeCell ref="QTA25:QTB25"/>
    <mergeCell ref="QTC25:QTD25"/>
    <mergeCell ref="QTE25:QTF25"/>
    <mergeCell ref="QTG25:QTH25"/>
    <mergeCell ref="QSK25:QSL25"/>
    <mergeCell ref="QSM25:QSN25"/>
    <mergeCell ref="QSO25:QSP25"/>
    <mergeCell ref="QSQ25:QSR25"/>
    <mergeCell ref="QSS25:QST25"/>
    <mergeCell ref="QSU25:QSV25"/>
    <mergeCell ref="QRY25:QRZ25"/>
    <mergeCell ref="QSA25:QSB25"/>
    <mergeCell ref="QSC25:QSD25"/>
    <mergeCell ref="QSE25:QSF25"/>
    <mergeCell ref="QSG25:QSH25"/>
    <mergeCell ref="QSI25:QSJ25"/>
    <mergeCell ref="QRM25:QRN25"/>
    <mergeCell ref="QRO25:QRP25"/>
    <mergeCell ref="QRQ25:QRR25"/>
    <mergeCell ref="QRS25:QRT25"/>
    <mergeCell ref="QRU25:QRV25"/>
    <mergeCell ref="QRW25:QRX25"/>
    <mergeCell ref="QRA25:QRB25"/>
    <mergeCell ref="QRC25:QRD25"/>
    <mergeCell ref="QRE25:QRF25"/>
    <mergeCell ref="QRG25:QRH25"/>
    <mergeCell ref="QRI25:QRJ25"/>
    <mergeCell ref="QRK25:QRL25"/>
    <mergeCell ref="QWC25:QWD25"/>
    <mergeCell ref="QWE25:QWF25"/>
    <mergeCell ref="QWG25:QWH25"/>
    <mergeCell ref="QWI25:QWJ25"/>
    <mergeCell ref="QWK25:QWL25"/>
    <mergeCell ref="QWM25:QWN25"/>
    <mergeCell ref="QVQ25:QVR25"/>
    <mergeCell ref="QVS25:QVT25"/>
    <mergeCell ref="QVU25:QVV25"/>
    <mergeCell ref="QVW25:QVX25"/>
    <mergeCell ref="QVY25:QVZ25"/>
    <mergeCell ref="QWA25:QWB25"/>
    <mergeCell ref="QVE25:QVF25"/>
    <mergeCell ref="QVG25:QVH25"/>
    <mergeCell ref="QVI25:QVJ25"/>
    <mergeCell ref="QVK25:QVL25"/>
    <mergeCell ref="QVM25:QVN25"/>
    <mergeCell ref="QVO25:QVP25"/>
    <mergeCell ref="QUS25:QUT25"/>
    <mergeCell ref="QUU25:QUV25"/>
    <mergeCell ref="QUW25:QUX25"/>
    <mergeCell ref="QUY25:QUZ25"/>
    <mergeCell ref="QVA25:QVB25"/>
    <mergeCell ref="QVC25:QVD25"/>
    <mergeCell ref="QUG25:QUH25"/>
    <mergeCell ref="QUI25:QUJ25"/>
    <mergeCell ref="QUK25:QUL25"/>
    <mergeCell ref="QUM25:QUN25"/>
    <mergeCell ref="QUO25:QUP25"/>
    <mergeCell ref="QUQ25:QUR25"/>
    <mergeCell ref="QTU25:QTV25"/>
    <mergeCell ref="QTW25:QTX25"/>
    <mergeCell ref="QTY25:QTZ25"/>
    <mergeCell ref="QUA25:QUB25"/>
    <mergeCell ref="QUC25:QUD25"/>
    <mergeCell ref="QUE25:QUF25"/>
    <mergeCell ref="QYW25:QYX25"/>
    <mergeCell ref="QYY25:QYZ25"/>
    <mergeCell ref="QZA25:QZB25"/>
    <mergeCell ref="QZC25:QZD25"/>
    <mergeCell ref="QZE25:QZF25"/>
    <mergeCell ref="QZG25:QZH25"/>
    <mergeCell ref="QYK25:QYL25"/>
    <mergeCell ref="QYM25:QYN25"/>
    <mergeCell ref="QYO25:QYP25"/>
    <mergeCell ref="QYQ25:QYR25"/>
    <mergeCell ref="QYS25:QYT25"/>
    <mergeCell ref="QYU25:QYV25"/>
    <mergeCell ref="QXY25:QXZ25"/>
    <mergeCell ref="QYA25:QYB25"/>
    <mergeCell ref="QYC25:QYD25"/>
    <mergeCell ref="QYE25:QYF25"/>
    <mergeCell ref="QYG25:QYH25"/>
    <mergeCell ref="QYI25:QYJ25"/>
    <mergeCell ref="QXM25:QXN25"/>
    <mergeCell ref="QXO25:QXP25"/>
    <mergeCell ref="QXQ25:QXR25"/>
    <mergeCell ref="QXS25:QXT25"/>
    <mergeCell ref="QXU25:QXV25"/>
    <mergeCell ref="QXW25:QXX25"/>
    <mergeCell ref="QXA25:QXB25"/>
    <mergeCell ref="QXC25:QXD25"/>
    <mergeCell ref="QXE25:QXF25"/>
    <mergeCell ref="QXG25:QXH25"/>
    <mergeCell ref="QXI25:QXJ25"/>
    <mergeCell ref="QXK25:QXL25"/>
    <mergeCell ref="QWO25:QWP25"/>
    <mergeCell ref="QWQ25:QWR25"/>
    <mergeCell ref="QWS25:QWT25"/>
    <mergeCell ref="QWU25:QWV25"/>
    <mergeCell ref="QWW25:QWX25"/>
    <mergeCell ref="QWY25:QWZ25"/>
    <mergeCell ref="RBQ25:RBR25"/>
    <mergeCell ref="RBS25:RBT25"/>
    <mergeCell ref="RBU25:RBV25"/>
    <mergeCell ref="RBW25:RBX25"/>
    <mergeCell ref="RBY25:RBZ25"/>
    <mergeCell ref="RCA25:RCB25"/>
    <mergeCell ref="RBE25:RBF25"/>
    <mergeCell ref="RBG25:RBH25"/>
    <mergeCell ref="RBI25:RBJ25"/>
    <mergeCell ref="RBK25:RBL25"/>
    <mergeCell ref="RBM25:RBN25"/>
    <mergeCell ref="RBO25:RBP25"/>
    <mergeCell ref="RAS25:RAT25"/>
    <mergeCell ref="RAU25:RAV25"/>
    <mergeCell ref="RAW25:RAX25"/>
    <mergeCell ref="RAY25:RAZ25"/>
    <mergeCell ref="RBA25:RBB25"/>
    <mergeCell ref="RBC25:RBD25"/>
    <mergeCell ref="RAG25:RAH25"/>
    <mergeCell ref="RAI25:RAJ25"/>
    <mergeCell ref="RAK25:RAL25"/>
    <mergeCell ref="RAM25:RAN25"/>
    <mergeCell ref="RAO25:RAP25"/>
    <mergeCell ref="RAQ25:RAR25"/>
    <mergeCell ref="QZU25:QZV25"/>
    <mergeCell ref="QZW25:QZX25"/>
    <mergeCell ref="QZY25:QZZ25"/>
    <mergeCell ref="RAA25:RAB25"/>
    <mergeCell ref="RAC25:RAD25"/>
    <mergeCell ref="RAE25:RAF25"/>
    <mergeCell ref="QZI25:QZJ25"/>
    <mergeCell ref="QZK25:QZL25"/>
    <mergeCell ref="QZM25:QZN25"/>
    <mergeCell ref="QZO25:QZP25"/>
    <mergeCell ref="QZQ25:QZR25"/>
    <mergeCell ref="QZS25:QZT25"/>
    <mergeCell ref="REK25:REL25"/>
    <mergeCell ref="REM25:REN25"/>
    <mergeCell ref="REO25:REP25"/>
    <mergeCell ref="REQ25:RER25"/>
    <mergeCell ref="RES25:RET25"/>
    <mergeCell ref="REU25:REV25"/>
    <mergeCell ref="RDY25:RDZ25"/>
    <mergeCell ref="REA25:REB25"/>
    <mergeCell ref="REC25:RED25"/>
    <mergeCell ref="REE25:REF25"/>
    <mergeCell ref="REG25:REH25"/>
    <mergeCell ref="REI25:REJ25"/>
    <mergeCell ref="RDM25:RDN25"/>
    <mergeCell ref="RDO25:RDP25"/>
    <mergeCell ref="RDQ25:RDR25"/>
    <mergeCell ref="RDS25:RDT25"/>
    <mergeCell ref="RDU25:RDV25"/>
    <mergeCell ref="RDW25:RDX25"/>
    <mergeCell ref="RDA25:RDB25"/>
    <mergeCell ref="RDC25:RDD25"/>
    <mergeCell ref="RDE25:RDF25"/>
    <mergeCell ref="RDG25:RDH25"/>
    <mergeCell ref="RDI25:RDJ25"/>
    <mergeCell ref="RDK25:RDL25"/>
    <mergeCell ref="RCO25:RCP25"/>
    <mergeCell ref="RCQ25:RCR25"/>
    <mergeCell ref="RCS25:RCT25"/>
    <mergeCell ref="RCU25:RCV25"/>
    <mergeCell ref="RCW25:RCX25"/>
    <mergeCell ref="RCY25:RCZ25"/>
    <mergeCell ref="RCC25:RCD25"/>
    <mergeCell ref="RCE25:RCF25"/>
    <mergeCell ref="RCG25:RCH25"/>
    <mergeCell ref="RCI25:RCJ25"/>
    <mergeCell ref="RCK25:RCL25"/>
    <mergeCell ref="RCM25:RCN25"/>
    <mergeCell ref="RHE25:RHF25"/>
    <mergeCell ref="RHG25:RHH25"/>
    <mergeCell ref="RHI25:RHJ25"/>
    <mergeCell ref="RHK25:RHL25"/>
    <mergeCell ref="RHM25:RHN25"/>
    <mergeCell ref="RHO25:RHP25"/>
    <mergeCell ref="RGS25:RGT25"/>
    <mergeCell ref="RGU25:RGV25"/>
    <mergeCell ref="RGW25:RGX25"/>
    <mergeCell ref="RGY25:RGZ25"/>
    <mergeCell ref="RHA25:RHB25"/>
    <mergeCell ref="RHC25:RHD25"/>
    <mergeCell ref="RGG25:RGH25"/>
    <mergeCell ref="RGI25:RGJ25"/>
    <mergeCell ref="RGK25:RGL25"/>
    <mergeCell ref="RGM25:RGN25"/>
    <mergeCell ref="RGO25:RGP25"/>
    <mergeCell ref="RGQ25:RGR25"/>
    <mergeCell ref="RFU25:RFV25"/>
    <mergeCell ref="RFW25:RFX25"/>
    <mergeCell ref="RFY25:RFZ25"/>
    <mergeCell ref="RGA25:RGB25"/>
    <mergeCell ref="RGC25:RGD25"/>
    <mergeCell ref="RGE25:RGF25"/>
    <mergeCell ref="RFI25:RFJ25"/>
    <mergeCell ref="RFK25:RFL25"/>
    <mergeCell ref="RFM25:RFN25"/>
    <mergeCell ref="RFO25:RFP25"/>
    <mergeCell ref="RFQ25:RFR25"/>
    <mergeCell ref="RFS25:RFT25"/>
    <mergeCell ref="REW25:REX25"/>
    <mergeCell ref="REY25:REZ25"/>
    <mergeCell ref="RFA25:RFB25"/>
    <mergeCell ref="RFC25:RFD25"/>
    <mergeCell ref="RFE25:RFF25"/>
    <mergeCell ref="RFG25:RFH25"/>
    <mergeCell ref="RJY25:RJZ25"/>
    <mergeCell ref="RKA25:RKB25"/>
    <mergeCell ref="RKC25:RKD25"/>
    <mergeCell ref="RKE25:RKF25"/>
    <mergeCell ref="RKG25:RKH25"/>
    <mergeCell ref="RKI25:RKJ25"/>
    <mergeCell ref="RJM25:RJN25"/>
    <mergeCell ref="RJO25:RJP25"/>
    <mergeCell ref="RJQ25:RJR25"/>
    <mergeCell ref="RJS25:RJT25"/>
    <mergeCell ref="RJU25:RJV25"/>
    <mergeCell ref="RJW25:RJX25"/>
    <mergeCell ref="RJA25:RJB25"/>
    <mergeCell ref="RJC25:RJD25"/>
    <mergeCell ref="RJE25:RJF25"/>
    <mergeCell ref="RJG25:RJH25"/>
    <mergeCell ref="RJI25:RJJ25"/>
    <mergeCell ref="RJK25:RJL25"/>
    <mergeCell ref="RIO25:RIP25"/>
    <mergeCell ref="RIQ25:RIR25"/>
    <mergeCell ref="RIS25:RIT25"/>
    <mergeCell ref="RIU25:RIV25"/>
    <mergeCell ref="RIW25:RIX25"/>
    <mergeCell ref="RIY25:RIZ25"/>
    <mergeCell ref="RIC25:RID25"/>
    <mergeCell ref="RIE25:RIF25"/>
    <mergeCell ref="RIG25:RIH25"/>
    <mergeCell ref="RII25:RIJ25"/>
    <mergeCell ref="RIK25:RIL25"/>
    <mergeCell ref="RIM25:RIN25"/>
    <mergeCell ref="RHQ25:RHR25"/>
    <mergeCell ref="RHS25:RHT25"/>
    <mergeCell ref="RHU25:RHV25"/>
    <mergeCell ref="RHW25:RHX25"/>
    <mergeCell ref="RHY25:RHZ25"/>
    <mergeCell ref="RIA25:RIB25"/>
    <mergeCell ref="RMS25:RMT25"/>
    <mergeCell ref="RMU25:RMV25"/>
    <mergeCell ref="RMW25:RMX25"/>
    <mergeCell ref="RMY25:RMZ25"/>
    <mergeCell ref="RNA25:RNB25"/>
    <mergeCell ref="RNC25:RND25"/>
    <mergeCell ref="RMG25:RMH25"/>
    <mergeCell ref="RMI25:RMJ25"/>
    <mergeCell ref="RMK25:RML25"/>
    <mergeCell ref="RMM25:RMN25"/>
    <mergeCell ref="RMO25:RMP25"/>
    <mergeCell ref="RMQ25:RMR25"/>
    <mergeCell ref="RLU25:RLV25"/>
    <mergeCell ref="RLW25:RLX25"/>
    <mergeCell ref="RLY25:RLZ25"/>
    <mergeCell ref="RMA25:RMB25"/>
    <mergeCell ref="RMC25:RMD25"/>
    <mergeCell ref="RME25:RMF25"/>
    <mergeCell ref="RLI25:RLJ25"/>
    <mergeCell ref="RLK25:RLL25"/>
    <mergeCell ref="RLM25:RLN25"/>
    <mergeCell ref="RLO25:RLP25"/>
    <mergeCell ref="RLQ25:RLR25"/>
    <mergeCell ref="RLS25:RLT25"/>
    <mergeCell ref="RKW25:RKX25"/>
    <mergeCell ref="RKY25:RKZ25"/>
    <mergeCell ref="RLA25:RLB25"/>
    <mergeCell ref="RLC25:RLD25"/>
    <mergeCell ref="RLE25:RLF25"/>
    <mergeCell ref="RLG25:RLH25"/>
    <mergeCell ref="RKK25:RKL25"/>
    <mergeCell ref="RKM25:RKN25"/>
    <mergeCell ref="RKO25:RKP25"/>
    <mergeCell ref="RKQ25:RKR25"/>
    <mergeCell ref="RKS25:RKT25"/>
    <mergeCell ref="RKU25:RKV25"/>
    <mergeCell ref="RPM25:RPN25"/>
    <mergeCell ref="RPO25:RPP25"/>
    <mergeCell ref="RPQ25:RPR25"/>
    <mergeCell ref="RPS25:RPT25"/>
    <mergeCell ref="RPU25:RPV25"/>
    <mergeCell ref="RPW25:RPX25"/>
    <mergeCell ref="RPA25:RPB25"/>
    <mergeCell ref="RPC25:RPD25"/>
    <mergeCell ref="RPE25:RPF25"/>
    <mergeCell ref="RPG25:RPH25"/>
    <mergeCell ref="RPI25:RPJ25"/>
    <mergeCell ref="RPK25:RPL25"/>
    <mergeCell ref="ROO25:ROP25"/>
    <mergeCell ref="ROQ25:ROR25"/>
    <mergeCell ref="ROS25:ROT25"/>
    <mergeCell ref="ROU25:ROV25"/>
    <mergeCell ref="ROW25:ROX25"/>
    <mergeCell ref="ROY25:ROZ25"/>
    <mergeCell ref="ROC25:ROD25"/>
    <mergeCell ref="ROE25:ROF25"/>
    <mergeCell ref="ROG25:ROH25"/>
    <mergeCell ref="ROI25:ROJ25"/>
    <mergeCell ref="ROK25:ROL25"/>
    <mergeCell ref="ROM25:RON25"/>
    <mergeCell ref="RNQ25:RNR25"/>
    <mergeCell ref="RNS25:RNT25"/>
    <mergeCell ref="RNU25:RNV25"/>
    <mergeCell ref="RNW25:RNX25"/>
    <mergeCell ref="RNY25:RNZ25"/>
    <mergeCell ref="ROA25:ROB25"/>
    <mergeCell ref="RNE25:RNF25"/>
    <mergeCell ref="RNG25:RNH25"/>
    <mergeCell ref="RNI25:RNJ25"/>
    <mergeCell ref="RNK25:RNL25"/>
    <mergeCell ref="RNM25:RNN25"/>
    <mergeCell ref="RNO25:RNP25"/>
    <mergeCell ref="RSG25:RSH25"/>
    <mergeCell ref="RSI25:RSJ25"/>
    <mergeCell ref="RSK25:RSL25"/>
    <mergeCell ref="RSM25:RSN25"/>
    <mergeCell ref="RSO25:RSP25"/>
    <mergeCell ref="RSQ25:RSR25"/>
    <mergeCell ref="RRU25:RRV25"/>
    <mergeCell ref="RRW25:RRX25"/>
    <mergeCell ref="RRY25:RRZ25"/>
    <mergeCell ref="RSA25:RSB25"/>
    <mergeCell ref="RSC25:RSD25"/>
    <mergeCell ref="RSE25:RSF25"/>
    <mergeCell ref="RRI25:RRJ25"/>
    <mergeCell ref="RRK25:RRL25"/>
    <mergeCell ref="RRM25:RRN25"/>
    <mergeCell ref="RRO25:RRP25"/>
    <mergeCell ref="RRQ25:RRR25"/>
    <mergeCell ref="RRS25:RRT25"/>
    <mergeCell ref="RQW25:RQX25"/>
    <mergeCell ref="RQY25:RQZ25"/>
    <mergeCell ref="RRA25:RRB25"/>
    <mergeCell ref="RRC25:RRD25"/>
    <mergeCell ref="RRE25:RRF25"/>
    <mergeCell ref="RRG25:RRH25"/>
    <mergeCell ref="RQK25:RQL25"/>
    <mergeCell ref="RQM25:RQN25"/>
    <mergeCell ref="RQO25:RQP25"/>
    <mergeCell ref="RQQ25:RQR25"/>
    <mergeCell ref="RQS25:RQT25"/>
    <mergeCell ref="RQU25:RQV25"/>
    <mergeCell ref="RPY25:RPZ25"/>
    <mergeCell ref="RQA25:RQB25"/>
    <mergeCell ref="RQC25:RQD25"/>
    <mergeCell ref="RQE25:RQF25"/>
    <mergeCell ref="RQG25:RQH25"/>
    <mergeCell ref="RQI25:RQJ25"/>
    <mergeCell ref="RVA25:RVB25"/>
    <mergeCell ref="RVC25:RVD25"/>
    <mergeCell ref="RVE25:RVF25"/>
    <mergeCell ref="RVG25:RVH25"/>
    <mergeCell ref="RVI25:RVJ25"/>
    <mergeCell ref="RVK25:RVL25"/>
    <mergeCell ref="RUO25:RUP25"/>
    <mergeCell ref="RUQ25:RUR25"/>
    <mergeCell ref="RUS25:RUT25"/>
    <mergeCell ref="RUU25:RUV25"/>
    <mergeCell ref="RUW25:RUX25"/>
    <mergeCell ref="RUY25:RUZ25"/>
    <mergeCell ref="RUC25:RUD25"/>
    <mergeCell ref="RUE25:RUF25"/>
    <mergeCell ref="RUG25:RUH25"/>
    <mergeCell ref="RUI25:RUJ25"/>
    <mergeCell ref="RUK25:RUL25"/>
    <mergeCell ref="RUM25:RUN25"/>
    <mergeCell ref="RTQ25:RTR25"/>
    <mergeCell ref="RTS25:RTT25"/>
    <mergeCell ref="RTU25:RTV25"/>
    <mergeCell ref="RTW25:RTX25"/>
    <mergeCell ref="RTY25:RTZ25"/>
    <mergeCell ref="RUA25:RUB25"/>
    <mergeCell ref="RTE25:RTF25"/>
    <mergeCell ref="RTG25:RTH25"/>
    <mergeCell ref="RTI25:RTJ25"/>
    <mergeCell ref="RTK25:RTL25"/>
    <mergeCell ref="RTM25:RTN25"/>
    <mergeCell ref="RTO25:RTP25"/>
    <mergeCell ref="RSS25:RST25"/>
    <mergeCell ref="RSU25:RSV25"/>
    <mergeCell ref="RSW25:RSX25"/>
    <mergeCell ref="RSY25:RSZ25"/>
    <mergeCell ref="RTA25:RTB25"/>
    <mergeCell ref="RTC25:RTD25"/>
    <mergeCell ref="RXU25:RXV25"/>
    <mergeCell ref="RXW25:RXX25"/>
    <mergeCell ref="RXY25:RXZ25"/>
    <mergeCell ref="RYA25:RYB25"/>
    <mergeCell ref="RYC25:RYD25"/>
    <mergeCell ref="RYE25:RYF25"/>
    <mergeCell ref="RXI25:RXJ25"/>
    <mergeCell ref="RXK25:RXL25"/>
    <mergeCell ref="RXM25:RXN25"/>
    <mergeCell ref="RXO25:RXP25"/>
    <mergeCell ref="RXQ25:RXR25"/>
    <mergeCell ref="RXS25:RXT25"/>
    <mergeCell ref="RWW25:RWX25"/>
    <mergeCell ref="RWY25:RWZ25"/>
    <mergeCell ref="RXA25:RXB25"/>
    <mergeCell ref="RXC25:RXD25"/>
    <mergeCell ref="RXE25:RXF25"/>
    <mergeCell ref="RXG25:RXH25"/>
    <mergeCell ref="RWK25:RWL25"/>
    <mergeCell ref="RWM25:RWN25"/>
    <mergeCell ref="RWO25:RWP25"/>
    <mergeCell ref="RWQ25:RWR25"/>
    <mergeCell ref="RWS25:RWT25"/>
    <mergeCell ref="RWU25:RWV25"/>
    <mergeCell ref="RVY25:RVZ25"/>
    <mergeCell ref="RWA25:RWB25"/>
    <mergeCell ref="RWC25:RWD25"/>
    <mergeCell ref="RWE25:RWF25"/>
    <mergeCell ref="RWG25:RWH25"/>
    <mergeCell ref="RWI25:RWJ25"/>
    <mergeCell ref="RVM25:RVN25"/>
    <mergeCell ref="RVO25:RVP25"/>
    <mergeCell ref="RVQ25:RVR25"/>
    <mergeCell ref="RVS25:RVT25"/>
    <mergeCell ref="RVU25:RVV25"/>
    <mergeCell ref="RVW25:RVX25"/>
    <mergeCell ref="SAO25:SAP25"/>
    <mergeCell ref="SAQ25:SAR25"/>
    <mergeCell ref="SAS25:SAT25"/>
    <mergeCell ref="SAU25:SAV25"/>
    <mergeCell ref="SAW25:SAX25"/>
    <mergeCell ref="SAY25:SAZ25"/>
    <mergeCell ref="SAC25:SAD25"/>
    <mergeCell ref="SAE25:SAF25"/>
    <mergeCell ref="SAG25:SAH25"/>
    <mergeCell ref="SAI25:SAJ25"/>
    <mergeCell ref="SAK25:SAL25"/>
    <mergeCell ref="SAM25:SAN25"/>
    <mergeCell ref="RZQ25:RZR25"/>
    <mergeCell ref="RZS25:RZT25"/>
    <mergeCell ref="RZU25:RZV25"/>
    <mergeCell ref="RZW25:RZX25"/>
    <mergeCell ref="RZY25:RZZ25"/>
    <mergeCell ref="SAA25:SAB25"/>
    <mergeCell ref="RZE25:RZF25"/>
    <mergeCell ref="RZG25:RZH25"/>
    <mergeCell ref="RZI25:RZJ25"/>
    <mergeCell ref="RZK25:RZL25"/>
    <mergeCell ref="RZM25:RZN25"/>
    <mergeCell ref="RZO25:RZP25"/>
    <mergeCell ref="RYS25:RYT25"/>
    <mergeCell ref="RYU25:RYV25"/>
    <mergeCell ref="RYW25:RYX25"/>
    <mergeCell ref="RYY25:RYZ25"/>
    <mergeCell ref="RZA25:RZB25"/>
    <mergeCell ref="RZC25:RZD25"/>
    <mergeCell ref="RYG25:RYH25"/>
    <mergeCell ref="RYI25:RYJ25"/>
    <mergeCell ref="RYK25:RYL25"/>
    <mergeCell ref="RYM25:RYN25"/>
    <mergeCell ref="RYO25:RYP25"/>
    <mergeCell ref="RYQ25:RYR25"/>
    <mergeCell ref="SDI25:SDJ25"/>
    <mergeCell ref="SDK25:SDL25"/>
    <mergeCell ref="SDM25:SDN25"/>
    <mergeCell ref="SDO25:SDP25"/>
    <mergeCell ref="SDQ25:SDR25"/>
    <mergeCell ref="SDS25:SDT25"/>
    <mergeCell ref="SCW25:SCX25"/>
    <mergeCell ref="SCY25:SCZ25"/>
    <mergeCell ref="SDA25:SDB25"/>
    <mergeCell ref="SDC25:SDD25"/>
    <mergeCell ref="SDE25:SDF25"/>
    <mergeCell ref="SDG25:SDH25"/>
    <mergeCell ref="SCK25:SCL25"/>
    <mergeCell ref="SCM25:SCN25"/>
    <mergeCell ref="SCO25:SCP25"/>
    <mergeCell ref="SCQ25:SCR25"/>
    <mergeCell ref="SCS25:SCT25"/>
    <mergeCell ref="SCU25:SCV25"/>
    <mergeCell ref="SBY25:SBZ25"/>
    <mergeCell ref="SCA25:SCB25"/>
    <mergeCell ref="SCC25:SCD25"/>
    <mergeCell ref="SCE25:SCF25"/>
    <mergeCell ref="SCG25:SCH25"/>
    <mergeCell ref="SCI25:SCJ25"/>
    <mergeCell ref="SBM25:SBN25"/>
    <mergeCell ref="SBO25:SBP25"/>
    <mergeCell ref="SBQ25:SBR25"/>
    <mergeCell ref="SBS25:SBT25"/>
    <mergeCell ref="SBU25:SBV25"/>
    <mergeCell ref="SBW25:SBX25"/>
    <mergeCell ref="SBA25:SBB25"/>
    <mergeCell ref="SBC25:SBD25"/>
    <mergeCell ref="SBE25:SBF25"/>
    <mergeCell ref="SBG25:SBH25"/>
    <mergeCell ref="SBI25:SBJ25"/>
    <mergeCell ref="SBK25:SBL25"/>
    <mergeCell ref="SGC25:SGD25"/>
    <mergeCell ref="SGE25:SGF25"/>
    <mergeCell ref="SGG25:SGH25"/>
    <mergeCell ref="SGI25:SGJ25"/>
    <mergeCell ref="SGK25:SGL25"/>
    <mergeCell ref="SGM25:SGN25"/>
    <mergeCell ref="SFQ25:SFR25"/>
    <mergeCell ref="SFS25:SFT25"/>
    <mergeCell ref="SFU25:SFV25"/>
    <mergeCell ref="SFW25:SFX25"/>
    <mergeCell ref="SFY25:SFZ25"/>
    <mergeCell ref="SGA25:SGB25"/>
    <mergeCell ref="SFE25:SFF25"/>
    <mergeCell ref="SFG25:SFH25"/>
    <mergeCell ref="SFI25:SFJ25"/>
    <mergeCell ref="SFK25:SFL25"/>
    <mergeCell ref="SFM25:SFN25"/>
    <mergeCell ref="SFO25:SFP25"/>
    <mergeCell ref="SES25:SET25"/>
    <mergeCell ref="SEU25:SEV25"/>
    <mergeCell ref="SEW25:SEX25"/>
    <mergeCell ref="SEY25:SEZ25"/>
    <mergeCell ref="SFA25:SFB25"/>
    <mergeCell ref="SFC25:SFD25"/>
    <mergeCell ref="SEG25:SEH25"/>
    <mergeCell ref="SEI25:SEJ25"/>
    <mergeCell ref="SEK25:SEL25"/>
    <mergeCell ref="SEM25:SEN25"/>
    <mergeCell ref="SEO25:SEP25"/>
    <mergeCell ref="SEQ25:SER25"/>
    <mergeCell ref="SDU25:SDV25"/>
    <mergeCell ref="SDW25:SDX25"/>
    <mergeCell ref="SDY25:SDZ25"/>
    <mergeCell ref="SEA25:SEB25"/>
    <mergeCell ref="SEC25:SED25"/>
    <mergeCell ref="SEE25:SEF25"/>
    <mergeCell ref="SIW25:SIX25"/>
    <mergeCell ref="SIY25:SIZ25"/>
    <mergeCell ref="SJA25:SJB25"/>
    <mergeCell ref="SJC25:SJD25"/>
    <mergeCell ref="SJE25:SJF25"/>
    <mergeCell ref="SJG25:SJH25"/>
    <mergeCell ref="SIK25:SIL25"/>
    <mergeCell ref="SIM25:SIN25"/>
    <mergeCell ref="SIO25:SIP25"/>
    <mergeCell ref="SIQ25:SIR25"/>
    <mergeCell ref="SIS25:SIT25"/>
    <mergeCell ref="SIU25:SIV25"/>
    <mergeCell ref="SHY25:SHZ25"/>
    <mergeCell ref="SIA25:SIB25"/>
    <mergeCell ref="SIC25:SID25"/>
    <mergeCell ref="SIE25:SIF25"/>
    <mergeCell ref="SIG25:SIH25"/>
    <mergeCell ref="SII25:SIJ25"/>
    <mergeCell ref="SHM25:SHN25"/>
    <mergeCell ref="SHO25:SHP25"/>
    <mergeCell ref="SHQ25:SHR25"/>
    <mergeCell ref="SHS25:SHT25"/>
    <mergeCell ref="SHU25:SHV25"/>
    <mergeCell ref="SHW25:SHX25"/>
    <mergeCell ref="SHA25:SHB25"/>
    <mergeCell ref="SHC25:SHD25"/>
    <mergeCell ref="SHE25:SHF25"/>
    <mergeCell ref="SHG25:SHH25"/>
    <mergeCell ref="SHI25:SHJ25"/>
    <mergeCell ref="SHK25:SHL25"/>
    <mergeCell ref="SGO25:SGP25"/>
    <mergeCell ref="SGQ25:SGR25"/>
    <mergeCell ref="SGS25:SGT25"/>
    <mergeCell ref="SGU25:SGV25"/>
    <mergeCell ref="SGW25:SGX25"/>
    <mergeCell ref="SGY25:SGZ25"/>
    <mergeCell ref="SLQ25:SLR25"/>
    <mergeCell ref="SLS25:SLT25"/>
    <mergeCell ref="SLU25:SLV25"/>
    <mergeCell ref="SLW25:SLX25"/>
    <mergeCell ref="SLY25:SLZ25"/>
    <mergeCell ref="SMA25:SMB25"/>
    <mergeCell ref="SLE25:SLF25"/>
    <mergeCell ref="SLG25:SLH25"/>
    <mergeCell ref="SLI25:SLJ25"/>
    <mergeCell ref="SLK25:SLL25"/>
    <mergeCell ref="SLM25:SLN25"/>
    <mergeCell ref="SLO25:SLP25"/>
    <mergeCell ref="SKS25:SKT25"/>
    <mergeCell ref="SKU25:SKV25"/>
    <mergeCell ref="SKW25:SKX25"/>
    <mergeCell ref="SKY25:SKZ25"/>
    <mergeCell ref="SLA25:SLB25"/>
    <mergeCell ref="SLC25:SLD25"/>
    <mergeCell ref="SKG25:SKH25"/>
    <mergeCell ref="SKI25:SKJ25"/>
    <mergeCell ref="SKK25:SKL25"/>
    <mergeCell ref="SKM25:SKN25"/>
    <mergeCell ref="SKO25:SKP25"/>
    <mergeCell ref="SKQ25:SKR25"/>
    <mergeCell ref="SJU25:SJV25"/>
    <mergeCell ref="SJW25:SJX25"/>
    <mergeCell ref="SJY25:SJZ25"/>
    <mergeCell ref="SKA25:SKB25"/>
    <mergeCell ref="SKC25:SKD25"/>
    <mergeCell ref="SKE25:SKF25"/>
    <mergeCell ref="SJI25:SJJ25"/>
    <mergeCell ref="SJK25:SJL25"/>
    <mergeCell ref="SJM25:SJN25"/>
    <mergeCell ref="SJO25:SJP25"/>
    <mergeCell ref="SJQ25:SJR25"/>
    <mergeCell ref="SJS25:SJT25"/>
    <mergeCell ref="SOK25:SOL25"/>
    <mergeCell ref="SOM25:SON25"/>
    <mergeCell ref="SOO25:SOP25"/>
    <mergeCell ref="SOQ25:SOR25"/>
    <mergeCell ref="SOS25:SOT25"/>
    <mergeCell ref="SOU25:SOV25"/>
    <mergeCell ref="SNY25:SNZ25"/>
    <mergeCell ref="SOA25:SOB25"/>
    <mergeCell ref="SOC25:SOD25"/>
    <mergeCell ref="SOE25:SOF25"/>
    <mergeCell ref="SOG25:SOH25"/>
    <mergeCell ref="SOI25:SOJ25"/>
    <mergeCell ref="SNM25:SNN25"/>
    <mergeCell ref="SNO25:SNP25"/>
    <mergeCell ref="SNQ25:SNR25"/>
    <mergeCell ref="SNS25:SNT25"/>
    <mergeCell ref="SNU25:SNV25"/>
    <mergeCell ref="SNW25:SNX25"/>
    <mergeCell ref="SNA25:SNB25"/>
    <mergeCell ref="SNC25:SND25"/>
    <mergeCell ref="SNE25:SNF25"/>
    <mergeCell ref="SNG25:SNH25"/>
    <mergeCell ref="SNI25:SNJ25"/>
    <mergeCell ref="SNK25:SNL25"/>
    <mergeCell ref="SMO25:SMP25"/>
    <mergeCell ref="SMQ25:SMR25"/>
    <mergeCell ref="SMS25:SMT25"/>
    <mergeCell ref="SMU25:SMV25"/>
    <mergeCell ref="SMW25:SMX25"/>
    <mergeCell ref="SMY25:SMZ25"/>
    <mergeCell ref="SMC25:SMD25"/>
    <mergeCell ref="SME25:SMF25"/>
    <mergeCell ref="SMG25:SMH25"/>
    <mergeCell ref="SMI25:SMJ25"/>
    <mergeCell ref="SMK25:SML25"/>
    <mergeCell ref="SMM25:SMN25"/>
    <mergeCell ref="SRE25:SRF25"/>
    <mergeCell ref="SRG25:SRH25"/>
    <mergeCell ref="SRI25:SRJ25"/>
    <mergeCell ref="SRK25:SRL25"/>
    <mergeCell ref="SRM25:SRN25"/>
    <mergeCell ref="SRO25:SRP25"/>
    <mergeCell ref="SQS25:SQT25"/>
    <mergeCell ref="SQU25:SQV25"/>
    <mergeCell ref="SQW25:SQX25"/>
    <mergeCell ref="SQY25:SQZ25"/>
    <mergeCell ref="SRA25:SRB25"/>
    <mergeCell ref="SRC25:SRD25"/>
    <mergeCell ref="SQG25:SQH25"/>
    <mergeCell ref="SQI25:SQJ25"/>
    <mergeCell ref="SQK25:SQL25"/>
    <mergeCell ref="SQM25:SQN25"/>
    <mergeCell ref="SQO25:SQP25"/>
    <mergeCell ref="SQQ25:SQR25"/>
    <mergeCell ref="SPU25:SPV25"/>
    <mergeCell ref="SPW25:SPX25"/>
    <mergeCell ref="SPY25:SPZ25"/>
    <mergeCell ref="SQA25:SQB25"/>
    <mergeCell ref="SQC25:SQD25"/>
    <mergeCell ref="SQE25:SQF25"/>
    <mergeCell ref="SPI25:SPJ25"/>
    <mergeCell ref="SPK25:SPL25"/>
    <mergeCell ref="SPM25:SPN25"/>
    <mergeCell ref="SPO25:SPP25"/>
    <mergeCell ref="SPQ25:SPR25"/>
    <mergeCell ref="SPS25:SPT25"/>
    <mergeCell ref="SOW25:SOX25"/>
    <mergeCell ref="SOY25:SOZ25"/>
    <mergeCell ref="SPA25:SPB25"/>
    <mergeCell ref="SPC25:SPD25"/>
    <mergeCell ref="SPE25:SPF25"/>
    <mergeCell ref="SPG25:SPH25"/>
    <mergeCell ref="STY25:STZ25"/>
    <mergeCell ref="SUA25:SUB25"/>
    <mergeCell ref="SUC25:SUD25"/>
    <mergeCell ref="SUE25:SUF25"/>
    <mergeCell ref="SUG25:SUH25"/>
    <mergeCell ref="SUI25:SUJ25"/>
    <mergeCell ref="STM25:STN25"/>
    <mergeCell ref="STO25:STP25"/>
    <mergeCell ref="STQ25:STR25"/>
    <mergeCell ref="STS25:STT25"/>
    <mergeCell ref="STU25:STV25"/>
    <mergeCell ref="STW25:STX25"/>
    <mergeCell ref="STA25:STB25"/>
    <mergeCell ref="STC25:STD25"/>
    <mergeCell ref="STE25:STF25"/>
    <mergeCell ref="STG25:STH25"/>
    <mergeCell ref="STI25:STJ25"/>
    <mergeCell ref="STK25:STL25"/>
    <mergeCell ref="SSO25:SSP25"/>
    <mergeCell ref="SSQ25:SSR25"/>
    <mergeCell ref="SSS25:SST25"/>
    <mergeCell ref="SSU25:SSV25"/>
    <mergeCell ref="SSW25:SSX25"/>
    <mergeCell ref="SSY25:SSZ25"/>
    <mergeCell ref="SSC25:SSD25"/>
    <mergeCell ref="SSE25:SSF25"/>
    <mergeCell ref="SSG25:SSH25"/>
    <mergeCell ref="SSI25:SSJ25"/>
    <mergeCell ref="SSK25:SSL25"/>
    <mergeCell ref="SSM25:SSN25"/>
    <mergeCell ref="SRQ25:SRR25"/>
    <mergeCell ref="SRS25:SRT25"/>
    <mergeCell ref="SRU25:SRV25"/>
    <mergeCell ref="SRW25:SRX25"/>
    <mergeCell ref="SRY25:SRZ25"/>
    <mergeCell ref="SSA25:SSB25"/>
    <mergeCell ref="SWS25:SWT25"/>
    <mergeCell ref="SWU25:SWV25"/>
    <mergeCell ref="SWW25:SWX25"/>
    <mergeCell ref="SWY25:SWZ25"/>
    <mergeCell ref="SXA25:SXB25"/>
    <mergeCell ref="SXC25:SXD25"/>
    <mergeCell ref="SWG25:SWH25"/>
    <mergeCell ref="SWI25:SWJ25"/>
    <mergeCell ref="SWK25:SWL25"/>
    <mergeCell ref="SWM25:SWN25"/>
    <mergeCell ref="SWO25:SWP25"/>
    <mergeCell ref="SWQ25:SWR25"/>
    <mergeCell ref="SVU25:SVV25"/>
    <mergeCell ref="SVW25:SVX25"/>
    <mergeCell ref="SVY25:SVZ25"/>
    <mergeCell ref="SWA25:SWB25"/>
    <mergeCell ref="SWC25:SWD25"/>
    <mergeCell ref="SWE25:SWF25"/>
    <mergeCell ref="SVI25:SVJ25"/>
    <mergeCell ref="SVK25:SVL25"/>
    <mergeCell ref="SVM25:SVN25"/>
    <mergeCell ref="SVO25:SVP25"/>
    <mergeCell ref="SVQ25:SVR25"/>
    <mergeCell ref="SVS25:SVT25"/>
    <mergeCell ref="SUW25:SUX25"/>
    <mergeCell ref="SUY25:SUZ25"/>
    <mergeCell ref="SVA25:SVB25"/>
    <mergeCell ref="SVC25:SVD25"/>
    <mergeCell ref="SVE25:SVF25"/>
    <mergeCell ref="SVG25:SVH25"/>
    <mergeCell ref="SUK25:SUL25"/>
    <mergeCell ref="SUM25:SUN25"/>
    <mergeCell ref="SUO25:SUP25"/>
    <mergeCell ref="SUQ25:SUR25"/>
    <mergeCell ref="SUS25:SUT25"/>
    <mergeCell ref="SUU25:SUV25"/>
    <mergeCell ref="SZM25:SZN25"/>
    <mergeCell ref="SZO25:SZP25"/>
    <mergeCell ref="SZQ25:SZR25"/>
    <mergeCell ref="SZS25:SZT25"/>
    <mergeCell ref="SZU25:SZV25"/>
    <mergeCell ref="SZW25:SZX25"/>
    <mergeCell ref="SZA25:SZB25"/>
    <mergeCell ref="SZC25:SZD25"/>
    <mergeCell ref="SZE25:SZF25"/>
    <mergeCell ref="SZG25:SZH25"/>
    <mergeCell ref="SZI25:SZJ25"/>
    <mergeCell ref="SZK25:SZL25"/>
    <mergeCell ref="SYO25:SYP25"/>
    <mergeCell ref="SYQ25:SYR25"/>
    <mergeCell ref="SYS25:SYT25"/>
    <mergeCell ref="SYU25:SYV25"/>
    <mergeCell ref="SYW25:SYX25"/>
    <mergeCell ref="SYY25:SYZ25"/>
    <mergeCell ref="SYC25:SYD25"/>
    <mergeCell ref="SYE25:SYF25"/>
    <mergeCell ref="SYG25:SYH25"/>
    <mergeCell ref="SYI25:SYJ25"/>
    <mergeCell ref="SYK25:SYL25"/>
    <mergeCell ref="SYM25:SYN25"/>
    <mergeCell ref="SXQ25:SXR25"/>
    <mergeCell ref="SXS25:SXT25"/>
    <mergeCell ref="SXU25:SXV25"/>
    <mergeCell ref="SXW25:SXX25"/>
    <mergeCell ref="SXY25:SXZ25"/>
    <mergeCell ref="SYA25:SYB25"/>
    <mergeCell ref="SXE25:SXF25"/>
    <mergeCell ref="SXG25:SXH25"/>
    <mergeCell ref="SXI25:SXJ25"/>
    <mergeCell ref="SXK25:SXL25"/>
    <mergeCell ref="SXM25:SXN25"/>
    <mergeCell ref="SXO25:SXP25"/>
    <mergeCell ref="TCG25:TCH25"/>
    <mergeCell ref="TCI25:TCJ25"/>
    <mergeCell ref="TCK25:TCL25"/>
    <mergeCell ref="TCM25:TCN25"/>
    <mergeCell ref="TCO25:TCP25"/>
    <mergeCell ref="TCQ25:TCR25"/>
    <mergeCell ref="TBU25:TBV25"/>
    <mergeCell ref="TBW25:TBX25"/>
    <mergeCell ref="TBY25:TBZ25"/>
    <mergeCell ref="TCA25:TCB25"/>
    <mergeCell ref="TCC25:TCD25"/>
    <mergeCell ref="TCE25:TCF25"/>
    <mergeCell ref="TBI25:TBJ25"/>
    <mergeCell ref="TBK25:TBL25"/>
    <mergeCell ref="TBM25:TBN25"/>
    <mergeCell ref="TBO25:TBP25"/>
    <mergeCell ref="TBQ25:TBR25"/>
    <mergeCell ref="TBS25:TBT25"/>
    <mergeCell ref="TAW25:TAX25"/>
    <mergeCell ref="TAY25:TAZ25"/>
    <mergeCell ref="TBA25:TBB25"/>
    <mergeCell ref="TBC25:TBD25"/>
    <mergeCell ref="TBE25:TBF25"/>
    <mergeCell ref="TBG25:TBH25"/>
    <mergeCell ref="TAK25:TAL25"/>
    <mergeCell ref="TAM25:TAN25"/>
    <mergeCell ref="TAO25:TAP25"/>
    <mergeCell ref="TAQ25:TAR25"/>
    <mergeCell ref="TAS25:TAT25"/>
    <mergeCell ref="TAU25:TAV25"/>
    <mergeCell ref="SZY25:SZZ25"/>
    <mergeCell ref="TAA25:TAB25"/>
    <mergeCell ref="TAC25:TAD25"/>
    <mergeCell ref="TAE25:TAF25"/>
    <mergeCell ref="TAG25:TAH25"/>
    <mergeCell ref="TAI25:TAJ25"/>
    <mergeCell ref="TFA25:TFB25"/>
    <mergeCell ref="TFC25:TFD25"/>
    <mergeCell ref="TFE25:TFF25"/>
    <mergeCell ref="TFG25:TFH25"/>
    <mergeCell ref="TFI25:TFJ25"/>
    <mergeCell ref="TFK25:TFL25"/>
    <mergeCell ref="TEO25:TEP25"/>
    <mergeCell ref="TEQ25:TER25"/>
    <mergeCell ref="TES25:TET25"/>
    <mergeCell ref="TEU25:TEV25"/>
    <mergeCell ref="TEW25:TEX25"/>
    <mergeCell ref="TEY25:TEZ25"/>
    <mergeCell ref="TEC25:TED25"/>
    <mergeCell ref="TEE25:TEF25"/>
    <mergeCell ref="TEG25:TEH25"/>
    <mergeCell ref="TEI25:TEJ25"/>
    <mergeCell ref="TEK25:TEL25"/>
    <mergeCell ref="TEM25:TEN25"/>
    <mergeCell ref="TDQ25:TDR25"/>
    <mergeCell ref="TDS25:TDT25"/>
    <mergeCell ref="TDU25:TDV25"/>
    <mergeCell ref="TDW25:TDX25"/>
    <mergeCell ref="TDY25:TDZ25"/>
    <mergeCell ref="TEA25:TEB25"/>
    <mergeCell ref="TDE25:TDF25"/>
    <mergeCell ref="TDG25:TDH25"/>
    <mergeCell ref="TDI25:TDJ25"/>
    <mergeCell ref="TDK25:TDL25"/>
    <mergeCell ref="TDM25:TDN25"/>
    <mergeCell ref="TDO25:TDP25"/>
    <mergeCell ref="TCS25:TCT25"/>
    <mergeCell ref="TCU25:TCV25"/>
    <mergeCell ref="TCW25:TCX25"/>
    <mergeCell ref="TCY25:TCZ25"/>
    <mergeCell ref="TDA25:TDB25"/>
    <mergeCell ref="TDC25:TDD25"/>
    <mergeCell ref="THU25:THV25"/>
    <mergeCell ref="THW25:THX25"/>
    <mergeCell ref="THY25:THZ25"/>
    <mergeCell ref="TIA25:TIB25"/>
    <mergeCell ref="TIC25:TID25"/>
    <mergeCell ref="TIE25:TIF25"/>
    <mergeCell ref="THI25:THJ25"/>
    <mergeCell ref="THK25:THL25"/>
    <mergeCell ref="THM25:THN25"/>
    <mergeCell ref="THO25:THP25"/>
    <mergeCell ref="THQ25:THR25"/>
    <mergeCell ref="THS25:THT25"/>
    <mergeCell ref="TGW25:TGX25"/>
    <mergeCell ref="TGY25:TGZ25"/>
    <mergeCell ref="THA25:THB25"/>
    <mergeCell ref="THC25:THD25"/>
    <mergeCell ref="THE25:THF25"/>
    <mergeCell ref="THG25:THH25"/>
    <mergeCell ref="TGK25:TGL25"/>
    <mergeCell ref="TGM25:TGN25"/>
    <mergeCell ref="TGO25:TGP25"/>
    <mergeCell ref="TGQ25:TGR25"/>
    <mergeCell ref="TGS25:TGT25"/>
    <mergeCell ref="TGU25:TGV25"/>
    <mergeCell ref="TFY25:TFZ25"/>
    <mergeCell ref="TGA25:TGB25"/>
    <mergeCell ref="TGC25:TGD25"/>
    <mergeCell ref="TGE25:TGF25"/>
    <mergeCell ref="TGG25:TGH25"/>
    <mergeCell ref="TGI25:TGJ25"/>
    <mergeCell ref="TFM25:TFN25"/>
    <mergeCell ref="TFO25:TFP25"/>
    <mergeCell ref="TFQ25:TFR25"/>
    <mergeCell ref="TFS25:TFT25"/>
    <mergeCell ref="TFU25:TFV25"/>
    <mergeCell ref="TFW25:TFX25"/>
    <mergeCell ref="TKO25:TKP25"/>
    <mergeCell ref="TKQ25:TKR25"/>
    <mergeCell ref="TKS25:TKT25"/>
    <mergeCell ref="TKU25:TKV25"/>
    <mergeCell ref="TKW25:TKX25"/>
    <mergeCell ref="TKY25:TKZ25"/>
    <mergeCell ref="TKC25:TKD25"/>
    <mergeCell ref="TKE25:TKF25"/>
    <mergeCell ref="TKG25:TKH25"/>
    <mergeCell ref="TKI25:TKJ25"/>
    <mergeCell ref="TKK25:TKL25"/>
    <mergeCell ref="TKM25:TKN25"/>
    <mergeCell ref="TJQ25:TJR25"/>
    <mergeCell ref="TJS25:TJT25"/>
    <mergeCell ref="TJU25:TJV25"/>
    <mergeCell ref="TJW25:TJX25"/>
    <mergeCell ref="TJY25:TJZ25"/>
    <mergeCell ref="TKA25:TKB25"/>
    <mergeCell ref="TJE25:TJF25"/>
    <mergeCell ref="TJG25:TJH25"/>
    <mergeCell ref="TJI25:TJJ25"/>
    <mergeCell ref="TJK25:TJL25"/>
    <mergeCell ref="TJM25:TJN25"/>
    <mergeCell ref="TJO25:TJP25"/>
    <mergeCell ref="TIS25:TIT25"/>
    <mergeCell ref="TIU25:TIV25"/>
    <mergeCell ref="TIW25:TIX25"/>
    <mergeCell ref="TIY25:TIZ25"/>
    <mergeCell ref="TJA25:TJB25"/>
    <mergeCell ref="TJC25:TJD25"/>
    <mergeCell ref="TIG25:TIH25"/>
    <mergeCell ref="TII25:TIJ25"/>
    <mergeCell ref="TIK25:TIL25"/>
    <mergeCell ref="TIM25:TIN25"/>
    <mergeCell ref="TIO25:TIP25"/>
    <mergeCell ref="TIQ25:TIR25"/>
    <mergeCell ref="TNI25:TNJ25"/>
    <mergeCell ref="TNK25:TNL25"/>
    <mergeCell ref="TNM25:TNN25"/>
    <mergeCell ref="TNO25:TNP25"/>
    <mergeCell ref="TNQ25:TNR25"/>
    <mergeCell ref="TNS25:TNT25"/>
    <mergeCell ref="TMW25:TMX25"/>
    <mergeCell ref="TMY25:TMZ25"/>
    <mergeCell ref="TNA25:TNB25"/>
    <mergeCell ref="TNC25:TND25"/>
    <mergeCell ref="TNE25:TNF25"/>
    <mergeCell ref="TNG25:TNH25"/>
    <mergeCell ref="TMK25:TML25"/>
    <mergeCell ref="TMM25:TMN25"/>
    <mergeCell ref="TMO25:TMP25"/>
    <mergeCell ref="TMQ25:TMR25"/>
    <mergeCell ref="TMS25:TMT25"/>
    <mergeCell ref="TMU25:TMV25"/>
    <mergeCell ref="TLY25:TLZ25"/>
    <mergeCell ref="TMA25:TMB25"/>
    <mergeCell ref="TMC25:TMD25"/>
    <mergeCell ref="TME25:TMF25"/>
    <mergeCell ref="TMG25:TMH25"/>
    <mergeCell ref="TMI25:TMJ25"/>
    <mergeCell ref="TLM25:TLN25"/>
    <mergeCell ref="TLO25:TLP25"/>
    <mergeCell ref="TLQ25:TLR25"/>
    <mergeCell ref="TLS25:TLT25"/>
    <mergeCell ref="TLU25:TLV25"/>
    <mergeCell ref="TLW25:TLX25"/>
    <mergeCell ref="TLA25:TLB25"/>
    <mergeCell ref="TLC25:TLD25"/>
    <mergeCell ref="TLE25:TLF25"/>
    <mergeCell ref="TLG25:TLH25"/>
    <mergeCell ref="TLI25:TLJ25"/>
    <mergeCell ref="TLK25:TLL25"/>
    <mergeCell ref="TQC25:TQD25"/>
    <mergeCell ref="TQE25:TQF25"/>
    <mergeCell ref="TQG25:TQH25"/>
    <mergeCell ref="TQI25:TQJ25"/>
    <mergeCell ref="TQK25:TQL25"/>
    <mergeCell ref="TQM25:TQN25"/>
    <mergeCell ref="TPQ25:TPR25"/>
    <mergeCell ref="TPS25:TPT25"/>
    <mergeCell ref="TPU25:TPV25"/>
    <mergeCell ref="TPW25:TPX25"/>
    <mergeCell ref="TPY25:TPZ25"/>
    <mergeCell ref="TQA25:TQB25"/>
    <mergeCell ref="TPE25:TPF25"/>
    <mergeCell ref="TPG25:TPH25"/>
    <mergeCell ref="TPI25:TPJ25"/>
    <mergeCell ref="TPK25:TPL25"/>
    <mergeCell ref="TPM25:TPN25"/>
    <mergeCell ref="TPO25:TPP25"/>
    <mergeCell ref="TOS25:TOT25"/>
    <mergeCell ref="TOU25:TOV25"/>
    <mergeCell ref="TOW25:TOX25"/>
    <mergeCell ref="TOY25:TOZ25"/>
    <mergeCell ref="TPA25:TPB25"/>
    <mergeCell ref="TPC25:TPD25"/>
    <mergeCell ref="TOG25:TOH25"/>
    <mergeCell ref="TOI25:TOJ25"/>
    <mergeCell ref="TOK25:TOL25"/>
    <mergeCell ref="TOM25:TON25"/>
    <mergeCell ref="TOO25:TOP25"/>
    <mergeCell ref="TOQ25:TOR25"/>
    <mergeCell ref="TNU25:TNV25"/>
    <mergeCell ref="TNW25:TNX25"/>
    <mergeCell ref="TNY25:TNZ25"/>
    <mergeCell ref="TOA25:TOB25"/>
    <mergeCell ref="TOC25:TOD25"/>
    <mergeCell ref="TOE25:TOF25"/>
    <mergeCell ref="TSW25:TSX25"/>
    <mergeCell ref="TSY25:TSZ25"/>
    <mergeCell ref="TTA25:TTB25"/>
    <mergeCell ref="TTC25:TTD25"/>
    <mergeCell ref="TTE25:TTF25"/>
    <mergeCell ref="TTG25:TTH25"/>
    <mergeCell ref="TSK25:TSL25"/>
    <mergeCell ref="TSM25:TSN25"/>
    <mergeCell ref="TSO25:TSP25"/>
    <mergeCell ref="TSQ25:TSR25"/>
    <mergeCell ref="TSS25:TST25"/>
    <mergeCell ref="TSU25:TSV25"/>
    <mergeCell ref="TRY25:TRZ25"/>
    <mergeCell ref="TSA25:TSB25"/>
    <mergeCell ref="TSC25:TSD25"/>
    <mergeCell ref="TSE25:TSF25"/>
    <mergeCell ref="TSG25:TSH25"/>
    <mergeCell ref="TSI25:TSJ25"/>
    <mergeCell ref="TRM25:TRN25"/>
    <mergeCell ref="TRO25:TRP25"/>
    <mergeCell ref="TRQ25:TRR25"/>
    <mergeCell ref="TRS25:TRT25"/>
    <mergeCell ref="TRU25:TRV25"/>
    <mergeCell ref="TRW25:TRX25"/>
    <mergeCell ref="TRA25:TRB25"/>
    <mergeCell ref="TRC25:TRD25"/>
    <mergeCell ref="TRE25:TRF25"/>
    <mergeCell ref="TRG25:TRH25"/>
    <mergeCell ref="TRI25:TRJ25"/>
    <mergeCell ref="TRK25:TRL25"/>
    <mergeCell ref="TQO25:TQP25"/>
    <mergeCell ref="TQQ25:TQR25"/>
    <mergeCell ref="TQS25:TQT25"/>
    <mergeCell ref="TQU25:TQV25"/>
    <mergeCell ref="TQW25:TQX25"/>
    <mergeCell ref="TQY25:TQZ25"/>
    <mergeCell ref="TVQ25:TVR25"/>
    <mergeCell ref="TVS25:TVT25"/>
    <mergeCell ref="TVU25:TVV25"/>
    <mergeCell ref="TVW25:TVX25"/>
    <mergeCell ref="TVY25:TVZ25"/>
    <mergeCell ref="TWA25:TWB25"/>
    <mergeCell ref="TVE25:TVF25"/>
    <mergeCell ref="TVG25:TVH25"/>
    <mergeCell ref="TVI25:TVJ25"/>
    <mergeCell ref="TVK25:TVL25"/>
    <mergeCell ref="TVM25:TVN25"/>
    <mergeCell ref="TVO25:TVP25"/>
    <mergeCell ref="TUS25:TUT25"/>
    <mergeCell ref="TUU25:TUV25"/>
    <mergeCell ref="TUW25:TUX25"/>
    <mergeCell ref="TUY25:TUZ25"/>
    <mergeCell ref="TVA25:TVB25"/>
    <mergeCell ref="TVC25:TVD25"/>
    <mergeCell ref="TUG25:TUH25"/>
    <mergeCell ref="TUI25:TUJ25"/>
    <mergeCell ref="TUK25:TUL25"/>
    <mergeCell ref="TUM25:TUN25"/>
    <mergeCell ref="TUO25:TUP25"/>
    <mergeCell ref="TUQ25:TUR25"/>
    <mergeCell ref="TTU25:TTV25"/>
    <mergeCell ref="TTW25:TTX25"/>
    <mergeCell ref="TTY25:TTZ25"/>
    <mergeCell ref="TUA25:TUB25"/>
    <mergeCell ref="TUC25:TUD25"/>
    <mergeCell ref="TUE25:TUF25"/>
    <mergeCell ref="TTI25:TTJ25"/>
    <mergeCell ref="TTK25:TTL25"/>
    <mergeCell ref="TTM25:TTN25"/>
    <mergeCell ref="TTO25:TTP25"/>
    <mergeCell ref="TTQ25:TTR25"/>
    <mergeCell ref="TTS25:TTT25"/>
    <mergeCell ref="TYK25:TYL25"/>
    <mergeCell ref="TYM25:TYN25"/>
    <mergeCell ref="TYO25:TYP25"/>
    <mergeCell ref="TYQ25:TYR25"/>
    <mergeCell ref="TYS25:TYT25"/>
    <mergeCell ref="TYU25:TYV25"/>
    <mergeCell ref="TXY25:TXZ25"/>
    <mergeCell ref="TYA25:TYB25"/>
    <mergeCell ref="TYC25:TYD25"/>
    <mergeCell ref="TYE25:TYF25"/>
    <mergeCell ref="TYG25:TYH25"/>
    <mergeCell ref="TYI25:TYJ25"/>
    <mergeCell ref="TXM25:TXN25"/>
    <mergeCell ref="TXO25:TXP25"/>
    <mergeCell ref="TXQ25:TXR25"/>
    <mergeCell ref="TXS25:TXT25"/>
    <mergeCell ref="TXU25:TXV25"/>
    <mergeCell ref="TXW25:TXX25"/>
    <mergeCell ref="TXA25:TXB25"/>
    <mergeCell ref="TXC25:TXD25"/>
    <mergeCell ref="TXE25:TXF25"/>
    <mergeCell ref="TXG25:TXH25"/>
    <mergeCell ref="TXI25:TXJ25"/>
    <mergeCell ref="TXK25:TXL25"/>
    <mergeCell ref="TWO25:TWP25"/>
    <mergeCell ref="TWQ25:TWR25"/>
    <mergeCell ref="TWS25:TWT25"/>
    <mergeCell ref="TWU25:TWV25"/>
    <mergeCell ref="TWW25:TWX25"/>
    <mergeCell ref="TWY25:TWZ25"/>
    <mergeCell ref="TWC25:TWD25"/>
    <mergeCell ref="TWE25:TWF25"/>
    <mergeCell ref="TWG25:TWH25"/>
    <mergeCell ref="TWI25:TWJ25"/>
    <mergeCell ref="TWK25:TWL25"/>
    <mergeCell ref="TWM25:TWN25"/>
    <mergeCell ref="UBE25:UBF25"/>
    <mergeCell ref="UBG25:UBH25"/>
    <mergeCell ref="UBI25:UBJ25"/>
    <mergeCell ref="UBK25:UBL25"/>
    <mergeCell ref="UBM25:UBN25"/>
    <mergeCell ref="UBO25:UBP25"/>
    <mergeCell ref="UAS25:UAT25"/>
    <mergeCell ref="UAU25:UAV25"/>
    <mergeCell ref="UAW25:UAX25"/>
    <mergeCell ref="UAY25:UAZ25"/>
    <mergeCell ref="UBA25:UBB25"/>
    <mergeCell ref="UBC25:UBD25"/>
    <mergeCell ref="UAG25:UAH25"/>
    <mergeCell ref="UAI25:UAJ25"/>
    <mergeCell ref="UAK25:UAL25"/>
    <mergeCell ref="UAM25:UAN25"/>
    <mergeCell ref="UAO25:UAP25"/>
    <mergeCell ref="UAQ25:UAR25"/>
    <mergeCell ref="TZU25:TZV25"/>
    <mergeCell ref="TZW25:TZX25"/>
    <mergeCell ref="TZY25:TZZ25"/>
    <mergeCell ref="UAA25:UAB25"/>
    <mergeCell ref="UAC25:UAD25"/>
    <mergeCell ref="UAE25:UAF25"/>
    <mergeCell ref="TZI25:TZJ25"/>
    <mergeCell ref="TZK25:TZL25"/>
    <mergeCell ref="TZM25:TZN25"/>
    <mergeCell ref="TZO25:TZP25"/>
    <mergeCell ref="TZQ25:TZR25"/>
    <mergeCell ref="TZS25:TZT25"/>
    <mergeCell ref="TYW25:TYX25"/>
    <mergeCell ref="TYY25:TYZ25"/>
    <mergeCell ref="TZA25:TZB25"/>
    <mergeCell ref="TZC25:TZD25"/>
    <mergeCell ref="TZE25:TZF25"/>
    <mergeCell ref="TZG25:TZH25"/>
    <mergeCell ref="UDY25:UDZ25"/>
    <mergeCell ref="UEA25:UEB25"/>
    <mergeCell ref="UEC25:UED25"/>
    <mergeCell ref="UEE25:UEF25"/>
    <mergeCell ref="UEG25:UEH25"/>
    <mergeCell ref="UEI25:UEJ25"/>
    <mergeCell ref="UDM25:UDN25"/>
    <mergeCell ref="UDO25:UDP25"/>
    <mergeCell ref="UDQ25:UDR25"/>
    <mergeCell ref="UDS25:UDT25"/>
    <mergeCell ref="UDU25:UDV25"/>
    <mergeCell ref="UDW25:UDX25"/>
    <mergeCell ref="UDA25:UDB25"/>
    <mergeCell ref="UDC25:UDD25"/>
    <mergeCell ref="UDE25:UDF25"/>
    <mergeCell ref="UDG25:UDH25"/>
    <mergeCell ref="UDI25:UDJ25"/>
    <mergeCell ref="UDK25:UDL25"/>
    <mergeCell ref="UCO25:UCP25"/>
    <mergeCell ref="UCQ25:UCR25"/>
    <mergeCell ref="UCS25:UCT25"/>
    <mergeCell ref="UCU25:UCV25"/>
    <mergeCell ref="UCW25:UCX25"/>
    <mergeCell ref="UCY25:UCZ25"/>
    <mergeCell ref="UCC25:UCD25"/>
    <mergeCell ref="UCE25:UCF25"/>
    <mergeCell ref="UCG25:UCH25"/>
    <mergeCell ref="UCI25:UCJ25"/>
    <mergeCell ref="UCK25:UCL25"/>
    <mergeCell ref="UCM25:UCN25"/>
    <mergeCell ref="UBQ25:UBR25"/>
    <mergeCell ref="UBS25:UBT25"/>
    <mergeCell ref="UBU25:UBV25"/>
    <mergeCell ref="UBW25:UBX25"/>
    <mergeCell ref="UBY25:UBZ25"/>
    <mergeCell ref="UCA25:UCB25"/>
    <mergeCell ref="UGS25:UGT25"/>
    <mergeCell ref="UGU25:UGV25"/>
    <mergeCell ref="UGW25:UGX25"/>
    <mergeCell ref="UGY25:UGZ25"/>
    <mergeCell ref="UHA25:UHB25"/>
    <mergeCell ref="UHC25:UHD25"/>
    <mergeCell ref="UGG25:UGH25"/>
    <mergeCell ref="UGI25:UGJ25"/>
    <mergeCell ref="UGK25:UGL25"/>
    <mergeCell ref="UGM25:UGN25"/>
    <mergeCell ref="UGO25:UGP25"/>
    <mergeCell ref="UGQ25:UGR25"/>
    <mergeCell ref="UFU25:UFV25"/>
    <mergeCell ref="UFW25:UFX25"/>
    <mergeCell ref="UFY25:UFZ25"/>
    <mergeCell ref="UGA25:UGB25"/>
    <mergeCell ref="UGC25:UGD25"/>
    <mergeCell ref="UGE25:UGF25"/>
    <mergeCell ref="UFI25:UFJ25"/>
    <mergeCell ref="UFK25:UFL25"/>
    <mergeCell ref="UFM25:UFN25"/>
    <mergeCell ref="UFO25:UFP25"/>
    <mergeCell ref="UFQ25:UFR25"/>
    <mergeCell ref="UFS25:UFT25"/>
    <mergeCell ref="UEW25:UEX25"/>
    <mergeCell ref="UEY25:UEZ25"/>
    <mergeCell ref="UFA25:UFB25"/>
    <mergeCell ref="UFC25:UFD25"/>
    <mergeCell ref="UFE25:UFF25"/>
    <mergeCell ref="UFG25:UFH25"/>
    <mergeCell ref="UEK25:UEL25"/>
    <mergeCell ref="UEM25:UEN25"/>
    <mergeCell ref="UEO25:UEP25"/>
    <mergeCell ref="UEQ25:UER25"/>
    <mergeCell ref="UES25:UET25"/>
    <mergeCell ref="UEU25:UEV25"/>
    <mergeCell ref="UJM25:UJN25"/>
    <mergeCell ref="UJO25:UJP25"/>
    <mergeCell ref="UJQ25:UJR25"/>
    <mergeCell ref="UJS25:UJT25"/>
    <mergeCell ref="UJU25:UJV25"/>
    <mergeCell ref="UJW25:UJX25"/>
    <mergeCell ref="UJA25:UJB25"/>
    <mergeCell ref="UJC25:UJD25"/>
    <mergeCell ref="UJE25:UJF25"/>
    <mergeCell ref="UJG25:UJH25"/>
    <mergeCell ref="UJI25:UJJ25"/>
    <mergeCell ref="UJK25:UJL25"/>
    <mergeCell ref="UIO25:UIP25"/>
    <mergeCell ref="UIQ25:UIR25"/>
    <mergeCell ref="UIS25:UIT25"/>
    <mergeCell ref="UIU25:UIV25"/>
    <mergeCell ref="UIW25:UIX25"/>
    <mergeCell ref="UIY25:UIZ25"/>
    <mergeCell ref="UIC25:UID25"/>
    <mergeCell ref="UIE25:UIF25"/>
    <mergeCell ref="UIG25:UIH25"/>
    <mergeCell ref="UII25:UIJ25"/>
    <mergeCell ref="UIK25:UIL25"/>
    <mergeCell ref="UIM25:UIN25"/>
    <mergeCell ref="UHQ25:UHR25"/>
    <mergeCell ref="UHS25:UHT25"/>
    <mergeCell ref="UHU25:UHV25"/>
    <mergeCell ref="UHW25:UHX25"/>
    <mergeCell ref="UHY25:UHZ25"/>
    <mergeCell ref="UIA25:UIB25"/>
    <mergeCell ref="UHE25:UHF25"/>
    <mergeCell ref="UHG25:UHH25"/>
    <mergeCell ref="UHI25:UHJ25"/>
    <mergeCell ref="UHK25:UHL25"/>
    <mergeCell ref="UHM25:UHN25"/>
    <mergeCell ref="UHO25:UHP25"/>
    <mergeCell ref="UMG25:UMH25"/>
    <mergeCell ref="UMI25:UMJ25"/>
    <mergeCell ref="UMK25:UML25"/>
    <mergeCell ref="UMM25:UMN25"/>
    <mergeCell ref="UMO25:UMP25"/>
    <mergeCell ref="UMQ25:UMR25"/>
    <mergeCell ref="ULU25:ULV25"/>
    <mergeCell ref="ULW25:ULX25"/>
    <mergeCell ref="ULY25:ULZ25"/>
    <mergeCell ref="UMA25:UMB25"/>
    <mergeCell ref="UMC25:UMD25"/>
    <mergeCell ref="UME25:UMF25"/>
    <mergeCell ref="ULI25:ULJ25"/>
    <mergeCell ref="ULK25:ULL25"/>
    <mergeCell ref="ULM25:ULN25"/>
    <mergeCell ref="ULO25:ULP25"/>
    <mergeCell ref="ULQ25:ULR25"/>
    <mergeCell ref="ULS25:ULT25"/>
    <mergeCell ref="UKW25:UKX25"/>
    <mergeCell ref="UKY25:UKZ25"/>
    <mergeCell ref="ULA25:ULB25"/>
    <mergeCell ref="ULC25:ULD25"/>
    <mergeCell ref="ULE25:ULF25"/>
    <mergeCell ref="ULG25:ULH25"/>
    <mergeCell ref="UKK25:UKL25"/>
    <mergeCell ref="UKM25:UKN25"/>
    <mergeCell ref="UKO25:UKP25"/>
    <mergeCell ref="UKQ25:UKR25"/>
    <mergeCell ref="UKS25:UKT25"/>
    <mergeCell ref="UKU25:UKV25"/>
    <mergeCell ref="UJY25:UJZ25"/>
    <mergeCell ref="UKA25:UKB25"/>
    <mergeCell ref="UKC25:UKD25"/>
    <mergeCell ref="UKE25:UKF25"/>
    <mergeCell ref="UKG25:UKH25"/>
    <mergeCell ref="UKI25:UKJ25"/>
    <mergeCell ref="UPA25:UPB25"/>
    <mergeCell ref="UPC25:UPD25"/>
    <mergeCell ref="UPE25:UPF25"/>
    <mergeCell ref="UPG25:UPH25"/>
    <mergeCell ref="UPI25:UPJ25"/>
    <mergeCell ref="UPK25:UPL25"/>
    <mergeCell ref="UOO25:UOP25"/>
    <mergeCell ref="UOQ25:UOR25"/>
    <mergeCell ref="UOS25:UOT25"/>
    <mergeCell ref="UOU25:UOV25"/>
    <mergeCell ref="UOW25:UOX25"/>
    <mergeCell ref="UOY25:UOZ25"/>
    <mergeCell ref="UOC25:UOD25"/>
    <mergeCell ref="UOE25:UOF25"/>
    <mergeCell ref="UOG25:UOH25"/>
    <mergeCell ref="UOI25:UOJ25"/>
    <mergeCell ref="UOK25:UOL25"/>
    <mergeCell ref="UOM25:UON25"/>
    <mergeCell ref="UNQ25:UNR25"/>
    <mergeCell ref="UNS25:UNT25"/>
    <mergeCell ref="UNU25:UNV25"/>
    <mergeCell ref="UNW25:UNX25"/>
    <mergeCell ref="UNY25:UNZ25"/>
    <mergeCell ref="UOA25:UOB25"/>
    <mergeCell ref="UNE25:UNF25"/>
    <mergeCell ref="UNG25:UNH25"/>
    <mergeCell ref="UNI25:UNJ25"/>
    <mergeCell ref="UNK25:UNL25"/>
    <mergeCell ref="UNM25:UNN25"/>
    <mergeCell ref="UNO25:UNP25"/>
    <mergeCell ref="UMS25:UMT25"/>
    <mergeCell ref="UMU25:UMV25"/>
    <mergeCell ref="UMW25:UMX25"/>
    <mergeCell ref="UMY25:UMZ25"/>
    <mergeCell ref="UNA25:UNB25"/>
    <mergeCell ref="UNC25:UND25"/>
    <mergeCell ref="URU25:URV25"/>
    <mergeCell ref="URW25:URX25"/>
    <mergeCell ref="URY25:URZ25"/>
    <mergeCell ref="USA25:USB25"/>
    <mergeCell ref="USC25:USD25"/>
    <mergeCell ref="USE25:USF25"/>
    <mergeCell ref="URI25:URJ25"/>
    <mergeCell ref="URK25:URL25"/>
    <mergeCell ref="URM25:URN25"/>
    <mergeCell ref="URO25:URP25"/>
    <mergeCell ref="URQ25:URR25"/>
    <mergeCell ref="URS25:URT25"/>
    <mergeCell ref="UQW25:UQX25"/>
    <mergeCell ref="UQY25:UQZ25"/>
    <mergeCell ref="URA25:URB25"/>
    <mergeCell ref="URC25:URD25"/>
    <mergeCell ref="URE25:URF25"/>
    <mergeCell ref="URG25:URH25"/>
    <mergeCell ref="UQK25:UQL25"/>
    <mergeCell ref="UQM25:UQN25"/>
    <mergeCell ref="UQO25:UQP25"/>
    <mergeCell ref="UQQ25:UQR25"/>
    <mergeCell ref="UQS25:UQT25"/>
    <mergeCell ref="UQU25:UQV25"/>
    <mergeCell ref="UPY25:UPZ25"/>
    <mergeCell ref="UQA25:UQB25"/>
    <mergeCell ref="UQC25:UQD25"/>
    <mergeCell ref="UQE25:UQF25"/>
    <mergeCell ref="UQG25:UQH25"/>
    <mergeCell ref="UQI25:UQJ25"/>
    <mergeCell ref="UPM25:UPN25"/>
    <mergeCell ref="UPO25:UPP25"/>
    <mergeCell ref="UPQ25:UPR25"/>
    <mergeCell ref="UPS25:UPT25"/>
    <mergeCell ref="UPU25:UPV25"/>
    <mergeCell ref="UPW25:UPX25"/>
    <mergeCell ref="UUO25:UUP25"/>
    <mergeCell ref="UUQ25:UUR25"/>
    <mergeCell ref="UUS25:UUT25"/>
    <mergeCell ref="UUU25:UUV25"/>
    <mergeCell ref="UUW25:UUX25"/>
    <mergeCell ref="UUY25:UUZ25"/>
    <mergeCell ref="UUC25:UUD25"/>
    <mergeCell ref="UUE25:UUF25"/>
    <mergeCell ref="UUG25:UUH25"/>
    <mergeCell ref="UUI25:UUJ25"/>
    <mergeCell ref="UUK25:UUL25"/>
    <mergeCell ref="UUM25:UUN25"/>
    <mergeCell ref="UTQ25:UTR25"/>
    <mergeCell ref="UTS25:UTT25"/>
    <mergeCell ref="UTU25:UTV25"/>
    <mergeCell ref="UTW25:UTX25"/>
    <mergeCell ref="UTY25:UTZ25"/>
    <mergeCell ref="UUA25:UUB25"/>
    <mergeCell ref="UTE25:UTF25"/>
    <mergeCell ref="UTG25:UTH25"/>
    <mergeCell ref="UTI25:UTJ25"/>
    <mergeCell ref="UTK25:UTL25"/>
    <mergeCell ref="UTM25:UTN25"/>
    <mergeCell ref="UTO25:UTP25"/>
    <mergeCell ref="USS25:UST25"/>
    <mergeCell ref="USU25:USV25"/>
    <mergeCell ref="USW25:USX25"/>
    <mergeCell ref="USY25:USZ25"/>
    <mergeCell ref="UTA25:UTB25"/>
    <mergeCell ref="UTC25:UTD25"/>
    <mergeCell ref="USG25:USH25"/>
    <mergeCell ref="USI25:USJ25"/>
    <mergeCell ref="USK25:USL25"/>
    <mergeCell ref="USM25:USN25"/>
    <mergeCell ref="USO25:USP25"/>
    <mergeCell ref="USQ25:USR25"/>
    <mergeCell ref="UXI25:UXJ25"/>
    <mergeCell ref="UXK25:UXL25"/>
    <mergeCell ref="UXM25:UXN25"/>
    <mergeCell ref="UXO25:UXP25"/>
    <mergeCell ref="UXQ25:UXR25"/>
    <mergeCell ref="UXS25:UXT25"/>
    <mergeCell ref="UWW25:UWX25"/>
    <mergeCell ref="UWY25:UWZ25"/>
    <mergeCell ref="UXA25:UXB25"/>
    <mergeCell ref="UXC25:UXD25"/>
    <mergeCell ref="UXE25:UXF25"/>
    <mergeCell ref="UXG25:UXH25"/>
    <mergeCell ref="UWK25:UWL25"/>
    <mergeCell ref="UWM25:UWN25"/>
    <mergeCell ref="UWO25:UWP25"/>
    <mergeCell ref="UWQ25:UWR25"/>
    <mergeCell ref="UWS25:UWT25"/>
    <mergeCell ref="UWU25:UWV25"/>
    <mergeCell ref="UVY25:UVZ25"/>
    <mergeCell ref="UWA25:UWB25"/>
    <mergeCell ref="UWC25:UWD25"/>
    <mergeCell ref="UWE25:UWF25"/>
    <mergeCell ref="UWG25:UWH25"/>
    <mergeCell ref="UWI25:UWJ25"/>
    <mergeCell ref="UVM25:UVN25"/>
    <mergeCell ref="UVO25:UVP25"/>
    <mergeCell ref="UVQ25:UVR25"/>
    <mergeCell ref="UVS25:UVT25"/>
    <mergeCell ref="UVU25:UVV25"/>
    <mergeCell ref="UVW25:UVX25"/>
    <mergeCell ref="UVA25:UVB25"/>
    <mergeCell ref="UVC25:UVD25"/>
    <mergeCell ref="UVE25:UVF25"/>
    <mergeCell ref="UVG25:UVH25"/>
    <mergeCell ref="UVI25:UVJ25"/>
    <mergeCell ref="UVK25:UVL25"/>
    <mergeCell ref="VAC25:VAD25"/>
    <mergeCell ref="VAE25:VAF25"/>
    <mergeCell ref="VAG25:VAH25"/>
    <mergeCell ref="VAI25:VAJ25"/>
    <mergeCell ref="VAK25:VAL25"/>
    <mergeCell ref="VAM25:VAN25"/>
    <mergeCell ref="UZQ25:UZR25"/>
    <mergeCell ref="UZS25:UZT25"/>
    <mergeCell ref="UZU25:UZV25"/>
    <mergeCell ref="UZW25:UZX25"/>
    <mergeCell ref="UZY25:UZZ25"/>
    <mergeCell ref="VAA25:VAB25"/>
    <mergeCell ref="UZE25:UZF25"/>
    <mergeCell ref="UZG25:UZH25"/>
    <mergeCell ref="UZI25:UZJ25"/>
    <mergeCell ref="UZK25:UZL25"/>
    <mergeCell ref="UZM25:UZN25"/>
    <mergeCell ref="UZO25:UZP25"/>
    <mergeCell ref="UYS25:UYT25"/>
    <mergeCell ref="UYU25:UYV25"/>
    <mergeCell ref="UYW25:UYX25"/>
    <mergeCell ref="UYY25:UYZ25"/>
    <mergeCell ref="UZA25:UZB25"/>
    <mergeCell ref="UZC25:UZD25"/>
    <mergeCell ref="UYG25:UYH25"/>
    <mergeCell ref="UYI25:UYJ25"/>
    <mergeCell ref="UYK25:UYL25"/>
    <mergeCell ref="UYM25:UYN25"/>
    <mergeCell ref="UYO25:UYP25"/>
    <mergeCell ref="UYQ25:UYR25"/>
    <mergeCell ref="UXU25:UXV25"/>
    <mergeCell ref="UXW25:UXX25"/>
    <mergeCell ref="UXY25:UXZ25"/>
    <mergeCell ref="UYA25:UYB25"/>
    <mergeCell ref="UYC25:UYD25"/>
    <mergeCell ref="UYE25:UYF25"/>
    <mergeCell ref="VCW25:VCX25"/>
    <mergeCell ref="VCY25:VCZ25"/>
    <mergeCell ref="VDA25:VDB25"/>
    <mergeCell ref="VDC25:VDD25"/>
    <mergeCell ref="VDE25:VDF25"/>
    <mergeCell ref="VDG25:VDH25"/>
    <mergeCell ref="VCK25:VCL25"/>
    <mergeCell ref="VCM25:VCN25"/>
    <mergeCell ref="VCO25:VCP25"/>
    <mergeCell ref="VCQ25:VCR25"/>
    <mergeCell ref="VCS25:VCT25"/>
    <mergeCell ref="VCU25:VCV25"/>
    <mergeCell ref="VBY25:VBZ25"/>
    <mergeCell ref="VCA25:VCB25"/>
    <mergeCell ref="VCC25:VCD25"/>
    <mergeCell ref="VCE25:VCF25"/>
    <mergeCell ref="VCG25:VCH25"/>
    <mergeCell ref="VCI25:VCJ25"/>
    <mergeCell ref="VBM25:VBN25"/>
    <mergeCell ref="VBO25:VBP25"/>
    <mergeCell ref="VBQ25:VBR25"/>
    <mergeCell ref="VBS25:VBT25"/>
    <mergeCell ref="VBU25:VBV25"/>
    <mergeCell ref="VBW25:VBX25"/>
    <mergeCell ref="VBA25:VBB25"/>
    <mergeCell ref="VBC25:VBD25"/>
    <mergeCell ref="VBE25:VBF25"/>
    <mergeCell ref="VBG25:VBH25"/>
    <mergeCell ref="VBI25:VBJ25"/>
    <mergeCell ref="VBK25:VBL25"/>
    <mergeCell ref="VAO25:VAP25"/>
    <mergeCell ref="VAQ25:VAR25"/>
    <mergeCell ref="VAS25:VAT25"/>
    <mergeCell ref="VAU25:VAV25"/>
    <mergeCell ref="VAW25:VAX25"/>
    <mergeCell ref="VAY25:VAZ25"/>
    <mergeCell ref="VFQ25:VFR25"/>
    <mergeCell ref="VFS25:VFT25"/>
    <mergeCell ref="VFU25:VFV25"/>
    <mergeCell ref="VFW25:VFX25"/>
    <mergeCell ref="VFY25:VFZ25"/>
    <mergeCell ref="VGA25:VGB25"/>
    <mergeCell ref="VFE25:VFF25"/>
    <mergeCell ref="VFG25:VFH25"/>
    <mergeCell ref="VFI25:VFJ25"/>
    <mergeCell ref="VFK25:VFL25"/>
    <mergeCell ref="VFM25:VFN25"/>
    <mergeCell ref="VFO25:VFP25"/>
    <mergeCell ref="VES25:VET25"/>
    <mergeCell ref="VEU25:VEV25"/>
    <mergeCell ref="VEW25:VEX25"/>
    <mergeCell ref="VEY25:VEZ25"/>
    <mergeCell ref="VFA25:VFB25"/>
    <mergeCell ref="VFC25:VFD25"/>
    <mergeCell ref="VEG25:VEH25"/>
    <mergeCell ref="VEI25:VEJ25"/>
    <mergeCell ref="VEK25:VEL25"/>
    <mergeCell ref="VEM25:VEN25"/>
    <mergeCell ref="VEO25:VEP25"/>
    <mergeCell ref="VEQ25:VER25"/>
    <mergeCell ref="VDU25:VDV25"/>
    <mergeCell ref="VDW25:VDX25"/>
    <mergeCell ref="VDY25:VDZ25"/>
    <mergeCell ref="VEA25:VEB25"/>
    <mergeCell ref="VEC25:VED25"/>
    <mergeCell ref="VEE25:VEF25"/>
    <mergeCell ref="VDI25:VDJ25"/>
    <mergeCell ref="VDK25:VDL25"/>
    <mergeCell ref="VDM25:VDN25"/>
    <mergeCell ref="VDO25:VDP25"/>
    <mergeCell ref="VDQ25:VDR25"/>
    <mergeCell ref="VDS25:VDT25"/>
    <mergeCell ref="VIK25:VIL25"/>
    <mergeCell ref="VIM25:VIN25"/>
    <mergeCell ref="VIO25:VIP25"/>
    <mergeCell ref="VIQ25:VIR25"/>
    <mergeCell ref="VIS25:VIT25"/>
    <mergeCell ref="VIU25:VIV25"/>
    <mergeCell ref="VHY25:VHZ25"/>
    <mergeCell ref="VIA25:VIB25"/>
    <mergeCell ref="VIC25:VID25"/>
    <mergeCell ref="VIE25:VIF25"/>
    <mergeCell ref="VIG25:VIH25"/>
    <mergeCell ref="VII25:VIJ25"/>
    <mergeCell ref="VHM25:VHN25"/>
    <mergeCell ref="VHO25:VHP25"/>
    <mergeCell ref="VHQ25:VHR25"/>
    <mergeCell ref="VHS25:VHT25"/>
    <mergeCell ref="VHU25:VHV25"/>
    <mergeCell ref="VHW25:VHX25"/>
    <mergeCell ref="VHA25:VHB25"/>
    <mergeCell ref="VHC25:VHD25"/>
    <mergeCell ref="VHE25:VHF25"/>
    <mergeCell ref="VHG25:VHH25"/>
    <mergeCell ref="VHI25:VHJ25"/>
    <mergeCell ref="VHK25:VHL25"/>
    <mergeCell ref="VGO25:VGP25"/>
    <mergeCell ref="VGQ25:VGR25"/>
    <mergeCell ref="VGS25:VGT25"/>
    <mergeCell ref="VGU25:VGV25"/>
    <mergeCell ref="VGW25:VGX25"/>
    <mergeCell ref="VGY25:VGZ25"/>
    <mergeCell ref="VGC25:VGD25"/>
    <mergeCell ref="VGE25:VGF25"/>
    <mergeCell ref="VGG25:VGH25"/>
    <mergeCell ref="VGI25:VGJ25"/>
    <mergeCell ref="VGK25:VGL25"/>
    <mergeCell ref="VGM25:VGN25"/>
    <mergeCell ref="VLE25:VLF25"/>
    <mergeCell ref="VLG25:VLH25"/>
    <mergeCell ref="VLI25:VLJ25"/>
    <mergeCell ref="VLK25:VLL25"/>
    <mergeCell ref="VLM25:VLN25"/>
    <mergeCell ref="VLO25:VLP25"/>
    <mergeCell ref="VKS25:VKT25"/>
    <mergeCell ref="VKU25:VKV25"/>
    <mergeCell ref="VKW25:VKX25"/>
    <mergeCell ref="VKY25:VKZ25"/>
    <mergeCell ref="VLA25:VLB25"/>
    <mergeCell ref="VLC25:VLD25"/>
    <mergeCell ref="VKG25:VKH25"/>
    <mergeCell ref="VKI25:VKJ25"/>
    <mergeCell ref="VKK25:VKL25"/>
    <mergeCell ref="VKM25:VKN25"/>
    <mergeCell ref="VKO25:VKP25"/>
    <mergeCell ref="VKQ25:VKR25"/>
    <mergeCell ref="VJU25:VJV25"/>
    <mergeCell ref="VJW25:VJX25"/>
    <mergeCell ref="VJY25:VJZ25"/>
    <mergeCell ref="VKA25:VKB25"/>
    <mergeCell ref="VKC25:VKD25"/>
    <mergeCell ref="VKE25:VKF25"/>
    <mergeCell ref="VJI25:VJJ25"/>
    <mergeCell ref="VJK25:VJL25"/>
    <mergeCell ref="VJM25:VJN25"/>
    <mergeCell ref="VJO25:VJP25"/>
    <mergeCell ref="VJQ25:VJR25"/>
    <mergeCell ref="VJS25:VJT25"/>
    <mergeCell ref="VIW25:VIX25"/>
    <mergeCell ref="VIY25:VIZ25"/>
    <mergeCell ref="VJA25:VJB25"/>
    <mergeCell ref="VJC25:VJD25"/>
    <mergeCell ref="VJE25:VJF25"/>
    <mergeCell ref="VJG25:VJH25"/>
    <mergeCell ref="VNY25:VNZ25"/>
    <mergeCell ref="VOA25:VOB25"/>
    <mergeCell ref="VOC25:VOD25"/>
    <mergeCell ref="VOE25:VOF25"/>
    <mergeCell ref="VOG25:VOH25"/>
    <mergeCell ref="VOI25:VOJ25"/>
    <mergeCell ref="VNM25:VNN25"/>
    <mergeCell ref="VNO25:VNP25"/>
    <mergeCell ref="VNQ25:VNR25"/>
    <mergeCell ref="VNS25:VNT25"/>
    <mergeCell ref="VNU25:VNV25"/>
    <mergeCell ref="VNW25:VNX25"/>
    <mergeCell ref="VNA25:VNB25"/>
    <mergeCell ref="VNC25:VND25"/>
    <mergeCell ref="VNE25:VNF25"/>
    <mergeCell ref="VNG25:VNH25"/>
    <mergeCell ref="VNI25:VNJ25"/>
    <mergeCell ref="VNK25:VNL25"/>
    <mergeCell ref="VMO25:VMP25"/>
    <mergeCell ref="VMQ25:VMR25"/>
    <mergeCell ref="VMS25:VMT25"/>
    <mergeCell ref="VMU25:VMV25"/>
    <mergeCell ref="VMW25:VMX25"/>
    <mergeCell ref="VMY25:VMZ25"/>
    <mergeCell ref="VMC25:VMD25"/>
    <mergeCell ref="VME25:VMF25"/>
    <mergeCell ref="VMG25:VMH25"/>
    <mergeCell ref="VMI25:VMJ25"/>
    <mergeCell ref="VMK25:VML25"/>
    <mergeCell ref="VMM25:VMN25"/>
    <mergeCell ref="VLQ25:VLR25"/>
    <mergeCell ref="VLS25:VLT25"/>
    <mergeCell ref="VLU25:VLV25"/>
    <mergeCell ref="VLW25:VLX25"/>
    <mergeCell ref="VLY25:VLZ25"/>
    <mergeCell ref="VMA25:VMB25"/>
    <mergeCell ref="VQS25:VQT25"/>
    <mergeCell ref="VQU25:VQV25"/>
    <mergeCell ref="VQW25:VQX25"/>
    <mergeCell ref="VQY25:VQZ25"/>
    <mergeCell ref="VRA25:VRB25"/>
    <mergeCell ref="VRC25:VRD25"/>
    <mergeCell ref="VQG25:VQH25"/>
    <mergeCell ref="VQI25:VQJ25"/>
    <mergeCell ref="VQK25:VQL25"/>
    <mergeCell ref="VQM25:VQN25"/>
    <mergeCell ref="VQO25:VQP25"/>
    <mergeCell ref="VQQ25:VQR25"/>
    <mergeCell ref="VPU25:VPV25"/>
    <mergeCell ref="VPW25:VPX25"/>
    <mergeCell ref="VPY25:VPZ25"/>
    <mergeCell ref="VQA25:VQB25"/>
    <mergeCell ref="VQC25:VQD25"/>
    <mergeCell ref="VQE25:VQF25"/>
    <mergeCell ref="VPI25:VPJ25"/>
    <mergeCell ref="VPK25:VPL25"/>
    <mergeCell ref="VPM25:VPN25"/>
    <mergeCell ref="VPO25:VPP25"/>
    <mergeCell ref="VPQ25:VPR25"/>
    <mergeCell ref="VPS25:VPT25"/>
    <mergeCell ref="VOW25:VOX25"/>
    <mergeCell ref="VOY25:VOZ25"/>
    <mergeCell ref="VPA25:VPB25"/>
    <mergeCell ref="VPC25:VPD25"/>
    <mergeCell ref="VPE25:VPF25"/>
    <mergeCell ref="VPG25:VPH25"/>
    <mergeCell ref="VOK25:VOL25"/>
    <mergeCell ref="VOM25:VON25"/>
    <mergeCell ref="VOO25:VOP25"/>
    <mergeCell ref="VOQ25:VOR25"/>
    <mergeCell ref="VOS25:VOT25"/>
    <mergeCell ref="VOU25:VOV25"/>
    <mergeCell ref="VTM25:VTN25"/>
    <mergeCell ref="VTO25:VTP25"/>
    <mergeCell ref="VTQ25:VTR25"/>
    <mergeCell ref="VTS25:VTT25"/>
    <mergeCell ref="VTU25:VTV25"/>
    <mergeCell ref="VTW25:VTX25"/>
    <mergeCell ref="VTA25:VTB25"/>
    <mergeCell ref="VTC25:VTD25"/>
    <mergeCell ref="VTE25:VTF25"/>
    <mergeCell ref="VTG25:VTH25"/>
    <mergeCell ref="VTI25:VTJ25"/>
    <mergeCell ref="VTK25:VTL25"/>
    <mergeCell ref="VSO25:VSP25"/>
    <mergeCell ref="VSQ25:VSR25"/>
    <mergeCell ref="VSS25:VST25"/>
    <mergeCell ref="VSU25:VSV25"/>
    <mergeCell ref="VSW25:VSX25"/>
    <mergeCell ref="VSY25:VSZ25"/>
    <mergeCell ref="VSC25:VSD25"/>
    <mergeCell ref="VSE25:VSF25"/>
    <mergeCell ref="VSG25:VSH25"/>
    <mergeCell ref="VSI25:VSJ25"/>
    <mergeCell ref="VSK25:VSL25"/>
    <mergeCell ref="VSM25:VSN25"/>
    <mergeCell ref="VRQ25:VRR25"/>
    <mergeCell ref="VRS25:VRT25"/>
    <mergeCell ref="VRU25:VRV25"/>
    <mergeCell ref="VRW25:VRX25"/>
    <mergeCell ref="VRY25:VRZ25"/>
    <mergeCell ref="VSA25:VSB25"/>
    <mergeCell ref="VRE25:VRF25"/>
    <mergeCell ref="VRG25:VRH25"/>
    <mergeCell ref="VRI25:VRJ25"/>
    <mergeCell ref="VRK25:VRL25"/>
    <mergeCell ref="VRM25:VRN25"/>
    <mergeCell ref="VRO25:VRP25"/>
    <mergeCell ref="VWG25:VWH25"/>
    <mergeCell ref="VWI25:VWJ25"/>
    <mergeCell ref="VWK25:VWL25"/>
    <mergeCell ref="VWM25:VWN25"/>
    <mergeCell ref="VWO25:VWP25"/>
    <mergeCell ref="VWQ25:VWR25"/>
    <mergeCell ref="VVU25:VVV25"/>
    <mergeCell ref="VVW25:VVX25"/>
    <mergeCell ref="VVY25:VVZ25"/>
    <mergeCell ref="VWA25:VWB25"/>
    <mergeCell ref="VWC25:VWD25"/>
    <mergeCell ref="VWE25:VWF25"/>
    <mergeCell ref="VVI25:VVJ25"/>
    <mergeCell ref="VVK25:VVL25"/>
    <mergeCell ref="VVM25:VVN25"/>
    <mergeCell ref="VVO25:VVP25"/>
    <mergeCell ref="VVQ25:VVR25"/>
    <mergeCell ref="VVS25:VVT25"/>
    <mergeCell ref="VUW25:VUX25"/>
    <mergeCell ref="VUY25:VUZ25"/>
    <mergeCell ref="VVA25:VVB25"/>
    <mergeCell ref="VVC25:VVD25"/>
    <mergeCell ref="VVE25:VVF25"/>
    <mergeCell ref="VVG25:VVH25"/>
    <mergeCell ref="VUK25:VUL25"/>
    <mergeCell ref="VUM25:VUN25"/>
    <mergeCell ref="VUO25:VUP25"/>
    <mergeCell ref="VUQ25:VUR25"/>
    <mergeCell ref="VUS25:VUT25"/>
    <mergeCell ref="VUU25:VUV25"/>
    <mergeCell ref="VTY25:VTZ25"/>
    <mergeCell ref="VUA25:VUB25"/>
    <mergeCell ref="VUC25:VUD25"/>
    <mergeCell ref="VUE25:VUF25"/>
    <mergeCell ref="VUG25:VUH25"/>
    <mergeCell ref="VUI25:VUJ25"/>
    <mergeCell ref="VZA25:VZB25"/>
    <mergeCell ref="VZC25:VZD25"/>
    <mergeCell ref="VZE25:VZF25"/>
    <mergeCell ref="VZG25:VZH25"/>
    <mergeCell ref="VZI25:VZJ25"/>
    <mergeCell ref="VZK25:VZL25"/>
    <mergeCell ref="VYO25:VYP25"/>
    <mergeCell ref="VYQ25:VYR25"/>
    <mergeCell ref="VYS25:VYT25"/>
    <mergeCell ref="VYU25:VYV25"/>
    <mergeCell ref="VYW25:VYX25"/>
    <mergeCell ref="VYY25:VYZ25"/>
    <mergeCell ref="VYC25:VYD25"/>
    <mergeCell ref="VYE25:VYF25"/>
    <mergeCell ref="VYG25:VYH25"/>
    <mergeCell ref="VYI25:VYJ25"/>
    <mergeCell ref="VYK25:VYL25"/>
    <mergeCell ref="VYM25:VYN25"/>
    <mergeCell ref="VXQ25:VXR25"/>
    <mergeCell ref="VXS25:VXT25"/>
    <mergeCell ref="VXU25:VXV25"/>
    <mergeCell ref="VXW25:VXX25"/>
    <mergeCell ref="VXY25:VXZ25"/>
    <mergeCell ref="VYA25:VYB25"/>
    <mergeCell ref="VXE25:VXF25"/>
    <mergeCell ref="VXG25:VXH25"/>
    <mergeCell ref="VXI25:VXJ25"/>
    <mergeCell ref="VXK25:VXL25"/>
    <mergeCell ref="VXM25:VXN25"/>
    <mergeCell ref="VXO25:VXP25"/>
    <mergeCell ref="VWS25:VWT25"/>
    <mergeCell ref="VWU25:VWV25"/>
    <mergeCell ref="VWW25:VWX25"/>
    <mergeCell ref="VWY25:VWZ25"/>
    <mergeCell ref="VXA25:VXB25"/>
    <mergeCell ref="VXC25:VXD25"/>
    <mergeCell ref="WBU25:WBV25"/>
    <mergeCell ref="WBW25:WBX25"/>
    <mergeCell ref="WBY25:WBZ25"/>
    <mergeCell ref="WCA25:WCB25"/>
    <mergeCell ref="WCC25:WCD25"/>
    <mergeCell ref="WCE25:WCF25"/>
    <mergeCell ref="WBI25:WBJ25"/>
    <mergeCell ref="WBK25:WBL25"/>
    <mergeCell ref="WBM25:WBN25"/>
    <mergeCell ref="WBO25:WBP25"/>
    <mergeCell ref="WBQ25:WBR25"/>
    <mergeCell ref="WBS25:WBT25"/>
    <mergeCell ref="WAW25:WAX25"/>
    <mergeCell ref="WAY25:WAZ25"/>
    <mergeCell ref="WBA25:WBB25"/>
    <mergeCell ref="WBC25:WBD25"/>
    <mergeCell ref="WBE25:WBF25"/>
    <mergeCell ref="WBG25:WBH25"/>
    <mergeCell ref="WAK25:WAL25"/>
    <mergeCell ref="WAM25:WAN25"/>
    <mergeCell ref="WAO25:WAP25"/>
    <mergeCell ref="WAQ25:WAR25"/>
    <mergeCell ref="WAS25:WAT25"/>
    <mergeCell ref="WAU25:WAV25"/>
    <mergeCell ref="VZY25:VZZ25"/>
    <mergeCell ref="WAA25:WAB25"/>
    <mergeCell ref="WAC25:WAD25"/>
    <mergeCell ref="WAE25:WAF25"/>
    <mergeCell ref="WAG25:WAH25"/>
    <mergeCell ref="WAI25:WAJ25"/>
    <mergeCell ref="VZM25:VZN25"/>
    <mergeCell ref="VZO25:VZP25"/>
    <mergeCell ref="VZQ25:VZR25"/>
    <mergeCell ref="VZS25:VZT25"/>
    <mergeCell ref="VZU25:VZV25"/>
    <mergeCell ref="VZW25:VZX25"/>
    <mergeCell ref="WEO25:WEP25"/>
    <mergeCell ref="WEQ25:WER25"/>
    <mergeCell ref="WES25:WET25"/>
    <mergeCell ref="WEU25:WEV25"/>
    <mergeCell ref="WEW25:WEX25"/>
    <mergeCell ref="WEY25:WEZ25"/>
    <mergeCell ref="WEC25:WED25"/>
    <mergeCell ref="WEE25:WEF25"/>
    <mergeCell ref="WEG25:WEH25"/>
    <mergeCell ref="WEI25:WEJ25"/>
    <mergeCell ref="WEK25:WEL25"/>
    <mergeCell ref="WEM25:WEN25"/>
    <mergeCell ref="WDQ25:WDR25"/>
    <mergeCell ref="WDS25:WDT25"/>
    <mergeCell ref="WDU25:WDV25"/>
    <mergeCell ref="WDW25:WDX25"/>
    <mergeCell ref="WDY25:WDZ25"/>
    <mergeCell ref="WEA25:WEB25"/>
    <mergeCell ref="WDE25:WDF25"/>
    <mergeCell ref="WDG25:WDH25"/>
    <mergeCell ref="WDI25:WDJ25"/>
    <mergeCell ref="WDK25:WDL25"/>
    <mergeCell ref="WDM25:WDN25"/>
    <mergeCell ref="WDO25:WDP25"/>
    <mergeCell ref="WCS25:WCT25"/>
    <mergeCell ref="WCU25:WCV25"/>
    <mergeCell ref="WCW25:WCX25"/>
    <mergeCell ref="WCY25:WCZ25"/>
    <mergeCell ref="WDA25:WDB25"/>
    <mergeCell ref="WDC25:WDD25"/>
    <mergeCell ref="WCG25:WCH25"/>
    <mergeCell ref="WCI25:WCJ25"/>
    <mergeCell ref="WCK25:WCL25"/>
    <mergeCell ref="WCM25:WCN25"/>
    <mergeCell ref="WCO25:WCP25"/>
    <mergeCell ref="WCQ25:WCR25"/>
    <mergeCell ref="WHI25:WHJ25"/>
    <mergeCell ref="WHK25:WHL25"/>
    <mergeCell ref="WHM25:WHN25"/>
    <mergeCell ref="WHO25:WHP25"/>
    <mergeCell ref="WHQ25:WHR25"/>
    <mergeCell ref="WHS25:WHT25"/>
    <mergeCell ref="WGW25:WGX25"/>
    <mergeCell ref="WGY25:WGZ25"/>
    <mergeCell ref="WHA25:WHB25"/>
    <mergeCell ref="WHC25:WHD25"/>
    <mergeCell ref="WHE25:WHF25"/>
    <mergeCell ref="WHG25:WHH25"/>
    <mergeCell ref="WGK25:WGL25"/>
    <mergeCell ref="WGM25:WGN25"/>
    <mergeCell ref="WGO25:WGP25"/>
    <mergeCell ref="WGQ25:WGR25"/>
    <mergeCell ref="WGS25:WGT25"/>
    <mergeCell ref="WGU25:WGV25"/>
    <mergeCell ref="WFY25:WFZ25"/>
    <mergeCell ref="WGA25:WGB25"/>
    <mergeCell ref="WGC25:WGD25"/>
    <mergeCell ref="WGE25:WGF25"/>
    <mergeCell ref="WGG25:WGH25"/>
    <mergeCell ref="WGI25:WGJ25"/>
    <mergeCell ref="WFM25:WFN25"/>
    <mergeCell ref="WFO25:WFP25"/>
    <mergeCell ref="WFQ25:WFR25"/>
    <mergeCell ref="WFS25:WFT25"/>
    <mergeCell ref="WFU25:WFV25"/>
    <mergeCell ref="WFW25:WFX25"/>
    <mergeCell ref="WFA25:WFB25"/>
    <mergeCell ref="WFC25:WFD25"/>
    <mergeCell ref="WFE25:WFF25"/>
    <mergeCell ref="WFG25:WFH25"/>
    <mergeCell ref="WFI25:WFJ25"/>
    <mergeCell ref="WFK25:WFL25"/>
    <mergeCell ref="WKC25:WKD25"/>
    <mergeCell ref="WKE25:WKF25"/>
    <mergeCell ref="WKG25:WKH25"/>
    <mergeCell ref="WKI25:WKJ25"/>
    <mergeCell ref="WKK25:WKL25"/>
    <mergeCell ref="WKM25:WKN25"/>
    <mergeCell ref="WJQ25:WJR25"/>
    <mergeCell ref="WJS25:WJT25"/>
    <mergeCell ref="WJU25:WJV25"/>
    <mergeCell ref="WJW25:WJX25"/>
    <mergeCell ref="WJY25:WJZ25"/>
    <mergeCell ref="WKA25:WKB25"/>
    <mergeCell ref="WJE25:WJF25"/>
    <mergeCell ref="WJG25:WJH25"/>
    <mergeCell ref="WJI25:WJJ25"/>
    <mergeCell ref="WJK25:WJL25"/>
    <mergeCell ref="WJM25:WJN25"/>
    <mergeCell ref="WJO25:WJP25"/>
    <mergeCell ref="WIS25:WIT25"/>
    <mergeCell ref="WIU25:WIV25"/>
    <mergeCell ref="WIW25:WIX25"/>
    <mergeCell ref="WIY25:WIZ25"/>
    <mergeCell ref="WJA25:WJB25"/>
    <mergeCell ref="WJC25:WJD25"/>
    <mergeCell ref="WIG25:WIH25"/>
    <mergeCell ref="WII25:WIJ25"/>
    <mergeCell ref="WIK25:WIL25"/>
    <mergeCell ref="WIM25:WIN25"/>
    <mergeCell ref="WIO25:WIP25"/>
    <mergeCell ref="WIQ25:WIR25"/>
    <mergeCell ref="WHU25:WHV25"/>
    <mergeCell ref="WHW25:WHX25"/>
    <mergeCell ref="WHY25:WHZ25"/>
    <mergeCell ref="WIA25:WIB25"/>
    <mergeCell ref="WIC25:WID25"/>
    <mergeCell ref="WIE25:WIF25"/>
    <mergeCell ref="WMW25:WMX25"/>
    <mergeCell ref="WMY25:WMZ25"/>
    <mergeCell ref="WNA25:WNB25"/>
    <mergeCell ref="WNC25:WND25"/>
    <mergeCell ref="WNE25:WNF25"/>
    <mergeCell ref="WNG25:WNH25"/>
    <mergeCell ref="WMK25:WML25"/>
    <mergeCell ref="WMM25:WMN25"/>
    <mergeCell ref="WMO25:WMP25"/>
    <mergeCell ref="WMQ25:WMR25"/>
    <mergeCell ref="WMS25:WMT25"/>
    <mergeCell ref="WMU25:WMV25"/>
    <mergeCell ref="WLY25:WLZ25"/>
    <mergeCell ref="WMA25:WMB25"/>
    <mergeCell ref="WMC25:WMD25"/>
    <mergeCell ref="WME25:WMF25"/>
    <mergeCell ref="WMG25:WMH25"/>
    <mergeCell ref="WMI25:WMJ25"/>
    <mergeCell ref="WLM25:WLN25"/>
    <mergeCell ref="WLO25:WLP25"/>
    <mergeCell ref="WLQ25:WLR25"/>
    <mergeCell ref="WLS25:WLT25"/>
    <mergeCell ref="WLU25:WLV25"/>
    <mergeCell ref="WLW25:WLX25"/>
    <mergeCell ref="WLA25:WLB25"/>
    <mergeCell ref="WLC25:WLD25"/>
    <mergeCell ref="WLE25:WLF25"/>
    <mergeCell ref="WLG25:WLH25"/>
    <mergeCell ref="WLI25:WLJ25"/>
    <mergeCell ref="WLK25:WLL25"/>
    <mergeCell ref="WKO25:WKP25"/>
    <mergeCell ref="WKQ25:WKR25"/>
    <mergeCell ref="WKS25:WKT25"/>
    <mergeCell ref="WKU25:WKV25"/>
    <mergeCell ref="WKW25:WKX25"/>
    <mergeCell ref="WKY25:WKZ25"/>
    <mergeCell ref="WPQ25:WPR25"/>
    <mergeCell ref="WPS25:WPT25"/>
    <mergeCell ref="WPU25:WPV25"/>
    <mergeCell ref="WPW25:WPX25"/>
    <mergeCell ref="WPY25:WPZ25"/>
    <mergeCell ref="WQA25:WQB25"/>
    <mergeCell ref="WPE25:WPF25"/>
    <mergeCell ref="WPG25:WPH25"/>
    <mergeCell ref="WPI25:WPJ25"/>
    <mergeCell ref="WPK25:WPL25"/>
    <mergeCell ref="WPM25:WPN25"/>
    <mergeCell ref="WPO25:WPP25"/>
    <mergeCell ref="WOS25:WOT25"/>
    <mergeCell ref="WOU25:WOV25"/>
    <mergeCell ref="WOW25:WOX25"/>
    <mergeCell ref="WOY25:WOZ25"/>
    <mergeCell ref="WPA25:WPB25"/>
    <mergeCell ref="WPC25:WPD25"/>
    <mergeCell ref="WOG25:WOH25"/>
    <mergeCell ref="WOI25:WOJ25"/>
    <mergeCell ref="WOK25:WOL25"/>
    <mergeCell ref="WOM25:WON25"/>
    <mergeCell ref="WOO25:WOP25"/>
    <mergeCell ref="WOQ25:WOR25"/>
    <mergeCell ref="WNU25:WNV25"/>
    <mergeCell ref="WNW25:WNX25"/>
    <mergeCell ref="WNY25:WNZ25"/>
    <mergeCell ref="WOA25:WOB25"/>
    <mergeCell ref="WOC25:WOD25"/>
    <mergeCell ref="WOE25:WOF25"/>
    <mergeCell ref="WNI25:WNJ25"/>
    <mergeCell ref="WNK25:WNL25"/>
    <mergeCell ref="WNM25:WNN25"/>
    <mergeCell ref="WNO25:WNP25"/>
    <mergeCell ref="WNQ25:WNR25"/>
    <mergeCell ref="WNS25:WNT25"/>
    <mergeCell ref="WSK25:WSL25"/>
    <mergeCell ref="WSM25:WSN25"/>
    <mergeCell ref="WSO25:WSP25"/>
    <mergeCell ref="WSQ25:WSR25"/>
    <mergeCell ref="WSS25:WST25"/>
    <mergeCell ref="WSU25:WSV25"/>
    <mergeCell ref="WRY25:WRZ25"/>
    <mergeCell ref="WSA25:WSB25"/>
    <mergeCell ref="WSC25:WSD25"/>
    <mergeCell ref="WSE25:WSF25"/>
    <mergeCell ref="WSG25:WSH25"/>
    <mergeCell ref="WSI25:WSJ25"/>
    <mergeCell ref="WRM25:WRN25"/>
    <mergeCell ref="WRO25:WRP25"/>
    <mergeCell ref="WRQ25:WRR25"/>
    <mergeCell ref="WRS25:WRT25"/>
    <mergeCell ref="WRU25:WRV25"/>
    <mergeCell ref="WRW25:WRX25"/>
    <mergeCell ref="WRA25:WRB25"/>
    <mergeCell ref="WRC25:WRD25"/>
    <mergeCell ref="WRE25:WRF25"/>
    <mergeCell ref="WRG25:WRH25"/>
    <mergeCell ref="WRI25:WRJ25"/>
    <mergeCell ref="WRK25:WRL25"/>
    <mergeCell ref="WQO25:WQP25"/>
    <mergeCell ref="WQQ25:WQR25"/>
    <mergeCell ref="WQS25:WQT25"/>
    <mergeCell ref="WQU25:WQV25"/>
    <mergeCell ref="WQW25:WQX25"/>
    <mergeCell ref="WQY25:WQZ25"/>
    <mergeCell ref="WQC25:WQD25"/>
    <mergeCell ref="WQE25:WQF25"/>
    <mergeCell ref="WQG25:WQH25"/>
    <mergeCell ref="WQI25:WQJ25"/>
    <mergeCell ref="WQK25:WQL25"/>
    <mergeCell ref="WQM25:WQN25"/>
    <mergeCell ref="WVE25:WVF25"/>
    <mergeCell ref="WVG25:WVH25"/>
    <mergeCell ref="WVI25:WVJ25"/>
    <mergeCell ref="WVK25:WVL25"/>
    <mergeCell ref="WVM25:WVN25"/>
    <mergeCell ref="WVO25:WVP25"/>
    <mergeCell ref="WUS25:WUT25"/>
    <mergeCell ref="WUU25:WUV25"/>
    <mergeCell ref="WUW25:WUX25"/>
    <mergeCell ref="WUY25:WUZ25"/>
    <mergeCell ref="WVA25:WVB25"/>
    <mergeCell ref="WVC25:WVD25"/>
    <mergeCell ref="WUG25:WUH25"/>
    <mergeCell ref="WUI25:WUJ25"/>
    <mergeCell ref="WUK25:WUL25"/>
    <mergeCell ref="WUM25:WUN25"/>
    <mergeCell ref="WUO25:WUP25"/>
    <mergeCell ref="WUQ25:WUR25"/>
    <mergeCell ref="WTU25:WTV25"/>
    <mergeCell ref="WTW25:WTX25"/>
    <mergeCell ref="WTY25:WTZ25"/>
    <mergeCell ref="WUA25:WUB25"/>
    <mergeCell ref="WUC25:WUD25"/>
    <mergeCell ref="WUE25:WUF25"/>
    <mergeCell ref="WTI25:WTJ25"/>
    <mergeCell ref="WTK25:WTL25"/>
    <mergeCell ref="WTM25:WTN25"/>
    <mergeCell ref="WTO25:WTP25"/>
    <mergeCell ref="WTQ25:WTR25"/>
    <mergeCell ref="WTS25:WTT25"/>
    <mergeCell ref="WSW25:WSX25"/>
    <mergeCell ref="WSY25:WSZ25"/>
    <mergeCell ref="WTA25:WTB25"/>
    <mergeCell ref="WTC25:WTD25"/>
    <mergeCell ref="WTE25:WTF25"/>
    <mergeCell ref="WTG25:WTH25"/>
    <mergeCell ref="WXY25:WXZ25"/>
    <mergeCell ref="WYA25:WYB25"/>
    <mergeCell ref="WYC25:WYD25"/>
    <mergeCell ref="WYE25:WYF25"/>
    <mergeCell ref="WYG25:WYH25"/>
    <mergeCell ref="WYI25:WYJ25"/>
    <mergeCell ref="WXM25:WXN25"/>
    <mergeCell ref="WXO25:WXP25"/>
    <mergeCell ref="WXQ25:WXR25"/>
    <mergeCell ref="WXS25:WXT25"/>
    <mergeCell ref="WXU25:WXV25"/>
    <mergeCell ref="WXW25:WXX25"/>
    <mergeCell ref="WXA25:WXB25"/>
    <mergeCell ref="WXC25:WXD25"/>
    <mergeCell ref="WXE25:WXF25"/>
    <mergeCell ref="WXG25:WXH25"/>
    <mergeCell ref="WXI25:WXJ25"/>
    <mergeCell ref="WXK25:WXL25"/>
    <mergeCell ref="WWO25:WWP25"/>
    <mergeCell ref="WWQ25:WWR25"/>
    <mergeCell ref="WWS25:WWT25"/>
    <mergeCell ref="WWU25:WWV25"/>
    <mergeCell ref="WWW25:WWX25"/>
    <mergeCell ref="WWY25:WWZ25"/>
    <mergeCell ref="WWC25:WWD25"/>
    <mergeCell ref="WWE25:WWF25"/>
    <mergeCell ref="WWG25:WWH25"/>
    <mergeCell ref="WWI25:WWJ25"/>
    <mergeCell ref="WWK25:WWL25"/>
    <mergeCell ref="WWM25:WWN25"/>
    <mergeCell ref="WVQ25:WVR25"/>
    <mergeCell ref="WVS25:WVT25"/>
    <mergeCell ref="WVU25:WVV25"/>
    <mergeCell ref="WVW25:WVX25"/>
    <mergeCell ref="WVY25:WVZ25"/>
    <mergeCell ref="WWA25:WWB25"/>
    <mergeCell ref="XAS25:XAT25"/>
    <mergeCell ref="XAU25:XAV25"/>
    <mergeCell ref="XAW25:XAX25"/>
    <mergeCell ref="XAY25:XAZ25"/>
    <mergeCell ref="XBA25:XBB25"/>
    <mergeCell ref="XBC25:XBD25"/>
    <mergeCell ref="XAG25:XAH25"/>
    <mergeCell ref="XAI25:XAJ25"/>
    <mergeCell ref="XAK25:XAL25"/>
    <mergeCell ref="XAM25:XAN25"/>
    <mergeCell ref="XAO25:XAP25"/>
    <mergeCell ref="XAQ25:XAR25"/>
    <mergeCell ref="WZU25:WZV25"/>
    <mergeCell ref="WZW25:WZX25"/>
    <mergeCell ref="WZY25:WZZ25"/>
    <mergeCell ref="XAA25:XAB25"/>
    <mergeCell ref="XAC25:XAD25"/>
    <mergeCell ref="XAE25:XAF25"/>
    <mergeCell ref="WZI25:WZJ25"/>
    <mergeCell ref="WZK25:WZL25"/>
    <mergeCell ref="WZM25:WZN25"/>
    <mergeCell ref="WZO25:WZP25"/>
    <mergeCell ref="WZQ25:WZR25"/>
    <mergeCell ref="WZS25:WZT25"/>
    <mergeCell ref="WYW25:WYX25"/>
    <mergeCell ref="WYY25:WYZ25"/>
    <mergeCell ref="WZA25:WZB25"/>
    <mergeCell ref="WZC25:WZD25"/>
    <mergeCell ref="WZE25:WZF25"/>
    <mergeCell ref="WZG25:WZH25"/>
    <mergeCell ref="WYK25:WYL25"/>
    <mergeCell ref="WYM25:WYN25"/>
    <mergeCell ref="WYO25:WYP25"/>
    <mergeCell ref="WYQ25:WYR25"/>
    <mergeCell ref="WYS25:WYT25"/>
    <mergeCell ref="WYU25:WYV25"/>
    <mergeCell ref="M26:N26"/>
    <mergeCell ref="O26:P26"/>
    <mergeCell ref="Q26:R26"/>
    <mergeCell ref="S26:T26"/>
    <mergeCell ref="U26:V26"/>
    <mergeCell ref="W26:X26"/>
    <mergeCell ref="XEW25:XEX25"/>
    <mergeCell ref="XEY25:XEZ25"/>
    <mergeCell ref="XFA25:XFB25"/>
    <mergeCell ref="XFC25:XFD25"/>
    <mergeCell ref="A26:B26"/>
    <mergeCell ref="C26:D26"/>
    <mergeCell ref="E26:F26"/>
    <mergeCell ref="G26:H26"/>
    <mergeCell ref="I26:J26"/>
    <mergeCell ref="K26:L26"/>
    <mergeCell ref="XEK25:XEL25"/>
    <mergeCell ref="XEM25:XEN25"/>
    <mergeCell ref="XEO25:XEP25"/>
    <mergeCell ref="XEQ25:XER25"/>
    <mergeCell ref="XES25:XET25"/>
    <mergeCell ref="XEU25:XEV25"/>
    <mergeCell ref="XDY25:XDZ25"/>
    <mergeCell ref="XEA25:XEB25"/>
    <mergeCell ref="XEC25:XED25"/>
    <mergeCell ref="XEE25:XEF25"/>
    <mergeCell ref="XEG25:XEH25"/>
    <mergeCell ref="XEI25:XEJ25"/>
    <mergeCell ref="XDM25:XDN25"/>
    <mergeCell ref="XDO25:XDP25"/>
    <mergeCell ref="XDQ25:XDR25"/>
    <mergeCell ref="XDS25:XDT25"/>
    <mergeCell ref="XDU25:XDV25"/>
    <mergeCell ref="XDW25:XDX25"/>
    <mergeCell ref="XDA25:XDB25"/>
    <mergeCell ref="XDC25:XDD25"/>
    <mergeCell ref="XDE25:XDF25"/>
    <mergeCell ref="XDG25:XDH25"/>
    <mergeCell ref="XDI25:XDJ25"/>
    <mergeCell ref="XDK25:XDL25"/>
    <mergeCell ref="XCO25:XCP25"/>
    <mergeCell ref="XCQ25:XCR25"/>
    <mergeCell ref="XCS25:XCT25"/>
    <mergeCell ref="XCU25:XCV25"/>
    <mergeCell ref="XCW25:XCX25"/>
    <mergeCell ref="XCY25:XCZ25"/>
    <mergeCell ref="XCC25:XCD25"/>
    <mergeCell ref="XCE25:XCF25"/>
    <mergeCell ref="XCG25:XCH25"/>
    <mergeCell ref="XCI25:XCJ25"/>
    <mergeCell ref="XCK25:XCL25"/>
    <mergeCell ref="XCM25:XCN25"/>
    <mergeCell ref="XBQ25:XBR25"/>
    <mergeCell ref="XBS25:XBT25"/>
    <mergeCell ref="XBU25:XBV25"/>
    <mergeCell ref="XBW25:XBX25"/>
    <mergeCell ref="XBY25:XBZ25"/>
    <mergeCell ref="XCA25:XCB25"/>
    <mergeCell ref="XBE25:XBF25"/>
    <mergeCell ref="XBG25:XBH25"/>
    <mergeCell ref="XBI25:XBJ25"/>
    <mergeCell ref="XBK25:XBL25"/>
    <mergeCell ref="XBM25:XBN25"/>
    <mergeCell ref="XBO25:XBP25"/>
    <mergeCell ref="CG26:CH26"/>
    <mergeCell ref="CI26:CJ26"/>
    <mergeCell ref="CK26:CL26"/>
    <mergeCell ref="CM26:CN26"/>
    <mergeCell ref="CO26:CP26"/>
    <mergeCell ref="CQ26:CR26"/>
    <mergeCell ref="BU26:BV26"/>
    <mergeCell ref="BW26:BX26"/>
    <mergeCell ref="BY26:BZ26"/>
    <mergeCell ref="CA26:CB26"/>
    <mergeCell ref="CC26:CD26"/>
    <mergeCell ref="CE26:CF26"/>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FA26:FB26"/>
    <mergeCell ref="FC26:FD26"/>
    <mergeCell ref="FE26:FF26"/>
    <mergeCell ref="FG26:FH26"/>
    <mergeCell ref="FI26:FJ26"/>
    <mergeCell ref="FK26:FL26"/>
    <mergeCell ref="EO26:EP26"/>
    <mergeCell ref="EQ26:ER26"/>
    <mergeCell ref="ES26:ET26"/>
    <mergeCell ref="EU26:EV26"/>
    <mergeCell ref="EW26:EX26"/>
    <mergeCell ref="EY26:EZ26"/>
    <mergeCell ref="EC26:ED26"/>
    <mergeCell ref="EE26:EF26"/>
    <mergeCell ref="EG26:EH26"/>
    <mergeCell ref="EI26:EJ26"/>
    <mergeCell ref="EK26:EL26"/>
    <mergeCell ref="EM26:EN26"/>
    <mergeCell ref="DQ26:DR26"/>
    <mergeCell ref="DS26:DT26"/>
    <mergeCell ref="DU26:DV26"/>
    <mergeCell ref="DW26:DX26"/>
    <mergeCell ref="DY26:DZ26"/>
    <mergeCell ref="EA26:EB26"/>
    <mergeCell ref="DE26:DF26"/>
    <mergeCell ref="DG26:DH26"/>
    <mergeCell ref="DI26:DJ26"/>
    <mergeCell ref="DK26:DL26"/>
    <mergeCell ref="DM26:DN26"/>
    <mergeCell ref="DO26:DP26"/>
    <mergeCell ref="CS26:CT26"/>
    <mergeCell ref="CU26:CV26"/>
    <mergeCell ref="CW26:CX26"/>
    <mergeCell ref="CY26:CZ26"/>
    <mergeCell ref="DA26:DB26"/>
    <mergeCell ref="DC26:DD26"/>
    <mergeCell ref="HU26:HV26"/>
    <mergeCell ref="HW26:HX26"/>
    <mergeCell ref="HY26:HZ26"/>
    <mergeCell ref="IA26:IB26"/>
    <mergeCell ref="IC26:ID26"/>
    <mergeCell ref="IE26:IF26"/>
    <mergeCell ref="HI26:HJ26"/>
    <mergeCell ref="HK26:HL26"/>
    <mergeCell ref="HM26:HN26"/>
    <mergeCell ref="HO26:HP26"/>
    <mergeCell ref="HQ26:HR26"/>
    <mergeCell ref="HS26:HT26"/>
    <mergeCell ref="GW26:GX26"/>
    <mergeCell ref="GY26:GZ26"/>
    <mergeCell ref="HA26:HB26"/>
    <mergeCell ref="HC26:HD26"/>
    <mergeCell ref="HE26:HF26"/>
    <mergeCell ref="HG26:HH26"/>
    <mergeCell ref="GK26:GL26"/>
    <mergeCell ref="GM26:GN26"/>
    <mergeCell ref="GO26:GP26"/>
    <mergeCell ref="GQ26:GR26"/>
    <mergeCell ref="GS26:GT26"/>
    <mergeCell ref="GU26:GV26"/>
    <mergeCell ref="FY26:FZ26"/>
    <mergeCell ref="GA26:GB26"/>
    <mergeCell ref="GC26:GD26"/>
    <mergeCell ref="GE26:GF26"/>
    <mergeCell ref="GG26:GH26"/>
    <mergeCell ref="GI26:GJ26"/>
    <mergeCell ref="FM26:FN26"/>
    <mergeCell ref="FO26:FP26"/>
    <mergeCell ref="FQ26:FR26"/>
    <mergeCell ref="FS26:FT26"/>
    <mergeCell ref="FU26:FV26"/>
    <mergeCell ref="FW26:FX26"/>
    <mergeCell ref="KO26:KP26"/>
    <mergeCell ref="KQ26:KR26"/>
    <mergeCell ref="KS26:KT26"/>
    <mergeCell ref="KU26:KV26"/>
    <mergeCell ref="KW26:KX26"/>
    <mergeCell ref="KY26:KZ26"/>
    <mergeCell ref="KC26:KD26"/>
    <mergeCell ref="KE26:KF26"/>
    <mergeCell ref="KG26:KH26"/>
    <mergeCell ref="KI26:KJ26"/>
    <mergeCell ref="KK26:KL26"/>
    <mergeCell ref="KM26:KN26"/>
    <mergeCell ref="JQ26:JR26"/>
    <mergeCell ref="JS26:JT26"/>
    <mergeCell ref="JU26:JV26"/>
    <mergeCell ref="JW26:JX26"/>
    <mergeCell ref="JY26:JZ26"/>
    <mergeCell ref="KA26:KB26"/>
    <mergeCell ref="JE26:JF26"/>
    <mergeCell ref="JG26:JH26"/>
    <mergeCell ref="JI26:JJ26"/>
    <mergeCell ref="JK26:JL26"/>
    <mergeCell ref="JM26:JN26"/>
    <mergeCell ref="JO26:JP26"/>
    <mergeCell ref="IS26:IT26"/>
    <mergeCell ref="IU26:IV26"/>
    <mergeCell ref="IW26:IX26"/>
    <mergeCell ref="IY26:IZ26"/>
    <mergeCell ref="JA26:JB26"/>
    <mergeCell ref="JC26:JD26"/>
    <mergeCell ref="IG26:IH26"/>
    <mergeCell ref="II26:IJ26"/>
    <mergeCell ref="IK26:IL26"/>
    <mergeCell ref="IM26:IN26"/>
    <mergeCell ref="IO26:IP26"/>
    <mergeCell ref="IQ26:IR26"/>
    <mergeCell ref="NI26:NJ26"/>
    <mergeCell ref="NK26:NL26"/>
    <mergeCell ref="NM26:NN26"/>
    <mergeCell ref="NO26:NP26"/>
    <mergeCell ref="NQ26:NR26"/>
    <mergeCell ref="NS26:NT26"/>
    <mergeCell ref="MW26:MX26"/>
    <mergeCell ref="MY26:MZ26"/>
    <mergeCell ref="NA26:NB26"/>
    <mergeCell ref="NC26:ND26"/>
    <mergeCell ref="NE26:NF26"/>
    <mergeCell ref="NG26:NH26"/>
    <mergeCell ref="MK26:ML26"/>
    <mergeCell ref="MM26:MN26"/>
    <mergeCell ref="MO26:MP26"/>
    <mergeCell ref="MQ26:MR26"/>
    <mergeCell ref="MS26:MT26"/>
    <mergeCell ref="MU26:MV26"/>
    <mergeCell ref="LY26:LZ26"/>
    <mergeCell ref="MA26:MB26"/>
    <mergeCell ref="MC26:MD26"/>
    <mergeCell ref="ME26:MF26"/>
    <mergeCell ref="MG26:MH26"/>
    <mergeCell ref="MI26:MJ26"/>
    <mergeCell ref="LM26:LN26"/>
    <mergeCell ref="LO26:LP26"/>
    <mergeCell ref="LQ26:LR26"/>
    <mergeCell ref="LS26:LT26"/>
    <mergeCell ref="LU26:LV26"/>
    <mergeCell ref="LW26:LX26"/>
    <mergeCell ref="LA26:LB26"/>
    <mergeCell ref="LC26:LD26"/>
    <mergeCell ref="LE26:LF26"/>
    <mergeCell ref="LG26:LH26"/>
    <mergeCell ref="LI26:LJ26"/>
    <mergeCell ref="LK26:LL26"/>
    <mergeCell ref="QC26:QD26"/>
    <mergeCell ref="QE26:QF26"/>
    <mergeCell ref="QG26:QH26"/>
    <mergeCell ref="QI26:QJ26"/>
    <mergeCell ref="QK26:QL26"/>
    <mergeCell ref="QM26:QN26"/>
    <mergeCell ref="PQ26:PR26"/>
    <mergeCell ref="PS26:PT26"/>
    <mergeCell ref="PU26:PV26"/>
    <mergeCell ref="PW26:PX26"/>
    <mergeCell ref="PY26:PZ26"/>
    <mergeCell ref="QA26:QB26"/>
    <mergeCell ref="PE26:PF26"/>
    <mergeCell ref="PG26:PH26"/>
    <mergeCell ref="PI26:PJ26"/>
    <mergeCell ref="PK26:PL26"/>
    <mergeCell ref="PM26:PN26"/>
    <mergeCell ref="PO26:PP26"/>
    <mergeCell ref="OS26:OT26"/>
    <mergeCell ref="OU26:OV26"/>
    <mergeCell ref="OW26:OX26"/>
    <mergeCell ref="OY26:OZ26"/>
    <mergeCell ref="PA26:PB26"/>
    <mergeCell ref="PC26:PD26"/>
    <mergeCell ref="OG26:OH26"/>
    <mergeCell ref="OI26:OJ26"/>
    <mergeCell ref="OK26:OL26"/>
    <mergeCell ref="OM26:ON26"/>
    <mergeCell ref="OO26:OP26"/>
    <mergeCell ref="OQ26:OR26"/>
    <mergeCell ref="NU26:NV26"/>
    <mergeCell ref="NW26:NX26"/>
    <mergeCell ref="NY26:NZ26"/>
    <mergeCell ref="OA26:OB26"/>
    <mergeCell ref="OC26:OD26"/>
    <mergeCell ref="OE26:OF26"/>
    <mergeCell ref="SW26:SX26"/>
    <mergeCell ref="SY26:SZ26"/>
    <mergeCell ref="TA26:TB26"/>
    <mergeCell ref="TC26:TD26"/>
    <mergeCell ref="TE26:TF26"/>
    <mergeCell ref="TG26:TH26"/>
    <mergeCell ref="SK26:SL26"/>
    <mergeCell ref="SM26:SN26"/>
    <mergeCell ref="SO26:SP26"/>
    <mergeCell ref="SQ26:SR26"/>
    <mergeCell ref="SS26:ST26"/>
    <mergeCell ref="SU26:SV26"/>
    <mergeCell ref="RY26:RZ26"/>
    <mergeCell ref="SA26:SB26"/>
    <mergeCell ref="SC26:SD26"/>
    <mergeCell ref="SE26:SF26"/>
    <mergeCell ref="SG26:SH26"/>
    <mergeCell ref="SI26:SJ26"/>
    <mergeCell ref="RM26:RN26"/>
    <mergeCell ref="RO26:RP26"/>
    <mergeCell ref="RQ26:RR26"/>
    <mergeCell ref="RS26:RT26"/>
    <mergeCell ref="RU26:RV26"/>
    <mergeCell ref="RW26:RX26"/>
    <mergeCell ref="RA26:RB26"/>
    <mergeCell ref="RC26:RD26"/>
    <mergeCell ref="RE26:RF26"/>
    <mergeCell ref="RG26:RH26"/>
    <mergeCell ref="RI26:RJ26"/>
    <mergeCell ref="RK26:RL26"/>
    <mergeCell ref="QO26:QP26"/>
    <mergeCell ref="QQ26:QR26"/>
    <mergeCell ref="QS26:QT26"/>
    <mergeCell ref="QU26:QV26"/>
    <mergeCell ref="QW26:QX26"/>
    <mergeCell ref="QY26:QZ26"/>
    <mergeCell ref="VQ26:VR26"/>
    <mergeCell ref="VS26:VT26"/>
    <mergeCell ref="VU26:VV26"/>
    <mergeCell ref="VW26:VX26"/>
    <mergeCell ref="VY26:VZ26"/>
    <mergeCell ref="WA26:WB26"/>
    <mergeCell ref="VE26:VF26"/>
    <mergeCell ref="VG26:VH26"/>
    <mergeCell ref="VI26:VJ26"/>
    <mergeCell ref="VK26:VL26"/>
    <mergeCell ref="VM26:VN26"/>
    <mergeCell ref="VO26:VP26"/>
    <mergeCell ref="US26:UT26"/>
    <mergeCell ref="UU26:UV26"/>
    <mergeCell ref="UW26:UX26"/>
    <mergeCell ref="UY26:UZ26"/>
    <mergeCell ref="VA26:VB26"/>
    <mergeCell ref="VC26:VD26"/>
    <mergeCell ref="UG26:UH26"/>
    <mergeCell ref="UI26:UJ26"/>
    <mergeCell ref="UK26:UL26"/>
    <mergeCell ref="UM26:UN26"/>
    <mergeCell ref="UO26:UP26"/>
    <mergeCell ref="UQ26:UR26"/>
    <mergeCell ref="TU26:TV26"/>
    <mergeCell ref="TW26:TX26"/>
    <mergeCell ref="TY26:TZ26"/>
    <mergeCell ref="UA26:UB26"/>
    <mergeCell ref="UC26:UD26"/>
    <mergeCell ref="UE26:UF26"/>
    <mergeCell ref="TI26:TJ26"/>
    <mergeCell ref="TK26:TL26"/>
    <mergeCell ref="TM26:TN26"/>
    <mergeCell ref="TO26:TP26"/>
    <mergeCell ref="TQ26:TR26"/>
    <mergeCell ref="TS26:TT26"/>
    <mergeCell ref="YK26:YL26"/>
    <mergeCell ref="YM26:YN26"/>
    <mergeCell ref="YO26:YP26"/>
    <mergeCell ref="YQ26:YR26"/>
    <mergeCell ref="YS26:YT26"/>
    <mergeCell ref="YU26:YV26"/>
    <mergeCell ref="XY26:XZ26"/>
    <mergeCell ref="YA26:YB26"/>
    <mergeCell ref="YC26:YD26"/>
    <mergeCell ref="YE26:YF26"/>
    <mergeCell ref="YG26:YH26"/>
    <mergeCell ref="YI26:YJ26"/>
    <mergeCell ref="XM26:XN26"/>
    <mergeCell ref="XO26:XP26"/>
    <mergeCell ref="XQ26:XR26"/>
    <mergeCell ref="XS26:XT26"/>
    <mergeCell ref="XU26:XV26"/>
    <mergeCell ref="XW26:XX26"/>
    <mergeCell ref="XA26:XB26"/>
    <mergeCell ref="XC26:XD26"/>
    <mergeCell ref="XE26:XF26"/>
    <mergeCell ref="XG26:XH26"/>
    <mergeCell ref="XI26:XJ26"/>
    <mergeCell ref="XK26:XL26"/>
    <mergeCell ref="WO26:WP26"/>
    <mergeCell ref="WQ26:WR26"/>
    <mergeCell ref="WS26:WT26"/>
    <mergeCell ref="WU26:WV26"/>
    <mergeCell ref="WW26:WX26"/>
    <mergeCell ref="WY26:WZ26"/>
    <mergeCell ref="WC26:WD26"/>
    <mergeCell ref="WE26:WF26"/>
    <mergeCell ref="WG26:WH26"/>
    <mergeCell ref="WI26:WJ26"/>
    <mergeCell ref="WK26:WL26"/>
    <mergeCell ref="WM26:WN26"/>
    <mergeCell ref="ABE26:ABF26"/>
    <mergeCell ref="ABG26:ABH26"/>
    <mergeCell ref="ABI26:ABJ26"/>
    <mergeCell ref="ABK26:ABL26"/>
    <mergeCell ref="ABM26:ABN26"/>
    <mergeCell ref="ABO26:ABP26"/>
    <mergeCell ref="AAS26:AAT26"/>
    <mergeCell ref="AAU26:AAV26"/>
    <mergeCell ref="AAW26:AAX26"/>
    <mergeCell ref="AAY26:AAZ26"/>
    <mergeCell ref="ABA26:ABB26"/>
    <mergeCell ref="ABC26:ABD26"/>
    <mergeCell ref="AAG26:AAH26"/>
    <mergeCell ref="AAI26:AAJ26"/>
    <mergeCell ref="AAK26:AAL26"/>
    <mergeCell ref="AAM26:AAN26"/>
    <mergeCell ref="AAO26:AAP26"/>
    <mergeCell ref="AAQ26:AAR26"/>
    <mergeCell ref="ZU26:ZV26"/>
    <mergeCell ref="ZW26:ZX26"/>
    <mergeCell ref="ZY26:ZZ26"/>
    <mergeCell ref="AAA26:AAB26"/>
    <mergeCell ref="AAC26:AAD26"/>
    <mergeCell ref="AAE26:AAF26"/>
    <mergeCell ref="ZI26:ZJ26"/>
    <mergeCell ref="ZK26:ZL26"/>
    <mergeCell ref="ZM26:ZN26"/>
    <mergeCell ref="ZO26:ZP26"/>
    <mergeCell ref="ZQ26:ZR26"/>
    <mergeCell ref="ZS26:ZT26"/>
    <mergeCell ref="YW26:YX26"/>
    <mergeCell ref="YY26:YZ26"/>
    <mergeCell ref="ZA26:ZB26"/>
    <mergeCell ref="ZC26:ZD26"/>
    <mergeCell ref="ZE26:ZF26"/>
    <mergeCell ref="ZG26:ZH26"/>
    <mergeCell ref="ADY26:ADZ26"/>
    <mergeCell ref="AEA26:AEB26"/>
    <mergeCell ref="AEC26:AED26"/>
    <mergeCell ref="AEE26:AEF26"/>
    <mergeCell ref="AEG26:AEH26"/>
    <mergeCell ref="AEI26:AEJ26"/>
    <mergeCell ref="ADM26:ADN26"/>
    <mergeCell ref="ADO26:ADP26"/>
    <mergeCell ref="ADQ26:ADR26"/>
    <mergeCell ref="ADS26:ADT26"/>
    <mergeCell ref="ADU26:ADV26"/>
    <mergeCell ref="ADW26:ADX26"/>
    <mergeCell ref="ADA26:ADB26"/>
    <mergeCell ref="ADC26:ADD26"/>
    <mergeCell ref="ADE26:ADF26"/>
    <mergeCell ref="ADG26:ADH26"/>
    <mergeCell ref="ADI26:ADJ26"/>
    <mergeCell ref="ADK26:ADL26"/>
    <mergeCell ref="ACO26:ACP26"/>
    <mergeCell ref="ACQ26:ACR26"/>
    <mergeCell ref="ACS26:ACT26"/>
    <mergeCell ref="ACU26:ACV26"/>
    <mergeCell ref="ACW26:ACX26"/>
    <mergeCell ref="ACY26:ACZ26"/>
    <mergeCell ref="ACC26:ACD26"/>
    <mergeCell ref="ACE26:ACF26"/>
    <mergeCell ref="ACG26:ACH26"/>
    <mergeCell ref="ACI26:ACJ26"/>
    <mergeCell ref="ACK26:ACL26"/>
    <mergeCell ref="ACM26:ACN26"/>
    <mergeCell ref="ABQ26:ABR26"/>
    <mergeCell ref="ABS26:ABT26"/>
    <mergeCell ref="ABU26:ABV26"/>
    <mergeCell ref="ABW26:ABX26"/>
    <mergeCell ref="ABY26:ABZ26"/>
    <mergeCell ref="ACA26:ACB26"/>
    <mergeCell ref="AGS26:AGT26"/>
    <mergeCell ref="AGU26:AGV26"/>
    <mergeCell ref="AGW26:AGX26"/>
    <mergeCell ref="AGY26:AGZ26"/>
    <mergeCell ref="AHA26:AHB26"/>
    <mergeCell ref="AHC26:AHD26"/>
    <mergeCell ref="AGG26:AGH26"/>
    <mergeCell ref="AGI26:AGJ26"/>
    <mergeCell ref="AGK26:AGL26"/>
    <mergeCell ref="AGM26:AGN26"/>
    <mergeCell ref="AGO26:AGP26"/>
    <mergeCell ref="AGQ26:AGR26"/>
    <mergeCell ref="AFU26:AFV26"/>
    <mergeCell ref="AFW26:AFX26"/>
    <mergeCell ref="AFY26:AFZ26"/>
    <mergeCell ref="AGA26:AGB26"/>
    <mergeCell ref="AGC26:AGD26"/>
    <mergeCell ref="AGE26:AGF26"/>
    <mergeCell ref="AFI26:AFJ26"/>
    <mergeCell ref="AFK26:AFL26"/>
    <mergeCell ref="AFM26:AFN26"/>
    <mergeCell ref="AFO26:AFP26"/>
    <mergeCell ref="AFQ26:AFR26"/>
    <mergeCell ref="AFS26:AFT26"/>
    <mergeCell ref="AEW26:AEX26"/>
    <mergeCell ref="AEY26:AEZ26"/>
    <mergeCell ref="AFA26:AFB26"/>
    <mergeCell ref="AFC26:AFD26"/>
    <mergeCell ref="AFE26:AFF26"/>
    <mergeCell ref="AFG26:AFH26"/>
    <mergeCell ref="AEK26:AEL26"/>
    <mergeCell ref="AEM26:AEN26"/>
    <mergeCell ref="AEO26:AEP26"/>
    <mergeCell ref="AEQ26:AER26"/>
    <mergeCell ref="AES26:AET26"/>
    <mergeCell ref="AEU26:AEV26"/>
    <mergeCell ref="AJM26:AJN26"/>
    <mergeCell ref="AJO26:AJP26"/>
    <mergeCell ref="AJQ26:AJR26"/>
    <mergeCell ref="AJS26:AJT26"/>
    <mergeCell ref="AJU26:AJV26"/>
    <mergeCell ref="AJW26:AJX26"/>
    <mergeCell ref="AJA26:AJB26"/>
    <mergeCell ref="AJC26:AJD26"/>
    <mergeCell ref="AJE26:AJF26"/>
    <mergeCell ref="AJG26:AJH26"/>
    <mergeCell ref="AJI26:AJJ26"/>
    <mergeCell ref="AJK26:AJL26"/>
    <mergeCell ref="AIO26:AIP26"/>
    <mergeCell ref="AIQ26:AIR26"/>
    <mergeCell ref="AIS26:AIT26"/>
    <mergeCell ref="AIU26:AIV26"/>
    <mergeCell ref="AIW26:AIX26"/>
    <mergeCell ref="AIY26:AIZ26"/>
    <mergeCell ref="AIC26:AID26"/>
    <mergeCell ref="AIE26:AIF26"/>
    <mergeCell ref="AIG26:AIH26"/>
    <mergeCell ref="AII26:AIJ26"/>
    <mergeCell ref="AIK26:AIL26"/>
    <mergeCell ref="AIM26:AIN26"/>
    <mergeCell ref="AHQ26:AHR26"/>
    <mergeCell ref="AHS26:AHT26"/>
    <mergeCell ref="AHU26:AHV26"/>
    <mergeCell ref="AHW26:AHX26"/>
    <mergeCell ref="AHY26:AHZ26"/>
    <mergeCell ref="AIA26:AIB26"/>
    <mergeCell ref="AHE26:AHF26"/>
    <mergeCell ref="AHG26:AHH26"/>
    <mergeCell ref="AHI26:AHJ26"/>
    <mergeCell ref="AHK26:AHL26"/>
    <mergeCell ref="AHM26:AHN26"/>
    <mergeCell ref="AHO26:AHP26"/>
    <mergeCell ref="AMG26:AMH26"/>
    <mergeCell ref="AMI26:AMJ26"/>
    <mergeCell ref="AMK26:AML26"/>
    <mergeCell ref="AMM26:AMN26"/>
    <mergeCell ref="AMO26:AMP26"/>
    <mergeCell ref="AMQ26:AMR26"/>
    <mergeCell ref="ALU26:ALV26"/>
    <mergeCell ref="ALW26:ALX26"/>
    <mergeCell ref="ALY26:ALZ26"/>
    <mergeCell ref="AMA26:AMB26"/>
    <mergeCell ref="AMC26:AMD26"/>
    <mergeCell ref="AME26:AMF26"/>
    <mergeCell ref="ALI26:ALJ26"/>
    <mergeCell ref="ALK26:ALL26"/>
    <mergeCell ref="ALM26:ALN26"/>
    <mergeCell ref="ALO26:ALP26"/>
    <mergeCell ref="ALQ26:ALR26"/>
    <mergeCell ref="ALS26:ALT26"/>
    <mergeCell ref="AKW26:AKX26"/>
    <mergeCell ref="AKY26:AKZ26"/>
    <mergeCell ref="ALA26:ALB26"/>
    <mergeCell ref="ALC26:ALD26"/>
    <mergeCell ref="ALE26:ALF26"/>
    <mergeCell ref="ALG26:ALH26"/>
    <mergeCell ref="AKK26:AKL26"/>
    <mergeCell ref="AKM26:AKN26"/>
    <mergeCell ref="AKO26:AKP26"/>
    <mergeCell ref="AKQ26:AKR26"/>
    <mergeCell ref="AKS26:AKT26"/>
    <mergeCell ref="AKU26:AKV26"/>
    <mergeCell ref="AJY26:AJZ26"/>
    <mergeCell ref="AKA26:AKB26"/>
    <mergeCell ref="AKC26:AKD26"/>
    <mergeCell ref="AKE26:AKF26"/>
    <mergeCell ref="AKG26:AKH26"/>
    <mergeCell ref="AKI26:AKJ26"/>
    <mergeCell ref="APA26:APB26"/>
    <mergeCell ref="APC26:APD26"/>
    <mergeCell ref="APE26:APF26"/>
    <mergeCell ref="APG26:APH26"/>
    <mergeCell ref="API26:APJ26"/>
    <mergeCell ref="APK26:APL26"/>
    <mergeCell ref="AOO26:AOP26"/>
    <mergeCell ref="AOQ26:AOR26"/>
    <mergeCell ref="AOS26:AOT26"/>
    <mergeCell ref="AOU26:AOV26"/>
    <mergeCell ref="AOW26:AOX26"/>
    <mergeCell ref="AOY26:AOZ26"/>
    <mergeCell ref="AOC26:AOD26"/>
    <mergeCell ref="AOE26:AOF26"/>
    <mergeCell ref="AOG26:AOH26"/>
    <mergeCell ref="AOI26:AOJ26"/>
    <mergeCell ref="AOK26:AOL26"/>
    <mergeCell ref="AOM26:AON26"/>
    <mergeCell ref="ANQ26:ANR26"/>
    <mergeCell ref="ANS26:ANT26"/>
    <mergeCell ref="ANU26:ANV26"/>
    <mergeCell ref="ANW26:ANX26"/>
    <mergeCell ref="ANY26:ANZ26"/>
    <mergeCell ref="AOA26:AOB26"/>
    <mergeCell ref="ANE26:ANF26"/>
    <mergeCell ref="ANG26:ANH26"/>
    <mergeCell ref="ANI26:ANJ26"/>
    <mergeCell ref="ANK26:ANL26"/>
    <mergeCell ref="ANM26:ANN26"/>
    <mergeCell ref="ANO26:ANP26"/>
    <mergeCell ref="AMS26:AMT26"/>
    <mergeCell ref="AMU26:AMV26"/>
    <mergeCell ref="AMW26:AMX26"/>
    <mergeCell ref="AMY26:AMZ26"/>
    <mergeCell ref="ANA26:ANB26"/>
    <mergeCell ref="ANC26:AND26"/>
    <mergeCell ref="ARU26:ARV26"/>
    <mergeCell ref="ARW26:ARX26"/>
    <mergeCell ref="ARY26:ARZ26"/>
    <mergeCell ref="ASA26:ASB26"/>
    <mergeCell ref="ASC26:ASD26"/>
    <mergeCell ref="ASE26:ASF26"/>
    <mergeCell ref="ARI26:ARJ26"/>
    <mergeCell ref="ARK26:ARL26"/>
    <mergeCell ref="ARM26:ARN26"/>
    <mergeCell ref="ARO26:ARP26"/>
    <mergeCell ref="ARQ26:ARR26"/>
    <mergeCell ref="ARS26:ART26"/>
    <mergeCell ref="AQW26:AQX26"/>
    <mergeCell ref="AQY26:AQZ26"/>
    <mergeCell ref="ARA26:ARB26"/>
    <mergeCell ref="ARC26:ARD26"/>
    <mergeCell ref="ARE26:ARF26"/>
    <mergeCell ref="ARG26:ARH26"/>
    <mergeCell ref="AQK26:AQL26"/>
    <mergeCell ref="AQM26:AQN26"/>
    <mergeCell ref="AQO26:AQP26"/>
    <mergeCell ref="AQQ26:AQR26"/>
    <mergeCell ref="AQS26:AQT26"/>
    <mergeCell ref="AQU26:AQV26"/>
    <mergeCell ref="APY26:APZ26"/>
    <mergeCell ref="AQA26:AQB26"/>
    <mergeCell ref="AQC26:AQD26"/>
    <mergeCell ref="AQE26:AQF26"/>
    <mergeCell ref="AQG26:AQH26"/>
    <mergeCell ref="AQI26:AQJ26"/>
    <mergeCell ref="APM26:APN26"/>
    <mergeCell ref="APO26:APP26"/>
    <mergeCell ref="APQ26:APR26"/>
    <mergeCell ref="APS26:APT26"/>
    <mergeCell ref="APU26:APV26"/>
    <mergeCell ref="APW26:APX26"/>
    <mergeCell ref="AUO26:AUP26"/>
    <mergeCell ref="AUQ26:AUR26"/>
    <mergeCell ref="AUS26:AUT26"/>
    <mergeCell ref="AUU26:AUV26"/>
    <mergeCell ref="AUW26:AUX26"/>
    <mergeCell ref="AUY26:AUZ26"/>
    <mergeCell ref="AUC26:AUD26"/>
    <mergeCell ref="AUE26:AUF26"/>
    <mergeCell ref="AUG26:AUH26"/>
    <mergeCell ref="AUI26:AUJ26"/>
    <mergeCell ref="AUK26:AUL26"/>
    <mergeCell ref="AUM26:AUN26"/>
    <mergeCell ref="ATQ26:ATR26"/>
    <mergeCell ref="ATS26:ATT26"/>
    <mergeCell ref="ATU26:ATV26"/>
    <mergeCell ref="ATW26:ATX26"/>
    <mergeCell ref="ATY26:ATZ26"/>
    <mergeCell ref="AUA26:AUB26"/>
    <mergeCell ref="ATE26:ATF26"/>
    <mergeCell ref="ATG26:ATH26"/>
    <mergeCell ref="ATI26:ATJ26"/>
    <mergeCell ref="ATK26:ATL26"/>
    <mergeCell ref="ATM26:ATN26"/>
    <mergeCell ref="ATO26:ATP26"/>
    <mergeCell ref="ASS26:AST26"/>
    <mergeCell ref="ASU26:ASV26"/>
    <mergeCell ref="ASW26:ASX26"/>
    <mergeCell ref="ASY26:ASZ26"/>
    <mergeCell ref="ATA26:ATB26"/>
    <mergeCell ref="ATC26:ATD26"/>
    <mergeCell ref="ASG26:ASH26"/>
    <mergeCell ref="ASI26:ASJ26"/>
    <mergeCell ref="ASK26:ASL26"/>
    <mergeCell ref="ASM26:ASN26"/>
    <mergeCell ref="ASO26:ASP26"/>
    <mergeCell ref="ASQ26:ASR26"/>
    <mergeCell ref="AXI26:AXJ26"/>
    <mergeCell ref="AXK26:AXL26"/>
    <mergeCell ref="AXM26:AXN26"/>
    <mergeCell ref="AXO26:AXP26"/>
    <mergeCell ref="AXQ26:AXR26"/>
    <mergeCell ref="AXS26:AXT26"/>
    <mergeCell ref="AWW26:AWX26"/>
    <mergeCell ref="AWY26:AWZ26"/>
    <mergeCell ref="AXA26:AXB26"/>
    <mergeCell ref="AXC26:AXD26"/>
    <mergeCell ref="AXE26:AXF26"/>
    <mergeCell ref="AXG26:AXH26"/>
    <mergeCell ref="AWK26:AWL26"/>
    <mergeCell ref="AWM26:AWN26"/>
    <mergeCell ref="AWO26:AWP26"/>
    <mergeCell ref="AWQ26:AWR26"/>
    <mergeCell ref="AWS26:AWT26"/>
    <mergeCell ref="AWU26:AWV26"/>
    <mergeCell ref="AVY26:AVZ26"/>
    <mergeCell ref="AWA26:AWB26"/>
    <mergeCell ref="AWC26:AWD26"/>
    <mergeCell ref="AWE26:AWF26"/>
    <mergeCell ref="AWG26:AWH26"/>
    <mergeCell ref="AWI26:AWJ26"/>
    <mergeCell ref="AVM26:AVN26"/>
    <mergeCell ref="AVO26:AVP26"/>
    <mergeCell ref="AVQ26:AVR26"/>
    <mergeCell ref="AVS26:AVT26"/>
    <mergeCell ref="AVU26:AVV26"/>
    <mergeCell ref="AVW26:AVX26"/>
    <mergeCell ref="AVA26:AVB26"/>
    <mergeCell ref="AVC26:AVD26"/>
    <mergeCell ref="AVE26:AVF26"/>
    <mergeCell ref="AVG26:AVH26"/>
    <mergeCell ref="AVI26:AVJ26"/>
    <mergeCell ref="AVK26:AVL26"/>
    <mergeCell ref="BAC26:BAD26"/>
    <mergeCell ref="BAE26:BAF26"/>
    <mergeCell ref="BAG26:BAH26"/>
    <mergeCell ref="BAI26:BAJ26"/>
    <mergeCell ref="BAK26:BAL26"/>
    <mergeCell ref="BAM26:BAN26"/>
    <mergeCell ref="AZQ26:AZR26"/>
    <mergeCell ref="AZS26:AZT26"/>
    <mergeCell ref="AZU26:AZV26"/>
    <mergeCell ref="AZW26:AZX26"/>
    <mergeCell ref="AZY26:AZZ26"/>
    <mergeCell ref="BAA26:BAB26"/>
    <mergeCell ref="AZE26:AZF26"/>
    <mergeCell ref="AZG26:AZH26"/>
    <mergeCell ref="AZI26:AZJ26"/>
    <mergeCell ref="AZK26:AZL26"/>
    <mergeCell ref="AZM26:AZN26"/>
    <mergeCell ref="AZO26:AZP26"/>
    <mergeCell ref="AYS26:AYT26"/>
    <mergeCell ref="AYU26:AYV26"/>
    <mergeCell ref="AYW26:AYX26"/>
    <mergeCell ref="AYY26:AYZ26"/>
    <mergeCell ref="AZA26:AZB26"/>
    <mergeCell ref="AZC26:AZD26"/>
    <mergeCell ref="AYG26:AYH26"/>
    <mergeCell ref="AYI26:AYJ26"/>
    <mergeCell ref="AYK26:AYL26"/>
    <mergeCell ref="AYM26:AYN26"/>
    <mergeCell ref="AYO26:AYP26"/>
    <mergeCell ref="AYQ26:AYR26"/>
    <mergeCell ref="AXU26:AXV26"/>
    <mergeCell ref="AXW26:AXX26"/>
    <mergeCell ref="AXY26:AXZ26"/>
    <mergeCell ref="AYA26:AYB26"/>
    <mergeCell ref="AYC26:AYD26"/>
    <mergeCell ref="AYE26:AYF26"/>
    <mergeCell ref="BCW26:BCX26"/>
    <mergeCell ref="BCY26:BCZ26"/>
    <mergeCell ref="BDA26:BDB26"/>
    <mergeCell ref="BDC26:BDD26"/>
    <mergeCell ref="BDE26:BDF26"/>
    <mergeCell ref="BDG26:BDH26"/>
    <mergeCell ref="BCK26:BCL26"/>
    <mergeCell ref="BCM26:BCN26"/>
    <mergeCell ref="BCO26:BCP26"/>
    <mergeCell ref="BCQ26:BCR26"/>
    <mergeCell ref="BCS26:BCT26"/>
    <mergeCell ref="BCU26:BCV26"/>
    <mergeCell ref="BBY26:BBZ26"/>
    <mergeCell ref="BCA26:BCB26"/>
    <mergeCell ref="BCC26:BCD26"/>
    <mergeCell ref="BCE26:BCF26"/>
    <mergeCell ref="BCG26:BCH26"/>
    <mergeCell ref="BCI26:BCJ26"/>
    <mergeCell ref="BBM26:BBN26"/>
    <mergeCell ref="BBO26:BBP26"/>
    <mergeCell ref="BBQ26:BBR26"/>
    <mergeCell ref="BBS26:BBT26"/>
    <mergeCell ref="BBU26:BBV26"/>
    <mergeCell ref="BBW26:BBX26"/>
    <mergeCell ref="BBA26:BBB26"/>
    <mergeCell ref="BBC26:BBD26"/>
    <mergeCell ref="BBE26:BBF26"/>
    <mergeCell ref="BBG26:BBH26"/>
    <mergeCell ref="BBI26:BBJ26"/>
    <mergeCell ref="BBK26:BBL26"/>
    <mergeCell ref="BAO26:BAP26"/>
    <mergeCell ref="BAQ26:BAR26"/>
    <mergeCell ref="BAS26:BAT26"/>
    <mergeCell ref="BAU26:BAV26"/>
    <mergeCell ref="BAW26:BAX26"/>
    <mergeCell ref="BAY26:BAZ26"/>
    <mergeCell ref="BFQ26:BFR26"/>
    <mergeCell ref="BFS26:BFT26"/>
    <mergeCell ref="BFU26:BFV26"/>
    <mergeCell ref="BFW26:BFX26"/>
    <mergeCell ref="BFY26:BFZ26"/>
    <mergeCell ref="BGA26:BGB26"/>
    <mergeCell ref="BFE26:BFF26"/>
    <mergeCell ref="BFG26:BFH26"/>
    <mergeCell ref="BFI26:BFJ26"/>
    <mergeCell ref="BFK26:BFL26"/>
    <mergeCell ref="BFM26:BFN26"/>
    <mergeCell ref="BFO26:BFP26"/>
    <mergeCell ref="BES26:BET26"/>
    <mergeCell ref="BEU26:BEV26"/>
    <mergeCell ref="BEW26:BEX26"/>
    <mergeCell ref="BEY26:BEZ26"/>
    <mergeCell ref="BFA26:BFB26"/>
    <mergeCell ref="BFC26:BFD26"/>
    <mergeCell ref="BEG26:BEH26"/>
    <mergeCell ref="BEI26:BEJ26"/>
    <mergeCell ref="BEK26:BEL26"/>
    <mergeCell ref="BEM26:BEN26"/>
    <mergeCell ref="BEO26:BEP26"/>
    <mergeCell ref="BEQ26:BER26"/>
    <mergeCell ref="BDU26:BDV26"/>
    <mergeCell ref="BDW26:BDX26"/>
    <mergeCell ref="BDY26:BDZ26"/>
    <mergeCell ref="BEA26:BEB26"/>
    <mergeCell ref="BEC26:BED26"/>
    <mergeCell ref="BEE26:BEF26"/>
    <mergeCell ref="BDI26:BDJ26"/>
    <mergeCell ref="BDK26:BDL26"/>
    <mergeCell ref="BDM26:BDN26"/>
    <mergeCell ref="BDO26:BDP26"/>
    <mergeCell ref="BDQ26:BDR26"/>
    <mergeCell ref="BDS26:BDT26"/>
    <mergeCell ref="BIK26:BIL26"/>
    <mergeCell ref="BIM26:BIN26"/>
    <mergeCell ref="BIO26:BIP26"/>
    <mergeCell ref="BIQ26:BIR26"/>
    <mergeCell ref="BIS26:BIT26"/>
    <mergeCell ref="BIU26:BIV26"/>
    <mergeCell ref="BHY26:BHZ26"/>
    <mergeCell ref="BIA26:BIB26"/>
    <mergeCell ref="BIC26:BID26"/>
    <mergeCell ref="BIE26:BIF26"/>
    <mergeCell ref="BIG26:BIH26"/>
    <mergeCell ref="BII26:BIJ26"/>
    <mergeCell ref="BHM26:BHN26"/>
    <mergeCell ref="BHO26:BHP26"/>
    <mergeCell ref="BHQ26:BHR26"/>
    <mergeCell ref="BHS26:BHT26"/>
    <mergeCell ref="BHU26:BHV26"/>
    <mergeCell ref="BHW26:BHX26"/>
    <mergeCell ref="BHA26:BHB26"/>
    <mergeCell ref="BHC26:BHD26"/>
    <mergeCell ref="BHE26:BHF26"/>
    <mergeCell ref="BHG26:BHH26"/>
    <mergeCell ref="BHI26:BHJ26"/>
    <mergeCell ref="BHK26:BHL26"/>
    <mergeCell ref="BGO26:BGP26"/>
    <mergeCell ref="BGQ26:BGR26"/>
    <mergeCell ref="BGS26:BGT26"/>
    <mergeCell ref="BGU26:BGV26"/>
    <mergeCell ref="BGW26:BGX26"/>
    <mergeCell ref="BGY26:BGZ26"/>
    <mergeCell ref="BGC26:BGD26"/>
    <mergeCell ref="BGE26:BGF26"/>
    <mergeCell ref="BGG26:BGH26"/>
    <mergeCell ref="BGI26:BGJ26"/>
    <mergeCell ref="BGK26:BGL26"/>
    <mergeCell ref="BGM26:BGN26"/>
    <mergeCell ref="BLE26:BLF26"/>
    <mergeCell ref="BLG26:BLH26"/>
    <mergeCell ref="BLI26:BLJ26"/>
    <mergeCell ref="BLK26:BLL26"/>
    <mergeCell ref="BLM26:BLN26"/>
    <mergeCell ref="BLO26:BLP26"/>
    <mergeCell ref="BKS26:BKT26"/>
    <mergeCell ref="BKU26:BKV26"/>
    <mergeCell ref="BKW26:BKX26"/>
    <mergeCell ref="BKY26:BKZ26"/>
    <mergeCell ref="BLA26:BLB26"/>
    <mergeCell ref="BLC26:BLD26"/>
    <mergeCell ref="BKG26:BKH26"/>
    <mergeCell ref="BKI26:BKJ26"/>
    <mergeCell ref="BKK26:BKL26"/>
    <mergeCell ref="BKM26:BKN26"/>
    <mergeCell ref="BKO26:BKP26"/>
    <mergeCell ref="BKQ26:BKR26"/>
    <mergeCell ref="BJU26:BJV26"/>
    <mergeCell ref="BJW26:BJX26"/>
    <mergeCell ref="BJY26:BJZ26"/>
    <mergeCell ref="BKA26:BKB26"/>
    <mergeCell ref="BKC26:BKD26"/>
    <mergeCell ref="BKE26:BKF26"/>
    <mergeCell ref="BJI26:BJJ26"/>
    <mergeCell ref="BJK26:BJL26"/>
    <mergeCell ref="BJM26:BJN26"/>
    <mergeCell ref="BJO26:BJP26"/>
    <mergeCell ref="BJQ26:BJR26"/>
    <mergeCell ref="BJS26:BJT26"/>
    <mergeCell ref="BIW26:BIX26"/>
    <mergeCell ref="BIY26:BIZ26"/>
    <mergeCell ref="BJA26:BJB26"/>
    <mergeCell ref="BJC26:BJD26"/>
    <mergeCell ref="BJE26:BJF26"/>
    <mergeCell ref="BJG26:BJH26"/>
    <mergeCell ref="BNY26:BNZ26"/>
    <mergeCell ref="BOA26:BOB26"/>
    <mergeCell ref="BOC26:BOD26"/>
    <mergeCell ref="BOE26:BOF26"/>
    <mergeCell ref="BOG26:BOH26"/>
    <mergeCell ref="BOI26:BOJ26"/>
    <mergeCell ref="BNM26:BNN26"/>
    <mergeCell ref="BNO26:BNP26"/>
    <mergeCell ref="BNQ26:BNR26"/>
    <mergeCell ref="BNS26:BNT26"/>
    <mergeCell ref="BNU26:BNV26"/>
    <mergeCell ref="BNW26:BNX26"/>
    <mergeCell ref="BNA26:BNB26"/>
    <mergeCell ref="BNC26:BND26"/>
    <mergeCell ref="BNE26:BNF26"/>
    <mergeCell ref="BNG26:BNH26"/>
    <mergeCell ref="BNI26:BNJ26"/>
    <mergeCell ref="BNK26:BNL26"/>
    <mergeCell ref="BMO26:BMP26"/>
    <mergeCell ref="BMQ26:BMR26"/>
    <mergeCell ref="BMS26:BMT26"/>
    <mergeCell ref="BMU26:BMV26"/>
    <mergeCell ref="BMW26:BMX26"/>
    <mergeCell ref="BMY26:BMZ26"/>
    <mergeCell ref="BMC26:BMD26"/>
    <mergeCell ref="BME26:BMF26"/>
    <mergeCell ref="BMG26:BMH26"/>
    <mergeCell ref="BMI26:BMJ26"/>
    <mergeCell ref="BMK26:BML26"/>
    <mergeCell ref="BMM26:BMN26"/>
    <mergeCell ref="BLQ26:BLR26"/>
    <mergeCell ref="BLS26:BLT26"/>
    <mergeCell ref="BLU26:BLV26"/>
    <mergeCell ref="BLW26:BLX26"/>
    <mergeCell ref="BLY26:BLZ26"/>
    <mergeCell ref="BMA26:BMB26"/>
    <mergeCell ref="BQS26:BQT26"/>
    <mergeCell ref="BQU26:BQV26"/>
    <mergeCell ref="BQW26:BQX26"/>
    <mergeCell ref="BQY26:BQZ26"/>
    <mergeCell ref="BRA26:BRB26"/>
    <mergeCell ref="BRC26:BRD26"/>
    <mergeCell ref="BQG26:BQH26"/>
    <mergeCell ref="BQI26:BQJ26"/>
    <mergeCell ref="BQK26:BQL26"/>
    <mergeCell ref="BQM26:BQN26"/>
    <mergeCell ref="BQO26:BQP26"/>
    <mergeCell ref="BQQ26:BQR26"/>
    <mergeCell ref="BPU26:BPV26"/>
    <mergeCell ref="BPW26:BPX26"/>
    <mergeCell ref="BPY26:BPZ26"/>
    <mergeCell ref="BQA26:BQB26"/>
    <mergeCell ref="BQC26:BQD26"/>
    <mergeCell ref="BQE26:BQF26"/>
    <mergeCell ref="BPI26:BPJ26"/>
    <mergeCell ref="BPK26:BPL26"/>
    <mergeCell ref="BPM26:BPN26"/>
    <mergeCell ref="BPO26:BPP26"/>
    <mergeCell ref="BPQ26:BPR26"/>
    <mergeCell ref="BPS26:BPT26"/>
    <mergeCell ref="BOW26:BOX26"/>
    <mergeCell ref="BOY26:BOZ26"/>
    <mergeCell ref="BPA26:BPB26"/>
    <mergeCell ref="BPC26:BPD26"/>
    <mergeCell ref="BPE26:BPF26"/>
    <mergeCell ref="BPG26:BPH26"/>
    <mergeCell ref="BOK26:BOL26"/>
    <mergeCell ref="BOM26:BON26"/>
    <mergeCell ref="BOO26:BOP26"/>
    <mergeCell ref="BOQ26:BOR26"/>
    <mergeCell ref="BOS26:BOT26"/>
    <mergeCell ref="BOU26:BOV26"/>
    <mergeCell ref="BTM26:BTN26"/>
    <mergeCell ref="BTO26:BTP26"/>
    <mergeCell ref="BTQ26:BTR26"/>
    <mergeCell ref="BTS26:BTT26"/>
    <mergeCell ref="BTU26:BTV26"/>
    <mergeCell ref="BTW26:BTX26"/>
    <mergeCell ref="BTA26:BTB26"/>
    <mergeCell ref="BTC26:BTD26"/>
    <mergeCell ref="BTE26:BTF26"/>
    <mergeCell ref="BTG26:BTH26"/>
    <mergeCell ref="BTI26:BTJ26"/>
    <mergeCell ref="BTK26:BTL26"/>
    <mergeCell ref="BSO26:BSP26"/>
    <mergeCell ref="BSQ26:BSR26"/>
    <mergeCell ref="BSS26:BST26"/>
    <mergeCell ref="BSU26:BSV26"/>
    <mergeCell ref="BSW26:BSX26"/>
    <mergeCell ref="BSY26:BSZ26"/>
    <mergeCell ref="BSC26:BSD26"/>
    <mergeCell ref="BSE26:BSF26"/>
    <mergeCell ref="BSG26:BSH26"/>
    <mergeCell ref="BSI26:BSJ26"/>
    <mergeCell ref="BSK26:BSL26"/>
    <mergeCell ref="BSM26:BSN26"/>
    <mergeCell ref="BRQ26:BRR26"/>
    <mergeCell ref="BRS26:BRT26"/>
    <mergeCell ref="BRU26:BRV26"/>
    <mergeCell ref="BRW26:BRX26"/>
    <mergeCell ref="BRY26:BRZ26"/>
    <mergeCell ref="BSA26:BSB26"/>
    <mergeCell ref="BRE26:BRF26"/>
    <mergeCell ref="BRG26:BRH26"/>
    <mergeCell ref="BRI26:BRJ26"/>
    <mergeCell ref="BRK26:BRL26"/>
    <mergeCell ref="BRM26:BRN26"/>
    <mergeCell ref="BRO26:BRP26"/>
    <mergeCell ref="BWG26:BWH26"/>
    <mergeCell ref="BWI26:BWJ26"/>
    <mergeCell ref="BWK26:BWL26"/>
    <mergeCell ref="BWM26:BWN26"/>
    <mergeCell ref="BWO26:BWP26"/>
    <mergeCell ref="BWQ26:BWR26"/>
    <mergeCell ref="BVU26:BVV26"/>
    <mergeCell ref="BVW26:BVX26"/>
    <mergeCell ref="BVY26:BVZ26"/>
    <mergeCell ref="BWA26:BWB26"/>
    <mergeCell ref="BWC26:BWD26"/>
    <mergeCell ref="BWE26:BWF26"/>
    <mergeCell ref="BVI26:BVJ26"/>
    <mergeCell ref="BVK26:BVL26"/>
    <mergeCell ref="BVM26:BVN26"/>
    <mergeCell ref="BVO26:BVP26"/>
    <mergeCell ref="BVQ26:BVR26"/>
    <mergeCell ref="BVS26:BVT26"/>
    <mergeCell ref="BUW26:BUX26"/>
    <mergeCell ref="BUY26:BUZ26"/>
    <mergeCell ref="BVA26:BVB26"/>
    <mergeCell ref="BVC26:BVD26"/>
    <mergeCell ref="BVE26:BVF26"/>
    <mergeCell ref="BVG26:BVH26"/>
    <mergeCell ref="BUK26:BUL26"/>
    <mergeCell ref="BUM26:BUN26"/>
    <mergeCell ref="BUO26:BUP26"/>
    <mergeCell ref="BUQ26:BUR26"/>
    <mergeCell ref="BUS26:BUT26"/>
    <mergeCell ref="BUU26:BUV26"/>
    <mergeCell ref="BTY26:BTZ26"/>
    <mergeCell ref="BUA26:BUB26"/>
    <mergeCell ref="BUC26:BUD26"/>
    <mergeCell ref="BUE26:BUF26"/>
    <mergeCell ref="BUG26:BUH26"/>
    <mergeCell ref="BUI26:BUJ26"/>
    <mergeCell ref="BZA26:BZB26"/>
    <mergeCell ref="BZC26:BZD26"/>
    <mergeCell ref="BZE26:BZF26"/>
    <mergeCell ref="BZG26:BZH26"/>
    <mergeCell ref="BZI26:BZJ26"/>
    <mergeCell ref="BZK26:BZL26"/>
    <mergeCell ref="BYO26:BYP26"/>
    <mergeCell ref="BYQ26:BYR26"/>
    <mergeCell ref="BYS26:BYT26"/>
    <mergeCell ref="BYU26:BYV26"/>
    <mergeCell ref="BYW26:BYX26"/>
    <mergeCell ref="BYY26:BYZ26"/>
    <mergeCell ref="BYC26:BYD26"/>
    <mergeCell ref="BYE26:BYF26"/>
    <mergeCell ref="BYG26:BYH26"/>
    <mergeCell ref="BYI26:BYJ26"/>
    <mergeCell ref="BYK26:BYL26"/>
    <mergeCell ref="BYM26:BYN26"/>
    <mergeCell ref="BXQ26:BXR26"/>
    <mergeCell ref="BXS26:BXT26"/>
    <mergeCell ref="BXU26:BXV26"/>
    <mergeCell ref="BXW26:BXX26"/>
    <mergeCell ref="BXY26:BXZ26"/>
    <mergeCell ref="BYA26:BYB26"/>
    <mergeCell ref="BXE26:BXF26"/>
    <mergeCell ref="BXG26:BXH26"/>
    <mergeCell ref="BXI26:BXJ26"/>
    <mergeCell ref="BXK26:BXL26"/>
    <mergeCell ref="BXM26:BXN26"/>
    <mergeCell ref="BXO26:BXP26"/>
    <mergeCell ref="BWS26:BWT26"/>
    <mergeCell ref="BWU26:BWV26"/>
    <mergeCell ref="BWW26:BWX26"/>
    <mergeCell ref="BWY26:BWZ26"/>
    <mergeCell ref="BXA26:BXB26"/>
    <mergeCell ref="BXC26:BXD26"/>
    <mergeCell ref="CBU26:CBV26"/>
    <mergeCell ref="CBW26:CBX26"/>
    <mergeCell ref="CBY26:CBZ26"/>
    <mergeCell ref="CCA26:CCB26"/>
    <mergeCell ref="CCC26:CCD26"/>
    <mergeCell ref="CCE26:CCF26"/>
    <mergeCell ref="CBI26:CBJ26"/>
    <mergeCell ref="CBK26:CBL26"/>
    <mergeCell ref="CBM26:CBN26"/>
    <mergeCell ref="CBO26:CBP26"/>
    <mergeCell ref="CBQ26:CBR26"/>
    <mergeCell ref="CBS26:CBT26"/>
    <mergeCell ref="CAW26:CAX26"/>
    <mergeCell ref="CAY26:CAZ26"/>
    <mergeCell ref="CBA26:CBB26"/>
    <mergeCell ref="CBC26:CBD26"/>
    <mergeCell ref="CBE26:CBF26"/>
    <mergeCell ref="CBG26:CBH26"/>
    <mergeCell ref="CAK26:CAL26"/>
    <mergeCell ref="CAM26:CAN26"/>
    <mergeCell ref="CAO26:CAP26"/>
    <mergeCell ref="CAQ26:CAR26"/>
    <mergeCell ref="CAS26:CAT26"/>
    <mergeCell ref="CAU26:CAV26"/>
    <mergeCell ref="BZY26:BZZ26"/>
    <mergeCell ref="CAA26:CAB26"/>
    <mergeCell ref="CAC26:CAD26"/>
    <mergeCell ref="CAE26:CAF26"/>
    <mergeCell ref="CAG26:CAH26"/>
    <mergeCell ref="CAI26:CAJ26"/>
    <mergeCell ref="BZM26:BZN26"/>
    <mergeCell ref="BZO26:BZP26"/>
    <mergeCell ref="BZQ26:BZR26"/>
    <mergeCell ref="BZS26:BZT26"/>
    <mergeCell ref="BZU26:BZV26"/>
    <mergeCell ref="BZW26:BZX26"/>
    <mergeCell ref="CEO26:CEP26"/>
    <mergeCell ref="CEQ26:CER26"/>
    <mergeCell ref="CES26:CET26"/>
    <mergeCell ref="CEU26:CEV26"/>
    <mergeCell ref="CEW26:CEX26"/>
    <mergeCell ref="CEY26:CEZ26"/>
    <mergeCell ref="CEC26:CED26"/>
    <mergeCell ref="CEE26:CEF26"/>
    <mergeCell ref="CEG26:CEH26"/>
    <mergeCell ref="CEI26:CEJ26"/>
    <mergeCell ref="CEK26:CEL26"/>
    <mergeCell ref="CEM26:CEN26"/>
    <mergeCell ref="CDQ26:CDR26"/>
    <mergeCell ref="CDS26:CDT26"/>
    <mergeCell ref="CDU26:CDV26"/>
    <mergeCell ref="CDW26:CDX26"/>
    <mergeCell ref="CDY26:CDZ26"/>
    <mergeCell ref="CEA26:CEB26"/>
    <mergeCell ref="CDE26:CDF26"/>
    <mergeCell ref="CDG26:CDH26"/>
    <mergeCell ref="CDI26:CDJ26"/>
    <mergeCell ref="CDK26:CDL26"/>
    <mergeCell ref="CDM26:CDN26"/>
    <mergeCell ref="CDO26:CDP26"/>
    <mergeCell ref="CCS26:CCT26"/>
    <mergeCell ref="CCU26:CCV26"/>
    <mergeCell ref="CCW26:CCX26"/>
    <mergeCell ref="CCY26:CCZ26"/>
    <mergeCell ref="CDA26:CDB26"/>
    <mergeCell ref="CDC26:CDD26"/>
    <mergeCell ref="CCG26:CCH26"/>
    <mergeCell ref="CCI26:CCJ26"/>
    <mergeCell ref="CCK26:CCL26"/>
    <mergeCell ref="CCM26:CCN26"/>
    <mergeCell ref="CCO26:CCP26"/>
    <mergeCell ref="CCQ26:CCR26"/>
    <mergeCell ref="CHI26:CHJ26"/>
    <mergeCell ref="CHK26:CHL26"/>
    <mergeCell ref="CHM26:CHN26"/>
    <mergeCell ref="CHO26:CHP26"/>
    <mergeCell ref="CHQ26:CHR26"/>
    <mergeCell ref="CHS26:CHT26"/>
    <mergeCell ref="CGW26:CGX26"/>
    <mergeCell ref="CGY26:CGZ26"/>
    <mergeCell ref="CHA26:CHB26"/>
    <mergeCell ref="CHC26:CHD26"/>
    <mergeCell ref="CHE26:CHF26"/>
    <mergeCell ref="CHG26:CHH26"/>
    <mergeCell ref="CGK26:CGL26"/>
    <mergeCell ref="CGM26:CGN26"/>
    <mergeCell ref="CGO26:CGP26"/>
    <mergeCell ref="CGQ26:CGR26"/>
    <mergeCell ref="CGS26:CGT26"/>
    <mergeCell ref="CGU26:CGV26"/>
    <mergeCell ref="CFY26:CFZ26"/>
    <mergeCell ref="CGA26:CGB26"/>
    <mergeCell ref="CGC26:CGD26"/>
    <mergeCell ref="CGE26:CGF26"/>
    <mergeCell ref="CGG26:CGH26"/>
    <mergeCell ref="CGI26:CGJ26"/>
    <mergeCell ref="CFM26:CFN26"/>
    <mergeCell ref="CFO26:CFP26"/>
    <mergeCell ref="CFQ26:CFR26"/>
    <mergeCell ref="CFS26:CFT26"/>
    <mergeCell ref="CFU26:CFV26"/>
    <mergeCell ref="CFW26:CFX26"/>
    <mergeCell ref="CFA26:CFB26"/>
    <mergeCell ref="CFC26:CFD26"/>
    <mergeCell ref="CFE26:CFF26"/>
    <mergeCell ref="CFG26:CFH26"/>
    <mergeCell ref="CFI26:CFJ26"/>
    <mergeCell ref="CFK26:CFL26"/>
    <mergeCell ref="CKC26:CKD26"/>
    <mergeCell ref="CKE26:CKF26"/>
    <mergeCell ref="CKG26:CKH26"/>
    <mergeCell ref="CKI26:CKJ26"/>
    <mergeCell ref="CKK26:CKL26"/>
    <mergeCell ref="CKM26:CKN26"/>
    <mergeCell ref="CJQ26:CJR26"/>
    <mergeCell ref="CJS26:CJT26"/>
    <mergeCell ref="CJU26:CJV26"/>
    <mergeCell ref="CJW26:CJX26"/>
    <mergeCell ref="CJY26:CJZ26"/>
    <mergeCell ref="CKA26:CKB26"/>
    <mergeCell ref="CJE26:CJF26"/>
    <mergeCell ref="CJG26:CJH26"/>
    <mergeCell ref="CJI26:CJJ26"/>
    <mergeCell ref="CJK26:CJL26"/>
    <mergeCell ref="CJM26:CJN26"/>
    <mergeCell ref="CJO26:CJP26"/>
    <mergeCell ref="CIS26:CIT26"/>
    <mergeCell ref="CIU26:CIV26"/>
    <mergeCell ref="CIW26:CIX26"/>
    <mergeCell ref="CIY26:CIZ26"/>
    <mergeCell ref="CJA26:CJB26"/>
    <mergeCell ref="CJC26:CJD26"/>
    <mergeCell ref="CIG26:CIH26"/>
    <mergeCell ref="CII26:CIJ26"/>
    <mergeCell ref="CIK26:CIL26"/>
    <mergeCell ref="CIM26:CIN26"/>
    <mergeCell ref="CIO26:CIP26"/>
    <mergeCell ref="CIQ26:CIR26"/>
    <mergeCell ref="CHU26:CHV26"/>
    <mergeCell ref="CHW26:CHX26"/>
    <mergeCell ref="CHY26:CHZ26"/>
    <mergeCell ref="CIA26:CIB26"/>
    <mergeCell ref="CIC26:CID26"/>
    <mergeCell ref="CIE26:CIF26"/>
    <mergeCell ref="CMW26:CMX26"/>
    <mergeCell ref="CMY26:CMZ26"/>
    <mergeCell ref="CNA26:CNB26"/>
    <mergeCell ref="CNC26:CND26"/>
    <mergeCell ref="CNE26:CNF26"/>
    <mergeCell ref="CNG26:CNH26"/>
    <mergeCell ref="CMK26:CML26"/>
    <mergeCell ref="CMM26:CMN26"/>
    <mergeCell ref="CMO26:CMP26"/>
    <mergeCell ref="CMQ26:CMR26"/>
    <mergeCell ref="CMS26:CMT26"/>
    <mergeCell ref="CMU26:CMV26"/>
    <mergeCell ref="CLY26:CLZ26"/>
    <mergeCell ref="CMA26:CMB26"/>
    <mergeCell ref="CMC26:CMD26"/>
    <mergeCell ref="CME26:CMF26"/>
    <mergeCell ref="CMG26:CMH26"/>
    <mergeCell ref="CMI26:CMJ26"/>
    <mergeCell ref="CLM26:CLN26"/>
    <mergeCell ref="CLO26:CLP26"/>
    <mergeCell ref="CLQ26:CLR26"/>
    <mergeCell ref="CLS26:CLT26"/>
    <mergeCell ref="CLU26:CLV26"/>
    <mergeCell ref="CLW26:CLX26"/>
    <mergeCell ref="CLA26:CLB26"/>
    <mergeCell ref="CLC26:CLD26"/>
    <mergeCell ref="CLE26:CLF26"/>
    <mergeCell ref="CLG26:CLH26"/>
    <mergeCell ref="CLI26:CLJ26"/>
    <mergeCell ref="CLK26:CLL26"/>
    <mergeCell ref="CKO26:CKP26"/>
    <mergeCell ref="CKQ26:CKR26"/>
    <mergeCell ref="CKS26:CKT26"/>
    <mergeCell ref="CKU26:CKV26"/>
    <mergeCell ref="CKW26:CKX26"/>
    <mergeCell ref="CKY26:CKZ26"/>
    <mergeCell ref="CPQ26:CPR26"/>
    <mergeCell ref="CPS26:CPT26"/>
    <mergeCell ref="CPU26:CPV26"/>
    <mergeCell ref="CPW26:CPX26"/>
    <mergeCell ref="CPY26:CPZ26"/>
    <mergeCell ref="CQA26:CQB26"/>
    <mergeCell ref="CPE26:CPF26"/>
    <mergeCell ref="CPG26:CPH26"/>
    <mergeCell ref="CPI26:CPJ26"/>
    <mergeCell ref="CPK26:CPL26"/>
    <mergeCell ref="CPM26:CPN26"/>
    <mergeCell ref="CPO26:CPP26"/>
    <mergeCell ref="COS26:COT26"/>
    <mergeCell ref="COU26:COV26"/>
    <mergeCell ref="COW26:COX26"/>
    <mergeCell ref="COY26:COZ26"/>
    <mergeCell ref="CPA26:CPB26"/>
    <mergeCell ref="CPC26:CPD26"/>
    <mergeCell ref="COG26:COH26"/>
    <mergeCell ref="COI26:COJ26"/>
    <mergeCell ref="COK26:COL26"/>
    <mergeCell ref="COM26:CON26"/>
    <mergeCell ref="COO26:COP26"/>
    <mergeCell ref="COQ26:COR26"/>
    <mergeCell ref="CNU26:CNV26"/>
    <mergeCell ref="CNW26:CNX26"/>
    <mergeCell ref="CNY26:CNZ26"/>
    <mergeCell ref="COA26:COB26"/>
    <mergeCell ref="COC26:COD26"/>
    <mergeCell ref="COE26:COF26"/>
    <mergeCell ref="CNI26:CNJ26"/>
    <mergeCell ref="CNK26:CNL26"/>
    <mergeCell ref="CNM26:CNN26"/>
    <mergeCell ref="CNO26:CNP26"/>
    <mergeCell ref="CNQ26:CNR26"/>
    <mergeCell ref="CNS26:CNT26"/>
    <mergeCell ref="CSK26:CSL26"/>
    <mergeCell ref="CSM26:CSN26"/>
    <mergeCell ref="CSO26:CSP26"/>
    <mergeCell ref="CSQ26:CSR26"/>
    <mergeCell ref="CSS26:CST26"/>
    <mergeCell ref="CSU26:CSV26"/>
    <mergeCell ref="CRY26:CRZ26"/>
    <mergeCell ref="CSA26:CSB26"/>
    <mergeCell ref="CSC26:CSD26"/>
    <mergeCell ref="CSE26:CSF26"/>
    <mergeCell ref="CSG26:CSH26"/>
    <mergeCell ref="CSI26:CSJ26"/>
    <mergeCell ref="CRM26:CRN26"/>
    <mergeCell ref="CRO26:CRP26"/>
    <mergeCell ref="CRQ26:CRR26"/>
    <mergeCell ref="CRS26:CRT26"/>
    <mergeCell ref="CRU26:CRV26"/>
    <mergeCell ref="CRW26:CRX26"/>
    <mergeCell ref="CRA26:CRB26"/>
    <mergeCell ref="CRC26:CRD26"/>
    <mergeCell ref="CRE26:CRF26"/>
    <mergeCell ref="CRG26:CRH26"/>
    <mergeCell ref="CRI26:CRJ26"/>
    <mergeCell ref="CRK26:CRL26"/>
    <mergeCell ref="CQO26:CQP26"/>
    <mergeCell ref="CQQ26:CQR26"/>
    <mergeCell ref="CQS26:CQT26"/>
    <mergeCell ref="CQU26:CQV26"/>
    <mergeCell ref="CQW26:CQX26"/>
    <mergeCell ref="CQY26:CQZ26"/>
    <mergeCell ref="CQC26:CQD26"/>
    <mergeCell ref="CQE26:CQF26"/>
    <mergeCell ref="CQG26:CQH26"/>
    <mergeCell ref="CQI26:CQJ26"/>
    <mergeCell ref="CQK26:CQL26"/>
    <mergeCell ref="CQM26:CQN26"/>
    <mergeCell ref="CVE26:CVF26"/>
    <mergeCell ref="CVG26:CVH26"/>
    <mergeCell ref="CVI26:CVJ26"/>
    <mergeCell ref="CVK26:CVL26"/>
    <mergeCell ref="CVM26:CVN26"/>
    <mergeCell ref="CVO26:CVP26"/>
    <mergeCell ref="CUS26:CUT26"/>
    <mergeCell ref="CUU26:CUV26"/>
    <mergeCell ref="CUW26:CUX26"/>
    <mergeCell ref="CUY26:CUZ26"/>
    <mergeCell ref="CVA26:CVB26"/>
    <mergeCell ref="CVC26:CVD26"/>
    <mergeCell ref="CUG26:CUH26"/>
    <mergeCell ref="CUI26:CUJ26"/>
    <mergeCell ref="CUK26:CUL26"/>
    <mergeCell ref="CUM26:CUN26"/>
    <mergeCell ref="CUO26:CUP26"/>
    <mergeCell ref="CUQ26:CUR26"/>
    <mergeCell ref="CTU26:CTV26"/>
    <mergeCell ref="CTW26:CTX26"/>
    <mergeCell ref="CTY26:CTZ26"/>
    <mergeCell ref="CUA26:CUB26"/>
    <mergeCell ref="CUC26:CUD26"/>
    <mergeCell ref="CUE26:CUF26"/>
    <mergeCell ref="CTI26:CTJ26"/>
    <mergeCell ref="CTK26:CTL26"/>
    <mergeCell ref="CTM26:CTN26"/>
    <mergeCell ref="CTO26:CTP26"/>
    <mergeCell ref="CTQ26:CTR26"/>
    <mergeCell ref="CTS26:CTT26"/>
    <mergeCell ref="CSW26:CSX26"/>
    <mergeCell ref="CSY26:CSZ26"/>
    <mergeCell ref="CTA26:CTB26"/>
    <mergeCell ref="CTC26:CTD26"/>
    <mergeCell ref="CTE26:CTF26"/>
    <mergeCell ref="CTG26:CTH26"/>
    <mergeCell ref="CXY26:CXZ26"/>
    <mergeCell ref="CYA26:CYB26"/>
    <mergeCell ref="CYC26:CYD26"/>
    <mergeCell ref="CYE26:CYF26"/>
    <mergeCell ref="CYG26:CYH26"/>
    <mergeCell ref="CYI26:CYJ26"/>
    <mergeCell ref="CXM26:CXN26"/>
    <mergeCell ref="CXO26:CXP26"/>
    <mergeCell ref="CXQ26:CXR26"/>
    <mergeCell ref="CXS26:CXT26"/>
    <mergeCell ref="CXU26:CXV26"/>
    <mergeCell ref="CXW26:CXX26"/>
    <mergeCell ref="CXA26:CXB26"/>
    <mergeCell ref="CXC26:CXD26"/>
    <mergeCell ref="CXE26:CXF26"/>
    <mergeCell ref="CXG26:CXH26"/>
    <mergeCell ref="CXI26:CXJ26"/>
    <mergeCell ref="CXK26:CXL26"/>
    <mergeCell ref="CWO26:CWP26"/>
    <mergeCell ref="CWQ26:CWR26"/>
    <mergeCell ref="CWS26:CWT26"/>
    <mergeCell ref="CWU26:CWV26"/>
    <mergeCell ref="CWW26:CWX26"/>
    <mergeCell ref="CWY26:CWZ26"/>
    <mergeCell ref="CWC26:CWD26"/>
    <mergeCell ref="CWE26:CWF26"/>
    <mergeCell ref="CWG26:CWH26"/>
    <mergeCell ref="CWI26:CWJ26"/>
    <mergeCell ref="CWK26:CWL26"/>
    <mergeCell ref="CWM26:CWN26"/>
    <mergeCell ref="CVQ26:CVR26"/>
    <mergeCell ref="CVS26:CVT26"/>
    <mergeCell ref="CVU26:CVV26"/>
    <mergeCell ref="CVW26:CVX26"/>
    <mergeCell ref="CVY26:CVZ26"/>
    <mergeCell ref="CWA26:CWB26"/>
    <mergeCell ref="DAS26:DAT26"/>
    <mergeCell ref="DAU26:DAV26"/>
    <mergeCell ref="DAW26:DAX26"/>
    <mergeCell ref="DAY26:DAZ26"/>
    <mergeCell ref="DBA26:DBB26"/>
    <mergeCell ref="DBC26:DBD26"/>
    <mergeCell ref="DAG26:DAH26"/>
    <mergeCell ref="DAI26:DAJ26"/>
    <mergeCell ref="DAK26:DAL26"/>
    <mergeCell ref="DAM26:DAN26"/>
    <mergeCell ref="DAO26:DAP26"/>
    <mergeCell ref="DAQ26:DAR26"/>
    <mergeCell ref="CZU26:CZV26"/>
    <mergeCell ref="CZW26:CZX26"/>
    <mergeCell ref="CZY26:CZZ26"/>
    <mergeCell ref="DAA26:DAB26"/>
    <mergeCell ref="DAC26:DAD26"/>
    <mergeCell ref="DAE26:DAF26"/>
    <mergeCell ref="CZI26:CZJ26"/>
    <mergeCell ref="CZK26:CZL26"/>
    <mergeCell ref="CZM26:CZN26"/>
    <mergeCell ref="CZO26:CZP26"/>
    <mergeCell ref="CZQ26:CZR26"/>
    <mergeCell ref="CZS26:CZT26"/>
    <mergeCell ref="CYW26:CYX26"/>
    <mergeCell ref="CYY26:CYZ26"/>
    <mergeCell ref="CZA26:CZB26"/>
    <mergeCell ref="CZC26:CZD26"/>
    <mergeCell ref="CZE26:CZF26"/>
    <mergeCell ref="CZG26:CZH26"/>
    <mergeCell ref="CYK26:CYL26"/>
    <mergeCell ref="CYM26:CYN26"/>
    <mergeCell ref="CYO26:CYP26"/>
    <mergeCell ref="CYQ26:CYR26"/>
    <mergeCell ref="CYS26:CYT26"/>
    <mergeCell ref="CYU26:CYV26"/>
    <mergeCell ref="DDM26:DDN26"/>
    <mergeCell ref="DDO26:DDP26"/>
    <mergeCell ref="DDQ26:DDR26"/>
    <mergeCell ref="DDS26:DDT26"/>
    <mergeCell ref="DDU26:DDV26"/>
    <mergeCell ref="DDW26:DDX26"/>
    <mergeCell ref="DDA26:DDB26"/>
    <mergeCell ref="DDC26:DDD26"/>
    <mergeCell ref="DDE26:DDF26"/>
    <mergeCell ref="DDG26:DDH26"/>
    <mergeCell ref="DDI26:DDJ26"/>
    <mergeCell ref="DDK26:DDL26"/>
    <mergeCell ref="DCO26:DCP26"/>
    <mergeCell ref="DCQ26:DCR26"/>
    <mergeCell ref="DCS26:DCT26"/>
    <mergeCell ref="DCU26:DCV26"/>
    <mergeCell ref="DCW26:DCX26"/>
    <mergeCell ref="DCY26:DCZ26"/>
    <mergeCell ref="DCC26:DCD26"/>
    <mergeCell ref="DCE26:DCF26"/>
    <mergeCell ref="DCG26:DCH26"/>
    <mergeCell ref="DCI26:DCJ26"/>
    <mergeCell ref="DCK26:DCL26"/>
    <mergeCell ref="DCM26:DCN26"/>
    <mergeCell ref="DBQ26:DBR26"/>
    <mergeCell ref="DBS26:DBT26"/>
    <mergeCell ref="DBU26:DBV26"/>
    <mergeCell ref="DBW26:DBX26"/>
    <mergeCell ref="DBY26:DBZ26"/>
    <mergeCell ref="DCA26:DCB26"/>
    <mergeCell ref="DBE26:DBF26"/>
    <mergeCell ref="DBG26:DBH26"/>
    <mergeCell ref="DBI26:DBJ26"/>
    <mergeCell ref="DBK26:DBL26"/>
    <mergeCell ref="DBM26:DBN26"/>
    <mergeCell ref="DBO26:DBP26"/>
    <mergeCell ref="DGG26:DGH26"/>
    <mergeCell ref="DGI26:DGJ26"/>
    <mergeCell ref="DGK26:DGL26"/>
    <mergeCell ref="DGM26:DGN26"/>
    <mergeCell ref="DGO26:DGP26"/>
    <mergeCell ref="DGQ26:DGR26"/>
    <mergeCell ref="DFU26:DFV26"/>
    <mergeCell ref="DFW26:DFX26"/>
    <mergeCell ref="DFY26:DFZ26"/>
    <mergeCell ref="DGA26:DGB26"/>
    <mergeCell ref="DGC26:DGD26"/>
    <mergeCell ref="DGE26:DGF26"/>
    <mergeCell ref="DFI26:DFJ26"/>
    <mergeCell ref="DFK26:DFL26"/>
    <mergeCell ref="DFM26:DFN26"/>
    <mergeCell ref="DFO26:DFP26"/>
    <mergeCell ref="DFQ26:DFR26"/>
    <mergeCell ref="DFS26:DFT26"/>
    <mergeCell ref="DEW26:DEX26"/>
    <mergeCell ref="DEY26:DEZ26"/>
    <mergeCell ref="DFA26:DFB26"/>
    <mergeCell ref="DFC26:DFD26"/>
    <mergeCell ref="DFE26:DFF26"/>
    <mergeCell ref="DFG26:DFH26"/>
    <mergeCell ref="DEK26:DEL26"/>
    <mergeCell ref="DEM26:DEN26"/>
    <mergeCell ref="DEO26:DEP26"/>
    <mergeCell ref="DEQ26:DER26"/>
    <mergeCell ref="DES26:DET26"/>
    <mergeCell ref="DEU26:DEV26"/>
    <mergeCell ref="DDY26:DDZ26"/>
    <mergeCell ref="DEA26:DEB26"/>
    <mergeCell ref="DEC26:DED26"/>
    <mergeCell ref="DEE26:DEF26"/>
    <mergeCell ref="DEG26:DEH26"/>
    <mergeCell ref="DEI26:DEJ26"/>
    <mergeCell ref="DJA26:DJB26"/>
    <mergeCell ref="DJC26:DJD26"/>
    <mergeCell ref="DJE26:DJF26"/>
    <mergeCell ref="DJG26:DJH26"/>
    <mergeCell ref="DJI26:DJJ26"/>
    <mergeCell ref="DJK26:DJL26"/>
    <mergeCell ref="DIO26:DIP26"/>
    <mergeCell ref="DIQ26:DIR26"/>
    <mergeCell ref="DIS26:DIT26"/>
    <mergeCell ref="DIU26:DIV26"/>
    <mergeCell ref="DIW26:DIX26"/>
    <mergeCell ref="DIY26:DIZ26"/>
    <mergeCell ref="DIC26:DID26"/>
    <mergeCell ref="DIE26:DIF26"/>
    <mergeCell ref="DIG26:DIH26"/>
    <mergeCell ref="DII26:DIJ26"/>
    <mergeCell ref="DIK26:DIL26"/>
    <mergeCell ref="DIM26:DIN26"/>
    <mergeCell ref="DHQ26:DHR26"/>
    <mergeCell ref="DHS26:DHT26"/>
    <mergeCell ref="DHU26:DHV26"/>
    <mergeCell ref="DHW26:DHX26"/>
    <mergeCell ref="DHY26:DHZ26"/>
    <mergeCell ref="DIA26:DIB26"/>
    <mergeCell ref="DHE26:DHF26"/>
    <mergeCell ref="DHG26:DHH26"/>
    <mergeCell ref="DHI26:DHJ26"/>
    <mergeCell ref="DHK26:DHL26"/>
    <mergeCell ref="DHM26:DHN26"/>
    <mergeCell ref="DHO26:DHP26"/>
    <mergeCell ref="DGS26:DGT26"/>
    <mergeCell ref="DGU26:DGV26"/>
    <mergeCell ref="DGW26:DGX26"/>
    <mergeCell ref="DGY26:DGZ26"/>
    <mergeCell ref="DHA26:DHB26"/>
    <mergeCell ref="DHC26:DHD26"/>
    <mergeCell ref="DLU26:DLV26"/>
    <mergeCell ref="DLW26:DLX26"/>
    <mergeCell ref="DLY26:DLZ26"/>
    <mergeCell ref="DMA26:DMB26"/>
    <mergeCell ref="DMC26:DMD26"/>
    <mergeCell ref="DME26:DMF26"/>
    <mergeCell ref="DLI26:DLJ26"/>
    <mergeCell ref="DLK26:DLL26"/>
    <mergeCell ref="DLM26:DLN26"/>
    <mergeCell ref="DLO26:DLP26"/>
    <mergeCell ref="DLQ26:DLR26"/>
    <mergeCell ref="DLS26:DLT26"/>
    <mergeCell ref="DKW26:DKX26"/>
    <mergeCell ref="DKY26:DKZ26"/>
    <mergeCell ref="DLA26:DLB26"/>
    <mergeCell ref="DLC26:DLD26"/>
    <mergeCell ref="DLE26:DLF26"/>
    <mergeCell ref="DLG26:DLH26"/>
    <mergeCell ref="DKK26:DKL26"/>
    <mergeCell ref="DKM26:DKN26"/>
    <mergeCell ref="DKO26:DKP26"/>
    <mergeCell ref="DKQ26:DKR26"/>
    <mergeCell ref="DKS26:DKT26"/>
    <mergeCell ref="DKU26:DKV26"/>
    <mergeCell ref="DJY26:DJZ26"/>
    <mergeCell ref="DKA26:DKB26"/>
    <mergeCell ref="DKC26:DKD26"/>
    <mergeCell ref="DKE26:DKF26"/>
    <mergeCell ref="DKG26:DKH26"/>
    <mergeCell ref="DKI26:DKJ26"/>
    <mergeCell ref="DJM26:DJN26"/>
    <mergeCell ref="DJO26:DJP26"/>
    <mergeCell ref="DJQ26:DJR26"/>
    <mergeCell ref="DJS26:DJT26"/>
    <mergeCell ref="DJU26:DJV26"/>
    <mergeCell ref="DJW26:DJX26"/>
    <mergeCell ref="DOO26:DOP26"/>
    <mergeCell ref="DOQ26:DOR26"/>
    <mergeCell ref="DOS26:DOT26"/>
    <mergeCell ref="DOU26:DOV26"/>
    <mergeCell ref="DOW26:DOX26"/>
    <mergeCell ref="DOY26:DOZ26"/>
    <mergeCell ref="DOC26:DOD26"/>
    <mergeCell ref="DOE26:DOF26"/>
    <mergeCell ref="DOG26:DOH26"/>
    <mergeCell ref="DOI26:DOJ26"/>
    <mergeCell ref="DOK26:DOL26"/>
    <mergeCell ref="DOM26:DON26"/>
    <mergeCell ref="DNQ26:DNR26"/>
    <mergeCell ref="DNS26:DNT26"/>
    <mergeCell ref="DNU26:DNV26"/>
    <mergeCell ref="DNW26:DNX26"/>
    <mergeCell ref="DNY26:DNZ26"/>
    <mergeCell ref="DOA26:DOB26"/>
    <mergeCell ref="DNE26:DNF26"/>
    <mergeCell ref="DNG26:DNH26"/>
    <mergeCell ref="DNI26:DNJ26"/>
    <mergeCell ref="DNK26:DNL26"/>
    <mergeCell ref="DNM26:DNN26"/>
    <mergeCell ref="DNO26:DNP26"/>
    <mergeCell ref="DMS26:DMT26"/>
    <mergeCell ref="DMU26:DMV26"/>
    <mergeCell ref="DMW26:DMX26"/>
    <mergeCell ref="DMY26:DMZ26"/>
    <mergeCell ref="DNA26:DNB26"/>
    <mergeCell ref="DNC26:DND26"/>
    <mergeCell ref="DMG26:DMH26"/>
    <mergeCell ref="DMI26:DMJ26"/>
    <mergeCell ref="DMK26:DML26"/>
    <mergeCell ref="DMM26:DMN26"/>
    <mergeCell ref="DMO26:DMP26"/>
    <mergeCell ref="DMQ26:DMR26"/>
    <mergeCell ref="DRI26:DRJ26"/>
    <mergeCell ref="DRK26:DRL26"/>
    <mergeCell ref="DRM26:DRN26"/>
    <mergeCell ref="DRO26:DRP26"/>
    <mergeCell ref="DRQ26:DRR26"/>
    <mergeCell ref="DRS26:DRT26"/>
    <mergeCell ref="DQW26:DQX26"/>
    <mergeCell ref="DQY26:DQZ26"/>
    <mergeCell ref="DRA26:DRB26"/>
    <mergeCell ref="DRC26:DRD26"/>
    <mergeCell ref="DRE26:DRF26"/>
    <mergeCell ref="DRG26:DRH26"/>
    <mergeCell ref="DQK26:DQL26"/>
    <mergeCell ref="DQM26:DQN26"/>
    <mergeCell ref="DQO26:DQP26"/>
    <mergeCell ref="DQQ26:DQR26"/>
    <mergeCell ref="DQS26:DQT26"/>
    <mergeCell ref="DQU26:DQV26"/>
    <mergeCell ref="DPY26:DPZ26"/>
    <mergeCell ref="DQA26:DQB26"/>
    <mergeCell ref="DQC26:DQD26"/>
    <mergeCell ref="DQE26:DQF26"/>
    <mergeCell ref="DQG26:DQH26"/>
    <mergeCell ref="DQI26:DQJ26"/>
    <mergeCell ref="DPM26:DPN26"/>
    <mergeCell ref="DPO26:DPP26"/>
    <mergeCell ref="DPQ26:DPR26"/>
    <mergeCell ref="DPS26:DPT26"/>
    <mergeCell ref="DPU26:DPV26"/>
    <mergeCell ref="DPW26:DPX26"/>
    <mergeCell ref="DPA26:DPB26"/>
    <mergeCell ref="DPC26:DPD26"/>
    <mergeCell ref="DPE26:DPF26"/>
    <mergeCell ref="DPG26:DPH26"/>
    <mergeCell ref="DPI26:DPJ26"/>
    <mergeCell ref="DPK26:DPL26"/>
    <mergeCell ref="DUC26:DUD26"/>
    <mergeCell ref="DUE26:DUF26"/>
    <mergeCell ref="DUG26:DUH26"/>
    <mergeCell ref="DUI26:DUJ26"/>
    <mergeCell ref="DUK26:DUL26"/>
    <mergeCell ref="DUM26:DUN26"/>
    <mergeCell ref="DTQ26:DTR26"/>
    <mergeCell ref="DTS26:DTT26"/>
    <mergeCell ref="DTU26:DTV26"/>
    <mergeCell ref="DTW26:DTX26"/>
    <mergeCell ref="DTY26:DTZ26"/>
    <mergeCell ref="DUA26:DUB26"/>
    <mergeCell ref="DTE26:DTF26"/>
    <mergeCell ref="DTG26:DTH26"/>
    <mergeCell ref="DTI26:DTJ26"/>
    <mergeCell ref="DTK26:DTL26"/>
    <mergeCell ref="DTM26:DTN26"/>
    <mergeCell ref="DTO26:DTP26"/>
    <mergeCell ref="DSS26:DST26"/>
    <mergeCell ref="DSU26:DSV26"/>
    <mergeCell ref="DSW26:DSX26"/>
    <mergeCell ref="DSY26:DSZ26"/>
    <mergeCell ref="DTA26:DTB26"/>
    <mergeCell ref="DTC26:DTD26"/>
    <mergeCell ref="DSG26:DSH26"/>
    <mergeCell ref="DSI26:DSJ26"/>
    <mergeCell ref="DSK26:DSL26"/>
    <mergeCell ref="DSM26:DSN26"/>
    <mergeCell ref="DSO26:DSP26"/>
    <mergeCell ref="DSQ26:DSR26"/>
    <mergeCell ref="DRU26:DRV26"/>
    <mergeCell ref="DRW26:DRX26"/>
    <mergeCell ref="DRY26:DRZ26"/>
    <mergeCell ref="DSA26:DSB26"/>
    <mergeCell ref="DSC26:DSD26"/>
    <mergeCell ref="DSE26:DSF26"/>
    <mergeCell ref="DWW26:DWX26"/>
    <mergeCell ref="DWY26:DWZ26"/>
    <mergeCell ref="DXA26:DXB26"/>
    <mergeCell ref="DXC26:DXD26"/>
    <mergeCell ref="DXE26:DXF26"/>
    <mergeCell ref="DXG26:DXH26"/>
    <mergeCell ref="DWK26:DWL26"/>
    <mergeCell ref="DWM26:DWN26"/>
    <mergeCell ref="DWO26:DWP26"/>
    <mergeCell ref="DWQ26:DWR26"/>
    <mergeCell ref="DWS26:DWT26"/>
    <mergeCell ref="DWU26:DWV26"/>
    <mergeCell ref="DVY26:DVZ26"/>
    <mergeCell ref="DWA26:DWB26"/>
    <mergeCell ref="DWC26:DWD26"/>
    <mergeCell ref="DWE26:DWF26"/>
    <mergeCell ref="DWG26:DWH26"/>
    <mergeCell ref="DWI26:DWJ26"/>
    <mergeCell ref="DVM26:DVN26"/>
    <mergeCell ref="DVO26:DVP26"/>
    <mergeCell ref="DVQ26:DVR26"/>
    <mergeCell ref="DVS26:DVT26"/>
    <mergeCell ref="DVU26:DVV26"/>
    <mergeCell ref="DVW26:DVX26"/>
    <mergeCell ref="DVA26:DVB26"/>
    <mergeCell ref="DVC26:DVD26"/>
    <mergeCell ref="DVE26:DVF26"/>
    <mergeCell ref="DVG26:DVH26"/>
    <mergeCell ref="DVI26:DVJ26"/>
    <mergeCell ref="DVK26:DVL26"/>
    <mergeCell ref="DUO26:DUP26"/>
    <mergeCell ref="DUQ26:DUR26"/>
    <mergeCell ref="DUS26:DUT26"/>
    <mergeCell ref="DUU26:DUV26"/>
    <mergeCell ref="DUW26:DUX26"/>
    <mergeCell ref="DUY26:DUZ26"/>
    <mergeCell ref="DZQ26:DZR26"/>
    <mergeCell ref="DZS26:DZT26"/>
    <mergeCell ref="DZU26:DZV26"/>
    <mergeCell ref="DZW26:DZX26"/>
    <mergeCell ref="DZY26:DZZ26"/>
    <mergeCell ref="EAA26:EAB26"/>
    <mergeCell ref="DZE26:DZF26"/>
    <mergeCell ref="DZG26:DZH26"/>
    <mergeCell ref="DZI26:DZJ26"/>
    <mergeCell ref="DZK26:DZL26"/>
    <mergeCell ref="DZM26:DZN26"/>
    <mergeCell ref="DZO26:DZP26"/>
    <mergeCell ref="DYS26:DYT26"/>
    <mergeCell ref="DYU26:DYV26"/>
    <mergeCell ref="DYW26:DYX26"/>
    <mergeCell ref="DYY26:DYZ26"/>
    <mergeCell ref="DZA26:DZB26"/>
    <mergeCell ref="DZC26:DZD26"/>
    <mergeCell ref="DYG26:DYH26"/>
    <mergeCell ref="DYI26:DYJ26"/>
    <mergeCell ref="DYK26:DYL26"/>
    <mergeCell ref="DYM26:DYN26"/>
    <mergeCell ref="DYO26:DYP26"/>
    <mergeCell ref="DYQ26:DYR26"/>
    <mergeCell ref="DXU26:DXV26"/>
    <mergeCell ref="DXW26:DXX26"/>
    <mergeCell ref="DXY26:DXZ26"/>
    <mergeCell ref="DYA26:DYB26"/>
    <mergeCell ref="DYC26:DYD26"/>
    <mergeCell ref="DYE26:DYF26"/>
    <mergeCell ref="DXI26:DXJ26"/>
    <mergeCell ref="DXK26:DXL26"/>
    <mergeCell ref="DXM26:DXN26"/>
    <mergeCell ref="DXO26:DXP26"/>
    <mergeCell ref="DXQ26:DXR26"/>
    <mergeCell ref="DXS26:DXT26"/>
    <mergeCell ref="ECK26:ECL26"/>
    <mergeCell ref="ECM26:ECN26"/>
    <mergeCell ref="ECO26:ECP26"/>
    <mergeCell ref="ECQ26:ECR26"/>
    <mergeCell ref="ECS26:ECT26"/>
    <mergeCell ref="ECU26:ECV26"/>
    <mergeCell ref="EBY26:EBZ26"/>
    <mergeCell ref="ECA26:ECB26"/>
    <mergeCell ref="ECC26:ECD26"/>
    <mergeCell ref="ECE26:ECF26"/>
    <mergeCell ref="ECG26:ECH26"/>
    <mergeCell ref="ECI26:ECJ26"/>
    <mergeCell ref="EBM26:EBN26"/>
    <mergeCell ref="EBO26:EBP26"/>
    <mergeCell ref="EBQ26:EBR26"/>
    <mergeCell ref="EBS26:EBT26"/>
    <mergeCell ref="EBU26:EBV26"/>
    <mergeCell ref="EBW26:EBX26"/>
    <mergeCell ref="EBA26:EBB26"/>
    <mergeCell ref="EBC26:EBD26"/>
    <mergeCell ref="EBE26:EBF26"/>
    <mergeCell ref="EBG26:EBH26"/>
    <mergeCell ref="EBI26:EBJ26"/>
    <mergeCell ref="EBK26:EBL26"/>
    <mergeCell ref="EAO26:EAP26"/>
    <mergeCell ref="EAQ26:EAR26"/>
    <mergeCell ref="EAS26:EAT26"/>
    <mergeCell ref="EAU26:EAV26"/>
    <mergeCell ref="EAW26:EAX26"/>
    <mergeCell ref="EAY26:EAZ26"/>
    <mergeCell ref="EAC26:EAD26"/>
    <mergeCell ref="EAE26:EAF26"/>
    <mergeCell ref="EAG26:EAH26"/>
    <mergeCell ref="EAI26:EAJ26"/>
    <mergeCell ref="EAK26:EAL26"/>
    <mergeCell ref="EAM26:EAN26"/>
    <mergeCell ref="EFE26:EFF26"/>
    <mergeCell ref="EFG26:EFH26"/>
    <mergeCell ref="EFI26:EFJ26"/>
    <mergeCell ref="EFK26:EFL26"/>
    <mergeCell ref="EFM26:EFN26"/>
    <mergeCell ref="EFO26:EFP26"/>
    <mergeCell ref="EES26:EET26"/>
    <mergeCell ref="EEU26:EEV26"/>
    <mergeCell ref="EEW26:EEX26"/>
    <mergeCell ref="EEY26:EEZ26"/>
    <mergeCell ref="EFA26:EFB26"/>
    <mergeCell ref="EFC26:EFD26"/>
    <mergeCell ref="EEG26:EEH26"/>
    <mergeCell ref="EEI26:EEJ26"/>
    <mergeCell ref="EEK26:EEL26"/>
    <mergeCell ref="EEM26:EEN26"/>
    <mergeCell ref="EEO26:EEP26"/>
    <mergeCell ref="EEQ26:EER26"/>
    <mergeCell ref="EDU26:EDV26"/>
    <mergeCell ref="EDW26:EDX26"/>
    <mergeCell ref="EDY26:EDZ26"/>
    <mergeCell ref="EEA26:EEB26"/>
    <mergeCell ref="EEC26:EED26"/>
    <mergeCell ref="EEE26:EEF26"/>
    <mergeCell ref="EDI26:EDJ26"/>
    <mergeCell ref="EDK26:EDL26"/>
    <mergeCell ref="EDM26:EDN26"/>
    <mergeCell ref="EDO26:EDP26"/>
    <mergeCell ref="EDQ26:EDR26"/>
    <mergeCell ref="EDS26:EDT26"/>
    <mergeCell ref="ECW26:ECX26"/>
    <mergeCell ref="ECY26:ECZ26"/>
    <mergeCell ref="EDA26:EDB26"/>
    <mergeCell ref="EDC26:EDD26"/>
    <mergeCell ref="EDE26:EDF26"/>
    <mergeCell ref="EDG26:EDH26"/>
    <mergeCell ref="EHY26:EHZ26"/>
    <mergeCell ref="EIA26:EIB26"/>
    <mergeCell ref="EIC26:EID26"/>
    <mergeCell ref="EIE26:EIF26"/>
    <mergeCell ref="EIG26:EIH26"/>
    <mergeCell ref="EII26:EIJ26"/>
    <mergeCell ref="EHM26:EHN26"/>
    <mergeCell ref="EHO26:EHP26"/>
    <mergeCell ref="EHQ26:EHR26"/>
    <mergeCell ref="EHS26:EHT26"/>
    <mergeCell ref="EHU26:EHV26"/>
    <mergeCell ref="EHW26:EHX26"/>
    <mergeCell ref="EHA26:EHB26"/>
    <mergeCell ref="EHC26:EHD26"/>
    <mergeCell ref="EHE26:EHF26"/>
    <mergeCell ref="EHG26:EHH26"/>
    <mergeCell ref="EHI26:EHJ26"/>
    <mergeCell ref="EHK26:EHL26"/>
    <mergeCell ref="EGO26:EGP26"/>
    <mergeCell ref="EGQ26:EGR26"/>
    <mergeCell ref="EGS26:EGT26"/>
    <mergeCell ref="EGU26:EGV26"/>
    <mergeCell ref="EGW26:EGX26"/>
    <mergeCell ref="EGY26:EGZ26"/>
    <mergeCell ref="EGC26:EGD26"/>
    <mergeCell ref="EGE26:EGF26"/>
    <mergeCell ref="EGG26:EGH26"/>
    <mergeCell ref="EGI26:EGJ26"/>
    <mergeCell ref="EGK26:EGL26"/>
    <mergeCell ref="EGM26:EGN26"/>
    <mergeCell ref="EFQ26:EFR26"/>
    <mergeCell ref="EFS26:EFT26"/>
    <mergeCell ref="EFU26:EFV26"/>
    <mergeCell ref="EFW26:EFX26"/>
    <mergeCell ref="EFY26:EFZ26"/>
    <mergeCell ref="EGA26:EGB26"/>
    <mergeCell ref="EKS26:EKT26"/>
    <mergeCell ref="EKU26:EKV26"/>
    <mergeCell ref="EKW26:EKX26"/>
    <mergeCell ref="EKY26:EKZ26"/>
    <mergeCell ref="ELA26:ELB26"/>
    <mergeCell ref="ELC26:ELD26"/>
    <mergeCell ref="EKG26:EKH26"/>
    <mergeCell ref="EKI26:EKJ26"/>
    <mergeCell ref="EKK26:EKL26"/>
    <mergeCell ref="EKM26:EKN26"/>
    <mergeCell ref="EKO26:EKP26"/>
    <mergeCell ref="EKQ26:EKR26"/>
    <mergeCell ref="EJU26:EJV26"/>
    <mergeCell ref="EJW26:EJX26"/>
    <mergeCell ref="EJY26:EJZ26"/>
    <mergeCell ref="EKA26:EKB26"/>
    <mergeCell ref="EKC26:EKD26"/>
    <mergeCell ref="EKE26:EKF26"/>
    <mergeCell ref="EJI26:EJJ26"/>
    <mergeCell ref="EJK26:EJL26"/>
    <mergeCell ref="EJM26:EJN26"/>
    <mergeCell ref="EJO26:EJP26"/>
    <mergeCell ref="EJQ26:EJR26"/>
    <mergeCell ref="EJS26:EJT26"/>
    <mergeCell ref="EIW26:EIX26"/>
    <mergeCell ref="EIY26:EIZ26"/>
    <mergeCell ref="EJA26:EJB26"/>
    <mergeCell ref="EJC26:EJD26"/>
    <mergeCell ref="EJE26:EJF26"/>
    <mergeCell ref="EJG26:EJH26"/>
    <mergeCell ref="EIK26:EIL26"/>
    <mergeCell ref="EIM26:EIN26"/>
    <mergeCell ref="EIO26:EIP26"/>
    <mergeCell ref="EIQ26:EIR26"/>
    <mergeCell ref="EIS26:EIT26"/>
    <mergeCell ref="EIU26:EIV26"/>
    <mergeCell ref="ENM26:ENN26"/>
    <mergeCell ref="ENO26:ENP26"/>
    <mergeCell ref="ENQ26:ENR26"/>
    <mergeCell ref="ENS26:ENT26"/>
    <mergeCell ref="ENU26:ENV26"/>
    <mergeCell ref="ENW26:ENX26"/>
    <mergeCell ref="ENA26:ENB26"/>
    <mergeCell ref="ENC26:END26"/>
    <mergeCell ref="ENE26:ENF26"/>
    <mergeCell ref="ENG26:ENH26"/>
    <mergeCell ref="ENI26:ENJ26"/>
    <mergeCell ref="ENK26:ENL26"/>
    <mergeCell ref="EMO26:EMP26"/>
    <mergeCell ref="EMQ26:EMR26"/>
    <mergeCell ref="EMS26:EMT26"/>
    <mergeCell ref="EMU26:EMV26"/>
    <mergeCell ref="EMW26:EMX26"/>
    <mergeCell ref="EMY26:EMZ26"/>
    <mergeCell ref="EMC26:EMD26"/>
    <mergeCell ref="EME26:EMF26"/>
    <mergeCell ref="EMG26:EMH26"/>
    <mergeCell ref="EMI26:EMJ26"/>
    <mergeCell ref="EMK26:EML26"/>
    <mergeCell ref="EMM26:EMN26"/>
    <mergeCell ref="ELQ26:ELR26"/>
    <mergeCell ref="ELS26:ELT26"/>
    <mergeCell ref="ELU26:ELV26"/>
    <mergeCell ref="ELW26:ELX26"/>
    <mergeCell ref="ELY26:ELZ26"/>
    <mergeCell ref="EMA26:EMB26"/>
    <mergeCell ref="ELE26:ELF26"/>
    <mergeCell ref="ELG26:ELH26"/>
    <mergeCell ref="ELI26:ELJ26"/>
    <mergeCell ref="ELK26:ELL26"/>
    <mergeCell ref="ELM26:ELN26"/>
    <mergeCell ref="ELO26:ELP26"/>
    <mergeCell ref="EQG26:EQH26"/>
    <mergeCell ref="EQI26:EQJ26"/>
    <mergeCell ref="EQK26:EQL26"/>
    <mergeCell ref="EQM26:EQN26"/>
    <mergeCell ref="EQO26:EQP26"/>
    <mergeCell ref="EQQ26:EQR26"/>
    <mergeCell ref="EPU26:EPV26"/>
    <mergeCell ref="EPW26:EPX26"/>
    <mergeCell ref="EPY26:EPZ26"/>
    <mergeCell ref="EQA26:EQB26"/>
    <mergeCell ref="EQC26:EQD26"/>
    <mergeCell ref="EQE26:EQF26"/>
    <mergeCell ref="EPI26:EPJ26"/>
    <mergeCell ref="EPK26:EPL26"/>
    <mergeCell ref="EPM26:EPN26"/>
    <mergeCell ref="EPO26:EPP26"/>
    <mergeCell ref="EPQ26:EPR26"/>
    <mergeCell ref="EPS26:EPT26"/>
    <mergeCell ref="EOW26:EOX26"/>
    <mergeCell ref="EOY26:EOZ26"/>
    <mergeCell ref="EPA26:EPB26"/>
    <mergeCell ref="EPC26:EPD26"/>
    <mergeCell ref="EPE26:EPF26"/>
    <mergeCell ref="EPG26:EPH26"/>
    <mergeCell ref="EOK26:EOL26"/>
    <mergeCell ref="EOM26:EON26"/>
    <mergeCell ref="EOO26:EOP26"/>
    <mergeCell ref="EOQ26:EOR26"/>
    <mergeCell ref="EOS26:EOT26"/>
    <mergeCell ref="EOU26:EOV26"/>
    <mergeCell ref="ENY26:ENZ26"/>
    <mergeCell ref="EOA26:EOB26"/>
    <mergeCell ref="EOC26:EOD26"/>
    <mergeCell ref="EOE26:EOF26"/>
    <mergeCell ref="EOG26:EOH26"/>
    <mergeCell ref="EOI26:EOJ26"/>
    <mergeCell ref="ETA26:ETB26"/>
    <mergeCell ref="ETC26:ETD26"/>
    <mergeCell ref="ETE26:ETF26"/>
    <mergeCell ref="ETG26:ETH26"/>
    <mergeCell ref="ETI26:ETJ26"/>
    <mergeCell ref="ETK26:ETL26"/>
    <mergeCell ref="ESO26:ESP26"/>
    <mergeCell ref="ESQ26:ESR26"/>
    <mergeCell ref="ESS26:EST26"/>
    <mergeCell ref="ESU26:ESV26"/>
    <mergeCell ref="ESW26:ESX26"/>
    <mergeCell ref="ESY26:ESZ26"/>
    <mergeCell ref="ESC26:ESD26"/>
    <mergeCell ref="ESE26:ESF26"/>
    <mergeCell ref="ESG26:ESH26"/>
    <mergeCell ref="ESI26:ESJ26"/>
    <mergeCell ref="ESK26:ESL26"/>
    <mergeCell ref="ESM26:ESN26"/>
    <mergeCell ref="ERQ26:ERR26"/>
    <mergeCell ref="ERS26:ERT26"/>
    <mergeCell ref="ERU26:ERV26"/>
    <mergeCell ref="ERW26:ERX26"/>
    <mergeCell ref="ERY26:ERZ26"/>
    <mergeCell ref="ESA26:ESB26"/>
    <mergeCell ref="ERE26:ERF26"/>
    <mergeCell ref="ERG26:ERH26"/>
    <mergeCell ref="ERI26:ERJ26"/>
    <mergeCell ref="ERK26:ERL26"/>
    <mergeCell ref="ERM26:ERN26"/>
    <mergeCell ref="ERO26:ERP26"/>
    <mergeCell ref="EQS26:EQT26"/>
    <mergeCell ref="EQU26:EQV26"/>
    <mergeCell ref="EQW26:EQX26"/>
    <mergeCell ref="EQY26:EQZ26"/>
    <mergeCell ref="ERA26:ERB26"/>
    <mergeCell ref="ERC26:ERD26"/>
    <mergeCell ref="EVU26:EVV26"/>
    <mergeCell ref="EVW26:EVX26"/>
    <mergeCell ref="EVY26:EVZ26"/>
    <mergeCell ref="EWA26:EWB26"/>
    <mergeCell ref="EWC26:EWD26"/>
    <mergeCell ref="EWE26:EWF26"/>
    <mergeCell ref="EVI26:EVJ26"/>
    <mergeCell ref="EVK26:EVL26"/>
    <mergeCell ref="EVM26:EVN26"/>
    <mergeCell ref="EVO26:EVP26"/>
    <mergeCell ref="EVQ26:EVR26"/>
    <mergeCell ref="EVS26:EVT26"/>
    <mergeCell ref="EUW26:EUX26"/>
    <mergeCell ref="EUY26:EUZ26"/>
    <mergeCell ref="EVA26:EVB26"/>
    <mergeCell ref="EVC26:EVD26"/>
    <mergeCell ref="EVE26:EVF26"/>
    <mergeCell ref="EVG26:EVH26"/>
    <mergeCell ref="EUK26:EUL26"/>
    <mergeCell ref="EUM26:EUN26"/>
    <mergeCell ref="EUO26:EUP26"/>
    <mergeCell ref="EUQ26:EUR26"/>
    <mergeCell ref="EUS26:EUT26"/>
    <mergeCell ref="EUU26:EUV26"/>
    <mergeCell ref="ETY26:ETZ26"/>
    <mergeCell ref="EUA26:EUB26"/>
    <mergeCell ref="EUC26:EUD26"/>
    <mergeCell ref="EUE26:EUF26"/>
    <mergeCell ref="EUG26:EUH26"/>
    <mergeCell ref="EUI26:EUJ26"/>
    <mergeCell ref="ETM26:ETN26"/>
    <mergeCell ref="ETO26:ETP26"/>
    <mergeCell ref="ETQ26:ETR26"/>
    <mergeCell ref="ETS26:ETT26"/>
    <mergeCell ref="ETU26:ETV26"/>
    <mergeCell ref="ETW26:ETX26"/>
    <mergeCell ref="EYO26:EYP26"/>
    <mergeCell ref="EYQ26:EYR26"/>
    <mergeCell ref="EYS26:EYT26"/>
    <mergeCell ref="EYU26:EYV26"/>
    <mergeCell ref="EYW26:EYX26"/>
    <mergeCell ref="EYY26:EYZ26"/>
    <mergeCell ref="EYC26:EYD26"/>
    <mergeCell ref="EYE26:EYF26"/>
    <mergeCell ref="EYG26:EYH26"/>
    <mergeCell ref="EYI26:EYJ26"/>
    <mergeCell ref="EYK26:EYL26"/>
    <mergeCell ref="EYM26:EYN26"/>
    <mergeCell ref="EXQ26:EXR26"/>
    <mergeCell ref="EXS26:EXT26"/>
    <mergeCell ref="EXU26:EXV26"/>
    <mergeCell ref="EXW26:EXX26"/>
    <mergeCell ref="EXY26:EXZ26"/>
    <mergeCell ref="EYA26:EYB26"/>
    <mergeCell ref="EXE26:EXF26"/>
    <mergeCell ref="EXG26:EXH26"/>
    <mergeCell ref="EXI26:EXJ26"/>
    <mergeCell ref="EXK26:EXL26"/>
    <mergeCell ref="EXM26:EXN26"/>
    <mergeCell ref="EXO26:EXP26"/>
    <mergeCell ref="EWS26:EWT26"/>
    <mergeCell ref="EWU26:EWV26"/>
    <mergeCell ref="EWW26:EWX26"/>
    <mergeCell ref="EWY26:EWZ26"/>
    <mergeCell ref="EXA26:EXB26"/>
    <mergeCell ref="EXC26:EXD26"/>
    <mergeCell ref="EWG26:EWH26"/>
    <mergeCell ref="EWI26:EWJ26"/>
    <mergeCell ref="EWK26:EWL26"/>
    <mergeCell ref="EWM26:EWN26"/>
    <mergeCell ref="EWO26:EWP26"/>
    <mergeCell ref="EWQ26:EWR26"/>
    <mergeCell ref="FBI26:FBJ26"/>
    <mergeCell ref="FBK26:FBL26"/>
    <mergeCell ref="FBM26:FBN26"/>
    <mergeCell ref="FBO26:FBP26"/>
    <mergeCell ref="FBQ26:FBR26"/>
    <mergeCell ref="FBS26:FBT26"/>
    <mergeCell ref="FAW26:FAX26"/>
    <mergeCell ref="FAY26:FAZ26"/>
    <mergeCell ref="FBA26:FBB26"/>
    <mergeCell ref="FBC26:FBD26"/>
    <mergeCell ref="FBE26:FBF26"/>
    <mergeCell ref="FBG26:FBH26"/>
    <mergeCell ref="FAK26:FAL26"/>
    <mergeCell ref="FAM26:FAN26"/>
    <mergeCell ref="FAO26:FAP26"/>
    <mergeCell ref="FAQ26:FAR26"/>
    <mergeCell ref="FAS26:FAT26"/>
    <mergeCell ref="FAU26:FAV26"/>
    <mergeCell ref="EZY26:EZZ26"/>
    <mergeCell ref="FAA26:FAB26"/>
    <mergeCell ref="FAC26:FAD26"/>
    <mergeCell ref="FAE26:FAF26"/>
    <mergeCell ref="FAG26:FAH26"/>
    <mergeCell ref="FAI26:FAJ26"/>
    <mergeCell ref="EZM26:EZN26"/>
    <mergeCell ref="EZO26:EZP26"/>
    <mergeCell ref="EZQ26:EZR26"/>
    <mergeCell ref="EZS26:EZT26"/>
    <mergeCell ref="EZU26:EZV26"/>
    <mergeCell ref="EZW26:EZX26"/>
    <mergeCell ref="EZA26:EZB26"/>
    <mergeCell ref="EZC26:EZD26"/>
    <mergeCell ref="EZE26:EZF26"/>
    <mergeCell ref="EZG26:EZH26"/>
    <mergeCell ref="EZI26:EZJ26"/>
    <mergeCell ref="EZK26:EZL26"/>
    <mergeCell ref="FEC26:FED26"/>
    <mergeCell ref="FEE26:FEF26"/>
    <mergeCell ref="FEG26:FEH26"/>
    <mergeCell ref="FEI26:FEJ26"/>
    <mergeCell ref="FEK26:FEL26"/>
    <mergeCell ref="FEM26:FEN26"/>
    <mergeCell ref="FDQ26:FDR26"/>
    <mergeCell ref="FDS26:FDT26"/>
    <mergeCell ref="FDU26:FDV26"/>
    <mergeCell ref="FDW26:FDX26"/>
    <mergeCell ref="FDY26:FDZ26"/>
    <mergeCell ref="FEA26:FEB26"/>
    <mergeCell ref="FDE26:FDF26"/>
    <mergeCell ref="FDG26:FDH26"/>
    <mergeCell ref="FDI26:FDJ26"/>
    <mergeCell ref="FDK26:FDL26"/>
    <mergeCell ref="FDM26:FDN26"/>
    <mergeCell ref="FDO26:FDP26"/>
    <mergeCell ref="FCS26:FCT26"/>
    <mergeCell ref="FCU26:FCV26"/>
    <mergeCell ref="FCW26:FCX26"/>
    <mergeCell ref="FCY26:FCZ26"/>
    <mergeCell ref="FDA26:FDB26"/>
    <mergeCell ref="FDC26:FDD26"/>
    <mergeCell ref="FCG26:FCH26"/>
    <mergeCell ref="FCI26:FCJ26"/>
    <mergeCell ref="FCK26:FCL26"/>
    <mergeCell ref="FCM26:FCN26"/>
    <mergeCell ref="FCO26:FCP26"/>
    <mergeCell ref="FCQ26:FCR26"/>
    <mergeCell ref="FBU26:FBV26"/>
    <mergeCell ref="FBW26:FBX26"/>
    <mergeCell ref="FBY26:FBZ26"/>
    <mergeCell ref="FCA26:FCB26"/>
    <mergeCell ref="FCC26:FCD26"/>
    <mergeCell ref="FCE26:FCF26"/>
    <mergeCell ref="FGW26:FGX26"/>
    <mergeCell ref="FGY26:FGZ26"/>
    <mergeCell ref="FHA26:FHB26"/>
    <mergeCell ref="FHC26:FHD26"/>
    <mergeCell ref="FHE26:FHF26"/>
    <mergeCell ref="FHG26:FHH26"/>
    <mergeCell ref="FGK26:FGL26"/>
    <mergeCell ref="FGM26:FGN26"/>
    <mergeCell ref="FGO26:FGP26"/>
    <mergeCell ref="FGQ26:FGR26"/>
    <mergeCell ref="FGS26:FGT26"/>
    <mergeCell ref="FGU26:FGV26"/>
    <mergeCell ref="FFY26:FFZ26"/>
    <mergeCell ref="FGA26:FGB26"/>
    <mergeCell ref="FGC26:FGD26"/>
    <mergeCell ref="FGE26:FGF26"/>
    <mergeCell ref="FGG26:FGH26"/>
    <mergeCell ref="FGI26:FGJ26"/>
    <mergeCell ref="FFM26:FFN26"/>
    <mergeCell ref="FFO26:FFP26"/>
    <mergeCell ref="FFQ26:FFR26"/>
    <mergeCell ref="FFS26:FFT26"/>
    <mergeCell ref="FFU26:FFV26"/>
    <mergeCell ref="FFW26:FFX26"/>
    <mergeCell ref="FFA26:FFB26"/>
    <mergeCell ref="FFC26:FFD26"/>
    <mergeCell ref="FFE26:FFF26"/>
    <mergeCell ref="FFG26:FFH26"/>
    <mergeCell ref="FFI26:FFJ26"/>
    <mergeCell ref="FFK26:FFL26"/>
    <mergeCell ref="FEO26:FEP26"/>
    <mergeCell ref="FEQ26:FER26"/>
    <mergeCell ref="FES26:FET26"/>
    <mergeCell ref="FEU26:FEV26"/>
    <mergeCell ref="FEW26:FEX26"/>
    <mergeCell ref="FEY26:FEZ26"/>
    <mergeCell ref="FJQ26:FJR26"/>
    <mergeCell ref="FJS26:FJT26"/>
    <mergeCell ref="FJU26:FJV26"/>
    <mergeCell ref="FJW26:FJX26"/>
    <mergeCell ref="FJY26:FJZ26"/>
    <mergeCell ref="FKA26:FKB26"/>
    <mergeCell ref="FJE26:FJF26"/>
    <mergeCell ref="FJG26:FJH26"/>
    <mergeCell ref="FJI26:FJJ26"/>
    <mergeCell ref="FJK26:FJL26"/>
    <mergeCell ref="FJM26:FJN26"/>
    <mergeCell ref="FJO26:FJP26"/>
    <mergeCell ref="FIS26:FIT26"/>
    <mergeCell ref="FIU26:FIV26"/>
    <mergeCell ref="FIW26:FIX26"/>
    <mergeCell ref="FIY26:FIZ26"/>
    <mergeCell ref="FJA26:FJB26"/>
    <mergeCell ref="FJC26:FJD26"/>
    <mergeCell ref="FIG26:FIH26"/>
    <mergeCell ref="FII26:FIJ26"/>
    <mergeCell ref="FIK26:FIL26"/>
    <mergeCell ref="FIM26:FIN26"/>
    <mergeCell ref="FIO26:FIP26"/>
    <mergeCell ref="FIQ26:FIR26"/>
    <mergeCell ref="FHU26:FHV26"/>
    <mergeCell ref="FHW26:FHX26"/>
    <mergeCell ref="FHY26:FHZ26"/>
    <mergeCell ref="FIA26:FIB26"/>
    <mergeCell ref="FIC26:FID26"/>
    <mergeCell ref="FIE26:FIF26"/>
    <mergeCell ref="FHI26:FHJ26"/>
    <mergeCell ref="FHK26:FHL26"/>
    <mergeCell ref="FHM26:FHN26"/>
    <mergeCell ref="FHO26:FHP26"/>
    <mergeCell ref="FHQ26:FHR26"/>
    <mergeCell ref="FHS26:FHT26"/>
    <mergeCell ref="FMK26:FML26"/>
    <mergeCell ref="FMM26:FMN26"/>
    <mergeCell ref="FMO26:FMP26"/>
    <mergeCell ref="FMQ26:FMR26"/>
    <mergeCell ref="FMS26:FMT26"/>
    <mergeCell ref="FMU26:FMV26"/>
    <mergeCell ref="FLY26:FLZ26"/>
    <mergeCell ref="FMA26:FMB26"/>
    <mergeCell ref="FMC26:FMD26"/>
    <mergeCell ref="FME26:FMF26"/>
    <mergeCell ref="FMG26:FMH26"/>
    <mergeCell ref="FMI26:FMJ26"/>
    <mergeCell ref="FLM26:FLN26"/>
    <mergeCell ref="FLO26:FLP26"/>
    <mergeCell ref="FLQ26:FLR26"/>
    <mergeCell ref="FLS26:FLT26"/>
    <mergeCell ref="FLU26:FLV26"/>
    <mergeCell ref="FLW26:FLX26"/>
    <mergeCell ref="FLA26:FLB26"/>
    <mergeCell ref="FLC26:FLD26"/>
    <mergeCell ref="FLE26:FLF26"/>
    <mergeCell ref="FLG26:FLH26"/>
    <mergeCell ref="FLI26:FLJ26"/>
    <mergeCell ref="FLK26:FLL26"/>
    <mergeCell ref="FKO26:FKP26"/>
    <mergeCell ref="FKQ26:FKR26"/>
    <mergeCell ref="FKS26:FKT26"/>
    <mergeCell ref="FKU26:FKV26"/>
    <mergeCell ref="FKW26:FKX26"/>
    <mergeCell ref="FKY26:FKZ26"/>
    <mergeCell ref="FKC26:FKD26"/>
    <mergeCell ref="FKE26:FKF26"/>
    <mergeCell ref="FKG26:FKH26"/>
    <mergeCell ref="FKI26:FKJ26"/>
    <mergeCell ref="FKK26:FKL26"/>
    <mergeCell ref="FKM26:FKN26"/>
    <mergeCell ref="FPE26:FPF26"/>
    <mergeCell ref="FPG26:FPH26"/>
    <mergeCell ref="FPI26:FPJ26"/>
    <mergeCell ref="FPK26:FPL26"/>
    <mergeCell ref="FPM26:FPN26"/>
    <mergeCell ref="FPO26:FPP26"/>
    <mergeCell ref="FOS26:FOT26"/>
    <mergeCell ref="FOU26:FOV26"/>
    <mergeCell ref="FOW26:FOX26"/>
    <mergeCell ref="FOY26:FOZ26"/>
    <mergeCell ref="FPA26:FPB26"/>
    <mergeCell ref="FPC26:FPD26"/>
    <mergeCell ref="FOG26:FOH26"/>
    <mergeCell ref="FOI26:FOJ26"/>
    <mergeCell ref="FOK26:FOL26"/>
    <mergeCell ref="FOM26:FON26"/>
    <mergeCell ref="FOO26:FOP26"/>
    <mergeCell ref="FOQ26:FOR26"/>
    <mergeCell ref="FNU26:FNV26"/>
    <mergeCell ref="FNW26:FNX26"/>
    <mergeCell ref="FNY26:FNZ26"/>
    <mergeCell ref="FOA26:FOB26"/>
    <mergeCell ref="FOC26:FOD26"/>
    <mergeCell ref="FOE26:FOF26"/>
    <mergeCell ref="FNI26:FNJ26"/>
    <mergeCell ref="FNK26:FNL26"/>
    <mergeCell ref="FNM26:FNN26"/>
    <mergeCell ref="FNO26:FNP26"/>
    <mergeCell ref="FNQ26:FNR26"/>
    <mergeCell ref="FNS26:FNT26"/>
    <mergeCell ref="FMW26:FMX26"/>
    <mergeCell ref="FMY26:FMZ26"/>
    <mergeCell ref="FNA26:FNB26"/>
    <mergeCell ref="FNC26:FND26"/>
    <mergeCell ref="FNE26:FNF26"/>
    <mergeCell ref="FNG26:FNH26"/>
    <mergeCell ref="FRY26:FRZ26"/>
    <mergeCell ref="FSA26:FSB26"/>
    <mergeCell ref="FSC26:FSD26"/>
    <mergeCell ref="FSE26:FSF26"/>
    <mergeCell ref="FSG26:FSH26"/>
    <mergeCell ref="FSI26:FSJ26"/>
    <mergeCell ref="FRM26:FRN26"/>
    <mergeCell ref="FRO26:FRP26"/>
    <mergeCell ref="FRQ26:FRR26"/>
    <mergeCell ref="FRS26:FRT26"/>
    <mergeCell ref="FRU26:FRV26"/>
    <mergeCell ref="FRW26:FRX26"/>
    <mergeCell ref="FRA26:FRB26"/>
    <mergeCell ref="FRC26:FRD26"/>
    <mergeCell ref="FRE26:FRF26"/>
    <mergeCell ref="FRG26:FRH26"/>
    <mergeCell ref="FRI26:FRJ26"/>
    <mergeCell ref="FRK26:FRL26"/>
    <mergeCell ref="FQO26:FQP26"/>
    <mergeCell ref="FQQ26:FQR26"/>
    <mergeCell ref="FQS26:FQT26"/>
    <mergeCell ref="FQU26:FQV26"/>
    <mergeCell ref="FQW26:FQX26"/>
    <mergeCell ref="FQY26:FQZ26"/>
    <mergeCell ref="FQC26:FQD26"/>
    <mergeCell ref="FQE26:FQF26"/>
    <mergeCell ref="FQG26:FQH26"/>
    <mergeCell ref="FQI26:FQJ26"/>
    <mergeCell ref="FQK26:FQL26"/>
    <mergeCell ref="FQM26:FQN26"/>
    <mergeCell ref="FPQ26:FPR26"/>
    <mergeCell ref="FPS26:FPT26"/>
    <mergeCell ref="FPU26:FPV26"/>
    <mergeCell ref="FPW26:FPX26"/>
    <mergeCell ref="FPY26:FPZ26"/>
    <mergeCell ref="FQA26:FQB26"/>
    <mergeCell ref="FUS26:FUT26"/>
    <mergeCell ref="FUU26:FUV26"/>
    <mergeCell ref="FUW26:FUX26"/>
    <mergeCell ref="FUY26:FUZ26"/>
    <mergeCell ref="FVA26:FVB26"/>
    <mergeCell ref="FVC26:FVD26"/>
    <mergeCell ref="FUG26:FUH26"/>
    <mergeCell ref="FUI26:FUJ26"/>
    <mergeCell ref="FUK26:FUL26"/>
    <mergeCell ref="FUM26:FUN26"/>
    <mergeCell ref="FUO26:FUP26"/>
    <mergeCell ref="FUQ26:FUR26"/>
    <mergeCell ref="FTU26:FTV26"/>
    <mergeCell ref="FTW26:FTX26"/>
    <mergeCell ref="FTY26:FTZ26"/>
    <mergeCell ref="FUA26:FUB26"/>
    <mergeCell ref="FUC26:FUD26"/>
    <mergeCell ref="FUE26:FUF26"/>
    <mergeCell ref="FTI26:FTJ26"/>
    <mergeCell ref="FTK26:FTL26"/>
    <mergeCell ref="FTM26:FTN26"/>
    <mergeCell ref="FTO26:FTP26"/>
    <mergeCell ref="FTQ26:FTR26"/>
    <mergeCell ref="FTS26:FTT26"/>
    <mergeCell ref="FSW26:FSX26"/>
    <mergeCell ref="FSY26:FSZ26"/>
    <mergeCell ref="FTA26:FTB26"/>
    <mergeCell ref="FTC26:FTD26"/>
    <mergeCell ref="FTE26:FTF26"/>
    <mergeCell ref="FTG26:FTH26"/>
    <mergeCell ref="FSK26:FSL26"/>
    <mergeCell ref="FSM26:FSN26"/>
    <mergeCell ref="FSO26:FSP26"/>
    <mergeCell ref="FSQ26:FSR26"/>
    <mergeCell ref="FSS26:FST26"/>
    <mergeCell ref="FSU26:FSV26"/>
    <mergeCell ref="FXM26:FXN26"/>
    <mergeCell ref="FXO26:FXP26"/>
    <mergeCell ref="FXQ26:FXR26"/>
    <mergeCell ref="FXS26:FXT26"/>
    <mergeCell ref="FXU26:FXV26"/>
    <mergeCell ref="FXW26:FXX26"/>
    <mergeCell ref="FXA26:FXB26"/>
    <mergeCell ref="FXC26:FXD26"/>
    <mergeCell ref="FXE26:FXF26"/>
    <mergeCell ref="FXG26:FXH26"/>
    <mergeCell ref="FXI26:FXJ26"/>
    <mergeCell ref="FXK26:FXL26"/>
    <mergeCell ref="FWO26:FWP26"/>
    <mergeCell ref="FWQ26:FWR26"/>
    <mergeCell ref="FWS26:FWT26"/>
    <mergeCell ref="FWU26:FWV26"/>
    <mergeCell ref="FWW26:FWX26"/>
    <mergeCell ref="FWY26:FWZ26"/>
    <mergeCell ref="FWC26:FWD26"/>
    <mergeCell ref="FWE26:FWF26"/>
    <mergeCell ref="FWG26:FWH26"/>
    <mergeCell ref="FWI26:FWJ26"/>
    <mergeCell ref="FWK26:FWL26"/>
    <mergeCell ref="FWM26:FWN26"/>
    <mergeCell ref="FVQ26:FVR26"/>
    <mergeCell ref="FVS26:FVT26"/>
    <mergeCell ref="FVU26:FVV26"/>
    <mergeCell ref="FVW26:FVX26"/>
    <mergeCell ref="FVY26:FVZ26"/>
    <mergeCell ref="FWA26:FWB26"/>
    <mergeCell ref="FVE26:FVF26"/>
    <mergeCell ref="FVG26:FVH26"/>
    <mergeCell ref="FVI26:FVJ26"/>
    <mergeCell ref="FVK26:FVL26"/>
    <mergeCell ref="FVM26:FVN26"/>
    <mergeCell ref="FVO26:FVP26"/>
    <mergeCell ref="GAG26:GAH26"/>
    <mergeCell ref="GAI26:GAJ26"/>
    <mergeCell ref="GAK26:GAL26"/>
    <mergeCell ref="GAM26:GAN26"/>
    <mergeCell ref="GAO26:GAP26"/>
    <mergeCell ref="GAQ26:GAR26"/>
    <mergeCell ref="FZU26:FZV26"/>
    <mergeCell ref="FZW26:FZX26"/>
    <mergeCell ref="FZY26:FZZ26"/>
    <mergeCell ref="GAA26:GAB26"/>
    <mergeCell ref="GAC26:GAD26"/>
    <mergeCell ref="GAE26:GAF26"/>
    <mergeCell ref="FZI26:FZJ26"/>
    <mergeCell ref="FZK26:FZL26"/>
    <mergeCell ref="FZM26:FZN26"/>
    <mergeCell ref="FZO26:FZP26"/>
    <mergeCell ref="FZQ26:FZR26"/>
    <mergeCell ref="FZS26:FZT26"/>
    <mergeCell ref="FYW26:FYX26"/>
    <mergeCell ref="FYY26:FYZ26"/>
    <mergeCell ref="FZA26:FZB26"/>
    <mergeCell ref="FZC26:FZD26"/>
    <mergeCell ref="FZE26:FZF26"/>
    <mergeCell ref="FZG26:FZH26"/>
    <mergeCell ref="FYK26:FYL26"/>
    <mergeCell ref="FYM26:FYN26"/>
    <mergeCell ref="FYO26:FYP26"/>
    <mergeCell ref="FYQ26:FYR26"/>
    <mergeCell ref="FYS26:FYT26"/>
    <mergeCell ref="FYU26:FYV26"/>
    <mergeCell ref="FXY26:FXZ26"/>
    <mergeCell ref="FYA26:FYB26"/>
    <mergeCell ref="FYC26:FYD26"/>
    <mergeCell ref="FYE26:FYF26"/>
    <mergeCell ref="FYG26:FYH26"/>
    <mergeCell ref="FYI26:FYJ26"/>
    <mergeCell ref="GDA26:GDB26"/>
    <mergeCell ref="GDC26:GDD26"/>
    <mergeCell ref="GDE26:GDF26"/>
    <mergeCell ref="GDG26:GDH26"/>
    <mergeCell ref="GDI26:GDJ26"/>
    <mergeCell ref="GDK26:GDL26"/>
    <mergeCell ref="GCO26:GCP26"/>
    <mergeCell ref="GCQ26:GCR26"/>
    <mergeCell ref="GCS26:GCT26"/>
    <mergeCell ref="GCU26:GCV26"/>
    <mergeCell ref="GCW26:GCX26"/>
    <mergeCell ref="GCY26:GCZ26"/>
    <mergeCell ref="GCC26:GCD26"/>
    <mergeCell ref="GCE26:GCF26"/>
    <mergeCell ref="GCG26:GCH26"/>
    <mergeCell ref="GCI26:GCJ26"/>
    <mergeCell ref="GCK26:GCL26"/>
    <mergeCell ref="GCM26:GCN26"/>
    <mergeCell ref="GBQ26:GBR26"/>
    <mergeCell ref="GBS26:GBT26"/>
    <mergeCell ref="GBU26:GBV26"/>
    <mergeCell ref="GBW26:GBX26"/>
    <mergeCell ref="GBY26:GBZ26"/>
    <mergeCell ref="GCA26:GCB26"/>
    <mergeCell ref="GBE26:GBF26"/>
    <mergeCell ref="GBG26:GBH26"/>
    <mergeCell ref="GBI26:GBJ26"/>
    <mergeCell ref="GBK26:GBL26"/>
    <mergeCell ref="GBM26:GBN26"/>
    <mergeCell ref="GBO26:GBP26"/>
    <mergeCell ref="GAS26:GAT26"/>
    <mergeCell ref="GAU26:GAV26"/>
    <mergeCell ref="GAW26:GAX26"/>
    <mergeCell ref="GAY26:GAZ26"/>
    <mergeCell ref="GBA26:GBB26"/>
    <mergeCell ref="GBC26:GBD26"/>
    <mergeCell ref="GFU26:GFV26"/>
    <mergeCell ref="GFW26:GFX26"/>
    <mergeCell ref="GFY26:GFZ26"/>
    <mergeCell ref="GGA26:GGB26"/>
    <mergeCell ref="GGC26:GGD26"/>
    <mergeCell ref="GGE26:GGF26"/>
    <mergeCell ref="GFI26:GFJ26"/>
    <mergeCell ref="GFK26:GFL26"/>
    <mergeCell ref="GFM26:GFN26"/>
    <mergeCell ref="GFO26:GFP26"/>
    <mergeCell ref="GFQ26:GFR26"/>
    <mergeCell ref="GFS26:GFT26"/>
    <mergeCell ref="GEW26:GEX26"/>
    <mergeCell ref="GEY26:GEZ26"/>
    <mergeCell ref="GFA26:GFB26"/>
    <mergeCell ref="GFC26:GFD26"/>
    <mergeCell ref="GFE26:GFF26"/>
    <mergeCell ref="GFG26:GFH26"/>
    <mergeCell ref="GEK26:GEL26"/>
    <mergeCell ref="GEM26:GEN26"/>
    <mergeCell ref="GEO26:GEP26"/>
    <mergeCell ref="GEQ26:GER26"/>
    <mergeCell ref="GES26:GET26"/>
    <mergeCell ref="GEU26:GEV26"/>
    <mergeCell ref="GDY26:GDZ26"/>
    <mergeCell ref="GEA26:GEB26"/>
    <mergeCell ref="GEC26:GED26"/>
    <mergeCell ref="GEE26:GEF26"/>
    <mergeCell ref="GEG26:GEH26"/>
    <mergeCell ref="GEI26:GEJ26"/>
    <mergeCell ref="GDM26:GDN26"/>
    <mergeCell ref="GDO26:GDP26"/>
    <mergeCell ref="GDQ26:GDR26"/>
    <mergeCell ref="GDS26:GDT26"/>
    <mergeCell ref="GDU26:GDV26"/>
    <mergeCell ref="GDW26:GDX26"/>
    <mergeCell ref="GIO26:GIP26"/>
    <mergeCell ref="GIQ26:GIR26"/>
    <mergeCell ref="GIS26:GIT26"/>
    <mergeCell ref="GIU26:GIV26"/>
    <mergeCell ref="GIW26:GIX26"/>
    <mergeCell ref="GIY26:GIZ26"/>
    <mergeCell ref="GIC26:GID26"/>
    <mergeCell ref="GIE26:GIF26"/>
    <mergeCell ref="GIG26:GIH26"/>
    <mergeCell ref="GII26:GIJ26"/>
    <mergeCell ref="GIK26:GIL26"/>
    <mergeCell ref="GIM26:GIN26"/>
    <mergeCell ref="GHQ26:GHR26"/>
    <mergeCell ref="GHS26:GHT26"/>
    <mergeCell ref="GHU26:GHV26"/>
    <mergeCell ref="GHW26:GHX26"/>
    <mergeCell ref="GHY26:GHZ26"/>
    <mergeCell ref="GIA26:GIB26"/>
    <mergeCell ref="GHE26:GHF26"/>
    <mergeCell ref="GHG26:GHH26"/>
    <mergeCell ref="GHI26:GHJ26"/>
    <mergeCell ref="GHK26:GHL26"/>
    <mergeCell ref="GHM26:GHN26"/>
    <mergeCell ref="GHO26:GHP26"/>
    <mergeCell ref="GGS26:GGT26"/>
    <mergeCell ref="GGU26:GGV26"/>
    <mergeCell ref="GGW26:GGX26"/>
    <mergeCell ref="GGY26:GGZ26"/>
    <mergeCell ref="GHA26:GHB26"/>
    <mergeCell ref="GHC26:GHD26"/>
    <mergeCell ref="GGG26:GGH26"/>
    <mergeCell ref="GGI26:GGJ26"/>
    <mergeCell ref="GGK26:GGL26"/>
    <mergeCell ref="GGM26:GGN26"/>
    <mergeCell ref="GGO26:GGP26"/>
    <mergeCell ref="GGQ26:GGR26"/>
    <mergeCell ref="GLI26:GLJ26"/>
    <mergeCell ref="GLK26:GLL26"/>
    <mergeCell ref="GLM26:GLN26"/>
    <mergeCell ref="GLO26:GLP26"/>
    <mergeCell ref="GLQ26:GLR26"/>
    <mergeCell ref="GLS26:GLT26"/>
    <mergeCell ref="GKW26:GKX26"/>
    <mergeCell ref="GKY26:GKZ26"/>
    <mergeCell ref="GLA26:GLB26"/>
    <mergeCell ref="GLC26:GLD26"/>
    <mergeCell ref="GLE26:GLF26"/>
    <mergeCell ref="GLG26:GLH26"/>
    <mergeCell ref="GKK26:GKL26"/>
    <mergeCell ref="GKM26:GKN26"/>
    <mergeCell ref="GKO26:GKP26"/>
    <mergeCell ref="GKQ26:GKR26"/>
    <mergeCell ref="GKS26:GKT26"/>
    <mergeCell ref="GKU26:GKV26"/>
    <mergeCell ref="GJY26:GJZ26"/>
    <mergeCell ref="GKA26:GKB26"/>
    <mergeCell ref="GKC26:GKD26"/>
    <mergeCell ref="GKE26:GKF26"/>
    <mergeCell ref="GKG26:GKH26"/>
    <mergeCell ref="GKI26:GKJ26"/>
    <mergeCell ref="GJM26:GJN26"/>
    <mergeCell ref="GJO26:GJP26"/>
    <mergeCell ref="GJQ26:GJR26"/>
    <mergeCell ref="GJS26:GJT26"/>
    <mergeCell ref="GJU26:GJV26"/>
    <mergeCell ref="GJW26:GJX26"/>
    <mergeCell ref="GJA26:GJB26"/>
    <mergeCell ref="GJC26:GJD26"/>
    <mergeCell ref="GJE26:GJF26"/>
    <mergeCell ref="GJG26:GJH26"/>
    <mergeCell ref="GJI26:GJJ26"/>
    <mergeCell ref="GJK26:GJL26"/>
    <mergeCell ref="GOC26:GOD26"/>
    <mergeCell ref="GOE26:GOF26"/>
    <mergeCell ref="GOG26:GOH26"/>
    <mergeCell ref="GOI26:GOJ26"/>
    <mergeCell ref="GOK26:GOL26"/>
    <mergeCell ref="GOM26:GON26"/>
    <mergeCell ref="GNQ26:GNR26"/>
    <mergeCell ref="GNS26:GNT26"/>
    <mergeCell ref="GNU26:GNV26"/>
    <mergeCell ref="GNW26:GNX26"/>
    <mergeCell ref="GNY26:GNZ26"/>
    <mergeCell ref="GOA26:GOB26"/>
    <mergeCell ref="GNE26:GNF26"/>
    <mergeCell ref="GNG26:GNH26"/>
    <mergeCell ref="GNI26:GNJ26"/>
    <mergeCell ref="GNK26:GNL26"/>
    <mergeCell ref="GNM26:GNN26"/>
    <mergeCell ref="GNO26:GNP26"/>
    <mergeCell ref="GMS26:GMT26"/>
    <mergeCell ref="GMU26:GMV26"/>
    <mergeCell ref="GMW26:GMX26"/>
    <mergeCell ref="GMY26:GMZ26"/>
    <mergeCell ref="GNA26:GNB26"/>
    <mergeCell ref="GNC26:GND26"/>
    <mergeCell ref="GMG26:GMH26"/>
    <mergeCell ref="GMI26:GMJ26"/>
    <mergeCell ref="GMK26:GML26"/>
    <mergeCell ref="GMM26:GMN26"/>
    <mergeCell ref="GMO26:GMP26"/>
    <mergeCell ref="GMQ26:GMR26"/>
    <mergeCell ref="GLU26:GLV26"/>
    <mergeCell ref="GLW26:GLX26"/>
    <mergeCell ref="GLY26:GLZ26"/>
    <mergeCell ref="GMA26:GMB26"/>
    <mergeCell ref="GMC26:GMD26"/>
    <mergeCell ref="GME26:GMF26"/>
    <mergeCell ref="GQW26:GQX26"/>
    <mergeCell ref="GQY26:GQZ26"/>
    <mergeCell ref="GRA26:GRB26"/>
    <mergeCell ref="GRC26:GRD26"/>
    <mergeCell ref="GRE26:GRF26"/>
    <mergeCell ref="GRG26:GRH26"/>
    <mergeCell ref="GQK26:GQL26"/>
    <mergeCell ref="GQM26:GQN26"/>
    <mergeCell ref="GQO26:GQP26"/>
    <mergeCell ref="GQQ26:GQR26"/>
    <mergeCell ref="GQS26:GQT26"/>
    <mergeCell ref="GQU26:GQV26"/>
    <mergeCell ref="GPY26:GPZ26"/>
    <mergeCell ref="GQA26:GQB26"/>
    <mergeCell ref="GQC26:GQD26"/>
    <mergeCell ref="GQE26:GQF26"/>
    <mergeCell ref="GQG26:GQH26"/>
    <mergeCell ref="GQI26:GQJ26"/>
    <mergeCell ref="GPM26:GPN26"/>
    <mergeCell ref="GPO26:GPP26"/>
    <mergeCell ref="GPQ26:GPR26"/>
    <mergeCell ref="GPS26:GPT26"/>
    <mergeCell ref="GPU26:GPV26"/>
    <mergeCell ref="GPW26:GPX26"/>
    <mergeCell ref="GPA26:GPB26"/>
    <mergeCell ref="GPC26:GPD26"/>
    <mergeCell ref="GPE26:GPF26"/>
    <mergeCell ref="GPG26:GPH26"/>
    <mergeCell ref="GPI26:GPJ26"/>
    <mergeCell ref="GPK26:GPL26"/>
    <mergeCell ref="GOO26:GOP26"/>
    <mergeCell ref="GOQ26:GOR26"/>
    <mergeCell ref="GOS26:GOT26"/>
    <mergeCell ref="GOU26:GOV26"/>
    <mergeCell ref="GOW26:GOX26"/>
    <mergeCell ref="GOY26:GOZ26"/>
    <mergeCell ref="GTQ26:GTR26"/>
    <mergeCell ref="GTS26:GTT26"/>
    <mergeCell ref="GTU26:GTV26"/>
    <mergeCell ref="GTW26:GTX26"/>
    <mergeCell ref="GTY26:GTZ26"/>
    <mergeCell ref="GUA26:GUB26"/>
    <mergeCell ref="GTE26:GTF26"/>
    <mergeCell ref="GTG26:GTH26"/>
    <mergeCell ref="GTI26:GTJ26"/>
    <mergeCell ref="GTK26:GTL26"/>
    <mergeCell ref="GTM26:GTN26"/>
    <mergeCell ref="GTO26:GTP26"/>
    <mergeCell ref="GSS26:GST26"/>
    <mergeCell ref="GSU26:GSV26"/>
    <mergeCell ref="GSW26:GSX26"/>
    <mergeCell ref="GSY26:GSZ26"/>
    <mergeCell ref="GTA26:GTB26"/>
    <mergeCell ref="GTC26:GTD26"/>
    <mergeCell ref="GSG26:GSH26"/>
    <mergeCell ref="GSI26:GSJ26"/>
    <mergeCell ref="GSK26:GSL26"/>
    <mergeCell ref="GSM26:GSN26"/>
    <mergeCell ref="GSO26:GSP26"/>
    <mergeCell ref="GSQ26:GSR26"/>
    <mergeCell ref="GRU26:GRV26"/>
    <mergeCell ref="GRW26:GRX26"/>
    <mergeCell ref="GRY26:GRZ26"/>
    <mergeCell ref="GSA26:GSB26"/>
    <mergeCell ref="GSC26:GSD26"/>
    <mergeCell ref="GSE26:GSF26"/>
    <mergeCell ref="GRI26:GRJ26"/>
    <mergeCell ref="GRK26:GRL26"/>
    <mergeCell ref="GRM26:GRN26"/>
    <mergeCell ref="GRO26:GRP26"/>
    <mergeCell ref="GRQ26:GRR26"/>
    <mergeCell ref="GRS26:GRT26"/>
    <mergeCell ref="GWK26:GWL26"/>
    <mergeCell ref="GWM26:GWN26"/>
    <mergeCell ref="GWO26:GWP26"/>
    <mergeCell ref="GWQ26:GWR26"/>
    <mergeCell ref="GWS26:GWT26"/>
    <mergeCell ref="GWU26:GWV26"/>
    <mergeCell ref="GVY26:GVZ26"/>
    <mergeCell ref="GWA26:GWB26"/>
    <mergeCell ref="GWC26:GWD26"/>
    <mergeCell ref="GWE26:GWF26"/>
    <mergeCell ref="GWG26:GWH26"/>
    <mergeCell ref="GWI26:GWJ26"/>
    <mergeCell ref="GVM26:GVN26"/>
    <mergeCell ref="GVO26:GVP26"/>
    <mergeCell ref="GVQ26:GVR26"/>
    <mergeCell ref="GVS26:GVT26"/>
    <mergeCell ref="GVU26:GVV26"/>
    <mergeCell ref="GVW26:GVX26"/>
    <mergeCell ref="GVA26:GVB26"/>
    <mergeCell ref="GVC26:GVD26"/>
    <mergeCell ref="GVE26:GVF26"/>
    <mergeCell ref="GVG26:GVH26"/>
    <mergeCell ref="GVI26:GVJ26"/>
    <mergeCell ref="GVK26:GVL26"/>
    <mergeCell ref="GUO26:GUP26"/>
    <mergeCell ref="GUQ26:GUR26"/>
    <mergeCell ref="GUS26:GUT26"/>
    <mergeCell ref="GUU26:GUV26"/>
    <mergeCell ref="GUW26:GUX26"/>
    <mergeCell ref="GUY26:GUZ26"/>
    <mergeCell ref="GUC26:GUD26"/>
    <mergeCell ref="GUE26:GUF26"/>
    <mergeCell ref="GUG26:GUH26"/>
    <mergeCell ref="GUI26:GUJ26"/>
    <mergeCell ref="GUK26:GUL26"/>
    <mergeCell ref="GUM26:GUN26"/>
    <mergeCell ref="GZE26:GZF26"/>
    <mergeCell ref="GZG26:GZH26"/>
    <mergeCell ref="GZI26:GZJ26"/>
    <mergeCell ref="GZK26:GZL26"/>
    <mergeCell ref="GZM26:GZN26"/>
    <mergeCell ref="GZO26:GZP26"/>
    <mergeCell ref="GYS26:GYT26"/>
    <mergeCell ref="GYU26:GYV26"/>
    <mergeCell ref="GYW26:GYX26"/>
    <mergeCell ref="GYY26:GYZ26"/>
    <mergeCell ref="GZA26:GZB26"/>
    <mergeCell ref="GZC26:GZD26"/>
    <mergeCell ref="GYG26:GYH26"/>
    <mergeCell ref="GYI26:GYJ26"/>
    <mergeCell ref="GYK26:GYL26"/>
    <mergeCell ref="GYM26:GYN26"/>
    <mergeCell ref="GYO26:GYP26"/>
    <mergeCell ref="GYQ26:GYR26"/>
    <mergeCell ref="GXU26:GXV26"/>
    <mergeCell ref="GXW26:GXX26"/>
    <mergeCell ref="GXY26:GXZ26"/>
    <mergeCell ref="GYA26:GYB26"/>
    <mergeCell ref="GYC26:GYD26"/>
    <mergeCell ref="GYE26:GYF26"/>
    <mergeCell ref="GXI26:GXJ26"/>
    <mergeCell ref="GXK26:GXL26"/>
    <mergeCell ref="GXM26:GXN26"/>
    <mergeCell ref="GXO26:GXP26"/>
    <mergeCell ref="GXQ26:GXR26"/>
    <mergeCell ref="GXS26:GXT26"/>
    <mergeCell ref="GWW26:GWX26"/>
    <mergeCell ref="GWY26:GWZ26"/>
    <mergeCell ref="GXA26:GXB26"/>
    <mergeCell ref="GXC26:GXD26"/>
    <mergeCell ref="GXE26:GXF26"/>
    <mergeCell ref="GXG26:GXH26"/>
    <mergeCell ref="HBY26:HBZ26"/>
    <mergeCell ref="HCA26:HCB26"/>
    <mergeCell ref="HCC26:HCD26"/>
    <mergeCell ref="HCE26:HCF26"/>
    <mergeCell ref="HCG26:HCH26"/>
    <mergeCell ref="HCI26:HCJ26"/>
    <mergeCell ref="HBM26:HBN26"/>
    <mergeCell ref="HBO26:HBP26"/>
    <mergeCell ref="HBQ26:HBR26"/>
    <mergeCell ref="HBS26:HBT26"/>
    <mergeCell ref="HBU26:HBV26"/>
    <mergeCell ref="HBW26:HBX26"/>
    <mergeCell ref="HBA26:HBB26"/>
    <mergeCell ref="HBC26:HBD26"/>
    <mergeCell ref="HBE26:HBF26"/>
    <mergeCell ref="HBG26:HBH26"/>
    <mergeCell ref="HBI26:HBJ26"/>
    <mergeCell ref="HBK26:HBL26"/>
    <mergeCell ref="HAO26:HAP26"/>
    <mergeCell ref="HAQ26:HAR26"/>
    <mergeCell ref="HAS26:HAT26"/>
    <mergeCell ref="HAU26:HAV26"/>
    <mergeCell ref="HAW26:HAX26"/>
    <mergeCell ref="HAY26:HAZ26"/>
    <mergeCell ref="HAC26:HAD26"/>
    <mergeCell ref="HAE26:HAF26"/>
    <mergeCell ref="HAG26:HAH26"/>
    <mergeCell ref="HAI26:HAJ26"/>
    <mergeCell ref="HAK26:HAL26"/>
    <mergeCell ref="HAM26:HAN26"/>
    <mergeCell ref="GZQ26:GZR26"/>
    <mergeCell ref="GZS26:GZT26"/>
    <mergeCell ref="GZU26:GZV26"/>
    <mergeCell ref="GZW26:GZX26"/>
    <mergeCell ref="GZY26:GZZ26"/>
    <mergeCell ref="HAA26:HAB26"/>
    <mergeCell ref="HES26:HET26"/>
    <mergeCell ref="HEU26:HEV26"/>
    <mergeCell ref="HEW26:HEX26"/>
    <mergeCell ref="HEY26:HEZ26"/>
    <mergeCell ref="HFA26:HFB26"/>
    <mergeCell ref="HFC26:HFD26"/>
    <mergeCell ref="HEG26:HEH26"/>
    <mergeCell ref="HEI26:HEJ26"/>
    <mergeCell ref="HEK26:HEL26"/>
    <mergeCell ref="HEM26:HEN26"/>
    <mergeCell ref="HEO26:HEP26"/>
    <mergeCell ref="HEQ26:HER26"/>
    <mergeCell ref="HDU26:HDV26"/>
    <mergeCell ref="HDW26:HDX26"/>
    <mergeCell ref="HDY26:HDZ26"/>
    <mergeCell ref="HEA26:HEB26"/>
    <mergeCell ref="HEC26:HED26"/>
    <mergeCell ref="HEE26:HEF26"/>
    <mergeCell ref="HDI26:HDJ26"/>
    <mergeCell ref="HDK26:HDL26"/>
    <mergeCell ref="HDM26:HDN26"/>
    <mergeCell ref="HDO26:HDP26"/>
    <mergeCell ref="HDQ26:HDR26"/>
    <mergeCell ref="HDS26:HDT26"/>
    <mergeCell ref="HCW26:HCX26"/>
    <mergeCell ref="HCY26:HCZ26"/>
    <mergeCell ref="HDA26:HDB26"/>
    <mergeCell ref="HDC26:HDD26"/>
    <mergeCell ref="HDE26:HDF26"/>
    <mergeCell ref="HDG26:HDH26"/>
    <mergeCell ref="HCK26:HCL26"/>
    <mergeCell ref="HCM26:HCN26"/>
    <mergeCell ref="HCO26:HCP26"/>
    <mergeCell ref="HCQ26:HCR26"/>
    <mergeCell ref="HCS26:HCT26"/>
    <mergeCell ref="HCU26:HCV26"/>
    <mergeCell ref="HHM26:HHN26"/>
    <mergeCell ref="HHO26:HHP26"/>
    <mergeCell ref="HHQ26:HHR26"/>
    <mergeCell ref="HHS26:HHT26"/>
    <mergeCell ref="HHU26:HHV26"/>
    <mergeCell ref="HHW26:HHX26"/>
    <mergeCell ref="HHA26:HHB26"/>
    <mergeCell ref="HHC26:HHD26"/>
    <mergeCell ref="HHE26:HHF26"/>
    <mergeCell ref="HHG26:HHH26"/>
    <mergeCell ref="HHI26:HHJ26"/>
    <mergeCell ref="HHK26:HHL26"/>
    <mergeCell ref="HGO26:HGP26"/>
    <mergeCell ref="HGQ26:HGR26"/>
    <mergeCell ref="HGS26:HGT26"/>
    <mergeCell ref="HGU26:HGV26"/>
    <mergeCell ref="HGW26:HGX26"/>
    <mergeCell ref="HGY26:HGZ26"/>
    <mergeCell ref="HGC26:HGD26"/>
    <mergeCell ref="HGE26:HGF26"/>
    <mergeCell ref="HGG26:HGH26"/>
    <mergeCell ref="HGI26:HGJ26"/>
    <mergeCell ref="HGK26:HGL26"/>
    <mergeCell ref="HGM26:HGN26"/>
    <mergeCell ref="HFQ26:HFR26"/>
    <mergeCell ref="HFS26:HFT26"/>
    <mergeCell ref="HFU26:HFV26"/>
    <mergeCell ref="HFW26:HFX26"/>
    <mergeCell ref="HFY26:HFZ26"/>
    <mergeCell ref="HGA26:HGB26"/>
    <mergeCell ref="HFE26:HFF26"/>
    <mergeCell ref="HFG26:HFH26"/>
    <mergeCell ref="HFI26:HFJ26"/>
    <mergeCell ref="HFK26:HFL26"/>
    <mergeCell ref="HFM26:HFN26"/>
    <mergeCell ref="HFO26:HFP26"/>
    <mergeCell ref="HKG26:HKH26"/>
    <mergeCell ref="HKI26:HKJ26"/>
    <mergeCell ref="HKK26:HKL26"/>
    <mergeCell ref="HKM26:HKN26"/>
    <mergeCell ref="HKO26:HKP26"/>
    <mergeCell ref="HKQ26:HKR26"/>
    <mergeCell ref="HJU26:HJV26"/>
    <mergeCell ref="HJW26:HJX26"/>
    <mergeCell ref="HJY26:HJZ26"/>
    <mergeCell ref="HKA26:HKB26"/>
    <mergeCell ref="HKC26:HKD26"/>
    <mergeCell ref="HKE26:HKF26"/>
    <mergeCell ref="HJI26:HJJ26"/>
    <mergeCell ref="HJK26:HJL26"/>
    <mergeCell ref="HJM26:HJN26"/>
    <mergeCell ref="HJO26:HJP26"/>
    <mergeCell ref="HJQ26:HJR26"/>
    <mergeCell ref="HJS26:HJT26"/>
    <mergeCell ref="HIW26:HIX26"/>
    <mergeCell ref="HIY26:HIZ26"/>
    <mergeCell ref="HJA26:HJB26"/>
    <mergeCell ref="HJC26:HJD26"/>
    <mergeCell ref="HJE26:HJF26"/>
    <mergeCell ref="HJG26:HJH26"/>
    <mergeCell ref="HIK26:HIL26"/>
    <mergeCell ref="HIM26:HIN26"/>
    <mergeCell ref="HIO26:HIP26"/>
    <mergeCell ref="HIQ26:HIR26"/>
    <mergeCell ref="HIS26:HIT26"/>
    <mergeCell ref="HIU26:HIV26"/>
    <mergeCell ref="HHY26:HHZ26"/>
    <mergeCell ref="HIA26:HIB26"/>
    <mergeCell ref="HIC26:HID26"/>
    <mergeCell ref="HIE26:HIF26"/>
    <mergeCell ref="HIG26:HIH26"/>
    <mergeCell ref="HII26:HIJ26"/>
    <mergeCell ref="HNA26:HNB26"/>
    <mergeCell ref="HNC26:HND26"/>
    <mergeCell ref="HNE26:HNF26"/>
    <mergeCell ref="HNG26:HNH26"/>
    <mergeCell ref="HNI26:HNJ26"/>
    <mergeCell ref="HNK26:HNL26"/>
    <mergeCell ref="HMO26:HMP26"/>
    <mergeCell ref="HMQ26:HMR26"/>
    <mergeCell ref="HMS26:HMT26"/>
    <mergeCell ref="HMU26:HMV26"/>
    <mergeCell ref="HMW26:HMX26"/>
    <mergeCell ref="HMY26:HMZ26"/>
    <mergeCell ref="HMC26:HMD26"/>
    <mergeCell ref="HME26:HMF26"/>
    <mergeCell ref="HMG26:HMH26"/>
    <mergeCell ref="HMI26:HMJ26"/>
    <mergeCell ref="HMK26:HML26"/>
    <mergeCell ref="HMM26:HMN26"/>
    <mergeCell ref="HLQ26:HLR26"/>
    <mergeCell ref="HLS26:HLT26"/>
    <mergeCell ref="HLU26:HLV26"/>
    <mergeCell ref="HLW26:HLX26"/>
    <mergeCell ref="HLY26:HLZ26"/>
    <mergeCell ref="HMA26:HMB26"/>
    <mergeCell ref="HLE26:HLF26"/>
    <mergeCell ref="HLG26:HLH26"/>
    <mergeCell ref="HLI26:HLJ26"/>
    <mergeCell ref="HLK26:HLL26"/>
    <mergeCell ref="HLM26:HLN26"/>
    <mergeCell ref="HLO26:HLP26"/>
    <mergeCell ref="HKS26:HKT26"/>
    <mergeCell ref="HKU26:HKV26"/>
    <mergeCell ref="HKW26:HKX26"/>
    <mergeCell ref="HKY26:HKZ26"/>
    <mergeCell ref="HLA26:HLB26"/>
    <mergeCell ref="HLC26:HLD26"/>
    <mergeCell ref="HPU26:HPV26"/>
    <mergeCell ref="HPW26:HPX26"/>
    <mergeCell ref="HPY26:HPZ26"/>
    <mergeCell ref="HQA26:HQB26"/>
    <mergeCell ref="HQC26:HQD26"/>
    <mergeCell ref="HQE26:HQF26"/>
    <mergeCell ref="HPI26:HPJ26"/>
    <mergeCell ref="HPK26:HPL26"/>
    <mergeCell ref="HPM26:HPN26"/>
    <mergeCell ref="HPO26:HPP26"/>
    <mergeCell ref="HPQ26:HPR26"/>
    <mergeCell ref="HPS26:HPT26"/>
    <mergeCell ref="HOW26:HOX26"/>
    <mergeCell ref="HOY26:HOZ26"/>
    <mergeCell ref="HPA26:HPB26"/>
    <mergeCell ref="HPC26:HPD26"/>
    <mergeCell ref="HPE26:HPF26"/>
    <mergeCell ref="HPG26:HPH26"/>
    <mergeCell ref="HOK26:HOL26"/>
    <mergeCell ref="HOM26:HON26"/>
    <mergeCell ref="HOO26:HOP26"/>
    <mergeCell ref="HOQ26:HOR26"/>
    <mergeCell ref="HOS26:HOT26"/>
    <mergeCell ref="HOU26:HOV26"/>
    <mergeCell ref="HNY26:HNZ26"/>
    <mergeCell ref="HOA26:HOB26"/>
    <mergeCell ref="HOC26:HOD26"/>
    <mergeCell ref="HOE26:HOF26"/>
    <mergeCell ref="HOG26:HOH26"/>
    <mergeCell ref="HOI26:HOJ26"/>
    <mergeCell ref="HNM26:HNN26"/>
    <mergeCell ref="HNO26:HNP26"/>
    <mergeCell ref="HNQ26:HNR26"/>
    <mergeCell ref="HNS26:HNT26"/>
    <mergeCell ref="HNU26:HNV26"/>
    <mergeCell ref="HNW26:HNX26"/>
    <mergeCell ref="HSO26:HSP26"/>
    <mergeCell ref="HSQ26:HSR26"/>
    <mergeCell ref="HSS26:HST26"/>
    <mergeCell ref="HSU26:HSV26"/>
    <mergeCell ref="HSW26:HSX26"/>
    <mergeCell ref="HSY26:HSZ26"/>
    <mergeCell ref="HSC26:HSD26"/>
    <mergeCell ref="HSE26:HSF26"/>
    <mergeCell ref="HSG26:HSH26"/>
    <mergeCell ref="HSI26:HSJ26"/>
    <mergeCell ref="HSK26:HSL26"/>
    <mergeCell ref="HSM26:HSN26"/>
    <mergeCell ref="HRQ26:HRR26"/>
    <mergeCell ref="HRS26:HRT26"/>
    <mergeCell ref="HRU26:HRV26"/>
    <mergeCell ref="HRW26:HRX26"/>
    <mergeCell ref="HRY26:HRZ26"/>
    <mergeCell ref="HSA26:HSB26"/>
    <mergeCell ref="HRE26:HRF26"/>
    <mergeCell ref="HRG26:HRH26"/>
    <mergeCell ref="HRI26:HRJ26"/>
    <mergeCell ref="HRK26:HRL26"/>
    <mergeCell ref="HRM26:HRN26"/>
    <mergeCell ref="HRO26:HRP26"/>
    <mergeCell ref="HQS26:HQT26"/>
    <mergeCell ref="HQU26:HQV26"/>
    <mergeCell ref="HQW26:HQX26"/>
    <mergeCell ref="HQY26:HQZ26"/>
    <mergeCell ref="HRA26:HRB26"/>
    <mergeCell ref="HRC26:HRD26"/>
    <mergeCell ref="HQG26:HQH26"/>
    <mergeCell ref="HQI26:HQJ26"/>
    <mergeCell ref="HQK26:HQL26"/>
    <mergeCell ref="HQM26:HQN26"/>
    <mergeCell ref="HQO26:HQP26"/>
    <mergeCell ref="HQQ26:HQR26"/>
    <mergeCell ref="HVI26:HVJ26"/>
    <mergeCell ref="HVK26:HVL26"/>
    <mergeCell ref="HVM26:HVN26"/>
    <mergeCell ref="HVO26:HVP26"/>
    <mergeCell ref="HVQ26:HVR26"/>
    <mergeCell ref="HVS26:HVT26"/>
    <mergeCell ref="HUW26:HUX26"/>
    <mergeCell ref="HUY26:HUZ26"/>
    <mergeCell ref="HVA26:HVB26"/>
    <mergeCell ref="HVC26:HVD26"/>
    <mergeCell ref="HVE26:HVF26"/>
    <mergeCell ref="HVG26:HVH26"/>
    <mergeCell ref="HUK26:HUL26"/>
    <mergeCell ref="HUM26:HUN26"/>
    <mergeCell ref="HUO26:HUP26"/>
    <mergeCell ref="HUQ26:HUR26"/>
    <mergeCell ref="HUS26:HUT26"/>
    <mergeCell ref="HUU26:HUV26"/>
    <mergeCell ref="HTY26:HTZ26"/>
    <mergeCell ref="HUA26:HUB26"/>
    <mergeCell ref="HUC26:HUD26"/>
    <mergeCell ref="HUE26:HUF26"/>
    <mergeCell ref="HUG26:HUH26"/>
    <mergeCell ref="HUI26:HUJ26"/>
    <mergeCell ref="HTM26:HTN26"/>
    <mergeCell ref="HTO26:HTP26"/>
    <mergeCell ref="HTQ26:HTR26"/>
    <mergeCell ref="HTS26:HTT26"/>
    <mergeCell ref="HTU26:HTV26"/>
    <mergeCell ref="HTW26:HTX26"/>
    <mergeCell ref="HTA26:HTB26"/>
    <mergeCell ref="HTC26:HTD26"/>
    <mergeCell ref="HTE26:HTF26"/>
    <mergeCell ref="HTG26:HTH26"/>
    <mergeCell ref="HTI26:HTJ26"/>
    <mergeCell ref="HTK26:HTL26"/>
    <mergeCell ref="HYC26:HYD26"/>
    <mergeCell ref="HYE26:HYF26"/>
    <mergeCell ref="HYG26:HYH26"/>
    <mergeCell ref="HYI26:HYJ26"/>
    <mergeCell ref="HYK26:HYL26"/>
    <mergeCell ref="HYM26:HYN26"/>
    <mergeCell ref="HXQ26:HXR26"/>
    <mergeCell ref="HXS26:HXT26"/>
    <mergeCell ref="HXU26:HXV26"/>
    <mergeCell ref="HXW26:HXX26"/>
    <mergeCell ref="HXY26:HXZ26"/>
    <mergeCell ref="HYA26:HYB26"/>
    <mergeCell ref="HXE26:HXF26"/>
    <mergeCell ref="HXG26:HXH26"/>
    <mergeCell ref="HXI26:HXJ26"/>
    <mergeCell ref="HXK26:HXL26"/>
    <mergeCell ref="HXM26:HXN26"/>
    <mergeCell ref="HXO26:HXP26"/>
    <mergeCell ref="HWS26:HWT26"/>
    <mergeCell ref="HWU26:HWV26"/>
    <mergeCell ref="HWW26:HWX26"/>
    <mergeCell ref="HWY26:HWZ26"/>
    <mergeCell ref="HXA26:HXB26"/>
    <mergeCell ref="HXC26:HXD26"/>
    <mergeCell ref="HWG26:HWH26"/>
    <mergeCell ref="HWI26:HWJ26"/>
    <mergeCell ref="HWK26:HWL26"/>
    <mergeCell ref="HWM26:HWN26"/>
    <mergeCell ref="HWO26:HWP26"/>
    <mergeCell ref="HWQ26:HWR26"/>
    <mergeCell ref="HVU26:HVV26"/>
    <mergeCell ref="HVW26:HVX26"/>
    <mergeCell ref="HVY26:HVZ26"/>
    <mergeCell ref="HWA26:HWB26"/>
    <mergeCell ref="HWC26:HWD26"/>
    <mergeCell ref="HWE26:HWF26"/>
    <mergeCell ref="IAW26:IAX26"/>
    <mergeCell ref="IAY26:IAZ26"/>
    <mergeCell ref="IBA26:IBB26"/>
    <mergeCell ref="IBC26:IBD26"/>
    <mergeCell ref="IBE26:IBF26"/>
    <mergeCell ref="IBG26:IBH26"/>
    <mergeCell ref="IAK26:IAL26"/>
    <mergeCell ref="IAM26:IAN26"/>
    <mergeCell ref="IAO26:IAP26"/>
    <mergeCell ref="IAQ26:IAR26"/>
    <mergeCell ref="IAS26:IAT26"/>
    <mergeCell ref="IAU26:IAV26"/>
    <mergeCell ref="HZY26:HZZ26"/>
    <mergeCell ref="IAA26:IAB26"/>
    <mergeCell ref="IAC26:IAD26"/>
    <mergeCell ref="IAE26:IAF26"/>
    <mergeCell ref="IAG26:IAH26"/>
    <mergeCell ref="IAI26:IAJ26"/>
    <mergeCell ref="HZM26:HZN26"/>
    <mergeCell ref="HZO26:HZP26"/>
    <mergeCell ref="HZQ26:HZR26"/>
    <mergeCell ref="HZS26:HZT26"/>
    <mergeCell ref="HZU26:HZV26"/>
    <mergeCell ref="HZW26:HZX26"/>
    <mergeCell ref="HZA26:HZB26"/>
    <mergeCell ref="HZC26:HZD26"/>
    <mergeCell ref="HZE26:HZF26"/>
    <mergeCell ref="HZG26:HZH26"/>
    <mergeCell ref="HZI26:HZJ26"/>
    <mergeCell ref="HZK26:HZL26"/>
    <mergeCell ref="HYO26:HYP26"/>
    <mergeCell ref="HYQ26:HYR26"/>
    <mergeCell ref="HYS26:HYT26"/>
    <mergeCell ref="HYU26:HYV26"/>
    <mergeCell ref="HYW26:HYX26"/>
    <mergeCell ref="HYY26:HYZ26"/>
    <mergeCell ref="IDQ26:IDR26"/>
    <mergeCell ref="IDS26:IDT26"/>
    <mergeCell ref="IDU26:IDV26"/>
    <mergeCell ref="IDW26:IDX26"/>
    <mergeCell ref="IDY26:IDZ26"/>
    <mergeCell ref="IEA26:IEB26"/>
    <mergeCell ref="IDE26:IDF26"/>
    <mergeCell ref="IDG26:IDH26"/>
    <mergeCell ref="IDI26:IDJ26"/>
    <mergeCell ref="IDK26:IDL26"/>
    <mergeCell ref="IDM26:IDN26"/>
    <mergeCell ref="IDO26:IDP26"/>
    <mergeCell ref="ICS26:ICT26"/>
    <mergeCell ref="ICU26:ICV26"/>
    <mergeCell ref="ICW26:ICX26"/>
    <mergeCell ref="ICY26:ICZ26"/>
    <mergeCell ref="IDA26:IDB26"/>
    <mergeCell ref="IDC26:IDD26"/>
    <mergeCell ref="ICG26:ICH26"/>
    <mergeCell ref="ICI26:ICJ26"/>
    <mergeCell ref="ICK26:ICL26"/>
    <mergeCell ref="ICM26:ICN26"/>
    <mergeCell ref="ICO26:ICP26"/>
    <mergeCell ref="ICQ26:ICR26"/>
    <mergeCell ref="IBU26:IBV26"/>
    <mergeCell ref="IBW26:IBX26"/>
    <mergeCell ref="IBY26:IBZ26"/>
    <mergeCell ref="ICA26:ICB26"/>
    <mergeCell ref="ICC26:ICD26"/>
    <mergeCell ref="ICE26:ICF26"/>
    <mergeCell ref="IBI26:IBJ26"/>
    <mergeCell ref="IBK26:IBL26"/>
    <mergeCell ref="IBM26:IBN26"/>
    <mergeCell ref="IBO26:IBP26"/>
    <mergeCell ref="IBQ26:IBR26"/>
    <mergeCell ref="IBS26:IBT26"/>
    <mergeCell ref="IGK26:IGL26"/>
    <mergeCell ref="IGM26:IGN26"/>
    <mergeCell ref="IGO26:IGP26"/>
    <mergeCell ref="IGQ26:IGR26"/>
    <mergeCell ref="IGS26:IGT26"/>
    <mergeCell ref="IGU26:IGV26"/>
    <mergeCell ref="IFY26:IFZ26"/>
    <mergeCell ref="IGA26:IGB26"/>
    <mergeCell ref="IGC26:IGD26"/>
    <mergeCell ref="IGE26:IGF26"/>
    <mergeCell ref="IGG26:IGH26"/>
    <mergeCell ref="IGI26:IGJ26"/>
    <mergeCell ref="IFM26:IFN26"/>
    <mergeCell ref="IFO26:IFP26"/>
    <mergeCell ref="IFQ26:IFR26"/>
    <mergeCell ref="IFS26:IFT26"/>
    <mergeCell ref="IFU26:IFV26"/>
    <mergeCell ref="IFW26:IFX26"/>
    <mergeCell ref="IFA26:IFB26"/>
    <mergeCell ref="IFC26:IFD26"/>
    <mergeCell ref="IFE26:IFF26"/>
    <mergeCell ref="IFG26:IFH26"/>
    <mergeCell ref="IFI26:IFJ26"/>
    <mergeCell ref="IFK26:IFL26"/>
    <mergeCell ref="IEO26:IEP26"/>
    <mergeCell ref="IEQ26:IER26"/>
    <mergeCell ref="IES26:IET26"/>
    <mergeCell ref="IEU26:IEV26"/>
    <mergeCell ref="IEW26:IEX26"/>
    <mergeCell ref="IEY26:IEZ26"/>
    <mergeCell ref="IEC26:IED26"/>
    <mergeCell ref="IEE26:IEF26"/>
    <mergeCell ref="IEG26:IEH26"/>
    <mergeCell ref="IEI26:IEJ26"/>
    <mergeCell ref="IEK26:IEL26"/>
    <mergeCell ref="IEM26:IEN26"/>
    <mergeCell ref="IJE26:IJF26"/>
    <mergeCell ref="IJG26:IJH26"/>
    <mergeCell ref="IJI26:IJJ26"/>
    <mergeCell ref="IJK26:IJL26"/>
    <mergeCell ref="IJM26:IJN26"/>
    <mergeCell ref="IJO26:IJP26"/>
    <mergeCell ref="IIS26:IIT26"/>
    <mergeCell ref="IIU26:IIV26"/>
    <mergeCell ref="IIW26:IIX26"/>
    <mergeCell ref="IIY26:IIZ26"/>
    <mergeCell ref="IJA26:IJB26"/>
    <mergeCell ref="IJC26:IJD26"/>
    <mergeCell ref="IIG26:IIH26"/>
    <mergeCell ref="III26:IIJ26"/>
    <mergeCell ref="IIK26:IIL26"/>
    <mergeCell ref="IIM26:IIN26"/>
    <mergeCell ref="IIO26:IIP26"/>
    <mergeCell ref="IIQ26:IIR26"/>
    <mergeCell ref="IHU26:IHV26"/>
    <mergeCell ref="IHW26:IHX26"/>
    <mergeCell ref="IHY26:IHZ26"/>
    <mergeCell ref="IIA26:IIB26"/>
    <mergeCell ref="IIC26:IID26"/>
    <mergeCell ref="IIE26:IIF26"/>
    <mergeCell ref="IHI26:IHJ26"/>
    <mergeCell ref="IHK26:IHL26"/>
    <mergeCell ref="IHM26:IHN26"/>
    <mergeCell ref="IHO26:IHP26"/>
    <mergeCell ref="IHQ26:IHR26"/>
    <mergeCell ref="IHS26:IHT26"/>
    <mergeCell ref="IGW26:IGX26"/>
    <mergeCell ref="IGY26:IGZ26"/>
    <mergeCell ref="IHA26:IHB26"/>
    <mergeCell ref="IHC26:IHD26"/>
    <mergeCell ref="IHE26:IHF26"/>
    <mergeCell ref="IHG26:IHH26"/>
    <mergeCell ref="ILY26:ILZ26"/>
    <mergeCell ref="IMA26:IMB26"/>
    <mergeCell ref="IMC26:IMD26"/>
    <mergeCell ref="IME26:IMF26"/>
    <mergeCell ref="IMG26:IMH26"/>
    <mergeCell ref="IMI26:IMJ26"/>
    <mergeCell ref="ILM26:ILN26"/>
    <mergeCell ref="ILO26:ILP26"/>
    <mergeCell ref="ILQ26:ILR26"/>
    <mergeCell ref="ILS26:ILT26"/>
    <mergeCell ref="ILU26:ILV26"/>
    <mergeCell ref="ILW26:ILX26"/>
    <mergeCell ref="ILA26:ILB26"/>
    <mergeCell ref="ILC26:ILD26"/>
    <mergeCell ref="ILE26:ILF26"/>
    <mergeCell ref="ILG26:ILH26"/>
    <mergeCell ref="ILI26:ILJ26"/>
    <mergeCell ref="ILK26:ILL26"/>
    <mergeCell ref="IKO26:IKP26"/>
    <mergeCell ref="IKQ26:IKR26"/>
    <mergeCell ref="IKS26:IKT26"/>
    <mergeCell ref="IKU26:IKV26"/>
    <mergeCell ref="IKW26:IKX26"/>
    <mergeCell ref="IKY26:IKZ26"/>
    <mergeCell ref="IKC26:IKD26"/>
    <mergeCell ref="IKE26:IKF26"/>
    <mergeCell ref="IKG26:IKH26"/>
    <mergeCell ref="IKI26:IKJ26"/>
    <mergeCell ref="IKK26:IKL26"/>
    <mergeCell ref="IKM26:IKN26"/>
    <mergeCell ref="IJQ26:IJR26"/>
    <mergeCell ref="IJS26:IJT26"/>
    <mergeCell ref="IJU26:IJV26"/>
    <mergeCell ref="IJW26:IJX26"/>
    <mergeCell ref="IJY26:IJZ26"/>
    <mergeCell ref="IKA26:IKB26"/>
    <mergeCell ref="IOS26:IOT26"/>
    <mergeCell ref="IOU26:IOV26"/>
    <mergeCell ref="IOW26:IOX26"/>
    <mergeCell ref="IOY26:IOZ26"/>
    <mergeCell ref="IPA26:IPB26"/>
    <mergeCell ref="IPC26:IPD26"/>
    <mergeCell ref="IOG26:IOH26"/>
    <mergeCell ref="IOI26:IOJ26"/>
    <mergeCell ref="IOK26:IOL26"/>
    <mergeCell ref="IOM26:ION26"/>
    <mergeCell ref="IOO26:IOP26"/>
    <mergeCell ref="IOQ26:IOR26"/>
    <mergeCell ref="INU26:INV26"/>
    <mergeCell ref="INW26:INX26"/>
    <mergeCell ref="INY26:INZ26"/>
    <mergeCell ref="IOA26:IOB26"/>
    <mergeCell ref="IOC26:IOD26"/>
    <mergeCell ref="IOE26:IOF26"/>
    <mergeCell ref="INI26:INJ26"/>
    <mergeCell ref="INK26:INL26"/>
    <mergeCell ref="INM26:INN26"/>
    <mergeCell ref="INO26:INP26"/>
    <mergeCell ref="INQ26:INR26"/>
    <mergeCell ref="INS26:INT26"/>
    <mergeCell ref="IMW26:IMX26"/>
    <mergeCell ref="IMY26:IMZ26"/>
    <mergeCell ref="INA26:INB26"/>
    <mergeCell ref="INC26:IND26"/>
    <mergeCell ref="INE26:INF26"/>
    <mergeCell ref="ING26:INH26"/>
    <mergeCell ref="IMK26:IML26"/>
    <mergeCell ref="IMM26:IMN26"/>
    <mergeCell ref="IMO26:IMP26"/>
    <mergeCell ref="IMQ26:IMR26"/>
    <mergeCell ref="IMS26:IMT26"/>
    <mergeCell ref="IMU26:IMV26"/>
    <mergeCell ref="IRM26:IRN26"/>
    <mergeCell ref="IRO26:IRP26"/>
    <mergeCell ref="IRQ26:IRR26"/>
    <mergeCell ref="IRS26:IRT26"/>
    <mergeCell ref="IRU26:IRV26"/>
    <mergeCell ref="IRW26:IRX26"/>
    <mergeCell ref="IRA26:IRB26"/>
    <mergeCell ref="IRC26:IRD26"/>
    <mergeCell ref="IRE26:IRF26"/>
    <mergeCell ref="IRG26:IRH26"/>
    <mergeCell ref="IRI26:IRJ26"/>
    <mergeCell ref="IRK26:IRL26"/>
    <mergeCell ref="IQO26:IQP26"/>
    <mergeCell ref="IQQ26:IQR26"/>
    <mergeCell ref="IQS26:IQT26"/>
    <mergeCell ref="IQU26:IQV26"/>
    <mergeCell ref="IQW26:IQX26"/>
    <mergeCell ref="IQY26:IQZ26"/>
    <mergeCell ref="IQC26:IQD26"/>
    <mergeCell ref="IQE26:IQF26"/>
    <mergeCell ref="IQG26:IQH26"/>
    <mergeCell ref="IQI26:IQJ26"/>
    <mergeCell ref="IQK26:IQL26"/>
    <mergeCell ref="IQM26:IQN26"/>
    <mergeCell ref="IPQ26:IPR26"/>
    <mergeCell ref="IPS26:IPT26"/>
    <mergeCell ref="IPU26:IPV26"/>
    <mergeCell ref="IPW26:IPX26"/>
    <mergeCell ref="IPY26:IPZ26"/>
    <mergeCell ref="IQA26:IQB26"/>
    <mergeCell ref="IPE26:IPF26"/>
    <mergeCell ref="IPG26:IPH26"/>
    <mergeCell ref="IPI26:IPJ26"/>
    <mergeCell ref="IPK26:IPL26"/>
    <mergeCell ref="IPM26:IPN26"/>
    <mergeCell ref="IPO26:IPP26"/>
    <mergeCell ref="IUG26:IUH26"/>
    <mergeCell ref="IUI26:IUJ26"/>
    <mergeCell ref="IUK26:IUL26"/>
    <mergeCell ref="IUM26:IUN26"/>
    <mergeCell ref="IUO26:IUP26"/>
    <mergeCell ref="IUQ26:IUR26"/>
    <mergeCell ref="ITU26:ITV26"/>
    <mergeCell ref="ITW26:ITX26"/>
    <mergeCell ref="ITY26:ITZ26"/>
    <mergeCell ref="IUA26:IUB26"/>
    <mergeCell ref="IUC26:IUD26"/>
    <mergeCell ref="IUE26:IUF26"/>
    <mergeCell ref="ITI26:ITJ26"/>
    <mergeCell ref="ITK26:ITL26"/>
    <mergeCell ref="ITM26:ITN26"/>
    <mergeCell ref="ITO26:ITP26"/>
    <mergeCell ref="ITQ26:ITR26"/>
    <mergeCell ref="ITS26:ITT26"/>
    <mergeCell ref="ISW26:ISX26"/>
    <mergeCell ref="ISY26:ISZ26"/>
    <mergeCell ref="ITA26:ITB26"/>
    <mergeCell ref="ITC26:ITD26"/>
    <mergeCell ref="ITE26:ITF26"/>
    <mergeCell ref="ITG26:ITH26"/>
    <mergeCell ref="ISK26:ISL26"/>
    <mergeCell ref="ISM26:ISN26"/>
    <mergeCell ref="ISO26:ISP26"/>
    <mergeCell ref="ISQ26:ISR26"/>
    <mergeCell ref="ISS26:IST26"/>
    <mergeCell ref="ISU26:ISV26"/>
    <mergeCell ref="IRY26:IRZ26"/>
    <mergeCell ref="ISA26:ISB26"/>
    <mergeCell ref="ISC26:ISD26"/>
    <mergeCell ref="ISE26:ISF26"/>
    <mergeCell ref="ISG26:ISH26"/>
    <mergeCell ref="ISI26:ISJ26"/>
    <mergeCell ref="IXA26:IXB26"/>
    <mergeCell ref="IXC26:IXD26"/>
    <mergeCell ref="IXE26:IXF26"/>
    <mergeCell ref="IXG26:IXH26"/>
    <mergeCell ref="IXI26:IXJ26"/>
    <mergeCell ref="IXK26:IXL26"/>
    <mergeCell ref="IWO26:IWP26"/>
    <mergeCell ref="IWQ26:IWR26"/>
    <mergeCell ref="IWS26:IWT26"/>
    <mergeCell ref="IWU26:IWV26"/>
    <mergeCell ref="IWW26:IWX26"/>
    <mergeCell ref="IWY26:IWZ26"/>
    <mergeCell ref="IWC26:IWD26"/>
    <mergeCell ref="IWE26:IWF26"/>
    <mergeCell ref="IWG26:IWH26"/>
    <mergeCell ref="IWI26:IWJ26"/>
    <mergeCell ref="IWK26:IWL26"/>
    <mergeCell ref="IWM26:IWN26"/>
    <mergeCell ref="IVQ26:IVR26"/>
    <mergeCell ref="IVS26:IVT26"/>
    <mergeCell ref="IVU26:IVV26"/>
    <mergeCell ref="IVW26:IVX26"/>
    <mergeCell ref="IVY26:IVZ26"/>
    <mergeCell ref="IWA26:IWB26"/>
    <mergeCell ref="IVE26:IVF26"/>
    <mergeCell ref="IVG26:IVH26"/>
    <mergeCell ref="IVI26:IVJ26"/>
    <mergeCell ref="IVK26:IVL26"/>
    <mergeCell ref="IVM26:IVN26"/>
    <mergeCell ref="IVO26:IVP26"/>
    <mergeCell ref="IUS26:IUT26"/>
    <mergeCell ref="IUU26:IUV26"/>
    <mergeCell ref="IUW26:IUX26"/>
    <mergeCell ref="IUY26:IUZ26"/>
    <mergeCell ref="IVA26:IVB26"/>
    <mergeCell ref="IVC26:IVD26"/>
    <mergeCell ref="IZU26:IZV26"/>
    <mergeCell ref="IZW26:IZX26"/>
    <mergeCell ref="IZY26:IZZ26"/>
    <mergeCell ref="JAA26:JAB26"/>
    <mergeCell ref="JAC26:JAD26"/>
    <mergeCell ref="JAE26:JAF26"/>
    <mergeCell ref="IZI26:IZJ26"/>
    <mergeCell ref="IZK26:IZL26"/>
    <mergeCell ref="IZM26:IZN26"/>
    <mergeCell ref="IZO26:IZP26"/>
    <mergeCell ref="IZQ26:IZR26"/>
    <mergeCell ref="IZS26:IZT26"/>
    <mergeCell ref="IYW26:IYX26"/>
    <mergeCell ref="IYY26:IYZ26"/>
    <mergeCell ref="IZA26:IZB26"/>
    <mergeCell ref="IZC26:IZD26"/>
    <mergeCell ref="IZE26:IZF26"/>
    <mergeCell ref="IZG26:IZH26"/>
    <mergeCell ref="IYK26:IYL26"/>
    <mergeCell ref="IYM26:IYN26"/>
    <mergeCell ref="IYO26:IYP26"/>
    <mergeCell ref="IYQ26:IYR26"/>
    <mergeCell ref="IYS26:IYT26"/>
    <mergeCell ref="IYU26:IYV26"/>
    <mergeCell ref="IXY26:IXZ26"/>
    <mergeCell ref="IYA26:IYB26"/>
    <mergeCell ref="IYC26:IYD26"/>
    <mergeCell ref="IYE26:IYF26"/>
    <mergeCell ref="IYG26:IYH26"/>
    <mergeCell ref="IYI26:IYJ26"/>
    <mergeCell ref="IXM26:IXN26"/>
    <mergeCell ref="IXO26:IXP26"/>
    <mergeCell ref="IXQ26:IXR26"/>
    <mergeCell ref="IXS26:IXT26"/>
    <mergeCell ref="IXU26:IXV26"/>
    <mergeCell ref="IXW26:IXX26"/>
    <mergeCell ref="JCO26:JCP26"/>
    <mergeCell ref="JCQ26:JCR26"/>
    <mergeCell ref="JCS26:JCT26"/>
    <mergeCell ref="JCU26:JCV26"/>
    <mergeCell ref="JCW26:JCX26"/>
    <mergeCell ref="JCY26:JCZ26"/>
    <mergeCell ref="JCC26:JCD26"/>
    <mergeCell ref="JCE26:JCF26"/>
    <mergeCell ref="JCG26:JCH26"/>
    <mergeCell ref="JCI26:JCJ26"/>
    <mergeCell ref="JCK26:JCL26"/>
    <mergeCell ref="JCM26:JCN26"/>
    <mergeCell ref="JBQ26:JBR26"/>
    <mergeCell ref="JBS26:JBT26"/>
    <mergeCell ref="JBU26:JBV26"/>
    <mergeCell ref="JBW26:JBX26"/>
    <mergeCell ref="JBY26:JBZ26"/>
    <mergeCell ref="JCA26:JCB26"/>
    <mergeCell ref="JBE26:JBF26"/>
    <mergeCell ref="JBG26:JBH26"/>
    <mergeCell ref="JBI26:JBJ26"/>
    <mergeCell ref="JBK26:JBL26"/>
    <mergeCell ref="JBM26:JBN26"/>
    <mergeCell ref="JBO26:JBP26"/>
    <mergeCell ref="JAS26:JAT26"/>
    <mergeCell ref="JAU26:JAV26"/>
    <mergeCell ref="JAW26:JAX26"/>
    <mergeCell ref="JAY26:JAZ26"/>
    <mergeCell ref="JBA26:JBB26"/>
    <mergeCell ref="JBC26:JBD26"/>
    <mergeCell ref="JAG26:JAH26"/>
    <mergeCell ref="JAI26:JAJ26"/>
    <mergeCell ref="JAK26:JAL26"/>
    <mergeCell ref="JAM26:JAN26"/>
    <mergeCell ref="JAO26:JAP26"/>
    <mergeCell ref="JAQ26:JAR26"/>
    <mergeCell ref="JFI26:JFJ26"/>
    <mergeCell ref="JFK26:JFL26"/>
    <mergeCell ref="JFM26:JFN26"/>
    <mergeCell ref="JFO26:JFP26"/>
    <mergeCell ref="JFQ26:JFR26"/>
    <mergeCell ref="JFS26:JFT26"/>
    <mergeCell ref="JEW26:JEX26"/>
    <mergeCell ref="JEY26:JEZ26"/>
    <mergeCell ref="JFA26:JFB26"/>
    <mergeCell ref="JFC26:JFD26"/>
    <mergeCell ref="JFE26:JFF26"/>
    <mergeCell ref="JFG26:JFH26"/>
    <mergeCell ref="JEK26:JEL26"/>
    <mergeCell ref="JEM26:JEN26"/>
    <mergeCell ref="JEO26:JEP26"/>
    <mergeCell ref="JEQ26:JER26"/>
    <mergeCell ref="JES26:JET26"/>
    <mergeCell ref="JEU26:JEV26"/>
    <mergeCell ref="JDY26:JDZ26"/>
    <mergeCell ref="JEA26:JEB26"/>
    <mergeCell ref="JEC26:JED26"/>
    <mergeCell ref="JEE26:JEF26"/>
    <mergeCell ref="JEG26:JEH26"/>
    <mergeCell ref="JEI26:JEJ26"/>
    <mergeCell ref="JDM26:JDN26"/>
    <mergeCell ref="JDO26:JDP26"/>
    <mergeCell ref="JDQ26:JDR26"/>
    <mergeCell ref="JDS26:JDT26"/>
    <mergeCell ref="JDU26:JDV26"/>
    <mergeCell ref="JDW26:JDX26"/>
    <mergeCell ref="JDA26:JDB26"/>
    <mergeCell ref="JDC26:JDD26"/>
    <mergeCell ref="JDE26:JDF26"/>
    <mergeCell ref="JDG26:JDH26"/>
    <mergeCell ref="JDI26:JDJ26"/>
    <mergeCell ref="JDK26:JDL26"/>
    <mergeCell ref="JIC26:JID26"/>
    <mergeCell ref="JIE26:JIF26"/>
    <mergeCell ref="JIG26:JIH26"/>
    <mergeCell ref="JII26:JIJ26"/>
    <mergeCell ref="JIK26:JIL26"/>
    <mergeCell ref="JIM26:JIN26"/>
    <mergeCell ref="JHQ26:JHR26"/>
    <mergeCell ref="JHS26:JHT26"/>
    <mergeCell ref="JHU26:JHV26"/>
    <mergeCell ref="JHW26:JHX26"/>
    <mergeCell ref="JHY26:JHZ26"/>
    <mergeCell ref="JIA26:JIB26"/>
    <mergeCell ref="JHE26:JHF26"/>
    <mergeCell ref="JHG26:JHH26"/>
    <mergeCell ref="JHI26:JHJ26"/>
    <mergeCell ref="JHK26:JHL26"/>
    <mergeCell ref="JHM26:JHN26"/>
    <mergeCell ref="JHO26:JHP26"/>
    <mergeCell ref="JGS26:JGT26"/>
    <mergeCell ref="JGU26:JGV26"/>
    <mergeCell ref="JGW26:JGX26"/>
    <mergeCell ref="JGY26:JGZ26"/>
    <mergeCell ref="JHA26:JHB26"/>
    <mergeCell ref="JHC26:JHD26"/>
    <mergeCell ref="JGG26:JGH26"/>
    <mergeCell ref="JGI26:JGJ26"/>
    <mergeCell ref="JGK26:JGL26"/>
    <mergeCell ref="JGM26:JGN26"/>
    <mergeCell ref="JGO26:JGP26"/>
    <mergeCell ref="JGQ26:JGR26"/>
    <mergeCell ref="JFU26:JFV26"/>
    <mergeCell ref="JFW26:JFX26"/>
    <mergeCell ref="JFY26:JFZ26"/>
    <mergeCell ref="JGA26:JGB26"/>
    <mergeCell ref="JGC26:JGD26"/>
    <mergeCell ref="JGE26:JGF26"/>
    <mergeCell ref="JKW26:JKX26"/>
    <mergeCell ref="JKY26:JKZ26"/>
    <mergeCell ref="JLA26:JLB26"/>
    <mergeCell ref="JLC26:JLD26"/>
    <mergeCell ref="JLE26:JLF26"/>
    <mergeCell ref="JLG26:JLH26"/>
    <mergeCell ref="JKK26:JKL26"/>
    <mergeCell ref="JKM26:JKN26"/>
    <mergeCell ref="JKO26:JKP26"/>
    <mergeCell ref="JKQ26:JKR26"/>
    <mergeCell ref="JKS26:JKT26"/>
    <mergeCell ref="JKU26:JKV26"/>
    <mergeCell ref="JJY26:JJZ26"/>
    <mergeCell ref="JKA26:JKB26"/>
    <mergeCell ref="JKC26:JKD26"/>
    <mergeCell ref="JKE26:JKF26"/>
    <mergeCell ref="JKG26:JKH26"/>
    <mergeCell ref="JKI26:JKJ26"/>
    <mergeCell ref="JJM26:JJN26"/>
    <mergeCell ref="JJO26:JJP26"/>
    <mergeCell ref="JJQ26:JJR26"/>
    <mergeCell ref="JJS26:JJT26"/>
    <mergeCell ref="JJU26:JJV26"/>
    <mergeCell ref="JJW26:JJX26"/>
    <mergeCell ref="JJA26:JJB26"/>
    <mergeCell ref="JJC26:JJD26"/>
    <mergeCell ref="JJE26:JJF26"/>
    <mergeCell ref="JJG26:JJH26"/>
    <mergeCell ref="JJI26:JJJ26"/>
    <mergeCell ref="JJK26:JJL26"/>
    <mergeCell ref="JIO26:JIP26"/>
    <mergeCell ref="JIQ26:JIR26"/>
    <mergeCell ref="JIS26:JIT26"/>
    <mergeCell ref="JIU26:JIV26"/>
    <mergeCell ref="JIW26:JIX26"/>
    <mergeCell ref="JIY26:JIZ26"/>
    <mergeCell ref="JNQ26:JNR26"/>
    <mergeCell ref="JNS26:JNT26"/>
    <mergeCell ref="JNU26:JNV26"/>
    <mergeCell ref="JNW26:JNX26"/>
    <mergeCell ref="JNY26:JNZ26"/>
    <mergeCell ref="JOA26:JOB26"/>
    <mergeCell ref="JNE26:JNF26"/>
    <mergeCell ref="JNG26:JNH26"/>
    <mergeCell ref="JNI26:JNJ26"/>
    <mergeCell ref="JNK26:JNL26"/>
    <mergeCell ref="JNM26:JNN26"/>
    <mergeCell ref="JNO26:JNP26"/>
    <mergeCell ref="JMS26:JMT26"/>
    <mergeCell ref="JMU26:JMV26"/>
    <mergeCell ref="JMW26:JMX26"/>
    <mergeCell ref="JMY26:JMZ26"/>
    <mergeCell ref="JNA26:JNB26"/>
    <mergeCell ref="JNC26:JND26"/>
    <mergeCell ref="JMG26:JMH26"/>
    <mergeCell ref="JMI26:JMJ26"/>
    <mergeCell ref="JMK26:JML26"/>
    <mergeCell ref="JMM26:JMN26"/>
    <mergeCell ref="JMO26:JMP26"/>
    <mergeCell ref="JMQ26:JMR26"/>
    <mergeCell ref="JLU26:JLV26"/>
    <mergeCell ref="JLW26:JLX26"/>
    <mergeCell ref="JLY26:JLZ26"/>
    <mergeCell ref="JMA26:JMB26"/>
    <mergeCell ref="JMC26:JMD26"/>
    <mergeCell ref="JME26:JMF26"/>
    <mergeCell ref="JLI26:JLJ26"/>
    <mergeCell ref="JLK26:JLL26"/>
    <mergeCell ref="JLM26:JLN26"/>
    <mergeCell ref="JLO26:JLP26"/>
    <mergeCell ref="JLQ26:JLR26"/>
    <mergeCell ref="JLS26:JLT26"/>
    <mergeCell ref="JQK26:JQL26"/>
    <mergeCell ref="JQM26:JQN26"/>
    <mergeCell ref="JQO26:JQP26"/>
    <mergeCell ref="JQQ26:JQR26"/>
    <mergeCell ref="JQS26:JQT26"/>
    <mergeCell ref="JQU26:JQV26"/>
    <mergeCell ref="JPY26:JPZ26"/>
    <mergeCell ref="JQA26:JQB26"/>
    <mergeCell ref="JQC26:JQD26"/>
    <mergeCell ref="JQE26:JQF26"/>
    <mergeCell ref="JQG26:JQH26"/>
    <mergeCell ref="JQI26:JQJ26"/>
    <mergeCell ref="JPM26:JPN26"/>
    <mergeCell ref="JPO26:JPP26"/>
    <mergeCell ref="JPQ26:JPR26"/>
    <mergeCell ref="JPS26:JPT26"/>
    <mergeCell ref="JPU26:JPV26"/>
    <mergeCell ref="JPW26:JPX26"/>
    <mergeCell ref="JPA26:JPB26"/>
    <mergeCell ref="JPC26:JPD26"/>
    <mergeCell ref="JPE26:JPF26"/>
    <mergeCell ref="JPG26:JPH26"/>
    <mergeCell ref="JPI26:JPJ26"/>
    <mergeCell ref="JPK26:JPL26"/>
    <mergeCell ref="JOO26:JOP26"/>
    <mergeCell ref="JOQ26:JOR26"/>
    <mergeCell ref="JOS26:JOT26"/>
    <mergeCell ref="JOU26:JOV26"/>
    <mergeCell ref="JOW26:JOX26"/>
    <mergeCell ref="JOY26:JOZ26"/>
    <mergeCell ref="JOC26:JOD26"/>
    <mergeCell ref="JOE26:JOF26"/>
    <mergeCell ref="JOG26:JOH26"/>
    <mergeCell ref="JOI26:JOJ26"/>
    <mergeCell ref="JOK26:JOL26"/>
    <mergeCell ref="JOM26:JON26"/>
    <mergeCell ref="JTE26:JTF26"/>
    <mergeCell ref="JTG26:JTH26"/>
    <mergeCell ref="JTI26:JTJ26"/>
    <mergeCell ref="JTK26:JTL26"/>
    <mergeCell ref="JTM26:JTN26"/>
    <mergeCell ref="JTO26:JTP26"/>
    <mergeCell ref="JSS26:JST26"/>
    <mergeCell ref="JSU26:JSV26"/>
    <mergeCell ref="JSW26:JSX26"/>
    <mergeCell ref="JSY26:JSZ26"/>
    <mergeCell ref="JTA26:JTB26"/>
    <mergeCell ref="JTC26:JTD26"/>
    <mergeCell ref="JSG26:JSH26"/>
    <mergeCell ref="JSI26:JSJ26"/>
    <mergeCell ref="JSK26:JSL26"/>
    <mergeCell ref="JSM26:JSN26"/>
    <mergeCell ref="JSO26:JSP26"/>
    <mergeCell ref="JSQ26:JSR26"/>
    <mergeCell ref="JRU26:JRV26"/>
    <mergeCell ref="JRW26:JRX26"/>
    <mergeCell ref="JRY26:JRZ26"/>
    <mergeCell ref="JSA26:JSB26"/>
    <mergeCell ref="JSC26:JSD26"/>
    <mergeCell ref="JSE26:JSF26"/>
    <mergeCell ref="JRI26:JRJ26"/>
    <mergeCell ref="JRK26:JRL26"/>
    <mergeCell ref="JRM26:JRN26"/>
    <mergeCell ref="JRO26:JRP26"/>
    <mergeCell ref="JRQ26:JRR26"/>
    <mergeCell ref="JRS26:JRT26"/>
    <mergeCell ref="JQW26:JQX26"/>
    <mergeCell ref="JQY26:JQZ26"/>
    <mergeCell ref="JRA26:JRB26"/>
    <mergeCell ref="JRC26:JRD26"/>
    <mergeCell ref="JRE26:JRF26"/>
    <mergeCell ref="JRG26:JRH26"/>
    <mergeCell ref="JVY26:JVZ26"/>
    <mergeCell ref="JWA26:JWB26"/>
    <mergeCell ref="JWC26:JWD26"/>
    <mergeCell ref="JWE26:JWF26"/>
    <mergeCell ref="JWG26:JWH26"/>
    <mergeCell ref="JWI26:JWJ26"/>
    <mergeCell ref="JVM26:JVN26"/>
    <mergeCell ref="JVO26:JVP26"/>
    <mergeCell ref="JVQ26:JVR26"/>
    <mergeCell ref="JVS26:JVT26"/>
    <mergeCell ref="JVU26:JVV26"/>
    <mergeCell ref="JVW26:JVX26"/>
    <mergeCell ref="JVA26:JVB26"/>
    <mergeCell ref="JVC26:JVD26"/>
    <mergeCell ref="JVE26:JVF26"/>
    <mergeCell ref="JVG26:JVH26"/>
    <mergeCell ref="JVI26:JVJ26"/>
    <mergeCell ref="JVK26:JVL26"/>
    <mergeCell ref="JUO26:JUP26"/>
    <mergeCell ref="JUQ26:JUR26"/>
    <mergeCell ref="JUS26:JUT26"/>
    <mergeCell ref="JUU26:JUV26"/>
    <mergeCell ref="JUW26:JUX26"/>
    <mergeCell ref="JUY26:JUZ26"/>
    <mergeCell ref="JUC26:JUD26"/>
    <mergeCell ref="JUE26:JUF26"/>
    <mergeCell ref="JUG26:JUH26"/>
    <mergeCell ref="JUI26:JUJ26"/>
    <mergeCell ref="JUK26:JUL26"/>
    <mergeCell ref="JUM26:JUN26"/>
    <mergeCell ref="JTQ26:JTR26"/>
    <mergeCell ref="JTS26:JTT26"/>
    <mergeCell ref="JTU26:JTV26"/>
    <mergeCell ref="JTW26:JTX26"/>
    <mergeCell ref="JTY26:JTZ26"/>
    <mergeCell ref="JUA26:JUB26"/>
    <mergeCell ref="JYS26:JYT26"/>
    <mergeCell ref="JYU26:JYV26"/>
    <mergeCell ref="JYW26:JYX26"/>
    <mergeCell ref="JYY26:JYZ26"/>
    <mergeCell ref="JZA26:JZB26"/>
    <mergeCell ref="JZC26:JZD26"/>
    <mergeCell ref="JYG26:JYH26"/>
    <mergeCell ref="JYI26:JYJ26"/>
    <mergeCell ref="JYK26:JYL26"/>
    <mergeCell ref="JYM26:JYN26"/>
    <mergeCell ref="JYO26:JYP26"/>
    <mergeCell ref="JYQ26:JYR26"/>
    <mergeCell ref="JXU26:JXV26"/>
    <mergeCell ref="JXW26:JXX26"/>
    <mergeCell ref="JXY26:JXZ26"/>
    <mergeCell ref="JYA26:JYB26"/>
    <mergeCell ref="JYC26:JYD26"/>
    <mergeCell ref="JYE26:JYF26"/>
    <mergeCell ref="JXI26:JXJ26"/>
    <mergeCell ref="JXK26:JXL26"/>
    <mergeCell ref="JXM26:JXN26"/>
    <mergeCell ref="JXO26:JXP26"/>
    <mergeCell ref="JXQ26:JXR26"/>
    <mergeCell ref="JXS26:JXT26"/>
    <mergeCell ref="JWW26:JWX26"/>
    <mergeCell ref="JWY26:JWZ26"/>
    <mergeCell ref="JXA26:JXB26"/>
    <mergeCell ref="JXC26:JXD26"/>
    <mergeCell ref="JXE26:JXF26"/>
    <mergeCell ref="JXG26:JXH26"/>
    <mergeCell ref="JWK26:JWL26"/>
    <mergeCell ref="JWM26:JWN26"/>
    <mergeCell ref="JWO26:JWP26"/>
    <mergeCell ref="JWQ26:JWR26"/>
    <mergeCell ref="JWS26:JWT26"/>
    <mergeCell ref="JWU26:JWV26"/>
    <mergeCell ref="KBM26:KBN26"/>
    <mergeCell ref="KBO26:KBP26"/>
    <mergeCell ref="KBQ26:KBR26"/>
    <mergeCell ref="KBS26:KBT26"/>
    <mergeCell ref="KBU26:KBV26"/>
    <mergeCell ref="KBW26:KBX26"/>
    <mergeCell ref="KBA26:KBB26"/>
    <mergeCell ref="KBC26:KBD26"/>
    <mergeCell ref="KBE26:KBF26"/>
    <mergeCell ref="KBG26:KBH26"/>
    <mergeCell ref="KBI26:KBJ26"/>
    <mergeCell ref="KBK26:KBL26"/>
    <mergeCell ref="KAO26:KAP26"/>
    <mergeCell ref="KAQ26:KAR26"/>
    <mergeCell ref="KAS26:KAT26"/>
    <mergeCell ref="KAU26:KAV26"/>
    <mergeCell ref="KAW26:KAX26"/>
    <mergeCell ref="KAY26:KAZ26"/>
    <mergeCell ref="KAC26:KAD26"/>
    <mergeCell ref="KAE26:KAF26"/>
    <mergeCell ref="KAG26:KAH26"/>
    <mergeCell ref="KAI26:KAJ26"/>
    <mergeCell ref="KAK26:KAL26"/>
    <mergeCell ref="KAM26:KAN26"/>
    <mergeCell ref="JZQ26:JZR26"/>
    <mergeCell ref="JZS26:JZT26"/>
    <mergeCell ref="JZU26:JZV26"/>
    <mergeCell ref="JZW26:JZX26"/>
    <mergeCell ref="JZY26:JZZ26"/>
    <mergeCell ref="KAA26:KAB26"/>
    <mergeCell ref="JZE26:JZF26"/>
    <mergeCell ref="JZG26:JZH26"/>
    <mergeCell ref="JZI26:JZJ26"/>
    <mergeCell ref="JZK26:JZL26"/>
    <mergeCell ref="JZM26:JZN26"/>
    <mergeCell ref="JZO26:JZP26"/>
    <mergeCell ref="KEG26:KEH26"/>
    <mergeCell ref="KEI26:KEJ26"/>
    <mergeCell ref="KEK26:KEL26"/>
    <mergeCell ref="KEM26:KEN26"/>
    <mergeCell ref="KEO26:KEP26"/>
    <mergeCell ref="KEQ26:KER26"/>
    <mergeCell ref="KDU26:KDV26"/>
    <mergeCell ref="KDW26:KDX26"/>
    <mergeCell ref="KDY26:KDZ26"/>
    <mergeCell ref="KEA26:KEB26"/>
    <mergeCell ref="KEC26:KED26"/>
    <mergeCell ref="KEE26:KEF26"/>
    <mergeCell ref="KDI26:KDJ26"/>
    <mergeCell ref="KDK26:KDL26"/>
    <mergeCell ref="KDM26:KDN26"/>
    <mergeCell ref="KDO26:KDP26"/>
    <mergeCell ref="KDQ26:KDR26"/>
    <mergeCell ref="KDS26:KDT26"/>
    <mergeCell ref="KCW26:KCX26"/>
    <mergeCell ref="KCY26:KCZ26"/>
    <mergeCell ref="KDA26:KDB26"/>
    <mergeCell ref="KDC26:KDD26"/>
    <mergeCell ref="KDE26:KDF26"/>
    <mergeCell ref="KDG26:KDH26"/>
    <mergeCell ref="KCK26:KCL26"/>
    <mergeCell ref="KCM26:KCN26"/>
    <mergeCell ref="KCO26:KCP26"/>
    <mergeCell ref="KCQ26:KCR26"/>
    <mergeCell ref="KCS26:KCT26"/>
    <mergeCell ref="KCU26:KCV26"/>
    <mergeCell ref="KBY26:KBZ26"/>
    <mergeCell ref="KCA26:KCB26"/>
    <mergeCell ref="KCC26:KCD26"/>
    <mergeCell ref="KCE26:KCF26"/>
    <mergeCell ref="KCG26:KCH26"/>
    <mergeCell ref="KCI26:KCJ26"/>
    <mergeCell ref="KHA26:KHB26"/>
    <mergeCell ref="KHC26:KHD26"/>
    <mergeCell ref="KHE26:KHF26"/>
    <mergeCell ref="KHG26:KHH26"/>
    <mergeCell ref="KHI26:KHJ26"/>
    <mergeCell ref="KHK26:KHL26"/>
    <mergeCell ref="KGO26:KGP26"/>
    <mergeCell ref="KGQ26:KGR26"/>
    <mergeCell ref="KGS26:KGT26"/>
    <mergeCell ref="KGU26:KGV26"/>
    <mergeCell ref="KGW26:KGX26"/>
    <mergeCell ref="KGY26:KGZ26"/>
    <mergeCell ref="KGC26:KGD26"/>
    <mergeCell ref="KGE26:KGF26"/>
    <mergeCell ref="KGG26:KGH26"/>
    <mergeCell ref="KGI26:KGJ26"/>
    <mergeCell ref="KGK26:KGL26"/>
    <mergeCell ref="KGM26:KGN26"/>
    <mergeCell ref="KFQ26:KFR26"/>
    <mergeCell ref="KFS26:KFT26"/>
    <mergeCell ref="KFU26:KFV26"/>
    <mergeCell ref="KFW26:KFX26"/>
    <mergeCell ref="KFY26:KFZ26"/>
    <mergeCell ref="KGA26:KGB26"/>
    <mergeCell ref="KFE26:KFF26"/>
    <mergeCell ref="KFG26:KFH26"/>
    <mergeCell ref="KFI26:KFJ26"/>
    <mergeCell ref="KFK26:KFL26"/>
    <mergeCell ref="KFM26:KFN26"/>
    <mergeCell ref="KFO26:KFP26"/>
    <mergeCell ref="KES26:KET26"/>
    <mergeCell ref="KEU26:KEV26"/>
    <mergeCell ref="KEW26:KEX26"/>
    <mergeCell ref="KEY26:KEZ26"/>
    <mergeCell ref="KFA26:KFB26"/>
    <mergeCell ref="KFC26:KFD26"/>
    <mergeCell ref="KJU26:KJV26"/>
    <mergeCell ref="KJW26:KJX26"/>
    <mergeCell ref="KJY26:KJZ26"/>
    <mergeCell ref="KKA26:KKB26"/>
    <mergeCell ref="KKC26:KKD26"/>
    <mergeCell ref="KKE26:KKF26"/>
    <mergeCell ref="KJI26:KJJ26"/>
    <mergeCell ref="KJK26:KJL26"/>
    <mergeCell ref="KJM26:KJN26"/>
    <mergeCell ref="KJO26:KJP26"/>
    <mergeCell ref="KJQ26:KJR26"/>
    <mergeCell ref="KJS26:KJT26"/>
    <mergeCell ref="KIW26:KIX26"/>
    <mergeCell ref="KIY26:KIZ26"/>
    <mergeCell ref="KJA26:KJB26"/>
    <mergeCell ref="KJC26:KJD26"/>
    <mergeCell ref="KJE26:KJF26"/>
    <mergeCell ref="KJG26:KJH26"/>
    <mergeCell ref="KIK26:KIL26"/>
    <mergeCell ref="KIM26:KIN26"/>
    <mergeCell ref="KIO26:KIP26"/>
    <mergeCell ref="KIQ26:KIR26"/>
    <mergeCell ref="KIS26:KIT26"/>
    <mergeCell ref="KIU26:KIV26"/>
    <mergeCell ref="KHY26:KHZ26"/>
    <mergeCell ref="KIA26:KIB26"/>
    <mergeCell ref="KIC26:KID26"/>
    <mergeCell ref="KIE26:KIF26"/>
    <mergeCell ref="KIG26:KIH26"/>
    <mergeCell ref="KII26:KIJ26"/>
    <mergeCell ref="KHM26:KHN26"/>
    <mergeCell ref="KHO26:KHP26"/>
    <mergeCell ref="KHQ26:KHR26"/>
    <mergeCell ref="KHS26:KHT26"/>
    <mergeCell ref="KHU26:KHV26"/>
    <mergeCell ref="KHW26:KHX26"/>
    <mergeCell ref="KMO26:KMP26"/>
    <mergeCell ref="KMQ26:KMR26"/>
    <mergeCell ref="KMS26:KMT26"/>
    <mergeCell ref="KMU26:KMV26"/>
    <mergeCell ref="KMW26:KMX26"/>
    <mergeCell ref="KMY26:KMZ26"/>
    <mergeCell ref="KMC26:KMD26"/>
    <mergeCell ref="KME26:KMF26"/>
    <mergeCell ref="KMG26:KMH26"/>
    <mergeCell ref="KMI26:KMJ26"/>
    <mergeCell ref="KMK26:KML26"/>
    <mergeCell ref="KMM26:KMN26"/>
    <mergeCell ref="KLQ26:KLR26"/>
    <mergeCell ref="KLS26:KLT26"/>
    <mergeCell ref="KLU26:KLV26"/>
    <mergeCell ref="KLW26:KLX26"/>
    <mergeCell ref="KLY26:KLZ26"/>
    <mergeCell ref="KMA26:KMB26"/>
    <mergeCell ref="KLE26:KLF26"/>
    <mergeCell ref="KLG26:KLH26"/>
    <mergeCell ref="KLI26:KLJ26"/>
    <mergeCell ref="KLK26:KLL26"/>
    <mergeCell ref="KLM26:KLN26"/>
    <mergeCell ref="KLO26:KLP26"/>
    <mergeCell ref="KKS26:KKT26"/>
    <mergeCell ref="KKU26:KKV26"/>
    <mergeCell ref="KKW26:KKX26"/>
    <mergeCell ref="KKY26:KKZ26"/>
    <mergeCell ref="KLA26:KLB26"/>
    <mergeCell ref="KLC26:KLD26"/>
    <mergeCell ref="KKG26:KKH26"/>
    <mergeCell ref="KKI26:KKJ26"/>
    <mergeCell ref="KKK26:KKL26"/>
    <mergeCell ref="KKM26:KKN26"/>
    <mergeCell ref="KKO26:KKP26"/>
    <mergeCell ref="KKQ26:KKR26"/>
    <mergeCell ref="KPI26:KPJ26"/>
    <mergeCell ref="KPK26:KPL26"/>
    <mergeCell ref="KPM26:KPN26"/>
    <mergeCell ref="KPO26:KPP26"/>
    <mergeCell ref="KPQ26:KPR26"/>
    <mergeCell ref="KPS26:KPT26"/>
    <mergeCell ref="KOW26:KOX26"/>
    <mergeCell ref="KOY26:KOZ26"/>
    <mergeCell ref="KPA26:KPB26"/>
    <mergeCell ref="KPC26:KPD26"/>
    <mergeCell ref="KPE26:KPF26"/>
    <mergeCell ref="KPG26:KPH26"/>
    <mergeCell ref="KOK26:KOL26"/>
    <mergeCell ref="KOM26:KON26"/>
    <mergeCell ref="KOO26:KOP26"/>
    <mergeCell ref="KOQ26:KOR26"/>
    <mergeCell ref="KOS26:KOT26"/>
    <mergeCell ref="KOU26:KOV26"/>
    <mergeCell ref="KNY26:KNZ26"/>
    <mergeCell ref="KOA26:KOB26"/>
    <mergeCell ref="KOC26:KOD26"/>
    <mergeCell ref="KOE26:KOF26"/>
    <mergeCell ref="KOG26:KOH26"/>
    <mergeCell ref="KOI26:KOJ26"/>
    <mergeCell ref="KNM26:KNN26"/>
    <mergeCell ref="KNO26:KNP26"/>
    <mergeCell ref="KNQ26:KNR26"/>
    <mergeCell ref="KNS26:KNT26"/>
    <mergeCell ref="KNU26:KNV26"/>
    <mergeCell ref="KNW26:KNX26"/>
    <mergeCell ref="KNA26:KNB26"/>
    <mergeCell ref="KNC26:KND26"/>
    <mergeCell ref="KNE26:KNF26"/>
    <mergeCell ref="KNG26:KNH26"/>
    <mergeCell ref="KNI26:KNJ26"/>
    <mergeCell ref="KNK26:KNL26"/>
    <mergeCell ref="KSC26:KSD26"/>
    <mergeCell ref="KSE26:KSF26"/>
    <mergeCell ref="KSG26:KSH26"/>
    <mergeCell ref="KSI26:KSJ26"/>
    <mergeCell ref="KSK26:KSL26"/>
    <mergeCell ref="KSM26:KSN26"/>
    <mergeCell ref="KRQ26:KRR26"/>
    <mergeCell ref="KRS26:KRT26"/>
    <mergeCell ref="KRU26:KRV26"/>
    <mergeCell ref="KRW26:KRX26"/>
    <mergeCell ref="KRY26:KRZ26"/>
    <mergeCell ref="KSA26:KSB26"/>
    <mergeCell ref="KRE26:KRF26"/>
    <mergeCell ref="KRG26:KRH26"/>
    <mergeCell ref="KRI26:KRJ26"/>
    <mergeCell ref="KRK26:KRL26"/>
    <mergeCell ref="KRM26:KRN26"/>
    <mergeCell ref="KRO26:KRP26"/>
    <mergeCell ref="KQS26:KQT26"/>
    <mergeCell ref="KQU26:KQV26"/>
    <mergeCell ref="KQW26:KQX26"/>
    <mergeCell ref="KQY26:KQZ26"/>
    <mergeCell ref="KRA26:KRB26"/>
    <mergeCell ref="KRC26:KRD26"/>
    <mergeCell ref="KQG26:KQH26"/>
    <mergeCell ref="KQI26:KQJ26"/>
    <mergeCell ref="KQK26:KQL26"/>
    <mergeCell ref="KQM26:KQN26"/>
    <mergeCell ref="KQO26:KQP26"/>
    <mergeCell ref="KQQ26:KQR26"/>
    <mergeCell ref="KPU26:KPV26"/>
    <mergeCell ref="KPW26:KPX26"/>
    <mergeCell ref="KPY26:KPZ26"/>
    <mergeCell ref="KQA26:KQB26"/>
    <mergeCell ref="KQC26:KQD26"/>
    <mergeCell ref="KQE26:KQF26"/>
    <mergeCell ref="KUW26:KUX26"/>
    <mergeCell ref="KUY26:KUZ26"/>
    <mergeCell ref="KVA26:KVB26"/>
    <mergeCell ref="KVC26:KVD26"/>
    <mergeCell ref="KVE26:KVF26"/>
    <mergeCell ref="KVG26:KVH26"/>
    <mergeCell ref="KUK26:KUL26"/>
    <mergeCell ref="KUM26:KUN26"/>
    <mergeCell ref="KUO26:KUP26"/>
    <mergeCell ref="KUQ26:KUR26"/>
    <mergeCell ref="KUS26:KUT26"/>
    <mergeCell ref="KUU26:KUV26"/>
    <mergeCell ref="KTY26:KTZ26"/>
    <mergeCell ref="KUA26:KUB26"/>
    <mergeCell ref="KUC26:KUD26"/>
    <mergeCell ref="KUE26:KUF26"/>
    <mergeCell ref="KUG26:KUH26"/>
    <mergeCell ref="KUI26:KUJ26"/>
    <mergeCell ref="KTM26:KTN26"/>
    <mergeCell ref="KTO26:KTP26"/>
    <mergeCell ref="KTQ26:KTR26"/>
    <mergeCell ref="KTS26:KTT26"/>
    <mergeCell ref="KTU26:KTV26"/>
    <mergeCell ref="KTW26:KTX26"/>
    <mergeCell ref="KTA26:KTB26"/>
    <mergeCell ref="KTC26:KTD26"/>
    <mergeCell ref="KTE26:KTF26"/>
    <mergeCell ref="KTG26:KTH26"/>
    <mergeCell ref="KTI26:KTJ26"/>
    <mergeCell ref="KTK26:KTL26"/>
    <mergeCell ref="KSO26:KSP26"/>
    <mergeCell ref="KSQ26:KSR26"/>
    <mergeCell ref="KSS26:KST26"/>
    <mergeCell ref="KSU26:KSV26"/>
    <mergeCell ref="KSW26:KSX26"/>
    <mergeCell ref="KSY26:KSZ26"/>
    <mergeCell ref="KXQ26:KXR26"/>
    <mergeCell ref="KXS26:KXT26"/>
    <mergeCell ref="KXU26:KXV26"/>
    <mergeCell ref="KXW26:KXX26"/>
    <mergeCell ref="KXY26:KXZ26"/>
    <mergeCell ref="KYA26:KYB26"/>
    <mergeCell ref="KXE26:KXF26"/>
    <mergeCell ref="KXG26:KXH26"/>
    <mergeCell ref="KXI26:KXJ26"/>
    <mergeCell ref="KXK26:KXL26"/>
    <mergeCell ref="KXM26:KXN26"/>
    <mergeCell ref="KXO26:KXP26"/>
    <mergeCell ref="KWS26:KWT26"/>
    <mergeCell ref="KWU26:KWV26"/>
    <mergeCell ref="KWW26:KWX26"/>
    <mergeCell ref="KWY26:KWZ26"/>
    <mergeCell ref="KXA26:KXB26"/>
    <mergeCell ref="KXC26:KXD26"/>
    <mergeCell ref="KWG26:KWH26"/>
    <mergeCell ref="KWI26:KWJ26"/>
    <mergeCell ref="KWK26:KWL26"/>
    <mergeCell ref="KWM26:KWN26"/>
    <mergeCell ref="KWO26:KWP26"/>
    <mergeCell ref="KWQ26:KWR26"/>
    <mergeCell ref="KVU26:KVV26"/>
    <mergeCell ref="KVW26:KVX26"/>
    <mergeCell ref="KVY26:KVZ26"/>
    <mergeCell ref="KWA26:KWB26"/>
    <mergeCell ref="KWC26:KWD26"/>
    <mergeCell ref="KWE26:KWF26"/>
    <mergeCell ref="KVI26:KVJ26"/>
    <mergeCell ref="KVK26:KVL26"/>
    <mergeCell ref="KVM26:KVN26"/>
    <mergeCell ref="KVO26:KVP26"/>
    <mergeCell ref="KVQ26:KVR26"/>
    <mergeCell ref="KVS26:KVT26"/>
    <mergeCell ref="LAK26:LAL26"/>
    <mergeCell ref="LAM26:LAN26"/>
    <mergeCell ref="LAO26:LAP26"/>
    <mergeCell ref="LAQ26:LAR26"/>
    <mergeCell ref="LAS26:LAT26"/>
    <mergeCell ref="LAU26:LAV26"/>
    <mergeCell ref="KZY26:KZZ26"/>
    <mergeCell ref="LAA26:LAB26"/>
    <mergeCell ref="LAC26:LAD26"/>
    <mergeCell ref="LAE26:LAF26"/>
    <mergeCell ref="LAG26:LAH26"/>
    <mergeCell ref="LAI26:LAJ26"/>
    <mergeCell ref="KZM26:KZN26"/>
    <mergeCell ref="KZO26:KZP26"/>
    <mergeCell ref="KZQ26:KZR26"/>
    <mergeCell ref="KZS26:KZT26"/>
    <mergeCell ref="KZU26:KZV26"/>
    <mergeCell ref="KZW26:KZX26"/>
    <mergeCell ref="KZA26:KZB26"/>
    <mergeCell ref="KZC26:KZD26"/>
    <mergeCell ref="KZE26:KZF26"/>
    <mergeCell ref="KZG26:KZH26"/>
    <mergeCell ref="KZI26:KZJ26"/>
    <mergeCell ref="KZK26:KZL26"/>
    <mergeCell ref="KYO26:KYP26"/>
    <mergeCell ref="KYQ26:KYR26"/>
    <mergeCell ref="KYS26:KYT26"/>
    <mergeCell ref="KYU26:KYV26"/>
    <mergeCell ref="KYW26:KYX26"/>
    <mergeCell ref="KYY26:KYZ26"/>
    <mergeCell ref="KYC26:KYD26"/>
    <mergeCell ref="KYE26:KYF26"/>
    <mergeCell ref="KYG26:KYH26"/>
    <mergeCell ref="KYI26:KYJ26"/>
    <mergeCell ref="KYK26:KYL26"/>
    <mergeCell ref="KYM26:KYN26"/>
    <mergeCell ref="LDE26:LDF26"/>
    <mergeCell ref="LDG26:LDH26"/>
    <mergeCell ref="LDI26:LDJ26"/>
    <mergeCell ref="LDK26:LDL26"/>
    <mergeCell ref="LDM26:LDN26"/>
    <mergeCell ref="LDO26:LDP26"/>
    <mergeCell ref="LCS26:LCT26"/>
    <mergeCell ref="LCU26:LCV26"/>
    <mergeCell ref="LCW26:LCX26"/>
    <mergeCell ref="LCY26:LCZ26"/>
    <mergeCell ref="LDA26:LDB26"/>
    <mergeCell ref="LDC26:LDD26"/>
    <mergeCell ref="LCG26:LCH26"/>
    <mergeCell ref="LCI26:LCJ26"/>
    <mergeCell ref="LCK26:LCL26"/>
    <mergeCell ref="LCM26:LCN26"/>
    <mergeCell ref="LCO26:LCP26"/>
    <mergeCell ref="LCQ26:LCR26"/>
    <mergeCell ref="LBU26:LBV26"/>
    <mergeCell ref="LBW26:LBX26"/>
    <mergeCell ref="LBY26:LBZ26"/>
    <mergeCell ref="LCA26:LCB26"/>
    <mergeCell ref="LCC26:LCD26"/>
    <mergeCell ref="LCE26:LCF26"/>
    <mergeCell ref="LBI26:LBJ26"/>
    <mergeCell ref="LBK26:LBL26"/>
    <mergeCell ref="LBM26:LBN26"/>
    <mergeCell ref="LBO26:LBP26"/>
    <mergeCell ref="LBQ26:LBR26"/>
    <mergeCell ref="LBS26:LBT26"/>
    <mergeCell ref="LAW26:LAX26"/>
    <mergeCell ref="LAY26:LAZ26"/>
    <mergeCell ref="LBA26:LBB26"/>
    <mergeCell ref="LBC26:LBD26"/>
    <mergeCell ref="LBE26:LBF26"/>
    <mergeCell ref="LBG26:LBH26"/>
    <mergeCell ref="LFY26:LFZ26"/>
    <mergeCell ref="LGA26:LGB26"/>
    <mergeCell ref="LGC26:LGD26"/>
    <mergeCell ref="LGE26:LGF26"/>
    <mergeCell ref="LGG26:LGH26"/>
    <mergeCell ref="LGI26:LGJ26"/>
    <mergeCell ref="LFM26:LFN26"/>
    <mergeCell ref="LFO26:LFP26"/>
    <mergeCell ref="LFQ26:LFR26"/>
    <mergeCell ref="LFS26:LFT26"/>
    <mergeCell ref="LFU26:LFV26"/>
    <mergeCell ref="LFW26:LFX26"/>
    <mergeCell ref="LFA26:LFB26"/>
    <mergeCell ref="LFC26:LFD26"/>
    <mergeCell ref="LFE26:LFF26"/>
    <mergeCell ref="LFG26:LFH26"/>
    <mergeCell ref="LFI26:LFJ26"/>
    <mergeCell ref="LFK26:LFL26"/>
    <mergeCell ref="LEO26:LEP26"/>
    <mergeCell ref="LEQ26:LER26"/>
    <mergeCell ref="LES26:LET26"/>
    <mergeCell ref="LEU26:LEV26"/>
    <mergeCell ref="LEW26:LEX26"/>
    <mergeCell ref="LEY26:LEZ26"/>
    <mergeCell ref="LEC26:LED26"/>
    <mergeCell ref="LEE26:LEF26"/>
    <mergeCell ref="LEG26:LEH26"/>
    <mergeCell ref="LEI26:LEJ26"/>
    <mergeCell ref="LEK26:LEL26"/>
    <mergeCell ref="LEM26:LEN26"/>
    <mergeCell ref="LDQ26:LDR26"/>
    <mergeCell ref="LDS26:LDT26"/>
    <mergeCell ref="LDU26:LDV26"/>
    <mergeCell ref="LDW26:LDX26"/>
    <mergeCell ref="LDY26:LDZ26"/>
    <mergeCell ref="LEA26:LEB26"/>
    <mergeCell ref="LIS26:LIT26"/>
    <mergeCell ref="LIU26:LIV26"/>
    <mergeCell ref="LIW26:LIX26"/>
    <mergeCell ref="LIY26:LIZ26"/>
    <mergeCell ref="LJA26:LJB26"/>
    <mergeCell ref="LJC26:LJD26"/>
    <mergeCell ref="LIG26:LIH26"/>
    <mergeCell ref="LII26:LIJ26"/>
    <mergeCell ref="LIK26:LIL26"/>
    <mergeCell ref="LIM26:LIN26"/>
    <mergeCell ref="LIO26:LIP26"/>
    <mergeCell ref="LIQ26:LIR26"/>
    <mergeCell ref="LHU26:LHV26"/>
    <mergeCell ref="LHW26:LHX26"/>
    <mergeCell ref="LHY26:LHZ26"/>
    <mergeCell ref="LIA26:LIB26"/>
    <mergeCell ref="LIC26:LID26"/>
    <mergeCell ref="LIE26:LIF26"/>
    <mergeCell ref="LHI26:LHJ26"/>
    <mergeCell ref="LHK26:LHL26"/>
    <mergeCell ref="LHM26:LHN26"/>
    <mergeCell ref="LHO26:LHP26"/>
    <mergeCell ref="LHQ26:LHR26"/>
    <mergeCell ref="LHS26:LHT26"/>
    <mergeCell ref="LGW26:LGX26"/>
    <mergeCell ref="LGY26:LGZ26"/>
    <mergeCell ref="LHA26:LHB26"/>
    <mergeCell ref="LHC26:LHD26"/>
    <mergeCell ref="LHE26:LHF26"/>
    <mergeCell ref="LHG26:LHH26"/>
    <mergeCell ref="LGK26:LGL26"/>
    <mergeCell ref="LGM26:LGN26"/>
    <mergeCell ref="LGO26:LGP26"/>
    <mergeCell ref="LGQ26:LGR26"/>
    <mergeCell ref="LGS26:LGT26"/>
    <mergeCell ref="LGU26:LGV26"/>
    <mergeCell ref="LLM26:LLN26"/>
    <mergeCell ref="LLO26:LLP26"/>
    <mergeCell ref="LLQ26:LLR26"/>
    <mergeCell ref="LLS26:LLT26"/>
    <mergeCell ref="LLU26:LLV26"/>
    <mergeCell ref="LLW26:LLX26"/>
    <mergeCell ref="LLA26:LLB26"/>
    <mergeCell ref="LLC26:LLD26"/>
    <mergeCell ref="LLE26:LLF26"/>
    <mergeCell ref="LLG26:LLH26"/>
    <mergeCell ref="LLI26:LLJ26"/>
    <mergeCell ref="LLK26:LLL26"/>
    <mergeCell ref="LKO26:LKP26"/>
    <mergeCell ref="LKQ26:LKR26"/>
    <mergeCell ref="LKS26:LKT26"/>
    <mergeCell ref="LKU26:LKV26"/>
    <mergeCell ref="LKW26:LKX26"/>
    <mergeCell ref="LKY26:LKZ26"/>
    <mergeCell ref="LKC26:LKD26"/>
    <mergeCell ref="LKE26:LKF26"/>
    <mergeCell ref="LKG26:LKH26"/>
    <mergeCell ref="LKI26:LKJ26"/>
    <mergeCell ref="LKK26:LKL26"/>
    <mergeCell ref="LKM26:LKN26"/>
    <mergeCell ref="LJQ26:LJR26"/>
    <mergeCell ref="LJS26:LJT26"/>
    <mergeCell ref="LJU26:LJV26"/>
    <mergeCell ref="LJW26:LJX26"/>
    <mergeCell ref="LJY26:LJZ26"/>
    <mergeCell ref="LKA26:LKB26"/>
    <mergeCell ref="LJE26:LJF26"/>
    <mergeCell ref="LJG26:LJH26"/>
    <mergeCell ref="LJI26:LJJ26"/>
    <mergeCell ref="LJK26:LJL26"/>
    <mergeCell ref="LJM26:LJN26"/>
    <mergeCell ref="LJO26:LJP26"/>
    <mergeCell ref="LOG26:LOH26"/>
    <mergeCell ref="LOI26:LOJ26"/>
    <mergeCell ref="LOK26:LOL26"/>
    <mergeCell ref="LOM26:LON26"/>
    <mergeCell ref="LOO26:LOP26"/>
    <mergeCell ref="LOQ26:LOR26"/>
    <mergeCell ref="LNU26:LNV26"/>
    <mergeCell ref="LNW26:LNX26"/>
    <mergeCell ref="LNY26:LNZ26"/>
    <mergeCell ref="LOA26:LOB26"/>
    <mergeCell ref="LOC26:LOD26"/>
    <mergeCell ref="LOE26:LOF26"/>
    <mergeCell ref="LNI26:LNJ26"/>
    <mergeCell ref="LNK26:LNL26"/>
    <mergeCell ref="LNM26:LNN26"/>
    <mergeCell ref="LNO26:LNP26"/>
    <mergeCell ref="LNQ26:LNR26"/>
    <mergeCell ref="LNS26:LNT26"/>
    <mergeCell ref="LMW26:LMX26"/>
    <mergeCell ref="LMY26:LMZ26"/>
    <mergeCell ref="LNA26:LNB26"/>
    <mergeCell ref="LNC26:LND26"/>
    <mergeCell ref="LNE26:LNF26"/>
    <mergeCell ref="LNG26:LNH26"/>
    <mergeCell ref="LMK26:LML26"/>
    <mergeCell ref="LMM26:LMN26"/>
    <mergeCell ref="LMO26:LMP26"/>
    <mergeCell ref="LMQ26:LMR26"/>
    <mergeCell ref="LMS26:LMT26"/>
    <mergeCell ref="LMU26:LMV26"/>
    <mergeCell ref="LLY26:LLZ26"/>
    <mergeCell ref="LMA26:LMB26"/>
    <mergeCell ref="LMC26:LMD26"/>
    <mergeCell ref="LME26:LMF26"/>
    <mergeCell ref="LMG26:LMH26"/>
    <mergeCell ref="LMI26:LMJ26"/>
    <mergeCell ref="LRA26:LRB26"/>
    <mergeCell ref="LRC26:LRD26"/>
    <mergeCell ref="LRE26:LRF26"/>
    <mergeCell ref="LRG26:LRH26"/>
    <mergeCell ref="LRI26:LRJ26"/>
    <mergeCell ref="LRK26:LRL26"/>
    <mergeCell ref="LQO26:LQP26"/>
    <mergeCell ref="LQQ26:LQR26"/>
    <mergeCell ref="LQS26:LQT26"/>
    <mergeCell ref="LQU26:LQV26"/>
    <mergeCell ref="LQW26:LQX26"/>
    <mergeCell ref="LQY26:LQZ26"/>
    <mergeCell ref="LQC26:LQD26"/>
    <mergeCell ref="LQE26:LQF26"/>
    <mergeCell ref="LQG26:LQH26"/>
    <mergeCell ref="LQI26:LQJ26"/>
    <mergeCell ref="LQK26:LQL26"/>
    <mergeCell ref="LQM26:LQN26"/>
    <mergeCell ref="LPQ26:LPR26"/>
    <mergeCell ref="LPS26:LPT26"/>
    <mergeCell ref="LPU26:LPV26"/>
    <mergeCell ref="LPW26:LPX26"/>
    <mergeCell ref="LPY26:LPZ26"/>
    <mergeCell ref="LQA26:LQB26"/>
    <mergeCell ref="LPE26:LPF26"/>
    <mergeCell ref="LPG26:LPH26"/>
    <mergeCell ref="LPI26:LPJ26"/>
    <mergeCell ref="LPK26:LPL26"/>
    <mergeCell ref="LPM26:LPN26"/>
    <mergeCell ref="LPO26:LPP26"/>
    <mergeCell ref="LOS26:LOT26"/>
    <mergeCell ref="LOU26:LOV26"/>
    <mergeCell ref="LOW26:LOX26"/>
    <mergeCell ref="LOY26:LOZ26"/>
    <mergeCell ref="LPA26:LPB26"/>
    <mergeCell ref="LPC26:LPD26"/>
    <mergeCell ref="LTU26:LTV26"/>
    <mergeCell ref="LTW26:LTX26"/>
    <mergeCell ref="LTY26:LTZ26"/>
    <mergeCell ref="LUA26:LUB26"/>
    <mergeCell ref="LUC26:LUD26"/>
    <mergeCell ref="LUE26:LUF26"/>
    <mergeCell ref="LTI26:LTJ26"/>
    <mergeCell ref="LTK26:LTL26"/>
    <mergeCell ref="LTM26:LTN26"/>
    <mergeCell ref="LTO26:LTP26"/>
    <mergeCell ref="LTQ26:LTR26"/>
    <mergeCell ref="LTS26:LTT26"/>
    <mergeCell ref="LSW26:LSX26"/>
    <mergeCell ref="LSY26:LSZ26"/>
    <mergeCell ref="LTA26:LTB26"/>
    <mergeCell ref="LTC26:LTD26"/>
    <mergeCell ref="LTE26:LTF26"/>
    <mergeCell ref="LTG26:LTH26"/>
    <mergeCell ref="LSK26:LSL26"/>
    <mergeCell ref="LSM26:LSN26"/>
    <mergeCell ref="LSO26:LSP26"/>
    <mergeCell ref="LSQ26:LSR26"/>
    <mergeCell ref="LSS26:LST26"/>
    <mergeCell ref="LSU26:LSV26"/>
    <mergeCell ref="LRY26:LRZ26"/>
    <mergeCell ref="LSA26:LSB26"/>
    <mergeCell ref="LSC26:LSD26"/>
    <mergeCell ref="LSE26:LSF26"/>
    <mergeCell ref="LSG26:LSH26"/>
    <mergeCell ref="LSI26:LSJ26"/>
    <mergeCell ref="LRM26:LRN26"/>
    <mergeCell ref="LRO26:LRP26"/>
    <mergeCell ref="LRQ26:LRR26"/>
    <mergeCell ref="LRS26:LRT26"/>
    <mergeCell ref="LRU26:LRV26"/>
    <mergeCell ref="LRW26:LRX26"/>
    <mergeCell ref="LWO26:LWP26"/>
    <mergeCell ref="LWQ26:LWR26"/>
    <mergeCell ref="LWS26:LWT26"/>
    <mergeCell ref="LWU26:LWV26"/>
    <mergeCell ref="LWW26:LWX26"/>
    <mergeCell ref="LWY26:LWZ26"/>
    <mergeCell ref="LWC26:LWD26"/>
    <mergeCell ref="LWE26:LWF26"/>
    <mergeCell ref="LWG26:LWH26"/>
    <mergeCell ref="LWI26:LWJ26"/>
    <mergeCell ref="LWK26:LWL26"/>
    <mergeCell ref="LWM26:LWN26"/>
    <mergeCell ref="LVQ26:LVR26"/>
    <mergeCell ref="LVS26:LVT26"/>
    <mergeCell ref="LVU26:LVV26"/>
    <mergeCell ref="LVW26:LVX26"/>
    <mergeCell ref="LVY26:LVZ26"/>
    <mergeCell ref="LWA26:LWB26"/>
    <mergeCell ref="LVE26:LVF26"/>
    <mergeCell ref="LVG26:LVH26"/>
    <mergeCell ref="LVI26:LVJ26"/>
    <mergeCell ref="LVK26:LVL26"/>
    <mergeCell ref="LVM26:LVN26"/>
    <mergeCell ref="LVO26:LVP26"/>
    <mergeCell ref="LUS26:LUT26"/>
    <mergeCell ref="LUU26:LUV26"/>
    <mergeCell ref="LUW26:LUX26"/>
    <mergeCell ref="LUY26:LUZ26"/>
    <mergeCell ref="LVA26:LVB26"/>
    <mergeCell ref="LVC26:LVD26"/>
    <mergeCell ref="LUG26:LUH26"/>
    <mergeCell ref="LUI26:LUJ26"/>
    <mergeCell ref="LUK26:LUL26"/>
    <mergeCell ref="LUM26:LUN26"/>
    <mergeCell ref="LUO26:LUP26"/>
    <mergeCell ref="LUQ26:LUR26"/>
    <mergeCell ref="LZI26:LZJ26"/>
    <mergeCell ref="LZK26:LZL26"/>
    <mergeCell ref="LZM26:LZN26"/>
    <mergeCell ref="LZO26:LZP26"/>
    <mergeCell ref="LZQ26:LZR26"/>
    <mergeCell ref="LZS26:LZT26"/>
    <mergeCell ref="LYW26:LYX26"/>
    <mergeCell ref="LYY26:LYZ26"/>
    <mergeCell ref="LZA26:LZB26"/>
    <mergeCell ref="LZC26:LZD26"/>
    <mergeCell ref="LZE26:LZF26"/>
    <mergeCell ref="LZG26:LZH26"/>
    <mergeCell ref="LYK26:LYL26"/>
    <mergeCell ref="LYM26:LYN26"/>
    <mergeCell ref="LYO26:LYP26"/>
    <mergeCell ref="LYQ26:LYR26"/>
    <mergeCell ref="LYS26:LYT26"/>
    <mergeCell ref="LYU26:LYV26"/>
    <mergeCell ref="LXY26:LXZ26"/>
    <mergeCell ref="LYA26:LYB26"/>
    <mergeCell ref="LYC26:LYD26"/>
    <mergeCell ref="LYE26:LYF26"/>
    <mergeCell ref="LYG26:LYH26"/>
    <mergeCell ref="LYI26:LYJ26"/>
    <mergeCell ref="LXM26:LXN26"/>
    <mergeCell ref="LXO26:LXP26"/>
    <mergeCell ref="LXQ26:LXR26"/>
    <mergeCell ref="LXS26:LXT26"/>
    <mergeCell ref="LXU26:LXV26"/>
    <mergeCell ref="LXW26:LXX26"/>
    <mergeCell ref="LXA26:LXB26"/>
    <mergeCell ref="LXC26:LXD26"/>
    <mergeCell ref="LXE26:LXF26"/>
    <mergeCell ref="LXG26:LXH26"/>
    <mergeCell ref="LXI26:LXJ26"/>
    <mergeCell ref="LXK26:LXL26"/>
    <mergeCell ref="MCC26:MCD26"/>
    <mergeCell ref="MCE26:MCF26"/>
    <mergeCell ref="MCG26:MCH26"/>
    <mergeCell ref="MCI26:MCJ26"/>
    <mergeCell ref="MCK26:MCL26"/>
    <mergeCell ref="MCM26:MCN26"/>
    <mergeCell ref="MBQ26:MBR26"/>
    <mergeCell ref="MBS26:MBT26"/>
    <mergeCell ref="MBU26:MBV26"/>
    <mergeCell ref="MBW26:MBX26"/>
    <mergeCell ref="MBY26:MBZ26"/>
    <mergeCell ref="MCA26:MCB26"/>
    <mergeCell ref="MBE26:MBF26"/>
    <mergeCell ref="MBG26:MBH26"/>
    <mergeCell ref="MBI26:MBJ26"/>
    <mergeCell ref="MBK26:MBL26"/>
    <mergeCell ref="MBM26:MBN26"/>
    <mergeCell ref="MBO26:MBP26"/>
    <mergeCell ref="MAS26:MAT26"/>
    <mergeCell ref="MAU26:MAV26"/>
    <mergeCell ref="MAW26:MAX26"/>
    <mergeCell ref="MAY26:MAZ26"/>
    <mergeCell ref="MBA26:MBB26"/>
    <mergeCell ref="MBC26:MBD26"/>
    <mergeCell ref="MAG26:MAH26"/>
    <mergeCell ref="MAI26:MAJ26"/>
    <mergeCell ref="MAK26:MAL26"/>
    <mergeCell ref="MAM26:MAN26"/>
    <mergeCell ref="MAO26:MAP26"/>
    <mergeCell ref="MAQ26:MAR26"/>
    <mergeCell ref="LZU26:LZV26"/>
    <mergeCell ref="LZW26:LZX26"/>
    <mergeCell ref="LZY26:LZZ26"/>
    <mergeCell ref="MAA26:MAB26"/>
    <mergeCell ref="MAC26:MAD26"/>
    <mergeCell ref="MAE26:MAF26"/>
    <mergeCell ref="MEW26:MEX26"/>
    <mergeCell ref="MEY26:MEZ26"/>
    <mergeCell ref="MFA26:MFB26"/>
    <mergeCell ref="MFC26:MFD26"/>
    <mergeCell ref="MFE26:MFF26"/>
    <mergeCell ref="MFG26:MFH26"/>
    <mergeCell ref="MEK26:MEL26"/>
    <mergeCell ref="MEM26:MEN26"/>
    <mergeCell ref="MEO26:MEP26"/>
    <mergeCell ref="MEQ26:MER26"/>
    <mergeCell ref="MES26:MET26"/>
    <mergeCell ref="MEU26:MEV26"/>
    <mergeCell ref="MDY26:MDZ26"/>
    <mergeCell ref="MEA26:MEB26"/>
    <mergeCell ref="MEC26:MED26"/>
    <mergeCell ref="MEE26:MEF26"/>
    <mergeCell ref="MEG26:MEH26"/>
    <mergeCell ref="MEI26:MEJ26"/>
    <mergeCell ref="MDM26:MDN26"/>
    <mergeCell ref="MDO26:MDP26"/>
    <mergeCell ref="MDQ26:MDR26"/>
    <mergeCell ref="MDS26:MDT26"/>
    <mergeCell ref="MDU26:MDV26"/>
    <mergeCell ref="MDW26:MDX26"/>
    <mergeCell ref="MDA26:MDB26"/>
    <mergeCell ref="MDC26:MDD26"/>
    <mergeCell ref="MDE26:MDF26"/>
    <mergeCell ref="MDG26:MDH26"/>
    <mergeCell ref="MDI26:MDJ26"/>
    <mergeCell ref="MDK26:MDL26"/>
    <mergeCell ref="MCO26:MCP26"/>
    <mergeCell ref="MCQ26:MCR26"/>
    <mergeCell ref="MCS26:MCT26"/>
    <mergeCell ref="MCU26:MCV26"/>
    <mergeCell ref="MCW26:MCX26"/>
    <mergeCell ref="MCY26:MCZ26"/>
    <mergeCell ref="MHQ26:MHR26"/>
    <mergeCell ref="MHS26:MHT26"/>
    <mergeCell ref="MHU26:MHV26"/>
    <mergeCell ref="MHW26:MHX26"/>
    <mergeCell ref="MHY26:MHZ26"/>
    <mergeCell ref="MIA26:MIB26"/>
    <mergeCell ref="MHE26:MHF26"/>
    <mergeCell ref="MHG26:MHH26"/>
    <mergeCell ref="MHI26:MHJ26"/>
    <mergeCell ref="MHK26:MHL26"/>
    <mergeCell ref="MHM26:MHN26"/>
    <mergeCell ref="MHO26:MHP26"/>
    <mergeCell ref="MGS26:MGT26"/>
    <mergeCell ref="MGU26:MGV26"/>
    <mergeCell ref="MGW26:MGX26"/>
    <mergeCell ref="MGY26:MGZ26"/>
    <mergeCell ref="MHA26:MHB26"/>
    <mergeCell ref="MHC26:MHD26"/>
    <mergeCell ref="MGG26:MGH26"/>
    <mergeCell ref="MGI26:MGJ26"/>
    <mergeCell ref="MGK26:MGL26"/>
    <mergeCell ref="MGM26:MGN26"/>
    <mergeCell ref="MGO26:MGP26"/>
    <mergeCell ref="MGQ26:MGR26"/>
    <mergeCell ref="MFU26:MFV26"/>
    <mergeCell ref="MFW26:MFX26"/>
    <mergeCell ref="MFY26:MFZ26"/>
    <mergeCell ref="MGA26:MGB26"/>
    <mergeCell ref="MGC26:MGD26"/>
    <mergeCell ref="MGE26:MGF26"/>
    <mergeCell ref="MFI26:MFJ26"/>
    <mergeCell ref="MFK26:MFL26"/>
    <mergeCell ref="MFM26:MFN26"/>
    <mergeCell ref="MFO26:MFP26"/>
    <mergeCell ref="MFQ26:MFR26"/>
    <mergeCell ref="MFS26:MFT26"/>
    <mergeCell ref="MKK26:MKL26"/>
    <mergeCell ref="MKM26:MKN26"/>
    <mergeCell ref="MKO26:MKP26"/>
    <mergeCell ref="MKQ26:MKR26"/>
    <mergeCell ref="MKS26:MKT26"/>
    <mergeCell ref="MKU26:MKV26"/>
    <mergeCell ref="MJY26:MJZ26"/>
    <mergeCell ref="MKA26:MKB26"/>
    <mergeCell ref="MKC26:MKD26"/>
    <mergeCell ref="MKE26:MKF26"/>
    <mergeCell ref="MKG26:MKH26"/>
    <mergeCell ref="MKI26:MKJ26"/>
    <mergeCell ref="MJM26:MJN26"/>
    <mergeCell ref="MJO26:MJP26"/>
    <mergeCell ref="MJQ26:MJR26"/>
    <mergeCell ref="MJS26:MJT26"/>
    <mergeCell ref="MJU26:MJV26"/>
    <mergeCell ref="MJW26:MJX26"/>
    <mergeCell ref="MJA26:MJB26"/>
    <mergeCell ref="MJC26:MJD26"/>
    <mergeCell ref="MJE26:MJF26"/>
    <mergeCell ref="MJG26:MJH26"/>
    <mergeCell ref="MJI26:MJJ26"/>
    <mergeCell ref="MJK26:MJL26"/>
    <mergeCell ref="MIO26:MIP26"/>
    <mergeCell ref="MIQ26:MIR26"/>
    <mergeCell ref="MIS26:MIT26"/>
    <mergeCell ref="MIU26:MIV26"/>
    <mergeCell ref="MIW26:MIX26"/>
    <mergeCell ref="MIY26:MIZ26"/>
    <mergeCell ref="MIC26:MID26"/>
    <mergeCell ref="MIE26:MIF26"/>
    <mergeCell ref="MIG26:MIH26"/>
    <mergeCell ref="MII26:MIJ26"/>
    <mergeCell ref="MIK26:MIL26"/>
    <mergeCell ref="MIM26:MIN26"/>
    <mergeCell ref="MNE26:MNF26"/>
    <mergeCell ref="MNG26:MNH26"/>
    <mergeCell ref="MNI26:MNJ26"/>
    <mergeCell ref="MNK26:MNL26"/>
    <mergeCell ref="MNM26:MNN26"/>
    <mergeCell ref="MNO26:MNP26"/>
    <mergeCell ref="MMS26:MMT26"/>
    <mergeCell ref="MMU26:MMV26"/>
    <mergeCell ref="MMW26:MMX26"/>
    <mergeCell ref="MMY26:MMZ26"/>
    <mergeCell ref="MNA26:MNB26"/>
    <mergeCell ref="MNC26:MND26"/>
    <mergeCell ref="MMG26:MMH26"/>
    <mergeCell ref="MMI26:MMJ26"/>
    <mergeCell ref="MMK26:MML26"/>
    <mergeCell ref="MMM26:MMN26"/>
    <mergeCell ref="MMO26:MMP26"/>
    <mergeCell ref="MMQ26:MMR26"/>
    <mergeCell ref="MLU26:MLV26"/>
    <mergeCell ref="MLW26:MLX26"/>
    <mergeCell ref="MLY26:MLZ26"/>
    <mergeCell ref="MMA26:MMB26"/>
    <mergeCell ref="MMC26:MMD26"/>
    <mergeCell ref="MME26:MMF26"/>
    <mergeCell ref="MLI26:MLJ26"/>
    <mergeCell ref="MLK26:MLL26"/>
    <mergeCell ref="MLM26:MLN26"/>
    <mergeCell ref="MLO26:MLP26"/>
    <mergeCell ref="MLQ26:MLR26"/>
    <mergeCell ref="MLS26:MLT26"/>
    <mergeCell ref="MKW26:MKX26"/>
    <mergeCell ref="MKY26:MKZ26"/>
    <mergeCell ref="MLA26:MLB26"/>
    <mergeCell ref="MLC26:MLD26"/>
    <mergeCell ref="MLE26:MLF26"/>
    <mergeCell ref="MLG26:MLH26"/>
    <mergeCell ref="MPY26:MPZ26"/>
    <mergeCell ref="MQA26:MQB26"/>
    <mergeCell ref="MQC26:MQD26"/>
    <mergeCell ref="MQE26:MQF26"/>
    <mergeCell ref="MQG26:MQH26"/>
    <mergeCell ref="MQI26:MQJ26"/>
    <mergeCell ref="MPM26:MPN26"/>
    <mergeCell ref="MPO26:MPP26"/>
    <mergeCell ref="MPQ26:MPR26"/>
    <mergeCell ref="MPS26:MPT26"/>
    <mergeCell ref="MPU26:MPV26"/>
    <mergeCell ref="MPW26:MPX26"/>
    <mergeCell ref="MPA26:MPB26"/>
    <mergeCell ref="MPC26:MPD26"/>
    <mergeCell ref="MPE26:MPF26"/>
    <mergeCell ref="MPG26:MPH26"/>
    <mergeCell ref="MPI26:MPJ26"/>
    <mergeCell ref="MPK26:MPL26"/>
    <mergeCell ref="MOO26:MOP26"/>
    <mergeCell ref="MOQ26:MOR26"/>
    <mergeCell ref="MOS26:MOT26"/>
    <mergeCell ref="MOU26:MOV26"/>
    <mergeCell ref="MOW26:MOX26"/>
    <mergeCell ref="MOY26:MOZ26"/>
    <mergeCell ref="MOC26:MOD26"/>
    <mergeCell ref="MOE26:MOF26"/>
    <mergeCell ref="MOG26:MOH26"/>
    <mergeCell ref="MOI26:MOJ26"/>
    <mergeCell ref="MOK26:MOL26"/>
    <mergeCell ref="MOM26:MON26"/>
    <mergeCell ref="MNQ26:MNR26"/>
    <mergeCell ref="MNS26:MNT26"/>
    <mergeCell ref="MNU26:MNV26"/>
    <mergeCell ref="MNW26:MNX26"/>
    <mergeCell ref="MNY26:MNZ26"/>
    <mergeCell ref="MOA26:MOB26"/>
    <mergeCell ref="MSS26:MST26"/>
    <mergeCell ref="MSU26:MSV26"/>
    <mergeCell ref="MSW26:MSX26"/>
    <mergeCell ref="MSY26:MSZ26"/>
    <mergeCell ref="MTA26:MTB26"/>
    <mergeCell ref="MTC26:MTD26"/>
    <mergeCell ref="MSG26:MSH26"/>
    <mergeCell ref="MSI26:MSJ26"/>
    <mergeCell ref="MSK26:MSL26"/>
    <mergeCell ref="MSM26:MSN26"/>
    <mergeCell ref="MSO26:MSP26"/>
    <mergeCell ref="MSQ26:MSR26"/>
    <mergeCell ref="MRU26:MRV26"/>
    <mergeCell ref="MRW26:MRX26"/>
    <mergeCell ref="MRY26:MRZ26"/>
    <mergeCell ref="MSA26:MSB26"/>
    <mergeCell ref="MSC26:MSD26"/>
    <mergeCell ref="MSE26:MSF26"/>
    <mergeCell ref="MRI26:MRJ26"/>
    <mergeCell ref="MRK26:MRL26"/>
    <mergeCell ref="MRM26:MRN26"/>
    <mergeCell ref="MRO26:MRP26"/>
    <mergeCell ref="MRQ26:MRR26"/>
    <mergeCell ref="MRS26:MRT26"/>
    <mergeCell ref="MQW26:MQX26"/>
    <mergeCell ref="MQY26:MQZ26"/>
    <mergeCell ref="MRA26:MRB26"/>
    <mergeCell ref="MRC26:MRD26"/>
    <mergeCell ref="MRE26:MRF26"/>
    <mergeCell ref="MRG26:MRH26"/>
    <mergeCell ref="MQK26:MQL26"/>
    <mergeCell ref="MQM26:MQN26"/>
    <mergeCell ref="MQO26:MQP26"/>
    <mergeCell ref="MQQ26:MQR26"/>
    <mergeCell ref="MQS26:MQT26"/>
    <mergeCell ref="MQU26:MQV26"/>
    <mergeCell ref="MVM26:MVN26"/>
    <mergeCell ref="MVO26:MVP26"/>
    <mergeCell ref="MVQ26:MVR26"/>
    <mergeCell ref="MVS26:MVT26"/>
    <mergeCell ref="MVU26:MVV26"/>
    <mergeCell ref="MVW26:MVX26"/>
    <mergeCell ref="MVA26:MVB26"/>
    <mergeCell ref="MVC26:MVD26"/>
    <mergeCell ref="MVE26:MVF26"/>
    <mergeCell ref="MVG26:MVH26"/>
    <mergeCell ref="MVI26:MVJ26"/>
    <mergeCell ref="MVK26:MVL26"/>
    <mergeCell ref="MUO26:MUP26"/>
    <mergeCell ref="MUQ26:MUR26"/>
    <mergeCell ref="MUS26:MUT26"/>
    <mergeCell ref="MUU26:MUV26"/>
    <mergeCell ref="MUW26:MUX26"/>
    <mergeCell ref="MUY26:MUZ26"/>
    <mergeCell ref="MUC26:MUD26"/>
    <mergeCell ref="MUE26:MUF26"/>
    <mergeCell ref="MUG26:MUH26"/>
    <mergeCell ref="MUI26:MUJ26"/>
    <mergeCell ref="MUK26:MUL26"/>
    <mergeCell ref="MUM26:MUN26"/>
    <mergeCell ref="MTQ26:MTR26"/>
    <mergeCell ref="MTS26:MTT26"/>
    <mergeCell ref="MTU26:MTV26"/>
    <mergeCell ref="MTW26:MTX26"/>
    <mergeCell ref="MTY26:MTZ26"/>
    <mergeCell ref="MUA26:MUB26"/>
    <mergeCell ref="MTE26:MTF26"/>
    <mergeCell ref="MTG26:MTH26"/>
    <mergeCell ref="MTI26:MTJ26"/>
    <mergeCell ref="MTK26:MTL26"/>
    <mergeCell ref="MTM26:MTN26"/>
    <mergeCell ref="MTO26:MTP26"/>
    <mergeCell ref="MYG26:MYH26"/>
    <mergeCell ref="MYI26:MYJ26"/>
    <mergeCell ref="MYK26:MYL26"/>
    <mergeCell ref="MYM26:MYN26"/>
    <mergeCell ref="MYO26:MYP26"/>
    <mergeCell ref="MYQ26:MYR26"/>
    <mergeCell ref="MXU26:MXV26"/>
    <mergeCell ref="MXW26:MXX26"/>
    <mergeCell ref="MXY26:MXZ26"/>
    <mergeCell ref="MYA26:MYB26"/>
    <mergeCell ref="MYC26:MYD26"/>
    <mergeCell ref="MYE26:MYF26"/>
    <mergeCell ref="MXI26:MXJ26"/>
    <mergeCell ref="MXK26:MXL26"/>
    <mergeCell ref="MXM26:MXN26"/>
    <mergeCell ref="MXO26:MXP26"/>
    <mergeCell ref="MXQ26:MXR26"/>
    <mergeCell ref="MXS26:MXT26"/>
    <mergeCell ref="MWW26:MWX26"/>
    <mergeCell ref="MWY26:MWZ26"/>
    <mergeCell ref="MXA26:MXB26"/>
    <mergeCell ref="MXC26:MXD26"/>
    <mergeCell ref="MXE26:MXF26"/>
    <mergeCell ref="MXG26:MXH26"/>
    <mergeCell ref="MWK26:MWL26"/>
    <mergeCell ref="MWM26:MWN26"/>
    <mergeCell ref="MWO26:MWP26"/>
    <mergeCell ref="MWQ26:MWR26"/>
    <mergeCell ref="MWS26:MWT26"/>
    <mergeCell ref="MWU26:MWV26"/>
    <mergeCell ref="MVY26:MVZ26"/>
    <mergeCell ref="MWA26:MWB26"/>
    <mergeCell ref="MWC26:MWD26"/>
    <mergeCell ref="MWE26:MWF26"/>
    <mergeCell ref="MWG26:MWH26"/>
    <mergeCell ref="MWI26:MWJ26"/>
    <mergeCell ref="NBA26:NBB26"/>
    <mergeCell ref="NBC26:NBD26"/>
    <mergeCell ref="NBE26:NBF26"/>
    <mergeCell ref="NBG26:NBH26"/>
    <mergeCell ref="NBI26:NBJ26"/>
    <mergeCell ref="NBK26:NBL26"/>
    <mergeCell ref="NAO26:NAP26"/>
    <mergeCell ref="NAQ26:NAR26"/>
    <mergeCell ref="NAS26:NAT26"/>
    <mergeCell ref="NAU26:NAV26"/>
    <mergeCell ref="NAW26:NAX26"/>
    <mergeCell ref="NAY26:NAZ26"/>
    <mergeCell ref="NAC26:NAD26"/>
    <mergeCell ref="NAE26:NAF26"/>
    <mergeCell ref="NAG26:NAH26"/>
    <mergeCell ref="NAI26:NAJ26"/>
    <mergeCell ref="NAK26:NAL26"/>
    <mergeCell ref="NAM26:NAN26"/>
    <mergeCell ref="MZQ26:MZR26"/>
    <mergeCell ref="MZS26:MZT26"/>
    <mergeCell ref="MZU26:MZV26"/>
    <mergeCell ref="MZW26:MZX26"/>
    <mergeCell ref="MZY26:MZZ26"/>
    <mergeCell ref="NAA26:NAB26"/>
    <mergeCell ref="MZE26:MZF26"/>
    <mergeCell ref="MZG26:MZH26"/>
    <mergeCell ref="MZI26:MZJ26"/>
    <mergeCell ref="MZK26:MZL26"/>
    <mergeCell ref="MZM26:MZN26"/>
    <mergeCell ref="MZO26:MZP26"/>
    <mergeCell ref="MYS26:MYT26"/>
    <mergeCell ref="MYU26:MYV26"/>
    <mergeCell ref="MYW26:MYX26"/>
    <mergeCell ref="MYY26:MYZ26"/>
    <mergeCell ref="MZA26:MZB26"/>
    <mergeCell ref="MZC26:MZD26"/>
    <mergeCell ref="NDU26:NDV26"/>
    <mergeCell ref="NDW26:NDX26"/>
    <mergeCell ref="NDY26:NDZ26"/>
    <mergeCell ref="NEA26:NEB26"/>
    <mergeCell ref="NEC26:NED26"/>
    <mergeCell ref="NEE26:NEF26"/>
    <mergeCell ref="NDI26:NDJ26"/>
    <mergeCell ref="NDK26:NDL26"/>
    <mergeCell ref="NDM26:NDN26"/>
    <mergeCell ref="NDO26:NDP26"/>
    <mergeCell ref="NDQ26:NDR26"/>
    <mergeCell ref="NDS26:NDT26"/>
    <mergeCell ref="NCW26:NCX26"/>
    <mergeCell ref="NCY26:NCZ26"/>
    <mergeCell ref="NDA26:NDB26"/>
    <mergeCell ref="NDC26:NDD26"/>
    <mergeCell ref="NDE26:NDF26"/>
    <mergeCell ref="NDG26:NDH26"/>
    <mergeCell ref="NCK26:NCL26"/>
    <mergeCell ref="NCM26:NCN26"/>
    <mergeCell ref="NCO26:NCP26"/>
    <mergeCell ref="NCQ26:NCR26"/>
    <mergeCell ref="NCS26:NCT26"/>
    <mergeCell ref="NCU26:NCV26"/>
    <mergeCell ref="NBY26:NBZ26"/>
    <mergeCell ref="NCA26:NCB26"/>
    <mergeCell ref="NCC26:NCD26"/>
    <mergeCell ref="NCE26:NCF26"/>
    <mergeCell ref="NCG26:NCH26"/>
    <mergeCell ref="NCI26:NCJ26"/>
    <mergeCell ref="NBM26:NBN26"/>
    <mergeCell ref="NBO26:NBP26"/>
    <mergeCell ref="NBQ26:NBR26"/>
    <mergeCell ref="NBS26:NBT26"/>
    <mergeCell ref="NBU26:NBV26"/>
    <mergeCell ref="NBW26:NBX26"/>
    <mergeCell ref="NGO26:NGP26"/>
    <mergeCell ref="NGQ26:NGR26"/>
    <mergeCell ref="NGS26:NGT26"/>
    <mergeCell ref="NGU26:NGV26"/>
    <mergeCell ref="NGW26:NGX26"/>
    <mergeCell ref="NGY26:NGZ26"/>
    <mergeCell ref="NGC26:NGD26"/>
    <mergeCell ref="NGE26:NGF26"/>
    <mergeCell ref="NGG26:NGH26"/>
    <mergeCell ref="NGI26:NGJ26"/>
    <mergeCell ref="NGK26:NGL26"/>
    <mergeCell ref="NGM26:NGN26"/>
    <mergeCell ref="NFQ26:NFR26"/>
    <mergeCell ref="NFS26:NFT26"/>
    <mergeCell ref="NFU26:NFV26"/>
    <mergeCell ref="NFW26:NFX26"/>
    <mergeCell ref="NFY26:NFZ26"/>
    <mergeCell ref="NGA26:NGB26"/>
    <mergeCell ref="NFE26:NFF26"/>
    <mergeCell ref="NFG26:NFH26"/>
    <mergeCell ref="NFI26:NFJ26"/>
    <mergeCell ref="NFK26:NFL26"/>
    <mergeCell ref="NFM26:NFN26"/>
    <mergeCell ref="NFO26:NFP26"/>
    <mergeCell ref="NES26:NET26"/>
    <mergeCell ref="NEU26:NEV26"/>
    <mergeCell ref="NEW26:NEX26"/>
    <mergeCell ref="NEY26:NEZ26"/>
    <mergeCell ref="NFA26:NFB26"/>
    <mergeCell ref="NFC26:NFD26"/>
    <mergeCell ref="NEG26:NEH26"/>
    <mergeCell ref="NEI26:NEJ26"/>
    <mergeCell ref="NEK26:NEL26"/>
    <mergeCell ref="NEM26:NEN26"/>
    <mergeCell ref="NEO26:NEP26"/>
    <mergeCell ref="NEQ26:NER26"/>
    <mergeCell ref="NJI26:NJJ26"/>
    <mergeCell ref="NJK26:NJL26"/>
    <mergeCell ref="NJM26:NJN26"/>
    <mergeCell ref="NJO26:NJP26"/>
    <mergeCell ref="NJQ26:NJR26"/>
    <mergeCell ref="NJS26:NJT26"/>
    <mergeCell ref="NIW26:NIX26"/>
    <mergeCell ref="NIY26:NIZ26"/>
    <mergeCell ref="NJA26:NJB26"/>
    <mergeCell ref="NJC26:NJD26"/>
    <mergeCell ref="NJE26:NJF26"/>
    <mergeCell ref="NJG26:NJH26"/>
    <mergeCell ref="NIK26:NIL26"/>
    <mergeCell ref="NIM26:NIN26"/>
    <mergeCell ref="NIO26:NIP26"/>
    <mergeCell ref="NIQ26:NIR26"/>
    <mergeCell ref="NIS26:NIT26"/>
    <mergeCell ref="NIU26:NIV26"/>
    <mergeCell ref="NHY26:NHZ26"/>
    <mergeCell ref="NIA26:NIB26"/>
    <mergeCell ref="NIC26:NID26"/>
    <mergeCell ref="NIE26:NIF26"/>
    <mergeCell ref="NIG26:NIH26"/>
    <mergeCell ref="NII26:NIJ26"/>
    <mergeCell ref="NHM26:NHN26"/>
    <mergeCell ref="NHO26:NHP26"/>
    <mergeCell ref="NHQ26:NHR26"/>
    <mergeCell ref="NHS26:NHT26"/>
    <mergeCell ref="NHU26:NHV26"/>
    <mergeCell ref="NHW26:NHX26"/>
    <mergeCell ref="NHA26:NHB26"/>
    <mergeCell ref="NHC26:NHD26"/>
    <mergeCell ref="NHE26:NHF26"/>
    <mergeCell ref="NHG26:NHH26"/>
    <mergeCell ref="NHI26:NHJ26"/>
    <mergeCell ref="NHK26:NHL26"/>
    <mergeCell ref="NMC26:NMD26"/>
    <mergeCell ref="NME26:NMF26"/>
    <mergeCell ref="NMG26:NMH26"/>
    <mergeCell ref="NMI26:NMJ26"/>
    <mergeCell ref="NMK26:NML26"/>
    <mergeCell ref="NMM26:NMN26"/>
    <mergeCell ref="NLQ26:NLR26"/>
    <mergeCell ref="NLS26:NLT26"/>
    <mergeCell ref="NLU26:NLV26"/>
    <mergeCell ref="NLW26:NLX26"/>
    <mergeCell ref="NLY26:NLZ26"/>
    <mergeCell ref="NMA26:NMB26"/>
    <mergeCell ref="NLE26:NLF26"/>
    <mergeCell ref="NLG26:NLH26"/>
    <mergeCell ref="NLI26:NLJ26"/>
    <mergeCell ref="NLK26:NLL26"/>
    <mergeCell ref="NLM26:NLN26"/>
    <mergeCell ref="NLO26:NLP26"/>
    <mergeCell ref="NKS26:NKT26"/>
    <mergeCell ref="NKU26:NKV26"/>
    <mergeCell ref="NKW26:NKX26"/>
    <mergeCell ref="NKY26:NKZ26"/>
    <mergeCell ref="NLA26:NLB26"/>
    <mergeCell ref="NLC26:NLD26"/>
    <mergeCell ref="NKG26:NKH26"/>
    <mergeCell ref="NKI26:NKJ26"/>
    <mergeCell ref="NKK26:NKL26"/>
    <mergeCell ref="NKM26:NKN26"/>
    <mergeCell ref="NKO26:NKP26"/>
    <mergeCell ref="NKQ26:NKR26"/>
    <mergeCell ref="NJU26:NJV26"/>
    <mergeCell ref="NJW26:NJX26"/>
    <mergeCell ref="NJY26:NJZ26"/>
    <mergeCell ref="NKA26:NKB26"/>
    <mergeCell ref="NKC26:NKD26"/>
    <mergeCell ref="NKE26:NKF26"/>
    <mergeCell ref="NOW26:NOX26"/>
    <mergeCell ref="NOY26:NOZ26"/>
    <mergeCell ref="NPA26:NPB26"/>
    <mergeCell ref="NPC26:NPD26"/>
    <mergeCell ref="NPE26:NPF26"/>
    <mergeCell ref="NPG26:NPH26"/>
    <mergeCell ref="NOK26:NOL26"/>
    <mergeCell ref="NOM26:NON26"/>
    <mergeCell ref="NOO26:NOP26"/>
    <mergeCell ref="NOQ26:NOR26"/>
    <mergeCell ref="NOS26:NOT26"/>
    <mergeCell ref="NOU26:NOV26"/>
    <mergeCell ref="NNY26:NNZ26"/>
    <mergeCell ref="NOA26:NOB26"/>
    <mergeCell ref="NOC26:NOD26"/>
    <mergeCell ref="NOE26:NOF26"/>
    <mergeCell ref="NOG26:NOH26"/>
    <mergeCell ref="NOI26:NOJ26"/>
    <mergeCell ref="NNM26:NNN26"/>
    <mergeCell ref="NNO26:NNP26"/>
    <mergeCell ref="NNQ26:NNR26"/>
    <mergeCell ref="NNS26:NNT26"/>
    <mergeCell ref="NNU26:NNV26"/>
    <mergeCell ref="NNW26:NNX26"/>
    <mergeCell ref="NNA26:NNB26"/>
    <mergeCell ref="NNC26:NND26"/>
    <mergeCell ref="NNE26:NNF26"/>
    <mergeCell ref="NNG26:NNH26"/>
    <mergeCell ref="NNI26:NNJ26"/>
    <mergeCell ref="NNK26:NNL26"/>
    <mergeCell ref="NMO26:NMP26"/>
    <mergeCell ref="NMQ26:NMR26"/>
    <mergeCell ref="NMS26:NMT26"/>
    <mergeCell ref="NMU26:NMV26"/>
    <mergeCell ref="NMW26:NMX26"/>
    <mergeCell ref="NMY26:NMZ26"/>
    <mergeCell ref="NRQ26:NRR26"/>
    <mergeCell ref="NRS26:NRT26"/>
    <mergeCell ref="NRU26:NRV26"/>
    <mergeCell ref="NRW26:NRX26"/>
    <mergeCell ref="NRY26:NRZ26"/>
    <mergeCell ref="NSA26:NSB26"/>
    <mergeCell ref="NRE26:NRF26"/>
    <mergeCell ref="NRG26:NRH26"/>
    <mergeCell ref="NRI26:NRJ26"/>
    <mergeCell ref="NRK26:NRL26"/>
    <mergeCell ref="NRM26:NRN26"/>
    <mergeCell ref="NRO26:NRP26"/>
    <mergeCell ref="NQS26:NQT26"/>
    <mergeCell ref="NQU26:NQV26"/>
    <mergeCell ref="NQW26:NQX26"/>
    <mergeCell ref="NQY26:NQZ26"/>
    <mergeCell ref="NRA26:NRB26"/>
    <mergeCell ref="NRC26:NRD26"/>
    <mergeCell ref="NQG26:NQH26"/>
    <mergeCell ref="NQI26:NQJ26"/>
    <mergeCell ref="NQK26:NQL26"/>
    <mergeCell ref="NQM26:NQN26"/>
    <mergeCell ref="NQO26:NQP26"/>
    <mergeCell ref="NQQ26:NQR26"/>
    <mergeCell ref="NPU26:NPV26"/>
    <mergeCell ref="NPW26:NPX26"/>
    <mergeCell ref="NPY26:NPZ26"/>
    <mergeCell ref="NQA26:NQB26"/>
    <mergeCell ref="NQC26:NQD26"/>
    <mergeCell ref="NQE26:NQF26"/>
    <mergeCell ref="NPI26:NPJ26"/>
    <mergeCell ref="NPK26:NPL26"/>
    <mergeCell ref="NPM26:NPN26"/>
    <mergeCell ref="NPO26:NPP26"/>
    <mergeCell ref="NPQ26:NPR26"/>
    <mergeCell ref="NPS26:NPT26"/>
    <mergeCell ref="NUK26:NUL26"/>
    <mergeCell ref="NUM26:NUN26"/>
    <mergeCell ref="NUO26:NUP26"/>
    <mergeCell ref="NUQ26:NUR26"/>
    <mergeCell ref="NUS26:NUT26"/>
    <mergeCell ref="NUU26:NUV26"/>
    <mergeCell ref="NTY26:NTZ26"/>
    <mergeCell ref="NUA26:NUB26"/>
    <mergeCell ref="NUC26:NUD26"/>
    <mergeCell ref="NUE26:NUF26"/>
    <mergeCell ref="NUG26:NUH26"/>
    <mergeCell ref="NUI26:NUJ26"/>
    <mergeCell ref="NTM26:NTN26"/>
    <mergeCell ref="NTO26:NTP26"/>
    <mergeCell ref="NTQ26:NTR26"/>
    <mergeCell ref="NTS26:NTT26"/>
    <mergeCell ref="NTU26:NTV26"/>
    <mergeCell ref="NTW26:NTX26"/>
    <mergeCell ref="NTA26:NTB26"/>
    <mergeCell ref="NTC26:NTD26"/>
    <mergeCell ref="NTE26:NTF26"/>
    <mergeCell ref="NTG26:NTH26"/>
    <mergeCell ref="NTI26:NTJ26"/>
    <mergeCell ref="NTK26:NTL26"/>
    <mergeCell ref="NSO26:NSP26"/>
    <mergeCell ref="NSQ26:NSR26"/>
    <mergeCell ref="NSS26:NST26"/>
    <mergeCell ref="NSU26:NSV26"/>
    <mergeCell ref="NSW26:NSX26"/>
    <mergeCell ref="NSY26:NSZ26"/>
    <mergeCell ref="NSC26:NSD26"/>
    <mergeCell ref="NSE26:NSF26"/>
    <mergeCell ref="NSG26:NSH26"/>
    <mergeCell ref="NSI26:NSJ26"/>
    <mergeCell ref="NSK26:NSL26"/>
    <mergeCell ref="NSM26:NSN26"/>
    <mergeCell ref="NXE26:NXF26"/>
    <mergeCell ref="NXG26:NXH26"/>
    <mergeCell ref="NXI26:NXJ26"/>
    <mergeCell ref="NXK26:NXL26"/>
    <mergeCell ref="NXM26:NXN26"/>
    <mergeCell ref="NXO26:NXP26"/>
    <mergeCell ref="NWS26:NWT26"/>
    <mergeCell ref="NWU26:NWV26"/>
    <mergeCell ref="NWW26:NWX26"/>
    <mergeCell ref="NWY26:NWZ26"/>
    <mergeCell ref="NXA26:NXB26"/>
    <mergeCell ref="NXC26:NXD26"/>
    <mergeCell ref="NWG26:NWH26"/>
    <mergeCell ref="NWI26:NWJ26"/>
    <mergeCell ref="NWK26:NWL26"/>
    <mergeCell ref="NWM26:NWN26"/>
    <mergeCell ref="NWO26:NWP26"/>
    <mergeCell ref="NWQ26:NWR26"/>
    <mergeCell ref="NVU26:NVV26"/>
    <mergeCell ref="NVW26:NVX26"/>
    <mergeCell ref="NVY26:NVZ26"/>
    <mergeCell ref="NWA26:NWB26"/>
    <mergeCell ref="NWC26:NWD26"/>
    <mergeCell ref="NWE26:NWF26"/>
    <mergeCell ref="NVI26:NVJ26"/>
    <mergeCell ref="NVK26:NVL26"/>
    <mergeCell ref="NVM26:NVN26"/>
    <mergeCell ref="NVO26:NVP26"/>
    <mergeCell ref="NVQ26:NVR26"/>
    <mergeCell ref="NVS26:NVT26"/>
    <mergeCell ref="NUW26:NUX26"/>
    <mergeCell ref="NUY26:NUZ26"/>
    <mergeCell ref="NVA26:NVB26"/>
    <mergeCell ref="NVC26:NVD26"/>
    <mergeCell ref="NVE26:NVF26"/>
    <mergeCell ref="NVG26:NVH26"/>
    <mergeCell ref="NZY26:NZZ26"/>
    <mergeCell ref="OAA26:OAB26"/>
    <mergeCell ref="OAC26:OAD26"/>
    <mergeCell ref="OAE26:OAF26"/>
    <mergeCell ref="OAG26:OAH26"/>
    <mergeCell ref="OAI26:OAJ26"/>
    <mergeCell ref="NZM26:NZN26"/>
    <mergeCell ref="NZO26:NZP26"/>
    <mergeCell ref="NZQ26:NZR26"/>
    <mergeCell ref="NZS26:NZT26"/>
    <mergeCell ref="NZU26:NZV26"/>
    <mergeCell ref="NZW26:NZX26"/>
    <mergeCell ref="NZA26:NZB26"/>
    <mergeCell ref="NZC26:NZD26"/>
    <mergeCell ref="NZE26:NZF26"/>
    <mergeCell ref="NZG26:NZH26"/>
    <mergeCell ref="NZI26:NZJ26"/>
    <mergeCell ref="NZK26:NZL26"/>
    <mergeCell ref="NYO26:NYP26"/>
    <mergeCell ref="NYQ26:NYR26"/>
    <mergeCell ref="NYS26:NYT26"/>
    <mergeCell ref="NYU26:NYV26"/>
    <mergeCell ref="NYW26:NYX26"/>
    <mergeCell ref="NYY26:NYZ26"/>
    <mergeCell ref="NYC26:NYD26"/>
    <mergeCell ref="NYE26:NYF26"/>
    <mergeCell ref="NYG26:NYH26"/>
    <mergeCell ref="NYI26:NYJ26"/>
    <mergeCell ref="NYK26:NYL26"/>
    <mergeCell ref="NYM26:NYN26"/>
    <mergeCell ref="NXQ26:NXR26"/>
    <mergeCell ref="NXS26:NXT26"/>
    <mergeCell ref="NXU26:NXV26"/>
    <mergeCell ref="NXW26:NXX26"/>
    <mergeCell ref="NXY26:NXZ26"/>
    <mergeCell ref="NYA26:NYB26"/>
    <mergeCell ref="OCS26:OCT26"/>
    <mergeCell ref="OCU26:OCV26"/>
    <mergeCell ref="OCW26:OCX26"/>
    <mergeCell ref="OCY26:OCZ26"/>
    <mergeCell ref="ODA26:ODB26"/>
    <mergeCell ref="ODC26:ODD26"/>
    <mergeCell ref="OCG26:OCH26"/>
    <mergeCell ref="OCI26:OCJ26"/>
    <mergeCell ref="OCK26:OCL26"/>
    <mergeCell ref="OCM26:OCN26"/>
    <mergeCell ref="OCO26:OCP26"/>
    <mergeCell ref="OCQ26:OCR26"/>
    <mergeCell ref="OBU26:OBV26"/>
    <mergeCell ref="OBW26:OBX26"/>
    <mergeCell ref="OBY26:OBZ26"/>
    <mergeCell ref="OCA26:OCB26"/>
    <mergeCell ref="OCC26:OCD26"/>
    <mergeCell ref="OCE26:OCF26"/>
    <mergeCell ref="OBI26:OBJ26"/>
    <mergeCell ref="OBK26:OBL26"/>
    <mergeCell ref="OBM26:OBN26"/>
    <mergeCell ref="OBO26:OBP26"/>
    <mergeCell ref="OBQ26:OBR26"/>
    <mergeCell ref="OBS26:OBT26"/>
    <mergeCell ref="OAW26:OAX26"/>
    <mergeCell ref="OAY26:OAZ26"/>
    <mergeCell ref="OBA26:OBB26"/>
    <mergeCell ref="OBC26:OBD26"/>
    <mergeCell ref="OBE26:OBF26"/>
    <mergeCell ref="OBG26:OBH26"/>
    <mergeCell ref="OAK26:OAL26"/>
    <mergeCell ref="OAM26:OAN26"/>
    <mergeCell ref="OAO26:OAP26"/>
    <mergeCell ref="OAQ26:OAR26"/>
    <mergeCell ref="OAS26:OAT26"/>
    <mergeCell ref="OAU26:OAV26"/>
    <mergeCell ref="OFM26:OFN26"/>
    <mergeCell ref="OFO26:OFP26"/>
    <mergeCell ref="OFQ26:OFR26"/>
    <mergeCell ref="OFS26:OFT26"/>
    <mergeCell ref="OFU26:OFV26"/>
    <mergeCell ref="OFW26:OFX26"/>
    <mergeCell ref="OFA26:OFB26"/>
    <mergeCell ref="OFC26:OFD26"/>
    <mergeCell ref="OFE26:OFF26"/>
    <mergeCell ref="OFG26:OFH26"/>
    <mergeCell ref="OFI26:OFJ26"/>
    <mergeCell ref="OFK26:OFL26"/>
    <mergeCell ref="OEO26:OEP26"/>
    <mergeCell ref="OEQ26:OER26"/>
    <mergeCell ref="OES26:OET26"/>
    <mergeCell ref="OEU26:OEV26"/>
    <mergeCell ref="OEW26:OEX26"/>
    <mergeCell ref="OEY26:OEZ26"/>
    <mergeCell ref="OEC26:OED26"/>
    <mergeCell ref="OEE26:OEF26"/>
    <mergeCell ref="OEG26:OEH26"/>
    <mergeCell ref="OEI26:OEJ26"/>
    <mergeCell ref="OEK26:OEL26"/>
    <mergeCell ref="OEM26:OEN26"/>
    <mergeCell ref="ODQ26:ODR26"/>
    <mergeCell ref="ODS26:ODT26"/>
    <mergeCell ref="ODU26:ODV26"/>
    <mergeCell ref="ODW26:ODX26"/>
    <mergeCell ref="ODY26:ODZ26"/>
    <mergeCell ref="OEA26:OEB26"/>
    <mergeCell ref="ODE26:ODF26"/>
    <mergeCell ref="ODG26:ODH26"/>
    <mergeCell ref="ODI26:ODJ26"/>
    <mergeCell ref="ODK26:ODL26"/>
    <mergeCell ref="ODM26:ODN26"/>
    <mergeCell ref="ODO26:ODP26"/>
    <mergeCell ref="OIG26:OIH26"/>
    <mergeCell ref="OII26:OIJ26"/>
    <mergeCell ref="OIK26:OIL26"/>
    <mergeCell ref="OIM26:OIN26"/>
    <mergeCell ref="OIO26:OIP26"/>
    <mergeCell ref="OIQ26:OIR26"/>
    <mergeCell ref="OHU26:OHV26"/>
    <mergeCell ref="OHW26:OHX26"/>
    <mergeCell ref="OHY26:OHZ26"/>
    <mergeCell ref="OIA26:OIB26"/>
    <mergeCell ref="OIC26:OID26"/>
    <mergeCell ref="OIE26:OIF26"/>
    <mergeCell ref="OHI26:OHJ26"/>
    <mergeCell ref="OHK26:OHL26"/>
    <mergeCell ref="OHM26:OHN26"/>
    <mergeCell ref="OHO26:OHP26"/>
    <mergeCell ref="OHQ26:OHR26"/>
    <mergeCell ref="OHS26:OHT26"/>
    <mergeCell ref="OGW26:OGX26"/>
    <mergeCell ref="OGY26:OGZ26"/>
    <mergeCell ref="OHA26:OHB26"/>
    <mergeCell ref="OHC26:OHD26"/>
    <mergeCell ref="OHE26:OHF26"/>
    <mergeCell ref="OHG26:OHH26"/>
    <mergeCell ref="OGK26:OGL26"/>
    <mergeCell ref="OGM26:OGN26"/>
    <mergeCell ref="OGO26:OGP26"/>
    <mergeCell ref="OGQ26:OGR26"/>
    <mergeCell ref="OGS26:OGT26"/>
    <mergeCell ref="OGU26:OGV26"/>
    <mergeCell ref="OFY26:OFZ26"/>
    <mergeCell ref="OGA26:OGB26"/>
    <mergeCell ref="OGC26:OGD26"/>
    <mergeCell ref="OGE26:OGF26"/>
    <mergeCell ref="OGG26:OGH26"/>
    <mergeCell ref="OGI26:OGJ26"/>
    <mergeCell ref="OLA26:OLB26"/>
    <mergeCell ref="OLC26:OLD26"/>
    <mergeCell ref="OLE26:OLF26"/>
    <mergeCell ref="OLG26:OLH26"/>
    <mergeCell ref="OLI26:OLJ26"/>
    <mergeCell ref="OLK26:OLL26"/>
    <mergeCell ref="OKO26:OKP26"/>
    <mergeCell ref="OKQ26:OKR26"/>
    <mergeCell ref="OKS26:OKT26"/>
    <mergeCell ref="OKU26:OKV26"/>
    <mergeCell ref="OKW26:OKX26"/>
    <mergeCell ref="OKY26:OKZ26"/>
    <mergeCell ref="OKC26:OKD26"/>
    <mergeCell ref="OKE26:OKF26"/>
    <mergeCell ref="OKG26:OKH26"/>
    <mergeCell ref="OKI26:OKJ26"/>
    <mergeCell ref="OKK26:OKL26"/>
    <mergeCell ref="OKM26:OKN26"/>
    <mergeCell ref="OJQ26:OJR26"/>
    <mergeCell ref="OJS26:OJT26"/>
    <mergeCell ref="OJU26:OJV26"/>
    <mergeCell ref="OJW26:OJX26"/>
    <mergeCell ref="OJY26:OJZ26"/>
    <mergeCell ref="OKA26:OKB26"/>
    <mergeCell ref="OJE26:OJF26"/>
    <mergeCell ref="OJG26:OJH26"/>
    <mergeCell ref="OJI26:OJJ26"/>
    <mergeCell ref="OJK26:OJL26"/>
    <mergeCell ref="OJM26:OJN26"/>
    <mergeCell ref="OJO26:OJP26"/>
    <mergeCell ref="OIS26:OIT26"/>
    <mergeCell ref="OIU26:OIV26"/>
    <mergeCell ref="OIW26:OIX26"/>
    <mergeCell ref="OIY26:OIZ26"/>
    <mergeCell ref="OJA26:OJB26"/>
    <mergeCell ref="OJC26:OJD26"/>
    <mergeCell ref="ONU26:ONV26"/>
    <mergeCell ref="ONW26:ONX26"/>
    <mergeCell ref="ONY26:ONZ26"/>
    <mergeCell ref="OOA26:OOB26"/>
    <mergeCell ref="OOC26:OOD26"/>
    <mergeCell ref="OOE26:OOF26"/>
    <mergeCell ref="ONI26:ONJ26"/>
    <mergeCell ref="ONK26:ONL26"/>
    <mergeCell ref="ONM26:ONN26"/>
    <mergeCell ref="ONO26:ONP26"/>
    <mergeCell ref="ONQ26:ONR26"/>
    <mergeCell ref="ONS26:ONT26"/>
    <mergeCell ref="OMW26:OMX26"/>
    <mergeCell ref="OMY26:OMZ26"/>
    <mergeCell ref="ONA26:ONB26"/>
    <mergeCell ref="ONC26:OND26"/>
    <mergeCell ref="ONE26:ONF26"/>
    <mergeCell ref="ONG26:ONH26"/>
    <mergeCell ref="OMK26:OML26"/>
    <mergeCell ref="OMM26:OMN26"/>
    <mergeCell ref="OMO26:OMP26"/>
    <mergeCell ref="OMQ26:OMR26"/>
    <mergeCell ref="OMS26:OMT26"/>
    <mergeCell ref="OMU26:OMV26"/>
    <mergeCell ref="OLY26:OLZ26"/>
    <mergeCell ref="OMA26:OMB26"/>
    <mergeCell ref="OMC26:OMD26"/>
    <mergeCell ref="OME26:OMF26"/>
    <mergeCell ref="OMG26:OMH26"/>
    <mergeCell ref="OMI26:OMJ26"/>
    <mergeCell ref="OLM26:OLN26"/>
    <mergeCell ref="OLO26:OLP26"/>
    <mergeCell ref="OLQ26:OLR26"/>
    <mergeCell ref="OLS26:OLT26"/>
    <mergeCell ref="OLU26:OLV26"/>
    <mergeCell ref="OLW26:OLX26"/>
    <mergeCell ref="OQO26:OQP26"/>
    <mergeCell ref="OQQ26:OQR26"/>
    <mergeCell ref="OQS26:OQT26"/>
    <mergeCell ref="OQU26:OQV26"/>
    <mergeCell ref="OQW26:OQX26"/>
    <mergeCell ref="OQY26:OQZ26"/>
    <mergeCell ref="OQC26:OQD26"/>
    <mergeCell ref="OQE26:OQF26"/>
    <mergeCell ref="OQG26:OQH26"/>
    <mergeCell ref="OQI26:OQJ26"/>
    <mergeCell ref="OQK26:OQL26"/>
    <mergeCell ref="OQM26:OQN26"/>
    <mergeCell ref="OPQ26:OPR26"/>
    <mergeCell ref="OPS26:OPT26"/>
    <mergeCell ref="OPU26:OPV26"/>
    <mergeCell ref="OPW26:OPX26"/>
    <mergeCell ref="OPY26:OPZ26"/>
    <mergeCell ref="OQA26:OQB26"/>
    <mergeCell ref="OPE26:OPF26"/>
    <mergeCell ref="OPG26:OPH26"/>
    <mergeCell ref="OPI26:OPJ26"/>
    <mergeCell ref="OPK26:OPL26"/>
    <mergeCell ref="OPM26:OPN26"/>
    <mergeCell ref="OPO26:OPP26"/>
    <mergeCell ref="OOS26:OOT26"/>
    <mergeCell ref="OOU26:OOV26"/>
    <mergeCell ref="OOW26:OOX26"/>
    <mergeCell ref="OOY26:OOZ26"/>
    <mergeCell ref="OPA26:OPB26"/>
    <mergeCell ref="OPC26:OPD26"/>
    <mergeCell ref="OOG26:OOH26"/>
    <mergeCell ref="OOI26:OOJ26"/>
    <mergeCell ref="OOK26:OOL26"/>
    <mergeCell ref="OOM26:OON26"/>
    <mergeCell ref="OOO26:OOP26"/>
    <mergeCell ref="OOQ26:OOR26"/>
    <mergeCell ref="OTI26:OTJ26"/>
    <mergeCell ref="OTK26:OTL26"/>
    <mergeCell ref="OTM26:OTN26"/>
    <mergeCell ref="OTO26:OTP26"/>
    <mergeCell ref="OTQ26:OTR26"/>
    <mergeCell ref="OTS26:OTT26"/>
    <mergeCell ref="OSW26:OSX26"/>
    <mergeCell ref="OSY26:OSZ26"/>
    <mergeCell ref="OTA26:OTB26"/>
    <mergeCell ref="OTC26:OTD26"/>
    <mergeCell ref="OTE26:OTF26"/>
    <mergeCell ref="OTG26:OTH26"/>
    <mergeCell ref="OSK26:OSL26"/>
    <mergeCell ref="OSM26:OSN26"/>
    <mergeCell ref="OSO26:OSP26"/>
    <mergeCell ref="OSQ26:OSR26"/>
    <mergeCell ref="OSS26:OST26"/>
    <mergeCell ref="OSU26:OSV26"/>
    <mergeCell ref="ORY26:ORZ26"/>
    <mergeCell ref="OSA26:OSB26"/>
    <mergeCell ref="OSC26:OSD26"/>
    <mergeCell ref="OSE26:OSF26"/>
    <mergeCell ref="OSG26:OSH26"/>
    <mergeCell ref="OSI26:OSJ26"/>
    <mergeCell ref="ORM26:ORN26"/>
    <mergeCell ref="ORO26:ORP26"/>
    <mergeCell ref="ORQ26:ORR26"/>
    <mergeCell ref="ORS26:ORT26"/>
    <mergeCell ref="ORU26:ORV26"/>
    <mergeCell ref="ORW26:ORX26"/>
    <mergeCell ref="ORA26:ORB26"/>
    <mergeCell ref="ORC26:ORD26"/>
    <mergeCell ref="ORE26:ORF26"/>
    <mergeCell ref="ORG26:ORH26"/>
    <mergeCell ref="ORI26:ORJ26"/>
    <mergeCell ref="ORK26:ORL26"/>
    <mergeCell ref="OWC26:OWD26"/>
    <mergeCell ref="OWE26:OWF26"/>
    <mergeCell ref="OWG26:OWH26"/>
    <mergeCell ref="OWI26:OWJ26"/>
    <mergeCell ref="OWK26:OWL26"/>
    <mergeCell ref="OWM26:OWN26"/>
    <mergeCell ref="OVQ26:OVR26"/>
    <mergeCell ref="OVS26:OVT26"/>
    <mergeCell ref="OVU26:OVV26"/>
    <mergeCell ref="OVW26:OVX26"/>
    <mergeCell ref="OVY26:OVZ26"/>
    <mergeCell ref="OWA26:OWB26"/>
    <mergeCell ref="OVE26:OVF26"/>
    <mergeCell ref="OVG26:OVH26"/>
    <mergeCell ref="OVI26:OVJ26"/>
    <mergeCell ref="OVK26:OVL26"/>
    <mergeCell ref="OVM26:OVN26"/>
    <mergeCell ref="OVO26:OVP26"/>
    <mergeCell ref="OUS26:OUT26"/>
    <mergeCell ref="OUU26:OUV26"/>
    <mergeCell ref="OUW26:OUX26"/>
    <mergeCell ref="OUY26:OUZ26"/>
    <mergeCell ref="OVA26:OVB26"/>
    <mergeCell ref="OVC26:OVD26"/>
    <mergeCell ref="OUG26:OUH26"/>
    <mergeCell ref="OUI26:OUJ26"/>
    <mergeCell ref="OUK26:OUL26"/>
    <mergeCell ref="OUM26:OUN26"/>
    <mergeCell ref="OUO26:OUP26"/>
    <mergeCell ref="OUQ26:OUR26"/>
    <mergeCell ref="OTU26:OTV26"/>
    <mergeCell ref="OTW26:OTX26"/>
    <mergeCell ref="OTY26:OTZ26"/>
    <mergeCell ref="OUA26:OUB26"/>
    <mergeCell ref="OUC26:OUD26"/>
    <mergeCell ref="OUE26:OUF26"/>
    <mergeCell ref="OYW26:OYX26"/>
    <mergeCell ref="OYY26:OYZ26"/>
    <mergeCell ref="OZA26:OZB26"/>
    <mergeCell ref="OZC26:OZD26"/>
    <mergeCell ref="OZE26:OZF26"/>
    <mergeCell ref="OZG26:OZH26"/>
    <mergeCell ref="OYK26:OYL26"/>
    <mergeCell ref="OYM26:OYN26"/>
    <mergeCell ref="OYO26:OYP26"/>
    <mergeCell ref="OYQ26:OYR26"/>
    <mergeCell ref="OYS26:OYT26"/>
    <mergeCell ref="OYU26:OYV26"/>
    <mergeCell ref="OXY26:OXZ26"/>
    <mergeCell ref="OYA26:OYB26"/>
    <mergeCell ref="OYC26:OYD26"/>
    <mergeCell ref="OYE26:OYF26"/>
    <mergeCell ref="OYG26:OYH26"/>
    <mergeCell ref="OYI26:OYJ26"/>
    <mergeCell ref="OXM26:OXN26"/>
    <mergeCell ref="OXO26:OXP26"/>
    <mergeCell ref="OXQ26:OXR26"/>
    <mergeCell ref="OXS26:OXT26"/>
    <mergeCell ref="OXU26:OXV26"/>
    <mergeCell ref="OXW26:OXX26"/>
    <mergeCell ref="OXA26:OXB26"/>
    <mergeCell ref="OXC26:OXD26"/>
    <mergeCell ref="OXE26:OXF26"/>
    <mergeCell ref="OXG26:OXH26"/>
    <mergeCell ref="OXI26:OXJ26"/>
    <mergeCell ref="OXK26:OXL26"/>
    <mergeCell ref="OWO26:OWP26"/>
    <mergeCell ref="OWQ26:OWR26"/>
    <mergeCell ref="OWS26:OWT26"/>
    <mergeCell ref="OWU26:OWV26"/>
    <mergeCell ref="OWW26:OWX26"/>
    <mergeCell ref="OWY26:OWZ26"/>
    <mergeCell ref="PBQ26:PBR26"/>
    <mergeCell ref="PBS26:PBT26"/>
    <mergeCell ref="PBU26:PBV26"/>
    <mergeCell ref="PBW26:PBX26"/>
    <mergeCell ref="PBY26:PBZ26"/>
    <mergeCell ref="PCA26:PCB26"/>
    <mergeCell ref="PBE26:PBF26"/>
    <mergeCell ref="PBG26:PBH26"/>
    <mergeCell ref="PBI26:PBJ26"/>
    <mergeCell ref="PBK26:PBL26"/>
    <mergeCell ref="PBM26:PBN26"/>
    <mergeCell ref="PBO26:PBP26"/>
    <mergeCell ref="PAS26:PAT26"/>
    <mergeCell ref="PAU26:PAV26"/>
    <mergeCell ref="PAW26:PAX26"/>
    <mergeCell ref="PAY26:PAZ26"/>
    <mergeCell ref="PBA26:PBB26"/>
    <mergeCell ref="PBC26:PBD26"/>
    <mergeCell ref="PAG26:PAH26"/>
    <mergeCell ref="PAI26:PAJ26"/>
    <mergeCell ref="PAK26:PAL26"/>
    <mergeCell ref="PAM26:PAN26"/>
    <mergeCell ref="PAO26:PAP26"/>
    <mergeCell ref="PAQ26:PAR26"/>
    <mergeCell ref="OZU26:OZV26"/>
    <mergeCell ref="OZW26:OZX26"/>
    <mergeCell ref="OZY26:OZZ26"/>
    <mergeCell ref="PAA26:PAB26"/>
    <mergeCell ref="PAC26:PAD26"/>
    <mergeCell ref="PAE26:PAF26"/>
    <mergeCell ref="OZI26:OZJ26"/>
    <mergeCell ref="OZK26:OZL26"/>
    <mergeCell ref="OZM26:OZN26"/>
    <mergeCell ref="OZO26:OZP26"/>
    <mergeCell ref="OZQ26:OZR26"/>
    <mergeCell ref="OZS26:OZT26"/>
    <mergeCell ref="PEK26:PEL26"/>
    <mergeCell ref="PEM26:PEN26"/>
    <mergeCell ref="PEO26:PEP26"/>
    <mergeCell ref="PEQ26:PER26"/>
    <mergeCell ref="PES26:PET26"/>
    <mergeCell ref="PEU26:PEV26"/>
    <mergeCell ref="PDY26:PDZ26"/>
    <mergeCell ref="PEA26:PEB26"/>
    <mergeCell ref="PEC26:PED26"/>
    <mergeCell ref="PEE26:PEF26"/>
    <mergeCell ref="PEG26:PEH26"/>
    <mergeCell ref="PEI26:PEJ26"/>
    <mergeCell ref="PDM26:PDN26"/>
    <mergeCell ref="PDO26:PDP26"/>
    <mergeCell ref="PDQ26:PDR26"/>
    <mergeCell ref="PDS26:PDT26"/>
    <mergeCell ref="PDU26:PDV26"/>
    <mergeCell ref="PDW26:PDX26"/>
    <mergeCell ref="PDA26:PDB26"/>
    <mergeCell ref="PDC26:PDD26"/>
    <mergeCell ref="PDE26:PDF26"/>
    <mergeCell ref="PDG26:PDH26"/>
    <mergeCell ref="PDI26:PDJ26"/>
    <mergeCell ref="PDK26:PDL26"/>
    <mergeCell ref="PCO26:PCP26"/>
    <mergeCell ref="PCQ26:PCR26"/>
    <mergeCell ref="PCS26:PCT26"/>
    <mergeCell ref="PCU26:PCV26"/>
    <mergeCell ref="PCW26:PCX26"/>
    <mergeCell ref="PCY26:PCZ26"/>
    <mergeCell ref="PCC26:PCD26"/>
    <mergeCell ref="PCE26:PCF26"/>
    <mergeCell ref="PCG26:PCH26"/>
    <mergeCell ref="PCI26:PCJ26"/>
    <mergeCell ref="PCK26:PCL26"/>
    <mergeCell ref="PCM26:PCN26"/>
    <mergeCell ref="PHE26:PHF26"/>
    <mergeCell ref="PHG26:PHH26"/>
    <mergeCell ref="PHI26:PHJ26"/>
    <mergeCell ref="PHK26:PHL26"/>
    <mergeCell ref="PHM26:PHN26"/>
    <mergeCell ref="PHO26:PHP26"/>
    <mergeCell ref="PGS26:PGT26"/>
    <mergeCell ref="PGU26:PGV26"/>
    <mergeCell ref="PGW26:PGX26"/>
    <mergeCell ref="PGY26:PGZ26"/>
    <mergeCell ref="PHA26:PHB26"/>
    <mergeCell ref="PHC26:PHD26"/>
    <mergeCell ref="PGG26:PGH26"/>
    <mergeCell ref="PGI26:PGJ26"/>
    <mergeCell ref="PGK26:PGL26"/>
    <mergeCell ref="PGM26:PGN26"/>
    <mergeCell ref="PGO26:PGP26"/>
    <mergeCell ref="PGQ26:PGR26"/>
    <mergeCell ref="PFU26:PFV26"/>
    <mergeCell ref="PFW26:PFX26"/>
    <mergeCell ref="PFY26:PFZ26"/>
    <mergeCell ref="PGA26:PGB26"/>
    <mergeCell ref="PGC26:PGD26"/>
    <mergeCell ref="PGE26:PGF26"/>
    <mergeCell ref="PFI26:PFJ26"/>
    <mergeCell ref="PFK26:PFL26"/>
    <mergeCell ref="PFM26:PFN26"/>
    <mergeCell ref="PFO26:PFP26"/>
    <mergeCell ref="PFQ26:PFR26"/>
    <mergeCell ref="PFS26:PFT26"/>
    <mergeCell ref="PEW26:PEX26"/>
    <mergeCell ref="PEY26:PEZ26"/>
    <mergeCell ref="PFA26:PFB26"/>
    <mergeCell ref="PFC26:PFD26"/>
    <mergeCell ref="PFE26:PFF26"/>
    <mergeCell ref="PFG26:PFH26"/>
    <mergeCell ref="PJY26:PJZ26"/>
    <mergeCell ref="PKA26:PKB26"/>
    <mergeCell ref="PKC26:PKD26"/>
    <mergeCell ref="PKE26:PKF26"/>
    <mergeCell ref="PKG26:PKH26"/>
    <mergeCell ref="PKI26:PKJ26"/>
    <mergeCell ref="PJM26:PJN26"/>
    <mergeCell ref="PJO26:PJP26"/>
    <mergeCell ref="PJQ26:PJR26"/>
    <mergeCell ref="PJS26:PJT26"/>
    <mergeCell ref="PJU26:PJV26"/>
    <mergeCell ref="PJW26:PJX26"/>
    <mergeCell ref="PJA26:PJB26"/>
    <mergeCell ref="PJC26:PJD26"/>
    <mergeCell ref="PJE26:PJF26"/>
    <mergeCell ref="PJG26:PJH26"/>
    <mergeCell ref="PJI26:PJJ26"/>
    <mergeCell ref="PJK26:PJL26"/>
    <mergeCell ref="PIO26:PIP26"/>
    <mergeCell ref="PIQ26:PIR26"/>
    <mergeCell ref="PIS26:PIT26"/>
    <mergeCell ref="PIU26:PIV26"/>
    <mergeCell ref="PIW26:PIX26"/>
    <mergeCell ref="PIY26:PIZ26"/>
    <mergeCell ref="PIC26:PID26"/>
    <mergeCell ref="PIE26:PIF26"/>
    <mergeCell ref="PIG26:PIH26"/>
    <mergeCell ref="PII26:PIJ26"/>
    <mergeCell ref="PIK26:PIL26"/>
    <mergeCell ref="PIM26:PIN26"/>
    <mergeCell ref="PHQ26:PHR26"/>
    <mergeCell ref="PHS26:PHT26"/>
    <mergeCell ref="PHU26:PHV26"/>
    <mergeCell ref="PHW26:PHX26"/>
    <mergeCell ref="PHY26:PHZ26"/>
    <mergeCell ref="PIA26:PIB26"/>
    <mergeCell ref="PMS26:PMT26"/>
    <mergeCell ref="PMU26:PMV26"/>
    <mergeCell ref="PMW26:PMX26"/>
    <mergeCell ref="PMY26:PMZ26"/>
    <mergeCell ref="PNA26:PNB26"/>
    <mergeCell ref="PNC26:PND26"/>
    <mergeCell ref="PMG26:PMH26"/>
    <mergeCell ref="PMI26:PMJ26"/>
    <mergeCell ref="PMK26:PML26"/>
    <mergeCell ref="PMM26:PMN26"/>
    <mergeCell ref="PMO26:PMP26"/>
    <mergeCell ref="PMQ26:PMR26"/>
    <mergeCell ref="PLU26:PLV26"/>
    <mergeCell ref="PLW26:PLX26"/>
    <mergeCell ref="PLY26:PLZ26"/>
    <mergeCell ref="PMA26:PMB26"/>
    <mergeCell ref="PMC26:PMD26"/>
    <mergeCell ref="PME26:PMF26"/>
    <mergeCell ref="PLI26:PLJ26"/>
    <mergeCell ref="PLK26:PLL26"/>
    <mergeCell ref="PLM26:PLN26"/>
    <mergeCell ref="PLO26:PLP26"/>
    <mergeCell ref="PLQ26:PLR26"/>
    <mergeCell ref="PLS26:PLT26"/>
    <mergeCell ref="PKW26:PKX26"/>
    <mergeCell ref="PKY26:PKZ26"/>
    <mergeCell ref="PLA26:PLB26"/>
    <mergeCell ref="PLC26:PLD26"/>
    <mergeCell ref="PLE26:PLF26"/>
    <mergeCell ref="PLG26:PLH26"/>
    <mergeCell ref="PKK26:PKL26"/>
    <mergeCell ref="PKM26:PKN26"/>
    <mergeCell ref="PKO26:PKP26"/>
    <mergeCell ref="PKQ26:PKR26"/>
    <mergeCell ref="PKS26:PKT26"/>
    <mergeCell ref="PKU26:PKV26"/>
    <mergeCell ref="PPM26:PPN26"/>
    <mergeCell ref="PPO26:PPP26"/>
    <mergeCell ref="PPQ26:PPR26"/>
    <mergeCell ref="PPS26:PPT26"/>
    <mergeCell ref="PPU26:PPV26"/>
    <mergeCell ref="PPW26:PPX26"/>
    <mergeCell ref="PPA26:PPB26"/>
    <mergeCell ref="PPC26:PPD26"/>
    <mergeCell ref="PPE26:PPF26"/>
    <mergeCell ref="PPG26:PPH26"/>
    <mergeCell ref="PPI26:PPJ26"/>
    <mergeCell ref="PPK26:PPL26"/>
    <mergeCell ref="POO26:POP26"/>
    <mergeCell ref="POQ26:POR26"/>
    <mergeCell ref="POS26:POT26"/>
    <mergeCell ref="POU26:POV26"/>
    <mergeCell ref="POW26:POX26"/>
    <mergeCell ref="POY26:POZ26"/>
    <mergeCell ref="POC26:POD26"/>
    <mergeCell ref="POE26:POF26"/>
    <mergeCell ref="POG26:POH26"/>
    <mergeCell ref="POI26:POJ26"/>
    <mergeCell ref="POK26:POL26"/>
    <mergeCell ref="POM26:PON26"/>
    <mergeCell ref="PNQ26:PNR26"/>
    <mergeCell ref="PNS26:PNT26"/>
    <mergeCell ref="PNU26:PNV26"/>
    <mergeCell ref="PNW26:PNX26"/>
    <mergeCell ref="PNY26:PNZ26"/>
    <mergeCell ref="POA26:POB26"/>
    <mergeCell ref="PNE26:PNF26"/>
    <mergeCell ref="PNG26:PNH26"/>
    <mergeCell ref="PNI26:PNJ26"/>
    <mergeCell ref="PNK26:PNL26"/>
    <mergeCell ref="PNM26:PNN26"/>
    <mergeCell ref="PNO26:PNP26"/>
    <mergeCell ref="PSG26:PSH26"/>
    <mergeCell ref="PSI26:PSJ26"/>
    <mergeCell ref="PSK26:PSL26"/>
    <mergeCell ref="PSM26:PSN26"/>
    <mergeCell ref="PSO26:PSP26"/>
    <mergeCell ref="PSQ26:PSR26"/>
    <mergeCell ref="PRU26:PRV26"/>
    <mergeCell ref="PRW26:PRX26"/>
    <mergeCell ref="PRY26:PRZ26"/>
    <mergeCell ref="PSA26:PSB26"/>
    <mergeCell ref="PSC26:PSD26"/>
    <mergeCell ref="PSE26:PSF26"/>
    <mergeCell ref="PRI26:PRJ26"/>
    <mergeCell ref="PRK26:PRL26"/>
    <mergeCell ref="PRM26:PRN26"/>
    <mergeCell ref="PRO26:PRP26"/>
    <mergeCell ref="PRQ26:PRR26"/>
    <mergeCell ref="PRS26:PRT26"/>
    <mergeCell ref="PQW26:PQX26"/>
    <mergeCell ref="PQY26:PQZ26"/>
    <mergeCell ref="PRA26:PRB26"/>
    <mergeCell ref="PRC26:PRD26"/>
    <mergeCell ref="PRE26:PRF26"/>
    <mergeCell ref="PRG26:PRH26"/>
    <mergeCell ref="PQK26:PQL26"/>
    <mergeCell ref="PQM26:PQN26"/>
    <mergeCell ref="PQO26:PQP26"/>
    <mergeCell ref="PQQ26:PQR26"/>
    <mergeCell ref="PQS26:PQT26"/>
    <mergeCell ref="PQU26:PQV26"/>
    <mergeCell ref="PPY26:PPZ26"/>
    <mergeCell ref="PQA26:PQB26"/>
    <mergeCell ref="PQC26:PQD26"/>
    <mergeCell ref="PQE26:PQF26"/>
    <mergeCell ref="PQG26:PQH26"/>
    <mergeCell ref="PQI26:PQJ26"/>
    <mergeCell ref="PVA26:PVB26"/>
    <mergeCell ref="PVC26:PVD26"/>
    <mergeCell ref="PVE26:PVF26"/>
    <mergeCell ref="PVG26:PVH26"/>
    <mergeCell ref="PVI26:PVJ26"/>
    <mergeCell ref="PVK26:PVL26"/>
    <mergeCell ref="PUO26:PUP26"/>
    <mergeCell ref="PUQ26:PUR26"/>
    <mergeCell ref="PUS26:PUT26"/>
    <mergeCell ref="PUU26:PUV26"/>
    <mergeCell ref="PUW26:PUX26"/>
    <mergeCell ref="PUY26:PUZ26"/>
    <mergeCell ref="PUC26:PUD26"/>
    <mergeCell ref="PUE26:PUF26"/>
    <mergeCell ref="PUG26:PUH26"/>
    <mergeCell ref="PUI26:PUJ26"/>
    <mergeCell ref="PUK26:PUL26"/>
    <mergeCell ref="PUM26:PUN26"/>
    <mergeCell ref="PTQ26:PTR26"/>
    <mergeCell ref="PTS26:PTT26"/>
    <mergeCell ref="PTU26:PTV26"/>
    <mergeCell ref="PTW26:PTX26"/>
    <mergeCell ref="PTY26:PTZ26"/>
    <mergeCell ref="PUA26:PUB26"/>
    <mergeCell ref="PTE26:PTF26"/>
    <mergeCell ref="PTG26:PTH26"/>
    <mergeCell ref="PTI26:PTJ26"/>
    <mergeCell ref="PTK26:PTL26"/>
    <mergeCell ref="PTM26:PTN26"/>
    <mergeCell ref="PTO26:PTP26"/>
    <mergeCell ref="PSS26:PST26"/>
    <mergeCell ref="PSU26:PSV26"/>
    <mergeCell ref="PSW26:PSX26"/>
    <mergeCell ref="PSY26:PSZ26"/>
    <mergeCell ref="PTA26:PTB26"/>
    <mergeCell ref="PTC26:PTD26"/>
    <mergeCell ref="PXU26:PXV26"/>
    <mergeCell ref="PXW26:PXX26"/>
    <mergeCell ref="PXY26:PXZ26"/>
    <mergeCell ref="PYA26:PYB26"/>
    <mergeCell ref="PYC26:PYD26"/>
    <mergeCell ref="PYE26:PYF26"/>
    <mergeCell ref="PXI26:PXJ26"/>
    <mergeCell ref="PXK26:PXL26"/>
    <mergeCell ref="PXM26:PXN26"/>
    <mergeCell ref="PXO26:PXP26"/>
    <mergeCell ref="PXQ26:PXR26"/>
    <mergeCell ref="PXS26:PXT26"/>
    <mergeCell ref="PWW26:PWX26"/>
    <mergeCell ref="PWY26:PWZ26"/>
    <mergeCell ref="PXA26:PXB26"/>
    <mergeCell ref="PXC26:PXD26"/>
    <mergeCell ref="PXE26:PXF26"/>
    <mergeCell ref="PXG26:PXH26"/>
    <mergeCell ref="PWK26:PWL26"/>
    <mergeCell ref="PWM26:PWN26"/>
    <mergeCell ref="PWO26:PWP26"/>
    <mergeCell ref="PWQ26:PWR26"/>
    <mergeCell ref="PWS26:PWT26"/>
    <mergeCell ref="PWU26:PWV26"/>
    <mergeCell ref="PVY26:PVZ26"/>
    <mergeCell ref="PWA26:PWB26"/>
    <mergeCell ref="PWC26:PWD26"/>
    <mergeCell ref="PWE26:PWF26"/>
    <mergeCell ref="PWG26:PWH26"/>
    <mergeCell ref="PWI26:PWJ26"/>
    <mergeCell ref="PVM26:PVN26"/>
    <mergeCell ref="PVO26:PVP26"/>
    <mergeCell ref="PVQ26:PVR26"/>
    <mergeCell ref="PVS26:PVT26"/>
    <mergeCell ref="PVU26:PVV26"/>
    <mergeCell ref="PVW26:PVX26"/>
    <mergeCell ref="QAO26:QAP26"/>
    <mergeCell ref="QAQ26:QAR26"/>
    <mergeCell ref="QAS26:QAT26"/>
    <mergeCell ref="QAU26:QAV26"/>
    <mergeCell ref="QAW26:QAX26"/>
    <mergeCell ref="QAY26:QAZ26"/>
    <mergeCell ref="QAC26:QAD26"/>
    <mergeCell ref="QAE26:QAF26"/>
    <mergeCell ref="QAG26:QAH26"/>
    <mergeCell ref="QAI26:QAJ26"/>
    <mergeCell ref="QAK26:QAL26"/>
    <mergeCell ref="QAM26:QAN26"/>
    <mergeCell ref="PZQ26:PZR26"/>
    <mergeCell ref="PZS26:PZT26"/>
    <mergeCell ref="PZU26:PZV26"/>
    <mergeCell ref="PZW26:PZX26"/>
    <mergeCell ref="PZY26:PZZ26"/>
    <mergeCell ref="QAA26:QAB26"/>
    <mergeCell ref="PZE26:PZF26"/>
    <mergeCell ref="PZG26:PZH26"/>
    <mergeCell ref="PZI26:PZJ26"/>
    <mergeCell ref="PZK26:PZL26"/>
    <mergeCell ref="PZM26:PZN26"/>
    <mergeCell ref="PZO26:PZP26"/>
    <mergeCell ref="PYS26:PYT26"/>
    <mergeCell ref="PYU26:PYV26"/>
    <mergeCell ref="PYW26:PYX26"/>
    <mergeCell ref="PYY26:PYZ26"/>
    <mergeCell ref="PZA26:PZB26"/>
    <mergeCell ref="PZC26:PZD26"/>
    <mergeCell ref="PYG26:PYH26"/>
    <mergeCell ref="PYI26:PYJ26"/>
    <mergeCell ref="PYK26:PYL26"/>
    <mergeCell ref="PYM26:PYN26"/>
    <mergeCell ref="PYO26:PYP26"/>
    <mergeCell ref="PYQ26:PYR26"/>
    <mergeCell ref="QDI26:QDJ26"/>
    <mergeCell ref="QDK26:QDL26"/>
    <mergeCell ref="QDM26:QDN26"/>
    <mergeCell ref="QDO26:QDP26"/>
    <mergeCell ref="QDQ26:QDR26"/>
    <mergeCell ref="QDS26:QDT26"/>
    <mergeCell ref="QCW26:QCX26"/>
    <mergeCell ref="QCY26:QCZ26"/>
    <mergeCell ref="QDA26:QDB26"/>
    <mergeCell ref="QDC26:QDD26"/>
    <mergeCell ref="QDE26:QDF26"/>
    <mergeCell ref="QDG26:QDH26"/>
    <mergeCell ref="QCK26:QCL26"/>
    <mergeCell ref="QCM26:QCN26"/>
    <mergeCell ref="QCO26:QCP26"/>
    <mergeCell ref="QCQ26:QCR26"/>
    <mergeCell ref="QCS26:QCT26"/>
    <mergeCell ref="QCU26:QCV26"/>
    <mergeCell ref="QBY26:QBZ26"/>
    <mergeCell ref="QCA26:QCB26"/>
    <mergeCell ref="QCC26:QCD26"/>
    <mergeCell ref="QCE26:QCF26"/>
    <mergeCell ref="QCG26:QCH26"/>
    <mergeCell ref="QCI26:QCJ26"/>
    <mergeCell ref="QBM26:QBN26"/>
    <mergeCell ref="QBO26:QBP26"/>
    <mergeCell ref="QBQ26:QBR26"/>
    <mergeCell ref="QBS26:QBT26"/>
    <mergeCell ref="QBU26:QBV26"/>
    <mergeCell ref="QBW26:QBX26"/>
    <mergeCell ref="QBA26:QBB26"/>
    <mergeCell ref="QBC26:QBD26"/>
    <mergeCell ref="QBE26:QBF26"/>
    <mergeCell ref="QBG26:QBH26"/>
    <mergeCell ref="QBI26:QBJ26"/>
    <mergeCell ref="QBK26:QBL26"/>
    <mergeCell ref="QGC26:QGD26"/>
    <mergeCell ref="QGE26:QGF26"/>
    <mergeCell ref="QGG26:QGH26"/>
    <mergeCell ref="QGI26:QGJ26"/>
    <mergeCell ref="QGK26:QGL26"/>
    <mergeCell ref="QGM26:QGN26"/>
    <mergeCell ref="QFQ26:QFR26"/>
    <mergeCell ref="QFS26:QFT26"/>
    <mergeCell ref="QFU26:QFV26"/>
    <mergeCell ref="QFW26:QFX26"/>
    <mergeCell ref="QFY26:QFZ26"/>
    <mergeCell ref="QGA26:QGB26"/>
    <mergeCell ref="QFE26:QFF26"/>
    <mergeCell ref="QFG26:QFH26"/>
    <mergeCell ref="QFI26:QFJ26"/>
    <mergeCell ref="QFK26:QFL26"/>
    <mergeCell ref="QFM26:QFN26"/>
    <mergeCell ref="QFO26:QFP26"/>
    <mergeCell ref="QES26:QET26"/>
    <mergeCell ref="QEU26:QEV26"/>
    <mergeCell ref="QEW26:QEX26"/>
    <mergeCell ref="QEY26:QEZ26"/>
    <mergeCell ref="QFA26:QFB26"/>
    <mergeCell ref="QFC26:QFD26"/>
    <mergeCell ref="QEG26:QEH26"/>
    <mergeCell ref="QEI26:QEJ26"/>
    <mergeCell ref="QEK26:QEL26"/>
    <mergeCell ref="QEM26:QEN26"/>
    <mergeCell ref="QEO26:QEP26"/>
    <mergeCell ref="QEQ26:QER26"/>
    <mergeCell ref="QDU26:QDV26"/>
    <mergeCell ref="QDW26:QDX26"/>
    <mergeCell ref="QDY26:QDZ26"/>
    <mergeCell ref="QEA26:QEB26"/>
    <mergeCell ref="QEC26:QED26"/>
    <mergeCell ref="QEE26:QEF26"/>
    <mergeCell ref="QIW26:QIX26"/>
    <mergeCell ref="QIY26:QIZ26"/>
    <mergeCell ref="QJA26:QJB26"/>
    <mergeCell ref="QJC26:QJD26"/>
    <mergeCell ref="QJE26:QJF26"/>
    <mergeCell ref="QJG26:QJH26"/>
    <mergeCell ref="QIK26:QIL26"/>
    <mergeCell ref="QIM26:QIN26"/>
    <mergeCell ref="QIO26:QIP26"/>
    <mergeCell ref="QIQ26:QIR26"/>
    <mergeCell ref="QIS26:QIT26"/>
    <mergeCell ref="QIU26:QIV26"/>
    <mergeCell ref="QHY26:QHZ26"/>
    <mergeCell ref="QIA26:QIB26"/>
    <mergeCell ref="QIC26:QID26"/>
    <mergeCell ref="QIE26:QIF26"/>
    <mergeCell ref="QIG26:QIH26"/>
    <mergeCell ref="QII26:QIJ26"/>
    <mergeCell ref="QHM26:QHN26"/>
    <mergeCell ref="QHO26:QHP26"/>
    <mergeCell ref="QHQ26:QHR26"/>
    <mergeCell ref="QHS26:QHT26"/>
    <mergeCell ref="QHU26:QHV26"/>
    <mergeCell ref="QHW26:QHX26"/>
    <mergeCell ref="QHA26:QHB26"/>
    <mergeCell ref="QHC26:QHD26"/>
    <mergeCell ref="QHE26:QHF26"/>
    <mergeCell ref="QHG26:QHH26"/>
    <mergeCell ref="QHI26:QHJ26"/>
    <mergeCell ref="QHK26:QHL26"/>
    <mergeCell ref="QGO26:QGP26"/>
    <mergeCell ref="QGQ26:QGR26"/>
    <mergeCell ref="QGS26:QGT26"/>
    <mergeCell ref="QGU26:QGV26"/>
    <mergeCell ref="QGW26:QGX26"/>
    <mergeCell ref="QGY26:QGZ26"/>
    <mergeCell ref="QLQ26:QLR26"/>
    <mergeCell ref="QLS26:QLT26"/>
    <mergeCell ref="QLU26:QLV26"/>
    <mergeCell ref="QLW26:QLX26"/>
    <mergeCell ref="QLY26:QLZ26"/>
    <mergeCell ref="QMA26:QMB26"/>
    <mergeCell ref="QLE26:QLF26"/>
    <mergeCell ref="QLG26:QLH26"/>
    <mergeCell ref="QLI26:QLJ26"/>
    <mergeCell ref="QLK26:QLL26"/>
    <mergeCell ref="QLM26:QLN26"/>
    <mergeCell ref="QLO26:QLP26"/>
    <mergeCell ref="QKS26:QKT26"/>
    <mergeCell ref="QKU26:QKV26"/>
    <mergeCell ref="QKW26:QKX26"/>
    <mergeCell ref="QKY26:QKZ26"/>
    <mergeCell ref="QLA26:QLB26"/>
    <mergeCell ref="QLC26:QLD26"/>
    <mergeCell ref="QKG26:QKH26"/>
    <mergeCell ref="QKI26:QKJ26"/>
    <mergeCell ref="QKK26:QKL26"/>
    <mergeCell ref="QKM26:QKN26"/>
    <mergeCell ref="QKO26:QKP26"/>
    <mergeCell ref="QKQ26:QKR26"/>
    <mergeCell ref="QJU26:QJV26"/>
    <mergeCell ref="QJW26:QJX26"/>
    <mergeCell ref="QJY26:QJZ26"/>
    <mergeCell ref="QKA26:QKB26"/>
    <mergeCell ref="QKC26:QKD26"/>
    <mergeCell ref="QKE26:QKF26"/>
    <mergeCell ref="QJI26:QJJ26"/>
    <mergeCell ref="QJK26:QJL26"/>
    <mergeCell ref="QJM26:QJN26"/>
    <mergeCell ref="QJO26:QJP26"/>
    <mergeCell ref="QJQ26:QJR26"/>
    <mergeCell ref="QJS26:QJT26"/>
    <mergeCell ref="QOK26:QOL26"/>
    <mergeCell ref="QOM26:QON26"/>
    <mergeCell ref="QOO26:QOP26"/>
    <mergeCell ref="QOQ26:QOR26"/>
    <mergeCell ref="QOS26:QOT26"/>
    <mergeCell ref="QOU26:QOV26"/>
    <mergeCell ref="QNY26:QNZ26"/>
    <mergeCell ref="QOA26:QOB26"/>
    <mergeCell ref="QOC26:QOD26"/>
    <mergeCell ref="QOE26:QOF26"/>
    <mergeCell ref="QOG26:QOH26"/>
    <mergeCell ref="QOI26:QOJ26"/>
    <mergeCell ref="QNM26:QNN26"/>
    <mergeCell ref="QNO26:QNP26"/>
    <mergeCell ref="QNQ26:QNR26"/>
    <mergeCell ref="QNS26:QNT26"/>
    <mergeCell ref="QNU26:QNV26"/>
    <mergeCell ref="QNW26:QNX26"/>
    <mergeCell ref="QNA26:QNB26"/>
    <mergeCell ref="QNC26:QND26"/>
    <mergeCell ref="QNE26:QNF26"/>
    <mergeCell ref="QNG26:QNH26"/>
    <mergeCell ref="QNI26:QNJ26"/>
    <mergeCell ref="QNK26:QNL26"/>
    <mergeCell ref="QMO26:QMP26"/>
    <mergeCell ref="QMQ26:QMR26"/>
    <mergeCell ref="QMS26:QMT26"/>
    <mergeCell ref="QMU26:QMV26"/>
    <mergeCell ref="QMW26:QMX26"/>
    <mergeCell ref="QMY26:QMZ26"/>
    <mergeCell ref="QMC26:QMD26"/>
    <mergeCell ref="QME26:QMF26"/>
    <mergeCell ref="QMG26:QMH26"/>
    <mergeCell ref="QMI26:QMJ26"/>
    <mergeCell ref="QMK26:QML26"/>
    <mergeCell ref="QMM26:QMN26"/>
    <mergeCell ref="QRE26:QRF26"/>
    <mergeCell ref="QRG26:QRH26"/>
    <mergeCell ref="QRI26:QRJ26"/>
    <mergeCell ref="QRK26:QRL26"/>
    <mergeCell ref="QRM26:QRN26"/>
    <mergeCell ref="QRO26:QRP26"/>
    <mergeCell ref="QQS26:QQT26"/>
    <mergeCell ref="QQU26:QQV26"/>
    <mergeCell ref="QQW26:QQX26"/>
    <mergeCell ref="QQY26:QQZ26"/>
    <mergeCell ref="QRA26:QRB26"/>
    <mergeCell ref="QRC26:QRD26"/>
    <mergeCell ref="QQG26:QQH26"/>
    <mergeCell ref="QQI26:QQJ26"/>
    <mergeCell ref="QQK26:QQL26"/>
    <mergeCell ref="QQM26:QQN26"/>
    <mergeCell ref="QQO26:QQP26"/>
    <mergeCell ref="QQQ26:QQR26"/>
    <mergeCell ref="QPU26:QPV26"/>
    <mergeCell ref="QPW26:QPX26"/>
    <mergeCell ref="QPY26:QPZ26"/>
    <mergeCell ref="QQA26:QQB26"/>
    <mergeCell ref="QQC26:QQD26"/>
    <mergeCell ref="QQE26:QQF26"/>
    <mergeCell ref="QPI26:QPJ26"/>
    <mergeCell ref="QPK26:QPL26"/>
    <mergeCell ref="QPM26:QPN26"/>
    <mergeCell ref="QPO26:QPP26"/>
    <mergeCell ref="QPQ26:QPR26"/>
    <mergeCell ref="QPS26:QPT26"/>
    <mergeCell ref="QOW26:QOX26"/>
    <mergeCell ref="QOY26:QOZ26"/>
    <mergeCell ref="QPA26:QPB26"/>
    <mergeCell ref="QPC26:QPD26"/>
    <mergeCell ref="QPE26:QPF26"/>
    <mergeCell ref="QPG26:QPH26"/>
    <mergeCell ref="QTY26:QTZ26"/>
    <mergeCell ref="QUA26:QUB26"/>
    <mergeCell ref="QUC26:QUD26"/>
    <mergeCell ref="QUE26:QUF26"/>
    <mergeCell ref="QUG26:QUH26"/>
    <mergeCell ref="QUI26:QUJ26"/>
    <mergeCell ref="QTM26:QTN26"/>
    <mergeCell ref="QTO26:QTP26"/>
    <mergeCell ref="QTQ26:QTR26"/>
    <mergeCell ref="QTS26:QTT26"/>
    <mergeCell ref="QTU26:QTV26"/>
    <mergeCell ref="QTW26:QTX26"/>
    <mergeCell ref="QTA26:QTB26"/>
    <mergeCell ref="QTC26:QTD26"/>
    <mergeCell ref="QTE26:QTF26"/>
    <mergeCell ref="QTG26:QTH26"/>
    <mergeCell ref="QTI26:QTJ26"/>
    <mergeCell ref="QTK26:QTL26"/>
    <mergeCell ref="QSO26:QSP26"/>
    <mergeCell ref="QSQ26:QSR26"/>
    <mergeCell ref="QSS26:QST26"/>
    <mergeCell ref="QSU26:QSV26"/>
    <mergeCell ref="QSW26:QSX26"/>
    <mergeCell ref="QSY26:QSZ26"/>
    <mergeCell ref="QSC26:QSD26"/>
    <mergeCell ref="QSE26:QSF26"/>
    <mergeCell ref="QSG26:QSH26"/>
    <mergeCell ref="QSI26:QSJ26"/>
    <mergeCell ref="QSK26:QSL26"/>
    <mergeCell ref="QSM26:QSN26"/>
    <mergeCell ref="QRQ26:QRR26"/>
    <mergeCell ref="QRS26:QRT26"/>
    <mergeCell ref="QRU26:QRV26"/>
    <mergeCell ref="QRW26:QRX26"/>
    <mergeCell ref="QRY26:QRZ26"/>
    <mergeCell ref="QSA26:QSB26"/>
    <mergeCell ref="QWS26:QWT26"/>
    <mergeCell ref="QWU26:QWV26"/>
    <mergeCell ref="QWW26:QWX26"/>
    <mergeCell ref="QWY26:QWZ26"/>
    <mergeCell ref="QXA26:QXB26"/>
    <mergeCell ref="QXC26:QXD26"/>
    <mergeCell ref="QWG26:QWH26"/>
    <mergeCell ref="QWI26:QWJ26"/>
    <mergeCell ref="QWK26:QWL26"/>
    <mergeCell ref="QWM26:QWN26"/>
    <mergeCell ref="QWO26:QWP26"/>
    <mergeCell ref="QWQ26:QWR26"/>
    <mergeCell ref="QVU26:QVV26"/>
    <mergeCell ref="QVW26:QVX26"/>
    <mergeCell ref="QVY26:QVZ26"/>
    <mergeCell ref="QWA26:QWB26"/>
    <mergeCell ref="QWC26:QWD26"/>
    <mergeCell ref="QWE26:QWF26"/>
    <mergeCell ref="QVI26:QVJ26"/>
    <mergeCell ref="QVK26:QVL26"/>
    <mergeCell ref="QVM26:QVN26"/>
    <mergeCell ref="QVO26:QVP26"/>
    <mergeCell ref="QVQ26:QVR26"/>
    <mergeCell ref="QVS26:QVT26"/>
    <mergeCell ref="QUW26:QUX26"/>
    <mergeCell ref="QUY26:QUZ26"/>
    <mergeCell ref="QVA26:QVB26"/>
    <mergeCell ref="QVC26:QVD26"/>
    <mergeCell ref="QVE26:QVF26"/>
    <mergeCell ref="QVG26:QVH26"/>
    <mergeCell ref="QUK26:QUL26"/>
    <mergeCell ref="QUM26:QUN26"/>
    <mergeCell ref="QUO26:QUP26"/>
    <mergeCell ref="QUQ26:QUR26"/>
    <mergeCell ref="QUS26:QUT26"/>
    <mergeCell ref="QUU26:QUV26"/>
    <mergeCell ref="QZM26:QZN26"/>
    <mergeCell ref="QZO26:QZP26"/>
    <mergeCell ref="QZQ26:QZR26"/>
    <mergeCell ref="QZS26:QZT26"/>
    <mergeCell ref="QZU26:QZV26"/>
    <mergeCell ref="QZW26:QZX26"/>
    <mergeCell ref="QZA26:QZB26"/>
    <mergeCell ref="QZC26:QZD26"/>
    <mergeCell ref="QZE26:QZF26"/>
    <mergeCell ref="QZG26:QZH26"/>
    <mergeCell ref="QZI26:QZJ26"/>
    <mergeCell ref="QZK26:QZL26"/>
    <mergeCell ref="QYO26:QYP26"/>
    <mergeCell ref="QYQ26:QYR26"/>
    <mergeCell ref="QYS26:QYT26"/>
    <mergeCell ref="QYU26:QYV26"/>
    <mergeCell ref="QYW26:QYX26"/>
    <mergeCell ref="QYY26:QYZ26"/>
    <mergeCell ref="QYC26:QYD26"/>
    <mergeCell ref="QYE26:QYF26"/>
    <mergeCell ref="QYG26:QYH26"/>
    <mergeCell ref="QYI26:QYJ26"/>
    <mergeCell ref="QYK26:QYL26"/>
    <mergeCell ref="QYM26:QYN26"/>
    <mergeCell ref="QXQ26:QXR26"/>
    <mergeCell ref="QXS26:QXT26"/>
    <mergeCell ref="QXU26:QXV26"/>
    <mergeCell ref="QXW26:QXX26"/>
    <mergeCell ref="QXY26:QXZ26"/>
    <mergeCell ref="QYA26:QYB26"/>
    <mergeCell ref="QXE26:QXF26"/>
    <mergeCell ref="QXG26:QXH26"/>
    <mergeCell ref="QXI26:QXJ26"/>
    <mergeCell ref="QXK26:QXL26"/>
    <mergeCell ref="QXM26:QXN26"/>
    <mergeCell ref="QXO26:QXP26"/>
    <mergeCell ref="RCG26:RCH26"/>
    <mergeCell ref="RCI26:RCJ26"/>
    <mergeCell ref="RCK26:RCL26"/>
    <mergeCell ref="RCM26:RCN26"/>
    <mergeCell ref="RCO26:RCP26"/>
    <mergeCell ref="RCQ26:RCR26"/>
    <mergeCell ref="RBU26:RBV26"/>
    <mergeCell ref="RBW26:RBX26"/>
    <mergeCell ref="RBY26:RBZ26"/>
    <mergeCell ref="RCA26:RCB26"/>
    <mergeCell ref="RCC26:RCD26"/>
    <mergeCell ref="RCE26:RCF26"/>
    <mergeCell ref="RBI26:RBJ26"/>
    <mergeCell ref="RBK26:RBL26"/>
    <mergeCell ref="RBM26:RBN26"/>
    <mergeCell ref="RBO26:RBP26"/>
    <mergeCell ref="RBQ26:RBR26"/>
    <mergeCell ref="RBS26:RBT26"/>
    <mergeCell ref="RAW26:RAX26"/>
    <mergeCell ref="RAY26:RAZ26"/>
    <mergeCell ref="RBA26:RBB26"/>
    <mergeCell ref="RBC26:RBD26"/>
    <mergeCell ref="RBE26:RBF26"/>
    <mergeCell ref="RBG26:RBH26"/>
    <mergeCell ref="RAK26:RAL26"/>
    <mergeCell ref="RAM26:RAN26"/>
    <mergeCell ref="RAO26:RAP26"/>
    <mergeCell ref="RAQ26:RAR26"/>
    <mergeCell ref="RAS26:RAT26"/>
    <mergeCell ref="RAU26:RAV26"/>
    <mergeCell ref="QZY26:QZZ26"/>
    <mergeCell ref="RAA26:RAB26"/>
    <mergeCell ref="RAC26:RAD26"/>
    <mergeCell ref="RAE26:RAF26"/>
    <mergeCell ref="RAG26:RAH26"/>
    <mergeCell ref="RAI26:RAJ26"/>
    <mergeCell ref="RFA26:RFB26"/>
    <mergeCell ref="RFC26:RFD26"/>
    <mergeCell ref="RFE26:RFF26"/>
    <mergeCell ref="RFG26:RFH26"/>
    <mergeCell ref="RFI26:RFJ26"/>
    <mergeCell ref="RFK26:RFL26"/>
    <mergeCell ref="REO26:REP26"/>
    <mergeCell ref="REQ26:RER26"/>
    <mergeCell ref="RES26:RET26"/>
    <mergeCell ref="REU26:REV26"/>
    <mergeCell ref="REW26:REX26"/>
    <mergeCell ref="REY26:REZ26"/>
    <mergeCell ref="REC26:RED26"/>
    <mergeCell ref="REE26:REF26"/>
    <mergeCell ref="REG26:REH26"/>
    <mergeCell ref="REI26:REJ26"/>
    <mergeCell ref="REK26:REL26"/>
    <mergeCell ref="REM26:REN26"/>
    <mergeCell ref="RDQ26:RDR26"/>
    <mergeCell ref="RDS26:RDT26"/>
    <mergeCell ref="RDU26:RDV26"/>
    <mergeCell ref="RDW26:RDX26"/>
    <mergeCell ref="RDY26:RDZ26"/>
    <mergeCell ref="REA26:REB26"/>
    <mergeCell ref="RDE26:RDF26"/>
    <mergeCell ref="RDG26:RDH26"/>
    <mergeCell ref="RDI26:RDJ26"/>
    <mergeCell ref="RDK26:RDL26"/>
    <mergeCell ref="RDM26:RDN26"/>
    <mergeCell ref="RDO26:RDP26"/>
    <mergeCell ref="RCS26:RCT26"/>
    <mergeCell ref="RCU26:RCV26"/>
    <mergeCell ref="RCW26:RCX26"/>
    <mergeCell ref="RCY26:RCZ26"/>
    <mergeCell ref="RDA26:RDB26"/>
    <mergeCell ref="RDC26:RDD26"/>
    <mergeCell ref="RHU26:RHV26"/>
    <mergeCell ref="RHW26:RHX26"/>
    <mergeCell ref="RHY26:RHZ26"/>
    <mergeCell ref="RIA26:RIB26"/>
    <mergeCell ref="RIC26:RID26"/>
    <mergeCell ref="RIE26:RIF26"/>
    <mergeCell ref="RHI26:RHJ26"/>
    <mergeCell ref="RHK26:RHL26"/>
    <mergeCell ref="RHM26:RHN26"/>
    <mergeCell ref="RHO26:RHP26"/>
    <mergeCell ref="RHQ26:RHR26"/>
    <mergeCell ref="RHS26:RHT26"/>
    <mergeCell ref="RGW26:RGX26"/>
    <mergeCell ref="RGY26:RGZ26"/>
    <mergeCell ref="RHA26:RHB26"/>
    <mergeCell ref="RHC26:RHD26"/>
    <mergeCell ref="RHE26:RHF26"/>
    <mergeCell ref="RHG26:RHH26"/>
    <mergeCell ref="RGK26:RGL26"/>
    <mergeCell ref="RGM26:RGN26"/>
    <mergeCell ref="RGO26:RGP26"/>
    <mergeCell ref="RGQ26:RGR26"/>
    <mergeCell ref="RGS26:RGT26"/>
    <mergeCell ref="RGU26:RGV26"/>
    <mergeCell ref="RFY26:RFZ26"/>
    <mergeCell ref="RGA26:RGB26"/>
    <mergeCell ref="RGC26:RGD26"/>
    <mergeCell ref="RGE26:RGF26"/>
    <mergeCell ref="RGG26:RGH26"/>
    <mergeCell ref="RGI26:RGJ26"/>
    <mergeCell ref="RFM26:RFN26"/>
    <mergeCell ref="RFO26:RFP26"/>
    <mergeCell ref="RFQ26:RFR26"/>
    <mergeCell ref="RFS26:RFT26"/>
    <mergeCell ref="RFU26:RFV26"/>
    <mergeCell ref="RFW26:RFX26"/>
    <mergeCell ref="RKO26:RKP26"/>
    <mergeCell ref="RKQ26:RKR26"/>
    <mergeCell ref="RKS26:RKT26"/>
    <mergeCell ref="RKU26:RKV26"/>
    <mergeCell ref="RKW26:RKX26"/>
    <mergeCell ref="RKY26:RKZ26"/>
    <mergeCell ref="RKC26:RKD26"/>
    <mergeCell ref="RKE26:RKF26"/>
    <mergeCell ref="RKG26:RKH26"/>
    <mergeCell ref="RKI26:RKJ26"/>
    <mergeCell ref="RKK26:RKL26"/>
    <mergeCell ref="RKM26:RKN26"/>
    <mergeCell ref="RJQ26:RJR26"/>
    <mergeCell ref="RJS26:RJT26"/>
    <mergeCell ref="RJU26:RJV26"/>
    <mergeCell ref="RJW26:RJX26"/>
    <mergeCell ref="RJY26:RJZ26"/>
    <mergeCell ref="RKA26:RKB26"/>
    <mergeCell ref="RJE26:RJF26"/>
    <mergeCell ref="RJG26:RJH26"/>
    <mergeCell ref="RJI26:RJJ26"/>
    <mergeCell ref="RJK26:RJL26"/>
    <mergeCell ref="RJM26:RJN26"/>
    <mergeCell ref="RJO26:RJP26"/>
    <mergeCell ref="RIS26:RIT26"/>
    <mergeCell ref="RIU26:RIV26"/>
    <mergeCell ref="RIW26:RIX26"/>
    <mergeCell ref="RIY26:RIZ26"/>
    <mergeCell ref="RJA26:RJB26"/>
    <mergeCell ref="RJC26:RJD26"/>
    <mergeCell ref="RIG26:RIH26"/>
    <mergeCell ref="RII26:RIJ26"/>
    <mergeCell ref="RIK26:RIL26"/>
    <mergeCell ref="RIM26:RIN26"/>
    <mergeCell ref="RIO26:RIP26"/>
    <mergeCell ref="RIQ26:RIR26"/>
    <mergeCell ref="RNI26:RNJ26"/>
    <mergeCell ref="RNK26:RNL26"/>
    <mergeCell ref="RNM26:RNN26"/>
    <mergeCell ref="RNO26:RNP26"/>
    <mergeCell ref="RNQ26:RNR26"/>
    <mergeCell ref="RNS26:RNT26"/>
    <mergeCell ref="RMW26:RMX26"/>
    <mergeCell ref="RMY26:RMZ26"/>
    <mergeCell ref="RNA26:RNB26"/>
    <mergeCell ref="RNC26:RND26"/>
    <mergeCell ref="RNE26:RNF26"/>
    <mergeCell ref="RNG26:RNH26"/>
    <mergeCell ref="RMK26:RML26"/>
    <mergeCell ref="RMM26:RMN26"/>
    <mergeCell ref="RMO26:RMP26"/>
    <mergeCell ref="RMQ26:RMR26"/>
    <mergeCell ref="RMS26:RMT26"/>
    <mergeCell ref="RMU26:RMV26"/>
    <mergeCell ref="RLY26:RLZ26"/>
    <mergeCell ref="RMA26:RMB26"/>
    <mergeCell ref="RMC26:RMD26"/>
    <mergeCell ref="RME26:RMF26"/>
    <mergeCell ref="RMG26:RMH26"/>
    <mergeCell ref="RMI26:RMJ26"/>
    <mergeCell ref="RLM26:RLN26"/>
    <mergeCell ref="RLO26:RLP26"/>
    <mergeCell ref="RLQ26:RLR26"/>
    <mergeCell ref="RLS26:RLT26"/>
    <mergeCell ref="RLU26:RLV26"/>
    <mergeCell ref="RLW26:RLX26"/>
    <mergeCell ref="RLA26:RLB26"/>
    <mergeCell ref="RLC26:RLD26"/>
    <mergeCell ref="RLE26:RLF26"/>
    <mergeCell ref="RLG26:RLH26"/>
    <mergeCell ref="RLI26:RLJ26"/>
    <mergeCell ref="RLK26:RLL26"/>
    <mergeCell ref="RQC26:RQD26"/>
    <mergeCell ref="RQE26:RQF26"/>
    <mergeCell ref="RQG26:RQH26"/>
    <mergeCell ref="RQI26:RQJ26"/>
    <mergeCell ref="RQK26:RQL26"/>
    <mergeCell ref="RQM26:RQN26"/>
    <mergeCell ref="RPQ26:RPR26"/>
    <mergeCell ref="RPS26:RPT26"/>
    <mergeCell ref="RPU26:RPV26"/>
    <mergeCell ref="RPW26:RPX26"/>
    <mergeCell ref="RPY26:RPZ26"/>
    <mergeCell ref="RQA26:RQB26"/>
    <mergeCell ref="RPE26:RPF26"/>
    <mergeCell ref="RPG26:RPH26"/>
    <mergeCell ref="RPI26:RPJ26"/>
    <mergeCell ref="RPK26:RPL26"/>
    <mergeCell ref="RPM26:RPN26"/>
    <mergeCell ref="RPO26:RPP26"/>
    <mergeCell ref="ROS26:ROT26"/>
    <mergeCell ref="ROU26:ROV26"/>
    <mergeCell ref="ROW26:ROX26"/>
    <mergeCell ref="ROY26:ROZ26"/>
    <mergeCell ref="RPA26:RPB26"/>
    <mergeCell ref="RPC26:RPD26"/>
    <mergeCell ref="ROG26:ROH26"/>
    <mergeCell ref="ROI26:ROJ26"/>
    <mergeCell ref="ROK26:ROL26"/>
    <mergeCell ref="ROM26:RON26"/>
    <mergeCell ref="ROO26:ROP26"/>
    <mergeCell ref="ROQ26:ROR26"/>
    <mergeCell ref="RNU26:RNV26"/>
    <mergeCell ref="RNW26:RNX26"/>
    <mergeCell ref="RNY26:RNZ26"/>
    <mergeCell ref="ROA26:ROB26"/>
    <mergeCell ref="ROC26:ROD26"/>
    <mergeCell ref="ROE26:ROF26"/>
    <mergeCell ref="RSW26:RSX26"/>
    <mergeCell ref="RSY26:RSZ26"/>
    <mergeCell ref="RTA26:RTB26"/>
    <mergeCell ref="RTC26:RTD26"/>
    <mergeCell ref="RTE26:RTF26"/>
    <mergeCell ref="RTG26:RTH26"/>
    <mergeCell ref="RSK26:RSL26"/>
    <mergeCell ref="RSM26:RSN26"/>
    <mergeCell ref="RSO26:RSP26"/>
    <mergeCell ref="RSQ26:RSR26"/>
    <mergeCell ref="RSS26:RST26"/>
    <mergeCell ref="RSU26:RSV26"/>
    <mergeCell ref="RRY26:RRZ26"/>
    <mergeCell ref="RSA26:RSB26"/>
    <mergeCell ref="RSC26:RSD26"/>
    <mergeCell ref="RSE26:RSF26"/>
    <mergeCell ref="RSG26:RSH26"/>
    <mergeCell ref="RSI26:RSJ26"/>
    <mergeCell ref="RRM26:RRN26"/>
    <mergeCell ref="RRO26:RRP26"/>
    <mergeCell ref="RRQ26:RRR26"/>
    <mergeCell ref="RRS26:RRT26"/>
    <mergeCell ref="RRU26:RRV26"/>
    <mergeCell ref="RRW26:RRX26"/>
    <mergeCell ref="RRA26:RRB26"/>
    <mergeCell ref="RRC26:RRD26"/>
    <mergeCell ref="RRE26:RRF26"/>
    <mergeCell ref="RRG26:RRH26"/>
    <mergeCell ref="RRI26:RRJ26"/>
    <mergeCell ref="RRK26:RRL26"/>
    <mergeCell ref="RQO26:RQP26"/>
    <mergeCell ref="RQQ26:RQR26"/>
    <mergeCell ref="RQS26:RQT26"/>
    <mergeCell ref="RQU26:RQV26"/>
    <mergeCell ref="RQW26:RQX26"/>
    <mergeCell ref="RQY26:RQZ26"/>
    <mergeCell ref="RVQ26:RVR26"/>
    <mergeCell ref="RVS26:RVT26"/>
    <mergeCell ref="RVU26:RVV26"/>
    <mergeCell ref="RVW26:RVX26"/>
    <mergeCell ref="RVY26:RVZ26"/>
    <mergeCell ref="RWA26:RWB26"/>
    <mergeCell ref="RVE26:RVF26"/>
    <mergeCell ref="RVG26:RVH26"/>
    <mergeCell ref="RVI26:RVJ26"/>
    <mergeCell ref="RVK26:RVL26"/>
    <mergeCell ref="RVM26:RVN26"/>
    <mergeCell ref="RVO26:RVP26"/>
    <mergeCell ref="RUS26:RUT26"/>
    <mergeCell ref="RUU26:RUV26"/>
    <mergeCell ref="RUW26:RUX26"/>
    <mergeCell ref="RUY26:RUZ26"/>
    <mergeCell ref="RVA26:RVB26"/>
    <mergeCell ref="RVC26:RVD26"/>
    <mergeCell ref="RUG26:RUH26"/>
    <mergeCell ref="RUI26:RUJ26"/>
    <mergeCell ref="RUK26:RUL26"/>
    <mergeCell ref="RUM26:RUN26"/>
    <mergeCell ref="RUO26:RUP26"/>
    <mergeCell ref="RUQ26:RUR26"/>
    <mergeCell ref="RTU26:RTV26"/>
    <mergeCell ref="RTW26:RTX26"/>
    <mergeCell ref="RTY26:RTZ26"/>
    <mergeCell ref="RUA26:RUB26"/>
    <mergeCell ref="RUC26:RUD26"/>
    <mergeCell ref="RUE26:RUF26"/>
    <mergeCell ref="RTI26:RTJ26"/>
    <mergeCell ref="RTK26:RTL26"/>
    <mergeCell ref="RTM26:RTN26"/>
    <mergeCell ref="RTO26:RTP26"/>
    <mergeCell ref="RTQ26:RTR26"/>
    <mergeCell ref="RTS26:RTT26"/>
    <mergeCell ref="RYK26:RYL26"/>
    <mergeCell ref="RYM26:RYN26"/>
    <mergeCell ref="RYO26:RYP26"/>
    <mergeCell ref="RYQ26:RYR26"/>
    <mergeCell ref="RYS26:RYT26"/>
    <mergeCell ref="RYU26:RYV26"/>
    <mergeCell ref="RXY26:RXZ26"/>
    <mergeCell ref="RYA26:RYB26"/>
    <mergeCell ref="RYC26:RYD26"/>
    <mergeCell ref="RYE26:RYF26"/>
    <mergeCell ref="RYG26:RYH26"/>
    <mergeCell ref="RYI26:RYJ26"/>
    <mergeCell ref="RXM26:RXN26"/>
    <mergeCell ref="RXO26:RXP26"/>
    <mergeCell ref="RXQ26:RXR26"/>
    <mergeCell ref="RXS26:RXT26"/>
    <mergeCell ref="RXU26:RXV26"/>
    <mergeCell ref="RXW26:RXX26"/>
    <mergeCell ref="RXA26:RXB26"/>
    <mergeCell ref="RXC26:RXD26"/>
    <mergeCell ref="RXE26:RXF26"/>
    <mergeCell ref="RXG26:RXH26"/>
    <mergeCell ref="RXI26:RXJ26"/>
    <mergeCell ref="RXK26:RXL26"/>
    <mergeCell ref="RWO26:RWP26"/>
    <mergeCell ref="RWQ26:RWR26"/>
    <mergeCell ref="RWS26:RWT26"/>
    <mergeCell ref="RWU26:RWV26"/>
    <mergeCell ref="RWW26:RWX26"/>
    <mergeCell ref="RWY26:RWZ26"/>
    <mergeCell ref="RWC26:RWD26"/>
    <mergeCell ref="RWE26:RWF26"/>
    <mergeCell ref="RWG26:RWH26"/>
    <mergeCell ref="RWI26:RWJ26"/>
    <mergeCell ref="RWK26:RWL26"/>
    <mergeCell ref="RWM26:RWN26"/>
    <mergeCell ref="SBE26:SBF26"/>
    <mergeCell ref="SBG26:SBH26"/>
    <mergeCell ref="SBI26:SBJ26"/>
    <mergeCell ref="SBK26:SBL26"/>
    <mergeCell ref="SBM26:SBN26"/>
    <mergeCell ref="SBO26:SBP26"/>
    <mergeCell ref="SAS26:SAT26"/>
    <mergeCell ref="SAU26:SAV26"/>
    <mergeCell ref="SAW26:SAX26"/>
    <mergeCell ref="SAY26:SAZ26"/>
    <mergeCell ref="SBA26:SBB26"/>
    <mergeCell ref="SBC26:SBD26"/>
    <mergeCell ref="SAG26:SAH26"/>
    <mergeCell ref="SAI26:SAJ26"/>
    <mergeCell ref="SAK26:SAL26"/>
    <mergeCell ref="SAM26:SAN26"/>
    <mergeCell ref="SAO26:SAP26"/>
    <mergeCell ref="SAQ26:SAR26"/>
    <mergeCell ref="RZU26:RZV26"/>
    <mergeCell ref="RZW26:RZX26"/>
    <mergeCell ref="RZY26:RZZ26"/>
    <mergeCell ref="SAA26:SAB26"/>
    <mergeCell ref="SAC26:SAD26"/>
    <mergeCell ref="SAE26:SAF26"/>
    <mergeCell ref="RZI26:RZJ26"/>
    <mergeCell ref="RZK26:RZL26"/>
    <mergeCell ref="RZM26:RZN26"/>
    <mergeCell ref="RZO26:RZP26"/>
    <mergeCell ref="RZQ26:RZR26"/>
    <mergeCell ref="RZS26:RZT26"/>
    <mergeCell ref="RYW26:RYX26"/>
    <mergeCell ref="RYY26:RYZ26"/>
    <mergeCell ref="RZA26:RZB26"/>
    <mergeCell ref="RZC26:RZD26"/>
    <mergeCell ref="RZE26:RZF26"/>
    <mergeCell ref="RZG26:RZH26"/>
    <mergeCell ref="SDY26:SDZ26"/>
    <mergeCell ref="SEA26:SEB26"/>
    <mergeCell ref="SEC26:SED26"/>
    <mergeCell ref="SEE26:SEF26"/>
    <mergeCell ref="SEG26:SEH26"/>
    <mergeCell ref="SEI26:SEJ26"/>
    <mergeCell ref="SDM26:SDN26"/>
    <mergeCell ref="SDO26:SDP26"/>
    <mergeCell ref="SDQ26:SDR26"/>
    <mergeCell ref="SDS26:SDT26"/>
    <mergeCell ref="SDU26:SDV26"/>
    <mergeCell ref="SDW26:SDX26"/>
    <mergeCell ref="SDA26:SDB26"/>
    <mergeCell ref="SDC26:SDD26"/>
    <mergeCell ref="SDE26:SDF26"/>
    <mergeCell ref="SDG26:SDH26"/>
    <mergeCell ref="SDI26:SDJ26"/>
    <mergeCell ref="SDK26:SDL26"/>
    <mergeCell ref="SCO26:SCP26"/>
    <mergeCell ref="SCQ26:SCR26"/>
    <mergeCell ref="SCS26:SCT26"/>
    <mergeCell ref="SCU26:SCV26"/>
    <mergeCell ref="SCW26:SCX26"/>
    <mergeCell ref="SCY26:SCZ26"/>
    <mergeCell ref="SCC26:SCD26"/>
    <mergeCell ref="SCE26:SCF26"/>
    <mergeCell ref="SCG26:SCH26"/>
    <mergeCell ref="SCI26:SCJ26"/>
    <mergeCell ref="SCK26:SCL26"/>
    <mergeCell ref="SCM26:SCN26"/>
    <mergeCell ref="SBQ26:SBR26"/>
    <mergeCell ref="SBS26:SBT26"/>
    <mergeCell ref="SBU26:SBV26"/>
    <mergeCell ref="SBW26:SBX26"/>
    <mergeCell ref="SBY26:SBZ26"/>
    <mergeCell ref="SCA26:SCB26"/>
    <mergeCell ref="SGS26:SGT26"/>
    <mergeCell ref="SGU26:SGV26"/>
    <mergeCell ref="SGW26:SGX26"/>
    <mergeCell ref="SGY26:SGZ26"/>
    <mergeCell ref="SHA26:SHB26"/>
    <mergeCell ref="SHC26:SHD26"/>
    <mergeCell ref="SGG26:SGH26"/>
    <mergeCell ref="SGI26:SGJ26"/>
    <mergeCell ref="SGK26:SGL26"/>
    <mergeCell ref="SGM26:SGN26"/>
    <mergeCell ref="SGO26:SGP26"/>
    <mergeCell ref="SGQ26:SGR26"/>
    <mergeCell ref="SFU26:SFV26"/>
    <mergeCell ref="SFW26:SFX26"/>
    <mergeCell ref="SFY26:SFZ26"/>
    <mergeCell ref="SGA26:SGB26"/>
    <mergeCell ref="SGC26:SGD26"/>
    <mergeCell ref="SGE26:SGF26"/>
    <mergeCell ref="SFI26:SFJ26"/>
    <mergeCell ref="SFK26:SFL26"/>
    <mergeCell ref="SFM26:SFN26"/>
    <mergeCell ref="SFO26:SFP26"/>
    <mergeCell ref="SFQ26:SFR26"/>
    <mergeCell ref="SFS26:SFT26"/>
    <mergeCell ref="SEW26:SEX26"/>
    <mergeCell ref="SEY26:SEZ26"/>
    <mergeCell ref="SFA26:SFB26"/>
    <mergeCell ref="SFC26:SFD26"/>
    <mergeCell ref="SFE26:SFF26"/>
    <mergeCell ref="SFG26:SFH26"/>
    <mergeCell ref="SEK26:SEL26"/>
    <mergeCell ref="SEM26:SEN26"/>
    <mergeCell ref="SEO26:SEP26"/>
    <mergeCell ref="SEQ26:SER26"/>
    <mergeCell ref="SES26:SET26"/>
    <mergeCell ref="SEU26:SEV26"/>
    <mergeCell ref="SJM26:SJN26"/>
    <mergeCell ref="SJO26:SJP26"/>
    <mergeCell ref="SJQ26:SJR26"/>
    <mergeCell ref="SJS26:SJT26"/>
    <mergeCell ref="SJU26:SJV26"/>
    <mergeCell ref="SJW26:SJX26"/>
    <mergeCell ref="SJA26:SJB26"/>
    <mergeCell ref="SJC26:SJD26"/>
    <mergeCell ref="SJE26:SJF26"/>
    <mergeCell ref="SJG26:SJH26"/>
    <mergeCell ref="SJI26:SJJ26"/>
    <mergeCell ref="SJK26:SJL26"/>
    <mergeCell ref="SIO26:SIP26"/>
    <mergeCell ref="SIQ26:SIR26"/>
    <mergeCell ref="SIS26:SIT26"/>
    <mergeCell ref="SIU26:SIV26"/>
    <mergeCell ref="SIW26:SIX26"/>
    <mergeCell ref="SIY26:SIZ26"/>
    <mergeCell ref="SIC26:SID26"/>
    <mergeCell ref="SIE26:SIF26"/>
    <mergeCell ref="SIG26:SIH26"/>
    <mergeCell ref="SII26:SIJ26"/>
    <mergeCell ref="SIK26:SIL26"/>
    <mergeCell ref="SIM26:SIN26"/>
    <mergeCell ref="SHQ26:SHR26"/>
    <mergeCell ref="SHS26:SHT26"/>
    <mergeCell ref="SHU26:SHV26"/>
    <mergeCell ref="SHW26:SHX26"/>
    <mergeCell ref="SHY26:SHZ26"/>
    <mergeCell ref="SIA26:SIB26"/>
    <mergeCell ref="SHE26:SHF26"/>
    <mergeCell ref="SHG26:SHH26"/>
    <mergeCell ref="SHI26:SHJ26"/>
    <mergeCell ref="SHK26:SHL26"/>
    <mergeCell ref="SHM26:SHN26"/>
    <mergeCell ref="SHO26:SHP26"/>
    <mergeCell ref="SMG26:SMH26"/>
    <mergeCell ref="SMI26:SMJ26"/>
    <mergeCell ref="SMK26:SML26"/>
    <mergeCell ref="SMM26:SMN26"/>
    <mergeCell ref="SMO26:SMP26"/>
    <mergeCell ref="SMQ26:SMR26"/>
    <mergeCell ref="SLU26:SLV26"/>
    <mergeCell ref="SLW26:SLX26"/>
    <mergeCell ref="SLY26:SLZ26"/>
    <mergeCell ref="SMA26:SMB26"/>
    <mergeCell ref="SMC26:SMD26"/>
    <mergeCell ref="SME26:SMF26"/>
    <mergeCell ref="SLI26:SLJ26"/>
    <mergeCell ref="SLK26:SLL26"/>
    <mergeCell ref="SLM26:SLN26"/>
    <mergeCell ref="SLO26:SLP26"/>
    <mergeCell ref="SLQ26:SLR26"/>
    <mergeCell ref="SLS26:SLT26"/>
    <mergeCell ref="SKW26:SKX26"/>
    <mergeCell ref="SKY26:SKZ26"/>
    <mergeCell ref="SLA26:SLB26"/>
    <mergeCell ref="SLC26:SLD26"/>
    <mergeCell ref="SLE26:SLF26"/>
    <mergeCell ref="SLG26:SLH26"/>
    <mergeCell ref="SKK26:SKL26"/>
    <mergeCell ref="SKM26:SKN26"/>
    <mergeCell ref="SKO26:SKP26"/>
    <mergeCell ref="SKQ26:SKR26"/>
    <mergeCell ref="SKS26:SKT26"/>
    <mergeCell ref="SKU26:SKV26"/>
    <mergeCell ref="SJY26:SJZ26"/>
    <mergeCell ref="SKA26:SKB26"/>
    <mergeCell ref="SKC26:SKD26"/>
    <mergeCell ref="SKE26:SKF26"/>
    <mergeCell ref="SKG26:SKH26"/>
    <mergeCell ref="SKI26:SKJ26"/>
    <mergeCell ref="SPA26:SPB26"/>
    <mergeCell ref="SPC26:SPD26"/>
    <mergeCell ref="SPE26:SPF26"/>
    <mergeCell ref="SPG26:SPH26"/>
    <mergeCell ref="SPI26:SPJ26"/>
    <mergeCell ref="SPK26:SPL26"/>
    <mergeCell ref="SOO26:SOP26"/>
    <mergeCell ref="SOQ26:SOR26"/>
    <mergeCell ref="SOS26:SOT26"/>
    <mergeCell ref="SOU26:SOV26"/>
    <mergeCell ref="SOW26:SOX26"/>
    <mergeCell ref="SOY26:SOZ26"/>
    <mergeCell ref="SOC26:SOD26"/>
    <mergeCell ref="SOE26:SOF26"/>
    <mergeCell ref="SOG26:SOH26"/>
    <mergeCell ref="SOI26:SOJ26"/>
    <mergeCell ref="SOK26:SOL26"/>
    <mergeCell ref="SOM26:SON26"/>
    <mergeCell ref="SNQ26:SNR26"/>
    <mergeCell ref="SNS26:SNT26"/>
    <mergeCell ref="SNU26:SNV26"/>
    <mergeCell ref="SNW26:SNX26"/>
    <mergeCell ref="SNY26:SNZ26"/>
    <mergeCell ref="SOA26:SOB26"/>
    <mergeCell ref="SNE26:SNF26"/>
    <mergeCell ref="SNG26:SNH26"/>
    <mergeCell ref="SNI26:SNJ26"/>
    <mergeCell ref="SNK26:SNL26"/>
    <mergeCell ref="SNM26:SNN26"/>
    <mergeCell ref="SNO26:SNP26"/>
    <mergeCell ref="SMS26:SMT26"/>
    <mergeCell ref="SMU26:SMV26"/>
    <mergeCell ref="SMW26:SMX26"/>
    <mergeCell ref="SMY26:SMZ26"/>
    <mergeCell ref="SNA26:SNB26"/>
    <mergeCell ref="SNC26:SND26"/>
    <mergeCell ref="SRU26:SRV26"/>
    <mergeCell ref="SRW26:SRX26"/>
    <mergeCell ref="SRY26:SRZ26"/>
    <mergeCell ref="SSA26:SSB26"/>
    <mergeCell ref="SSC26:SSD26"/>
    <mergeCell ref="SSE26:SSF26"/>
    <mergeCell ref="SRI26:SRJ26"/>
    <mergeCell ref="SRK26:SRL26"/>
    <mergeCell ref="SRM26:SRN26"/>
    <mergeCell ref="SRO26:SRP26"/>
    <mergeCell ref="SRQ26:SRR26"/>
    <mergeCell ref="SRS26:SRT26"/>
    <mergeCell ref="SQW26:SQX26"/>
    <mergeCell ref="SQY26:SQZ26"/>
    <mergeCell ref="SRA26:SRB26"/>
    <mergeCell ref="SRC26:SRD26"/>
    <mergeCell ref="SRE26:SRF26"/>
    <mergeCell ref="SRG26:SRH26"/>
    <mergeCell ref="SQK26:SQL26"/>
    <mergeCell ref="SQM26:SQN26"/>
    <mergeCell ref="SQO26:SQP26"/>
    <mergeCell ref="SQQ26:SQR26"/>
    <mergeCell ref="SQS26:SQT26"/>
    <mergeCell ref="SQU26:SQV26"/>
    <mergeCell ref="SPY26:SPZ26"/>
    <mergeCell ref="SQA26:SQB26"/>
    <mergeCell ref="SQC26:SQD26"/>
    <mergeCell ref="SQE26:SQF26"/>
    <mergeCell ref="SQG26:SQH26"/>
    <mergeCell ref="SQI26:SQJ26"/>
    <mergeCell ref="SPM26:SPN26"/>
    <mergeCell ref="SPO26:SPP26"/>
    <mergeCell ref="SPQ26:SPR26"/>
    <mergeCell ref="SPS26:SPT26"/>
    <mergeCell ref="SPU26:SPV26"/>
    <mergeCell ref="SPW26:SPX26"/>
    <mergeCell ref="SUO26:SUP26"/>
    <mergeCell ref="SUQ26:SUR26"/>
    <mergeCell ref="SUS26:SUT26"/>
    <mergeCell ref="SUU26:SUV26"/>
    <mergeCell ref="SUW26:SUX26"/>
    <mergeCell ref="SUY26:SUZ26"/>
    <mergeCell ref="SUC26:SUD26"/>
    <mergeCell ref="SUE26:SUF26"/>
    <mergeCell ref="SUG26:SUH26"/>
    <mergeCell ref="SUI26:SUJ26"/>
    <mergeCell ref="SUK26:SUL26"/>
    <mergeCell ref="SUM26:SUN26"/>
    <mergeCell ref="STQ26:STR26"/>
    <mergeCell ref="STS26:STT26"/>
    <mergeCell ref="STU26:STV26"/>
    <mergeCell ref="STW26:STX26"/>
    <mergeCell ref="STY26:STZ26"/>
    <mergeCell ref="SUA26:SUB26"/>
    <mergeCell ref="STE26:STF26"/>
    <mergeCell ref="STG26:STH26"/>
    <mergeCell ref="STI26:STJ26"/>
    <mergeCell ref="STK26:STL26"/>
    <mergeCell ref="STM26:STN26"/>
    <mergeCell ref="STO26:STP26"/>
    <mergeCell ref="SSS26:SST26"/>
    <mergeCell ref="SSU26:SSV26"/>
    <mergeCell ref="SSW26:SSX26"/>
    <mergeCell ref="SSY26:SSZ26"/>
    <mergeCell ref="STA26:STB26"/>
    <mergeCell ref="STC26:STD26"/>
    <mergeCell ref="SSG26:SSH26"/>
    <mergeCell ref="SSI26:SSJ26"/>
    <mergeCell ref="SSK26:SSL26"/>
    <mergeCell ref="SSM26:SSN26"/>
    <mergeCell ref="SSO26:SSP26"/>
    <mergeCell ref="SSQ26:SSR26"/>
    <mergeCell ref="SXI26:SXJ26"/>
    <mergeCell ref="SXK26:SXL26"/>
    <mergeCell ref="SXM26:SXN26"/>
    <mergeCell ref="SXO26:SXP26"/>
    <mergeCell ref="SXQ26:SXR26"/>
    <mergeCell ref="SXS26:SXT26"/>
    <mergeCell ref="SWW26:SWX26"/>
    <mergeCell ref="SWY26:SWZ26"/>
    <mergeCell ref="SXA26:SXB26"/>
    <mergeCell ref="SXC26:SXD26"/>
    <mergeCell ref="SXE26:SXF26"/>
    <mergeCell ref="SXG26:SXH26"/>
    <mergeCell ref="SWK26:SWL26"/>
    <mergeCell ref="SWM26:SWN26"/>
    <mergeCell ref="SWO26:SWP26"/>
    <mergeCell ref="SWQ26:SWR26"/>
    <mergeCell ref="SWS26:SWT26"/>
    <mergeCell ref="SWU26:SWV26"/>
    <mergeCell ref="SVY26:SVZ26"/>
    <mergeCell ref="SWA26:SWB26"/>
    <mergeCell ref="SWC26:SWD26"/>
    <mergeCell ref="SWE26:SWF26"/>
    <mergeCell ref="SWG26:SWH26"/>
    <mergeCell ref="SWI26:SWJ26"/>
    <mergeCell ref="SVM26:SVN26"/>
    <mergeCell ref="SVO26:SVP26"/>
    <mergeCell ref="SVQ26:SVR26"/>
    <mergeCell ref="SVS26:SVT26"/>
    <mergeCell ref="SVU26:SVV26"/>
    <mergeCell ref="SVW26:SVX26"/>
    <mergeCell ref="SVA26:SVB26"/>
    <mergeCell ref="SVC26:SVD26"/>
    <mergeCell ref="SVE26:SVF26"/>
    <mergeCell ref="SVG26:SVH26"/>
    <mergeCell ref="SVI26:SVJ26"/>
    <mergeCell ref="SVK26:SVL26"/>
    <mergeCell ref="TAC26:TAD26"/>
    <mergeCell ref="TAE26:TAF26"/>
    <mergeCell ref="TAG26:TAH26"/>
    <mergeCell ref="TAI26:TAJ26"/>
    <mergeCell ref="TAK26:TAL26"/>
    <mergeCell ref="TAM26:TAN26"/>
    <mergeCell ref="SZQ26:SZR26"/>
    <mergeCell ref="SZS26:SZT26"/>
    <mergeCell ref="SZU26:SZV26"/>
    <mergeCell ref="SZW26:SZX26"/>
    <mergeCell ref="SZY26:SZZ26"/>
    <mergeCell ref="TAA26:TAB26"/>
    <mergeCell ref="SZE26:SZF26"/>
    <mergeCell ref="SZG26:SZH26"/>
    <mergeCell ref="SZI26:SZJ26"/>
    <mergeCell ref="SZK26:SZL26"/>
    <mergeCell ref="SZM26:SZN26"/>
    <mergeCell ref="SZO26:SZP26"/>
    <mergeCell ref="SYS26:SYT26"/>
    <mergeCell ref="SYU26:SYV26"/>
    <mergeCell ref="SYW26:SYX26"/>
    <mergeCell ref="SYY26:SYZ26"/>
    <mergeCell ref="SZA26:SZB26"/>
    <mergeCell ref="SZC26:SZD26"/>
    <mergeCell ref="SYG26:SYH26"/>
    <mergeCell ref="SYI26:SYJ26"/>
    <mergeCell ref="SYK26:SYL26"/>
    <mergeCell ref="SYM26:SYN26"/>
    <mergeCell ref="SYO26:SYP26"/>
    <mergeCell ref="SYQ26:SYR26"/>
    <mergeCell ref="SXU26:SXV26"/>
    <mergeCell ref="SXW26:SXX26"/>
    <mergeCell ref="SXY26:SXZ26"/>
    <mergeCell ref="SYA26:SYB26"/>
    <mergeCell ref="SYC26:SYD26"/>
    <mergeCell ref="SYE26:SYF26"/>
    <mergeCell ref="TCW26:TCX26"/>
    <mergeCell ref="TCY26:TCZ26"/>
    <mergeCell ref="TDA26:TDB26"/>
    <mergeCell ref="TDC26:TDD26"/>
    <mergeCell ref="TDE26:TDF26"/>
    <mergeCell ref="TDG26:TDH26"/>
    <mergeCell ref="TCK26:TCL26"/>
    <mergeCell ref="TCM26:TCN26"/>
    <mergeCell ref="TCO26:TCP26"/>
    <mergeCell ref="TCQ26:TCR26"/>
    <mergeCell ref="TCS26:TCT26"/>
    <mergeCell ref="TCU26:TCV26"/>
    <mergeCell ref="TBY26:TBZ26"/>
    <mergeCell ref="TCA26:TCB26"/>
    <mergeCell ref="TCC26:TCD26"/>
    <mergeCell ref="TCE26:TCF26"/>
    <mergeCell ref="TCG26:TCH26"/>
    <mergeCell ref="TCI26:TCJ26"/>
    <mergeCell ref="TBM26:TBN26"/>
    <mergeCell ref="TBO26:TBP26"/>
    <mergeCell ref="TBQ26:TBR26"/>
    <mergeCell ref="TBS26:TBT26"/>
    <mergeCell ref="TBU26:TBV26"/>
    <mergeCell ref="TBW26:TBX26"/>
    <mergeCell ref="TBA26:TBB26"/>
    <mergeCell ref="TBC26:TBD26"/>
    <mergeCell ref="TBE26:TBF26"/>
    <mergeCell ref="TBG26:TBH26"/>
    <mergeCell ref="TBI26:TBJ26"/>
    <mergeCell ref="TBK26:TBL26"/>
    <mergeCell ref="TAO26:TAP26"/>
    <mergeCell ref="TAQ26:TAR26"/>
    <mergeCell ref="TAS26:TAT26"/>
    <mergeCell ref="TAU26:TAV26"/>
    <mergeCell ref="TAW26:TAX26"/>
    <mergeCell ref="TAY26:TAZ26"/>
    <mergeCell ref="TFQ26:TFR26"/>
    <mergeCell ref="TFS26:TFT26"/>
    <mergeCell ref="TFU26:TFV26"/>
    <mergeCell ref="TFW26:TFX26"/>
    <mergeCell ref="TFY26:TFZ26"/>
    <mergeCell ref="TGA26:TGB26"/>
    <mergeCell ref="TFE26:TFF26"/>
    <mergeCell ref="TFG26:TFH26"/>
    <mergeCell ref="TFI26:TFJ26"/>
    <mergeCell ref="TFK26:TFL26"/>
    <mergeCell ref="TFM26:TFN26"/>
    <mergeCell ref="TFO26:TFP26"/>
    <mergeCell ref="TES26:TET26"/>
    <mergeCell ref="TEU26:TEV26"/>
    <mergeCell ref="TEW26:TEX26"/>
    <mergeCell ref="TEY26:TEZ26"/>
    <mergeCell ref="TFA26:TFB26"/>
    <mergeCell ref="TFC26:TFD26"/>
    <mergeCell ref="TEG26:TEH26"/>
    <mergeCell ref="TEI26:TEJ26"/>
    <mergeCell ref="TEK26:TEL26"/>
    <mergeCell ref="TEM26:TEN26"/>
    <mergeCell ref="TEO26:TEP26"/>
    <mergeCell ref="TEQ26:TER26"/>
    <mergeCell ref="TDU26:TDV26"/>
    <mergeCell ref="TDW26:TDX26"/>
    <mergeCell ref="TDY26:TDZ26"/>
    <mergeCell ref="TEA26:TEB26"/>
    <mergeCell ref="TEC26:TED26"/>
    <mergeCell ref="TEE26:TEF26"/>
    <mergeCell ref="TDI26:TDJ26"/>
    <mergeCell ref="TDK26:TDL26"/>
    <mergeCell ref="TDM26:TDN26"/>
    <mergeCell ref="TDO26:TDP26"/>
    <mergeCell ref="TDQ26:TDR26"/>
    <mergeCell ref="TDS26:TDT26"/>
    <mergeCell ref="TIK26:TIL26"/>
    <mergeCell ref="TIM26:TIN26"/>
    <mergeCell ref="TIO26:TIP26"/>
    <mergeCell ref="TIQ26:TIR26"/>
    <mergeCell ref="TIS26:TIT26"/>
    <mergeCell ref="TIU26:TIV26"/>
    <mergeCell ref="THY26:THZ26"/>
    <mergeCell ref="TIA26:TIB26"/>
    <mergeCell ref="TIC26:TID26"/>
    <mergeCell ref="TIE26:TIF26"/>
    <mergeCell ref="TIG26:TIH26"/>
    <mergeCell ref="TII26:TIJ26"/>
    <mergeCell ref="THM26:THN26"/>
    <mergeCell ref="THO26:THP26"/>
    <mergeCell ref="THQ26:THR26"/>
    <mergeCell ref="THS26:THT26"/>
    <mergeCell ref="THU26:THV26"/>
    <mergeCell ref="THW26:THX26"/>
    <mergeCell ref="THA26:THB26"/>
    <mergeCell ref="THC26:THD26"/>
    <mergeCell ref="THE26:THF26"/>
    <mergeCell ref="THG26:THH26"/>
    <mergeCell ref="THI26:THJ26"/>
    <mergeCell ref="THK26:THL26"/>
    <mergeCell ref="TGO26:TGP26"/>
    <mergeCell ref="TGQ26:TGR26"/>
    <mergeCell ref="TGS26:TGT26"/>
    <mergeCell ref="TGU26:TGV26"/>
    <mergeCell ref="TGW26:TGX26"/>
    <mergeCell ref="TGY26:TGZ26"/>
    <mergeCell ref="TGC26:TGD26"/>
    <mergeCell ref="TGE26:TGF26"/>
    <mergeCell ref="TGG26:TGH26"/>
    <mergeCell ref="TGI26:TGJ26"/>
    <mergeCell ref="TGK26:TGL26"/>
    <mergeCell ref="TGM26:TGN26"/>
    <mergeCell ref="TLE26:TLF26"/>
    <mergeCell ref="TLG26:TLH26"/>
    <mergeCell ref="TLI26:TLJ26"/>
    <mergeCell ref="TLK26:TLL26"/>
    <mergeCell ref="TLM26:TLN26"/>
    <mergeCell ref="TLO26:TLP26"/>
    <mergeCell ref="TKS26:TKT26"/>
    <mergeCell ref="TKU26:TKV26"/>
    <mergeCell ref="TKW26:TKX26"/>
    <mergeCell ref="TKY26:TKZ26"/>
    <mergeCell ref="TLA26:TLB26"/>
    <mergeCell ref="TLC26:TLD26"/>
    <mergeCell ref="TKG26:TKH26"/>
    <mergeCell ref="TKI26:TKJ26"/>
    <mergeCell ref="TKK26:TKL26"/>
    <mergeCell ref="TKM26:TKN26"/>
    <mergeCell ref="TKO26:TKP26"/>
    <mergeCell ref="TKQ26:TKR26"/>
    <mergeCell ref="TJU26:TJV26"/>
    <mergeCell ref="TJW26:TJX26"/>
    <mergeCell ref="TJY26:TJZ26"/>
    <mergeCell ref="TKA26:TKB26"/>
    <mergeCell ref="TKC26:TKD26"/>
    <mergeCell ref="TKE26:TKF26"/>
    <mergeCell ref="TJI26:TJJ26"/>
    <mergeCell ref="TJK26:TJL26"/>
    <mergeCell ref="TJM26:TJN26"/>
    <mergeCell ref="TJO26:TJP26"/>
    <mergeCell ref="TJQ26:TJR26"/>
    <mergeCell ref="TJS26:TJT26"/>
    <mergeCell ref="TIW26:TIX26"/>
    <mergeCell ref="TIY26:TIZ26"/>
    <mergeCell ref="TJA26:TJB26"/>
    <mergeCell ref="TJC26:TJD26"/>
    <mergeCell ref="TJE26:TJF26"/>
    <mergeCell ref="TJG26:TJH26"/>
    <mergeCell ref="TNY26:TNZ26"/>
    <mergeCell ref="TOA26:TOB26"/>
    <mergeCell ref="TOC26:TOD26"/>
    <mergeCell ref="TOE26:TOF26"/>
    <mergeCell ref="TOG26:TOH26"/>
    <mergeCell ref="TOI26:TOJ26"/>
    <mergeCell ref="TNM26:TNN26"/>
    <mergeCell ref="TNO26:TNP26"/>
    <mergeCell ref="TNQ26:TNR26"/>
    <mergeCell ref="TNS26:TNT26"/>
    <mergeCell ref="TNU26:TNV26"/>
    <mergeCell ref="TNW26:TNX26"/>
    <mergeCell ref="TNA26:TNB26"/>
    <mergeCell ref="TNC26:TND26"/>
    <mergeCell ref="TNE26:TNF26"/>
    <mergeCell ref="TNG26:TNH26"/>
    <mergeCell ref="TNI26:TNJ26"/>
    <mergeCell ref="TNK26:TNL26"/>
    <mergeCell ref="TMO26:TMP26"/>
    <mergeCell ref="TMQ26:TMR26"/>
    <mergeCell ref="TMS26:TMT26"/>
    <mergeCell ref="TMU26:TMV26"/>
    <mergeCell ref="TMW26:TMX26"/>
    <mergeCell ref="TMY26:TMZ26"/>
    <mergeCell ref="TMC26:TMD26"/>
    <mergeCell ref="TME26:TMF26"/>
    <mergeCell ref="TMG26:TMH26"/>
    <mergeCell ref="TMI26:TMJ26"/>
    <mergeCell ref="TMK26:TML26"/>
    <mergeCell ref="TMM26:TMN26"/>
    <mergeCell ref="TLQ26:TLR26"/>
    <mergeCell ref="TLS26:TLT26"/>
    <mergeCell ref="TLU26:TLV26"/>
    <mergeCell ref="TLW26:TLX26"/>
    <mergeCell ref="TLY26:TLZ26"/>
    <mergeCell ref="TMA26:TMB26"/>
    <mergeCell ref="TQS26:TQT26"/>
    <mergeCell ref="TQU26:TQV26"/>
    <mergeCell ref="TQW26:TQX26"/>
    <mergeCell ref="TQY26:TQZ26"/>
    <mergeCell ref="TRA26:TRB26"/>
    <mergeCell ref="TRC26:TRD26"/>
    <mergeCell ref="TQG26:TQH26"/>
    <mergeCell ref="TQI26:TQJ26"/>
    <mergeCell ref="TQK26:TQL26"/>
    <mergeCell ref="TQM26:TQN26"/>
    <mergeCell ref="TQO26:TQP26"/>
    <mergeCell ref="TQQ26:TQR26"/>
    <mergeCell ref="TPU26:TPV26"/>
    <mergeCell ref="TPW26:TPX26"/>
    <mergeCell ref="TPY26:TPZ26"/>
    <mergeCell ref="TQA26:TQB26"/>
    <mergeCell ref="TQC26:TQD26"/>
    <mergeCell ref="TQE26:TQF26"/>
    <mergeCell ref="TPI26:TPJ26"/>
    <mergeCell ref="TPK26:TPL26"/>
    <mergeCell ref="TPM26:TPN26"/>
    <mergeCell ref="TPO26:TPP26"/>
    <mergeCell ref="TPQ26:TPR26"/>
    <mergeCell ref="TPS26:TPT26"/>
    <mergeCell ref="TOW26:TOX26"/>
    <mergeCell ref="TOY26:TOZ26"/>
    <mergeCell ref="TPA26:TPB26"/>
    <mergeCell ref="TPC26:TPD26"/>
    <mergeCell ref="TPE26:TPF26"/>
    <mergeCell ref="TPG26:TPH26"/>
    <mergeCell ref="TOK26:TOL26"/>
    <mergeCell ref="TOM26:TON26"/>
    <mergeCell ref="TOO26:TOP26"/>
    <mergeCell ref="TOQ26:TOR26"/>
    <mergeCell ref="TOS26:TOT26"/>
    <mergeCell ref="TOU26:TOV26"/>
    <mergeCell ref="TTM26:TTN26"/>
    <mergeCell ref="TTO26:TTP26"/>
    <mergeCell ref="TTQ26:TTR26"/>
    <mergeCell ref="TTS26:TTT26"/>
    <mergeCell ref="TTU26:TTV26"/>
    <mergeCell ref="TTW26:TTX26"/>
    <mergeCell ref="TTA26:TTB26"/>
    <mergeCell ref="TTC26:TTD26"/>
    <mergeCell ref="TTE26:TTF26"/>
    <mergeCell ref="TTG26:TTH26"/>
    <mergeCell ref="TTI26:TTJ26"/>
    <mergeCell ref="TTK26:TTL26"/>
    <mergeCell ref="TSO26:TSP26"/>
    <mergeCell ref="TSQ26:TSR26"/>
    <mergeCell ref="TSS26:TST26"/>
    <mergeCell ref="TSU26:TSV26"/>
    <mergeCell ref="TSW26:TSX26"/>
    <mergeCell ref="TSY26:TSZ26"/>
    <mergeCell ref="TSC26:TSD26"/>
    <mergeCell ref="TSE26:TSF26"/>
    <mergeCell ref="TSG26:TSH26"/>
    <mergeCell ref="TSI26:TSJ26"/>
    <mergeCell ref="TSK26:TSL26"/>
    <mergeCell ref="TSM26:TSN26"/>
    <mergeCell ref="TRQ26:TRR26"/>
    <mergeCell ref="TRS26:TRT26"/>
    <mergeCell ref="TRU26:TRV26"/>
    <mergeCell ref="TRW26:TRX26"/>
    <mergeCell ref="TRY26:TRZ26"/>
    <mergeCell ref="TSA26:TSB26"/>
    <mergeCell ref="TRE26:TRF26"/>
    <mergeCell ref="TRG26:TRH26"/>
    <mergeCell ref="TRI26:TRJ26"/>
    <mergeCell ref="TRK26:TRL26"/>
    <mergeCell ref="TRM26:TRN26"/>
    <mergeCell ref="TRO26:TRP26"/>
    <mergeCell ref="TWG26:TWH26"/>
    <mergeCell ref="TWI26:TWJ26"/>
    <mergeCell ref="TWK26:TWL26"/>
    <mergeCell ref="TWM26:TWN26"/>
    <mergeCell ref="TWO26:TWP26"/>
    <mergeCell ref="TWQ26:TWR26"/>
    <mergeCell ref="TVU26:TVV26"/>
    <mergeCell ref="TVW26:TVX26"/>
    <mergeCell ref="TVY26:TVZ26"/>
    <mergeCell ref="TWA26:TWB26"/>
    <mergeCell ref="TWC26:TWD26"/>
    <mergeCell ref="TWE26:TWF26"/>
    <mergeCell ref="TVI26:TVJ26"/>
    <mergeCell ref="TVK26:TVL26"/>
    <mergeCell ref="TVM26:TVN26"/>
    <mergeCell ref="TVO26:TVP26"/>
    <mergeCell ref="TVQ26:TVR26"/>
    <mergeCell ref="TVS26:TVT26"/>
    <mergeCell ref="TUW26:TUX26"/>
    <mergeCell ref="TUY26:TUZ26"/>
    <mergeCell ref="TVA26:TVB26"/>
    <mergeCell ref="TVC26:TVD26"/>
    <mergeCell ref="TVE26:TVF26"/>
    <mergeCell ref="TVG26:TVH26"/>
    <mergeCell ref="TUK26:TUL26"/>
    <mergeCell ref="TUM26:TUN26"/>
    <mergeCell ref="TUO26:TUP26"/>
    <mergeCell ref="TUQ26:TUR26"/>
    <mergeCell ref="TUS26:TUT26"/>
    <mergeCell ref="TUU26:TUV26"/>
    <mergeCell ref="TTY26:TTZ26"/>
    <mergeCell ref="TUA26:TUB26"/>
    <mergeCell ref="TUC26:TUD26"/>
    <mergeCell ref="TUE26:TUF26"/>
    <mergeCell ref="TUG26:TUH26"/>
    <mergeCell ref="TUI26:TUJ26"/>
    <mergeCell ref="TZA26:TZB26"/>
    <mergeCell ref="TZC26:TZD26"/>
    <mergeCell ref="TZE26:TZF26"/>
    <mergeCell ref="TZG26:TZH26"/>
    <mergeCell ref="TZI26:TZJ26"/>
    <mergeCell ref="TZK26:TZL26"/>
    <mergeCell ref="TYO26:TYP26"/>
    <mergeCell ref="TYQ26:TYR26"/>
    <mergeCell ref="TYS26:TYT26"/>
    <mergeCell ref="TYU26:TYV26"/>
    <mergeCell ref="TYW26:TYX26"/>
    <mergeCell ref="TYY26:TYZ26"/>
    <mergeCell ref="TYC26:TYD26"/>
    <mergeCell ref="TYE26:TYF26"/>
    <mergeCell ref="TYG26:TYH26"/>
    <mergeCell ref="TYI26:TYJ26"/>
    <mergeCell ref="TYK26:TYL26"/>
    <mergeCell ref="TYM26:TYN26"/>
    <mergeCell ref="TXQ26:TXR26"/>
    <mergeCell ref="TXS26:TXT26"/>
    <mergeCell ref="TXU26:TXV26"/>
    <mergeCell ref="TXW26:TXX26"/>
    <mergeCell ref="TXY26:TXZ26"/>
    <mergeCell ref="TYA26:TYB26"/>
    <mergeCell ref="TXE26:TXF26"/>
    <mergeCell ref="TXG26:TXH26"/>
    <mergeCell ref="TXI26:TXJ26"/>
    <mergeCell ref="TXK26:TXL26"/>
    <mergeCell ref="TXM26:TXN26"/>
    <mergeCell ref="TXO26:TXP26"/>
    <mergeCell ref="TWS26:TWT26"/>
    <mergeCell ref="TWU26:TWV26"/>
    <mergeCell ref="TWW26:TWX26"/>
    <mergeCell ref="TWY26:TWZ26"/>
    <mergeCell ref="TXA26:TXB26"/>
    <mergeCell ref="TXC26:TXD26"/>
    <mergeCell ref="UBU26:UBV26"/>
    <mergeCell ref="UBW26:UBX26"/>
    <mergeCell ref="UBY26:UBZ26"/>
    <mergeCell ref="UCA26:UCB26"/>
    <mergeCell ref="UCC26:UCD26"/>
    <mergeCell ref="UCE26:UCF26"/>
    <mergeCell ref="UBI26:UBJ26"/>
    <mergeCell ref="UBK26:UBL26"/>
    <mergeCell ref="UBM26:UBN26"/>
    <mergeCell ref="UBO26:UBP26"/>
    <mergeCell ref="UBQ26:UBR26"/>
    <mergeCell ref="UBS26:UBT26"/>
    <mergeCell ref="UAW26:UAX26"/>
    <mergeCell ref="UAY26:UAZ26"/>
    <mergeCell ref="UBA26:UBB26"/>
    <mergeCell ref="UBC26:UBD26"/>
    <mergeCell ref="UBE26:UBF26"/>
    <mergeCell ref="UBG26:UBH26"/>
    <mergeCell ref="UAK26:UAL26"/>
    <mergeCell ref="UAM26:UAN26"/>
    <mergeCell ref="UAO26:UAP26"/>
    <mergeCell ref="UAQ26:UAR26"/>
    <mergeCell ref="UAS26:UAT26"/>
    <mergeCell ref="UAU26:UAV26"/>
    <mergeCell ref="TZY26:TZZ26"/>
    <mergeCell ref="UAA26:UAB26"/>
    <mergeCell ref="UAC26:UAD26"/>
    <mergeCell ref="UAE26:UAF26"/>
    <mergeCell ref="UAG26:UAH26"/>
    <mergeCell ref="UAI26:UAJ26"/>
    <mergeCell ref="TZM26:TZN26"/>
    <mergeCell ref="TZO26:TZP26"/>
    <mergeCell ref="TZQ26:TZR26"/>
    <mergeCell ref="TZS26:TZT26"/>
    <mergeCell ref="TZU26:TZV26"/>
    <mergeCell ref="TZW26:TZX26"/>
    <mergeCell ref="UEO26:UEP26"/>
    <mergeCell ref="UEQ26:UER26"/>
    <mergeCell ref="UES26:UET26"/>
    <mergeCell ref="UEU26:UEV26"/>
    <mergeCell ref="UEW26:UEX26"/>
    <mergeCell ref="UEY26:UEZ26"/>
    <mergeCell ref="UEC26:UED26"/>
    <mergeCell ref="UEE26:UEF26"/>
    <mergeCell ref="UEG26:UEH26"/>
    <mergeCell ref="UEI26:UEJ26"/>
    <mergeCell ref="UEK26:UEL26"/>
    <mergeCell ref="UEM26:UEN26"/>
    <mergeCell ref="UDQ26:UDR26"/>
    <mergeCell ref="UDS26:UDT26"/>
    <mergeCell ref="UDU26:UDV26"/>
    <mergeCell ref="UDW26:UDX26"/>
    <mergeCell ref="UDY26:UDZ26"/>
    <mergeCell ref="UEA26:UEB26"/>
    <mergeCell ref="UDE26:UDF26"/>
    <mergeCell ref="UDG26:UDH26"/>
    <mergeCell ref="UDI26:UDJ26"/>
    <mergeCell ref="UDK26:UDL26"/>
    <mergeCell ref="UDM26:UDN26"/>
    <mergeCell ref="UDO26:UDP26"/>
    <mergeCell ref="UCS26:UCT26"/>
    <mergeCell ref="UCU26:UCV26"/>
    <mergeCell ref="UCW26:UCX26"/>
    <mergeCell ref="UCY26:UCZ26"/>
    <mergeCell ref="UDA26:UDB26"/>
    <mergeCell ref="UDC26:UDD26"/>
    <mergeCell ref="UCG26:UCH26"/>
    <mergeCell ref="UCI26:UCJ26"/>
    <mergeCell ref="UCK26:UCL26"/>
    <mergeCell ref="UCM26:UCN26"/>
    <mergeCell ref="UCO26:UCP26"/>
    <mergeCell ref="UCQ26:UCR26"/>
    <mergeCell ref="UHI26:UHJ26"/>
    <mergeCell ref="UHK26:UHL26"/>
    <mergeCell ref="UHM26:UHN26"/>
    <mergeCell ref="UHO26:UHP26"/>
    <mergeCell ref="UHQ26:UHR26"/>
    <mergeCell ref="UHS26:UHT26"/>
    <mergeCell ref="UGW26:UGX26"/>
    <mergeCell ref="UGY26:UGZ26"/>
    <mergeCell ref="UHA26:UHB26"/>
    <mergeCell ref="UHC26:UHD26"/>
    <mergeCell ref="UHE26:UHF26"/>
    <mergeCell ref="UHG26:UHH26"/>
    <mergeCell ref="UGK26:UGL26"/>
    <mergeCell ref="UGM26:UGN26"/>
    <mergeCell ref="UGO26:UGP26"/>
    <mergeCell ref="UGQ26:UGR26"/>
    <mergeCell ref="UGS26:UGT26"/>
    <mergeCell ref="UGU26:UGV26"/>
    <mergeCell ref="UFY26:UFZ26"/>
    <mergeCell ref="UGA26:UGB26"/>
    <mergeCell ref="UGC26:UGD26"/>
    <mergeCell ref="UGE26:UGF26"/>
    <mergeCell ref="UGG26:UGH26"/>
    <mergeCell ref="UGI26:UGJ26"/>
    <mergeCell ref="UFM26:UFN26"/>
    <mergeCell ref="UFO26:UFP26"/>
    <mergeCell ref="UFQ26:UFR26"/>
    <mergeCell ref="UFS26:UFT26"/>
    <mergeCell ref="UFU26:UFV26"/>
    <mergeCell ref="UFW26:UFX26"/>
    <mergeCell ref="UFA26:UFB26"/>
    <mergeCell ref="UFC26:UFD26"/>
    <mergeCell ref="UFE26:UFF26"/>
    <mergeCell ref="UFG26:UFH26"/>
    <mergeCell ref="UFI26:UFJ26"/>
    <mergeCell ref="UFK26:UFL26"/>
    <mergeCell ref="UKC26:UKD26"/>
    <mergeCell ref="UKE26:UKF26"/>
    <mergeCell ref="UKG26:UKH26"/>
    <mergeCell ref="UKI26:UKJ26"/>
    <mergeCell ref="UKK26:UKL26"/>
    <mergeCell ref="UKM26:UKN26"/>
    <mergeCell ref="UJQ26:UJR26"/>
    <mergeCell ref="UJS26:UJT26"/>
    <mergeCell ref="UJU26:UJV26"/>
    <mergeCell ref="UJW26:UJX26"/>
    <mergeCell ref="UJY26:UJZ26"/>
    <mergeCell ref="UKA26:UKB26"/>
    <mergeCell ref="UJE26:UJF26"/>
    <mergeCell ref="UJG26:UJH26"/>
    <mergeCell ref="UJI26:UJJ26"/>
    <mergeCell ref="UJK26:UJL26"/>
    <mergeCell ref="UJM26:UJN26"/>
    <mergeCell ref="UJO26:UJP26"/>
    <mergeCell ref="UIS26:UIT26"/>
    <mergeCell ref="UIU26:UIV26"/>
    <mergeCell ref="UIW26:UIX26"/>
    <mergeCell ref="UIY26:UIZ26"/>
    <mergeCell ref="UJA26:UJB26"/>
    <mergeCell ref="UJC26:UJD26"/>
    <mergeCell ref="UIG26:UIH26"/>
    <mergeCell ref="UII26:UIJ26"/>
    <mergeCell ref="UIK26:UIL26"/>
    <mergeCell ref="UIM26:UIN26"/>
    <mergeCell ref="UIO26:UIP26"/>
    <mergeCell ref="UIQ26:UIR26"/>
    <mergeCell ref="UHU26:UHV26"/>
    <mergeCell ref="UHW26:UHX26"/>
    <mergeCell ref="UHY26:UHZ26"/>
    <mergeCell ref="UIA26:UIB26"/>
    <mergeCell ref="UIC26:UID26"/>
    <mergeCell ref="UIE26:UIF26"/>
    <mergeCell ref="UMW26:UMX26"/>
    <mergeCell ref="UMY26:UMZ26"/>
    <mergeCell ref="UNA26:UNB26"/>
    <mergeCell ref="UNC26:UND26"/>
    <mergeCell ref="UNE26:UNF26"/>
    <mergeCell ref="UNG26:UNH26"/>
    <mergeCell ref="UMK26:UML26"/>
    <mergeCell ref="UMM26:UMN26"/>
    <mergeCell ref="UMO26:UMP26"/>
    <mergeCell ref="UMQ26:UMR26"/>
    <mergeCell ref="UMS26:UMT26"/>
    <mergeCell ref="UMU26:UMV26"/>
    <mergeCell ref="ULY26:ULZ26"/>
    <mergeCell ref="UMA26:UMB26"/>
    <mergeCell ref="UMC26:UMD26"/>
    <mergeCell ref="UME26:UMF26"/>
    <mergeCell ref="UMG26:UMH26"/>
    <mergeCell ref="UMI26:UMJ26"/>
    <mergeCell ref="ULM26:ULN26"/>
    <mergeCell ref="ULO26:ULP26"/>
    <mergeCell ref="ULQ26:ULR26"/>
    <mergeCell ref="ULS26:ULT26"/>
    <mergeCell ref="ULU26:ULV26"/>
    <mergeCell ref="ULW26:ULX26"/>
    <mergeCell ref="ULA26:ULB26"/>
    <mergeCell ref="ULC26:ULD26"/>
    <mergeCell ref="ULE26:ULF26"/>
    <mergeCell ref="ULG26:ULH26"/>
    <mergeCell ref="ULI26:ULJ26"/>
    <mergeCell ref="ULK26:ULL26"/>
    <mergeCell ref="UKO26:UKP26"/>
    <mergeCell ref="UKQ26:UKR26"/>
    <mergeCell ref="UKS26:UKT26"/>
    <mergeCell ref="UKU26:UKV26"/>
    <mergeCell ref="UKW26:UKX26"/>
    <mergeCell ref="UKY26:UKZ26"/>
    <mergeCell ref="UPQ26:UPR26"/>
    <mergeCell ref="UPS26:UPT26"/>
    <mergeCell ref="UPU26:UPV26"/>
    <mergeCell ref="UPW26:UPX26"/>
    <mergeCell ref="UPY26:UPZ26"/>
    <mergeCell ref="UQA26:UQB26"/>
    <mergeCell ref="UPE26:UPF26"/>
    <mergeCell ref="UPG26:UPH26"/>
    <mergeCell ref="UPI26:UPJ26"/>
    <mergeCell ref="UPK26:UPL26"/>
    <mergeCell ref="UPM26:UPN26"/>
    <mergeCell ref="UPO26:UPP26"/>
    <mergeCell ref="UOS26:UOT26"/>
    <mergeCell ref="UOU26:UOV26"/>
    <mergeCell ref="UOW26:UOX26"/>
    <mergeCell ref="UOY26:UOZ26"/>
    <mergeCell ref="UPA26:UPB26"/>
    <mergeCell ref="UPC26:UPD26"/>
    <mergeCell ref="UOG26:UOH26"/>
    <mergeCell ref="UOI26:UOJ26"/>
    <mergeCell ref="UOK26:UOL26"/>
    <mergeCell ref="UOM26:UON26"/>
    <mergeCell ref="UOO26:UOP26"/>
    <mergeCell ref="UOQ26:UOR26"/>
    <mergeCell ref="UNU26:UNV26"/>
    <mergeCell ref="UNW26:UNX26"/>
    <mergeCell ref="UNY26:UNZ26"/>
    <mergeCell ref="UOA26:UOB26"/>
    <mergeCell ref="UOC26:UOD26"/>
    <mergeCell ref="UOE26:UOF26"/>
    <mergeCell ref="UNI26:UNJ26"/>
    <mergeCell ref="UNK26:UNL26"/>
    <mergeCell ref="UNM26:UNN26"/>
    <mergeCell ref="UNO26:UNP26"/>
    <mergeCell ref="UNQ26:UNR26"/>
    <mergeCell ref="UNS26:UNT26"/>
    <mergeCell ref="USK26:USL26"/>
    <mergeCell ref="USM26:USN26"/>
    <mergeCell ref="USO26:USP26"/>
    <mergeCell ref="USQ26:USR26"/>
    <mergeCell ref="USS26:UST26"/>
    <mergeCell ref="USU26:USV26"/>
    <mergeCell ref="URY26:URZ26"/>
    <mergeCell ref="USA26:USB26"/>
    <mergeCell ref="USC26:USD26"/>
    <mergeCell ref="USE26:USF26"/>
    <mergeCell ref="USG26:USH26"/>
    <mergeCell ref="USI26:USJ26"/>
    <mergeCell ref="URM26:URN26"/>
    <mergeCell ref="URO26:URP26"/>
    <mergeCell ref="URQ26:URR26"/>
    <mergeCell ref="URS26:URT26"/>
    <mergeCell ref="URU26:URV26"/>
    <mergeCell ref="URW26:URX26"/>
    <mergeCell ref="URA26:URB26"/>
    <mergeCell ref="URC26:URD26"/>
    <mergeCell ref="URE26:URF26"/>
    <mergeCell ref="URG26:URH26"/>
    <mergeCell ref="URI26:URJ26"/>
    <mergeCell ref="URK26:URL26"/>
    <mergeCell ref="UQO26:UQP26"/>
    <mergeCell ref="UQQ26:UQR26"/>
    <mergeCell ref="UQS26:UQT26"/>
    <mergeCell ref="UQU26:UQV26"/>
    <mergeCell ref="UQW26:UQX26"/>
    <mergeCell ref="UQY26:UQZ26"/>
    <mergeCell ref="UQC26:UQD26"/>
    <mergeCell ref="UQE26:UQF26"/>
    <mergeCell ref="UQG26:UQH26"/>
    <mergeCell ref="UQI26:UQJ26"/>
    <mergeCell ref="UQK26:UQL26"/>
    <mergeCell ref="UQM26:UQN26"/>
    <mergeCell ref="UVE26:UVF26"/>
    <mergeCell ref="UVG26:UVH26"/>
    <mergeCell ref="UVI26:UVJ26"/>
    <mergeCell ref="UVK26:UVL26"/>
    <mergeCell ref="UVM26:UVN26"/>
    <mergeCell ref="UVO26:UVP26"/>
    <mergeCell ref="UUS26:UUT26"/>
    <mergeCell ref="UUU26:UUV26"/>
    <mergeCell ref="UUW26:UUX26"/>
    <mergeCell ref="UUY26:UUZ26"/>
    <mergeCell ref="UVA26:UVB26"/>
    <mergeCell ref="UVC26:UVD26"/>
    <mergeCell ref="UUG26:UUH26"/>
    <mergeCell ref="UUI26:UUJ26"/>
    <mergeCell ref="UUK26:UUL26"/>
    <mergeCell ref="UUM26:UUN26"/>
    <mergeCell ref="UUO26:UUP26"/>
    <mergeCell ref="UUQ26:UUR26"/>
    <mergeCell ref="UTU26:UTV26"/>
    <mergeCell ref="UTW26:UTX26"/>
    <mergeCell ref="UTY26:UTZ26"/>
    <mergeCell ref="UUA26:UUB26"/>
    <mergeCell ref="UUC26:UUD26"/>
    <mergeCell ref="UUE26:UUF26"/>
    <mergeCell ref="UTI26:UTJ26"/>
    <mergeCell ref="UTK26:UTL26"/>
    <mergeCell ref="UTM26:UTN26"/>
    <mergeCell ref="UTO26:UTP26"/>
    <mergeCell ref="UTQ26:UTR26"/>
    <mergeCell ref="UTS26:UTT26"/>
    <mergeCell ref="USW26:USX26"/>
    <mergeCell ref="USY26:USZ26"/>
    <mergeCell ref="UTA26:UTB26"/>
    <mergeCell ref="UTC26:UTD26"/>
    <mergeCell ref="UTE26:UTF26"/>
    <mergeCell ref="UTG26:UTH26"/>
    <mergeCell ref="UXY26:UXZ26"/>
    <mergeCell ref="UYA26:UYB26"/>
    <mergeCell ref="UYC26:UYD26"/>
    <mergeCell ref="UYE26:UYF26"/>
    <mergeCell ref="UYG26:UYH26"/>
    <mergeCell ref="UYI26:UYJ26"/>
    <mergeCell ref="UXM26:UXN26"/>
    <mergeCell ref="UXO26:UXP26"/>
    <mergeCell ref="UXQ26:UXR26"/>
    <mergeCell ref="UXS26:UXT26"/>
    <mergeCell ref="UXU26:UXV26"/>
    <mergeCell ref="UXW26:UXX26"/>
    <mergeCell ref="UXA26:UXB26"/>
    <mergeCell ref="UXC26:UXD26"/>
    <mergeCell ref="UXE26:UXF26"/>
    <mergeCell ref="UXG26:UXH26"/>
    <mergeCell ref="UXI26:UXJ26"/>
    <mergeCell ref="UXK26:UXL26"/>
    <mergeCell ref="UWO26:UWP26"/>
    <mergeCell ref="UWQ26:UWR26"/>
    <mergeCell ref="UWS26:UWT26"/>
    <mergeCell ref="UWU26:UWV26"/>
    <mergeCell ref="UWW26:UWX26"/>
    <mergeCell ref="UWY26:UWZ26"/>
    <mergeCell ref="UWC26:UWD26"/>
    <mergeCell ref="UWE26:UWF26"/>
    <mergeCell ref="UWG26:UWH26"/>
    <mergeCell ref="UWI26:UWJ26"/>
    <mergeCell ref="UWK26:UWL26"/>
    <mergeCell ref="UWM26:UWN26"/>
    <mergeCell ref="UVQ26:UVR26"/>
    <mergeCell ref="UVS26:UVT26"/>
    <mergeCell ref="UVU26:UVV26"/>
    <mergeCell ref="UVW26:UVX26"/>
    <mergeCell ref="UVY26:UVZ26"/>
    <mergeCell ref="UWA26:UWB26"/>
    <mergeCell ref="VAS26:VAT26"/>
    <mergeCell ref="VAU26:VAV26"/>
    <mergeCell ref="VAW26:VAX26"/>
    <mergeCell ref="VAY26:VAZ26"/>
    <mergeCell ref="VBA26:VBB26"/>
    <mergeCell ref="VBC26:VBD26"/>
    <mergeCell ref="VAG26:VAH26"/>
    <mergeCell ref="VAI26:VAJ26"/>
    <mergeCell ref="VAK26:VAL26"/>
    <mergeCell ref="VAM26:VAN26"/>
    <mergeCell ref="VAO26:VAP26"/>
    <mergeCell ref="VAQ26:VAR26"/>
    <mergeCell ref="UZU26:UZV26"/>
    <mergeCell ref="UZW26:UZX26"/>
    <mergeCell ref="UZY26:UZZ26"/>
    <mergeCell ref="VAA26:VAB26"/>
    <mergeCell ref="VAC26:VAD26"/>
    <mergeCell ref="VAE26:VAF26"/>
    <mergeCell ref="UZI26:UZJ26"/>
    <mergeCell ref="UZK26:UZL26"/>
    <mergeCell ref="UZM26:UZN26"/>
    <mergeCell ref="UZO26:UZP26"/>
    <mergeCell ref="UZQ26:UZR26"/>
    <mergeCell ref="UZS26:UZT26"/>
    <mergeCell ref="UYW26:UYX26"/>
    <mergeCell ref="UYY26:UYZ26"/>
    <mergeCell ref="UZA26:UZB26"/>
    <mergeCell ref="UZC26:UZD26"/>
    <mergeCell ref="UZE26:UZF26"/>
    <mergeCell ref="UZG26:UZH26"/>
    <mergeCell ref="UYK26:UYL26"/>
    <mergeCell ref="UYM26:UYN26"/>
    <mergeCell ref="UYO26:UYP26"/>
    <mergeCell ref="UYQ26:UYR26"/>
    <mergeCell ref="UYS26:UYT26"/>
    <mergeCell ref="UYU26:UYV26"/>
    <mergeCell ref="VDM26:VDN26"/>
    <mergeCell ref="VDO26:VDP26"/>
    <mergeCell ref="VDQ26:VDR26"/>
    <mergeCell ref="VDS26:VDT26"/>
    <mergeCell ref="VDU26:VDV26"/>
    <mergeCell ref="VDW26:VDX26"/>
    <mergeCell ref="VDA26:VDB26"/>
    <mergeCell ref="VDC26:VDD26"/>
    <mergeCell ref="VDE26:VDF26"/>
    <mergeCell ref="VDG26:VDH26"/>
    <mergeCell ref="VDI26:VDJ26"/>
    <mergeCell ref="VDK26:VDL26"/>
    <mergeCell ref="VCO26:VCP26"/>
    <mergeCell ref="VCQ26:VCR26"/>
    <mergeCell ref="VCS26:VCT26"/>
    <mergeCell ref="VCU26:VCV26"/>
    <mergeCell ref="VCW26:VCX26"/>
    <mergeCell ref="VCY26:VCZ26"/>
    <mergeCell ref="VCC26:VCD26"/>
    <mergeCell ref="VCE26:VCF26"/>
    <mergeCell ref="VCG26:VCH26"/>
    <mergeCell ref="VCI26:VCJ26"/>
    <mergeCell ref="VCK26:VCL26"/>
    <mergeCell ref="VCM26:VCN26"/>
    <mergeCell ref="VBQ26:VBR26"/>
    <mergeCell ref="VBS26:VBT26"/>
    <mergeCell ref="VBU26:VBV26"/>
    <mergeCell ref="VBW26:VBX26"/>
    <mergeCell ref="VBY26:VBZ26"/>
    <mergeCell ref="VCA26:VCB26"/>
    <mergeCell ref="VBE26:VBF26"/>
    <mergeCell ref="VBG26:VBH26"/>
    <mergeCell ref="VBI26:VBJ26"/>
    <mergeCell ref="VBK26:VBL26"/>
    <mergeCell ref="VBM26:VBN26"/>
    <mergeCell ref="VBO26:VBP26"/>
    <mergeCell ref="VGG26:VGH26"/>
    <mergeCell ref="VGI26:VGJ26"/>
    <mergeCell ref="VGK26:VGL26"/>
    <mergeCell ref="VGM26:VGN26"/>
    <mergeCell ref="VGO26:VGP26"/>
    <mergeCell ref="VGQ26:VGR26"/>
    <mergeCell ref="VFU26:VFV26"/>
    <mergeCell ref="VFW26:VFX26"/>
    <mergeCell ref="VFY26:VFZ26"/>
    <mergeCell ref="VGA26:VGB26"/>
    <mergeCell ref="VGC26:VGD26"/>
    <mergeCell ref="VGE26:VGF26"/>
    <mergeCell ref="VFI26:VFJ26"/>
    <mergeCell ref="VFK26:VFL26"/>
    <mergeCell ref="VFM26:VFN26"/>
    <mergeCell ref="VFO26:VFP26"/>
    <mergeCell ref="VFQ26:VFR26"/>
    <mergeCell ref="VFS26:VFT26"/>
    <mergeCell ref="VEW26:VEX26"/>
    <mergeCell ref="VEY26:VEZ26"/>
    <mergeCell ref="VFA26:VFB26"/>
    <mergeCell ref="VFC26:VFD26"/>
    <mergeCell ref="VFE26:VFF26"/>
    <mergeCell ref="VFG26:VFH26"/>
    <mergeCell ref="VEK26:VEL26"/>
    <mergeCell ref="VEM26:VEN26"/>
    <mergeCell ref="VEO26:VEP26"/>
    <mergeCell ref="VEQ26:VER26"/>
    <mergeCell ref="VES26:VET26"/>
    <mergeCell ref="VEU26:VEV26"/>
    <mergeCell ref="VDY26:VDZ26"/>
    <mergeCell ref="VEA26:VEB26"/>
    <mergeCell ref="VEC26:VED26"/>
    <mergeCell ref="VEE26:VEF26"/>
    <mergeCell ref="VEG26:VEH26"/>
    <mergeCell ref="VEI26:VEJ26"/>
    <mergeCell ref="VJA26:VJB26"/>
    <mergeCell ref="VJC26:VJD26"/>
    <mergeCell ref="VJE26:VJF26"/>
    <mergeCell ref="VJG26:VJH26"/>
    <mergeCell ref="VJI26:VJJ26"/>
    <mergeCell ref="VJK26:VJL26"/>
    <mergeCell ref="VIO26:VIP26"/>
    <mergeCell ref="VIQ26:VIR26"/>
    <mergeCell ref="VIS26:VIT26"/>
    <mergeCell ref="VIU26:VIV26"/>
    <mergeCell ref="VIW26:VIX26"/>
    <mergeCell ref="VIY26:VIZ26"/>
    <mergeCell ref="VIC26:VID26"/>
    <mergeCell ref="VIE26:VIF26"/>
    <mergeCell ref="VIG26:VIH26"/>
    <mergeCell ref="VII26:VIJ26"/>
    <mergeCell ref="VIK26:VIL26"/>
    <mergeCell ref="VIM26:VIN26"/>
    <mergeCell ref="VHQ26:VHR26"/>
    <mergeCell ref="VHS26:VHT26"/>
    <mergeCell ref="VHU26:VHV26"/>
    <mergeCell ref="VHW26:VHX26"/>
    <mergeCell ref="VHY26:VHZ26"/>
    <mergeCell ref="VIA26:VIB26"/>
    <mergeCell ref="VHE26:VHF26"/>
    <mergeCell ref="VHG26:VHH26"/>
    <mergeCell ref="VHI26:VHJ26"/>
    <mergeCell ref="VHK26:VHL26"/>
    <mergeCell ref="VHM26:VHN26"/>
    <mergeCell ref="VHO26:VHP26"/>
    <mergeCell ref="VGS26:VGT26"/>
    <mergeCell ref="VGU26:VGV26"/>
    <mergeCell ref="VGW26:VGX26"/>
    <mergeCell ref="VGY26:VGZ26"/>
    <mergeCell ref="VHA26:VHB26"/>
    <mergeCell ref="VHC26:VHD26"/>
    <mergeCell ref="VLU26:VLV26"/>
    <mergeCell ref="VLW26:VLX26"/>
    <mergeCell ref="VLY26:VLZ26"/>
    <mergeCell ref="VMA26:VMB26"/>
    <mergeCell ref="VMC26:VMD26"/>
    <mergeCell ref="VME26:VMF26"/>
    <mergeCell ref="VLI26:VLJ26"/>
    <mergeCell ref="VLK26:VLL26"/>
    <mergeCell ref="VLM26:VLN26"/>
    <mergeCell ref="VLO26:VLP26"/>
    <mergeCell ref="VLQ26:VLR26"/>
    <mergeCell ref="VLS26:VLT26"/>
    <mergeCell ref="VKW26:VKX26"/>
    <mergeCell ref="VKY26:VKZ26"/>
    <mergeCell ref="VLA26:VLB26"/>
    <mergeCell ref="VLC26:VLD26"/>
    <mergeCell ref="VLE26:VLF26"/>
    <mergeCell ref="VLG26:VLH26"/>
    <mergeCell ref="VKK26:VKL26"/>
    <mergeCell ref="VKM26:VKN26"/>
    <mergeCell ref="VKO26:VKP26"/>
    <mergeCell ref="VKQ26:VKR26"/>
    <mergeCell ref="VKS26:VKT26"/>
    <mergeCell ref="VKU26:VKV26"/>
    <mergeCell ref="VJY26:VJZ26"/>
    <mergeCell ref="VKA26:VKB26"/>
    <mergeCell ref="VKC26:VKD26"/>
    <mergeCell ref="VKE26:VKF26"/>
    <mergeCell ref="VKG26:VKH26"/>
    <mergeCell ref="VKI26:VKJ26"/>
    <mergeCell ref="VJM26:VJN26"/>
    <mergeCell ref="VJO26:VJP26"/>
    <mergeCell ref="VJQ26:VJR26"/>
    <mergeCell ref="VJS26:VJT26"/>
    <mergeCell ref="VJU26:VJV26"/>
    <mergeCell ref="VJW26:VJX26"/>
    <mergeCell ref="VOO26:VOP26"/>
    <mergeCell ref="VOQ26:VOR26"/>
    <mergeCell ref="VOS26:VOT26"/>
    <mergeCell ref="VOU26:VOV26"/>
    <mergeCell ref="VOW26:VOX26"/>
    <mergeCell ref="VOY26:VOZ26"/>
    <mergeCell ref="VOC26:VOD26"/>
    <mergeCell ref="VOE26:VOF26"/>
    <mergeCell ref="VOG26:VOH26"/>
    <mergeCell ref="VOI26:VOJ26"/>
    <mergeCell ref="VOK26:VOL26"/>
    <mergeCell ref="VOM26:VON26"/>
    <mergeCell ref="VNQ26:VNR26"/>
    <mergeCell ref="VNS26:VNT26"/>
    <mergeCell ref="VNU26:VNV26"/>
    <mergeCell ref="VNW26:VNX26"/>
    <mergeCell ref="VNY26:VNZ26"/>
    <mergeCell ref="VOA26:VOB26"/>
    <mergeCell ref="VNE26:VNF26"/>
    <mergeCell ref="VNG26:VNH26"/>
    <mergeCell ref="VNI26:VNJ26"/>
    <mergeCell ref="VNK26:VNL26"/>
    <mergeCell ref="VNM26:VNN26"/>
    <mergeCell ref="VNO26:VNP26"/>
    <mergeCell ref="VMS26:VMT26"/>
    <mergeCell ref="VMU26:VMV26"/>
    <mergeCell ref="VMW26:VMX26"/>
    <mergeCell ref="VMY26:VMZ26"/>
    <mergeCell ref="VNA26:VNB26"/>
    <mergeCell ref="VNC26:VND26"/>
    <mergeCell ref="VMG26:VMH26"/>
    <mergeCell ref="VMI26:VMJ26"/>
    <mergeCell ref="VMK26:VML26"/>
    <mergeCell ref="VMM26:VMN26"/>
    <mergeCell ref="VMO26:VMP26"/>
    <mergeCell ref="VMQ26:VMR26"/>
    <mergeCell ref="VRI26:VRJ26"/>
    <mergeCell ref="VRK26:VRL26"/>
    <mergeCell ref="VRM26:VRN26"/>
    <mergeCell ref="VRO26:VRP26"/>
    <mergeCell ref="VRQ26:VRR26"/>
    <mergeCell ref="VRS26:VRT26"/>
    <mergeCell ref="VQW26:VQX26"/>
    <mergeCell ref="VQY26:VQZ26"/>
    <mergeCell ref="VRA26:VRB26"/>
    <mergeCell ref="VRC26:VRD26"/>
    <mergeCell ref="VRE26:VRF26"/>
    <mergeCell ref="VRG26:VRH26"/>
    <mergeCell ref="VQK26:VQL26"/>
    <mergeCell ref="VQM26:VQN26"/>
    <mergeCell ref="VQO26:VQP26"/>
    <mergeCell ref="VQQ26:VQR26"/>
    <mergeCell ref="VQS26:VQT26"/>
    <mergeCell ref="VQU26:VQV26"/>
    <mergeCell ref="VPY26:VPZ26"/>
    <mergeCell ref="VQA26:VQB26"/>
    <mergeCell ref="VQC26:VQD26"/>
    <mergeCell ref="VQE26:VQF26"/>
    <mergeCell ref="VQG26:VQH26"/>
    <mergeCell ref="VQI26:VQJ26"/>
    <mergeCell ref="VPM26:VPN26"/>
    <mergeCell ref="VPO26:VPP26"/>
    <mergeCell ref="VPQ26:VPR26"/>
    <mergeCell ref="VPS26:VPT26"/>
    <mergeCell ref="VPU26:VPV26"/>
    <mergeCell ref="VPW26:VPX26"/>
    <mergeCell ref="VPA26:VPB26"/>
    <mergeCell ref="VPC26:VPD26"/>
    <mergeCell ref="VPE26:VPF26"/>
    <mergeCell ref="VPG26:VPH26"/>
    <mergeCell ref="VPI26:VPJ26"/>
    <mergeCell ref="VPK26:VPL26"/>
    <mergeCell ref="VUC26:VUD26"/>
    <mergeCell ref="VUE26:VUF26"/>
    <mergeCell ref="VUG26:VUH26"/>
    <mergeCell ref="VUI26:VUJ26"/>
    <mergeCell ref="VUK26:VUL26"/>
    <mergeCell ref="VUM26:VUN26"/>
    <mergeCell ref="VTQ26:VTR26"/>
    <mergeCell ref="VTS26:VTT26"/>
    <mergeCell ref="VTU26:VTV26"/>
    <mergeCell ref="VTW26:VTX26"/>
    <mergeCell ref="VTY26:VTZ26"/>
    <mergeCell ref="VUA26:VUB26"/>
    <mergeCell ref="VTE26:VTF26"/>
    <mergeCell ref="VTG26:VTH26"/>
    <mergeCell ref="VTI26:VTJ26"/>
    <mergeCell ref="VTK26:VTL26"/>
    <mergeCell ref="VTM26:VTN26"/>
    <mergeCell ref="VTO26:VTP26"/>
    <mergeCell ref="VSS26:VST26"/>
    <mergeCell ref="VSU26:VSV26"/>
    <mergeCell ref="VSW26:VSX26"/>
    <mergeCell ref="VSY26:VSZ26"/>
    <mergeCell ref="VTA26:VTB26"/>
    <mergeCell ref="VTC26:VTD26"/>
    <mergeCell ref="VSG26:VSH26"/>
    <mergeCell ref="VSI26:VSJ26"/>
    <mergeCell ref="VSK26:VSL26"/>
    <mergeCell ref="VSM26:VSN26"/>
    <mergeCell ref="VSO26:VSP26"/>
    <mergeCell ref="VSQ26:VSR26"/>
    <mergeCell ref="VRU26:VRV26"/>
    <mergeCell ref="VRW26:VRX26"/>
    <mergeCell ref="VRY26:VRZ26"/>
    <mergeCell ref="VSA26:VSB26"/>
    <mergeCell ref="VSC26:VSD26"/>
    <mergeCell ref="VSE26:VSF26"/>
    <mergeCell ref="VWW26:VWX26"/>
    <mergeCell ref="VWY26:VWZ26"/>
    <mergeCell ref="VXA26:VXB26"/>
    <mergeCell ref="VXC26:VXD26"/>
    <mergeCell ref="VXE26:VXF26"/>
    <mergeCell ref="VXG26:VXH26"/>
    <mergeCell ref="VWK26:VWL26"/>
    <mergeCell ref="VWM26:VWN26"/>
    <mergeCell ref="VWO26:VWP26"/>
    <mergeCell ref="VWQ26:VWR26"/>
    <mergeCell ref="VWS26:VWT26"/>
    <mergeCell ref="VWU26:VWV26"/>
    <mergeCell ref="VVY26:VVZ26"/>
    <mergeCell ref="VWA26:VWB26"/>
    <mergeCell ref="VWC26:VWD26"/>
    <mergeCell ref="VWE26:VWF26"/>
    <mergeCell ref="VWG26:VWH26"/>
    <mergeCell ref="VWI26:VWJ26"/>
    <mergeCell ref="VVM26:VVN26"/>
    <mergeCell ref="VVO26:VVP26"/>
    <mergeCell ref="VVQ26:VVR26"/>
    <mergeCell ref="VVS26:VVT26"/>
    <mergeCell ref="VVU26:VVV26"/>
    <mergeCell ref="VVW26:VVX26"/>
    <mergeCell ref="VVA26:VVB26"/>
    <mergeCell ref="VVC26:VVD26"/>
    <mergeCell ref="VVE26:VVF26"/>
    <mergeCell ref="VVG26:VVH26"/>
    <mergeCell ref="VVI26:VVJ26"/>
    <mergeCell ref="VVK26:VVL26"/>
    <mergeCell ref="VUO26:VUP26"/>
    <mergeCell ref="VUQ26:VUR26"/>
    <mergeCell ref="VUS26:VUT26"/>
    <mergeCell ref="VUU26:VUV26"/>
    <mergeCell ref="VUW26:VUX26"/>
    <mergeCell ref="VUY26:VUZ26"/>
    <mergeCell ref="VZQ26:VZR26"/>
    <mergeCell ref="VZS26:VZT26"/>
    <mergeCell ref="VZU26:VZV26"/>
    <mergeCell ref="VZW26:VZX26"/>
    <mergeCell ref="VZY26:VZZ26"/>
    <mergeCell ref="WAA26:WAB26"/>
    <mergeCell ref="VZE26:VZF26"/>
    <mergeCell ref="VZG26:VZH26"/>
    <mergeCell ref="VZI26:VZJ26"/>
    <mergeCell ref="VZK26:VZL26"/>
    <mergeCell ref="VZM26:VZN26"/>
    <mergeCell ref="VZO26:VZP26"/>
    <mergeCell ref="VYS26:VYT26"/>
    <mergeCell ref="VYU26:VYV26"/>
    <mergeCell ref="VYW26:VYX26"/>
    <mergeCell ref="VYY26:VYZ26"/>
    <mergeCell ref="VZA26:VZB26"/>
    <mergeCell ref="VZC26:VZD26"/>
    <mergeCell ref="VYG26:VYH26"/>
    <mergeCell ref="VYI26:VYJ26"/>
    <mergeCell ref="VYK26:VYL26"/>
    <mergeCell ref="VYM26:VYN26"/>
    <mergeCell ref="VYO26:VYP26"/>
    <mergeCell ref="VYQ26:VYR26"/>
    <mergeCell ref="VXU26:VXV26"/>
    <mergeCell ref="VXW26:VXX26"/>
    <mergeCell ref="VXY26:VXZ26"/>
    <mergeCell ref="VYA26:VYB26"/>
    <mergeCell ref="VYC26:VYD26"/>
    <mergeCell ref="VYE26:VYF26"/>
    <mergeCell ref="VXI26:VXJ26"/>
    <mergeCell ref="VXK26:VXL26"/>
    <mergeCell ref="VXM26:VXN26"/>
    <mergeCell ref="VXO26:VXP26"/>
    <mergeCell ref="VXQ26:VXR26"/>
    <mergeCell ref="VXS26:VXT26"/>
    <mergeCell ref="WCK26:WCL26"/>
    <mergeCell ref="WCM26:WCN26"/>
    <mergeCell ref="WCO26:WCP26"/>
    <mergeCell ref="WCQ26:WCR26"/>
    <mergeCell ref="WCS26:WCT26"/>
    <mergeCell ref="WCU26:WCV26"/>
    <mergeCell ref="WBY26:WBZ26"/>
    <mergeCell ref="WCA26:WCB26"/>
    <mergeCell ref="WCC26:WCD26"/>
    <mergeCell ref="WCE26:WCF26"/>
    <mergeCell ref="WCG26:WCH26"/>
    <mergeCell ref="WCI26:WCJ26"/>
    <mergeCell ref="WBM26:WBN26"/>
    <mergeCell ref="WBO26:WBP26"/>
    <mergeCell ref="WBQ26:WBR26"/>
    <mergeCell ref="WBS26:WBT26"/>
    <mergeCell ref="WBU26:WBV26"/>
    <mergeCell ref="WBW26:WBX26"/>
    <mergeCell ref="WBA26:WBB26"/>
    <mergeCell ref="WBC26:WBD26"/>
    <mergeCell ref="WBE26:WBF26"/>
    <mergeCell ref="WBG26:WBH26"/>
    <mergeCell ref="WBI26:WBJ26"/>
    <mergeCell ref="WBK26:WBL26"/>
    <mergeCell ref="WAO26:WAP26"/>
    <mergeCell ref="WAQ26:WAR26"/>
    <mergeCell ref="WAS26:WAT26"/>
    <mergeCell ref="WAU26:WAV26"/>
    <mergeCell ref="WAW26:WAX26"/>
    <mergeCell ref="WAY26:WAZ26"/>
    <mergeCell ref="WAC26:WAD26"/>
    <mergeCell ref="WAE26:WAF26"/>
    <mergeCell ref="WAG26:WAH26"/>
    <mergeCell ref="WAI26:WAJ26"/>
    <mergeCell ref="WAK26:WAL26"/>
    <mergeCell ref="WAM26:WAN26"/>
    <mergeCell ref="WFE26:WFF26"/>
    <mergeCell ref="WFG26:WFH26"/>
    <mergeCell ref="WFI26:WFJ26"/>
    <mergeCell ref="WFK26:WFL26"/>
    <mergeCell ref="WFM26:WFN26"/>
    <mergeCell ref="WFO26:WFP26"/>
    <mergeCell ref="WES26:WET26"/>
    <mergeCell ref="WEU26:WEV26"/>
    <mergeCell ref="WEW26:WEX26"/>
    <mergeCell ref="WEY26:WEZ26"/>
    <mergeCell ref="WFA26:WFB26"/>
    <mergeCell ref="WFC26:WFD26"/>
    <mergeCell ref="WEG26:WEH26"/>
    <mergeCell ref="WEI26:WEJ26"/>
    <mergeCell ref="WEK26:WEL26"/>
    <mergeCell ref="WEM26:WEN26"/>
    <mergeCell ref="WEO26:WEP26"/>
    <mergeCell ref="WEQ26:WER26"/>
    <mergeCell ref="WDU26:WDV26"/>
    <mergeCell ref="WDW26:WDX26"/>
    <mergeCell ref="WDY26:WDZ26"/>
    <mergeCell ref="WEA26:WEB26"/>
    <mergeCell ref="WEC26:WED26"/>
    <mergeCell ref="WEE26:WEF26"/>
    <mergeCell ref="WDI26:WDJ26"/>
    <mergeCell ref="WDK26:WDL26"/>
    <mergeCell ref="WDM26:WDN26"/>
    <mergeCell ref="WDO26:WDP26"/>
    <mergeCell ref="WDQ26:WDR26"/>
    <mergeCell ref="WDS26:WDT26"/>
    <mergeCell ref="WCW26:WCX26"/>
    <mergeCell ref="WCY26:WCZ26"/>
    <mergeCell ref="WDA26:WDB26"/>
    <mergeCell ref="WDC26:WDD26"/>
    <mergeCell ref="WDE26:WDF26"/>
    <mergeCell ref="WDG26:WDH26"/>
    <mergeCell ref="WHY26:WHZ26"/>
    <mergeCell ref="WIA26:WIB26"/>
    <mergeCell ref="WIC26:WID26"/>
    <mergeCell ref="WIE26:WIF26"/>
    <mergeCell ref="WIG26:WIH26"/>
    <mergeCell ref="WII26:WIJ26"/>
    <mergeCell ref="WHM26:WHN26"/>
    <mergeCell ref="WHO26:WHP26"/>
    <mergeCell ref="WHQ26:WHR26"/>
    <mergeCell ref="WHS26:WHT26"/>
    <mergeCell ref="WHU26:WHV26"/>
    <mergeCell ref="WHW26:WHX26"/>
    <mergeCell ref="WHA26:WHB26"/>
    <mergeCell ref="WHC26:WHD26"/>
    <mergeCell ref="WHE26:WHF26"/>
    <mergeCell ref="WHG26:WHH26"/>
    <mergeCell ref="WHI26:WHJ26"/>
    <mergeCell ref="WHK26:WHL26"/>
    <mergeCell ref="WGO26:WGP26"/>
    <mergeCell ref="WGQ26:WGR26"/>
    <mergeCell ref="WGS26:WGT26"/>
    <mergeCell ref="WGU26:WGV26"/>
    <mergeCell ref="WGW26:WGX26"/>
    <mergeCell ref="WGY26:WGZ26"/>
    <mergeCell ref="WGC26:WGD26"/>
    <mergeCell ref="WGE26:WGF26"/>
    <mergeCell ref="WGG26:WGH26"/>
    <mergeCell ref="WGI26:WGJ26"/>
    <mergeCell ref="WGK26:WGL26"/>
    <mergeCell ref="WGM26:WGN26"/>
    <mergeCell ref="WFQ26:WFR26"/>
    <mergeCell ref="WFS26:WFT26"/>
    <mergeCell ref="WFU26:WFV26"/>
    <mergeCell ref="WFW26:WFX26"/>
    <mergeCell ref="WFY26:WFZ26"/>
    <mergeCell ref="WGA26:WGB26"/>
    <mergeCell ref="WKS26:WKT26"/>
    <mergeCell ref="WKU26:WKV26"/>
    <mergeCell ref="WKW26:WKX26"/>
    <mergeCell ref="WKY26:WKZ26"/>
    <mergeCell ref="WLA26:WLB26"/>
    <mergeCell ref="WLC26:WLD26"/>
    <mergeCell ref="WKG26:WKH26"/>
    <mergeCell ref="WKI26:WKJ26"/>
    <mergeCell ref="WKK26:WKL26"/>
    <mergeCell ref="WKM26:WKN26"/>
    <mergeCell ref="WKO26:WKP26"/>
    <mergeCell ref="WKQ26:WKR26"/>
    <mergeCell ref="WJU26:WJV26"/>
    <mergeCell ref="WJW26:WJX26"/>
    <mergeCell ref="WJY26:WJZ26"/>
    <mergeCell ref="WKA26:WKB26"/>
    <mergeCell ref="WKC26:WKD26"/>
    <mergeCell ref="WKE26:WKF26"/>
    <mergeCell ref="WJI26:WJJ26"/>
    <mergeCell ref="WJK26:WJL26"/>
    <mergeCell ref="WJM26:WJN26"/>
    <mergeCell ref="WJO26:WJP26"/>
    <mergeCell ref="WJQ26:WJR26"/>
    <mergeCell ref="WJS26:WJT26"/>
    <mergeCell ref="WIW26:WIX26"/>
    <mergeCell ref="WIY26:WIZ26"/>
    <mergeCell ref="WJA26:WJB26"/>
    <mergeCell ref="WJC26:WJD26"/>
    <mergeCell ref="WJE26:WJF26"/>
    <mergeCell ref="WJG26:WJH26"/>
    <mergeCell ref="WIK26:WIL26"/>
    <mergeCell ref="WIM26:WIN26"/>
    <mergeCell ref="WIO26:WIP26"/>
    <mergeCell ref="WIQ26:WIR26"/>
    <mergeCell ref="WIS26:WIT26"/>
    <mergeCell ref="WIU26:WIV26"/>
    <mergeCell ref="WNM26:WNN26"/>
    <mergeCell ref="WNO26:WNP26"/>
    <mergeCell ref="WNQ26:WNR26"/>
    <mergeCell ref="WNS26:WNT26"/>
    <mergeCell ref="WNU26:WNV26"/>
    <mergeCell ref="WNW26:WNX26"/>
    <mergeCell ref="WNA26:WNB26"/>
    <mergeCell ref="WNC26:WND26"/>
    <mergeCell ref="WNE26:WNF26"/>
    <mergeCell ref="WNG26:WNH26"/>
    <mergeCell ref="WNI26:WNJ26"/>
    <mergeCell ref="WNK26:WNL26"/>
    <mergeCell ref="WMO26:WMP26"/>
    <mergeCell ref="WMQ26:WMR26"/>
    <mergeCell ref="WMS26:WMT26"/>
    <mergeCell ref="WMU26:WMV26"/>
    <mergeCell ref="WMW26:WMX26"/>
    <mergeCell ref="WMY26:WMZ26"/>
    <mergeCell ref="WMC26:WMD26"/>
    <mergeCell ref="WME26:WMF26"/>
    <mergeCell ref="WMG26:WMH26"/>
    <mergeCell ref="WMI26:WMJ26"/>
    <mergeCell ref="WMK26:WML26"/>
    <mergeCell ref="WMM26:WMN26"/>
    <mergeCell ref="WLQ26:WLR26"/>
    <mergeCell ref="WLS26:WLT26"/>
    <mergeCell ref="WLU26:WLV26"/>
    <mergeCell ref="WLW26:WLX26"/>
    <mergeCell ref="WLY26:WLZ26"/>
    <mergeCell ref="WMA26:WMB26"/>
    <mergeCell ref="WLE26:WLF26"/>
    <mergeCell ref="WLG26:WLH26"/>
    <mergeCell ref="WLI26:WLJ26"/>
    <mergeCell ref="WLK26:WLL26"/>
    <mergeCell ref="WLM26:WLN26"/>
    <mergeCell ref="WLO26:WLP26"/>
    <mergeCell ref="WQG26:WQH26"/>
    <mergeCell ref="WQI26:WQJ26"/>
    <mergeCell ref="WQK26:WQL26"/>
    <mergeCell ref="WQM26:WQN26"/>
    <mergeCell ref="WQO26:WQP26"/>
    <mergeCell ref="WQQ26:WQR26"/>
    <mergeCell ref="WPU26:WPV26"/>
    <mergeCell ref="WPW26:WPX26"/>
    <mergeCell ref="WPY26:WPZ26"/>
    <mergeCell ref="WQA26:WQB26"/>
    <mergeCell ref="WQC26:WQD26"/>
    <mergeCell ref="WQE26:WQF26"/>
    <mergeCell ref="WPI26:WPJ26"/>
    <mergeCell ref="WPK26:WPL26"/>
    <mergeCell ref="WPM26:WPN26"/>
    <mergeCell ref="WPO26:WPP26"/>
    <mergeCell ref="WPQ26:WPR26"/>
    <mergeCell ref="WPS26:WPT26"/>
    <mergeCell ref="WOW26:WOX26"/>
    <mergeCell ref="WOY26:WOZ26"/>
    <mergeCell ref="WPA26:WPB26"/>
    <mergeCell ref="WPC26:WPD26"/>
    <mergeCell ref="WPE26:WPF26"/>
    <mergeCell ref="WPG26:WPH26"/>
    <mergeCell ref="WOK26:WOL26"/>
    <mergeCell ref="WOM26:WON26"/>
    <mergeCell ref="WOO26:WOP26"/>
    <mergeCell ref="WOQ26:WOR26"/>
    <mergeCell ref="WOS26:WOT26"/>
    <mergeCell ref="WOU26:WOV26"/>
    <mergeCell ref="WNY26:WNZ26"/>
    <mergeCell ref="WOA26:WOB26"/>
    <mergeCell ref="WOC26:WOD26"/>
    <mergeCell ref="WOE26:WOF26"/>
    <mergeCell ref="WOG26:WOH26"/>
    <mergeCell ref="WOI26:WOJ26"/>
    <mergeCell ref="WTA26:WTB26"/>
    <mergeCell ref="WTC26:WTD26"/>
    <mergeCell ref="WTE26:WTF26"/>
    <mergeCell ref="WTG26:WTH26"/>
    <mergeCell ref="WTI26:WTJ26"/>
    <mergeCell ref="WTK26:WTL26"/>
    <mergeCell ref="WSO26:WSP26"/>
    <mergeCell ref="WSQ26:WSR26"/>
    <mergeCell ref="WSS26:WST26"/>
    <mergeCell ref="WSU26:WSV26"/>
    <mergeCell ref="WSW26:WSX26"/>
    <mergeCell ref="WSY26:WSZ26"/>
    <mergeCell ref="WSC26:WSD26"/>
    <mergeCell ref="WSE26:WSF26"/>
    <mergeCell ref="WSG26:WSH26"/>
    <mergeCell ref="WSI26:WSJ26"/>
    <mergeCell ref="WSK26:WSL26"/>
    <mergeCell ref="WSM26:WSN26"/>
    <mergeCell ref="WRQ26:WRR26"/>
    <mergeCell ref="WRS26:WRT26"/>
    <mergeCell ref="WRU26:WRV26"/>
    <mergeCell ref="WRW26:WRX26"/>
    <mergeCell ref="WRY26:WRZ26"/>
    <mergeCell ref="WSA26:WSB26"/>
    <mergeCell ref="WRE26:WRF26"/>
    <mergeCell ref="WRG26:WRH26"/>
    <mergeCell ref="WRI26:WRJ26"/>
    <mergeCell ref="WRK26:WRL26"/>
    <mergeCell ref="WRM26:WRN26"/>
    <mergeCell ref="WRO26:WRP26"/>
    <mergeCell ref="WQS26:WQT26"/>
    <mergeCell ref="WQU26:WQV26"/>
    <mergeCell ref="WQW26:WQX26"/>
    <mergeCell ref="WQY26:WQZ26"/>
    <mergeCell ref="WRA26:WRB26"/>
    <mergeCell ref="WRC26:WRD26"/>
    <mergeCell ref="WVU26:WVV26"/>
    <mergeCell ref="WVW26:WVX26"/>
    <mergeCell ref="WVY26:WVZ26"/>
    <mergeCell ref="WWA26:WWB26"/>
    <mergeCell ref="WWC26:WWD26"/>
    <mergeCell ref="WWE26:WWF26"/>
    <mergeCell ref="WVI26:WVJ26"/>
    <mergeCell ref="WVK26:WVL26"/>
    <mergeCell ref="WVM26:WVN26"/>
    <mergeCell ref="WVO26:WVP26"/>
    <mergeCell ref="WVQ26:WVR26"/>
    <mergeCell ref="WVS26:WVT26"/>
    <mergeCell ref="WUW26:WUX26"/>
    <mergeCell ref="WUY26:WUZ26"/>
    <mergeCell ref="WVA26:WVB26"/>
    <mergeCell ref="WVC26:WVD26"/>
    <mergeCell ref="WVE26:WVF26"/>
    <mergeCell ref="WVG26:WVH26"/>
    <mergeCell ref="WUK26:WUL26"/>
    <mergeCell ref="WUM26:WUN26"/>
    <mergeCell ref="WUO26:WUP26"/>
    <mergeCell ref="WUQ26:WUR26"/>
    <mergeCell ref="WUS26:WUT26"/>
    <mergeCell ref="WUU26:WUV26"/>
    <mergeCell ref="WTY26:WTZ26"/>
    <mergeCell ref="WUA26:WUB26"/>
    <mergeCell ref="WUC26:WUD26"/>
    <mergeCell ref="WUE26:WUF26"/>
    <mergeCell ref="WUG26:WUH26"/>
    <mergeCell ref="WUI26:WUJ26"/>
    <mergeCell ref="WTM26:WTN26"/>
    <mergeCell ref="WTO26:WTP26"/>
    <mergeCell ref="WTQ26:WTR26"/>
    <mergeCell ref="WTS26:WTT26"/>
    <mergeCell ref="WTU26:WTV26"/>
    <mergeCell ref="WTW26:WTX26"/>
    <mergeCell ref="WYO26:WYP26"/>
    <mergeCell ref="WYQ26:WYR26"/>
    <mergeCell ref="WYS26:WYT26"/>
    <mergeCell ref="WYU26:WYV26"/>
    <mergeCell ref="WYW26:WYX26"/>
    <mergeCell ref="WYY26:WYZ26"/>
    <mergeCell ref="WYC26:WYD26"/>
    <mergeCell ref="WYE26:WYF26"/>
    <mergeCell ref="WYG26:WYH26"/>
    <mergeCell ref="WYI26:WYJ26"/>
    <mergeCell ref="WYK26:WYL26"/>
    <mergeCell ref="WYM26:WYN26"/>
    <mergeCell ref="WXQ26:WXR26"/>
    <mergeCell ref="WXS26:WXT26"/>
    <mergeCell ref="WXU26:WXV26"/>
    <mergeCell ref="WXW26:WXX26"/>
    <mergeCell ref="WXY26:WXZ26"/>
    <mergeCell ref="WYA26:WYB26"/>
    <mergeCell ref="WXE26:WXF26"/>
    <mergeCell ref="WXG26:WXH26"/>
    <mergeCell ref="WXI26:WXJ26"/>
    <mergeCell ref="WXK26:WXL26"/>
    <mergeCell ref="WXM26:WXN26"/>
    <mergeCell ref="WXO26:WXP26"/>
    <mergeCell ref="WWS26:WWT26"/>
    <mergeCell ref="WWU26:WWV26"/>
    <mergeCell ref="WWW26:WWX26"/>
    <mergeCell ref="WWY26:WWZ26"/>
    <mergeCell ref="WXA26:WXB26"/>
    <mergeCell ref="WXC26:WXD26"/>
    <mergeCell ref="WWG26:WWH26"/>
    <mergeCell ref="WWI26:WWJ26"/>
    <mergeCell ref="WWK26:WWL26"/>
    <mergeCell ref="WWM26:WWN26"/>
    <mergeCell ref="WWO26:WWP26"/>
    <mergeCell ref="WWQ26:WWR26"/>
    <mergeCell ref="XBI26:XBJ26"/>
    <mergeCell ref="XBK26:XBL26"/>
    <mergeCell ref="XBM26:XBN26"/>
    <mergeCell ref="XBO26:XBP26"/>
    <mergeCell ref="XBQ26:XBR26"/>
    <mergeCell ref="XBS26:XBT26"/>
    <mergeCell ref="XAW26:XAX26"/>
    <mergeCell ref="XAY26:XAZ26"/>
    <mergeCell ref="XBA26:XBB26"/>
    <mergeCell ref="XBC26:XBD26"/>
    <mergeCell ref="XBE26:XBF26"/>
    <mergeCell ref="XBG26:XBH26"/>
    <mergeCell ref="XAK26:XAL26"/>
    <mergeCell ref="XAM26:XAN26"/>
    <mergeCell ref="XAO26:XAP26"/>
    <mergeCell ref="XAQ26:XAR26"/>
    <mergeCell ref="XAS26:XAT26"/>
    <mergeCell ref="XAU26:XAV26"/>
    <mergeCell ref="WZY26:WZZ26"/>
    <mergeCell ref="XAA26:XAB26"/>
    <mergeCell ref="XAC26:XAD26"/>
    <mergeCell ref="XAE26:XAF26"/>
    <mergeCell ref="XAG26:XAH26"/>
    <mergeCell ref="XAI26:XAJ26"/>
    <mergeCell ref="WZM26:WZN26"/>
    <mergeCell ref="WZO26:WZP26"/>
    <mergeCell ref="WZQ26:WZR26"/>
    <mergeCell ref="WZS26:WZT26"/>
    <mergeCell ref="WZU26:WZV26"/>
    <mergeCell ref="WZW26:WZX26"/>
    <mergeCell ref="WZA26:WZB26"/>
    <mergeCell ref="WZC26:WZD26"/>
    <mergeCell ref="WZE26:WZF26"/>
    <mergeCell ref="WZG26:WZH26"/>
    <mergeCell ref="WZI26:WZJ26"/>
    <mergeCell ref="WZK26:WZL26"/>
    <mergeCell ref="AC27:AD27"/>
    <mergeCell ref="AE27:AF27"/>
    <mergeCell ref="AG27:AH27"/>
    <mergeCell ref="AI27:AJ27"/>
    <mergeCell ref="AK27:AL27"/>
    <mergeCell ref="AM27:AN27"/>
    <mergeCell ref="Q27:R27"/>
    <mergeCell ref="S27:T27"/>
    <mergeCell ref="U27:V27"/>
    <mergeCell ref="W27:X27"/>
    <mergeCell ref="Y27:Z27"/>
    <mergeCell ref="AA27:AB27"/>
    <mergeCell ref="XFA26:XFB26"/>
    <mergeCell ref="XFC26:XFD26"/>
    <mergeCell ref="A27:B27"/>
    <mergeCell ref="C27:D27"/>
    <mergeCell ref="E27:F27"/>
    <mergeCell ref="G27:H27"/>
    <mergeCell ref="I27:J27"/>
    <mergeCell ref="K27:L27"/>
    <mergeCell ref="M27:N27"/>
    <mergeCell ref="O27:P27"/>
    <mergeCell ref="XEO26:XEP26"/>
    <mergeCell ref="XEQ26:XER26"/>
    <mergeCell ref="XES26:XET26"/>
    <mergeCell ref="XEU26:XEV26"/>
    <mergeCell ref="XEW26:XEX26"/>
    <mergeCell ref="XEY26:XEZ26"/>
    <mergeCell ref="XEC26:XED26"/>
    <mergeCell ref="XEE26:XEF26"/>
    <mergeCell ref="XEG26:XEH26"/>
    <mergeCell ref="XEI26:XEJ26"/>
    <mergeCell ref="XEK26:XEL26"/>
    <mergeCell ref="XEM26:XEN26"/>
    <mergeCell ref="XDQ26:XDR26"/>
    <mergeCell ref="XDS26:XDT26"/>
    <mergeCell ref="XDU26:XDV26"/>
    <mergeCell ref="XDW26:XDX26"/>
    <mergeCell ref="XDY26:XDZ26"/>
    <mergeCell ref="XEA26:XEB26"/>
    <mergeCell ref="XDE26:XDF26"/>
    <mergeCell ref="XDG26:XDH26"/>
    <mergeCell ref="XDI26:XDJ26"/>
    <mergeCell ref="XDK26:XDL26"/>
    <mergeCell ref="XDM26:XDN26"/>
    <mergeCell ref="XDO26:XDP26"/>
    <mergeCell ref="XCS26:XCT26"/>
    <mergeCell ref="XCU26:XCV26"/>
    <mergeCell ref="XCW26:XCX26"/>
    <mergeCell ref="XCY26:XCZ26"/>
    <mergeCell ref="XDA26:XDB26"/>
    <mergeCell ref="XDC26:XDD26"/>
    <mergeCell ref="XCG26:XCH26"/>
    <mergeCell ref="XCI26:XCJ26"/>
    <mergeCell ref="XCK26:XCL26"/>
    <mergeCell ref="XCM26:XCN26"/>
    <mergeCell ref="XCO26:XCP26"/>
    <mergeCell ref="XCQ26:XCR26"/>
    <mergeCell ref="XBU26:XBV26"/>
    <mergeCell ref="XBW26:XBX26"/>
    <mergeCell ref="XBY26:XBZ26"/>
    <mergeCell ref="XCA26:XCB26"/>
    <mergeCell ref="XCC26:XCD26"/>
    <mergeCell ref="XCE26:XCF26"/>
    <mergeCell ref="CW27:CX27"/>
    <mergeCell ref="CY27:CZ27"/>
    <mergeCell ref="DA27:DB27"/>
    <mergeCell ref="DC27:DD27"/>
    <mergeCell ref="DE27:DF27"/>
    <mergeCell ref="DG27:DH27"/>
    <mergeCell ref="CK27:CL27"/>
    <mergeCell ref="CM27:CN27"/>
    <mergeCell ref="CO27:CP27"/>
    <mergeCell ref="CQ27:CR27"/>
    <mergeCell ref="CS27:CT27"/>
    <mergeCell ref="CU27:CV27"/>
    <mergeCell ref="BY27:BZ27"/>
    <mergeCell ref="CA27:CB27"/>
    <mergeCell ref="CC27:CD27"/>
    <mergeCell ref="CE27:CF27"/>
    <mergeCell ref="CG27:CH27"/>
    <mergeCell ref="CI27:CJ27"/>
    <mergeCell ref="BM27:BN27"/>
    <mergeCell ref="BO27:BP27"/>
    <mergeCell ref="BQ27:BR27"/>
    <mergeCell ref="BS27:BT27"/>
    <mergeCell ref="BU27:BV27"/>
    <mergeCell ref="BW27:BX27"/>
    <mergeCell ref="BA27:BB27"/>
    <mergeCell ref="BC27:BD27"/>
    <mergeCell ref="BE27:BF27"/>
    <mergeCell ref="BG27:BH27"/>
    <mergeCell ref="BI27:BJ27"/>
    <mergeCell ref="BK27:BL27"/>
    <mergeCell ref="AO27:AP27"/>
    <mergeCell ref="AQ27:AR27"/>
    <mergeCell ref="AS27:AT27"/>
    <mergeCell ref="AU27:AV27"/>
    <mergeCell ref="AW27:AX27"/>
    <mergeCell ref="AY27:AZ27"/>
    <mergeCell ref="FQ27:FR27"/>
    <mergeCell ref="FS27:FT27"/>
    <mergeCell ref="FU27:FV27"/>
    <mergeCell ref="FW27:FX27"/>
    <mergeCell ref="FY27:FZ27"/>
    <mergeCell ref="GA27:GB27"/>
    <mergeCell ref="FE27:FF27"/>
    <mergeCell ref="FG27:FH27"/>
    <mergeCell ref="FI27:FJ27"/>
    <mergeCell ref="FK27:FL27"/>
    <mergeCell ref="FM27:FN27"/>
    <mergeCell ref="FO27:FP27"/>
    <mergeCell ref="ES27:ET27"/>
    <mergeCell ref="EU27:EV27"/>
    <mergeCell ref="EW27:EX27"/>
    <mergeCell ref="EY27:EZ27"/>
    <mergeCell ref="FA27:FB27"/>
    <mergeCell ref="FC27:FD27"/>
    <mergeCell ref="EG27:EH27"/>
    <mergeCell ref="EI27:EJ27"/>
    <mergeCell ref="EK27:EL27"/>
    <mergeCell ref="EM27:EN27"/>
    <mergeCell ref="EO27:EP27"/>
    <mergeCell ref="EQ27:ER27"/>
    <mergeCell ref="DU27:DV27"/>
    <mergeCell ref="DW27:DX27"/>
    <mergeCell ref="DY27:DZ27"/>
    <mergeCell ref="EA27:EB27"/>
    <mergeCell ref="EC27:ED27"/>
    <mergeCell ref="EE27:EF27"/>
    <mergeCell ref="DI27:DJ27"/>
    <mergeCell ref="DK27:DL27"/>
    <mergeCell ref="DM27:DN27"/>
    <mergeCell ref="DO27:DP27"/>
    <mergeCell ref="DQ27:DR27"/>
    <mergeCell ref="DS27:DT27"/>
    <mergeCell ref="IK27:IL27"/>
    <mergeCell ref="IM27:IN27"/>
    <mergeCell ref="IO27:IP27"/>
    <mergeCell ref="IQ27:IR27"/>
    <mergeCell ref="IS27:IT27"/>
    <mergeCell ref="IU27:IV27"/>
    <mergeCell ref="HY27:HZ27"/>
    <mergeCell ref="IA27:IB27"/>
    <mergeCell ref="IC27:ID27"/>
    <mergeCell ref="IE27:IF27"/>
    <mergeCell ref="IG27:IH27"/>
    <mergeCell ref="II27:IJ27"/>
    <mergeCell ref="HM27:HN27"/>
    <mergeCell ref="HO27:HP27"/>
    <mergeCell ref="HQ27:HR27"/>
    <mergeCell ref="HS27:HT27"/>
    <mergeCell ref="HU27:HV27"/>
    <mergeCell ref="HW27:HX27"/>
    <mergeCell ref="HA27:HB27"/>
    <mergeCell ref="HC27:HD27"/>
    <mergeCell ref="HE27:HF27"/>
    <mergeCell ref="HG27:HH27"/>
    <mergeCell ref="HI27:HJ27"/>
    <mergeCell ref="HK27:HL27"/>
    <mergeCell ref="GO27:GP27"/>
    <mergeCell ref="GQ27:GR27"/>
    <mergeCell ref="GS27:GT27"/>
    <mergeCell ref="GU27:GV27"/>
    <mergeCell ref="GW27:GX27"/>
    <mergeCell ref="GY27:GZ27"/>
    <mergeCell ref="GC27:GD27"/>
    <mergeCell ref="GE27:GF27"/>
    <mergeCell ref="GG27:GH27"/>
    <mergeCell ref="GI27:GJ27"/>
    <mergeCell ref="GK27:GL27"/>
    <mergeCell ref="GM27:GN27"/>
    <mergeCell ref="LE27:LF27"/>
    <mergeCell ref="LG27:LH27"/>
    <mergeCell ref="LI27:LJ27"/>
    <mergeCell ref="LK27:LL27"/>
    <mergeCell ref="LM27:LN27"/>
    <mergeCell ref="LO27:LP27"/>
    <mergeCell ref="KS27:KT27"/>
    <mergeCell ref="KU27:KV27"/>
    <mergeCell ref="KW27:KX27"/>
    <mergeCell ref="KY27:KZ27"/>
    <mergeCell ref="LA27:LB27"/>
    <mergeCell ref="LC27:LD27"/>
    <mergeCell ref="KG27:KH27"/>
    <mergeCell ref="KI27:KJ27"/>
    <mergeCell ref="KK27:KL27"/>
    <mergeCell ref="KM27:KN27"/>
    <mergeCell ref="KO27:KP27"/>
    <mergeCell ref="KQ27:KR27"/>
    <mergeCell ref="JU27:JV27"/>
    <mergeCell ref="JW27:JX27"/>
    <mergeCell ref="JY27:JZ27"/>
    <mergeCell ref="KA27:KB27"/>
    <mergeCell ref="KC27:KD27"/>
    <mergeCell ref="KE27:KF27"/>
    <mergeCell ref="JI27:JJ27"/>
    <mergeCell ref="JK27:JL27"/>
    <mergeCell ref="JM27:JN27"/>
    <mergeCell ref="JO27:JP27"/>
    <mergeCell ref="JQ27:JR27"/>
    <mergeCell ref="JS27:JT27"/>
    <mergeCell ref="IW27:IX27"/>
    <mergeCell ref="IY27:IZ27"/>
    <mergeCell ref="JA27:JB27"/>
    <mergeCell ref="JC27:JD27"/>
    <mergeCell ref="JE27:JF27"/>
    <mergeCell ref="JG27:JH27"/>
    <mergeCell ref="NY27:NZ27"/>
    <mergeCell ref="OA27:OB27"/>
    <mergeCell ref="OC27:OD27"/>
    <mergeCell ref="OE27:OF27"/>
    <mergeCell ref="OG27:OH27"/>
    <mergeCell ref="OI27:OJ27"/>
    <mergeCell ref="NM27:NN27"/>
    <mergeCell ref="NO27:NP27"/>
    <mergeCell ref="NQ27:NR27"/>
    <mergeCell ref="NS27:NT27"/>
    <mergeCell ref="NU27:NV27"/>
    <mergeCell ref="NW27:NX27"/>
    <mergeCell ref="NA27:NB27"/>
    <mergeCell ref="NC27:ND27"/>
    <mergeCell ref="NE27:NF27"/>
    <mergeCell ref="NG27:NH27"/>
    <mergeCell ref="NI27:NJ27"/>
    <mergeCell ref="NK27:NL27"/>
    <mergeCell ref="MO27:MP27"/>
    <mergeCell ref="MQ27:MR27"/>
    <mergeCell ref="MS27:MT27"/>
    <mergeCell ref="MU27:MV27"/>
    <mergeCell ref="MW27:MX27"/>
    <mergeCell ref="MY27:MZ27"/>
    <mergeCell ref="MC27:MD27"/>
    <mergeCell ref="ME27:MF27"/>
    <mergeCell ref="MG27:MH27"/>
    <mergeCell ref="MI27:MJ27"/>
    <mergeCell ref="MK27:ML27"/>
    <mergeCell ref="MM27:MN27"/>
    <mergeCell ref="LQ27:LR27"/>
    <mergeCell ref="LS27:LT27"/>
    <mergeCell ref="LU27:LV27"/>
    <mergeCell ref="LW27:LX27"/>
    <mergeCell ref="LY27:LZ27"/>
    <mergeCell ref="MA27:MB27"/>
    <mergeCell ref="QS27:QT27"/>
    <mergeCell ref="QU27:QV27"/>
    <mergeCell ref="QW27:QX27"/>
    <mergeCell ref="QY27:QZ27"/>
    <mergeCell ref="RA27:RB27"/>
    <mergeCell ref="RC27:RD27"/>
    <mergeCell ref="QG27:QH27"/>
    <mergeCell ref="QI27:QJ27"/>
    <mergeCell ref="QK27:QL27"/>
    <mergeCell ref="QM27:QN27"/>
    <mergeCell ref="QO27:QP27"/>
    <mergeCell ref="QQ27:QR27"/>
    <mergeCell ref="PU27:PV27"/>
    <mergeCell ref="PW27:PX27"/>
    <mergeCell ref="PY27:PZ27"/>
    <mergeCell ref="QA27:QB27"/>
    <mergeCell ref="QC27:QD27"/>
    <mergeCell ref="QE27:QF27"/>
    <mergeCell ref="PI27:PJ27"/>
    <mergeCell ref="PK27:PL27"/>
    <mergeCell ref="PM27:PN27"/>
    <mergeCell ref="PO27:PP27"/>
    <mergeCell ref="PQ27:PR27"/>
    <mergeCell ref="PS27:PT27"/>
    <mergeCell ref="OW27:OX27"/>
    <mergeCell ref="OY27:OZ27"/>
    <mergeCell ref="PA27:PB27"/>
    <mergeCell ref="PC27:PD27"/>
    <mergeCell ref="PE27:PF27"/>
    <mergeCell ref="PG27:PH27"/>
    <mergeCell ref="OK27:OL27"/>
    <mergeCell ref="OM27:ON27"/>
    <mergeCell ref="OO27:OP27"/>
    <mergeCell ref="OQ27:OR27"/>
    <mergeCell ref="OS27:OT27"/>
    <mergeCell ref="OU27:OV27"/>
    <mergeCell ref="TM27:TN27"/>
    <mergeCell ref="TO27:TP27"/>
    <mergeCell ref="TQ27:TR27"/>
    <mergeCell ref="TS27:TT27"/>
    <mergeCell ref="TU27:TV27"/>
    <mergeCell ref="TW27:TX27"/>
    <mergeCell ref="TA27:TB27"/>
    <mergeCell ref="TC27:TD27"/>
    <mergeCell ref="TE27:TF27"/>
    <mergeCell ref="TG27:TH27"/>
    <mergeCell ref="TI27:TJ27"/>
    <mergeCell ref="TK27:TL27"/>
    <mergeCell ref="SO27:SP27"/>
    <mergeCell ref="SQ27:SR27"/>
    <mergeCell ref="SS27:ST27"/>
    <mergeCell ref="SU27:SV27"/>
    <mergeCell ref="SW27:SX27"/>
    <mergeCell ref="SY27:SZ27"/>
    <mergeCell ref="SC27:SD27"/>
    <mergeCell ref="SE27:SF27"/>
    <mergeCell ref="SG27:SH27"/>
    <mergeCell ref="SI27:SJ27"/>
    <mergeCell ref="SK27:SL27"/>
    <mergeCell ref="SM27:SN27"/>
    <mergeCell ref="RQ27:RR27"/>
    <mergeCell ref="RS27:RT27"/>
    <mergeCell ref="RU27:RV27"/>
    <mergeCell ref="RW27:RX27"/>
    <mergeCell ref="RY27:RZ27"/>
    <mergeCell ref="SA27:SB27"/>
    <mergeCell ref="RE27:RF27"/>
    <mergeCell ref="RG27:RH27"/>
    <mergeCell ref="RI27:RJ27"/>
    <mergeCell ref="RK27:RL27"/>
    <mergeCell ref="RM27:RN27"/>
    <mergeCell ref="RO27:RP27"/>
    <mergeCell ref="WG27:WH27"/>
    <mergeCell ref="WI27:WJ27"/>
    <mergeCell ref="WK27:WL27"/>
    <mergeCell ref="WM27:WN27"/>
    <mergeCell ref="WO27:WP27"/>
    <mergeCell ref="WQ27:WR27"/>
    <mergeCell ref="VU27:VV27"/>
    <mergeCell ref="VW27:VX27"/>
    <mergeCell ref="VY27:VZ27"/>
    <mergeCell ref="WA27:WB27"/>
    <mergeCell ref="WC27:WD27"/>
    <mergeCell ref="WE27:WF27"/>
    <mergeCell ref="VI27:VJ27"/>
    <mergeCell ref="VK27:VL27"/>
    <mergeCell ref="VM27:VN27"/>
    <mergeCell ref="VO27:VP27"/>
    <mergeCell ref="VQ27:VR27"/>
    <mergeCell ref="VS27:VT27"/>
    <mergeCell ref="UW27:UX27"/>
    <mergeCell ref="UY27:UZ27"/>
    <mergeCell ref="VA27:VB27"/>
    <mergeCell ref="VC27:VD27"/>
    <mergeCell ref="VE27:VF27"/>
    <mergeCell ref="VG27:VH27"/>
    <mergeCell ref="UK27:UL27"/>
    <mergeCell ref="UM27:UN27"/>
    <mergeCell ref="UO27:UP27"/>
    <mergeCell ref="UQ27:UR27"/>
    <mergeCell ref="US27:UT27"/>
    <mergeCell ref="UU27:UV27"/>
    <mergeCell ref="TY27:TZ27"/>
    <mergeCell ref="UA27:UB27"/>
    <mergeCell ref="UC27:UD27"/>
    <mergeCell ref="UE27:UF27"/>
    <mergeCell ref="UG27:UH27"/>
    <mergeCell ref="UI27:UJ27"/>
    <mergeCell ref="ZA27:ZB27"/>
    <mergeCell ref="ZC27:ZD27"/>
    <mergeCell ref="ZE27:ZF27"/>
    <mergeCell ref="ZG27:ZH27"/>
    <mergeCell ref="ZI27:ZJ27"/>
    <mergeCell ref="ZK27:ZL27"/>
    <mergeCell ref="YO27:YP27"/>
    <mergeCell ref="YQ27:YR27"/>
    <mergeCell ref="YS27:YT27"/>
    <mergeCell ref="YU27:YV27"/>
    <mergeCell ref="YW27:YX27"/>
    <mergeCell ref="YY27:YZ27"/>
    <mergeCell ref="YC27:YD27"/>
    <mergeCell ref="YE27:YF27"/>
    <mergeCell ref="YG27:YH27"/>
    <mergeCell ref="YI27:YJ27"/>
    <mergeCell ref="YK27:YL27"/>
    <mergeCell ref="YM27:YN27"/>
    <mergeCell ref="XQ27:XR27"/>
    <mergeCell ref="XS27:XT27"/>
    <mergeCell ref="XU27:XV27"/>
    <mergeCell ref="XW27:XX27"/>
    <mergeCell ref="XY27:XZ27"/>
    <mergeCell ref="YA27:YB27"/>
    <mergeCell ref="XE27:XF27"/>
    <mergeCell ref="XG27:XH27"/>
    <mergeCell ref="XI27:XJ27"/>
    <mergeCell ref="XK27:XL27"/>
    <mergeCell ref="XM27:XN27"/>
    <mergeCell ref="XO27:XP27"/>
    <mergeCell ref="WS27:WT27"/>
    <mergeCell ref="WU27:WV27"/>
    <mergeCell ref="WW27:WX27"/>
    <mergeCell ref="WY27:WZ27"/>
    <mergeCell ref="XA27:XB27"/>
    <mergeCell ref="XC27:XD27"/>
    <mergeCell ref="ABU27:ABV27"/>
    <mergeCell ref="ABW27:ABX27"/>
    <mergeCell ref="ABY27:ABZ27"/>
    <mergeCell ref="ACA27:ACB27"/>
    <mergeCell ref="ACC27:ACD27"/>
    <mergeCell ref="ACE27:ACF27"/>
    <mergeCell ref="ABI27:ABJ27"/>
    <mergeCell ref="ABK27:ABL27"/>
    <mergeCell ref="ABM27:ABN27"/>
    <mergeCell ref="ABO27:ABP27"/>
    <mergeCell ref="ABQ27:ABR27"/>
    <mergeCell ref="ABS27:ABT27"/>
    <mergeCell ref="AAW27:AAX27"/>
    <mergeCell ref="AAY27:AAZ27"/>
    <mergeCell ref="ABA27:ABB27"/>
    <mergeCell ref="ABC27:ABD27"/>
    <mergeCell ref="ABE27:ABF27"/>
    <mergeCell ref="ABG27:ABH27"/>
    <mergeCell ref="AAK27:AAL27"/>
    <mergeCell ref="AAM27:AAN27"/>
    <mergeCell ref="AAO27:AAP27"/>
    <mergeCell ref="AAQ27:AAR27"/>
    <mergeCell ref="AAS27:AAT27"/>
    <mergeCell ref="AAU27:AAV27"/>
    <mergeCell ref="ZY27:ZZ27"/>
    <mergeCell ref="AAA27:AAB27"/>
    <mergeCell ref="AAC27:AAD27"/>
    <mergeCell ref="AAE27:AAF27"/>
    <mergeCell ref="AAG27:AAH27"/>
    <mergeCell ref="AAI27:AAJ27"/>
    <mergeCell ref="ZM27:ZN27"/>
    <mergeCell ref="ZO27:ZP27"/>
    <mergeCell ref="ZQ27:ZR27"/>
    <mergeCell ref="ZS27:ZT27"/>
    <mergeCell ref="ZU27:ZV27"/>
    <mergeCell ref="ZW27:ZX27"/>
    <mergeCell ref="AEO27:AEP27"/>
    <mergeCell ref="AEQ27:AER27"/>
    <mergeCell ref="AES27:AET27"/>
    <mergeCell ref="AEU27:AEV27"/>
    <mergeCell ref="AEW27:AEX27"/>
    <mergeCell ref="AEY27:AEZ27"/>
    <mergeCell ref="AEC27:AED27"/>
    <mergeCell ref="AEE27:AEF27"/>
    <mergeCell ref="AEG27:AEH27"/>
    <mergeCell ref="AEI27:AEJ27"/>
    <mergeCell ref="AEK27:AEL27"/>
    <mergeCell ref="AEM27:AEN27"/>
    <mergeCell ref="ADQ27:ADR27"/>
    <mergeCell ref="ADS27:ADT27"/>
    <mergeCell ref="ADU27:ADV27"/>
    <mergeCell ref="ADW27:ADX27"/>
    <mergeCell ref="ADY27:ADZ27"/>
    <mergeCell ref="AEA27:AEB27"/>
    <mergeCell ref="ADE27:ADF27"/>
    <mergeCell ref="ADG27:ADH27"/>
    <mergeCell ref="ADI27:ADJ27"/>
    <mergeCell ref="ADK27:ADL27"/>
    <mergeCell ref="ADM27:ADN27"/>
    <mergeCell ref="ADO27:ADP27"/>
    <mergeCell ref="ACS27:ACT27"/>
    <mergeCell ref="ACU27:ACV27"/>
    <mergeCell ref="ACW27:ACX27"/>
    <mergeCell ref="ACY27:ACZ27"/>
    <mergeCell ref="ADA27:ADB27"/>
    <mergeCell ref="ADC27:ADD27"/>
    <mergeCell ref="ACG27:ACH27"/>
    <mergeCell ref="ACI27:ACJ27"/>
    <mergeCell ref="ACK27:ACL27"/>
    <mergeCell ref="ACM27:ACN27"/>
    <mergeCell ref="ACO27:ACP27"/>
    <mergeCell ref="ACQ27:ACR27"/>
    <mergeCell ref="AHI27:AHJ27"/>
    <mergeCell ref="AHK27:AHL27"/>
    <mergeCell ref="AHM27:AHN27"/>
    <mergeCell ref="AHO27:AHP27"/>
    <mergeCell ref="AHQ27:AHR27"/>
    <mergeCell ref="AHS27:AHT27"/>
    <mergeCell ref="AGW27:AGX27"/>
    <mergeCell ref="AGY27:AGZ27"/>
    <mergeCell ref="AHA27:AHB27"/>
    <mergeCell ref="AHC27:AHD27"/>
    <mergeCell ref="AHE27:AHF27"/>
    <mergeCell ref="AHG27:AHH27"/>
    <mergeCell ref="AGK27:AGL27"/>
    <mergeCell ref="AGM27:AGN27"/>
    <mergeCell ref="AGO27:AGP27"/>
    <mergeCell ref="AGQ27:AGR27"/>
    <mergeCell ref="AGS27:AGT27"/>
    <mergeCell ref="AGU27:AGV27"/>
    <mergeCell ref="AFY27:AFZ27"/>
    <mergeCell ref="AGA27:AGB27"/>
    <mergeCell ref="AGC27:AGD27"/>
    <mergeCell ref="AGE27:AGF27"/>
    <mergeCell ref="AGG27:AGH27"/>
    <mergeCell ref="AGI27:AGJ27"/>
    <mergeCell ref="AFM27:AFN27"/>
    <mergeCell ref="AFO27:AFP27"/>
    <mergeCell ref="AFQ27:AFR27"/>
    <mergeCell ref="AFS27:AFT27"/>
    <mergeCell ref="AFU27:AFV27"/>
    <mergeCell ref="AFW27:AFX27"/>
    <mergeCell ref="AFA27:AFB27"/>
    <mergeCell ref="AFC27:AFD27"/>
    <mergeCell ref="AFE27:AFF27"/>
    <mergeCell ref="AFG27:AFH27"/>
    <mergeCell ref="AFI27:AFJ27"/>
    <mergeCell ref="AFK27:AFL27"/>
    <mergeCell ref="AKC27:AKD27"/>
    <mergeCell ref="AKE27:AKF27"/>
    <mergeCell ref="AKG27:AKH27"/>
    <mergeCell ref="AKI27:AKJ27"/>
    <mergeCell ref="AKK27:AKL27"/>
    <mergeCell ref="AKM27:AKN27"/>
    <mergeCell ref="AJQ27:AJR27"/>
    <mergeCell ref="AJS27:AJT27"/>
    <mergeCell ref="AJU27:AJV27"/>
    <mergeCell ref="AJW27:AJX27"/>
    <mergeCell ref="AJY27:AJZ27"/>
    <mergeCell ref="AKA27:AKB27"/>
    <mergeCell ref="AJE27:AJF27"/>
    <mergeCell ref="AJG27:AJH27"/>
    <mergeCell ref="AJI27:AJJ27"/>
    <mergeCell ref="AJK27:AJL27"/>
    <mergeCell ref="AJM27:AJN27"/>
    <mergeCell ref="AJO27:AJP27"/>
    <mergeCell ref="AIS27:AIT27"/>
    <mergeCell ref="AIU27:AIV27"/>
    <mergeCell ref="AIW27:AIX27"/>
    <mergeCell ref="AIY27:AIZ27"/>
    <mergeCell ref="AJA27:AJB27"/>
    <mergeCell ref="AJC27:AJD27"/>
    <mergeCell ref="AIG27:AIH27"/>
    <mergeCell ref="AII27:AIJ27"/>
    <mergeCell ref="AIK27:AIL27"/>
    <mergeCell ref="AIM27:AIN27"/>
    <mergeCell ref="AIO27:AIP27"/>
    <mergeCell ref="AIQ27:AIR27"/>
    <mergeCell ref="AHU27:AHV27"/>
    <mergeCell ref="AHW27:AHX27"/>
    <mergeCell ref="AHY27:AHZ27"/>
    <mergeCell ref="AIA27:AIB27"/>
    <mergeCell ref="AIC27:AID27"/>
    <mergeCell ref="AIE27:AIF27"/>
    <mergeCell ref="AMW27:AMX27"/>
    <mergeCell ref="AMY27:AMZ27"/>
    <mergeCell ref="ANA27:ANB27"/>
    <mergeCell ref="ANC27:AND27"/>
    <mergeCell ref="ANE27:ANF27"/>
    <mergeCell ref="ANG27:ANH27"/>
    <mergeCell ref="AMK27:AML27"/>
    <mergeCell ref="AMM27:AMN27"/>
    <mergeCell ref="AMO27:AMP27"/>
    <mergeCell ref="AMQ27:AMR27"/>
    <mergeCell ref="AMS27:AMT27"/>
    <mergeCell ref="AMU27:AMV27"/>
    <mergeCell ref="ALY27:ALZ27"/>
    <mergeCell ref="AMA27:AMB27"/>
    <mergeCell ref="AMC27:AMD27"/>
    <mergeCell ref="AME27:AMF27"/>
    <mergeCell ref="AMG27:AMH27"/>
    <mergeCell ref="AMI27:AMJ27"/>
    <mergeCell ref="ALM27:ALN27"/>
    <mergeCell ref="ALO27:ALP27"/>
    <mergeCell ref="ALQ27:ALR27"/>
    <mergeCell ref="ALS27:ALT27"/>
    <mergeCell ref="ALU27:ALV27"/>
    <mergeCell ref="ALW27:ALX27"/>
    <mergeCell ref="ALA27:ALB27"/>
    <mergeCell ref="ALC27:ALD27"/>
    <mergeCell ref="ALE27:ALF27"/>
    <mergeCell ref="ALG27:ALH27"/>
    <mergeCell ref="ALI27:ALJ27"/>
    <mergeCell ref="ALK27:ALL27"/>
    <mergeCell ref="AKO27:AKP27"/>
    <mergeCell ref="AKQ27:AKR27"/>
    <mergeCell ref="AKS27:AKT27"/>
    <mergeCell ref="AKU27:AKV27"/>
    <mergeCell ref="AKW27:AKX27"/>
    <mergeCell ref="AKY27:AKZ27"/>
    <mergeCell ref="APQ27:APR27"/>
    <mergeCell ref="APS27:APT27"/>
    <mergeCell ref="APU27:APV27"/>
    <mergeCell ref="APW27:APX27"/>
    <mergeCell ref="APY27:APZ27"/>
    <mergeCell ref="AQA27:AQB27"/>
    <mergeCell ref="APE27:APF27"/>
    <mergeCell ref="APG27:APH27"/>
    <mergeCell ref="API27:APJ27"/>
    <mergeCell ref="APK27:APL27"/>
    <mergeCell ref="APM27:APN27"/>
    <mergeCell ref="APO27:APP27"/>
    <mergeCell ref="AOS27:AOT27"/>
    <mergeCell ref="AOU27:AOV27"/>
    <mergeCell ref="AOW27:AOX27"/>
    <mergeCell ref="AOY27:AOZ27"/>
    <mergeCell ref="APA27:APB27"/>
    <mergeCell ref="APC27:APD27"/>
    <mergeCell ref="AOG27:AOH27"/>
    <mergeCell ref="AOI27:AOJ27"/>
    <mergeCell ref="AOK27:AOL27"/>
    <mergeCell ref="AOM27:AON27"/>
    <mergeCell ref="AOO27:AOP27"/>
    <mergeCell ref="AOQ27:AOR27"/>
    <mergeCell ref="ANU27:ANV27"/>
    <mergeCell ref="ANW27:ANX27"/>
    <mergeCell ref="ANY27:ANZ27"/>
    <mergeCell ref="AOA27:AOB27"/>
    <mergeCell ref="AOC27:AOD27"/>
    <mergeCell ref="AOE27:AOF27"/>
    <mergeCell ref="ANI27:ANJ27"/>
    <mergeCell ref="ANK27:ANL27"/>
    <mergeCell ref="ANM27:ANN27"/>
    <mergeCell ref="ANO27:ANP27"/>
    <mergeCell ref="ANQ27:ANR27"/>
    <mergeCell ref="ANS27:ANT27"/>
    <mergeCell ref="ASK27:ASL27"/>
    <mergeCell ref="ASM27:ASN27"/>
    <mergeCell ref="ASO27:ASP27"/>
    <mergeCell ref="ASQ27:ASR27"/>
    <mergeCell ref="ASS27:AST27"/>
    <mergeCell ref="ASU27:ASV27"/>
    <mergeCell ref="ARY27:ARZ27"/>
    <mergeCell ref="ASA27:ASB27"/>
    <mergeCell ref="ASC27:ASD27"/>
    <mergeCell ref="ASE27:ASF27"/>
    <mergeCell ref="ASG27:ASH27"/>
    <mergeCell ref="ASI27:ASJ27"/>
    <mergeCell ref="ARM27:ARN27"/>
    <mergeCell ref="ARO27:ARP27"/>
    <mergeCell ref="ARQ27:ARR27"/>
    <mergeCell ref="ARS27:ART27"/>
    <mergeCell ref="ARU27:ARV27"/>
    <mergeCell ref="ARW27:ARX27"/>
    <mergeCell ref="ARA27:ARB27"/>
    <mergeCell ref="ARC27:ARD27"/>
    <mergeCell ref="ARE27:ARF27"/>
    <mergeCell ref="ARG27:ARH27"/>
    <mergeCell ref="ARI27:ARJ27"/>
    <mergeCell ref="ARK27:ARL27"/>
    <mergeCell ref="AQO27:AQP27"/>
    <mergeCell ref="AQQ27:AQR27"/>
    <mergeCell ref="AQS27:AQT27"/>
    <mergeCell ref="AQU27:AQV27"/>
    <mergeCell ref="AQW27:AQX27"/>
    <mergeCell ref="AQY27:AQZ27"/>
    <mergeCell ref="AQC27:AQD27"/>
    <mergeCell ref="AQE27:AQF27"/>
    <mergeCell ref="AQG27:AQH27"/>
    <mergeCell ref="AQI27:AQJ27"/>
    <mergeCell ref="AQK27:AQL27"/>
    <mergeCell ref="AQM27:AQN27"/>
    <mergeCell ref="AVE27:AVF27"/>
    <mergeCell ref="AVG27:AVH27"/>
    <mergeCell ref="AVI27:AVJ27"/>
    <mergeCell ref="AVK27:AVL27"/>
    <mergeCell ref="AVM27:AVN27"/>
    <mergeCell ref="AVO27:AVP27"/>
    <mergeCell ref="AUS27:AUT27"/>
    <mergeCell ref="AUU27:AUV27"/>
    <mergeCell ref="AUW27:AUX27"/>
    <mergeCell ref="AUY27:AUZ27"/>
    <mergeCell ref="AVA27:AVB27"/>
    <mergeCell ref="AVC27:AVD27"/>
    <mergeCell ref="AUG27:AUH27"/>
    <mergeCell ref="AUI27:AUJ27"/>
    <mergeCell ref="AUK27:AUL27"/>
    <mergeCell ref="AUM27:AUN27"/>
    <mergeCell ref="AUO27:AUP27"/>
    <mergeCell ref="AUQ27:AUR27"/>
    <mergeCell ref="ATU27:ATV27"/>
    <mergeCell ref="ATW27:ATX27"/>
    <mergeCell ref="ATY27:ATZ27"/>
    <mergeCell ref="AUA27:AUB27"/>
    <mergeCell ref="AUC27:AUD27"/>
    <mergeCell ref="AUE27:AUF27"/>
    <mergeCell ref="ATI27:ATJ27"/>
    <mergeCell ref="ATK27:ATL27"/>
    <mergeCell ref="ATM27:ATN27"/>
    <mergeCell ref="ATO27:ATP27"/>
    <mergeCell ref="ATQ27:ATR27"/>
    <mergeCell ref="ATS27:ATT27"/>
    <mergeCell ref="ASW27:ASX27"/>
    <mergeCell ref="ASY27:ASZ27"/>
    <mergeCell ref="ATA27:ATB27"/>
    <mergeCell ref="ATC27:ATD27"/>
    <mergeCell ref="ATE27:ATF27"/>
    <mergeCell ref="ATG27:ATH27"/>
    <mergeCell ref="AXY27:AXZ27"/>
    <mergeCell ref="AYA27:AYB27"/>
    <mergeCell ref="AYC27:AYD27"/>
    <mergeCell ref="AYE27:AYF27"/>
    <mergeCell ref="AYG27:AYH27"/>
    <mergeCell ref="AYI27:AYJ27"/>
    <mergeCell ref="AXM27:AXN27"/>
    <mergeCell ref="AXO27:AXP27"/>
    <mergeCell ref="AXQ27:AXR27"/>
    <mergeCell ref="AXS27:AXT27"/>
    <mergeCell ref="AXU27:AXV27"/>
    <mergeCell ref="AXW27:AXX27"/>
    <mergeCell ref="AXA27:AXB27"/>
    <mergeCell ref="AXC27:AXD27"/>
    <mergeCell ref="AXE27:AXF27"/>
    <mergeCell ref="AXG27:AXH27"/>
    <mergeCell ref="AXI27:AXJ27"/>
    <mergeCell ref="AXK27:AXL27"/>
    <mergeCell ref="AWO27:AWP27"/>
    <mergeCell ref="AWQ27:AWR27"/>
    <mergeCell ref="AWS27:AWT27"/>
    <mergeCell ref="AWU27:AWV27"/>
    <mergeCell ref="AWW27:AWX27"/>
    <mergeCell ref="AWY27:AWZ27"/>
    <mergeCell ref="AWC27:AWD27"/>
    <mergeCell ref="AWE27:AWF27"/>
    <mergeCell ref="AWG27:AWH27"/>
    <mergeCell ref="AWI27:AWJ27"/>
    <mergeCell ref="AWK27:AWL27"/>
    <mergeCell ref="AWM27:AWN27"/>
    <mergeCell ref="AVQ27:AVR27"/>
    <mergeCell ref="AVS27:AVT27"/>
    <mergeCell ref="AVU27:AVV27"/>
    <mergeCell ref="AVW27:AVX27"/>
    <mergeCell ref="AVY27:AVZ27"/>
    <mergeCell ref="AWA27:AWB27"/>
    <mergeCell ref="BAS27:BAT27"/>
    <mergeCell ref="BAU27:BAV27"/>
    <mergeCell ref="BAW27:BAX27"/>
    <mergeCell ref="BAY27:BAZ27"/>
    <mergeCell ref="BBA27:BBB27"/>
    <mergeCell ref="BBC27:BBD27"/>
    <mergeCell ref="BAG27:BAH27"/>
    <mergeCell ref="BAI27:BAJ27"/>
    <mergeCell ref="BAK27:BAL27"/>
    <mergeCell ref="BAM27:BAN27"/>
    <mergeCell ref="BAO27:BAP27"/>
    <mergeCell ref="BAQ27:BAR27"/>
    <mergeCell ref="AZU27:AZV27"/>
    <mergeCell ref="AZW27:AZX27"/>
    <mergeCell ref="AZY27:AZZ27"/>
    <mergeCell ref="BAA27:BAB27"/>
    <mergeCell ref="BAC27:BAD27"/>
    <mergeCell ref="BAE27:BAF27"/>
    <mergeCell ref="AZI27:AZJ27"/>
    <mergeCell ref="AZK27:AZL27"/>
    <mergeCell ref="AZM27:AZN27"/>
    <mergeCell ref="AZO27:AZP27"/>
    <mergeCell ref="AZQ27:AZR27"/>
    <mergeCell ref="AZS27:AZT27"/>
    <mergeCell ref="AYW27:AYX27"/>
    <mergeCell ref="AYY27:AYZ27"/>
    <mergeCell ref="AZA27:AZB27"/>
    <mergeCell ref="AZC27:AZD27"/>
    <mergeCell ref="AZE27:AZF27"/>
    <mergeCell ref="AZG27:AZH27"/>
    <mergeCell ref="AYK27:AYL27"/>
    <mergeCell ref="AYM27:AYN27"/>
    <mergeCell ref="AYO27:AYP27"/>
    <mergeCell ref="AYQ27:AYR27"/>
    <mergeCell ref="AYS27:AYT27"/>
    <mergeCell ref="AYU27:AYV27"/>
    <mergeCell ref="BDM27:BDN27"/>
    <mergeCell ref="BDO27:BDP27"/>
    <mergeCell ref="BDQ27:BDR27"/>
    <mergeCell ref="BDS27:BDT27"/>
    <mergeCell ref="BDU27:BDV27"/>
    <mergeCell ref="BDW27:BDX27"/>
    <mergeCell ref="BDA27:BDB27"/>
    <mergeCell ref="BDC27:BDD27"/>
    <mergeCell ref="BDE27:BDF27"/>
    <mergeCell ref="BDG27:BDH27"/>
    <mergeCell ref="BDI27:BDJ27"/>
    <mergeCell ref="BDK27:BDL27"/>
    <mergeCell ref="BCO27:BCP27"/>
    <mergeCell ref="BCQ27:BCR27"/>
    <mergeCell ref="BCS27:BCT27"/>
    <mergeCell ref="BCU27:BCV27"/>
    <mergeCell ref="BCW27:BCX27"/>
    <mergeCell ref="BCY27:BCZ27"/>
    <mergeCell ref="BCC27:BCD27"/>
    <mergeCell ref="BCE27:BCF27"/>
    <mergeCell ref="BCG27:BCH27"/>
    <mergeCell ref="BCI27:BCJ27"/>
    <mergeCell ref="BCK27:BCL27"/>
    <mergeCell ref="BCM27:BCN27"/>
    <mergeCell ref="BBQ27:BBR27"/>
    <mergeCell ref="BBS27:BBT27"/>
    <mergeCell ref="BBU27:BBV27"/>
    <mergeCell ref="BBW27:BBX27"/>
    <mergeCell ref="BBY27:BBZ27"/>
    <mergeCell ref="BCA27:BCB27"/>
    <mergeCell ref="BBE27:BBF27"/>
    <mergeCell ref="BBG27:BBH27"/>
    <mergeCell ref="BBI27:BBJ27"/>
    <mergeCell ref="BBK27:BBL27"/>
    <mergeCell ref="BBM27:BBN27"/>
    <mergeCell ref="BBO27:BBP27"/>
    <mergeCell ref="BGG27:BGH27"/>
    <mergeCell ref="BGI27:BGJ27"/>
    <mergeCell ref="BGK27:BGL27"/>
    <mergeCell ref="BGM27:BGN27"/>
    <mergeCell ref="BGO27:BGP27"/>
    <mergeCell ref="BGQ27:BGR27"/>
    <mergeCell ref="BFU27:BFV27"/>
    <mergeCell ref="BFW27:BFX27"/>
    <mergeCell ref="BFY27:BFZ27"/>
    <mergeCell ref="BGA27:BGB27"/>
    <mergeCell ref="BGC27:BGD27"/>
    <mergeCell ref="BGE27:BGF27"/>
    <mergeCell ref="BFI27:BFJ27"/>
    <mergeCell ref="BFK27:BFL27"/>
    <mergeCell ref="BFM27:BFN27"/>
    <mergeCell ref="BFO27:BFP27"/>
    <mergeCell ref="BFQ27:BFR27"/>
    <mergeCell ref="BFS27:BFT27"/>
    <mergeCell ref="BEW27:BEX27"/>
    <mergeCell ref="BEY27:BEZ27"/>
    <mergeCell ref="BFA27:BFB27"/>
    <mergeCell ref="BFC27:BFD27"/>
    <mergeCell ref="BFE27:BFF27"/>
    <mergeCell ref="BFG27:BFH27"/>
    <mergeCell ref="BEK27:BEL27"/>
    <mergeCell ref="BEM27:BEN27"/>
    <mergeCell ref="BEO27:BEP27"/>
    <mergeCell ref="BEQ27:BER27"/>
    <mergeCell ref="BES27:BET27"/>
    <mergeCell ref="BEU27:BEV27"/>
    <mergeCell ref="BDY27:BDZ27"/>
    <mergeCell ref="BEA27:BEB27"/>
    <mergeCell ref="BEC27:BED27"/>
    <mergeCell ref="BEE27:BEF27"/>
    <mergeCell ref="BEG27:BEH27"/>
    <mergeCell ref="BEI27:BEJ27"/>
    <mergeCell ref="BJA27:BJB27"/>
    <mergeCell ref="BJC27:BJD27"/>
    <mergeCell ref="BJE27:BJF27"/>
    <mergeCell ref="BJG27:BJH27"/>
    <mergeCell ref="BJI27:BJJ27"/>
    <mergeCell ref="BJK27:BJL27"/>
    <mergeCell ref="BIO27:BIP27"/>
    <mergeCell ref="BIQ27:BIR27"/>
    <mergeCell ref="BIS27:BIT27"/>
    <mergeCell ref="BIU27:BIV27"/>
    <mergeCell ref="BIW27:BIX27"/>
    <mergeCell ref="BIY27:BIZ27"/>
    <mergeCell ref="BIC27:BID27"/>
    <mergeCell ref="BIE27:BIF27"/>
    <mergeCell ref="BIG27:BIH27"/>
    <mergeCell ref="BII27:BIJ27"/>
    <mergeCell ref="BIK27:BIL27"/>
    <mergeCell ref="BIM27:BIN27"/>
    <mergeCell ref="BHQ27:BHR27"/>
    <mergeCell ref="BHS27:BHT27"/>
    <mergeCell ref="BHU27:BHV27"/>
    <mergeCell ref="BHW27:BHX27"/>
    <mergeCell ref="BHY27:BHZ27"/>
    <mergeCell ref="BIA27:BIB27"/>
    <mergeCell ref="BHE27:BHF27"/>
    <mergeCell ref="BHG27:BHH27"/>
    <mergeCell ref="BHI27:BHJ27"/>
    <mergeCell ref="BHK27:BHL27"/>
    <mergeCell ref="BHM27:BHN27"/>
    <mergeCell ref="BHO27:BHP27"/>
    <mergeCell ref="BGS27:BGT27"/>
    <mergeCell ref="BGU27:BGV27"/>
    <mergeCell ref="BGW27:BGX27"/>
    <mergeCell ref="BGY27:BGZ27"/>
    <mergeCell ref="BHA27:BHB27"/>
    <mergeCell ref="BHC27:BHD27"/>
    <mergeCell ref="BLU27:BLV27"/>
    <mergeCell ref="BLW27:BLX27"/>
    <mergeCell ref="BLY27:BLZ27"/>
    <mergeCell ref="BMA27:BMB27"/>
    <mergeCell ref="BMC27:BMD27"/>
    <mergeCell ref="BME27:BMF27"/>
    <mergeCell ref="BLI27:BLJ27"/>
    <mergeCell ref="BLK27:BLL27"/>
    <mergeCell ref="BLM27:BLN27"/>
    <mergeCell ref="BLO27:BLP27"/>
    <mergeCell ref="BLQ27:BLR27"/>
    <mergeCell ref="BLS27:BLT27"/>
    <mergeCell ref="BKW27:BKX27"/>
    <mergeCell ref="BKY27:BKZ27"/>
    <mergeCell ref="BLA27:BLB27"/>
    <mergeCell ref="BLC27:BLD27"/>
    <mergeCell ref="BLE27:BLF27"/>
    <mergeCell ref="BLG27:BLH27"/>
    <mergeCell ref="BKK27:BKL27"/>
    <mergeCell ref="BKM27:BKN27"/>
    <mergeCell ref="BKO27:BKP27"/>
    <mergeCell ref="BKQ27:BKR27"/>
    <mergeCell ref="BKS27:BKT27"/>
    <mergeCell ref="BKU27:BKV27"/>
    <mergeCell ref="BJY27:BJZ27"/>
    <mergeCell ref="BKA27:BKB27"/>
    <mergeCell ref="BKC27:BKD27"/>
    <mergeCell ref="BKE27:BKF27"/>
    <mergeCell ref="BKG27:BKH27"/>
    <mergeCell ref="BKI27:BKJ27"/>
    <mergeCell ref="BJM27:BJN27"/>
    <mergeCell ref="BJO27:BJP27"/>
    <mergeCell ref="BJQ27:BJR27"/>
    <mergeCell ref="BJS27:BJT27"/>
    <mergeCell ref="BJU27:BJV27"/>
    <mergeCell ref="BJW27:BJX27"/>
    <mergeCell ref="BOO27:BOP27"/>
    <mergeCell ref="BOQ27:BOR27"/>
    <mergeCell ref="BOS27:BOT27"/>
    <mergeCell ref="BOU27:BOV27"/>
    <mergeCell ref="BOW27:BOX27"/>
    <mergeCell ref="BOY27:BOZ27"/>
    <mergeCell ref="BOC27:BOD27"/>
    <mergeCell ref="BOE27:BOF27"/>
    <mergeCell ref="BOG27:BOH27"/>
    <mergeCell ref="BOI27:BOJ27"/>
    <mergeCell ref="BOK27:BOL27"/>
    <mergeCell ref="BOM27:BON27"/>
    <mergeCell ref="BNQ27:BNR27"/>
    <mergeCell ref="BNS27:BNT27"/>
    <mergeCell ref="BNU27:BNV27"/>
    <mergeCell ref="BNW27:BNX27"/>
    <mergeCell ref="BNY27:BNZ27"/>
    <mergeCell ref="BOA27:BOB27"/>
    <mergeCell ref="BNE27:BNF27"/>
    <mergeCell ref="BNG27:BNH27"/>
    <mergeCell ref="BNI27:BNJ27"/>
    <mergeCell ref="BNK27:BNL27"/>
    <mergeCell ref="BNM27:BNN27"/>
    <mergeCell ref="BNO27:BNP27"/>
    <mergeCell ref="BMS27:BMT27"/>
    <mergeCell ref="BMU27:BMV27"/>
    <mergeCell ref="BMW27:BMX27"/>
    <mergeCell ref="BMY27:BMZ27"/>
    <mergeCell ref="BNA27:BNB27"/>
    <mergeCell ref="BNC27:BND27"/>
    <mergeCell ref="BMG27:BMH27"/>
    <mergeCell ref="BMI27:BMJ27"/>
    <mergeCell ref="BMK27:BML27"/>
    <mergeCell ref="BMM27:BMN27"/>
    <mergeCell ref="BMO27:BMP27"/>
    <mergeCell ref="BMQ27:BMR27"/>
    <mergeCell ref="BRI27:BRJ27"/>
    <mergeCell ref="BRK27:BRL27"/>
    <mergeCell ref="BRM27:BRN27"/>
    <mergeCell ref="BRO27:BRP27"/>
    <mergeCell ref="BRQ27:BRR27"/>
    <mergeCell ref="BRS27:BRT27"/>
    <mergeCell ref="BQW27:BQX27"/>
    <mergeCell ref="BQY27:BQZ27"/>
    <mergeCell ref="BRA27:BRB27"/>
    <mergeCell ref="BRC27:BRD27"/>
    <mergeCell ref="BRE27:BRF27"/>
    <mergeCell ref="BRG27:BRH27"/>
    <mergeCell ref="BQK27:BQL27"/>
    <mergeCell ref="BQM27:BQN27"/>
    <mergeCell ref="BQO27:BQP27"/>
    <mergeCell ref="BQQ27:BQR27"/>
    <mergeCell ref="BQS27:BQT27"/>
    <mergeCell ref="BQU27:BQV27"/>
    <mergeCell ref="BPY27:BPZ27"/>
    <mergeCell ref="BQA27:BQB27"/>
    <mergeCell ref="BQC27:BQD27"/>
    <mergeCell ref="BQE27:BQF27"/>
    <mergeCell ref="BQG27:BQH27"/>
    <mergeCell ref="BQI27:BQJ27"/>
    <mergeCell ref="BPM27:BPN27"/>
    <mergeCell ref="BPO27:BPP27"/>
    <mergeCell ref="BPQ27:BPR27"/>
    <mergeCell ref="BPS27:BPT27"/>
    <mergeCell ref="BPU27:BPV27"/>
    <mergeCell ref="BPW27:BPX27"/>
    <mergeCell ref="BPA27:BPB27"/>
    <mergeCell ref="BPC27:BPD27"/>
    <mergeCell ref="BPE27:BPF27"/>
    <mergeCell ref="BPG27:BPH27"/>
    <mergeCell ref="BPI27:BPJ27"/>
    <mergeCell ref="BPK27:BPL27"/>
    <mergeCell ref="BUC27:BUD27"/>
    <mergeCell ref="BUE27:BUF27"/>
    <mergeCell ref="BUG27:BUH27"/>
    <mergeCell ref="BUI27:BUJ27"/>
    <mergeCell ref="BUK27:BUL27"/>
    <mergeCell ref="BUM27:BUN27"/>
    <mergeCell ref="BTQ27:BTR27"/>
    <mergeCell ref="BTS27:BTT27"/>
    <mergeCell ref="BTU27:BTV27"/>
    <mergeCell ref="BTW27:BTX27"/>
    <mergeCell ref="BTY27:BTZ27"/>
    <mergeCell ref="BUA27:BUB27"/>
    <mergeCell ref="BTE27:BTF27"/>
    <mergeCell ref="BTG27:BTH27"/>
    <mergeCell ref="BTI27:BTJ27"/>
    <mergeCell ref="BTK27:BTL27"/>
    <mergeCell ref="BTM27:BTN27"/>
    <mergeCell ref="BTO27:BTP27"/>
    <mergeCell ref="BSS27:BST27"/>
    <mergeCell ref="BSU27:BSV27"/>
    <mergeCell ref="BSW27:BSX27"/>
    <mergeCell ref="BSY27:BSZ27"/>
    <mergeCell ref="BTA27:BTB27"/>
    <mergeCell ref="BTC27:BTD27"/>
    <mergeCell ref="BSG27:BSH27"/>
    <mergeCell ref="BSI27:BSJ27"/>
    <mergeCell ref="BSK27:BSL27"/>
    <mergeCell ref="BSM27:BSN27"/>
    <mergeCell ref="BSO27:BSP27"/>
    <mergeCell ref="BSQ27:BSR27"/>
    <mergeCell ref="BRU27:BRV27"/>
    <mergeCell ref="BRW27:BRX27"/>
    <mergeCell ref="BRY27:BRZ27"/>
    <mergeCell ref="BSA27:BSB27"/>
    <mergeCell ref="BSC27:BSD27"/>
    <mergeCell ref="BSE27:BSF27"/>
    <mergeCell ref="BWW27:BWX27"/>
    <mergeCell ref="BWY27:BWZ27"/>
    <mergeCell ref="BXA27:BXB27"/>
    <mergeCell ref="BXC27:BXD27"/>
    <mergeCell ref="BXE27:BXF27"/>
    <mergeCell ref="BXG27:BXH27"/>
    <mergeCell ref="BWK27:BWL27"/>
    <mergeCell ref="BWM27:BWN27"/>
    <mergeCell ref="BWO27:BWP27"/>
    <mergeCell ref="BWQ27:BWR27"/>
    <mergeCell ref="BWS27:BWT27"/>
    <mergeCell ref="BWU27:BWV27"/>
    <mergeCell ref="BVY27:BVZ27"/>
    <mergeCell ref="BWA27:BWB27"/>
    <mergeCell ref="BWC27:BWD27"/>
    <mergeCell ref="BWE27:BWF27"/>
    <mergeCell ref="BWG27:BWH27"/>
    <mergeCell ref="BWI27:BWJ27"/>
    <mergeCell ref="BVM27:BVN27"/>
    <mergeCell ref="BVO27:BVP27"/>
    <mergeCell ref="BVQ27:BVR27"/>
    <mergeCell ref="BVS27:BVT27"/>
    <mergeCell ref="BVU27:BVV27"/>
    <mergeCell ref="BVW27:BVX27"/>
    <mergeCell ref="BVA27:BVB27"/>
    <mergeCell ref="BVC27:BVD27"/>
    <mergeCell ref="BVE27:BVF27"/>
    <mergeCell ref="BVG27:BVH27"/>
    <mergeCell ref="BVI27:BVJ27"/>
    <mergeCell ref="BVK27:BVL27"/>
    <mergeCell ref="BUO27:BUP27"/>
    <mergeCell ref="BUQ27:BUR27"/>
    <mergeCell ref="BUS27:BUT27"/>
    <mergeCell ref="BUU27:BUV27"/>
    <mergeCell ref="BUW27:BUX27"/>
    <mergeCell ref="BUY27:BUZ27"/>
    <mergeCell ref="BZQ27:BZR27"/>
    <mergeCell ref="BZS27:BZT27"/>
    <mergeCell ref="BZU27:BZV27"/>
    <mergeCell ref="BZW27:BZX27"/>
    <mergeCell ref="BZY27:BZZ27"/>
    <mergeCell ref="CAA27:CAB27"/>
    <mergeCell ref="BZE27:BZF27"/>
    <mergeCell ref="BZG27:BZH27"/>
    <mergeCell ref="BZI27:BZJ27"/>
    <mergeCell ref="BZK27:BZL27"/>
    <mergeCell ref="BZM27:BZN27"/>
    <mergeCell ref="BZO27:BZP27"/>
    <mergeCell ref="BYS27:BYT27"/>
    <mergeCell ref="BYU27:BYV27"/>
    <mergeCell ref="BYW27:BYX27"/>
    <mergeCell ref="BYY27:BYZ27"/>
    <mergeCell ref="BZA27:BZB27"/>
    <mergeCell ref="BZC27:BZD27"/>
    <mergeCell ref="BYG27:BYH27"/>
    <mergeCell ref="BYI27:BYJ27"/>
    <mergeCell ref="BYK27:BYL27"/>
    <mergeCell ref="BYM27:BYN27"/>
    <mergeCell ref="BYO27:BYP27"/>
    <mergeCell ref="BYQ27:BYR27"/>
    <mergeCell ref="BXU27:BXV27"/>
    <mergeCell ref="BXW27:BXX27"/>
    <mergeCell ref="BXY27:BXZ27"/>
    <mergeCell ref="BYA27:BYB27"/>
    <mergeCell ref="BYC27:BYD27"/>
    <mergeCell ref="BYE27:BYF27"/>
    <mergeCell ref="BXI27:BXJ27"/>
    <mergeCell ref="BXK27:BXL27"/>
    <mergeCell ref="BXM27:BXN27"/>
    <mergeCell ref="BXO27:BXP27"/>
    <mergeCell ref="BXQ27:BXR27"/>
    <mergeCell ref="BXS27:BXT27"/>
    <mergeCell ref="CCK27:CCL27"/>
    <mergeCell ref="CCM27:CCN27"/>
    <mergeCell ref="CCO27:CCP27"/>
    <mergeCell ref="CCQ27:CCR27"/>
    <mergeCell ref="CCS27:CCT27"/>
    <mergeCell ref="CCU27:CCV27"/>
    <mergeCell ref="CBY27:CBZ27"/>
    <mergeCell ref="CCA27:CCB27"/>
    <mergeCell ref="CCC27:CCD27"/>
    <mergeCell ref="CCE27:CCF27"/>
    <mergeCell ref="CCG27:CCH27"/>
    <mergeCell ref="CCI27:CCJ27"/>
    <mergeCell ref="CBM27:CBN27"/>
    <mergeCell ref="CBO27:CBP27"/>
    <mergeCell ref="CBQ27:CBR27"/>
    <mergeCell ref="CBS27:CBT27"/>
    <mergeCell ref="CBU27:CBV27"/>
    <mergeCell ref="CBW27:CBX27"/>
    <mergeCell ref="CBA27:CBB27"/>
    <mergeCell ref="CBC27:CBD27"/>
    <mergeCell ref="CBE27:CBF27"/>
    <mergeCell ref="CBG27:CBH27"/>
    <mergeCell ref="CBI27:CBJ27"/>
    <mergeCell ref="CBK27:CBL27"/>
    <mergeCell ref="CAO27:CAP27"/>
    <mergeCell ref="CAQ27:CAR27"/>
    <mergeCell ref="CAS27:CAT27"/>
    <mergeCell ref="CAU27:CAV27"/>
    <mergeCell ref="CAW27:CAX27"/>
    <mergeCell ref="CAY27:CAZ27"/>
    <mergeCell ref="CAC27:CAD27"/>
    <mergeCell ref="CAE27:CAF27"/>
    <mergeCell ref="CAG27:CAH27"/>
    <mergeCell ref="CAI27:CAJ27"/>
    <mergeCell ref="CAK27:CAL27"/>
    <mergeCell ref="CAM27:CAN27"/>
    <mergeCell ref="CFE27:CFF27"/>
    <mergeCell ref="CFG27:CFH27"/>
    <mergeCell ref="CFI27:CFJ27"/>
    <mergeCell ref="CFK27:CFL27"/>
    <mergeCell ref="CFM27:CFN27"/>
    <mergeCell ref="CFO27:CFP27"/>
    <mergeCell ref="CES27:CET27"/>
    <mergeCell ref="CEU27:CEV27"/>
    <mergeCell ref="CEW27:CEX27"/>
    <mergeCell ref="CEY27:CEZ27"/>
    <mergeCell ref="CFA27:CFB27"/>
    <mergeCell ref="CFC27:CFD27"/>
    <mergeCell ref="CEG27:CEH27"/>
    <mergeCell ref="CEI27:CEJ27"/>
    <mergeCell ref="CEK27:CEL27"/>
    <mergeCell ref="CEM27:CEN27"/>
    <mergeCell ref="CEO27:CEP27"/>
    <mergeCell ref="CEQ27:CER27"/>
    <mergeCell ref="CDU27:CDV27"/>
    <mergeCell ref="CDW27:CDX27"/>
    <mergeCell ref="CDY27:CDZ27"/>
    <mergeCell ref="CEA27:CEB27"/>
    <mergeCell ref="CEC27:CED27"/>
    <mergeCell ref="CEE27:CEF27"/>
    <mergeCell ref="CDI27:CDJ27"/>
    <mergeCell ref="CDK27:CDL27"/>
    <mergeCell ref="CDM27:CDN27"/>
    <mergeCell ref="CDO27:CDP27"/>
    <mergeCell ref="CDQ27:CDR27"/>
    <mergeCell ref="CDS27:CDT27"/>
    <mergeCell ref="CCW27:CCX27"/>
    <mergeCell ref="CCY27:CCZ27"/>
    <mergeCell ref="CDA27:CDB27"/>
    <mergeCell ref="CDC27:CDD27"/>
    <mergeCell ref="CDE27:CDF27"/>
    <mergeCell ref="CDG27:CDH27"/>
    <mergeCell ref="CHY27:CHZ27"/>
    <mergeCell ref="CIA27:CIB27"/>
    <mergeCell ref="CIC27:CID27"/>
    <mergeCell ref="CIE27:CIF27"/>
    <mergeCell ref="CIG27:CIH27"/>
    <mergeCell ref="CII27:CIJ27"/>
    <mergeCell ref="CHM27:CHN27"/>
    <mergeCell ref="CHO27:CHP27"/>
    <mergeCell ref="CHQ27:CHR27"/>
    <mergeCell ref="CHS27:CHT27"/>
    <mergeCell ref="CHU27:CHV27"/>
    <mergeCell ref="CHW27:CHX27"/>
    <mergeCell ref="CHA27:CHB27"/>
    <mergeCell ref="CHC27:CHD27"/>
    <mergeCell ref="CHE27:CHF27"/>
    <mergeCell ref="CHG27:CHH27"/>
    <mergeCell ref="CHI27:CHJ27"/>
    <mergeCell ref="CHK27:CHL27"/>
    <mergeCell ref="CGO27:CGP27"/>
    <mergeCell ref="CGQ27:CGR27"/>
    <mergeCell ref="CGS27:CGT27"/>
    <mergeCell ref="CGU27:CGV27"/>
    <mergeCell ref="CGW27:CGX27"/>
    <mergeCell ref="CGY27:CGZ27"/>
    <mergeCell ref="CGC27:CGD27"/>
    <mergeCell ref="CGE27:CGF27"/>
    <mergeCell ref="CGG27:CGH27"/>
    <mergeCell ref="CGI27:CGJ27"/>
    <mergeCell ref="CGK27:CGL27"/>
    <mergeCell ref="CGM27:CGN27"/>
    <mergeCell ref="CFQ27:CFR27"/>
    <mergeCell ref="CFS27:CFT27"/>
    <mergeCell ref="CFU27:CFV27"/>
    <mergeCell ref="CFW27:CFX27"/>
    <mergeCell ref="CFY27:CFZ27"/>
    <mergeCell ref="CGA27:CGB27"/>
    <mergeCell ref="CKS27:CKT27"/>
    <mergeCell ref="CKU27:CKV27"/>
    <mergeCell ref="CKW27:CKX27"/>
    <mergeCell ref="CKY27:CKZ27"/>
    <mergeCell ref="CLA27:CLB27"/>
    <mergeCell ref="CLC27:CLD27"/>
    <mergeCell ref="CKG27:CKH27"/>
    <mergeCell ref="CKI27:CKJ27"/>
    <mergeCell ref="CKK27:CKL27"/>
    <mergeCell ref="CKM27:CKN27"/>
    <mergeCell ref="CKO27:CKP27"/>
    <mergeCell ref="CKQ27:CKR27"/>
    <mergeCell ref="CJU27:CJV27"/>
    <mergeCell ref="CJW27:CJX27"/>
    <mergeCell ref="CJY27:CJZ27"/>
    <mergeCell ref="CKA27:CKB27"/>
    <mergeCell ref="CKC27:CKD27"/>
    <mergeCell ref="CKE27:CKF27"/>
    <mergeCell ref="CJI27:CJJ27"/>
    <mergeCell ref="CJK27:CJL27"/>
    <mergeCell ref="CJM27:CJN27"/>
    <mergeCell ref="CJO27:CJP27"/>
    <mergeCell ref="CJQ27:CJR27"/>
    <mergeCell ref="CJS27:CJT27"/>
    <mergeCell ref="CIW27:CIX27"/>
    <mergeCell ref="CIY27:CIZ27"/>
    <mergeCell ref="CJA27:CJB27"/>
    <mergeCell ref="CJC27:CJD27"/>
    <mergeCell ref="CJE27:CJF27"/>
    <mergeCell ref="CJG27:CJH27"/>
    <mergeCell ref="CIK27:CIL27"/>
    <mergeCell ref="CIM27:CIN27"/>
    <mergeCell ref="CIO27:CIP27"/>
    <mergeCell ref="CIQ27:CIR27"/>
    <mergeCell ref="CIS27:CIT27"/>
    <mergeCell ref="CIU27:CIV27"/>
    <mergeCell ref="CNM27:CNN27"/>
    <mergeCell ref="CNO27:CNP27"/>
    <mergeCell ref="CNQ27:CNR27"/>
    <mergeCell ref="CNS27:CNT27"/>
    <mergeCell ref="CNU27:CNV27"/>
    <mergeCell ref="CNW27:CNX27"/>
    <mergeCell ref="CNA27:CNB27"/>
    <mergeCell ref="CNC27:CND27"/>
    <mergeCell ref="CNE27:CNF27"/>
    <mergeCell ref="CNG27:CNH27"/>
    <mergeCell ref="CNI27:CNJ27"/>
    <mergeCell ref="CNK27:CNL27"/>
    <mergeCell ref="CMO27:CMP27"/>
    <mergeCell ref="CMQ27:CMR27"/>
    <mergeCell ref="CMS27:CMT27"/>
    <mergeCell ref="CMU27:CMV27"/>
    <mergeCell ref="CMW27:CMX27"/>
    <mergeCell ref="CMY27:CMZ27"/>
    <mergeCell ref="CMC27:CMD27"/>
    <mergeCell ref="CME27:CMF27"/>
    <mergeCell ref="CMG27:CMH27"/>
    <mergeCell ref="CMI27:CMJ27"/>
    <mergeCell ref="CMK27:CML27"/>
    <mergeCell ref="CMM27:CMN27"/>
    <mergeCell ref="CLQ27:CLR27"/>
    <mergeCell ref="CLS27:CLT27"/>
    <mergeCell ref="CLU27:CLV27"/>
    <mergeCell ref="CLW27:CLX27"/>
    <mergeCell ref="CLY27:CLZ27"/>
    <mergeCell ref="CMA27:CMB27"/>
    <mergeCell ref="CLE27:CLF27"/>
    <mergeCell ref="CLG27:CLH27"/>
    <mergeCell ref="CLI27:CLJ27"/>
    <mergeCell ref="CLK27:CLL27"/>
    <mergeCell ref="CLM27:CLN27"/>
    <mergeCell ref="CLO27:CLP27"/>
    <mergeCell ref="CQG27:CQH27"/>
    <mergeCell ref="CQI27:CQJ27"/>
    <mergeCell ref="CQK27:CQL27"/>
    <mergeCell ref="CQM27:CQN27"/>
    <mergeCell ref="CQO27:CQP27"/>
    <mergeCell ref="CQQ27:CQR27"/>
    <mergeCell ref="CPU27:CPV27"/>
    <mergeCell ref="CPW27:CPX27"/>
    <mergeCell ref="CPY27:CPZ27"/>
    <mergeCell ref="CQA27:CQB27"/>
    <mergeCell ref="CQC27:CQD27"/>
    <mergeCell ref="CQE27:CQF27"/>
    <mergeCell ref="CPI27:CPJ27"/>
    <mergeCell ref="CPK27:CPL27"/>
    <mergeCell ref="CPM27:CPN27"/>
    <mergeCell ref="CPO27:CPP27"/>
    <mergeCell ref="CPQ27:CPR27"/>
    <mergeCell ref="CPS27:CPT27"/>
    <mergeCell ref="COW27:COX27"/>
    <mergeCell ref="COY27:COZ27"/>
    <mergeCell ref="CPA27:CPB27"/>
    <mergeCell ref="CPC27:CPD27"/>
    <mergeCell ref="CPE27:CPF27"/>
    <mergeCell ref="CPG27:CPH27"/>
    <mergeCell ref="COK27:COL27"/>
    <mergeCell ref="COM27:CON27"/>
    <mergeCell ref="COO27:COP27"/>
    <mergeCell ref="COQ27:COR27"/>
    <mergeCell ref="COS27:COT27"/>
    <mergeCell ref="COU27:COV27"/>
    <mergeCell ref="CNY27:CNZ27"/>
    <mergeCell ref="COA27:COB27"/>
    <mergeCell ref="COC27:COD27"/>
    <mergeCell ref="COE27:COF27"/>
    <mergeCell ref="COG27:COH27"/>
    <mergeCell ref="COI27:COJ27"/>
    <mergeCell ref="CTA27:CTB27"/>
    <mergeCell ref="CTC27:CTD27"/>
    <mergeCell ref="CTE27:CTF27"/>
    <mergeCell ref="CTG27:CTH27"/>
    <mergeCell ref="CTI27:CTJ27"/>
    <mergeCell ref="CTK27:CTL27"/>
    <mergeCell ref="CSO27:CSP27"/>
    <mergeCell ref="CSQ27:CSR27"/>
    <mergeCell ref="CSS27:CST27"/>
    <mergeCell ref="CSU27:CSV27"/>
    <mergeCell ref="CSW27:CSX27"/>
    <mergeCell ref="CSY27:CSZ27"/>
    <mergeCell ref="CSC27:CSD27"/>
    <mergeCell ref="CSE27:CSF27"/>
    <mergeCell ref="CSG27:CSH27"/>
    <mergeCell ref="CSI27:CSJ27"/>
    <mergeCell ref="CSK27:CSL27"/>
    <mergeCell ref="CSM27:CSN27"/>
    <mergeCell ref="CRQ27:CRR27"/>
    <mergeCell ref="CRS27:CRT27"/>
    <mergeCell ref="CRU27:CRV27"/>
    <mergeCell ref="CRW27:CRX27"/>
    <mergeCell ref="CRY27:CRZ27"/>
    <mergeCell ref="CSA27:CSB27"/>
    <mergeCell ref="CRE27:CRF27"/>
    <mergeCell ref="CRG27:CRH27"/>
    <mergeCell ref="CRI27:CRJ27"/>
    <mergeCell ref="CRK27:CRL27"/>
    <mergeCell ref="CRM27:CRN27"/>
    <mergeCell ref="CRO27:CRP27"/>
    <mergeCell ref="CQS27:CQT27"/>
    <mergeCell ref="CQU27:CQV27"/>
    <mergeCell ref="CQW27:CQX27"/>
    <mergeCell ref="CQY27:CQZ27"/>
    <mergeCell ref="CRA27:CRB27"/>
    <mergeCell ref="CRC27:CRD27"/>
    <mergeCell ref="CVU27:CVV27"/>
    <mergeCell ref="CVW27:CVX27"/>
    <mergeCell ref="CVY27:CVZ27"/>
    <mergeCell ref="CWA27:CWB27"/>
    <mergeCell ref="CWC27:CWD27"/>
    <mergeCell ref="CWE27:CWF27"/>
    <mergeCell ref="CVI27:CVJ27"/>
    <mergeCell ref="CVK27:CVL27"/>
    <mergeCell ref="CVM27:CVN27"/>
    <mergeCell ref="CVO27:CVP27"/>
    <mergeCell ref="CVQ27:CVR27"/>
    <mergeCell ref="CVS27:CVT27"/>
    <mergeCell ref="CUW27:CUX27"/>
    <mergeCell ref="CUY27:CUZ27"/>
    <mergeCell ref="CVA27:CVB27"/>
    <mergeCell ref="CVC27:CVD27"/>
    <mergeCell ref="CVE27:CVF27"/>
    <mergeCell ref="CVG27:CVH27"/>
    <mergeCell ref="CUK27:CUL27"/>
    <mergeCell ref="CUM27:CUN27"/>
    <mergeCell ref="CUO27:CUP27"/>
    <mergeCell ref="CUQ27:CUR27"/>
    <mergeCell ref="CUS27:CUT27"/>
    <mergeCell ref="CUU27:CUV27"/>
    <mergeCell ref="CTY27:CTZ27"/>
    <mergeCell ref="CUA27:CUB27"/>
    <mergeCell ref="CUC27:CUD27"/>
    <mergeCell ref="CUE27:CUF27"/>
    <mergeCell ref="CUG27:CUH27"/>
    <mergeCell ref="CUI27:CUJ27"/>
    <mergeCell ref="CTM27:CTN27"/>
    <mergeCell ref="CTO27:CTP27"/>
    <mergeCell ref="CTQ27:CTR27"/>
    <mergeCell ref="CTS27:CTT27"/>
    <mergeCell ref="CTU27:CTV27"/>
    <mergeCell ref="CTW27:CTX27"/>
    <mergeCell ref="CYO27:CYP27"/>
    <mergeCell ref="CYQ27:CYR27"/>
    <mergeCell ref="CYS27:CYT27"/>
    <mergeCell ref="CYU27:CYV27"/>
    <mergeCell ref="CYW27:CYX27"/>
    <mergeCell ref="CYY27:CYZ27"/>
    <mergeCell ref="CYC27:CYD27"/>
    <mergeCell ref="CYE27:CYF27"/>
    <mergeCell ref="CYG27:CYH27"/>
    <mergeCell ref="CYI27:CYJ27"/>
    <mergeCell ref="CYK27:CYL27"/>
    <mergeCell ref="CYM27:CYN27"/>
    <mergeCell ref="CXQ27:CXR27"/>
    <mergeCell ref="CXS27:CXT27"/>
    <mergeCell ref="CXU27:CXV27"/>
    <mergeCell ref="CXW27:CXX27"/>
    <mergeCell ref="CXY27:CXZ27"/>
    <mergeCell ref="CYA27:CYB27"/>
    <mergeCell ref="CXE27:CXF27"/>
    <mergeCell ref="CXG27:CXH27"/>
    <mergeCell ref="CXI27:CXJ27"/>
    <mergeCell ref="CXK27:CXL27"/>
    <mergeCell ref="CXM27:CXN27"/>
    <mergeCell ref="CXO27:CXP27"/>
    <mergeCell ref="CWS27:CWT27"/>
    <mergeCell ref="CWU27:CWV27"/>
    <mergeCell ref="CWW27:CWX27"/>
    <mergeCell ref="CWY27:CWZ27"/>
    <mergeCell ref="CXA27:CXB27"/>
    <mergeCell ref="CXC27:CXD27"/>
    <mergeCell ref="CWG27:CWH27"/>
    <mergeCell ref="CWI27:CWJ27"/>
    <mergeCell ref="CWK27:CWL27"/>
    <mergeCell ref="CWM27:CWN27"/>
    <mergeCell ref="CWO27:CWP27"/>
    <mergeCell ref="CWQ27:CWR27"/>
    <mergeCell ref="DBI27:DBJ27"/>
    <mergeCell ref="DBK27:DBL27"/>
    <mergeCell ref="DBM27:DBN27"/>
    <mergeCell ref="DBO27:DBP27"/>
    <mergeCell ref="DBQ27:DBR27"/>
    <mergeCell ref="DBS27:DBT27"/>
    <mergeCell ref="DAW27:DAX27"/>
    <mergeCell ref="DAY27:DAZ27"/>
    <mergeCell ref="DBA27:DBB27"/>
    <mergeCell ref="DBC27:DBD27"/>
    <mergeCell ref="DBE27:DBF27"/>
    <mergeCell ref="DBG27:DBH27"/>
    <mergeCell ref="DAK27:DAL27"/>
    <mergeCell ref="DAM27:DAN27"/>
    <mergeCell ref="DAO27:DAP27"/>
    <mergeCell ref="DAQ27:DAR27"/>
    <mergeCell ref="DAS27:DAT27"/>
    <mergeCell ref="DAU27:DAV27"/>
    <mergeCell ref="CZY27:CZZ27"/>
    <mergeCell ref="DAA27:DAB27"/>
    <mergeCell ref="DAC27:DAD27"/>
    <mergeCell ref="DAE27:DAF27"/>
    <mergeCell ref="DAG27:DAH27"/>
    <mergeCell ref="DAI27:DAJ27"/>
    <mergeCell ref="CZM27:CZN27"/>
    <mergeCell ref="CZO27:CZP27"/>
    <mergeCell ref="CZQ27:CZR27"/>
    <mergeCell ref="CZS27:CZT27"/>
    <mergeCell ref="CZU27:CZV27"/>
    <mergeCell ref="CZW27:CZX27"/>
    <mergeCell ref="CZA27:CZB27"/>
    <mergeCell ref="CZC27:CZD27"/>
    <mergeCell ref="CZE27:CZF27"/>
    <mergeCell ref="CZG27:CZH27"/>
    <mergeCell ref="CZI27:CZJ27"/>
    <mergeCell ref="CZK27:CZL27"/>
    <mergeCell ref="DEC27:DED27"/>
    <mergeCell ref="DEE27:DEF27"/>
    <mergeCell ref="DEG27:DEH27"/>
    <mergeCell ref="DEI27:DEJ27"/>
    <mergeCell ref="DEK27:DEL27"/>
    <mergeCell ref="DEM27:DEN27"/>
    <mergeCell ref="DDQ27:DDR27"/>
    <mergeCell ref="DDS27:DDT27"/>
    <mergeCell ref="DDU27:DDV27"/>
    <mergeCell ref="DDW27:DDX27"/>
    <mergeCell ref="DDY27:DDZ27"/>
    <mergeCell ref="DEA27:DEB27"/>
    <mergeCell ref="DDE27:DDF27"/>
    <mergeCell ref="DDG27:DDH27"/>
    <mergeCell ref="DDI27:DDJ27"/>
    <mergeCell ref="DDK27:DDL27"/>
    <mergeCell ref="DDM27:DDN27"/>
    <mergeCell ref="DDO27:DDP27"/>
    <mergeCell ref="DCS27:DCT27"/>
    <mergeCell ref="DCU27:DCV27"/>
    <mergeCell ref="DCW27:DCX27"/>
    <mergeCell ref="DCY27:DCZ27"/>
    <mergeCell ref="DDA27:DDB27"/>
    <mergeCell ref="DDC27:DDD27"/>
    <mergeCell ref="DCG27:DCH27"/>
    <mergeCell ref="DCI27:DCJ27"/>
    <mergeCell ref="DCK27:DCL27"/>
    <mergeCell ref="DCM27:DCN27"/>
    <mergeCell ref="DCO27:DCP27"/>
    <mergeCell ref="DCQ27:DCR27"/>
    <mergeCell ref="DBU27:DBV27"/>
    <mergeCell ref="DBW27:DBX27"/>
    <mergeCell ref="DBY27:DBZ27"/>
    <mergeCell ref="DCA27:DCB27"/>
    <mergeCell ref="DCC27:DCD27"/>
    <mergeCell ref="DCE27:DCF27"/>
    <mergeCell ref="DGW27:DGX27"/>
    <mergeCell ref="DGY27:DGZ27"/>
    <mergeCell ref="DHA27:DHB27"/>
    <mergeCell ref="DHC27:DHD27"/>
    <mergeCell ref="DHE27:DHF27"/>
    <mergeCell ref="DHG27:DHH27"/>
    <mergeCell ref="DGK27:DGL27"/>
    <mergeCell ref="DGM27:DGN27"/>
    <mergeCell ref="DGO27:DGP27"/>
    <mergeCell ref="DGQ27:DGR27"/>
    <mergeCell ref="DGS27:DGT27"/>
    <mergeCell ref="DGU27:DGV27"/>
    <mergeCell ref="DFY27:DFZ27"/>
    <mergeCell ref="DGA27:DGB27"/>
    <mergeCell ref="DGC27:DGD27"/>
    <mergeCell ref="DGE27:DGF27"/>
    <mergeCell ref="DGG27:DGH27"/>
    <mergeCell ref="DGI27:DGJ27"/>
    <mergeCell ref="DFM27:DFN27"/>
    <mergeCell ref="DFO27:DFP27"/>
    <mergeCell ref="DFQ27:DFR27"/>
    <mergeCell ref="DFS27:DFT27"/>
    <mergeCell ref="DFU27:DFV27"/>
    <mergeCell ref="DFW27:DFX27"/>
    <mergeCell ref="DFA27:DFB27"/>
    <mergeCell ref="DFC27:DFD27"/>
    <mergeCell ref="DFE27:DFF27"/>
    <mergeCell ref="DFG27:DFH27"/>
    <mergeCell ref="DFI27:DFJ27"/>
    <mergeCell ref="DFK27:DFL27"/>
    <mergeCell ref="DEO27:DEP27"/>
    <mergeCell ref="DEQ27:DER27"/>
    <mergeCell ref="DES27:DET27"/>
    <mergeCell ref="DEU27:DEV27"/>
    <mergeCell ref="DEW27:DEX27"/>
    <mergeCell ref="DEY27:DEZ27"/>
    <mergeCell ref="DJQ27:DJR27"/>
    <mergeCell ref="DJS27:DJT27"/>
    <mergeCell ref="DJU27:DJV27"/>
    <mergeCell ref="DJW27:DJX27"/>
    <mergeCell ref="DJY27:DJZ27"/>
    <mergeCell ref="DKA27:DKB27"/>
    <mergeCell ref="DJE27:DJF27"/>
    <mergeCell ref="DJG27:DJH27"/>
    <mergeCell ref="DJI27:DJJ27"/>
    <mergeCell ref="DJK27:DJL27"/>
    <mergeCell ref="DJM27:DJN27"/>
    <mergeCell ref="DJO27:DJP27"/>
    <mergeCell ref="DIS27:DIT27"/>
    <mergeCell ref="DIU27:DIV27"/>
    <mergeCell ref="DIW27:DIX27"/>
    <mergeCell ref="DIY27:DIZ27"/>
    <mergeCell ref="DJA27:DJB27"/>
    <mergeCell ref="DJC27:DJD27"/>
    <mergeCell ref="DIG27:DIH27"/>
    <mergeCell ref="DII27:DIJ27"/>
    <mergeCell ref="DIK27:DIL27"/>
    <mergeCell ref="DIM27:DIN27"/>
    <mergeCell ref="DIO27:DIP27"/>
    <mergeCell ref="DIQ27:DIR27"/>
    <mergeCell ref="DHU27:DHV27"/>
    <mergeCell ref="DHW27:DHX27"/>
    <mergeCell ref="DHY27:DHZ27"/>
    <mergeCell ref="DIA27:DIB27"/>
    <mergeCell ref="DIC27:DID27"/>
    <mergeCell ref="DIE27:DIF27"/>
    <mergeCell ref="DHI27:DHJ27"/>
    <mergeCell ref="DHK27:DHL27"/>
    <mergeCell ref="DHM27:DHN27"/>
    <mergeCell ref="DHO27:DHP27"/>
    <mergeCell ref="DHQ27:DHR27"/>
    <mergeCell ref="DHS27:DHT27"/>
    <mergeCell ref="DMK27:DML27"/>
    <mergeCell ref="DMM27:DMN27"/>
    <mergeCell ref="DMO27:DMP27"/>
    <mergeCell ref="DMQ27:DMR27"/>
    <mergeCell ref="DMS27:DMT27"/>
    <mergeCell ref="DMU27:DMV27"/>
    <mergeCell ref="DLY27:DLZ27"/>
    <mergeCell ref="DMA27:DMB27"/>
    <mergeCell ref="DMC27:DMD27"/>
    <mergeCell ref="DME27:DMF27"/>
    <mergeCell ref="DMG27:DMH27"/>
    <mergeCell ref="DMI27:DMJ27"/>
    <mergeCell ref="DLM27:DLN27"/>
    <mergeCell ref="DLO27:DLP27"/>
    <mergeCell ref="DLQ27:DLR27"/>
    <mergeCell ref="DLS27:DLT27"/>
    <mergeCell ref="DLU27:DLV27"/>
    <mergeCell ref="DLW27:DLX27"/>
    <mergeCell ref="DLA27:DLB27"/>
    <mergeCell ref="DLC27:DLD27"/>
    <mergeCell ref="DLE27:DLF27"/>
    <mergeCell ref="DLG27:DLH27"/>
    <mergeCell ref="DLI27:DLJ27"/>
    <mergeCell ref="DLK27:DLL27"/>
    <mergeCell ref="DKO27:DKP27"/>
    <mergeCell ref="DKQ27:DKR27"/>
    <mergeCell ref="DKS27:DKT27"/>
    <mergeCell ref="DKU27:DKV27"/>
    <mergeCell ref="DKW27:DKX27"/>
    <mergeCell ref="DKY27:DKZ27"/>
    <mergeCell ref="DKC27:DKD27"/>
    <mergeCell ref="DKE27:DKF27"/>
    <mergeCell ref="DKG27:DKH27"/>
    <mergeCell ref="DKI27:DKJ27"/>
    <mergeCell ref="DKK27:DKL27"/>
    <mergeCell ref="DKM27:DKN27"/>
    <mergeCell ref="DPE27:DPF27"/>
    <mergeCell ref="DPG27:DPH27"/>
    <mergeCell ref="DPI27:DPJ27"/>
    <mergeCell ref="DPK27:DPL27"/>
    <mergeCell ref="DPM27:DPN27"/>
    <mergeCell ref="DPO27:DPP27"/>
    <mergeCell ref="DOS27:DOT27"/>
    <mergeCell ref="DOU27:DOV27"/>
    <mergeCell ref="DOW27:DOX27"/>
    <mergeCell ref="DOY27:DOZ27"/>
    <mergeCell ref="DPA27:DPB27"/>
    <mergeCell ref="DPC27:DPD27"/>
    <mergeCell ref="DOG27:DOH27"/>
    <mergeCell ref="DOI27:DOJ27"/>
    <mergeCell ref="DOK27:DOL27"/>
    <mergeCell ref="DOM27:DON27"/>
    <mergeCell ref="DOO27:DOP27"/>
    <mergeCell ref="DOQ27:DOR27"/>
    <mergeCell ref="DNU27:DNV27"/>
    <mergeCell ref="DNW27:DNX27"/>
    <mergeCell ref="DNY27:DNZ27"/>
    <mergeCell ref="DOA27:DOB27"/>
    <mergeCell ref="DOC27:DOD27"/>
    <mergeCell ref="DOE27:DOF27"/>
    <mergeCell ref="DNI27:DNJ27"/>
    <mergeCell ref="DNK27:DNL27"/>
    <mergeCell ref="DNM27:DNN27"/>
    <mergeCell ref="DNO27:DNP27"/>
    <mergeCell ref="DNQ27:DNR27"/>
    <mergeCell ref="DNS27:DNT27"/>
    <mergeCell ref="DMW27:DMX27"/>
    <mergeCell ref="DMY27:DMZ27"/>
    <mergeCell ref="DNA27:DNB27"/>
    <mergeCell ref="DNC27:DND27"/>
    <mergeCell ref="DNE27:DNF27"/>
    <mergeCell ref="DNG27:DNH27"/>
    <mergeCell ref="DRY27:DRZ27"/>
    <mergeCell ref="DSA27:DSB27"/>
    <mergeCell ref="DSC27:DSD27"/>
    <mergeCell ref="DSE27:DSF27"/>
    <mergeCell ref="DSG27:DSH27"/>
    <mergeCell ref="DSI27:DSJ27"/>
    <mergeCell ref="DRM27:DRN27"/>
    <mergeCell ref="DRO27:DRP27"/>
    <mergeCell ref="DRQ27:DRR27"/>
    <mergeCell ref="DRS27:DRT27"/>
    <mergeCell ref="DRU27:DRV27"/>
    <mergeCell ref="DRW27:DRX27"/>
    <mergeCell ref="DRA27:DRB27"/>
    <mergeCell ref="DRC27:DRD27"/>
    <mergeCell ref="DRE27:DRF27"/>
    <mergeCell ref="DRG27:DRH27"/>
    <mergeCell ref="DRI27:DRJ27"/>
    <mergeCell ref="DRK27:DRL27"/>
    <mergeCell ref="DQO27:DQP27"/>
    <mergeCell ref="DQQ27:DQR27"/>
    <mergeCell ref="DQS27:DQT27"/>
    <mergeCell ref="DQU27:DQV27"/>
    <mergeCell ref="DQW27:DQX27"/>
    <mergeCell ref="DQY27:DQZ27"/>
    <mergeCell ref="DQC27:DQD27"/>
    <mergeCell ref="DQE27:DQF27"/>
    <mergeCell ref="DQG27:DQH27"/>
    <mergeCell ref="DQI27:DQJ27"/>
    <mergeCell ref="DQK27:DQL27"/>
    <mergeCell ref="DQM27:DQN27"/>
    <mergeCell ref="DPQ27:DPR27"/>
    <mergeCell ref="DPS27:DPT27"/>
    <mergeCell ref="DPU27:DPV27"/>
    <mergeCell ref="DPW27:DPX27"/>
    <mergeCell ref="DPY27:DPZ27"/>
    <mergeCell ref="DQA27:DQB27"/>
    <mergeCell ref="DUS27:DUT27"/>
    <mergeCell ref="DUU27:DUV27"/>
    <mergeCell ref="DUW27:DUX27"/>
    <mergeCell ref="DUY27:DUZ27"/>
    <mergeCell ref="DVA27:DVB27"/>
    <mergeCell ref="DVC27:DVD27"/>
    <mergeCell ref="DUG27:DUH27"/>
    <mergeCell ref="DUI27:DUJ27"/>
    <mergeCell ref="DUK27:DUL27"/>
    <mergeCell ref="DUM27:DUN27"/>
    <mergeCell ref="DUO27:DUP27"/>
    <mergeCell ref="DUQ27:DUR27"/>
    <mergeCell ref="DTU27:DTV27"/>
    <mergeCell ref="DTW27:DTX27"/>
    <mergeCell ref="DTY27:DTZ27"/>
    <mergeCell ref="DUA27:DUB27"/>
    <mergeCell ref="DUC27:DUD27"/>
    <mergeCell ref="DUE27:DUF27"/>
    <mergeCell ref="DTI27:DTJ27"/>
    <mergeCell ref="DTK27:DTL27"/>
    <mergeCell ref="DTM27:DTN27"/>
    <mergeCell ref="DTO27:DTP27"/>
    <mergeCell ref="DTQ27:DTR27"/>
    <mergeCell ref="DTS27:DTT27"/>
    <mergeCell ref="DSW27:DSX27"/>
    <mergeCell ref="DSY27:DSZ27"/>
    <mergeCell ref="DTA27:DTB27"/>
    <mergeCell ref="DTC27:DTD27"/>
    <mergeCell ref="DTE27:DTF27"/>
    <mergeCell ref="DTG27:DTH27"/>
    <mergeCell ref="DSK27:DSL27"/>
    <mergeCell ref="DSM27:DSN27"/>
    <mergeCell ref="DSO27:DSP27"/>
    <mergeCell ref="DSQ27:DSR27"/>
    <mergeCell ref="DSS27:DST27"/>
    <mergeCell ref="DSU27:DSV27"/>
    <mergeCell ref="DXM27:DXN27"/>
    <mergeCell ref="DXO27:DXP27"/>
    <mergeCell ref="DXQ27:DXR27"/>
    <mergeCell ref="DXS27:DXT27"/>
    <mergeCell ref="DXU27:DXV27"/>
    <mergeCell ref="DXW27:DXX27"/>
    <mergeCell ref="DXA27:DXB27"/>
    <mergeCell ref="DXC27:DXD27"/>
    <mergeCell ref="DXE27:DXF27"/>
    <mergeCell ref="DXG27:DXH27"/>
    <mergeCell ref="DXI27:DXJ27"/>
    <mergeCell ref="DXK27:DXL27"/>
    <mergeCell ref="DWO27:DWP27"/>
    <mergeCell ref="DWQ27:DWR27"/>
    <mergeCell ref="DWS27:DWT27"/>
    <mergeCell ref="DWU27:DWV27"/>
    <mergeCell ref="DWW27:DWX27"/>
    <mergeCell ref="DWY27:DWZ27"/>
    <mergeCell ref="DWC27:DWD27"/>
    <mergeCell ref="DWE27:DWF27"/>
    <mergeCell ref="DWG27:DWH27"/>
    <mergeCell ref="DWI27:DWJ27"/>
    <mergeCell ref="DWK27:DWL27"/>
    <mergeCell ref="DWM27:DWN27"/>
    <mergeCell ref="DVQ27:DVR27"/>
    <mergeCell ref="DVS27:DVT27"/>
    <mergeCell ref="DVU27:DVV27"/>
    <mergeCell ref="DVW27:DVX27"/>
    <mergeCell ref="DVY27:DVZ27"/>
    <mergeCell ref="DWA27:DWB27"/>
    <mergeCell ref="DVE27:DVF27"/>
    <mergeCell ref="DVG27:DVH27"/>
    <mergeCell ref="DVI27:DVJ27"/>
    <mergeCell ref="DVK27:DVL27"/>
    <mergeCell ref="DVM27:DVN27"/>
    <mergeCell ref="DVO27:DVP27"/>
    <mergeCell ref="EAG27:EAH27"/>
    <mergeCell ref="EAI27:EAJ27"/>
    <mergeCell ref="EAK27:EAL27"/>
    <mergeCell ref="EAM27:EAN27"/>
    <mergeCell ref="EAO27:EAP27"/>
    <mergeCell ref="EAQ27:EAR27"/>
    <mergeCell ref="DZU27:DZV27"/>
    <mergeCell ref="DZW27:DZX27"/>
    <mergeCell ref="DZY27:DZZ27"/>
    <mergeCell ref="EAA27:EAB27"/>
    <mergeCell ref="EAC27:EAD27"/>
    <mergeCell ref="EAE27:EAF27"/>
    <mergeCell ref="DZI27:DZJ27"/>
    <mergeCell ref="DZK27:DZL27"/>
    <mergeCell ref="DZM27:DZN27"/>
    <mergeCell ref="DZO27:DZP27"/>
    <mergeCell ref="DZQ27:DZR27"/>
    <mergeCell ref="DZS27:DZT27"/>
    <mergeCell ref="DYW27:DYX27"/>
    <mergeCell ref="DYY27:DYZ27"/>
    <mergeCell ref="DZA27:DZB27"/>
    <mergeCell ref="DZC27:DZD27"/>
    <mergeCell ref="DZE27:DZF27"/>
    <mergeCell ref="DZG27:DZH27"/>
    <mergeCell ref="DYK27:DYL27"/>
    <mergeCell ref="DYM27:DYN27"/>
    <mergeCell ref="DYO27:DYP27"/>
    <mergeCell ref="DYQ27:DYR27"/>
    <mergeCell ref="DYS27:DYT27"/>
    <mergeCell ref="DYU27:DYV27"/>
    <mergeCell ref="DXY27:DXZ27"/>
    <mergeCell ref="DYA27:DYB27"/>
    <mergeCell ref="DYC27:DYD27"/>
    <mergeCell ref="DYE27:DYF27"/>
    <mergeCell ref="DYG27:DYH27"/>
    <mergeCell ref="DYI27:DYJ27"/>
    <mergeCell ref="EDA27:EDB27"/>
    <mergeCell ref="EDC27:EDD27"/>
    <mergeCell ref="EDE27:EDF27"/>
    <mergeCell ref="EDG27:EDH27"/>
    <mergeCell ref="EDI27:EDJ27"/>
    <mergeCell ref="EDK27:EDL27"/>
    <mergeCell ref="ECO27:ECP27"/>
    <mergeCell ref="ECQ27:ECR27"/>
    <mergeCell ref="ECS27:ECT27"/>
    <mergeCell ref="ECU27:ECV27"/>
    <mergeCell ref="ECW27:ECX27"/>
    <mergeCell ref="ECY27:ECZ27"/>
    <mergeCell ref="ECC27:ECD27"/>
    <mergeCell ref="ECE27:ECF27"/>
    <mergeCell ref="ECG27:ECH27"/>
    <mergeCell ref="ECI27:ECJ27"/>
    <mergeCell ref="ECK27:ECL27"/>
    <mergeCell ref="ECM27:ECN27"/>
    <mergeCell ref="EBQ27:EBR27"/>
    <mergeCell ref="EBS27:EBT27"/>
    <mergeCell ref="EBU27:EBV27"/>
    <mergeCell ref="EBW27:EBX27"/>
    <mergeCell ref="EBY27:EBZ27"/>
    <mergeCell ref="ECA27:ECB27"/>
    <mergeCell ref="EBE27:EBF27"/>
    <mergeCell ref="EBG27:EBH27"/>
    <mergeCell ref="EBI27:EBJ27"/>
    <mergeCell ref="EBK27:EBL27"/>
    <mergeCell ref="EBM27:EBN27"/>
    <mergeCell ref="EBO27:EBP27"/>
    <mergeCell ref="EAS27:EAT27"/>
    <mergeCell ref="EAU27:EAV27"/>
    <mergeCell ref="EAW27:EAX27"/>
    <mergeCell ref="EAY27:EAZ27"/>
    <mergeCell ref="EBA27:EBB27"/>
    <mergeCell ref="EBC27:EBD27"/>
    <mergeCell ref="EFU27:EFV27"/>
    <mergeCell ref="EFW27:EFX27"/>
    <mergeCell ref="EFY27:EFZ27"/>
    <mergeCell ref="EGA27:EGB27"/>
    <mergeCell ref="EGC27:EGD27"/>
    <mergeCell ref="EGE27:EGF27"/>
    <mergeCell ref="EFI27:EFJ27"/>
    <mergeCell ref="EFK27:EFL27"/>
    <mergeCell ref="EFM27:EFN27"/>
    <mergeCell ref="EFO27:EFP27"/>
    <mergeCell ref="EFQ27:EFR27"/>
    <mergeCell ref="EFS27:EFT27"/>
    <mergeCell ref="EEW27:EEX27"/>
    <mergeCell ref="EEY27:EEZ27"/>
    <mergeCell ref="EFA27:EFB27"/>
    <mergeCell ref="EFC27:EFD27"/>
    <mergeCell ref="EFE27:EFF27"/>
    <mergeCell ref="EFG27:EFH27"/>
    <mergeCell ref="EEK27:EEL27"/>
    <mergeCell ref="EEM27:EEN27"/>
    <mergeCell ref="EEO27:EEP27"/>
    <mergeCell ref="EEQ27:EER27"/>
    <mergeCell ref="EES27:EET27"/>
    <mergeCell ref="EEU27:EEV27"/>
    <mergeCell ref="EDY27:EDZ27"/>
    <mergeCell ref="EEA27:EEB27"/>
    <mergeCell ref="EEC27:EED27"/>
    <mergeCell ref="EEE27:EEF27"/>
    <mergeCell ref="EEG27:EEH27"/>
    <mergeCell ref="EEI27:EEJ27"/>
    <mergeCell ref="EDM27:EDN27"/>
    <mergeCell ref="EDO27:EDP27"/>
    <mergeCell ref="EDQ27:EDR27"/>
    <mergeCell ref="EDS27:EDT27"/>
    <mergeCell ref="EDU27:EDV27"/>
    <mergeCell ref="EDW27:EDX27"/>
    <mergeCell ref="EIO27:EIP27"/>
    <mergeCell ref="EIQ27:EIR27"/>
    <mergeCell ref="EIS27:EIT27"/>
    <mergeCell ref="EIU27:EIV27"/>
    <mergeCell ref="EIW27:EIX27"/>
    <mergeCell ref="EIY27:EIZ27"/>
    <mergeCell ref="EIC27:EID27"/>
    <mergeCell ref="EIE27:EIF27"/>
    <mergeCell ref="EIG27:EIH27"/>
    <mergeCell ref="EII27:EIJ27"/>
    <mergeCell ref="EIK27:EIL27"/>
    <mergeCell ref="EIM27:EIN27"/>
    <mergeCell ref="EHQ27:EHR27"/>
    <mergeCell ref="EHS27:EHT27"/>
    <mergeCell ref="EHU27:EHV27"/>
    <mergeCell ref="EHW27:EHX27"/>
    <mergeCell ref="EHY27:EHZ27"/>
    <mergeCell ref="EIA27:EIB27"/>
    <mergeCell ref="EHE27:EHF27"/>
    <mergeCell ref="EHG27:EHH27"/>
    <mergeCell ref="EHI27:EHJ27"/>
    <mergeCell ref="EHK27:EHL27"/>
    <mergeCell ref="EHM27:EHN27"/>
    <mergeCell ref="EHO27:EHP27"/>
    <mergeCell ref="EGS27:EGT27"/>
    <mergeCell ref="EGU27:EGV27"/>
    <mergeCell ref="EGW27:EGX27"/>
    <mergeCell ref="EGY27:EGZ27"/>
    <mergeCell ref="EHA27:EHB27"/>
    <mergeCell ref="EHC27:EHD27"/>
    <mergeCell ref="EGG27:EGH27"/>
    <mergeCell ref="EGI27:EGJ27"/>
    <mergeCell ref="EGK27:EGL27"/>
    <mergeCell ref="EGM27:EGN27"/>
    <mergeCell ref="EGO27:EGP27"/>
    <mergeCell ref="EGQ27:EGR27"/>
    <mergeCell ref="ELI27:ELJ27"/>
    <mergeCell ref="ELK27:ELL27"/>
    <mergeCell ref="ELM27:ELN27"/>
    <mergeCell ref="ELO27:ELP27"/>
    <mergeCell ref="ELQ27:ELR27"/>
    <mergeCell ref="ELS27:ELT27"/>
    <mergeCell ref="EKW27:EKX27"/>
    <mergeCell ref="EKY27:EKZ27"/>
    <mergeCell ref="ELA27:ELB27"/>
    <mergeCell ref="ELC27:ELD27"/>
    <mergeCell ref="ELE27:ELF27"/>
    <mergeCell ref="ELG27:ELH27"/>
    <mergeCell ref="EKK27:EKL27"/>
    <mergeCell ref="EKM27:EKN27"/>
    <mergeCell ref="EKO27:EKP27"/>
    <mergeCell ref="EKQ27:EKR27"/>
    <mergeCell ref="EKS27:EKT27"/>
    <mergeCell ref="EKU27:EKV27"/>
    <mergeCell ref="EJY27:EJZ27"/>
    <mergeCell ref="EKA27:EKB27"/>
    <mergeCell ref="EKC27:EKD27"/>
    <mergeCell ref="EKE27:EKF27"/>
    <mergeCell ref="EKG27:EKH27"/>
    <mergeCell ref="EKI27:EKJ27"/>
    <mergeCell ref="EJM27:EJN27"/>
    <mergeCell ref="EJO27:EJP27"/>
    <mergeCell ref="EJQ27:EJR27"/>
    <mergeCell ref="EJS27:EJT27"/>
    <mergeCell ref="EJU27:EJV27"/>
    <mergeCell ref="EJW27:EJX27"/>
    <mergeCell ref="EJA27:EJB27"/>
    <mergeCell ref="EJC27:EJD27"/>
    <mergeCell ref="EJE27:EJF27"/>
    <mergeCell ref="EJG27:EJH27"/>
    <mergeCell ref="EJI27:EJJ27"/>
    <mergeCell ref="EJK27:EJL27"/>
    <mergeCell ref="EOC27:EOD27"/>
    <mergeCell ref="EOE27:EOF27"/>
    <mergeCell ref="EOG27:EOH27"/>
    <mergeCell ref="EOI27:EOJ27"/>
    <mergeCell ref="EOK27:EOL27"/>
    <mergeCell ref="EOM27:EON27"/>
    <mergeCell ref="ENQ27:ENR27"/>
    <mergeCell ref="ENS27:ENT27"/>
    <mergeCell ref="ENU27:ENV27"/>
    <mergeCell ref="ENW27:ENX27"/>
    <mergeCell ref="ENY27:ENZ27"/>
    <mergeCell ref="EOA27:EOB27"/>
    <mergeCell ref="ENE27:ENF27"/>
    <mergeCell ref="ENG27:ENH27"/>
    <mergeCell ref="ENI27:ENJ27"/>
    <mergeCell ref="ENK27:ENL27"/>
    <mergeCell ref="ENM27:ENN27"/>
    <mergeCell ref="ENO27:ENP27"/>
    <mergeCell ref="EMS27:EMT27"/>
    <mergeCell ref="EMU27:EMV27"/>
    <mergeCell ref="EMW27:EMX27"/>
    <mergeCell ref="EMY27:EMZ27"/>
    <mergeCell ref="ENA27:ENB27"/>
    <mergeCell ref="ENC27:END27"/>
    <mergeCell ref="EMG27:EMH27"/>
    <mergeCell ref="EMI27:EMJ27"/>
    <mergeCell ref="EMK27:EML27"/>
    <mergeCell ref="EMM27:EMN27"/>
    <mergeCell ref="EMO27:EMP27"/>
    <mergeCell ref="EMQ27:EMR27"/>
    <mergeCell ref="ELU27:ELV27"/>
    <mergeCell ref="ELW27:ELX27"/>
    <mergeCell ref="ELY27:ELZ27"/>
    <mergeCell ref="EMA27:EMB27"/>
    <mergeCell ref="EMC27:EMD27"/>
    <mergeCell ref="EME27:EMF27"/>
    <mergeCell ref="EQW27:EQX27"/>
    <mergeCell ref="EQY27:EQZ27"/>
    <mergeCell ref="ERA27:ERB27"/>
    <mergeCell ref="ERC27:ERD27"/>
    <mergeCell ref="ERE27:ERF27"/>
    <mergeCell ref="ERG27:ERH27"/>
    <mergeCell ref="EQK27:EQL27"/>
    <mergeCell ref="EQM27:EQN27"/>
    <mergeCell ref="EQO27:EQP27"/>
    <mergeCell ref="EQQ27:EQR27"/>
    <mergeCell ref="EQS27:EQT27"/>
    <mergeCell ref="EQU27:EQV27"/>
    <mergeCell ref="EPY27:EPZ27"/>
    <mergeCell ref="EQA27:EQB27"/>
    <mergeCell ref="EQC27:EQD27"/>
    <mergeCell ref="EQE27:EQF27"/>
    <mergeCell ref="EQG27:EQH27"/>
    <mergeCell ref="EQI27:EQJ27"/>
    <mergeCell ref="EPM27:EPN27"/>
    <mergeCell ref="EPO27:EPP27"/>
    <mergeCell ref="EPQ27:EPR27"/>
    <mergeCell ref="EPS27:EPT27"/>
    <mergeCell ref="EPU27:EPV27"/>
    <mergeCell ref="EPW27:EPX27"/>
    <mergeCell ref="EPA27:EPB27"/>
    <mergeCell ref="EPC27:EPD27"/>
    <mergeCell ref="EPE27:EPF27"/>
    <mergeCell ref="EPG27:EPH27"/>
    <mergeCell ref="EPI27:EPJ27"/>
    <mergeCell ref="EPK27:EPL27"/>
    <mergeCell ref="EOO27:EOP27"/>
    <mergeCell ref="EOQ27:EOR27"/>
    <mergeCell ref="EOS27:EOT27"/>
    <mergeCell ref="EOU27:EOV27"/>
    <mergeCell ref="EOW27:EOX27"/>
    <mergeCell ref="EOY27:EOZ27"/>
    <mergeCell ref="ETQ27:ETR27"/>
    <mergeCell ref="ETS27:ETT27"/>
    <mergeCell ref="ETU27:ETV27"/>
    <mergeCell ref="ETW27:ETX27"/>
    <mergeCell ref="ETY27:ETZ27"/>
    <mergeCell ref="EUA27:EUB27"/>
    <mergeCell ref="ETE27:ETF27"/>
    <mergeCell ref="ETG27:ETH27"/>
    <mergeCell ref="ETI27:ETJ27"/>
    <mergeCell ref="ETK27:ETL27"/>
    <mergeCell ref="ETM27:ETN27"/>
    <mergeCell ref="ETO27:ETP27"/>
    <mergeCell ref="ESS27:EST27"/>
    <mergeCell ref="ESU27:ESV27"/>
    <mergeCell ref="ESW27:ESX27"/>
    <mergeCell ref="ESY27:ESZ27"/>
    <mergeCell ref="ETA27:ETB27"/>
    <mergeCell ref="ETC27:ETD27"/>
    <mergeCell ref="ESG27:ESH27"/>
    <mergeCell ref="ESI27:ESJ27"/>
    <mergeCell ref="ESK27:ESL27"/>
    <mergeCell ref="ESM27:ESN27"/>
    <mergeCell ref="ESO27:ESP27"/>
    <mergeCell ref="ESQ27:ESR27"/>
    <mergeCell ref="ERU27:ERV27"/>
    <mergeCell ref="ERW27:ERX27"/>
    <mergeCell ref="ERY27:ERZ27"/>
    <mergeCell ref="ESA27:ESB27"/>
    <mergeCell ref="ESC27:ESD27"/>
    <mergeCell ref="ESE27:ESF27"/>
    <mergeCell ref="ERI27:ERJ27"/>
    <mergeCell ref="ERK27:ERL27"/>
    <mergeCell ref="ERM27:ERN27"/>
    <mergeCell ref="ERO27:ERP27"/>
    <mergeCell ref="ERQ27:ERR27"/>
    <mergeCell ref="ERS27:ERT27"/>
    <mergeCell ref="EWK27:EWL27"/>
    <mergeCell ref="EWM27:EWN27"/>
    <mergeCell ref="EWO27:EWP27"/>
    <mergeCell ref="EWQ27:EWR27"/>
    <mergeCell ref="EWS27:EWT27"/>
    <mergeCell ref="EWU27:EWV27"/>
    <mergeCell ref="EVY27:EVZ27"/>
    <mergeCell ref="EWA27:EWB27"/>
    <mergeCell ref="EWC27:EWD27"/>
    <mergeCell ref="EWE27:EWF27"/>
    <mergeCell ref="EWG27:EWH27"/>
    <mergeCell ref="EWI27:EWJ27"/>
    <mergeCell ref="EVM27:EVN27"/>
    <mergeCell ref="EVO27:EVP27"/>
    <mergeCell ref="EVQ27:EVR27"/>
    <mergeCell ref="EVS27:EVT27"/>
    <mergeCell ref="EVU27:EVV27"/>
    <mergeCell ref="EVW27:EVX27"/>
    <mergeCell ref="EVA27:EVB27"/>
    <mergeCell ref="EVC27:EVD27"/>
    <mergeCell ref="EVE27:EVF27"/>
    <mergeCell ref="EVG27:EVH27"/>
    <mergeCell ref="EVI27:EVJ27"/>
    <mergeCell ref="EVK27:EVL27"/>
    <mergeCell ref="EUO27:EUP27"/>
    <mergeCell ref="EUQ27:EUR27"/>
    <mergeCell ref="EUS27:EUT27"/>
    <mergeCell ref="EUU27:EUV27"/>
    <mergeCell ref="EUW27:EUX27"/>
    <mergeCell ref="EUY27:EUZ27"/>
    <mergeCell ref="EUC27:EUD27"/>
    <mergeCell ref="EUE27:EUF27"/>
    <mergeCell ref="EUG27:EUH27"/>
    <mergeCell ref="EUI27:EUJ27"/>
    <mergeCell ref="EUK27:EUL27"/>
    <mergeCell ref="EUM27:EUN27"/>
    <mergeCell ref="EZE27:EZF27"/>
    <mergeCell ref="EZG27:EZH27"/>
    <mergeCell ref="EZI27:EZJ27"/>
    <mergeCell ref="EZK27:EZL27"/>
    <mergeCell ref="EZM27:EZN27"/>
    <mergeCell ref="EZO27:EZP27"/>
    <mergeCell ref="EYS27:EYT27"/>
    <mergeCell ref="EYU27:EYV27"/>
    <mergeCell ref="EYW27:EYX27"/>
    <mergeCell ref="EYY27:EYZ27"/>
    <mergeCell ref="EZA27:EZB27"/>
    <mergeCell ref="EZC27:EZD27"/>
    <mergeCell ref="EYG27:EYH27"/>
    <mergeCell ref="EYI27:EYJ27"/>
    <mergeCell ref="EYK27:EYL27"/>
    <mergeCell ref="EYM27:EYN27"/>
    <mergeCell ref="EYO27:EYP27"/>
    <mergeCell ref="EYQ27:EYR27"/>
    <mergeCell ref="EXU27:EXV27"/>
    <mergeCell ref="EXW27:EXX27"/>
    <mergeCell ref="EXY27:EXZ27"/>
    <mergeCell ref="EYA27:EYB27"/>
    <mergeCell ref="EYC27:EYD27"/>
    <mergeCell ref="EYE27:EYF27"/>
    <mergeCell ref="EXI27:EXJ27"/>
    <mergeCell ref="EXK27:EXL27"/>
    <mergeCell ref="EXM27:EXN27"/>
    <mergeCell ref="EXO27:EXP27"/>
    <mergeCell ref="EXQ27:EXR27"/>
    <mergeCell ref="EXS27:EXT27"/>
    <mergeCell ref="EWW27:EWX27"/>
    <mergeCell ref="EWY27:EWZ27"/>
    <mergeCell ref="EXA27:EXB27"/>
    <mergeCell ref="EXC27:EXD27"/>
    <mergeCell ref="EXE27:EXF27"/>
    <mergeCell ref="EXG27:EXH27"/>
    <mergeCell ref="FBY27:FBZ27"/>
    <mergeCell ref="FCA27:FCB27"/>
    <mergeCell ref="FCC27:FCD27"/>
    <mergeCell ref="FCE27:FCF27"/>
    <mergeCell ref="FCG27:FCH27"/>
    <mergeCell ref="FCI27:FCJ27"/>
    <mergeCell ref="FBM27:FBN27"/>
    <mergeCell ref="FBO27:FBP27"/>
    <mergeCell ref="FBQ27:FBR27"/>
    <mergeCell ref="FBS27:FBT27"/>
    <mergeCell ref="FBU27:FBV27"/>
    <mergeCell ref="FBW27:FBX27"/>
    <mergeCell ref="FBA27:FBB27"/>
    <mergeCell ref="FBC27:FBD27"/>
    <mergeCell ref="FBE27:FBF27"/>
    <mergeCell ref="FBG27:FBH27"/>
    <mergeCell ref="FBI27:FBJ27"/>
    <mergeCell ref="FBK27:FBL27"/>
    <mergeCell ref="FAO27:FAP27"/>
    <mergeCell ref="FAQ27:FAR27"/>
    <mergeCell ref="FAS27:FAT27"/>
    <mergeCell ref="FAU27:FAV27"/>
    <mergeCell ref="FAW27:FAX27"/>
    <mergeCell ref="FAY27:FAZ27"/>
    <mergeCell ref="FAC27:FAD27"/>
    <mergeCell ref="FAE27:FAF27"/>
    <mergeCell ref="FAG27:FAH27"/>
    <mergeCell ref="FAI27:FAJ27"/>
    <mergeCell ref="FAK27:FAL27"/>
    <mergeCell ref="FAM27:FAN27"/>
    <mergeCell ref="EZQ27:EZR27"/>
    <mergeCell ref="EZS27:EZT27"/>
    <mergeCell ref="EZU27:EZV27"/>
    <mergeCell ref="EZW27:EZX27"/>
    <mergeCell ref="EZY27:EZZ27"/>
    <mergeCell ref="FAA27:FAB27"/>
    <mergeCell ref="FES27:FET27"/>
    <mergeCell ref="FEU27:FEV27"/>
    <mergeCell ref="FEW27:FEX27"/>
    <mergeCell ref="FEY27:FEZ27"/>
    <mergeCell ref="FFA27:FFB27"/>
    <mergeCell ref="FFC27:FFD27"/>
    <mergeCell ref="FEG27:FEH27"/>
    <mergeCell ref="FEI27:FEJ27"/>
    <mergeCell ref="FEK27:FEL27"/>
    <mergeCell ref="FEM27:FEN27"/>
    <mergeCell ref="FEO27:FEP27"/>
    <mergeCell ref="FEQ27:FER27"/>
    <mergeCell ref="FDU27:FDV27"/>
    <mergeCell ref="FDW27:FDX27"/>
    <mergeCell ref="FDY27:FDZ27"/>
    <mergeCell ref="FEA27:FEB27"/>
    <mergeCell ref="FEC27:FED27"/>
    <mergeCell ref="FEE27:FEF27"/>
    <mergeCell ref="FDI27:FDJ27"/>
    <mergeCell ref="FDK27:FDL27"/>
    <mergeCell ref="FDM27:FDN27"/>
    <mergeCell ref="FDO27:FDP27"/>
    <mergeCell ref="FDQ27:FDR27"/>
    <mergeCell ref="FDS27:FDT27"/>
    <mergeCell ref="FCW27:FCX27"/>
    <mergeCell ref="FCY27:FCZ27"/>
    <mergeCell ref="FDA27:FDB27"/>
    <mergeCell ref="FDC27:FDD27"/>
    <mergeCell ref="FDE27:FDF27"/>
    <mergeCell ref="FDG27:FDH27"/>
    <mergeCell ref="FCK27:FCL27"/>
    <mergeCell ref="FCM27:FCN27"/>
    <mergeCell ref="FCO27:FCP27"/>
    <mergeCell ref="FCQ27:FCR27"/>
    <mergeCell ref="FCS27:FCT27"/>
    <mergeCell ref="FCU27:FCV27"/>
    <mergeCell ref="FHM27:FHN27"/>
    <mergeCell ref="FHO27:FHP27"/>
    <mergeCell ref="FHQ27:FHR27"/>
    <mergeCell ref="FHS27:FHT27"/>
    <mergeCell ref="FHU27:FHV27"/>
    <mergeCell ref="FHW27:FHX27"/>
    <mergeCell ref="FHA27:FHB27"/>
    <mergeCell ref="FHC27:FHD27"/>
    <mergeCell ref="FHE27:FHF27"/>
    <mergeCell ref="FHG27:FHH27"/>
    <mergeCell ref="FHI27:FHJ27"/>
    <mergeCell ref="FHK27:FHL27"/>
    <mergeCell ref="FGO27:FGP27"/>
    <mergeCell ref="FGQ27:FGR27"/>
    <mergeCell ref="FGS27:FGT27"/>
    <mergeCell ref="FGU27:FGV27"/>
    <mergeCell ref="FGW27:FGX27"/>
    <mergeCell ref="FGY27:FGZ27"/>
    <mergeCell ref="FGC27:FGD27"/>
    <mergeCell ref="FGE27:FGF27"/>
    <mergeCell ref="FGG27:FGH27"/>
    <mergeCell ref="FGI27:FGJ27"/>
    <mergeCell ref="FGK27:FGL27"/>
    <mergeCell ref="FGM27:FGN27"/>
    <mergeCell ref="FFQ27:FFR27"/>
    <mergeCell ref="FFS27:FFT27"/>
    <mergeCell ref="FFU27:FFV27"/>
    <mergeCell ref="FFW27:FFX27"/>
    <mergeCell ref="FFY27:FFZ27"/>
    <mergeCell ref="FGA27:FGB27"/>
    <mergeCell ref="FFE27:FFF27"/>
    <mergeCell ref="FFG27:FFH27"/>
    <mergeCell ref="FFI27:FFJ27"/>
    <mergeCell ref="FFK27:FFL27"/>
    <mergeCell ref="FFM27:FFN27"/>
    <mergeCell ref="FFO27:FFP27"/>
    <mergeCell ref="FKG27:FKH27"/>
    <mergeCell ref="FKI27:FKJ27"/>
    <mergeCell ref="FKK27:FKL27"/>
    <mergeCell ref="FKM27:FKN27"/>
    <mergeCell ref="FKO27:FKP27"/>
    <mergeCell ref="FKQ27:FKR27"/>
    <mergeCell ref="FJU27:FJV27"/>
    <mergeCell ref="FJW27:FJX27"/>
    <mergeCell ref="FJY27:FJZ27"/>
    <mergeCell ref="FKA27:FKB27"/>
    <mergeCell ref="FKC27:FKD27"/>
    <mergeCell ref="FKE27:FKF27"/>
    <mergeCell ref="FJI27:FJJ27"/>
    <mergeCell ref="FJK27:FJL27"/>
    <mergeCell ref="FJM27:FJN27"/>
    <mergeCell ref="FJO27:FJP27"/>
    <mergeCell ref="FJQ27:FJR27"/>
    <mergeCell ref="FJS27:FJT27"/>
    <mergeCell ref="FIW27:FIX27"/>
    <mergeCell ref="FIY27:FIZ27"/>
    <mergeCell ref="FJA27:FJB27"/>
    <mergeCell ref="FJC27:FJD27"/>
    <mergeCell ref="FJE27:FJF27"/>
    <mergeCell ref="FJG27:FJH27"/>
    <mergeCell ref="FIK27:FIL27"/>
    <mergeCell ref="FIM27:FIN27"/>
    <mergeCell ref="FIO27:FIP27"/>
    <mergeCell ref="FIQ27:FIR27"/>
    <mergeCell ref="FIS27:FIT27"/>
    <mergeCell ref="FIU27:FIV27"/>
    <mergeCell ref="FHY27:FHZ27"/>
    <mergeCell ref="FIA27:FIB27"/>
    <mergeCell ref="FIC27:FID27"/>
    <mergeCell ref="FIE27:FIF27"/>
    <mergeCell ref="FIG27:FIH27"/>
    <mergeCell ref="FII27:FIJ27"/>
    <mergeCell ref="FNA27:FNB27"/>
    <mergeCell ref="FNC27:FND27"/>
    <mergeCell ref="FNE27:FNF27"/>
    <mergeCell ref="FNG27:FNH27"/>
    <mergeCell ref="FNI27:FNJ27"/>
    <mergeCell ref="FNK27:FNL27"/>
    <mergeCell ref="FMO27:FMP27"/>
    <mergeCell ref="FMQ27:FMR27"/>
    <mergeCell ref="FMS27:FMT27"/>
    <mergeCell ref="FMU27:FMV27"/>
    <mergeCell ref="FMW27:FMX27"/>
    <mergeCell ref="FMY27:FMZ27"/>
    <mergeCell ref="FMC27:FMD27"/>
    <mergeCell ref="FME27:FMF27"/>
    <mergeCell ref="FMG27:FMH27"/>
    <mergeCell ref="FMI27:FMJ27"/>
    <mergeCell ref="FMK27:FML27"/>
    <mergeCell ref="FMM27:FMN27"/>
    <mergeCell ref="FLQ27:FLR27"/>
    <mergeCell ref="FLS27:FLT27"/>
    <mergeCell ref="FLU27:FLV27"/>
    <mergeCell ref="FLW27:FLX27"/>
    <mergeCell ref="FLY27:FLZ27"/>
    <mergeCell ref="FMA27:FMB27"/>
    <mergeCell ref="FLE27:FLF27"/>
    <mergeCell ref="FLG27:FLH27"/>
    <mergeCell ref="FLI27:FLJ27"/>
    <mergeCell ref="FLK27:FLL27"/>
    <mergeCell ref="FLM27:FLN27"/>
    <mergeCell ref="FLO27:FLP27"/>
    <mergeCell ref="FKS27:FKT27"/>
    <mergeCell ref="FKU27:FKV27"/>
    <mergeCell ref="FKW27:FKX27"/>
    <mergeCell ref="FKY27:FKZ27"/>
    <mergeCell ref="FLA27:FLB27"/>
    <mergeCell ref="FLC27:FLD27"/>
    <mergeCell ref="FPU27:FPV27"/>
    <mergeCell ref="FPW27:FPX27"/>
    <mergeCell ref="FPY27:FPZ27"/>
    <mergeCell ref="FQA27:FQB27"/>
    <mergeCell ref="FQC27:FQD27"/>
    <mergeCell ref="FQE27:FQF27"/>
    <mergeCell ref="FPI27:FPJ27"/>
    <mergeCell ref="FPK27:FPL27"/>
    <mergeCell ref="FPM27:FPN27"/>
    <mergeCell ref="FPO27:FPP27"/>
    <mergeCell ref="FPQ27:FPR27"/>
    <mergeCell ref="FPS27:FPT27"/>
    <mergeCell ref="FOW27:FOX27"/>
    <mergeCell ref="FOY27:FOZ27"/>
    <mergeCell ref="FPA27:FPB27"/>
    <mergeCell ref="FPC27:FPD27"/>
    <mergeCell ref="FPE27:FPF27"/>
    <mergeCell ref="FPG27:FPH27"/>
    <mergeCell ref="FOK27:FOL27"/>
    <mergeCell ref="FOM27:FON27"/>
    <mergeCell ref="FOO27:FOP27"/>
    <mergeCell ref="FOQ27:FOR27"/>
    <mergeCell ref="FOS27:FOT27"/>
    <mergeCell ref="FOU27:FOV27"/>
    <mergeCell ref="FNY27:FNZ27"/>
    <mergeCell ref="FOA27:FOB27"/>
    <mergeCell ref="FOC27:FOD27"/>
    <mergeCell ref="FOE27:FOF27"/>
    <mergeCell ref="FOG27:FOH27"/>
    <mergeCell ref="FOI27:FOJ27"/>
    <mergeCell ref="FNM27:FNN27"/>
    <mergeCell ref="FNO27:FNP27"/>
    <mergeCell ref="FNQ27:FNR27"/>
    <mergeCell ref="FNS27:FNT27"/>
    <mergeCell ref="FNU27:FNV27"/>
    <mergeCell ref="FNW27:FNX27"/>
    <mergeCell ref="FSO27:FSP27"/>
    <mergeCell ref="FSQ27:FSR27"/>
    <mergeCell ref="FSS27:FST27"/>
    <mergeCell ref="FSU27:FSV27"/>
    <mergeCell ref="FSW27:FSX27"/>
    <mergeCell ref="FSY27:FSZ27"/>
    <mergeCell ref="FSC27:FSD27"/>
    <mergeCell ref="FSE27:FSF27"/>
    <mergeCell ref="FSG27:FSH27"/>
    <mergeCell ref="FSI27:FSJ27"/>
    <mergeCell ref="FSK27:FSL27"/>
    <mergeCell ref="FSM27:FSN27"/>
    <mergeCell ref="FRQ27:FRR27"/>
    <mergeCell ref="FRS27:FRT27"/>
    <mergeCell ref="FRU27:FRV27"/>
    <mergeCell ref="FRW27:FRX27"/>
    <mergeCell ref="FRY27:FRZ27"/>
    <mergeCell ref="FSA27:FSB27"/>
    <mergeCell ref="FRE27:FRF27"/>
    <mergeCell ref="FRG27:FRH27"/>
    <mergeCell ref="FRI27:FRJ27"/>
    <mergeCell ref="FRK27:FRL27"/>
    <mergeCell ref="FRM27:FRN27"/>
    <mergeCell ref="FRO27:FRP27"/>
    <mergeCell ref="FQS27:FQT27"/>
    <mergeCell ref="FQU27:FQV27"/>
    <mergeCell ref="FQW27:FQX27"/>
    <mergeCell ref="FQY27:FQZ27"/>
    <mergeCell ref="FRA27:FRB27"/>
    <mergeCell ref="FRC27:FRD27"/>
    <mergeCell ref="FQG27:FQH27"/>
    <mergeCell ref="FQI27:FQJ27"/>
    <mergeCell ref="FQK27:FQL27"/>
    <mergeCell ref="FQM27:FQN27"/>
    <mergeCell ref="FQO27:FQP27"/>
    <mergeCell ref="FQQ27:FQR27"/>
    <mergeCell ref="FVI27:FVJ27"/>
    <mergeCell ref="FVK27:FVL27"/>
    <mergeCell ref="FVM27:FVN27"/>
    <mergeCell ref="FVO27:FVP27"/>
    <mergeCell ref="FVQ27:FVR27"/>
    <mergeCell ref="FVS27:FVT27"/>
    <mergeCell ref="FUW27:FUX27"/>
    <mergeCell ref="FUY27:FUZ27"/>
    <mergeCell ref="FVA27:FVB27"/>
    <mergeCell ref="FVC27:FVD27"/>
    <mergeCell ref="FVE27:FVF27"/>
    <mergeCell ref="FVG27:FVH27"/>
    <mergeCell ref="FUK27:FUL27"/>
    <mergeCell ref="FUM27:FUN27"/>
    <mergeCell ref="FUO27:FUP27"/>
    <mergeCell ref="FUQ27:FUR27"/>
    <mergeCell ref="FUS27:FUT27"/>
    <mergeCell ref="FUU27:FUV27"/>
    <mergeCell ref="FTY27:FTZ27"/>
    <mergeCell ref="FUA27:FUB27"/>
    <mergeCell ref="FUC27:FUD27"/>
    <mergeCell ref="FUE27:FUF27"/>
    <mergeCell ref="FUG27:FUH27"/>
    <mergeCell ref="FUI27:FUJ27"/>
    <mergeCell ref="FTM27:FTN27"/>
    <mergeCell ref="FTO27:FTP27"/>
    <mergeCell ref="FTQ27:FTR27"/>
    <mergeCell ref="FTS27:FTT27"/>
    <mergeCell ref="FTU27:FTV27"/>
    <mergeCell ref="FTW27:FTX27"/>
    <mergeCell ref="FTA27:FTB27"/>
    <mergeCell ref="FTC27:FTD27"/>
    <mergeCell ref="FTE27:FTF27"/>
    <mergeCell ref="FTG27:FTH27"/>
    <mergeCell ref="FTI27:FTJ27"/>
    <mergeCell ref="FTK27:FTL27"/>
    <mergeCell ref="FYC27:FYD27"/>
    <mergeCell ref="FYE27:FYF27"/>
    <mergeCell ref="FYG27:FYH27"/>
    <mergeCell ref="FYI27:FYJ27"/>
    <mergeCell ref="FYK27:FYL27"/>
    <mergeCell ref="FYM27:FYN27"/>
    <mergeCell ref="FXQ27:FXR27"/>
    <mergeCell ref="FXS27:FXT27"/>
    <mergeCell ref="FXU27:FXV27"/>
    <mergeCell ref="FXW27:FXX27"/>
    <mergeCell ref="FXY27:FXZ27"/>
    <mergeCell ref="FYA27:FYB27"/>
    <mergeCell ref="FXE27:FXF27"/>
    <mergeCell ref="FXG27:FXH27"/>
    <mergeCell ref="FXI27:FXJ27"/>
    <mergeCell ref="FXK27:FXL27"/>
    <mergeCell ref="FXM27:FXN27"/>
    <mergeCell ref="FXO27:FXP27"/>
    <mergeCell ref="FWS27:FWT27"/>
    <mergeCell ref="FWU27:FWV27"/>
    <mergeCell ref="FWW27:FWX27"/>
    <mergeCell ref="FWY27:FWZ27"/>
    <mergeCell ref="FXA27:FXB27"/>
    <mergeCell ref="FXC27:FXD27"/>
    <mergeCell ref="FWG27:FWH27"/>
    <mergeCell ref="FWI27:FWJ27"/>
    <mergeCell ref="FWK27:FWL27"/>
    <mergeCell ref="FWM27:FWN27"/>
    <mergeCell ref="FWO27:FWP27"/>
    <mergeCell ref="FWQ27:FWR27"/>
    <mergeCell ref="FVU27:FVV27"/>
    <mergeCell ref="FVW27:FVX27"/>
    <mergeCell ref="FVY27:FVZ27"/>
    <mergeCell ref="FWA27:FWB27"/>
    <mergeCell ref="FWC27:FWD27"/>
    <mergeCell ref="FWE27:FWF27"/>
    <mergeCell ref="GAW27:GAX27"/>
    <mergeCell ref="GAY27:GAZ27"/>
    <mergeCell ref="GBA27:GBB27"/>
    <mergeCell ref="GBC27:GBD27"/>
    <mergeCell ref="GBE27:GBF27"/>
    <mergeCell ref="GBG27:GBH27"/>
    <mergeCell ref="GAK27:GAL27"/>
    <mergeCell ref="GAM27:GAN27"/>
    <mergeCell ref="GAO27:GAP27"/>
    <mergeCell ref="GAQ27:GAR27"/>
    <mergeCell ref="GAS27:GAT27"/>
    <mergeCell ref="GAU27:GAV27"/>
    <mergeCell ref="FZY27:FZZ27"/>
    <mergeCell ref="GAA27:GAB27"/>
    <mergeCell ref="GAC27:GAD27"/>
    <mergeCell ref="GAE27:GAF27"/>
    <mergeCell ref="GAG27:GAH27"/>
    <mergeCell ref="GAI27:GAJ27"/>
    <mergeCell ref="FZM27:FZN27"/>
    <mergeCell ref="FZO27:FZP27"/>
    <mergeCell ref="FZQ27:FZR27"/>
    <mergeCell ref="FZS27:FZT27"/>
    <mergeCell ref="FZU27:FZV27"/>
    <mergeCell ref="FZW27:FZX27"/>
    <mergeCell ref="FZA27:FZB27"/>
    <mergeCell ref="FZC27:FZD27"/>
    <mergeCell ref="FZE27:FZF27"/>
    <mergeCell ref="FZG27:FZH27"/>
    <mergeCell ref="FZI27:FZJ27"/>
    <mergeCell ref="FZK27:FZL27"/>
    <mergeCell ref="FYO27:FYP27"/>
    <mergeCell ref="FYQ27:FYR27"/>
    <mergeCell ref="FYS27:FYT27"/>
    <mergeCell ref="FYU27:FYV27"/>
    <mergeCell ref="FYW27:FYX27"/>
    <mergeCell ref="FYY27:FYZ27"/>
    <mergeCell ref="GDQ27:GDR27"/>
    <mergeCell ref="GDS27:GDT27"/>
    <mergeCell ref="GDU27:GDV27"/>
    <mergeCell ref="GDW27:GDX27"/>
    <mergeCell ref="GDY27:GDZ27"/>
    <mergeCell ref="GEA27:GEB27"/>
    <mergeCell ref="GDE27:GDF27"/>
    <mergeCell ref="GDG27:GDH27"/>
    <mergeCell ref="GDI27:GDJ27"/>
    <mergeCell ref="GDK27:GDL27"/>
    <mergeCell ref="GDM27:GDN27"/>
    <mergeCell ref="GDO27:GDP27"/>
    <mergeCell ref="GCS27:GCT27"/>
    <mergeCell ref="GCU27:GCV27"/>
    <mergeCell ref="GCW27:GCX27"/>
    <mergeCell ref="GCY27:GCZ27"/>
    <mergeCell ref="GDA27:GDB27"/>
    <mergeCell ref="GDC27:GDD27"/>
    <mergeCell ref="GCG27:GCH27"/>
    <mergeCell ref="GCI27:GCJ27"/>
    <mergeCell ref="GCK27:GCL27"/>
    <mergeCell ref="GCM27:GCN27"/>
    <mergeCell ref="GCO27:GCP27"/>
    <mergeCell ref="GCQ27:GCR27"/>
    <mergeCell ref="GBU27:GBV27"/>
    <mergeCell ref="GBW27:GBX27"/>
    <mergeCell ref="GBY27:GBZ27"/>
    <mergeCell ref="GCA27:GCB27"/>
    <mergeCell ref="GCC27:GCD27"/>
    <mergeCell ref="GCE27:GCF27"/>
    <mergeCell ref="GBI27:GBJ27"/>
    <mergeCell ref="GBK27:GBL27"/>
    <mergeCell ref="GBM27:GBN27"/>
    <mergeCell ref="GBO27:GBP27"/>
    <mergeCell ref="GBQ27:GBR27"/>
    <mergeCell ref="GBS27:GBT27"/>
    <mergeCell ref="GGK27:GGL27"/>
    <mergeCell ref="GGM27:GGN27"/>
    <mergeCell ref="GGO27:GGP27"/>
    <mergeCell ref="GGQ27:GGR27"/>
    <mergeCell ref="GGS27:GGT27"/>
    <mergeCell ref="GGU27:GGV27"/>
    <mergeCell ref="GFY27:GFZ27"/>
    <mergeCell ref="GGA27:GGB27"/>
    <mergeCell ref="GGC27:GGD27"/>
    <mergeCell ref="GGE27:GGF27"/>
    <mergeCell ref="GGG27:GGH27"/>
    <mergeCell ref="GGI27:GGJ27"/>
    <mergeCell ref="GFM27:GFN27"/>
    <mergeCell ref="GFO27:GFP27"/>
    <mergeCell ref="GFQ27:GFR27"/>
    <mergeCell ref="GFS27:GFT27"/>
    <mergeCell ref="GFU27:GFV27"/>
    <mergeCell ref="GFW27:GFX27"/>
    <mergeCell ref="GFA27:GFB27"/>
    <mergeCell ref="GFC27:GFD27"/>
    <mergeCell ref="GFE27:GFF27"/>
    <mergeCell ref="GFG27:GFH27"/>
    <mergeCell ref="GFI27:GFJ27"/>
    <mergeCell ref="GFK27:GFL27"/>
    <mergeCell ref="GEO27:GEP27"/>
    <mergeCell ref="GEQ27:GER27"/>
    <mergeCell ref="GES27:GET27"/>
    <mergeCell ref="GEU27:GEV27"/>
    <mergeCell ref="GEW27:GEX27"/>
    <mergeCell ref="GEY27:GEZ27"/>
    <mergeCell ref="GEC27:GED27"/>
    <mergeCell ref="GEE27:GEF27"/>
    <mergeCell ref="GEG27:GEH27"/>
    <mergeCell ref="GEI27:GEJ27"/>
    <mergeCell ref="GEK27:GEL27"/>
    <mergeCell ref="GEM27:GEN27"/>
    <mergeCell ref="GJE27:GJF27"/>
    <mergeCell ref="GJG27:GJH27"/>
    <mergeCell ref="GJI27:GJJ27"/>
    <mergeCell ref="GJK27:GJL27"/>
    <mergeCell ref="GJM27:GJN27"/>
    <mergeCell ref="GJO27:GJP27"/>
    <mergeCell ref="GIS27:GIT27"/>
    <mergeCell ref="GIU27:GIV27"/>
    <mergeCell ref="GIW27:GIX27"/>
    <mergeCell ref="GIY27:GIZ27"/>
    <mergeCell ref="GJA27:GJB27"/>
    <mergeCell ref="GJC27:GJD27"/>
    <mergeCell ref="GIG27:GIH27"/>
    <mergeCell ref="GII27:GIJ27"/>
    <mergeCell ref="GIK27:GIL27"/>
    <mergeCell ref="GIM27:GIN27"/>
    <mergeCell ref="GIO27:GIP27"/>
    <mergeCell ref="GIQ27:GIR27"/>
    <mergeCell ref="GHU27:GHV27"/>
    <mergeCell ref="GHW27:GHX27"/>
    <mergeCell ref="GHY27:GHZ27"/>
    <mergeCell ref="GIA27:GIB27"/>
    <mergeCell ref="GIC27:GID27"/>
    <mergeCell ref="GIE27:GIF27"/>
    <mergeCell ref="GHI27:GHJ27"/>
    <mergeCell ref="GHK27:GHL27"/>
    <mergeCell ref="GHM27:GHN27"/>
    <mergeCell ref="GHO27:GHP27"/>
    <mergeCell ref="GHQ27:GHR27"/>
    <mergeCell ref="GHS27:GHT27"/>
    <mergeCell ref="GGW27:GGX27"/>
    <mergeCell ref="GGY27:GGZ27"/>
    <mergeCell ref="GHA27:GHB27"/>
    <mergeCell ref="GHC27:GHD27"/>
    <mergeCell ref="GHE27:GHF27"/>
    <mergeCell ref="GHG27:GHH27"/>
    <mergeCell ref="GLY27:GLZ27"/>
    <mergeCell ref="GMA27:GMB27"/>
    <mergeCell ref="GMC27:GMD27"/>
    <mergeCell ref="GME27:GMF27"/>
    <mergeCell ref="GMG27:GMH27"/>
    <mergeCell ref="GMI27:GMJ27"/>
    <mergeCell ref="GLM27:GLN27"/>
    <mergeCell ref="GLO27:GLP27"/>
    <mergeCell ref="GLQ27:GLR27"/>
    <mergeCell ref="GLS27:GLT27"/>
    <mergeCell ref="GLU27:GLV27"/>
    <mergeCell ref="GLW27:GLX27"/>
    <mergeCell ref="GLA27:GLB27"/>
    <mergeCell ref="GLC27:GLD27"/>
    <mergeCell ref="GLE27:GLF27"/>
    <mergeCell ref="GLG27:GLH27"/>
    <mergeCell ref="GLI27:GLJ27"/>
    <mergeCell ref="GLK27:GLL27"/>
    <mergeCell ref="GKO27:GKP27"/>
    <mergeCell ref="GKQ27:GKR27"/>
    <mergeCell ref="GKS27:GKT27"/>
    <mergeCell ref="GKU27:GKV27"/>
    <mergeCell ref="GKW27:GKX27"/>
    <mergeCell ref="GKY27:GKZ27"/>
    <mergeCell ref="GKC27:GKD27"/>
    <mergeCell ref="GKE27:GKF27"/>
    <mergeCell ref="GKG27:GKH27"/>
    <mergeCell ref="GKI27:GKJ27"/>
    <mergeCell ref="GKK27:GKL27"/>
    <mergeCell ref="GKM27:GKN27"/>
    <mergeCell ref="GJQ27:GJR27"/>
    <mergeCell ref="GJS27:GJT27"/>
    <mergeCell ref="GJU27:GJV27"/>
    <mergeCell ref="GJW27:GJX27"/>
    <mergeCell ref="GJY27:GJZ27"/>
    <mergeCell ref="GKA27:GKB27"/>
    <mergeCell ref="GOS27:GOT27"/>
    <mergeCell ref="GOU27:GOV27"/>
    <mergeCell ref="GOW27:GOX27"/>
    <mergeCell ref="GOY27:GOZ27"/>
    <mergeCell ref="GPA27:GPB27"/>
    <mergeCell ref="GPC27:GPD27"/>
    <mergeCell ref="GOG27:GOH27"/>
    <mergeCell ref="GOI27:GOJ27"/>
    <mergeCell ref="GOK27:GOL27"/>
    <mergeCell ref="GOM27:GON27"/>
    <mergeCell ref="GOO27:GOP27"/>
    <mergeCell ref="GOQ27:GOR27"/>
    <mergeCell ref="GNU27:GNV27"/>
    <mergeCell ref="GNW27:GNX27"/>
    <mergeCell ref="GNY27:GNZ27"/>
    <mergeCell ref="GOA27:GOB27"/>
    <mergeCell ref="GOC27:GOD27"/>
    <mergeCell ref="GOE27:GOF27"/>
    <mergeCell ref="GNI27:GNJ27"/>
    <mergeCell ref="GNK27:GNL27"/>
    <mergeCell ref="GNM27:GNN27"/>
    <mergeCell ref="GNO27:GNP27"/>
    <mergeCell ref="GNQ27:GNR27"/>
    <mergeCell ref="GNS27:GNT27"/>
    <mergeCell ref="GMW27:GMX27"/>
    <mergeCell ref="GMY27:GMZ27"/>
    <mergeCell ref="GNA27:GNB27"/>
    <mergeCell ref="GNC27:GND27"/>
    <mergeCell ref="GNE27:GNF27"/>
    <mergeCell ref="GNG27:GNH27"/>
    <mergeCell ref="GMK27:GML27"/>
    <mergeCell ref="GMM27:GMN27"/>
    <mergeCell ref="GMO27:GMP27"/>
    <mergeCell ref="GMQ27:GMR27"/>
    <mergeCell ref="GMS27:GMT27"/>
    <mergeCell ref="GMU27:GMV27"/>
    <mergeCell ref="GRM27:GRN27"/>
    <mergeCell ref="GRO27:GRP27"/>
    <mergeCell ref="GRQ27:GRR27"/>
    <mergeCell ref="GRS27:GRT27"/>
    <mergeCell ref="GRU27:GRV27"/>
    <mergeCell ref="GRW27:GRX27"/>
    <mergeCell ref="GRA27:GRB27"/>
    <mergeCell ref="GRC27:GRD27"/>
    <mergeCell ref="GRE27:GRF27"/>
    <mergeCell ref="GRG27:GRH27"/>
    <mergeCell ref="GRI27:GRJ27"/>
    <mergeCell ref="GRK27:GRL27"/>
    <mergeCell ref="GQO27:GQP27"/>
    <mergeCell ref="GQQ27:GQR27"/>
    <mergeCell ref="GQS27:GQT27"/>
    <mergeCell ref="GQU27:GQV27"/>
    <mergeCell ref="GQW27:GQX27"/>
    <mergeCell ref="GQY27:GQZ27"/>
    <mergeCell ref="GQC27:GQD27"/>
    <mergeCell ref="GQE27:GQF27"/>
    <mergeCell ref="GQG27:GQH27"/>
    <mergeCell ref="GQI27:GQJ27"/>
    <mergeCell ref="GQK27:GQL27"/>
    <mergeCell ref="GQM27:GQN27"/>
    <mergeCell ref="GPQ27:GPR27"/>
    <mergeCell ref="GPS27:GPT27"/>
    <mergeCell ref="GPU27:GPV27"/>
    <mergeCell ref="GPW27:GPX27"/>
    <mergeCell ref="GPY27:GPZ27"/>
    <mergeCell ref="GQA27:GQB27"/>
    <mergeCell ref="GPE27:GPF27"/>
    <mergeCell ref="GPG27:GPH27"/>
    <mergeCell ref="GPI27:GPJ27"/>
    <mergeCell ref="GPK27:GPL27"/>
    <mergeCell ref="GPM27:GPN27"/>
    <mergeCell ref="GPO27:GPP27"/>
    <mergeCell ref="GUG27:GUH27"/>
    <mergeCell ref="GUI27:GUJ27"/>
    <mergeCell ref="GUK27:GUL27"/>
    <mergeCell ref="GUM27:GUN27"/>
    <mergeCell ref="GUO27:GUP27"/>
    <mergeCell ref="GUQ27:GUR27"/>
    <mergeCell ref="GTU27:GTV27"/>
    <mergeCell ref="GTW27:GTX27"/>
    <mergeCell ref="GTY27:GTZ27"/>
    <mergeCell ref="GUA27:GUB27"/>
    <mergeCell ref="GUC27:GUD27"/>
    <mergeCell ref="GUE27:GUF27"/>
    <mergeCell ref="GTI27:GTJ27"/>
    <mergeCell ref="GTK27:GTL27"/>
    <mergeCell ref="GTM27:GTN27"/>
    <mergeCell ref="GTO27:GTP27"/>
    <mergeCell ref="GTQ27:GTR27"/>
    <mergeCell ref="GTS27:GTT27"/>
    <mergeCell ref="GSW27:GSX27"/>
    <mergeCell ref="GSY27:GSZ27"/>
    <mergeCell ref="GTA27:GTB27"/>
    <mergeCell ref="GTC27:GTD27"/>
    <mergeCell ref="GTE27:GTF27"/>
    <mergeCell ref="GTG27:GTH27"/>
    <mergeCell ref="GSK27:GSL27"/>
    <mergeCell ref="GSM27:GSN27"/>
    <mergeCell ref="GSO27:GSP27"/>
    <mergeCell ref="GSQ27:GSR27"/>
    <mergeCell ref="GSS27:GST27"/>
    <mergeCell ref="GSU27:GSV27"/>
    <mergeCell ref="GRY27:GRZ27"/>
    <mergeCell ref="GSA27:GSB27"/>
    <mergeCell ref="GSC27:GSD27"/>
    <mergeCell ref="GSE27:GSF27"/>
    <mergeCell ref="GSG27:GSH27"/>
    <mergeCell ref="GSI27:GSJ27"/>
    <mergeCell ref="GXA27:GXB27"/>
    <mergeCell ref="GXC27:GXD27"/>
    <mergeCell ref="GXE27:GXF27"/>
    <mergeCell ref="GXG27:GXH27"/>
    <mergeCell ref="GXI27:GXJ27"/>
    <mergeCell ref="GXK27:GXL27"/>
    <mergeCell ref="GWO27:GWP27"/>
    <mergeCell ref="GWQ27:GWR27"/>
    <mergeCell ref="GWS27:GWT27"/>
    <mergeCell ref="GWU27:GWV27"/>
    <mergeCell ref="GWW27:GWX27"/>
    <mergeCell ref="GWY27:GWZ27"/>
    <mergeCell ref="GWC27:GWD27"/>
    <mergeCell ref="GWE27:GWF27"/>
    <mergeCell ref="GWG27:GWH27"/>
    <mergeCell ref="GWI27:GWJ27"/>
    <mergeCell ref="GWK27:GWL27"/>
    <mergeCell ref="GWM27:GWN27"/>
    <mergeCell ref="GVQ27:GVR27"/>
    <mergeCell ref="GVS27:GVT27"/>
    <mergeCell ref="GVU27:GVV27"/>
    <mergeCell ref="GVW27:GVX27"/>
    <mergeCell ref="GVY27:GVZ27"/>
    <mergeCell ref="GWA27:GWB27"/>
    <mergeCell ref="GVE27:GVF27"/>
    <mergeCell ref="GVG27:GVH27"/>
    <mergeCell ref="GVI27:GVJ27"/>
    <mergeCell ref="GVK27:GVL27"/>
    <mergeCell ref="GVM27:GVN27"/>
    <mergeCell ref="GVO27:GVP27"/>
    <mergeCell ref="GUS27:GUT27"/>
    <mergeCell ref="GUU27:GUV27"/>
    <mergeCell ref="GUW27:GUX27"/>
    <mergeCell ref="GUY27:GUZ27"/>
    <mergeCell ref="GVA27:GVB27"/>
    <mergeCell ref="GVC27:GVD27"/>
    <mergeCell ref="GZU27:GZV27"/>
    <mergeCell ref="GZW27:GZX27"/>
    <mergeCell ref="GZY27:GZZ27"/>
    <mergeCell ref="HAA27:HAB27"/>
    <mergeCell ref="HAC27:HAD27"/>
    <mergeCell ref="HAE27:HAF27"/>
    <mergeCell ref="GZI27:GZJ27"/>
    <mergeCell ref="GZK27:GZL27"/>
    <mergeCell ref="GZM27:GZN27"/>
    <mergeCell ref="GZO27:GZP27"/>
    <mergeCell ref="GZQ27:GZR27"/>
    <mergeCell ref="GZS27:GZT27"/>
    <mergeCell ref="GYW27:GYX27"/>
    <mergeCell ref="GYY27:GYZ27"/>
    <mergeCell ref="GZA27:GZB27"/>
    <mergeCell ref="GZC27:GZD27"/>
    <mergeCell ref="GZE27:GZF27"/>
    <mergeCell ref="GZG27:GZH27"/>
    <mergeCell ref="GYK27:GYL27"/>
    <mergeCell ref="GYM27:GYN27"/>
    <mergeCell ref="GYO27:GYP27"/>
    <mergeCell ref="GYQ27:GYR27"/>
    <mergeCell ref="GYS27:GYT27"/>
    <mergeCell ref="GYU27:GYV27"/>
    <mergeCell ref="GXY27:GXZ27"/>
    <mergeCell ref="GYA27:GYB27"/>
    <mergeCell ref="GYC27:GYD27"/>
    <mergeCell ref="GYE27:GYF27"/>
    <mergeCell ref="GYG27:GYH27"/>
    <mergeCell ref="GYI27:GYJ27"/>
    <mergeCell ref="GXM27:GXN27"/>
    <mergeCell ref="GXO27:GXP27"/>
    <mergeCell ref="GXQ27:GXR27"/>
    <mergeCell ref="GXS27:GXT27"/>
    <mergeCell ref="GXU27:GXV27"/>
    <mergeCell ref="GXW27:GXX27"/>
    <mergeCell ref="HCO27:HCP27"/>
    <mergeCell ref="HCQ27:HCR27"/>
    <mergeCell ref="HCS27:HCT27"/>
    <mergeCell ref="HCU27:HCV27"/>
    <mergeCell ref="HCW27:HCX27"/>
    <mergeCell ref="HCY27:HCZ27"/>
    <mergeCell ref="HCC27:HCD27"/>
    <mergeCell ref="HCE27:HCF27"/>
    <mergeCell ref="HCG27:HCH27"/>
    <mergeCell ref="HCI27:HCJ27"/>
    <mergeCell ref="HCK27:HCL27"/>
    <mergeCell ref="HCM27:HCN27"/>
    <mergeCell ref="HBQ27:HBR27"/>
    <mergeCell ref="HBS27:HBT27"/>
    <mergeCell ref="HBU27:HBV27"/>
    <mergeCell ref="HBW27:HBX27"/>
    <mergeCell ref="HBY27:HBZ27"/>
    <mergeCell ref="HCA27:HCB27"/>
    <mergeCell ref="HBE27:HBF27"/>
    <mergeCell ref="HBG27:HBH27"/>
    <mergeCell ref="HBI27:HBJ27"/>
    <mergeCell ref="HBK27:HBL27"/>
    <mergeCell ref="HBM27:HBN27"/>
    <mergeCell ref="HBO27:HBP27"/>
    <mergeCell ref="HAS27:HAT27"/>
    <mergeCell ref="HAU27:HAV27"/>
    <mergeCell ref="HAW27:HAX27"/>
    <mergeCell ref="HAY27:HAZ27"/>
    <mergeCell ref="HBA27:HBB27"/>
    <mergeCell ref="HBC27:HBD27"/>
    <mergeCell ref="HAG27:HAH27"/>
    <mergeCell ref="HAI27:HAJ27"/>
    <mergeCell ref="HAK27:HAL27"/>
    <mergeCell ref="HAM27:HAN27"/>
    <mergeCell ref="HAO27:HAP27"/>
    <mergeCell ref="HAQ27:HAR27"/>
    <mergeCell ref="HFI27:HFJ27"/>
    <mergeCell ref="HFK27:HFL27"/>
    <mergeCell ref="HFM27:HFN27"/>
    <mergeCell ref="HFO27:HFP27"/>
    <mergeCell ref="HFQ27:HFR27"/>
    <mergeCell ref="HFS27:HFT27"/>
    <mergeCell ref="HEW27:HEX27"/>
    <mergeCell ref="HEY27:HEZ27"/>
    <mergeCell ref="HFA27:HFB27"/>
    <mergeCell ref="HFC27:HFD27"/>
    <mergeCell ref="HFE27:HFF27"/>
    <mergeCell ref="HFG27:HFH27"/>
    <mergeCell ref="HEK27:HEL27"/>
    <mergeCell ref="HEM27:HEN27"/>
    <mergeCell ref="HEO27:HEP27"/>
    <mergeCell ref="HEQ27:HER27"/>
    <mergeCell ref="HES27:HET27"/>
    <mergeCell ref="HEU27:HEV27"/>
    <mergeCell ref="HDY27:HDZ27"/>
    <mergeCell ref="HEA27:HEB27"/>
    <mergeCell ref="HEC27:HED27"/>
    <mergeCell ref="HEE27:HEF27"/>
    <mergeCell ref="HEG27:HEH27"/>
    <mergeCell ref="HEI27:HEJ27"/>
    <mergeCell ref="HDM27:HDN27"/>
    <mergeCell ref="HDO27:HDP27"/>
    <mergeCell ref="HDQ27:HDR27"/>
    <mergeCell ref="HDS27:HDT27"/>
    <mergeCell ref="HDU27:HDV27"/>
    <mergeCell ref="HDW27:HDX27"/>
    <mergeCell ref="HDA27:HDB27"/>
    <mergeCell ref="HDC27:HDD27"/>
    <mergeCell ref="HDE27:HDF27"/>
    <mergeCell ref="HDG27:HDH27"/>
    <mergeCell ref="HDI27:HDJ27"/>
    <mergeCell ref="HDK27:HDL27"/>
    <mergeCell ref="HIC27:HID27"/>
    <mergeCell ref="HIE27:HIF27"/>
    <mergeCell ref="HIG27:HIH27"/>
    <mergeCell ref="HII27:HIJ27"/>
    <mergeCell ref="HIK27:HIL27"/>
    <mergeCell ref="HIM27:HIN27"/>
    <mergeCell ref="HHQ27:HHR27"/>
    <mergeCell ref="HHS27:HHT27"/>
    <mergeCell ref="HHU27:HHV27"/>
    <mergeCell ref="HHW27:HHX27"/>
    <mergeCell ref="HHY27:HHZ27"/>
    <mergeCell ref="HIA27:HIB27"/>
    <mergeCell ref="HHE27:HHF27"/>
    <mergeCell ref="HHG27:HHH27"/>
    <mergeCell ref="HHI27:HHJ27"/>
    <mergeCell ref="HHK27:HHL27"/>
    <mergeCell ref="HHM27:HHN27"/>
    <mergeCell ref="HHO27:HHP27"/>
    <mergeCell ref="HGS27:HGT27"/>
    <mergeCell ref="HGU27:HGV27"/>
    <mergeCell ref="HGW27:HGX27"/>
    <mergeCell ref="HGY27:HGZ27"/>
    <mergeCell ref="HHA27:HHB27"/>
    <mergeCell ref="HHC27:HHD27"/>
    <mergeCell ref="HGG27:HGH27"/>
    <mergeCell ref="HGI27:HGJ27"/>
    <mergeCell ref="HGK27:HGL27"/>
    <mergeCell ref="HGM27:HGN27"/>
    <mergeCell ref="HGO27:HGP27"/>
    <mergeCell ref="HGQ27:HGR27"/>
    <mergeCell ref="HFU27:HFV27"/>
    <mergeCell ref="HFW27:HFX27"/>
    <mergeCell ref="HFY27:HFZ27"/>
    <mergeCell ref="HGA27:HGB27"/>
    <mergeCell ref="HGC27:HGD27"/>
    <mergeCell ref="HGE27:HGF27"/>
    <mergeCell ref="HKW27:HKX27"/>
    <mergeCell ref="HKY27:HKZ27"/>
    <mergeCell ref="HLA27:HLB27"/>
    <mergeCell ref="HLC27:HLD27"/>
    <mergeCell ref="HLE27:HLF27"/>
    <mergeCell ref="HLG27:HLH27"/>
    <mergeCell ref="HKK27:HKL27"/>
    <mergeCell ref="HKM27:HKN27"/>
    <mergeCell ref="HKO27:HKP27"/>
    <mergeCell ref="HKQ27:HKR27"/>
    <mergeCell ref="HKS27:HKT27"/>
    <mergeCell ref="HKU27:HKV27"/>
    <mergeCell ref="HJY27:HJZ27"/>
    <mergeCell ref="HKA27:HKB27"/>
    <mergeCell ref="HKC27:HKD27"/>
    <mergeCell ref="HKE27:HKF27"/>
    <mergeCell ref="HKG27:HKH27"/>
    <mergeCell ref="HKI27:HKJ27"/>
    <mergeCell ref="HJM27:HJN27"/>
    <mergeCell ref="HJO27:HJP27"/>
    <mergeCell ref="HJQ27:HJR27"/>
    <mergeCell ref="HJS27:HJT27"/>
    <mergeCell ref="HJU27:HJV27"/>
    <mergeCell ref="HJW27:HJX27"/>
    <mergeCell ref="HJA27:HJB27"/>
    <mergeCell ref="HJC27:HJD27"/>
    <mergeCell ref="HJE27:HJF27"/>
    <mergeCell ref="HJG27:HJH27"/>
    <mergeCell ref="HJI27:HJJ27"/>
    <mergeCell ref="HJK27:HJL27"/>
    <mergeCell ref="HIO27:HIP27"/>
    <mergeCell ref="HIQ27:HIR27"/>
    <mergeCell ref="HIS27:HIT27"/>
    <mergeCell ref="HIU27:HIV27"/>
    <mergeCell ref="HIW27:HIX27"/>
    <mergeCell ref="HIY27:HIZ27"/>
    <mergeCell ref="HNQ27:HNR27"/>
    <mergeCell ref="HNS27:HNT27"/>
    <mergeCell ref="HNU27:HNV27"/>
    <mergeCell ref="HNW27:HNX27"/>
    <mergeCell ref="HNY27:HNZ27"/>
    <mergeCell ref="HOA27:HOB27"/>
    <mergeCell ref="HNE27:HNF27"/>
    <mergeCell ref="HNG27:HNH27"/>
    <mergeCell ref="HNI27:HNJ27"/>
    <mergeCell ref="HNK27:HNL27"/>
    <mergeCell ref="HNM27:HNN27"/>
    <mergeCell ref="HNO27:HNP27"/>
    <mergeCell ref="HMS27:HMT27"/>
    <mergeCell ref="HMU27:HMV27"/>
    <mergeCell ref="HMW27:HMX27"/>
    <mergeCell ref="HMY27:HMZ27"/>
    <mergeCell ref="HNA27:HNB27"/>
    <mergeCell ref="HNC27:HND27"/>
    <mergeCell ref="HMG27:HMH27"/>
    <mergeCell ref="HMI27:HMJ27"/>
    <mergeCell ref="HMK27:HML27"/>
    <mergeCell ref="HMM27:HMN27"/>
    <mergeCell ref="HMO27:HMP27"/>
    <mergeCell ref="HMQ27:HMR27"/>
    <mergeCell ref="HLU27:HLV27"/>
    <mergeCell ref="HLW27:HLX27"/>
    <mergeCell ref="HLY27:HLZ27"/>
    <mergeCell ref="HMA27:HMB27"/>
    <mergeCell ref="HMC27:HMD27"/>
    <mergeCell ref="HME27:HMF27"/>
    <mergeCell ref="HLI27:HLJ27"/>
    <mergeCell ref="HLK27:HLL27"/>
    <mergeCell ref="HLM27:HLN27"/>
    <mergeCell ref="HLO27:HLP27"/>
    <mergeCell ref="HLQ27:HLR27"/>
    <mergeCell ref="HLS27:HLT27"/>
    <mergeCell ref="HQK27:HQL27"/>
    <mergeCell ref="HQM27:HQN27"/>
    <mergeCell ref="HQO27:HQP27"/>
    <mergeCell ref="HQQ27:HQR27"/>
    <mergeCell ref="HQS27:HQT27"/>
    <mergeCell ref="HQU27:HQV27"/>
    <mergeCell ref="HPY27:HPZ27"/>
    <mergeCell ref="HQA27:HQB27"/>
    <mergeCell ref="HQC27:HQD27"/>
    <mergeCell ref="HQE27:HQF27"/>
    <mergeCell ref="HQG27:HQH27"/>
    <mergeCell ref="HQI27:HQJ27"/>
    <mergeCell ref="HPM27:HPN27"/>
    <mergeCell ref="HPO27:HPP27"/>
    <mergeCell ref="HPQ27:HPR27"/>
    <mergeCell ref="HPS27:HPT27"/>
    <mergeCell ref="HPU27:HPV27"/>
    <mergeCell ref="HPW27:HPX27"/>
    <mergeCell ref="HPA27:HPB27"/>
    <mergeCell ref="HPC27:HPD27"/>
    <mergeCell ref="HPE27:HPF27"/>
    <mergeCell ref="HPG27:HPH27"/>
    <mergeCell ref="HPI27:HPJ27"/>
    <mergeCell ref="HPK27:HPL27"/>
    <mergeCell ref="HOO27:HOP27"/>
    <mergeCell ref="HOQ27:HOR27"/>
    <mergeCell ref="HOS27:HOT27"/>
    <mergeCell ref="HOU27:HOV27"/>
    <mergeCell ref="HOW27:HOX27"/>
    <mergeCell ref="HOY27:HOZ27"/>
    <mergeCell ref="HOC27:HOD27"/>
    <mergeCell ref="HOE27:HOF27"/>
    <mergeCell ref="HOG27:HOH27"/>
    <mergeCell ref="HOI27:HOJ27"/>
    <mergeCell ref="HOK27:HOL27"/>
    <mergeCell ref="HOM27:HON27"/>
    <mergeCell ref="HTE27:HTF27"/>
    <mergeCell ref="HTG27:HTH27"/>
    <mergeCell ref="HTI27:HTJ27"/>
    <mergeCell ref="HTK27:HTL27"/>
    <mergeCell ref="HTM27:HTN27"/>
    <mergeCell ref="HTO27:HTP27"/>
    <mergeCell ref="HSS27:HST27"/>
    <mergeCell ref="HSU27:HSV27"/>
    <mergeCell ref="HSW27:HSX27"/>
    <mergeCell ref="HSY27:HSZ27"/>
    <mergeCell ref="HTA27:HTB27"/>
    <mergeCell ref="HTC27:HTD27"/>
    <mergeCell ref="HSG27:HSH27"/>
    <mergeCell ref="HSI27:HSJ27"/>
    <mergeCell ref="HSK27:HSL27"/>
    <mergeCell ref="HSM27:HSN27"/>
    <mergeCell ref="HSO27:HSP27"/>
    <mergeCell ref="HSQ27:HSR27"/>
    <mergeCell ref="HRU27:HRV27"/>
    <mergeCell ref="HRW27:HRX27"/>
    <mergeCell ref="HRY27:HRZ27"/>
    <mergeCell ref="HSA27:HSB27"/>
    <mergeCell ref="HSC27:HSD27"/>
    <mergeCell ref="HSE27:HSF27"/>
    <mergeCell ref="HRI27:HRJ27"/>
    <mergeCell ref="HRK27:HRL27"/>
    <mergeCell ref="HRM27:HRN27"/>
    <mergeCell ref="HRO27:HRP27"/>
    <mergeCell ref="HRQ27:HRR27"/>
    <mergeCell ref="HRS27:HRT27"/>
    <mergeCell ref="HQW27:HQX27"/>
    <mergeCell ref="HQY27:HQZ27"/>
    <mergeCell ref="HRA27:HRB27"/>
    <mergeCell ref="HRC27:HRD27"/>
    <mergeCell ref="HRE27:HRF27"/>
    <mergeCell ref="HRG27:HRH27"/>
    <mergeCell ref="HVY27:HVZ27"/>
    <mergeCell ref="HWA27:HWB27"/>
    <mergeCell ref="HWC27:HWD27"/>
    <mergeCell ref="HWE27:HWF27"/>
    <mergeCell ref="HWG27:HWH27"/>
    <mergeCell ref="HWI27:HWJ27"/>
    <mergeCell ref="HVM27:HVN27"/>
    <mergeCell ref="HVO27:HVP27"/>
    <mergeCell ref="HVQ27:HVR27"/>
    <mergeCell ref="HVS27:HVT27"/>
    <mergeCell ref="HVU27:HVV27"/>
    <mergeCell ref="HVW27:HVX27"/>
    <mergeCell ref="HVA27:HVB27"/>
    <mergeCell ref="HVC27:HVD27"/>
    <mergeCell ref="HVE27:HVF27"/>
    <mergeCell ref="HVG27:HVH27"/>
    <mergeCell ref="HVI27:HVJ27"/>
    <mergeCell ref="HVK27:HVL27"/>
    <mergeCell ref="HUO27:HUP27"/>
    <mergeCell ref="HUQ27:HUR27"/>
    <mergeCell ref="HUS27:HUT27"/>
    <mergeCell ref="HUU27:HUV27"/>
    <mergeCell ref="HUW27:HUX27"/>
    <mergeCell ref="HUY27:HUZ27"/>
    <mergeCell ref="HUC27:HUD27"/>
    <mergeCell ref="HUE27:HUF27"/>
    <mergeCell ref="HUG27:HUH27"/>
    <mergeCell ref="HUI27:HUJ27"/>
    <mergeCell ref="HUK27:HUL27"/>
    <mergeCell ref="HUM27:HUN27"/>
    <mergeCell ref="HTQ27:HTR27"/>
    <mergeCell ref="HTS27:HTT27"/>
    <mergeCell ref="HTU27:HTV27"/>
    <mergeCell ref="HTW27:HTX27"/>
    <mergeCell ref="HTY27:HTZ27"/>
    <mergeCell ref="HUA27:HUB27"/>
    <mergeCell ref="HYS27:HYT27"/>
    <mergeCell ref="HYU27:HYV27"/>
    <mergeCell ref="HYW27:HYX27"/>
    <mergeCell ref="HYY27:HYZ27"/>
    <mergeCell ref="HZA27:HZB27"/>
    <mergeCell ref="HZC27:HZD27"/>
    <mergeCell ref="HYG27:HYH27"/>
    <mergeCell ref="HYI27:HYJ27"/>
    <mergeCell ref="HYK27:HYL27"/>
    <mergeCell ref="HYM27:HYN27"/>
    <mergeCell ref="HYO27:HYP27"/>
    <mergeCell ref="HYQ27:HYR27"/>
    <mergeCell ref="HXU27:HXV27"/>
    <mergeCell ref="HXW27:HXX27"/>
    <mergeCell ref="HXY27:HXZ27"/>
    <mergeCell ref="HYA27:HYB27"/>
    <mergeCell ref="HYC27:HYD27"/>
    <mergeCell ref="HYE27:HYF27"/>
    <mergeCell ref="HXI27:HXJ27"/>
    <mergeCell ref="HXK27:HXL27"/>
    <mergeCell ref="HXM27:HXN27"/>
    <mergeCell ref="HXO27:HXP27"/>
    <mergeCell ref="HXQ27:HXR27"/>
    <mergeCell ref="HXS27:HXT27"/>
    <mergeCell ref="HWW27:HWX27"/>
    <mergeCell ref="HWY27:HWZ27"/>
    <mergeCell ref="HXA27:HXB27"/>
    <mergeCell ref="HXC27:HXD27"/>
    <mergeCell ref="HXE27:HXF27"/>
    <mergeCell ref="HXG27:HXH27"/>
    <mergeCell ref="HWK27:HWL27"/>
    <mergeCell ref="HWM27:HWN27"/>
    <mergeCell ref="HWO27:HWP27"/>
    <mergeCell ref="HWQ27:HWR27"/>
    <mergeCell ref="HWS27:HWT27"/>
    <mergeCell ref="HWU27:HWV27"/>
    <mergeCell ref="IBM27:IBN27"/>
    <mergeCell ref="IBO27:IBP27"/>
    <mergeCell ref="IBQ27:IBR27"/>
    <mergeCell ref="IBS27:IBT27"/>
    <mergeCell ref="IBU27:IBV27"/>
    <mergeCell ref="IBW27:IBX27"/>
    <mergeCell ref="IBA27:IBB27"/>
    <mergeCell ref="IBC27:IBD27"/>
    <mergeCell ref="IBE27:IBF27"/>
    <mergeCell ref="IBG27:IBH27"/>
    <mergeCell ref="IBI27:IBJ27"/>
    <mergeCell ref="IBK27:IBL27"/>
    <mergeCell ref="IAO27:IAP27"/>
    <mergeCell ref="IAQ27:IAR27"/>
    <mergeCell ref="IAS27:IAT27"/>
    <mergeCell ref="IAU27:IAV27"/>
    <mergeCell ref="IAW27:IAX27"/>
    <mergeCell ref="IAY27:IAZ27"/>
    <mergeCell ref="IAC27:IAD27"/>
    <mergeCell ref="IAE27:IAF27"/>
    <mergeCell ref="IAG27:IAH27"/>
    <mergeCell ref="IAI27:IAJ27"/>
    <mergeCell ref="IAK27:IAL27"/>
    <mergeCell ref="IAM27:IAN27"/>
    <mergeCell ref="HZQ27:HZR27"/>
    <mergeCell ref="HZS27:HZT27"/>
    <mergeCell ref="HZU27:HZV27"/>
    <mergeCell ref="HZW27:HZX27"/>
    <mergeCell ref="HZY27:HZZ27"/>
    <mergeCell ref="IAA27:IAB27"/>
    <mergeCell ref="HZE27:HZF27"/>
    <mergeCell ref="HZG27:HZH27"/>
    <mergeCell ref="HZI27:HZJ27"/>
    <mergeCell ref="HZK27:HZL27"/>
    <mergeCell ref="HZM27:HZN27"/>
    <mergeCell ref="HZO27:HZP27"/>
    <mergeCell ref="IEG27:IEH27"/>
    <mergeCell ref="IEI27:IEJ27"/>
    <mergeCell ref="IEK27:IEL27"/>
    <mergeCell ref="IEM27:IEN27"/>
    <mergeCell ref="IEO27:IEP27"/>
    <mergeCell ref="IEQ27:IER27"/>
    <mergeCell ref="IDU27:IDV27"/>
    <mergeCell ref="IDW27:IDX27"/>
    <mergeCell ref="IDY27:IDZ27"/>
    <mergeCell ref="IEA27:IEB27"/>
    <mergeCell ref="IEC27:IED27"/>
    <mergeCell ref="IEE27:IEF27"/>
    <mergeCell ref="IDI27:IDJ27"/>
    <mergeCell ref="IDK27:IDL27"/>
    <mergeCell ref="IDM27:IDN27"/>
    <mergeCell ref="IDO27:IDP27"/>
    <mergeCell ref="IDQ27:IDR27"/>
    <mergeCell ref="IDS27:IDT27"/>
    <mergeCell ref="ICW27:ICX27"/>
    <mergeCell ref="ICY27:ICZ27"/>
    <mergeCell ref="IDA27:IDB27"/>
    <mergeCell ref="IDC27:IDD27"/>
    <mergeCell ref="IDE27:IDF27"/>
    <mergeCell ref="IDG27:IDH27"/>
    <mergeCell ref="ICK27:ICL27"/>
    <mergeCell ref="ICM27:ICN27"/>
    <mergeCell ref="ICO27:ICP27"/>
    <mergeCell ref="ICQ27:ICR27"/>
    <mergeCell ref="ICS27:ICT27"/>
    <mergeCell ref="ICU27:ICV27"/>
    <mergeCell ref="IBY27:IBZ27"/>
    <mergeCell ref="ICA27:ICB27"/>
    <mergeCell ref="ICC27:ICD27"/>
    <mergeCell ref="ICE27:ICF27"/>
    <mergeCell ref="ICG27:ICH27"/>
    <mergeCell ref="ICI27:ICJ27"/>
    <mergeCell ref="IHA27:IHB27"/>
    <mergeCell ref="IHC27:IHD27"/>
    <mergeCell ref="IHE27:IHF27"/>
    <mergeCell ref="IHG27:IHH27"/>
    <mergeCell ref="IHI27:IHJ27"/>
    <mergeCell ref="IHK27:IHL27"/>
    <mergeCell ref="IGO27:IGP27"/>
    <mergeCell ref="IGQ27:IGR27"/>
    <mergeCell ref="IGS27:IGT27"/>
    <mergeCell ref="IGU27:IGV27"/>
    <mergeCell ref="IGW27:IGX27"/>
    <mergeCell ref="IGY27:IGZ27"/>
    <mergeCell ref="IGC27:IGD27"/>
    <mergeCell ref="IGE27:IGF27"/>
    <mergeCell ref="IGG27:IGH27"/>
    <mergeCell ref="IGI27:IGJ27"/>
    <mergeCell ref="IGK27:IGL27"/>
    <mergeCell ref="IGM27:IGN27"/>
    <mergeCell ref="IFQ27:IFR27"/>
    <mergeCell ref="IFS27:IFT27"/>
    <mergeCell ref="IFU27:IFV27"/>
    <mergeCell ref="IFW27:IFX27"/>
    <mergeCell ref="IFY27:IFZ27"/>
    <mergeCell ref="IGA27:IGB27"/>
    <mergeCell ref="IFE27:IFF27"/>
    <mergeCell ref="IFG27:IFH27"/>
    <mergeCell ref="IFI27:IFJ27"/>
    <mergeCell ref="IFK27:IFL27"/>
    <mergeCell ref="IFM27:IFN27"/>
    <mergeCell ref="IFO27:IFP27"/>
    <mergeCell ref="IES27:IET27"/>
    <mergeCell ref="IEU27:IEV27"/>
    <mergeCell ref="IEW27:IEX27"/>
    <mergeCell ref="IEY27:IEZ27"/>
    <mergeCell ref="IFA27:IFB27"/>
    <mergeCell ref="IFC27:IFD27"/>
    <mergeCell ref="IJU27:IJV27"/>
    <mergeCell ref="IJW27:IJX27"/>
    <mergeCell ref="IJY27:IJZ27"/>
    <mergeCell ref="IKA27:IKB27"/>
    <mergeCell ref="IKC27:IKD27"/>
    <mergeCell ref="IKE27:IKF27"/>
    <mergeCell ref="IJI27:IJJ27"/>
    <mergeCell ref="IJK27:IJL27"/>
    <mergeCell ref="IJM27:IJN27"/>
    <mergeCell ref="IJO27:IJP27"/>
    <mergeCell ref="IJQ27:IJR27"/>
    <mergeCell ref="IJS27:IJT27"/>
    <mergeCell ref="IIW27:IIX27"/>
    <mergeCell ref="IIY27:IIZ27"/>
    <mergeCell ref="IJA27:IJB27"/>
    <mergeCell ref="IJC27:IJD27"/>
    <mergeCell ref="IJE27:IJF27"/>
    <mergeCell ref="IJG27:IJH27"/>
    <mergeCell ref="IIK27:IIL27"/>
    <mergeCell ref="IIM27:IIN27"/>
    <mergeCell ref="IIO27:IIP27"/>
    <mergeCell ref="IIQ27:IIR27"/>
    <mergeCell ref="IIS27:IIT27"/>
    <mergeCell ref="IIU27:IIV27"/>
    <mergeCell ref="IHY27:IHZ27"/>
    <mergeCell ref="IIA27:IIB27"/>
    <mergeCell ref="IIC27:IID27"/>
    <mergeCell ref="IIE27:IIF27"/>
    <mergeCell ref="IIG27:IIH27"/>
    <mergeCell ref="III27:IIJ27"/>
    <mergeCell ref="IHM27:IHN27"/>
    <mergeCell ref="IHO27:IHP27"/>
    <mergeCell ref="IHQ27:IHR27"/>
    <mergeCell ref="IHS27:IHT27"/>
    <mergeCell ref="IHU27:IHV27"/>
    <mergeCell ref="IHW27:IHX27"/>
    <mergeCell ref="IMO27:IMP27"/>
    <mergeCell ref="IMQ27:IMR27"/>
    <mergeCell ref="IMS27:IMT27"/>
    <mergeCell ref="IMU27:IMV27"/>
    <mergeCell ref="IMW27:IMX27"/>
    <mergeCell ref="IMY27:IMZ27"/>
    <mergeCell ref="IMC27:IMD27"/>
    <mergeCell ref="IME27:IMF27"/>
    <mergeCell ref="IMG27:IMH27"/>
    <mergeCell ref="IMI27:IMJ27"/>
    <mergeCell ref="IMK27:IML27"/>
    <mergeCell ref="IMM27:IMN27"/>
    <mergeCell ref="ILQ27:ILR27"/>
    <mergeCell ref="ILS27:ILT27"/>
    <mergeCell ref="ILU27:ILV27"/>
    <mergeCell ref="ILW27:ILX27"/>
    <mergeCell ref="ILY27:ILZ27"/>
    <mergeCell ref="IMA27:IMB27"/>
    <mergeCell ref="ILE27:ILF27"/>
    <mergeCell ref="ILG27:ILH27"/>
    <mergeCell ref="ILI27:ILJ27"/>
    <mergeCell ref="ILK27:ILL27"/>
    <mergeCell ref="ILM27:ILN27"/>
    <mergeCell ref="ILO27:ILP27"/>
    <mergeCell ref="IKS27:IKT27"/>
    <mergeCell ref="IKU27:IKV27"/>
    <mergeCell ref="IKW27:IKX27"/>
    <mergeCell ref="IKY27:IKZ27"/>
    <mergeCell ref="ILA27:ILB27"/>
    <mergeCell ref="ILC27:ILD27"/>
    <mergeCell ref="IKG27:IKH27"/>
    <mergeCell ref="IKI27:IKJ27"/>
    <mergeCell ref="IKK27:IKL27"/>
    <mergeCell ref="IKM27:IKN27"/>
    <mergeCell ref="IKO27:IKP27"/>
    <mergeCell ref="IKQ27:IKR27"/>
    <mergeCell ref="IPI27:IPJ27"/>
    <mergeCell ref="IPK27:IPL27"/>
    <mergeCell ref="IPM27:IPN27"/>
    <mergeCell ref="IPO27:IPP27"/>
    <mergeCell ref="IPQ27:IPR27"/>
    <mergeCell ref="IPS27:IPT27"/>
    <mergeCell ref="IOW27:IOX27"/>
    <mergeCell ref="IOY27:IOZ27"/>
    <mergeCell ref="IPA27:IPB27"/>
    <mergeCell ref="IPC27:IPD27"/>
    <mergeCell ref="IPE27:IPF27"/>
    <mergeCell ref="IPG27:IPH27"/>
    <mergeCell ref="IOK27:IOL27"/>
    <mergeCell ref="IOM27:ION27"/>
    <mergeCell ref="IOO27:IOP27"/>
    <mergeCell ref="IOQ27:IOR27"/>
    <mergeCell ref="IOS27:IOT27"/>
    <mergeCell ref="IOU27:IOV27"/>
    <mergeCell ref="INY27:INZ27"/>
    <mergeCell ref="IOA27:IOB27"/>
    <mergeCell ref="IOC27:IOD27"/>
    <mergeCell ref="IOE27:IOF27"/>
    <mergeCell ref="IOG27:IOH27"/>
    <mergeCell ref="IOI27:IOJ27"/>
    <mergeCell ref="INM27:INN27"/>
    <mergeCell ref="INO27:INP27"/>
    <mergeCell ref="INQ27:INR27"/>
    <mergeCell ref="INS27:INT27"/>
    <mergeCell ref="INU27:INV27"/>
    <mergeCell ref="INW27:INX27"/>
    <mergeCell ref="INA27:INB27"/>
    <mergeCell ref="INC27:IND27"/>
    <mergeCell ref="INE27:INF27"/>
    <mergeCell ref="ING27:INH27"/>
    <mergeCell ref="INI27:INJ27"/>
    <mergeCell ref="INK27:INL27"/>
    <mergeCell ref="ISC27:ISD27"/>
    <mergeCell ref="ISE27:ISF27"/>
    <mergeCell ref="ISG27:ISH27"/>
    <mergeCell ref="ISI27:ISJ27"/>
    <mergeCell ref="ISK27:ISL27"/>
    <mergeCell ref="ISM27:ISN27"/>
    <mergeCell ref="IRQ27:IRR27"/>
    <mergeCell ref="IRS27:IRT27"/>
    <mergeCell ref="IRU27:IRV27"/>
    <mergeCell ref="IRW27:IRX27"/>
    <mergeCell ref="IRY27:IRZ27"/>
    <mergeCell ref="ISA27:ISB27"/>
    <mergeCell ref="IRE27:IRF27"/>
    <mergeCell ref="IRG27:IRH27"/>
    <mergeCell ref="IRI27:IRJ27"/>
    <mergeCell ref="IRK27:IRL27"/>
    <mergeCell ref="IRM27:IRN27"/>
    <mergeCell ref="IRO27:IRP27"/>
    <mergeCell ref="IQS27:IQT27"/>
    <mergeCell ref="IQU27:IQV27"/>
    <mergeCell ref="IQW27:IQX27"/>
    <mergeCell ref="IQY27:IQZ27"/>
    <mergeCell ref="IRA27:IRB27"/>
    <mergeCell ref="IRC27:IRD27"/>
    <mergeCell ref="IQG27:IQH27"/>
    <mergeCell ref="IQI27:IQJ27"/>
    <mergeCell ref="IQK27:IQL27"/>
    <mergeCell ref="IQM27:IQN27"/>
    <mergeCell ref="IQO27:IQP27"/>
    <mergeCell ref="IQQ27:IQR27"/>
    <mergeCell ref="IPU27:IPV27"/>
    <mergeCell ref="IPW27:IPX27"/>
    <mergeCell ref="IPY27:IPZ27"/>
    <mergeCell ref="IQA27:IQB27"/>
    <mergeCell ref="IQC27:IQD27"/>
    <mergeCell ref="IQE27:IQF27"/>
    <mergeCell ref="IUW27:IUX27"/>
    <mergeCell ref="IUY27:IUZ27"/>
    <mergeCell ref="IVA27:IVB27"/>
    <mergeCell ref="IVC27:IVD27"/>
    <mergeCell ref="IVE27:IVF27"/>
    <mergeCell ref="IVG27:IVH27"/>
    <mergeCell ref="IUK27:IUL27"/>
    <mergeCell ref="IUM27:IUN27"/>
    <mergeCell ref="IUO27:IUP27"/>
    <mergeCell ref="IUQ27:IUR27"/>
    <mergeCell ref="IUS27:IUT27"/>
    <mergeCell ref="IUU27:IUV27"/>
    <mergeCell ref="ITY27:ITZ27"/>
    <mergeCell ref="IUA27:IUB27"/>
    <mergeCell ref="IUC27:IUD27"/>
    <mergeCell ref="IUE27:IUF27"/>
    <mergeCell ref="IUG27:IUH27"/>
    <mergeCell ref="IUI27:IUJ27"/>
    <mergeCell ref="ITM27:ITN27"/>
    <mergeCell ref="ITO27:ITP27"/>
    <mergeCell ref="ITQ27:ITR27"/>
    <mergeCell ref="ITS27:ITT27"/>
    <mergeCell ref="ITU27:ITV27"/>
    <mergeCell ref="ITW27:ITX27"/>
    <mergeCell ref="ITA27:ITB27"/>
    <mergeCell ref="ITC27:ITD27"/>
    <mergeCell ref="ITE27:ITF27"/>
    <mergeCell ref="ITG27:ITH27"/>
    <mergeCell ref="ITI27:ITJ27"/>
    <mergeCell ref="ITK27:ITL27"/>
    <mergeCell ref="ISO27:ISP27"/>
    <mergeCell ref="ISQ27:ISR27"/>
    <mergeCell ref="ISS27:IST27"/>
    <mergeCell ref="ISU27:ISV27"/>
    <mergeCell ref="ISW27:ISX27"/>
    <mergeCell ref="ISY27:ISZ27"/>
    <mergeCell ref="IXQ27:IXR27"/>
    <mergeCell ref="IXS27:IXT27"/>
    <mergeCell ref="IXU27:IXV27"/>
    <mergeCell ref="IXW27:IXX27"/>
    <mergeCell ref="IXY27:IXZ27"/>
    <mergeCell ref="IYA27:IYB27"/>
    <mergeCell ref="IXE27:IXF27"/>
    <mergeCell ref="IXG27:IXH27"/>
    <mergeCell ref="IXI27:IXJ27"/>
    <mergeCell ref="IXK27:IXL27"/>
    <mergeCell ref="IXM27:IXN27"/>
    <mergeCell ref="IXO27:IXP27"/>
    <mergeCell ref="IWS27:IWT27"/>
    <mergeCell ref="IWU27:IWV27"/>
    <mergeCell ref="IWW27:IWX27"/>
    <mergeCell ref="IWY27:IWZ27"/>
    <mergeCell ref="IXA27:IXB27"/>
    <mergeCell ref="IXC27:IXD27"/>
    <mergeCell ref="IWG27:IWH27"/>
    <mergeCell ref="IWI27:IWJ27"/>
    <mergeCell ref="IWK27:IWL27"/>
    <mergeCell ref="IWM27:IWN27"/>
    <mergeCell ref="IWO27:IWP27"/>
    <mergeCell ref="IWQ27:IWR27"/>
    <mergeCell ref="IVU27:IVV27"/>
    <mergeCell ref="IVW27:IVX27"/>
    <mergeCell ref="IVY27:IVZ27"/>
    <mergeCell ref="IWA27:IWB27"/>
    <mergeCell ref="IWC27:IWD27"/>
    <mergeCell ref="IWE27:IWF27"/>
    <mergeCell ref="IVI27:IVJ27"/>
    <mergeCell ref="IVK27:IVL27"/>
    <mergeCell ref="IVM27:IVN27"/>
    <mergeCell ref="IVO27:IVP27"/>
    <mergeCell ref="IVQ27:IVR27"/>
    <mergeCell ref="IVS27:IVT27"/>
    <mergeCell ref="JAK27:JAL27"/>
    <mergeCell ref="JAM27:JAN27"/>
    <mergeCell ref="JAO27:JAP27"/>
    <mergeCell ref="JAQ27:JAR27"/>
    <mergeCell ref="JAS27:JAT27"/>
    <mergeCell ref="JAU27:JAV27"/>
    <mergeCell ref="IZY27:IZZ27"/>
    <mergeCell ref="JAA27:JAB27"/>
    <mergeCell ref="JAC27:JAD27"/>
    <mergeCell ref="JAE27:JAF27"/>
    <mergeCell ref="JAG27:JAH27"/>
    <mergeCell ref="JAI27:JAJ27"/>
    <mergeCell ref="IZM27:IZN27"/>
    <mergeCell ref="IZO27:IZP27"/>
    <mergeCell ref="IZQ27:IZR27"/>
    <mergeCell ref="IZS27:IZT27"/>
    <mergeCell ref="IZU27:IZV27"/>
    <mergeCell ref="IZW27:IZX27"/>
    <mergeCell ref="IZA27:IZB27"/>
    <mergeCell ref="IZC27:IZD27"/>
    <mergeCell ref="IZE27:IZF27"/>
    <mergeCell ref="IZG27:IZH27"/>
    <mergeCell ref="IZI27:IZJ27"/>
    <mergeCell ref="IZK27:IZL27"/>
    <mergeCell ref="IYO27:IYP27"/>
    <mergeCell ref="IYQ27:IYR27"/>
    <mergeCell ref="IYS27:IYT27"/>
    <mergeCell ref="IYU27:IYV27"/>
    <mergeCell ref="IYW27:IYX27"/>
    <mergeCell ref="IYY27:IYZ27"/>
    <mergeCell ref="IYC27:IYD27"/>
    <mergeCell ref="IYE27:IYF27"/>
    <mergeCell ref="IYG27:IYH27"/>
    <mergeCell ref="IYI27:IYJ27"/>
    <mergeCell ref="IYK27:IYL27"/>
    <mergeCell ref="IYM27:IYN27"/>
    <mergeCell ref="JDE27:JDF27"/>
    <mergeCell ref="JDG27:JDH27"/>
    <mergeCell ref="JDI27:JDJ27"/>
    <mergeCell ref="JDK27:JDL27"/>
    <mergeCell ref="JDM27:JDN27"/>
    <mergeCell ref="JDO27:JDP27"/>
    <mergeCell ref="JCS27:JCT27"/>
    <mergeCell ref="JCU27:JCV27"/>
    <mergeCell ref="JCW27:JCX27"/>
    <mergeCell ref="JCY27:JCZ27"/>
    <mergeCell ref="JDA27:JDB27"/>
    <mergeCell ref="JDC27:JDD27"/>
    <mergeCell ref="JCG27:JCH27"/>
    <mergeCell ref="JCI27:JCJ27"/>
    <mergeCell ref="JCK27:JCL27"/>
    <mergeCell ref="JCM27:JCN27"/>
    <mergeCell ref="JCO27:JCP27"/>
    <mergeCell ref="JCQ27:JCR27"/>
    <mergeCell ref="JBU27:JBV27"/>
    <mergeCell ref="JBW27:JBX27"/>
    <mergeCell ref="JBY27:JBZ27"/>
    <mergeCell ref="JCA27:JCB27"/>
    <mergeCell ref="JCC27:JCD27"/>
    <mergeCell ref="JCE27:JCF27"/>
    <mergeCell ref="JBI27:JBJ27"/>
    <mergeCell ref="JBK27:JBL27"/>
    <mergeCell ref="JBM27:JBN27"/>
    <mergeCell ref="JBO27:JBP27"/>
    <mergeCell ref="JBQ27:JBR27"/>
    <mergeCell ref="JBS27:JBT27"/>
    <mergeCell ref="JAW27:JAX27"/>
    <mergeCell ref="JAY27:JAZ27"/>
    <mergeCell ref="JBA27:JBB27"/>
    <mergeCell ref="JBC27:JBD27"/>
    <mergeCell ref="JBE27:JBF27"/>
    <mergeCell ref="JBG27:JBH27"/>
    <mergeCell ref="JFY27:JFZ27"/>
    <mergeCell ref="JGA27:JGB27"/>
    <mergeCell ref="JGC27:JGD27"/>
    <mergeCell ref="JGE27:JGF27"/>
    <mergeCell ref="JGG27:JGH27"/>
    <mergeCell ref="JGI27:JGJ27"/>
    <mergeCell ref="JFM27:JFN27"/>
    <mergeCell ref="JFO27:JFP27"/>
    <mergeCell ref="JFQ27:JFR27"/>
    <mergeCell ref="JFS27:JFT27"/>
    <mergeCell ref="JFU27:JFV27"/>
    <mergeCell ref="JFW27:JFX27"/>
    <mergeCell ref="JFA27:JFB27"/>
    <mergeCell ref="JFC27:JFD27"/>
    <mergeCell ref="JFE27:JFF27"/>
    <mergeCell ref="JFG27:JFH27"/>
    <mergeCell ref="JFI27:JFJ27"/>
    <mergeCell ref="JFK27:JFL27"/>
    <mergeCell ref="JEO27:JEP27"/>
    <mergeCell ref="JEQ27:JER27"/>
    <mergeCell ref="JES27:JET27"/>
    <mergeCell ref="JEU27:JEV27"/>
    <mergeCell ref="JEW27:JEX27"/>
    <mergeCell ref="JEY27:JEZ27"/>
    <mergeCell ref="JEC27:JED27"/>
    <mergeCell ref="JEE27:JEF27"/>
    <mergeCell ref="JEG27:JEH27"/>
    <mergeCell ref="JEI27:JEJ27"/>
    <mergeCell ref="JEK27:JEL27"/>
    <mergeCell ref="JEM27:JEN27"/>
    <mergeCell ref="JDQ27:JDR27"/>
    <mergeCell ref="JDS27:JDT27"/>
    <mergeCell ref="JDU27:JDV27"/>
    <mergeCell ref="JDW27:JDX27"/>
    <mergeCell ref="JDY27:JDZ27"/>
    <mergeCell ref="JEA27:JEB27"/>
    <mergeCell ref="JIS27:JIT27"/>
    <mergeCell ref="JIU27:JIV27"/>
    <mergeCell ref="JIW27:JIX27"/>
    <mergeCell ref="JIY27:JIZ27"/>
    <mergeCell ref="JJA27:JJB27"/>
    <mergeCell ref="JJC27:JJD27"/>
    <mergeCell ref="JIG27:JIH27"/>
    <mergeCell ref="JII27:JIJ27"/>
    <mergeCell ref="JIK27:JIL27"/>
    <mergeCell ref="JIM27:JIN27"/>
    <mergeCell ref="JIO27:JIP27"/>
    <mergeCell ref="JIQ27:JIR27"/>
    <mergeCell ref="JHU27:JHV27"/>
    <mergeCell ref="JHW27:JHX27"/>
    <mergeCell ref="JHY27:JHZ27"/>
    <mergeCell ref="JIA27:JIB27"/>
    <mergeCell ref="JIC27:JID27"/>
    <mergeCell ref="JIE27:JIF27"/>
    <mergeCell ref="JHI27:JHJ27"/>
    <mergeCell ref="JHK27:JHL27"/>
    <mergeCell ref="JHM27:JHN27"/>
    <mergeCell ref="JHO27:JHP27"/>
    <mergeCell ref="JHQ27:JHR27"/>
    <mergeCell ref="JHS27:JHT27"/>
    <mergeCell ref="JGW27:JGX27"/>
    <mergeCell ref="JGY27:JGZ27"/>
    <mergeCell ref="JHA27:JHB27"/>
    <mergeCell ref="JHC27:JHD27"/>
    <mergeCell ref="JHE27:JHF27"/>
    <mergeCell ref="JHG27:JHH27"/>
    <mergeCell ref="JGK27:JGL27"/>
    <mergeCell ref="JGM27:JGN27"/>
    <mergeCell ref="JGO27:JGP27"/>
    <mergeCell ref="JGQ27:JGR27"/>
    <mergeCell ref="JGS27:JGT27"/>
    <mergeCell ref="JGU27:JGV27"/>
    <mergeCell ref="JLM27:JLN27"/>
    <mergeCell ref="JLO27:JLP27"/>
    <mergeCell ref="JLQ27:JLR27"/>
    <mergeCell ref="JLS27:JLT27"/>
    <mergeCell ref="JLU27:JLV27"/>
    <mergeCell ref="JLW27:JLX27"/>
    <mergeCell ref="JLA27:JLB27"/>
    <mergeCell ref="JLC27:JLD27"/>
    <mergeCell ref="JLE27:JLF27"/>
    <mergeCell ref="JLG27:JLH27"/>
    <mergeCell ref="JLI27:JLJ27"/>
    <mergeCell ref="JLK27:JLL27"/>
    <mergeCell ref="JKO27:JKP27"/>
    <mergeCell ref="JKQ27:JKR27"/>
    <mergeCell ref="JKS27:JKT27"/>
    <mergeCell ref="JKU27:JKV27"/>
    <mergeCell ref="JKW27:JKX27"/>
    <mergeCell ref="JKY27:JKZ27"/>
    <mergeCell ref="JKC27:JKD27"/>
    <mergeCell ref="JKE27:JKF27"/>
    <mergeCell ref="JKG27:JKH27"/>
    <mergeCell ref="JKI27:JKJ27"/>
    <mergeCell ref="JKK27:JKL27"/>
    <mergeCell ref="JKM27:JKN27"/>
    <mergeCell ref="JJQ27:JJR27"/>
    <mergeCell ref="JJS27:JJT27"/>
    <mergeCell ref="JJU27:JJV27"/>
    <mergeCell ref="JJW27:JJX27"/>
    <mergeCell ref="JJY27:JJZ27"/>
    <mergeCell ref="JKA27:JKB27"/>
    <mergeCell ref="JJE27:JJF27"/>
    <mergeCell ref="JJG27:JJH27"/>
    <mergeCell ref="JJI27:JJJ27"/>
    <mergeCell ref="JJK27:JJL27"/>
    <mergeCell ref="JJM27:JJN27"/>
    <mergeCell ref="JJO27:JJP27"/>
    <mergeCell ref="JOG27:JOH27"/>
    <mergeCell ref="JOI27:JOJ27"/>
    <mergeCell ref="JOK27:JOL27"/>
    <mergeCell ref="JOM27:JON27"/>
    <mergeCell ref="JOO27:JOP27"/>
    <mergeCell ref="JOQ27:JOR27"/>
    <mergeCell ref="JNU27:JNV27"/>
    <mergeCell ref="JNW27:JNX27"/>
    <mergeCell ref="JNY27:JNZ27"/>
    <mergeCell ref="JOA27:JOB27"/>
    <mergeCell ref="JOC27:JOD27"/>
    <mergeCell ref="JOE27:JOF27"/>
    <mergeCell ref="JNI27:JNJ27"/>
    <mergeCell ref="JNK27:JNL27"/>
    <mergeCell ref="JNM27:JNN27"/>
    <mergeCell ref="JNO27:JNP27"/>
    <mergeCell ref="JNQ27:JNR27"/>
    <mergeCell ref="JNS27:JNT27"/>
    <mergeCell ref="JMW27:JMX27"/>
    <mergeCell ref="JMY27:JMZ27"/>
    <mergeCell ref="JNA27:JNB27"/>
    <mergeCell ref="JNC27:JND27"/>
    <mergeCell ref="JNE27:JNF27"/>
    <mergeCell ref="JNG27:JNH27"/>
    <mergeCell ref="JMK27:JML27"/>
    <mergeCell ref="JMM27:JMN27"/>
    <mergeCell ref="JMO27:JMP27"/>
    <mergeCell ref="JMQ27:JMR27"/>
    <mergeCell ref="JMS27:JMT27"/>
    <mergeCell ref="JMU27:JMV27"/>
    <mergeCell ref="JLY27:JLZ27"/>
    <mergeCell ref="JMA27:JMB27"/>
    <mergeCell ref="JMC27:JMD27"/>
    <mergeCell ref="JME27:JMF27"/>
    <mergeCell ref="JMG27:JMH27"/>
    <mergeCell ref="JMI27:JMJ27"/>
    <mergeCell ref="JRA27:JRB27"/>
    <mergeCell ref="JRC27:JRD27"/>
    <mergeCell ref="JRE27:JRF27"/>
    <mergeCell ref="JRG27:JRH27"/>
    <mergeCell ref="JRI27:JRJ27"/>
    <mergeCell ref="JRK27:JRL27"/>
    <mergeCell ref="JQO27:JQP27"/>
    <mergeCell ref="JQQ27:JQR27"/>
    <mergeCell ref="JQS27:JQT27"/>
    <mergeCell ref="JQU27:JQV27"/>
    <mergeCell ref="JQW27:JQX27"/>
    <mergeCell ref="JQY27:JQZ27"/>
    <mergeCell ref="JQC27:JQD27"/>
    <mergeCell ref="JQE27:JQF27"/>
    <mergeCell ref="JQG27:JQH27"/>
    <mergeCell ref="JQI27:JQJ27"/>
    <mergeCell ref="JQK27:JQL27"/>
    <mergeCell ref="JQM27:JQN27"/>
    <mergeCell ref="JPQ27:JPR27"/>
    <mergeCell ref="JPS27:JPT27"/>
    <mergeCell ref="JPU27:JPV27"/>
    <mergeCell ref="JPW27:JPX27"/>
    <mergeCell ref="JPY27:JPZ27"/>
    <mergeCell ref="JQA27:JQB27"/>
    <mergeCell ref="JPE27:JPF27"/>
    <mergeCell ref="JPG27:JPH27"/>
    <mergeCell ref="JPI27:JPJ27"/>
    <mergeCell ref="JPK27:JPL27"/>
    <mergeCell ref="JPM27:JPN27"/>
    <mergeCell ref="JPO27:JPP27"/>
    <mergeCell ref="JOS27:JOT27"/>
    <mergeCell ref="JOU27:JOV27"/>
    <mergeCell ref="JOW27:JOX27"/>
    <mergeCell ref="JOY27:JOZ27"/>
    <mergeCell ref="JPA27:JPB27"/>
    <mergeCell ref="JPC27:JPD27"/>
    <mergeCell ref="JTU27:JTV27"/>
    <mergeCell ref="JTW27:JTX27"/>
    <mergeCell ref="JTY27:JTZ27"/>
    <mergeCell ref="JUA27:JUB27"/>
    <mergeCell ref="JUC27:JUD27"/>
    <mergeCell ref="JUE27:JUF27"/>
    <mergeCell ref="JTI27:JTJ27"/>
    <mergeCell ref="JTK27:JTL27"/>
    <mergeCell ref="JTM27:JTN27"/>
    <mergeCell ref="JTO27:JTP27"/>
    <mergeCell ref="JTQ27:JTR27"/>
    <mergeCell ref="JTS27:JTT27"/>
    <mergeCell ref="JSW27:JSX27"/>
    <mergeCell ref="JSY27:JSZ27"/>
    <mergeCell ref="JTA27:JTB27"/>
    <mergeCell ref="JTC27:JTD27"/>
    <mergeCell ref="JTE27:JTF27"/>
    <mergeCell ref="JTG27:JTH27"/>
    <mergeCell ref="JSK27:JSL27"/>
    <mergeCell ref="JSM27:JSN27"/>
    <mergeCell ref="JSO27:JSP27"/>
    <mergeCell ref="JSQ27:JSR27"/>
    <mergeCell ref="JSS27:JST27"/>
    <mergeCell ref="JSU27:JSV27"/>
    <mergeCell ref="JRY27:JRZ27"/>
    <mergeCell ref="JSA27:JSB27"/>
    <mergeCell ref="JSC27:JSD27"/>
    <mergeCell ref="JSE27:JSF27"/>
    <mergeCell ref="JSG27:JSH27"/>
    <mergeCell ref="JSI27:JSJ27"/>
    <mergeCell ref="JRM27:JRN27"/>
    <mergeCell ref="JRO27:JRP27"/>
    <mergeCell ref="JRQ27:JRR27"/>
    <mergeCell ref="JRS27:JRT27"/>
    <mergeCell ref="JRU27:JRV27"/>
    <mergeCell ref="JRW27:JRX27"/>
    <mergeCell ref="JWO27:JWP27"/>
    <mergeCell ref="JWQ27:JWR27"/>
    <mergeCell ref="JWS27:JWT27"/>
    <mergeCell ref="JWU27:JWV27"/>
    <mergeCell ref="JWW27:JWX27"/>
    <mergeCell ref="JWY27:JWZ27"/>
    <mergeCell ref="JWC27:JWD27"/>
    <mergeCell ref="JWE27:JWF27"/>
    <mergeCell ref="JWG27:JWH27"/>
    <mergeCell ref="JWI27:JWJ27"/>
    <mergeCell ref="JWK27:JWL27"/>
    <mergeCell ref="JWM27:JWN27"/>
    <mergeCell ref="JVQ27:JVR27"/>
    <mergeCell ref="JVS27:JVT27"/>
    <mergeCell ref="JVU27:JVV27"/>
    <mergeCell ref="JVW27:JVX27"/>
    <mergeCell ref="JVY27:JVZ27"/>
    <mergeCell ref="JWA27:JWB27"/>
    <mergeCell ref="JVE27:JVF27"/>
    <mergeCell ref="JVG27:JVH27"/>
    <mergeCell ref="JVI27:JVJ27"/>
    <mergeCell ref="JVK27:JVL27"/>
    <mergeCell ref="JVM27:JVN27"/>
    <mergeCell ref="JVO27:JVP27"/>
    <mergeCell ref="JUS27:JUT27"/>
    <mergeCell ref="JUU27:JUV27"/>
    <mergeCell ref="JUW27:JUX27"/>
    <mergeCell ref="JUY27:JUZ27"/>
    <mergeCell ref="JVA27:JVB27"/>
    <mergeCell ref="JVC27:JVD27"/>
    <mergeCell ref="JUG27:JUH27"/>
    <mergeCell ref="JUI27:JUJ27"/>
    <mergeCell ref="JUK27:JUL27"/>
    <mergeCell ref="JUM27:JUN27"/>
    <mergeCell ref="JUO27:JUP27"/>
    <mergeCell ref="JUQ27:JUR27"/>
    <mergeCell ref="JZI27:JZJ27"/>
    <mergeCell ref="JZK27:JZL27"/>
    <mergeCell ref="JZM27:JZN27"/>
    <mergeCell ref="JZO27:JZP27"/>
    <mergeCell ref="JZQ27:JZR27"/>
    <mergeCell ref="JZS27:JZT27"/>
    <mergeCell ref="JYW27:JYX27"/>
    <mergeCell ref="JYY27:JYZ27"/>
    <mergeCell ref="JZA27:JZB27"/>
    <mergeCell ref="JZC27:JZD27"/>
    <mergeCell ref="JZE27:JZF27"/>
    <mergeCell ref="JZG27:JZH27"/>
    <mergeCell ref="JYK27:JYL27"/>
    <mergeCell ref="JYM27:JYN27"/>
    <mergeCell ref="JYO27:JYP27"/>
    <mergeCell ref="JYQ27:JYR27"/>
    <mergeCell ref="JYS27:JYT27"/>
    <mergeCell ref="JYU27:JYV27"/>
    <mergeCell ref="JXY27:JXZ27"/>
    <mergeCell ref="JYA27:JYB27"/>
    <mergeCell ref="JYC27:JYD27"/>
    <mergeCell ref="JYE27:JYF27"/>
    <mergeCell ref="JYG27:JYH27"/>
    <mergeCell ref="JYI27:JYJ27"/>
    <mergeCell ref="JXM27:JXN27"/>
    <mergeCell ref="JXO27:JXP27"/>
    <mergeCell ref="JXQ27:JXR27"/>
    <mergeCell ref="JXS27:JXT27"/>
    <mergeCell ref="JXU27:JXV27"/>
    <mergeCell ref="JXW27:JXX27"/>
    <mergeCell ref="JXA27:JXB27"/>
    <mergeCell ref="JXC27:JXD27"/>
    <mergeCell ref="JXE27:JXF27"/>
    <mergeCell ref="JXG27:JXH27"/>
    <mergeCell ref="JXI27:JXJ27"/>
    <mergeCell ref="JXK27:JXL27"/>
    <mergeCell ref="KCC27:KCD27"/>
    <mergeCell ref="KCE27:KCF27"/>
    <mergeCell ref="KCG27:KCH27"/>
    <mergeCell ref="KCI27:KCJ27"/>
    <mergeCell ref="KCK27:KCL27"/>
    <mergeCell ref="KCM27:KCN27"/>
    <mergeCell ref="KBQ27:KBR27"/>
    <mergeCell ref="KBS27:KBT27"/>
    <mergeCell ref="KBU27:KBV27"/>
    <mergeCell ref="KBW27:KBX27"/>
    <mergeCell ref="KBY27:KBZ27"/>
    <mergeCell ref="KCA27:KCB27"/>
    <mergeCell ref="KBE27:KBF27"/>
    <mergeCell ref="KBG27:KBH27"/>
    <mergeCell ref="KBI27:KBJ27"/>
    <mergeCell ref="KBK27:KBL27"/>
    <mergeCell ref="KBM27:KBN27"/>
    <mergeCell ref="KBO27:KBP27"/>
    <mergeCell ref="KAS27:KAT27"/>
    <mergeCell ref="KAU27:KAV27"/>
    <mergeCell ref="KAW27:KAX27"/>
    <mergeCell ref="KAY27:KAZ27"/>
    <mergeCell ref="KBA27:KBB27"/>
    <mergeCell ref="KBC27:KBD27"/>
    <mergeCell ref="KAG27:KAH27"/>
    <mergeCell ref="KAI27:KAJ27"/>
    <mergeCell ref="KAK27:KAL27"/>
    <mergeCell ref="KAM27:KAN27"/>
    <mergeCell ref="KAO27:KAP27"/>
    <mergeCell ref="KAQ27:KAR27"/>
    <mergeCell ref="JZU27:JZV27"/>
    <mergeCell ref="JZW27:JZX27"/>
    <mergeCell ref="JZY27:JZZ27"/>
    <mergeCell ref="KAA27:KAB27"/>
    <mergeCell ref="KAC27:KAD27"/>
    <mergeCell ref="KAE27:KAF27"/>
    <mergeCell ref="KEW27:KEX27"/>
    <mergeCell ref="KEY27:KEZ27"/>
    <mergeCell ref="KFA27:KFB27"/>
    <mergeCell ref="KFC27:KFD27"/>
    <mergeCell ref="KFE27:KFF27"/>
    <mergeCell ref="KFG27:KFH27"/>
    <mergeCell ref="KEK27:KEL27"/>
    <mergeCell ref="KEM27:KEN27"/>
    <mergeCell ref="KEO27:KEP27"/>
    <mergeCell ref="KEQ27:KER27"/>
    <mergeCell ref="KES27:KET27"/>
    <mergeCell ref="KEU27:KEV27"/>
    <mergeCell ref="KDY27:KDZ27"/>
    <mergeCell ref="KEA27:KEB27"/>
    <mergeCell ref="KEC27:KED27"/>
    <mergeCell ref="KEE27:KEF27"/>
    <mergeCell ref="KEG27:KEH27"/>
    <mergeCell ref="KEI27:KEJ27"/>
    <mergeCell ref="KDM27:KDN27"/>
    <mergeCell ref="KDO27:KDP27"/>
    <mergeCell ref="KDQ27:KDR27"/>
    <mergeCell ref="KDS27:KDT27"/>
    <mergeCell ref="KDU27:KDV27"/>
    <mergeCell ref="KDW27:KDX27"/>
    <mergeCell ref="KDA27:KDB27"/>
    <mergeCell ref="KDC27:KDD27"/>
    <mergeCell ref="KDE27:KDF27"/>
    <mergeCell ref="KDG27:KDH27"/>
    <mergeCell ref="KDI27:KDJ27"/>
    <mergeCell ref="KDK27:KDL27"/>
    <mergeCell ref="KCO27:KCP27"/>
    <mergeCell ref="KCQ27:KCR27"/>
    <mergeCell ref="KCS27:KCT27"/>
    <mergeCell ref="KCU27:KCV27"/>
    <mergeCell ref="KCW27:KCX27"/>
    <mergeCell ref="KCY27:KCZ27"/>
    <mergeCell ref="KHQ27:KHR27"/>
    <mergeCell ref="KHS27:KHT27"/>
    <mergeCell ref="KHU27:KHV27"/>
    <mergeCell ref="KHW27:KHX27"/>
    <mergeCell ref="KHY27:KHZ27"/>
    <mergeCell ref="KIA27:KIB27"/>
    <mergeCell ref="KHE27:KHF27"/>
    <mergeCell ref="KHG27:KHH27"/>
    <mergeCell ref="KHI27:KHJ27"/>
    <mergeCell ref="KHK27:KHL27"/>
    <mergeCell ref="KHM27:KHN27"/>
    <mergeCell ref="KHO27:KHP27"/>
    <mergeCell ref="KGS27:KGT27"/>
    <mergeCell ref="KGU27:KGV27"/>
    <mergeCell ref="KGW27:KGX27"/>
    <mergeCell ref="KGY27:KGZ27"/>
    <mergeCell ref="KHA27:KHB27"/>
    <mergeCell ref="KHC27:KHD27"/>
    <mergeCell ref="KGG27:KGH27"/>
    <mergeCell ref="KGI27:KGJ27"/>
    <mergeCell ref="KGK27:KGL27"/>
    <mergeCell ref="KGM27:KGN27"/>
    <mergeCell ref="KGO27:KGP27"/>
    <mergeCell ref="KGQ27:KGR27"/>
    <mergeCell ref="KFU27:KFV27"/>
    <mergeCell ref="KFW27:KFX27"/>
    <mergeCell ref="KFY27:KFZ27"/>
    <mergeCell ref="KGA27:KGB27"/>
    <mergeCell ref="KGC27:KGD27"/>
    <mergeCell ref="KGE27:KGF27"/>
    <mergeCell ref="KFI27:KFJ27"/>
    <mergeCell ref="KFK27:KFL27"/>
    <mergeCell ref="KFM27:KFN27"/>
    <mergeCell ref="KFO27:KFP27"/>
    <mergeCell ref="KFQ27:KFR27"/>
    <mergeCell ref="KFS27:KFT27"/>
    <mergeCell ref="KKK27:KKL27"/>
    <mergeCell ref="KKM27:KKN27"/>
    <mergeCell ref="KKO27:KKP27"/>
    <mergeCell ref="KKQ27:KKR27"/>
    <mergeCell ref="KKS27:KKT27"/>
    <mergeCell ref="KKU27:KKV27"/>
    <mergeCell ref="KJY27:KJZ27"/>
    <mergeCell ref="KKA27:KKB27"/>
    <mergeCell ref="KKC27:KKD27"/>
    <mergeCell ref="KKE27:KKF27"/>
    <mergeCell ref="KKG27:KKH27"/>
    <mergeCell ref="KKI27:KKJ27"/>
    <mergeCell ref="KJM27:KJN27"/>
    <mergeCell ref="KJO27:KJP27"/>
    <mergeCell ref="KJQ27:KJR27"/>
    <mergeCell ref="KJS27:KJT27"/>
    <mergeCell ref="KJU27:KJV27"/>
    <mergeCell ref="KJW27:KJX27"/>
    <mergeCell ref="KJA27:KJB27"/>
    <mergeCell ref="KJC27:KJD27"/>
    <mergeCell ref="KJE27:KJF27"/>
    <mergeCell ref="KJG27:KJH27"/>
    <mergeCell ref="KJI27:KJJ27"/>
    <mergeCell ref="KJK27:KJL27"/>
    <mergeCell ref="KIO27:KIP27"/>
    <mergeCell ref="KIQ27:KIR27"/>
    <mergeCell ref="KIS27:KIT27"/>
    <mergeCell ref="KIU27:KIV27"/>
    <mergeCell ref="KIW27:KIX27"/>
    <mergeCell ref="KIY27:KIZ27"/>
    <mergeCell ref="KIC27:KID27"/>
    <mergeCell ref="KIE27:KIF27"/>
    <mergeCell ref="KIG27:KIH27"/>
    <mergeCell ref="KII27:KIJ27"/>
    <mergeCell ref="KIK27:KIL27"/>
    <mergeCell ref="KIM27:KIN27"/>
    <mergeCell ref="KNE27:KNF27"/>
    <mergeCell ref="KNG27:KNH27"/>
    <mergeCell ref="KNI27:KNJ27"/>
    <mergeCell ref="KNK27:KNL27"/>
    <mergeCell ref="KNM27:KNN27"/>
    <mergeCell ref="KNO27:KNP27"/>
    <mergeCell ref="KMS27:KMT27"/>
    <mergeCell ref="KMU27:KMV27"/>
    <mergeCell ref="KMW27:KMX27"/>
    <mergeCell ref="KMY27:KMZ27"/>
    <mergeCell ref="KNA27:KNB27"/>
    <mergeCell ref="KNC27:KND27"/>
    <mergeCell ref="KMG27:KMH27"/>
    <mergeCell ref="KMI27:KMJ27"/>
    <mergeCell ref="KMK27:KML27"/>
    <mergeCell ref="KMM27:KMN27"/>
    <mergeCell ref="KMO27:KMP27"/>
    <mergeCell ref="KMQ27:KMR27"/>
    <mergeCell ref="KLU27:KLV27"/>
    <mergeCell ref="KLW27:KLX27"/>
    <mergeCell ref="KLY27:KLZ27"/>
    <mergeCell ref="KMA27:KMB27"/>
    <mergeCell ref="KMC27:KMD27"/>
    <mergeCell ref="KME27:KMF27"/>
    <mergeCell ref="KLI27:KLJ27"/>
    <mergeCell ref="KLK27:KLL27"/>
    <mergeCell ref="KLM27:KLN27"/>
    <mergeCell ref="KLO27:KLP27"/>
    <mergeCell ref="KLQ27:KLR27"/>
    <mergeCell ref="KLS27:KLT27"/>
    <mergeCell ref="KKW27:KKX27"/>
    <mergeCell ref="KKY27:KKZ27"/>
    <mergeCell ref="KLA27:KLB27"/>
    <mergeCell ref="KLC27:KLD27"/>
    <mergeCell ref="KLE27:KLF27"/>
    <mergeCell ref="KLG27:KLH27"/>
    <mergeCell ref="KPY27:KPZ27"/>
    <mergeCell ref="KQA27:KQB27"/>
    <mergeCell ref="KQC27:KQD27"/>
    <mergeCell ref="KQE27:KQF27"/>
    <mergeCell ref="KQG27:KQH27"/>
    <mergeCell ref="KQI27:KQJ27"/>
    <mergeCell ref="KPM27:KPN27"/>
    <mergeCell ref="KPO27:KPP27"/>
    <mergeCell ref="KPQ27:KPR27"/>
    <mergeCell ref="KPS27:KPT27"/>
    <mergeCell ref="KPU27:KPV27"/>
    <mergeCell ref="KPW27:KPX27"/>
    <mergeCell ref="KPA27:KPB27"/>
    <mergeCell ref="KPC27:KPD27"/>
    <mergeCell ref="KPE27:KPF27"/>
    <mergeCell ref="KPG27:KPH27"/>
    <mergeCell ref="KPI27:KPJ27"/>
    <mergeCell ref="KPK27:KPL27"/>
    <mergeCell ref="KOO27:KOP27"/>
    <mergeCell ref="KOQ27:KOR27"/>
    <mergeCell ref="KOS27:KOT27"/>
    <mergeCell ref="KOU27:KOV27"/>
    <mergeCell ref="KOW27:KOX27"/>
    <mergeCell ref="KOY27:KOZ27"/>
    <mergeCell ref="KOC27:KOD27"/>
    <mergeCell ref="KOE27:KOF27"/>
    <mergeCell ref="KOG27:KOH27"/>
    <mergeCell ref="KOI27:KOJ27"/>
    <mergeCell ref="KOK27:KOL27"/>
    <mergeCell ref="KOM27:KON27"/>
    <mergeCell ref="KNQ27:KNR27"/>
    <mergeCell ref="KNS27:KNT27"/>
    <mergeCell ref="KNU27:KNV27"/>
    <mergeCell ref="KNW27:KNX27"/>
    <mergeCell ref="KNY27:KNZ27"/>
    <mergeCell ref="KOA27:KOB27"/>
    <mergeCell ref="KSS27:KST27"/>
    <mergeCell ref="KSU27:KSV27"/>
    <mergeCell ref="KSW27:KSX27"/>
    <mergeCell ref="KSY27:KSZ27"/>
    <mergeCell ref="KTA27:KTB27"/>
    <mergeCell ref="KTC27:KTD27"/>
    <mergeCell ref="KSG27:KSH27"/>
    <mergeCell ref="KSI27:KSJ27"/>
    <mergeCell ref="KSK27:KSL27"/>
    <mergeCell ref="KSM27:KSN27"/>
    <mergeCell ref="KSO27:KSP27"/>
    <mergeCell ref="KSQ27:KSR27"/>
    <mergeCell ref="KRU27:KRV27"/>
    <mergeCell ref="KRW27:KRX27"/>
    <mergeCell ref="KRY27:KRZ27"/>
    <mergeCell ref="KSA27:KSB27"/>
    <mergeCell ref="KSC27:KSD27"/>
    <mergeCell ref="KSE27:KSF27"/>
    <mergeCell ref="KRI27:KRJ27"/>
    <mergeCell ref="KRK27:KRL27"/>
    <mergeCell ref="KRM27:KRN27"/>
    <mergeCell ref="KRO27:KRP27"/>
    <mergeCell ref="KRQ27:KRR27"/>
    <mergeCell ref="KRS27:KRT27"/>
    <mergeCell ref="KQW27:KQX27"/>
    <mergeCell ref="KQY27:KQZ27"/>
    <mergeCell ref="KRA27:KRB27"/>
    <mergeCell ref="KRC27:KRD27"/>
    <mergeCell ref="KRE27:KRF27"/>
    <mergeCell ref="KRG27:KRH27"/>
    <mergeCell ref="KQK27:KQL27"/>
    <mergeCell ref="KQM27:KQN27"/>
    <mergeCell ref="KQO27:KQP27"/>
    <mergeCell ref="KQQ27:KQR27"/>
    <mergeCell ref="KQS27:KQT27"/>
    <mergeCell ref="KQU27:KQV27"/>
    <mergeCell ref="KVM27:KVN27"/>
    <mergeCell ref="KVO27:KVP27"/>
    <mergeCell ref="KVQ27:KVR27"/>
    <mergeCell ref="KVS27:KVT27"/>
    <mergeCell ref="KVU27:KVV27"/>
    <mergeCell ref="KVW27:KVX27"/>
    <mergeCell ref="KVA27:KVB27"/>
    <mergeCell ref="KVC27:KVD27"/>
    <mergeCell ref="KVE27:KVF27"/>
    <mergeCell ref="KVG27:KVH27"/>
    <mergeCell ref="KVI27:KVJ27"/>
    <mergeCell ref="KVK27:KVL27"/>
    <mergeCell ref="KUO27:KUP27"/>
    <mergeCell ref="KUQ27:KUR27"/>
    <mergeCell ref="KUS27:KUT27"/>
    <mergeCell ref="KUU27:KUV27"/>
    <mergeCell ref="KUW27:KUX27"/>
    <mergeCell ref="KUY27:KUZ27"/>
    <mergeCell ref="KUC27:KUD27"/>
    <mergeCell ref="KUE27:KUF27"/>
    <mergeCell ref="KUG27:KUH27"/>
    <mergeCell ref="KUI27:KUJ27"/>
    <mergeCell ref="KUK27:KUL27"/>
    <mergeCell ref="KUM27:KUN27"/>
    <mergeCell ref="KTQ27:KTR27"/>
    <mergeCell ref="KTS27:KTT27"/>
    <mergeCell ref="KTU27:KTV27"/>
    <mergeCell ref="KTW27:KTX27"/>
    <mergeCell ref="KTY27:KTZ27"/>
    <mergeCell ref="KUA27:KUB27"/>
    <mergeCell ref="KTE27:KTF27"/>
    <mergeCell ref="KTG27:KTH27"/>
    <mergeCell ref="KTI27:KTJ27"/>
    <mergeCell ref="KTK27:KTL27"/>
    <mergeCell ref="KTM27:KTN27"/>
    <mergeCell ref="KTO27:KTP27"/>
    <mergeCell ref="KYG27:KYH27"/>
    <mergeCell ref="KYI27:KYJ27"/>
    <mergeCell ref="KYK27:KYL27"/>
    <mergeCell ref="KYM27:KYN27"/>
    <mergeCell ref="KYO27:KYP27"/>
    <mergeCell ref="KYQ27:KYR27"/>
    <mergeCell ref="KXU27:KXV27"/>
    <mergeCell ref="KXW27:KXX27"/>
    <mergeCell ref="KXY27:KXZ27"/>
    <mergeCell ref="KYA27:KYB27"/>
    <mergeCell ref="KYC27:KYD27"/>
    <mergeCell ref="KYE27:KYF27"/>
    <mergeCell ref="KXI27:KXJ27"/>
    <mergeCell ref="KXK27:KXL27"/>
    <mergeCell ref="KXM27:KXN27"/>
    <mergeCell ref="KXO27:KXP27"/>
    <mergeCell ref="KXQ27:KXR27"/>
    <mergeCell ref="KXS27:KXT27"/>
    <mergeCell ref="KWW27:KWX27"/>
    <mergeCell ref="KWY27:KWZ27"/>
    <mergeCell ref="KXA27:KXB27"/>
    <mergeCell ref="KXC27:KXD27"/>
    <mergeCell ref="KXE27:KXF27"/>
    <mergeCell ref="KXG27:KXH27"/>
    <mergeCell ref="KWK27:KWL27"/>
    <mergeCell ref="KWM27:KWN27"/>
    <mergeCell ref="KWO27:KWP27"/>
    <mergeCell ref="KWQ27:KWR27"/>
    <mergeCell ref="KWS27:KWT27"/>
    <mergeCell ref="KWU27:KWV27"/>
    <mergeCell ref="KVY27:KVZ27"/>
    <mergeCell ref="KWA27:KWB27"/>
    <mergeCell ref="KWC27:KWD27"/>
    <mergeCell ref="KWE27:KWF27"/>
    <mergeCell ref="KWG27:KWH27"/>
    <mergeCell ref="KWI27:KWJ27"/>
    <mergeCell ref="LBA27:LBB27"/>
    <mergeCell ref="LBC27:LBD27"/>
    <mergeCell ref="LBE27:LBF27"/>
    <mergeCell ref="LBG27:LBH27"/>
    <mergeCell ref="LBI27:LBJ27"/>
    <mergeCell ref="LBK27:LBL27"/>
    <mergeCell ref="LAO27:LAP27"/>
    <mergeCell ref="LAQ27:LAR27"/>
    <mergeCell ref="LAS27:LAT27"/>
    <mergeCell ref="LAU27:LAV27"/>
    <mergeCell ref="LAW27:LAX27"/>
    <mergeCell ref="LAY27:LAZ27"/>
    <mergeCell ref="LAC27:LAD27"/>
    <mergeCell ref="LAE27:LAF27"/>
    <mergeCell ref="LAG27:LAH27"/>
    <mergeCell ref="LAI27:LAJ27"/>
    <mergeCell ref="LAK27:LAL27"/>
    <mergeCell ref="LAM27:LAN27"/>
    <mergeCell ref="KZQ27:KZR27"/>
    <mergeCell ref="KZS27:KZT27"/>
    <mergeCell ref="KZU27:KZV27"/>
    <mergeCell ref="KZW27:KZX27"/>
    <mergeCell ref="KZY27:KZZ27"/>
    <mergeCell ref="LAA27:LAB27"/>
    <mergeCell ref="KZE27:KZF27"/>
    <mergeCell ref="KZG27:KZH27"/>
    <mergeCell ref="KZI27:KZJ27"/>
    <mergeCell ref="KZK27:KZL27"/>
    <mergeCell ref="KZM27:KZN27"/>
    <mergeCell ref="KZO27:KZP27"/>
    <mergeCell ref="KYS27:KYT27"/>
    <mergeCell ref="KYU27:KYV27"/>
    <mergeCell ref="KYW27:KYX27"/>
    <mergeCell ref="KYY27:KYZ27"/>
    <mergeCell ref="KZA27:KZB27"/>
    <mergeCell ref="KZC27:KZD27"/>
    <mergeCell ref="LDU27:LDV27"/>
    <mergeCell ref="LDW27:LDX27"/>
    <mergeCell ref="LDY27:LDZ27"/>
    <mergeCell ref="LEA27:LEB27"/>
    <mergeCell ref="LEC27:LED27"/>
    <mergeCell ref="LEE27:LEF27"/>
    <mergeCell ref="LDI27:LDJ27"/>
    <mergeCell ref="LDK27:LDL27"/>
    <mergeCell ref="LDM27:LDN27"/>
    <mergeCell ref="LDO27:LDP27"/>
    <mergeCell ref="LDQ27:LDR27"/>
    <mergeCell ref="LDS27:LDT27"/>
    <mergeCell ref="LCW27:LCX27"/>
    <mergeCell ref="LCY27:LCZ27"/>
    <mergeCell ref="LDA27:LDB27"/>
    <mergeCell ref="LDC27:LDD27"/>
    <mergeCell ref="LDE27:LDF27"/>
    <mergeCell ref="LDG27:LDH27"/>
    <mergeCell ref="LCK27:LCL27"/>
    <mergeCell ref="LCM27:LCN27"/>
    <mergeCell ref="LCO27:LCP27"/>
    <mergeCell ref="LCQ27:LCR27"/>
    <mergeCell ref="LCS27:LCT27"/>
    <mergeCell ref="LCU27:LCV27"/>
    <mergeCell ref="LBY27:LBZ27"/>
    <mergeCell ref="LCA27:LCB27"/>
    <mergeCell ref="LCC27:LCD27"/>
    <mergeCell ref="LCE27:LCF27"/>
    <mergeCell ref="LCG27:LCH27"/>
    <mergeCell ref="LCI27:LCJ27"/>
    <mergeCell ref="LBM27:LBN27"/>
    <mergeCell ref="LBO27:LBP27"/>
    <mergeCell ref="LBQ27:LBR27"/>
    <mergeCell ref="LBS27:LBT27"/>
    <mergeCell ref="LBU27:LBV27"/>
    <mergeCell ref="LBW27:LBX27"/>
    <mergeCell ref="LGO27:LGP27"/>
    <mergeCell ref="LGQ27:LGR27"/>
    <mergeCell ref="LGS27:LGT27"/>
    <mergeCell ref="LGU27:LGV27"/>
    <mergeCell ref="LGW27:LGX27"/>
    <mergeCell ref="LGY27:LGZ27"/>
    <mergeCell ref="LGC27:LGD27"/>
    <mergeCell ref="LGE27:LGF27"/>
    <mergeCell ref="LGG27:LGH27"/>
    <mergeCell ref="LGI27:LGJ27"/>
    <mergeCell ref="LGK27:LGL27"/>
    <mergeCell ref="LGM27:LGN27"/>
    <mergeCell ref="LFQ27:LFR27"/>
    <mergeCell ref="LFS27:LFT27"/>
    <mergeCell ref="LFU27:LFV27"/>
    <mergeCell ref="LFW27:LFX27"/>
    <mergeCell ref="LFY27:LFZ27"/>
    <mergeCell ref="LGA27:LGB27"/>
    <mergeCell ref="LFE27:LFF27"/>
    <mergeCell ref="LFG27:LFH27"/>
    <mergeCell ref="LFI27:LFJ27"/>
    <mergeCell ref="LFK27:LFL27"/>
    <mergeCell ref="LFM27:LFN27"/>
    <mergeCell ref="LFO27:LFP27"/>
    <mergeCell ref="LES27:LET27"/>
    <mergeCell ref="LEU27:LEV27"/>
    <mergeCell ref="LEW27:LEX27"/>
    <mergeCell ref="LEY27:LEZ27"/>
    <mergeCell ref="LFA27:LFB27"/>
    <mergeCell ref="LFC27:LFD27"/>
    <mergeCell ref="LEG27:LEH27"/>
    <mergeCell ref="LEI27:LEJ27"/>
    <mergeCell ref="LEK27:LEL27"/>
    <mergeCell ref="LEM27:LEN27"/>
    <mergeCell ref="LEO27:LEP27"/>
    <mergeCell ref="LEQ27:LER27"/>
    <mergeCell ref="LJI27:LJJ27"/>
    <mergeCell ref="LJK27:LJL27"/>
    <mergeCell ref="LJM27:LJN27"/>
    <mergeCell ref="LJO27:LJP27"/>
    <mergeCell ref="LJQ27:LJR27"/>
    <mergeCell ref="LJS27:LJT27"/>
    <mergeCell ref="LIW27:LIX27"/>
    <mergeCell ref="LIY27:LIZ27"/>
    <mergeCell ref="LJA27:LJB27"/>
    <mergeCell ref="LJC27:LJD27"/>
    <mergeCell ref="LJE27:LJF27"/>
    <mergeCell ref="LJG27:LJH27"/>
    <mergeCell ref="LIK27:LIL27"/>
    <mergeCell ref="LIM27:LIN27"/>
    <mergeCell ref="LIO27:LIP27"/>
    <mergeCell ref="LIQ27:LIR27"/>
    <mergeCell ref="LIS27:LIT27"/>
    <mergeCell ref="LIU27:LIV27"/>
    <mergeCell ref="LHY27:LHZ27"/>
    <mergeCell ref="LIA27:LIB27"/>
    <mergeCell ref="LIC27:LID27"/>
    <mergeCell ref="LIE27:LIF27"/>
    <mergeCell ref="LIG27:LIH27"/>
    <mergeCell ref="LII27:LIJ27"/>
    <mergeCell ref="LHM27:LHN27"/>
    <mergeCell ref="LHO27:LHP27"/>
    <mergeCell ref="LHQ27:LHR27"/>
    <mergeCell ref="LHS27:LHT27"/>
    <mergeCell ref="LHU27:LHV27"/>
    <mergeCell ref="LHW27:LHX27"/>
    <mergeCell ref="LHA27:LHB27"/>
    <mergeCell ref="LHC27:LHD27"/>
    <mergeCell ref="LHE27:LHF27"/>
    <mergeCell ref="LHG27:LHH27"/>
    <mergeCell ref="LHI27:LHJ27"/>
    <mergeCell ref="LHK27:LHL27"/>
    <mergeCell ref="LMC27:LMD27"/>
    <mergeCell ref="LME27:LMF27"/>
    <mergeCell ref="LMG27:LMH27"/>
    <mergeCell ref="LMI27:LMJ27"/>
    <mergeCell ref="LMK27:LML27"/>
    <mergeCell ref="LMM27:LMN27"/>
    <mergeCell ref="LLQ27:LLR27"/>
    <mergeCell ref="LLS27:LLT27"/>
    <mergeCell ref="LLU27:LLV27"/>
    <mergeCell ref="LLW27:LLX27"/>
    <mergeCell ref="LLY27:LLZ27"/>
    <mergeCell ref="LMA27:LMB27"/>
    <mergeCell ref="LLE27:LLF27"/>
    <mergeCell ref="LLG27:LLH27"/>
    <mergeCell ref="LLI27:LLJ27"/>
    <mergeCell ref="LLK27:LLL27"/>
    <mergeCell ref="LLM27:LLN27"/>
    <mergeCell ref="LLO27:LLP27"/>
    <mergeCell ref="LKS27:LKT27"/>
    <mergeCell ref="LKU27:LKV27"/>
    <mergeCell ref="LKW27:LKX27"/>
    <mergeCell ref="LKY27:LKZ27"/>
    <mergeCell ref="LLA27:LLB27"/>
    <mergeCell ref="LLC27:LLD27"/>
    <mergeCell ref="LKG27:LKH27"/>
    <mergeCell ref="LKI27:LKJ27"/>
    <mergeCell ref="LKK27:LKL27"/>
    <mergeCell ref="LKM27:LKN27"/>
    <mergeCell ref="LKO27:LKP27"/>
    <mergeCell ref="LKQ27:LKR27"/>
    <mergeCell ref="LJU27:LJV27"/>
    <mergeCell ref="LJW27:LJX27"/>
    <mergeCell ref="LJY27:LJZ27"/>
    <mergeCell ref="LKA27:LKB27"/>
    <mergeCell ref="LKC27:LKD27"/>
    <mergeCell ref="LKE27:LKF27"/>
    <mergeCell ref="LOW27:LOX27"/>
    <mergeCell ref="LOY27:LOZ27"/>
    <mergeCell ref="LPA27:LPB27"/>
    <mergeCell ref="LPC27:LPD27"/>
    <mergeCell ref="LPE27:LPF27"/>
    <mergeCell ref="LPG27:LPH27"/>
    <mergeCell ref="LOK27:LOL27"/>
    <mergeCell ref="LOM27:LON27"/>
    <mergeCell ref="LOO27:LOP27"/>
    <mergeCell ref="LOQ27:LOR27"/>
    <mergeCell ref="LOS27:LOT27"/>
    <mergeCell ref="LOU27:LOV27"/>
    <mergeCell ref="LNY27:LNZ27"/>
    <mergeCell ref="LOA27:LOB27"/>
    <mergeCell ref="LOC27:LOD27"/>
    <mergeCell ref="LOE27:LOF27"/>
    <mergeCell ref="LOG27:LOH27"/>
    <mergeCell ref="LOI27:LOJ27"/>
    <mergeCell ref="LNM27:LNN27"/>
    <mergeCell ref="LNO27:LNP27"/>
    <mergeCell ref="LNQ27:LNR27"/>
    <mergeCell ref="LNS27:LNT27"/>
    <mergeCell ref="LNU27:LNV27"/>
    <mergeCell ref="LNW27:LNX27"/>
    <mergeCell ref="LNA27:LNB27"/>
    <mergeCell ref="LNC27:LND27"/>
    <mergeCell ref="LNE27:LNF27"/>
    <mergeCell ref="LNG27:LNH27"/>
    <mergeCell ref="LNI27:LNJ27"/>
    <mergeCell ref="LNK27:LNL27"/>
    <mergeCell ref="LMO27:LMP27"/>
    <mergeCell ref="LMQ27:LMR27"/>
    <mergeCell ref="LMS27:LMT27"/>
    <mergeCell ref="LMU27:LMV27"/>
    <mergeCell ref="LMW27:LMX27"/>
    <mergeCell ref="LMY27:LMZ27"/>
    <mergeCell ref="LRQ27:LRR27"/>
    <mergeCell ref="LRS27:LRT27"/>
    <mergeCell ref="LRU27:LRV27"/>
    <mergeCell ref="LRW27:LRX27"/>
    <mergeCell ref="LRY27:LRZ27"/>
    <mergeCell ref="LSA27:LSB27"/>
    <mergeCell ref="LRE27:LRF27"/>
    <mergeCell ref="LRG27:LRH27"/>
    <mergeCell ref="LRI27:LRJ27"/>
    <mergeCell ref="LRK27:LRL27"/>
    <mergeCell ref="LRM27:LRN27"/>
    <mergeCell ref="LRO27:LRP27"/>
    <mergeCell ref="LQS27:LQT27"/>
    <mergeCell ref="LQU27:LQV27"/>
    <mergeCell ref="LQW27:LQX27"/>
    <mergeCell ref="LQY27:LQZ27"/>
    <mergeCell ref="LRA27:LRB27"/>
    <mergeCell ref="LRC27:LRD27"/>
    <mergeCell ref="LQG27:LQH27"/>
    <mergeCell ref="LQI27:LQJ27"/>
    <mergeCell ref="LQK27:LQL27"/>
    <mergeCell ref="LQM27:LQN27"/>
    <mergeCell ref="LQO27:LQP27"/>
    <mergeCell ref="LQQ27:LQR27"/>
    <mergeCell ref="LPU27:LPV27"/>
    <mergeCell ref="LPW27:LPX27"/>
    <mergeCell ref="LPY27:LPZ27"/>
    <mergeCell ref="LQA27:LQB27"/>
    <mergeCell ref="LQC27:LQD27"/>
    <mergeCell ref="LQE27:LQF27"/>
    <mergeCell ref="LPI27:LPJ27"/>
    <mergeCell ref="LPK27:LPL27"/>
    <mergeCell ref="LPM27:LPN27"/>
    <mergeCell ref="LPO27:LPP27"/>
    <mergeCell ref="LPQ27:LPR27"/>
    <mergeCell ref="LPS27:LPT27"/>
    <mergeCell ref="LUK27:LUL27"/>
    <mergeCell ref="LUM27:LUN27"/>
    <mergeCell ref="LUO27:LUP27"/>
    <mergeCell ref="LUQ27:LUR27"/>
    <mergeCell ref="LUS27:LUT27"/>
    <mergeCell ref="LUU27:LUV27"/>
    <mergeCell ref="LTY27:LTZ27"/>
    <mergeCell ref="LUA27:LUB27"/>
    <mergeCell ref="LUC27:LUD27"/>
    <mergeCell ref="LUE27:LUF27"/>
    <mergeCell ref="LUG27:LUH27"/>
    <mergeCell ref="LUI27:LUJ27"/>
    <mergeCell ref="LTM27:LTN27"/>
    <mergeCell ref="LTO27:LTP27"/>
    <mergeCell ref="LTQ27:LTR27"/>
    <mergeCell ref="LTS27:LTT27"/>
    <mergeCell ref="LTU27:LTV27"/>
    <mergeCell ref="LTW27:LTX27"/>
    <mergeCell ref="LTA27:LTB27"/>
    <mergeCell ref="LTC27:LTD27"/>
    <mergeCell ref="LTE27:LTF27"/>
    <mergeCell ref="LTG27:LTH27"/>
    <mergeCell ref="LTI27:LTJ27"/>
    <mergeCell ref="LTK27:LTL27"/>
    <mergeCell ref="LSO27:LSP27"/>
    <mergeCell ref="LSQ27:LSR27"/>
    <mergeCell ref="LSS27:LST27"/>
    <mergeCell ref="LSU27:LSV27"/>
    <mergeCell ref="LSW27:LSX27"/>
    <mergeCell ref="LSY27:LSZ27"/>
    <mergeCell ref="LSC27:LSD27"/>
    <mergeCell ref="LSE27:LSF27"/>
    <mergeCell ref="LSG27:LSH27"/>
    <mergeCell ref="LSI27:LSJ27"/>
    <mergeCell ref="LSK27:LSL27"/>
    <mergeCell ref="LSM27:LSN27"/>
    <mergeCell ref="LXE27:LXF27"/>
    <mergeCell ref="LXG27:LXH27"/>
    <mergeCell ref="LXI27:LXJ27"/>
    <mergeCell ref="LXK27:LXL27"/>
    <mergeCell ref="LXM27:LXN27"/>
    <mergeCell ref="LXO27:LXP27"/>
    <mergeCell ref="LWS27:LWT27"/>
    <mergeCell ref="LWU27:LWV27"/>
    <mergeCell ref="LWW27:LWX27"/>
    <mergeCell ref="LWY27:LWZ27"/>
    <mergeCell ref="LXA27:LXB27"/>
    <mergeCell ref="LXC27:LXD27"/>
    <mergeCell ref="LWG27:LWH27"/>
    <mergeCell ref="LWI27:LWJ27"/>
    <mergeCell ref="LWK27:LWL27"/>
    <mergeCell ref="LWM27:LWN27"/>
    <mergeCell ref="LWO27:LWP27"/>
    <mergeCell ref="LWQ27:LWR27"/>
    <mergeCell ref="LVU27:LVV27"/>
    <mergeCell ref="LVW27:LVX27"/>
    <mergeCell ref="LVY27:LVZ27"/>
    <mergeCell ref="LWA27:LWB27"/>
    <mergeCell ref="LWC27:LWD27"/>
    <mergeCell ref="LWE27:LWF27"/>
    <mergeCell ref="LVI27:LVJ27"/>
    <mergeCell ref="LVK27:LVL27"/>
    <mergeCell ref="LVM27:LVN27"/>
    <mergeCell ref="LVO27:LVP27"/>
    <mergeCell ref="LVQ27:LVR27"/>
    <mergeCell ref="LVS27:LVT27"/>
    <mergeCell ref="LUW27:LUX27"/>
    <mergeCell ref="LUY27:LUZ27"/>
    <mergeCell ref="LVA27:LVB27"/>
    <mergeCell ref="LVC27:LVD27"/>
    <mergeCell ref="LVE27:LVF27"/>
    <mergeCell ref="LVG27:LVH27"/>
    <mergeCell ref="LZY27:LZZ27"/>
    <mergeCell ref="MAA27:MAB27"/>
    <mergeCell ref="MAC27:MAD27"/>
    <mergeCell ref="MAE27:MAF27"/>
    <mergeCell ref="MAG27:MAH27"/>
    <mergeCell ref="MAI27:MAJ27"/>
    <mergeCell ref="LZM27:LZN27"/>
    <mergeCell ref="LZO27:LZP27"/>
    <mergeCell ref="LZQ27:LZR27"/>
    <mergeCell ref="LZS27:LZT27"/>
    <mergeCell ref="LZU27:LZV27"/>
    <mergeCell ref="LZW27:LZX27"/>
    <mergeCell ref="LZA27:LZB27"/>
    <mergeCell ref="LZC27:LZD27"/>
    <mergeCell ref="LZE27:LZF27"/>
    <mergeCell ref="LZG27:LZH27"/>
    <mergeCell ref="LZI27:LZJ27"/>
    <mergeCell ref="LZK27:LZL27"/>
    <mergeCell ref="LYO27:LYP27"/>
    <mergeCell ref="LYQ27:LYR27"/>
    <mergeCell ref="LYS27:LYT27"/>
    <mergeCell ref="LYU27:LYV27"/>
    <mergeCell ref="LYW27:LYX27"/>
    <mergeCell ref="LYY27:LYZ27"/>
    <mergeCell ref="LYC27:LYD27"/>
    <mergeCell ref="LYE27:LYF27"/>
    <mergeCell ref="LYG27:LYH27"/>
    <mergeCell ref="LYI27:LYJ27"/>
    <mergeCell ref="LYK27:LYL27"/>
    <mergeCell ref="LYM27:LYN27"/>
    <mergeCell ref="LXQ27:LXR27"/>
    <mergeCell ref="LXS27:LXT27"/>
    <mergeCell ref="LXU27:LXV27"/>
    <mergeCell ref="LXW27:LXX27"/>
    <mergeCell ref="LXY27:LXZ27"/>
    <mergeCell ref="LYA27:LYB27"/>
    <mergeCell ref="MCS27:MCT27"/>
    <mergeCell ref="MCU27:MCV27"/>
    <mergeCell ref="MCW27:MCX27"/>
    <mergeCell ref="MCY27:MCZ27"/>
    <mergeCell ref="MDA27:MDB27"/>
    <mergeCell ref="MDC27:MDD27"/>
    <mergeCell ref="MCG27:MCH27"/>
    <mergeCell ref="MCI27:MCJ27"/>
    <mergeCell ref="MCK27:MCL27"/>
    <mergeCell ref="MCM27:MCN27"/>
    <mergeCell ref="MCO27:MCP27"/>
    <mergeCell ref="MCQ27:MCR27"/>
    <mergeCell ref="MBU27:MBV27"/>
    <mergeCell ref="MBW27:MBX27"/>
    <mergeCell ref="MBY27:MBZ27"/>
    <mergeCell ref="MCA27:MCB27"/>
    <mergeCell ref="MCC27:MCD27"/>
    <mergeCell ref="MCE27:MCF27"/>
    <mergeCell ref="MBI27:MBJ27"/>
    <mergeCell ref="MBK27:MBL27"/>
    <mergeCell ref="MBM27:MBN27"/>
    <mergeCell ref="MBO27:MBP27"/>
    <mergeCell ref="MBQ27:MBR27"/>
    <mergeCell ref="MBS27:MBT27"/>
    <mergeCell ref="MAW27:MAX27"/>
    <mergeCell ref="MAY27:MAZ27"/>
    <mergeCell ref="MBA27:MBB27"/>
    <mergeCell ref="MBC27:MBD27"/>
    <mergeCell ref="MBE27:MBF27"/>
    <mergeCell ref="MBG27:MBH27"/>
    <mergeCell ref="MAK27:MAL27"/>
    <mergeCell ref="MAM27:MAN27"/>
    <mergeCell ref="MAO27:MAP27"/>
    <mergeCell ref="MAQ27:MAR27"/>
    <mergeCell ref="MAS27:MAT27"/>
    <mergeCell ref="MAU27:MAV27"/>
    <mergeCell ref="MFM27:MFN27"/>
    <mergeCell ref="MFO27:MFP27"/>
    <mergeCell ref="MFQ27:MFR27"/>
    <mergeCell ref="MFS27:MFT27"/>
    <mergeCell ref="MFU27:MFV27"/>
    <mergeCell ref="MFW27:MFX27"/>
    <mergeCell ref="MFA27:MFB27"/>
    <mergeCell ref="MFC27:MFD27"/>
    <mergeCell ref="MFE27:MFF27"/>
    <mergeCell ref="MFG27:MFH27"/>
    <mergeCell ref="MFI27:MFJ27"/>
    <mergeCell ref="MFK27:MFL27"/>
    <mergeCell ref="MEO27:MEP27"/>
    <mergeCell ref="MEQ27:MER27"/>
    <mergeCell ref="MES27:MET27"/>
    <mergeCell ref="MEU27:MEV27"/>
    <mergeCell ref="MEW27:MEX27"/>
    <mergeCell ref="MEY27:MEZ27"/>
    <mergeCell ref="MEC27:MED27"/>
    <mergeCell ref="MEE27:MEF27"/>
    <mergeCell ref="MEG27:MEH27"/>
    <mergeCell ref="MEI27:MEJ27"/>
    <mergeCell ref="MEK27:MEL27"/>
    <mergeCell ref="MEM27:MEN27"/>
    <mergeCell ref="MDQ27:MDR27"/>
    <mergeCell ref="MDS27:MDT27"/>
    <mergeCell ref="MDU27:MDV27"/>
    <mergeCell ref="MDW27:MDX27"/>
    <mergeCell ref="MDY27:MDZ27"/>
    <mergeCell ref="MEA27:MEB27"/>
    <mergeCell ref="MDE27:MDF27"/>
    <mergeCell ref="MDG27:MDH27"/>
    <mergeCell ref="MDI27:MDJ27"/>
    <mergeCell ref="MDK27:MDL27"/>
    <mergeCell ref="MDM27:MDN27"/>
    <mergeCell ref="MDO27:MDP27"/>
    <mergeCell ref="MIG27:MIH27"/>
    <mergeCell ref="MII27:MIJ27"/>
    <mergeCell ref="MIK27:MIL27"/>
    <mergeCell ref="MIM27:MIN27"/>
    <mergeCell ref="MIO27:MIP27"/>
    <mergeCell ref="MIQ27:MIR27"/>
    <mergeCell ref="MHU27:MHV27"/>
    <mergeCell ref="MHW27:MHX27"/>
    <mergeCell ref="MHY27:MHZ27"/>
    <mergeCell ref="MIA27:MIB27"/>
    <mergeCell ref="MIC27:MID27"/>
    <mergeCell ref="MIE27:MIF27"/>
    <mergeCell ref="MHI27:MHJ27"/>
    <mergeCell ref="MHK27:MHL27"/>
    <mergeCell ref="MHM27:MHN27"/>
    <mergeCell ref="MHO27:MHP27"/>
    <mergeCell ref="MHQ27:MHR27"/>
    <mergeCell ref="MHS27:MHT27"/>
    <mergeCell ref="MGW27:MGX27"/>
    <mergeCell ref="MGY27:MGZ27"/>
    <mergeCell ref="MHA27:MHB27"/>
    <mergeCell ref="MHC27:MHD27"/>
    <mergeCell ref="MHE27:MHF27"/>
    <mergeCell ref="MHG27:MHH27"/>
    <mergeCell ref="MGK27:MGL27"/>
    <mergeCell ref="MGM27:MGN27"/>
    <mergeCell ref="MGO27:MGP27"/>
    <mergeCell ref="MGQ27:MGR27"/>
    <mergeCell ref="MGS27:MGT27"/>
    <mergeCell ref="MGU27:MGV27"/>
    <mergeCell ref="MFY27:MFZ27"/>
    <mergeCell ref="MGA27:MGB27"/>
    <mergeCell ref="MGC27:MGD27"/>
    <mergeCell ref="MGE27:MGF27"/>
    <mergeCell ref="MGG27:MGH27"/>
    <mergeCell ref="MGI27:MGJ27"/>
    <mergeCell ref="MLA27:MLB27"/>
    <mergeCell ref="MLC27:MLD27"/>
    <mergeCell ref="MLE27:MLF27"/>
    <mergeCell ref="MLG27:MLH27"/>
    <mergeCell ref="MLI27:MLJ27"/>
    <mergeCell ref="MLK27:MLL27"/>
    <mergeCell ref="MKO27:MKP27"/>
    <mergeCell ref="MKQ27:MKR27"/>
    <mergeCell ref="MKS27:MKT27"/>
    <mergeCell ref="MKU27:MKV27"/>
    <mergeCell ref="MKW27:MKX27"/>
    <mergeCell ref="MKY27:MKZ27"/>
    <mergeCell ref="MKC27:MKD27"/>
    <mergeCell ref="MKE27:MKF27"/>
    <mergeCell ref="MKG27:MKH27"/>
    <mergeCell ref="MKI27:MKJ27"/>
    <mergeCell ref="MKK27:MKL27"/>
    <mergeCell ref="MKM27:MKN27"/>
    <mergeCell ref="MJQ27:MJR27"/>
    <mergeCell ref="MJS27:MJT27"/>
    <mergeCell ref="MJU27:MJV27"/>
    <mergeCell ref="MJW27:MJX27"/>
    <mergeCell ref="MJY27:MJZ27"/>
    <mergeCell ref="MKA27:MKB27"/>
    <mergeCell ref="MJE27:MJF27"/>
    <mergeCell ref="MJG27:MJH27"/>
    <mergeCell ref="MJI27:MJJ27"/>
    <mergeCell ref="MJK27:MJL27"/>
    <mergeCell ref="MJM27:MJN27"/>
    <mergeCell ref="MJO27:MJP27"/>
    <mergeCell ref="MIS27:MIT27"/>
    <mergeCell ref="MIU27:MIV27"/>
    <mergeCell ref="MIW27:MIX27"/>
    <mergeCell ref="MIY27:MIZ27"/>
    <mergeCell ref="MJA27:MJB27"/>
    <mergeCell ref="MJC27:MJD27"/>
    <mergeCell ref="MNU27:MNV27"/>
    <mergeCell ref="MNW27:MNX27"/>
    <mergeCell ref="MNY27:MNZ27"/>
    <mergeCell ref="MOA27:MOB27"/>
    <mergeCell ref="MOC27:MOD27"/>
    <mergeCell ref="MOE27:MOF27"/>
    <mergeCell ref="MNI27:MNJ27"/>
    <mergeCell ref="MNK27:MNL27"/>
    <mergeCell ref="MNM27:MNN27"/>
    <mergeCell ref="MNO27:MNP27"/>
    <mergeCell ref="MNQ27:MNR27"/>
    <mergeCell ref="MNS27:MNT27"/>
    <mergeCell ref="MMW27:MMX27"/>
    <mergeCell ref="MMY27:MMZ27"/>
    <mergeCell ref="MNA27:MNB27"/>
    <mergeCell ref="MNC27:MND27"/>
    <mergeCell ref="MNE27:MNF27"/>
    <mergeCell ref="MNG27:MNH27"/>
    <mergeCell ref="MMK27:MML27"/>
    <mergeCell ref="MMM27:MMN27"/>
    <mergeCell ref="MMO27:MMP27"/>
    <mergeCell ref="MMQ27:MMR27"/>
    <mergeCell ref="MMS27:MMT27"/>
    <mergeCell ref="MMU27:MMV27"/>
    <mergeCell ref="MLY27:MLZ27"/>
    <mergeCell ref="MMA27:MMB27"/>
    <mergeCell ref="MMC27:MMD27"/>
    <mergeCell ref="MME27:MMF27"/>
    <mergeCell ref="MMG27:MMH27"/>
    <mergeCell ref="MMI27:MMJ27"/>
    <mergeCell ref="MLM27:MLN27"/>
    <mergeCell ref="MLO27:MLP27"/>
    <mergeCell ref="MLQ27:MLR27"/>
    <mergeCell ref="MLS27:MLT27"/>
    <mergeCell ref="MLU27:MLV27"/>
    <mergeCell ref="MLW27:MLX27"/>
    <mergeCell ref="MQO27:MQP27"/>
    <mergeCell ref="MQQ27:MQR27"/>
    <mergeCell ref="MQS27:MQT27"/>
    <mergeCell ref="MQU27:MQV27"/>
    <mergeCell ref="MQW27:MQX27"/>
    <mergeCell ref="MQY27:MQZ27"/>
    <mergeCell ref="MQC27:MQD27"/>
    <mergeCell ref="MQE27:MQF27"/>
    <mergeCell ref="MQG27:MQH27"/>
    <mergeCell ref="MQI27:MQJ27"/>
    <mergeCell ref="MQK27:MQL27"/>
    <mergeCell ref="MQM27:MQN27"/>
    <mergeCell ref="MPQ27:MPR27"/>
    <mergeCell ref="MPS27:MPT27"/>
    <mergeCell ref="MPU27:MPV27"/>
    <mergeCell ref="MPW27:MPX27"/>
    <mergeCell ref="MPY27:MPZ27"/>
    <mergeCell ref="MQA27:MQB27"/>
    <mergeCell ref="MPE27:MPF27"/>
    <mergeCell ref="MPG27:MPH27"/>
    <mergeCell ref="MPI27:MPJ27"/>
    <mergeCell ref="MPK27:MPL27"/>
    <mergeCell ref="MPM27:MPN27"/>
    <mergeCell ref="MPO27:MPP27"/>
    <mergeCell ref="MOS27:MOT27"/>
    <mergeCell ref="MOU27:MOV27"/>
    <mergeCell ref="MOW27:MOX27"/>
    <mergeCell ref="MOY27:MOZ27"/>
    <mergeCell ref="MPA27:MPB27"/>
    <mergeCell ref="MPC27:MPD27"/>
    <mergeCell ref="MOG27:MOH27"/>
    <mergeCell ref="MOI27:MOJ27"/>
    <mergeCell ref="MOK27:MOL27"/>
    <mergeCell ref="MOM27:MON27"/>
    <mergeCell ref="MOO27:MOP27"/>
    <mergeCell ref="MOQ27:MOR27"/>
    <mergeCell ref="MTI27:MTJ27"/>
    <mergeCell ref="MTK27:MTL27"/>
    <mergeCell ref="MTM27:MTN27"/>
    <mergeCell ref="MTO27:MTP27"/>
    <mergeCell ref="MTQ27:MTR27"/>
    <mergeCell ref="MTS27:MTT27"/>
    <mergeCell ref="MSW27:MSX27"/>
    <mergeCell ref="MSY27:MSZ27"/>
    <mergeCell ref="MTA27:MTB27"/>
    <mergeCell ref="MTC27:MTD27"/>
    <mergeCell ref="MTE27:MTF27"/>
    <mergeCell ref="MTG27:MTH27"/>
    <mergeCell ref="MSK27:MSL27"/>
    <mergeCell ref="MSM27:MSN27"/>
    <mergeCell ref="MSO27:MSP27"/>
    <mergeCell ref="MSQ27:MSR27"/>
    <mergeCell ref="MSS27:MST27"/>
    <mergeCell ref="MSU27:MSV27"/>
    <mergeCell ref="MRY27:MRZ27"/>
    <mergeCell ref="MSA27:MSB27"/>
    <mergeCell ref="MSC27:MSD27"/>
    <mergeCell ref="MSE27:MSF27"/>
    <mergeCell ref="MSG27:MSH27"/>
    <mergeCell ref="MSI27:MSJ27"/>
    <mergeCell ref="MRM27:MRN27"/>
    <mergeCell ref="MRO27:MRP27"/>
    <mergeCell ref="MRQ27:MRR27"/>
    <mergeCell ref="MRS27:MRT27"/>
    <mergeCell ref="MRU27:MRV27"/>
    <mergeCell ref="MRW27:MRX27"/>
    <mergeCell ref="MRA27:MRB27"/>
    <mergeCell ref="MRC27:MRD27"/>
    <mergeCell ref="MRE27:MRF27"/>
    <mergeCell ref="MRG27:MRH27"/>
    <mergeCell ref="MRI27:MRJ27"/>
    <mergeCell ref="MRK27:MRL27"/>
    <mergeCell ref="MWC27:MWD27"/>
    <mergeCell ref="MWE27:MWF27"/>
    <mergeCell ref="MWG27:MWH27"/>
    <mergeCell ref="MWI27:MWJ27"/>
    <mergeCell ref="MWK27:MWL27"/>
    <mergeCell ref="MWM27:MWN27"/>
    <mergeCell ref="MVQ27:MVR27"/>
    <mergeCell ref="MVS27:MVT27"/>
    <mergeCell ref="MVU27:MVV27"/>
    <mergeCell ref="MVW27:MVX27"/>
    <mergeCell ref="MVY27:MVZ27"/>
    <mergeCell ref="MWA27:MWB27"/>
    <mergeCell ref="MVE27:MVF27"/>
    <mergeCell ref="MVG27:MVH27"/>
    <mergeCell ref="MVI27:MVJ27"/>
    <mergeCell ref="MVK27:MVL27"/>
    <mergeCell ref="MVM27:MVN27"/>
    <mergeCell ref="MVO27:MVP27"/>
    <mergeCell ref="MUS27:MUT27"/>
    <mergeCell ref="MUU27:MUV27"/>
    <mergeCell ref="MUW27:MUX27"/>
    <mergeCell ref="MUY27:MUZ27"/>
    <mergeCell ref="MVA27:MVB27"/>
    <mergeCell ref="MVC27:MVD27"/>
    <mergeCell ref="MUG27:MUH27"/>
    <mergeCell ref="MUI27:MUJ27"/>
    <mergeCell ref="MUK27:MUL27"/>
    <mergeCell ref="MUM27:MUN27"/>
    <mergeCell ref="MUO27:MUP27"/>
    <mergeCell ref="MUQ27:MUR27"/>
    <mergeCell ref="MTU27:MTV27"/>
    <mergeCell ref="MTW27:MTX27"/>
    <mergeCell ref="MTY27:MTZ27"/>
    <mergeCell ref="MUA27:MUB27"/>
    <mergeCell ref="MUC27:MUD27"/>
    <mergeCell ref="MUE27:MUF27"/>
    <mergeCell ref="MYW27:MYX27"/>
    <mergeCell ref="MYY27:MYZ27"/>
    <mergeCell ref="MZA27:MZB27"/>
    <mergeCell ref="MZC27:MZD27"/>
    <mergeCell ref="MZE27:MZF27"/>
    <mergeCell ref="MZG27:MZH27"/>
    <mergeCell ref="MYK27:MYL27"/>
    <mergeCell ref="MYM27:MYN27"/>
    <mergeCell ref="MYO27:MYP27"/>
    <mergeCell ref="MYQ27:MYR27"/>
    <mergeCell ref="MYS27:MYT27"/>
    <mergeCell ref="MYU27:MYV27"/>
    <mergeCell ref="MXY27:MXZ27"/>
    <mergeCell ref="MYA27:MYB27"/>
    <mergeCell ref="MYC27:MYD27"/>
    <mergeCell ref="MYE27:MYF27"/>
    <mergeCell ref="MYG27:MYH27"/>
    <mergeCell ref="MYI27:MYJ27"/>
    <mergeCell ref="MXM27:MXN27"/>
    <mergeCell ref="MXO27:MXP27"/>
    <mergeCell ref="MXQ27:MXR27"/>
    <mergeCell ref="MXS27:MXT27"/>
    <mergeCell ref="MXU27:MXV27"/>
    <mergeCell ref="MXW27:MXX27"/>
    <mergeCell ref="MXA27:MXB27"/>
    <mergeCell ref="MXC27:MXD27"/>
    <mergeCell ref="MXE27:MXF27"/>
    <mergeCell ref="MXG27:MXH27"/>
    <mergeCell ref="MXI27:MXJ27"/>
    <mergeCell ref="MXK27:MXL27"/>
    <mergeCell ref="MWO27:MWP27"/>
    <mergeCell ref="MWQ27:MWR27"/>
    <mergeCell ref="MWS27:MWT27"/>
    <mergeCell ref="MWU27:MWV27"/>
    <mergeCell ref="MWW27:MWX27"/>
    <mergeCell ref="MWY27:MWZ27"/>
    <mergeCell ref="NBQ27:NBR27"/>
    <mergeCell ref="NBS27:NBT27"/>
    <mergeCell ref="NBU27:NBV27"/>
    <mergeCell ref="NBW27:NBX27"/>
    <mergeCell ref="NBY27:NBZ27"/>
    <mergeCell ref="NCA27:NCB27"/>
    <mergeCell ref="NBE27:NBF27"/>
    <mergeCell ref="NBG27:NBH27"/>
    <mergeCell ref="NBI27:NBJ27"/>
    <mergeCell ref="NBK27:NBL27"/>
    <mergeCell ref="NBM27:NBN27"/>
    <mergeCell ref="NBO27:NBP27"/>
    <mergeCell ref="NAS27:NAT27"/>
    <mergeCell ref="NAU27:NAV27"/>
    <mergeCell ref="NAW27:NAX27"/>
    <mergeCell ref="NAY27:NAZ27"/>
    <mergeCell ref="NBA27:NBB27"/>
    <mergeCell ref="NBC27:NBD27"/>
    <mergeCell ref="NAG27:NAH27"/>
    <mergeCell ref="NAI27:NAJ27"/>
    <mergeCell ref="NAK27:NAL27"/>
    <mergeCell ref="NAM27:NAN27"/>
    <mergeCell ref="NAO27:NAP27"/>
    <mergeCell ref="NAQ27:NAR27"/>
    <mergeCell ref="MZU27:MZV27"/>
    <mergeCell ref="MZW27:MZX27"/>
    <mergeCell ref="MZY27:MZZ27"/>
    <mergeCell ref="NAA27:NAB27"/>
    <mergeCell ref="NAC27:NAD27"/>
    <mergeCell ref="NAE27:NAF27"/>
    <mergeCell ref="MZI27:MZJ27"/>
    <mergeCell ref="MZK27:MZL27"/>
    <mergeCell ref="MZM27:MZN27"/>
    <mergeCell ref="MZO27:MZP27"/>
    <mergeCell ref="MZQ27:MZR27"/>
    <mergeCell ref="MZS27:MZT27"/>
    <mergeCell ref="NEK27:NEL27"/>
    <mergeCell ref="NEM27:NEN27"/>
    <mergeCell ref="NEO27:NEP27"/>
    <mergeCell ref="NEQ27:NER27"/>
    <mergeCell ref="NES27:NET27"/>
    <mergeCell ref="NEU27:NEV27"/>
    <mergeCell ref="NDY27:NDZ27"/>
    <mergeCell ref="NEA27:NEB27"/>
    <mergeCell ref="NEC27:NED27"/>
    <mergeCell ref="NEE27:NEF27"/>
    <mergeCell ref="NEG27:NEH27"/>
    <mergeCell ref="NEI27:NEJ27"/>
    <mergeCell ref="NDM27:NDN27"/>
    <mergeCell ref="NDO27:NDP27"/>
    <mergeCell ref="NDQ27:NDR27"/>
    <mergeCell ref="NDS27:NDT27"/>
    <mergeCell ref="NDU27:NDV27"/>
    <mergeCell ref="NDW27:NDX27"/>
    <mergeCell ref="NDA27:NDB27"/>
    <mergeCell ref="NDC27:NDD27"/>
    <mergeCell ref="NDE27:NDF27"/>
    <mergeCell ref="NDG27:NDH27"/>
    <mergeCell ref="NDI27:NDJ27"/>
    <mergeCell ref="NDK27:NDL27"/>
    <mergeCell ref="NCO27:NCP27"/>
    <mergeCell ref="NCQ27:NCR27"/>
    <mergeCell ref="NCS27:NCT27"/>
    <mergeCell ref="NCU27:NCV27"/>
    <mergeCell ref="NCW27:NCX27"/>
    <mergeCell ref="NCY27:NCZ27"/>
    <mergeCell ref="NCC27:NCD27"/>
    <mergeCell ref="NCE27:NCF27"/>
    <mergeCell ref="NCG27:NCH27"/>
    <mergeCell ref="NCI27:NCJ27"/>
    <mergeCell ref="NCK27:NCL27"/>
    <mergeCell ref="NCM27:NCN27"/>
    <mergeCell ref="NHE27:NHF27"/>
    <mergeCell ref="NHG27:NHH27"/>
    <mergeCell ref="NHI27:NHJ27"/>
    <mergeCell ref="NHK27:NHL27"/>
    <mergeCell ref="NHM27:NHN27"/>
    <mergeCell ref="NHO27:NHP27"/>
    <mergeCell ref="NGS27:NGT27"/>
    <mergeCell ref="NGU27:NGV27"/>
    <mergeCell ref="NGW27:NGX27"/>
    <mergeCell ref="NGY27:NGZ27"/>
    <mergeCell ref="NHA27:NHB27"/>
    <mergeCell ref="NHC27:NHD27"/>
    <mergeCell ref="NGG27:NGH27"/>
    <mergeCell ref="NGI27:NGJ27"/>
    <mergeCell ref="NGK27:NGL27"/>
    <mergeCell ref="NGM27:NGN27"/>
    <mergeCell ref="NGO27:NGP27"/>
    <mergeCell ref="NGQ27:NGR27"/>
    <mergeCell ref="NFU27:NFV27"/>
    <mergeCell ref="NFW27:NFX27"/>
    <mergeCell ref="NFY27:NFZ27"/>
    <mergeCell ref="NGA27:NGB27"/>
    <mergeCell ref="NGC27:NGD27"/>
    <mergeCell ref="NGE27:NGF27"/>
    <mergeCell ref="NFI27:NFJ27"/>
    <mergeCell ref="NFK27:NFL27"/>
    <mergeCell ref="NFM27:NFN27"/>
    <mergeCell ref="NFO27:NFP27"/>
    <mergeCell ref="NFQ27:NFR27"/>
    <mergeCell ref="NFS27:NFT27"/>
    <mergeCell ref="NEW27:NEX27"/>
    <mergeCell ref="NEY27:NEZ27"/>
    <mergeCell ref="NFA27:NFB27"/>
    <mergeCell ref="NFC27:NFD27"/>
    <mergeCell ref="NFE27:NFF27"/>
    <mergeCell ref="NFG27:NFH27"/>
    <mergeCell ref="NJY27:NJZ27"/>
    <mergeCell ref="NKA27:NKB27"/>
    <mergeCell ref="NKC27:NKD27"/>
    <mergeCell ref="NKE27:NKF27"/>
    <mergeCell ref="NKG27:NKH27"/>
    <mergeCell ref="NKI27:NKJ27"/>
    <mergeCell ref="NJM27:NJN27"/>
    <mergeCell ref="NJO27:NJP27"/>
    <mergeCell ref="NJQ27:NJR27"/>
    <mergeCell ref="NJS27:NJT27"/>
    <mergeCell ref="NJU27:NJV27"/>
    <mergeCell ref="NJW27:NJX27"/>
    <mergeCell ref="NJA27:NJB27"/>
    <mergeCell ref="NJC27:NJD27"/>
    <mergeCell ref="NJE27:NJF27"/>
    <mergeCell ref="NJG27:NJH27"/>
    <mergeCell ref="NJI27:NJJ27"/>
    <mergeCell ref="NJK27:NJL27"/>
    <mergeCell ref="NIO27:NIP27"/>
    <mergeCell ref="NIQ27:NIR27"/>
    <mergeCell ref="NIS27:NIT27"/>
    <mergeCell ref="NIU27:NIV27"/>
    <mergeCell ref="NIW27:NIX27"/>
    <mergeCell ref="NIY27:NIZ27"/>
    <mergeCell ref="NIC27:NID27"/>
    <mergeCell ref="NIE27:NIF27"/>
    <mergeCell ref="NIG27:NIH27"/>
    <mergeCell ref="NII27:NIJ27"/>
    <mergeCell ref="NIK27:NIL27"/>
    <mergeCell ref="NIM27:NIN27"/>
    <mergeCell ref="NHQ27:NHR27"/>
    <mergeCell ref="NHS27:NHT27"/>
    <mergeCell ref="NHU27:NHV27"/>
    <mergeCell ref="NHW27:NHX27"/>
    <mergeCell ref="NHY27:NHZ27"/>
    <mergeCell ref="NIA27:NIB27"/>
    <mergeCell ref="NMS27:NMT27"/>
    <mergeCell ref="NMU27:NMV27"/>
    <mergeCell ref="NMW27:NMX27"/>
    <mergeCell ref="NMY27:NMZ27"/>
    <mergeCell ref="NNA27:NNB27"/>
    <mergeCell ref="NNC27:NND27"/>
    <mergeCell ref="NMG27:NMH27"/>
    <mergeCell ref="NMI27:NMJ27"/>
    <mergeCell ref="NMK27:NML27"/>
    <mergeCell ref="NMM27:NMN27"/>
    <mergeCell ref="NMO27:NMP27"/>
    <mergeCell ref="NMQ27:NMR27"/>
    <mergeCell ref="NLU27:NLV27"/>
    <mergeCell ref="NLW27:NLX27"/>
    <mergeCell ref="NLY27:NLZ27"/>
    <mergeCell ref="NMA27:NMB27"/>
    <mergeCell ref="NMC27:NMD27"/>
    <mergeCell ref="NME27:NMF27"/>
    <mergeCell ref="NLI27:NLJ27"/>
    <mergeCell ref="NLK27:NLL27"/>
    <mergeCell ref="NLM27:NLN27"/>
    <mergeCell ref="NLO27:NLP27"/>
    <mergeCell ref="NLQ27:NLR27"/>
    <mergeCell ref="NLS27:NLT27"/>
    <mergeCell ref="NKW27:NKX27"/>
    <mergeCell ref="NKY27:NKZ27"/>
    <mergeCell ref="NLA27:NLB27"/>
    <mergeCell ref="NLC27:NLD27"/>
    <mergeCell ref="NLE27:NLF27"/>
    <mergeCell ref="NLG27:NLH27"/>
    <mergeCell ref="NKK27:NKL27"/>
    <mergeCell ref="NKM27:NKN27"/>
    <mergeCell ref="NKO27:NKP27"/>
    <mergeCell ref="NKQ27:NKR27"/>
    <mergeCell ref="NKS27:NKT27"/>
    <mergeCell ref="NKU27:NKV27"/>
    <mergeCell ref="NPM27:NPN27"/>
    <mergeCell ref="NPO27:NPP27"/>
    <mergeCell ref="NPQ27:NPR27"/>
    <mergeCell ref="NPS27:NPT27"/>
    <mergeCell ref="NPU27:NPV27"/>
    <mergeCell ref="NPW27:NPX27"/>
    <mergeCell ref="NPA27:NPB27"/>
    <mergeCell ref="NPC27:NPD27"/>
    <mergeCell ref="NPE27:NPF27"/>
    <mergeCell ref="NPG27:NPH27"/>
    <mergeCell ref="NPI27:NPJ27"/>
    <mergeCell ref="NPK27:NPL27"/>
    <mergeCell ref="NOO27:NOP27"/>
    <mergeCell ref="NOQ27:NOR27"/>
    <mergeCell ref="NOS27:NOT27"/>
    <mergeCell ref="NOU27:NOV27"/>
    <mergeCell ref="NOW27:NOX27"/>
    <mergeCell ref="NOY27:NOZ27"/>
    <mergeCell ref="NOC27:NOD27"/>
    <mergeCell ref="NOE27:NOF27"/>
    <mergeCell ref="NOG27:NOH27"/>
    <mergeCell ref="NOI27:NOJ27"/>
    <mergeCell ref="NOK27:NOL27"/>
    <mergeCell ref="NOM27:NON27"/>
    <mergeCell ref="NNQ27:NNR27"/>
    <mergeCell ref="NNS27:NNT27"/>
    <mergeCell ref="NNU27:NNV27"/>
    <mergeCell ref="NNW27:NNX27"/>
    <mergeCell ref="NNY27:NNZ27"/>
    <mergeCell ref="NOA27:NOB27"/>
    <mergeCell ref="NNE27:NNF27"/>
    <mergeCell ref="NNG27:NNH27"/>
    <mergeCell ref="NNI27:NNJ27"/>
    <mergeCell ref="NNK27:NNL27"/>
    <mergeCell ref="NNM27:NNN27"/>
    <mergeCell ref="NNO27:NNP27"/>
    <mergeCell ref="NSG27:NSH27"/>
    <mergeCell ref="NSI27:NSJ27"/>
    <mergeCell ref="NSK27:NSL27"/>
    <mergeCell ref="NSM27:NSN27"/>
    <mergeCell ref="NSO27:NSP27"/>
    <mergeCell ref="NSQ27:NSR27"/>
    <mergeCell ref="NRU27:NRV27"/>
    <mergeCell ref="NRW27:NRX27"/>
    <mergeCell ref="NRY27:NRZ27"/>
    <mergeCell ref="NSA27:NSB27"/>
    <mergeCell ref="NSC27:NSD27"/>
    <mergeCell ref="NSE27:NSF27"/>
    <mergeCell ref="NRI27:NRJ27"/>
    <mergeCell ref="NRK27:NRL27"/>
    <mergeCell ref="NRM27:NRN27"/>
    <mergeCell ref="NRO27:NRP27"/>
    <mergeCell ref="NRQ27:NRR27"/>
    <mergeCell ref="NRS27:NRT27"/>
    <mergeCell ref="NQW27:NQX27"/>
    <mergeCell ref="NQY27:NQZ27"/>
    <mergeCell ref="NRA27:NRB27"/>
    <mergeCell ref="NRC27:NRD27"/>
    <mergeCell ref="NRE27:NRF27"/>
    <mergeCell ref="NRG27:NRH27"/>
    <mergeCell ref="NQK27:NQL27"/>
    <mergeCell ref="NQM27:NQN27"/>
    <mergeCell ref="NQO27:NQP27"/>
    <mergeCell ref="NQQ27:NQR27"/>
    <mergeCell ref="NQS27:NQT27"/>
    <mergeCell ref="NQU27:NQV27"/>
    <mergeCell ref="NPY27:NPZ27"/>
    <mergeCell ref="NQA27:NQB27"/>
    <mergeCell ref="NQC27:NQD27"/>
    <mergeCell ref="NQE27:NQF27"/>
    <mergeCell ref="NQG27:NQH27"/>
    <mergeCell ref="NQI27:NQJ27"/>
    <mergeCell ref="NVA27:NVB27"/>
    <mergeCell ref="NVC27:NVD27"/>
    <mergeCell ref="NVE27:NVF27"/>
    <mergeCell ref="NVG27:NVH27"/>
    <mergeCell ref="NVI27:NVJ27"/>
    <mergeCell ref="NVK27:NVL27"/>
    <mergeCell ref="NUO27:NUP27"/>
    <mergeCell ref="NUQ27:NUR27"/>
    <mergeCell ref="NUS27:NUT27"/>
    <mergeCell ref="NUU27:NUV27"/>
    <mergeCell ref="NUW27:NUX27"/>
    <mergeCell ref="NUY27:NUZ27"/>
    <mergeCell ref="NUC27:NUD27"/>
    <mergeCell ref="NUE27:NUF27"/>
    <mergeCell ref="NUG27:NUH27"/>
    <mergeCell ref="NUI27:NUJ27"/>
    <mergeCell ref="NUK27:NUL27"/>
    <mergeCell ref="NUM27:NUN27"/>
    <mergeCell ref="NTQ27:NTR27"/>
    <mergeCell ref="NTS27:NTT27"/>
    <mergeCell ref="NTU27:NTV27"/>
    <mergeCell ref="NTW27:NTX27"/>
    <mergeCell ref="NTY27:NTZ27"/>
    <mergeCell ref="NUA27:NUB27"/>
    <mergeCell ref="NTE27:NTF27"/>
    <mergeCell ref="NTG27:NTH27"/>
    <mergeCell ref="NTI27:NTJ27"/>
    <mergeCell ref="NTK27:NTL27"/>
    <mergeCell ref="NTM27:NTN27"/>
    <mergeCell ref="NTO27:NTP27"/>
    <mergeCell ref="NSS27:NST27"/>
    <mergeCell ref="NSU27:NSV27"/>
    <mergeCell ref="NSW27:NSX27"/>
    <mergeCell ref="NSY27:NSZ27"/>
    <mergeCell ref="NTA27:NTB27"/>
    <mergeCell ref="NTC27:NTD27"/>
    <mergeCell ref="NXU27:NXV27"/>
    <mergeCell ref="NXW27:NXX27"/>
    <mergeCell ref="NXY27:NXZ27"/>
    <mergeCell ref="NYA27:NYB27"/>
    <mergeCell ref="NYC27:NYD27"/>
    <mergeCell ref="NYE27:NYF27"/>
    <mergeCell ref="NXI27:NXJ27"/>
    <mergeCell ref="NXK27:NXL27"/>
    <mergeCell ref="NXM27:NXN27"/>
    <mergeCell ref="NXO27:NXP27"/>
    <mergeCell ref="NXQ27:NXR27"/>
    <mergeCell ref="NXS27:NXT27"/>
    <mergeCell ref="NWW27:NWX27"/>
    <mergeCell ref="NWY27:NWZ27"/>
    <mergeCell ref="NXA27:NXB27"/>
    <mergeCell ref="NXC27:NXD27"/>
    <mergeCell ref="NXE27:NXF27"/>
    <mergeCell ref="NXG27:NXH27"/>
    <mergeCell ref="NWK27:NWL27"/>
    <mergeCell ref="NWM27:NWN27"/>
    <mergeCell ref="NWO27:NWP27"/>
    <mergeCell ref="NWQ27:NWR27"/>
    <mergeCell ref="NWS27:NWT27"/>
    <mergeCell ref="NWU27:NWV27"/>
    <mergeCell ref="NVY27:NVZ27"/>
    <mergeCell ref="NWA27:NWB27"/>
    <mergeCell ref="NWC27:NWD27"/>
    <mergeCell ref="NWE27:NWF27"/>
    <mergeCell ref="NWG27:NWH27"/>
    <mergeCell ref="NWI27:NWJ27"/>
    <mergeCell ref="NVM27:NVN27"/>
    <mergeCell ref="NVO27:NVP27"/>
    <mergeCell ref="NVQ27:NVR27"/>
    <mergeCell ref="NVS27:NVT27"/>
    <mergeCell ref="NVU27:NVV27"/>
    <mergeCell ref="NVW27:NVX27"/>
    <mergeCell ref="OAO27:OAP27"/>
    <mergeCell ref="OAQ27:OAR27"/>
    <mergeCell ref="OAS27:OAT27"/>
    <mergeCell ref="OAU27:OAV27"/>
    <mergeCell ref="OAW27:OAX27"/>
    <mergeCell ref="OAY27:OAZ27"/>
    <mergeCell ref="OAC27:OAD27"/>
    <mergeCell ref="OAE27:OAF27"/>
    <mergeCell ref="OAG27:OAH27"/>
    <mergeCell ref="OAI27:OAJ27"/>
    <mergeCell ref="OAK27:OAL27"/>
    <mergeCell ref="OAM27:OAN27"/>
    <mergeCell ref="NZQ27:NZR27"/>
    <mergeCell ref="NZS27:NZT27"/>
    <mergeCell ref="NZU27:NZV27"/>
    <mergeCell ref="NZW27:NZX27"/>
    <mergeCell ref="NZY27:NZZ27"/>
    <mergeCell ref="OAA27:OAB27"/>
    <mergeCell ref="NZE27:NZF27"/>
    <mergeCell ref="NZG27:NZH27"/>
    <mergeCell ref="NZI27:NZJ27"/>
    <mergeCell ref="NZK27:NZL27"/>
    <mergeCell ref="NZM27:NZN27"/>
    <mergeCell ref="NZO27:NZP27"/>
    <mergeCell ref="NYS27:NYT27"/>
    <mergeCell ref="NYU27:NYV27"/>
    <mergeCell ref="NYW27:NYX27"/>
    <mergeCell ref="NYY27:NYZ27"/>
    <mergeCell ref="NZA27:NZB27"/>
    <mergeCell ref="NZC27:NZD27"/>
    <mergeCell ref="NYG27:NYH27"/>
    <mergeCell ref="NYI27:NYJ27"/>
    <mergeCell ref="NYK27:NYL27"/>
    <mergeCell ref="NYM27:NYN27"/>
    <mergeCell ref="NYO27:NYP27"/>
    <mergeCell ref="NYQ27:NYR27"/>
    <mergeCell ref="ODI27:ODJ27"/>
    <mergeCell ref="ODK27:ODL27"/>
    <mergeCell ref="ODM27:ODN27"/>
    <mergeCell ref="ODO27:ODP27"/>
    <mergeCell ref="ODQ27:ODR27"/>
    <mergeCell ref="ODS27:ODT27"/>
    <mergeCell ref="OCW27:OCX27"/>
    <mergeCell ref="OCY27:OCZ27"/>
    <mergeCell ref="ODA27:ODB27"/>
    <mergeCell ref="ODC27:ODD27"/>
    <mergeCell ref="ODE27:ODF27"/>
    <mergeCell ref="ODG27:ODH27"/>
    <mergeCell ref="OCK27:OCL27"/>
    <mergeCell ref="OCM27:OCN27"/>
    <mergeCell ref="OCO27:OCP27"/>
    <mergeCell ref="OCQ27:OCR27"/>
    <mergeCell ref="OCS27:OCT27"/>
    <mergeCell ref="OCU27:OCV27"/>
    <mergeCell ref="OBY27:OBZ27"/>
    <mergeCell ref="OCA27:OCB27"/>
    <mergeCell ref="OCC27:OCD27"/>
    <mergeCell ref="OCE27:OCF27"/>
    <mergeCell ref="OCG27:OCH27"/>
    <mergeCell ref="OCI27:OCJ27"/>
    <mergeCell ref="OBM27:OBN27"/>
    <mergeCell ref="OBO27:OBP27"/>
    <mergeCell ref="OBQ27:OBR27"/>
    <mergeCell ref="OBS27:OBT27"/>
    <mergeCell ref="OBU27:OBV27"/>
    <mergeCell ref="OBW27:OBX27"/>
    <mergeCell ref="OBA27:OBB27"/>
    <mergeCell ref="OBC27:OBD27"/>
    <mergeCell ref="OBE27:OBF27"/>
    <mergeCell ref="OBG27:OBH27"/>
    <mergeCell ref="OBI27:OBJ27"/>
    <mergeCell ref="OBK27:OBL27"/>
    <mergeCell ref="OGC27:OGD27"/>
    <mergeCell ref="OGE27:OGF27"/>
    <mergeCell ref="OGG27:OGH27"/>
    <mergeCell ref="OGI27:OGJ27"/>
    <mergeCell ref="OGK27:OGL27"/>
    <mergeCell ref="OGM27:OGN27"/>
    <mergeCell ref="OFQ27:OFR27"/>
    <mergeCell ref="OFS27:OFT27"/>
    <mergeCell ref="OFU27:OFV27"/>
    <mergeCell ref="OFW27:OFX27"/>
    <mergeCell ref="OFY27:OFZ27"/>
    <mergeCell ref="OGA27:OGB27"/>
    <mergeCell ref="OFE27:OFF27"/>
    <mergeCell ref="OFG27:OFH27"/>
    <mergeCell ref="OFI27:OFJ27"/>
    <mergeCell ref="OFK27:OFL27"/>
    <mergeCell ref="OFM27:OFN27"/>
    <mergeCell ref="OFO27:OFP27"/>
    <mergeCell ref="OES27:OET27"/>
    <mergeCell ref="OEU27:OEV27"/>
    <mergeCell ref="OEW27:OEX27"/>
    <mergeCell ref="OEY27:OEZ27"/>
    <mergeCell ref="OFA27:OFB27"/>
    <mergeCell ref="OFC27:OFD27"/>
    <mergeCell ref="OEG27:OEH27"/>
    <mergeCell ref="OEI27:OEJ27"/>
    <mergeCell ref="OEK27:OEL27"/>
    <mergeCell ref="OEM27:OEN27"/>
    <mergeCell ref="OEO27:OEP27"/>
    <mergeCell ref="OEQ27:OER27"/>
    <mergeCell ref="ODU27:ODV27"/>
    <mergeCell ref="ODW27:ODX27"/>
    <mergeCell ref="ODY27:ODZ27"/>
    <mergeCell ref="OEA27:OEB27"/>
    <mergeCell ref="OEC27:OED27"/>
    <mergeCell ref="OEE27:OEF27"/>
    <mergeCell ref="OIW27:OIX27"/>
    <mergeCell ref="OIY27:OIZ27"/>
    <mergeCell ref="OJA27:OJB27"/>
    <mergeCell ref="OJC27:OJD27"/>
    <mergeCell ref="OJE27:OJF27"/>
    <mergeCell ref="OJG27:OJH27"/>
    <mergeCell ref="OIK27:OIL27"/>
    <mergeCell ref="OIM27:OIN27"/>
    <mergeCell ref="OIO27:OIP27"/>
    <mergeCell ref="OIQ27:OIR27"/>
    <mergeCell ref="OIS27:OIT27"/>
    <mergeCell ref="OIU27:OIV27"/>
    <mergeCell ref="OHY27:OHZ27"/>
    <mergeCell ref="OIA27:OIB27"/>
    <mergeCell ref="OIC27:OID27"/>
    <mergeCell ref="OIE27:OIF27"/>
    <mergeCell ref="OIG27:OIH27"/>
    <mergeCell ref="OII27:OIJ27"/>
    <mergeCell ref="OHM27:OHN27"/>
    <mergeCell ref="OHO27:OHP27"/>
    <mergeCell ref="OHQ27:OHR27"/>
    <mergeCell ref="OHS27:OHT27"/>
    <mergeCell ref="OHU27:OHV27"/>
    <mergeCell ref="OHW27:OHX27"/>
    <mergeCell ref="OHA27:OHB27"/>
    <mergeCell ref="OHC27:OHD27"/>
    <mergeCell ref="OHE27:OHF27"/>
    <mergeCell ref="OHG27:OHH27"/>
    <mergeCell ref="OHI27:OHJ27"/>
    <mergeCell ref="OHK27:OHL27"/>
    <mergeCell ref="OGO27:OGP27"/>
    <mergeCell ref="OGQ27:OGR27"/>
    <mergeCell ref="OGS27:OGT27"/>
    <mergeCell ref="OGU27:OGV27"/>
    <mergeCell ref="OGW27:OGX27"/>
    <mergeCell ref="OGY27:OGZ27"/>
    <mergeCell ref="OLQ27:OLR27"/>
    <mergeCell ref="OLS27:OLT27"/>
    <mergeCell ref="OLU27:OLV27"/>
    <mergeCell ref="OLW27:OLX27"/>
    <mergeCell ref="OLY27:OLZ27"/>
    <mergeCell ref="OMA27:OMB27"/>
    <mergeCell ref="OLE27:OLF27"/>
    <mergeCell ref="OLG27:OLH27"/>
    <mergeCell ref="OLI27:OLJ27"/>
    <mergeCell ref="OLK27:OLL27"/>
    <mergeCell ref="OLM27:OLN27"/>
    <mergeCell ref="OLO27:OLP27"/>
    <mergeCell ref="OKS27:OKT27"/>
    <mergeCell ref="OKU27:OKV27"/>
    <mergeCell ref="OKW27:OKX27"/>
    <mergeCell ref="OKY27:OKZ27"/>
    <mergeCell ref="OLA27:OLB27"/>
    <mergeCell ref="OLC27:OLD27"/>
    <mergeCell ref="OKG27:OKH27"/>
    <mergeCell ref="OKI27:OKJ27"/>
    <mergeCell ref="OKK27:OKL27"/>
    <mergeCell ref="OKM27:OKN27"/>
    <mergeCell ref="OKO27:OKP27"/>
    <mergeCell ref="OKQ27:OKR27"/>
    <mergeCell ref="OJU27:OJV27"/>
    <mergeCell ref="OJW27:OJX27"/>
    <mergeCell ref="OJY27:OJZ27"/>
    <mergeCell ref="OKA27:OKB27"/>
    <mergeCell ref="OKC27:OKD27"/>
    <mergeCell ref="OKE27:OKF27"/>
    <mergeCell ref="OJI27:OJJ27"/>
    <mergeCell ref="OJK27:OJL27"/>
    <mergeCell ref="OJM27:OJN27"/>
    <mergeCell ref="OJO27:OJP27"/>
    <mergeCell ref="OJQ27:OJR27"/>
    <mergeCell ref="OJS27:OJT27"/>
    <mergeCell ref="OOK27:OOL27"/>
    <mergeCell ref="OOM27:OON27"/>
    <mergeCell ref="OOO27:OOP27"/>
    <mergeCell ref="OOQ27:OOR27"/>
    <mergeCell ref="OOS27:OOT27"/>
    <mergeCell ref="OOU27:OOV27"/>
    <mergeCell ref="ONY27:ONZ27"/>
    <mergeCell ref="OOA27:OOB27"/>
    <mergeCell ref="OOC27:OOD27"/>
    <mergeCell ref="OOE27:OOF27"/>
    <mergeCell ref="OOG27:OOH27"/>
    <mergeCell ref="OOI27:OOJ27"/>
    <mergeCell ref="ONM27:ONN27"/>
    <mergeCell ref="ONO27:ONP27"/>
    <mergeCell ref="ONQ27:ONR27"/>
    <mergeCell ref="ONS27:ONT27"/>
    <mergeCell ref="ONU27:ONV27"/>
    <mergeCell ref="ONW27:ONX27"/>
    <mergeCell ref="ONA27:ONB27"/>
    <mergeCell ref="ONC27:OND27"/>
    <mergeCell ref="ONE27:ONF27"/>
    <mergeCell ref="ONG27:ONH27"/>
    <mergeCell ref="ONI27:ONJ27"/>
    <mergeCell ref="ONK27:ONL27"/>
    <mergeCell ref="OMO27:OMP27"/>
    <mergeCell ref="OMQ27:OMR27"/>
    <mergeCell ref="OMS27:OMT27"/>
    <mergeCell ref="OMU27:OMV27"/>
    <mergeCell ref="OMW27:OMX27"/>
    <mergeCell ref="OMY27:OMZ27"/>
    <mergeCell ref="OMC27:OMD27"/>
    <mergeCell ref="OME27:OMF27"/>
    <mergeCell ref="OMG27:OMH27"/>
    <mergeCell ref="OMI27:OMJ27"/>
    <mergeCell ref="OMK27:OML27"/>
    <mergeCell ref="OMM27:OMN27"/>
    <mergeCell ref="ORE27:ORF27"/>
    <mergeCell ref="ORG27:ORH27"/>
    <mergeCell ref="ORI27:ORJ27"/>
    <mergeCell ref="ORK27:ORL27"/>
    <mergeCell ref="ORM27:ORN27"/>
    <mergeCell ref="ORO27:ORP27"/>
    <mergeCell ref="OQS27:OQT27"/>
    <mergeCell ref="OQU27:OQV27"/>
    <mergeCell ref="OQW27:OQX27"/>
    <mergeCell ref="OQY27:OQZ27"/>
    <mergeCell ref="ORA27:ORB27"/>
    <mergeCell ref="ORC27:ORD27"/>
    <mergeCell ref="OQG27:OQH27"/>
    <mergeCell ref="OQI27:OQJ27"/>
    <mergeCell ref="OQK27:OQL27"/>
    <mergeCell ref="OQM27:OQN27"/>
    <mergeCell ref="OQO27:OQP27"/>
    <mergeCell ref="OQQ27:OQR27"/>
    <mergeCell ref="OPU27:OPV27"/>
    <mergeCell ref="OPW27:OPX27"/>
    <mergeCell ref="OPY27:OPZ27"/>
    <mergeCell ref="OQA27:OQB27"/>
    <mergeCell ref="OQC27:OQD27"/>
    <mergeCell ref="OQE27:OQF27"/>
    <mergeCell ref="OPI27:OPJ27"/>
    <mergeCell ref="OPK27:OPL27"/>
    <mergeCell ref="OPM27:OPN27"/>
    <mergeCell ref="OPO27:OPP27"/>
    <mergeCell ref="OPQ27:OPR27"/>
    <mergeCell ref="OPS27:OPT27"/>
    <mergeCell ref="OOW27:OOX27"/>
    <mergeCell ref="OOY27:OOZ27"/>
    <mergeCell ref="OPA27:OPB27"/>
    <mergeCell ref="OPC27:OPD27"/>
    <mergeCell ref="OPE27:OPF27"/>
    <mergeCell ref="OPG27:OPH27"/>
    <mergeCell ref="OTY27:OTZ27"/>
    <mergeCell ref="OUA27:OUB27"/>
    <mergeCell ref="OUC27:OUD27"/>
    <mergeCell ref="OUE27:OUF27"/>
    <mergeCell ref="OUG27:OUH27"/>
    <mergeCell ref="OUI27:OUJ27"/>
    <mergeCell ref="OTM27:OTN27"/>
    <mergeCell ref="OTO27:OTP27"/>
    <mergeCell ref="OTQ27:OTR27"/>
    <mergeCell ref="OTS27:OTT27"/>
    <mergeCell ref="OTU27:OTV27"/>
    <mergeCell ref="OTW27:OTX27"/>
    <mergeCell ref="OTA27:OTB27"/>
    <mergeCell ref="OTC27:OTD27"/>
    <mergeCell ref="OTE27:OTF27"/>
    <mergeCell ref="OTG27:OTH27"/>
    <mergeCell ref="OTI27:OTJ27"/>
    <mergeCell ref="OTK27:OTL27"/>
    <mergeCell ref="OSO27:OSP27"/>
    <mergeCell ref="OSQ27:OSR27"/>
    <mergeCell ref="OSS27:OST27"/>
    <mergeCell ref="OSU27:OSV27"/>
    <mergeCell ref="OSW27:OSX27"/>
    <mergeCell ref="OSY27:OSZ27"/>
    <mergeCell ref="OSC27:OSD27"/>
    <mergeCell ref="OSE27:OSF27"/>
    <mergeCell ref="OSG27:OSH27"/>
    <mergeCell ref="OSI27:OSJ27"/>
    <mergeCell ref="OSK27:OSL27"/>
    <mergeCell ref="OSM27:OSN27"/>
    <mergeCell ref="ORQ27:ORR27"/>
    <mergeCell ref="ORS27:ORT27"/>
    <mergeCell ref="ORU27:ORV27"/>
    <mergeCell ref="ORW27:ORX27"/>
    <mergeCell ref="ORY27:ORZ27"/>
    <mergeCell ref="OSA27:OSB27"/>
    <mergeCell ref="OWS27:OWT27"/>
    <mergeCell ref="OWU27:OWV27"/>
    <mergeCell ref="OWW27:OWX27"/>
    <mergeCell ref="OWY27:OWZ27"/>
    <mergeCell ref="OXA27:OXB27"/>
    <mergeCell ref="OXC27:OXD27"/>
    <mergeCell ref="OWG27:OWH27"/>
    <mergeCell ref="OWI27:OWJ27"/>
    <mergeCell ref="OWK27:OWL27"/>
    <mergeCell ref="OWM27:OWN27"/>
    <mergeCell ref="OWO27:OWP27"/>
    <mergeCell ref="OWQ27:OWR27"/>
    <mergeCell ref="OVU27:OVV27"/>
    <mergeCell ref="OVW27:OVX27"/>
    <mergeCell ref="OVY27:OVZ27"/>
    <mergeCell ref="OWA27:OWB27"/>
    <mergeCell ref="OWC27:OWD27"/>
    <mergeCell ref="OWE27:OWF27"/>
    <mergeCell ref="OVI27:OVJ27"/>
    <mergeCell ref="OVK27:OVL27"/>
    <mergeCell ref="OVM27:OVN27"/>
    <mergeCell ref="OVO27:OVP27"/>
    <mergeCell ref="OVQ27:OVR27"/>
    <mergeCell ref="OVS27:OVT27"/>
    <mergeCell ref="OUW27:OUX27"/>
    <mergeCell ref="OUY27:OUZ27"/>
    <mergeCell ref="OVA27:OVB27"/>
    <mergeCell ref="OVC27:OVD27"/>
    <mergeCell ref="OVE27:OVF27"/>
    <mergeCell ref="OVG27:OVH27"/>
    <mergeCell ref="OUK27:OUL27"/>
    <mergeCell ref="OUM27:OUN27"/>
    <mergeCell ref="OUO27:OUP27"/>
    <mergeCell ref="OUQ27:OUR27"/>
    <mergeCell ref="OUS27:OUT27"/>
    <mergeCell ref="OUU27:OUV27"/>
    <mergeCell ref="OZM27:OZN27"/>
    <mergeCell ref="OZO27:OZP27"/>
    <mergeCell ref="OZQ27:OZR27"/>
    <mergeCell ref="OZS27:OZT27"/>
    <mergeCell ref="OZU27:OZV27"/>
    <mergeCell ref="OZW27:OZX27"/>
    <mergeCell ref="OZA27:OZB27"/>
    <mergeCell ref="OZC27:OZD27"/>
    <mergeCell ref="OZE27:OZF27"/>
    <mergeCell ref="OZG27:OZH27"/>
    <mergeCell ref="OZI27:OZJ27"/>
    <mergeCell ref="OZK27:OZL27"/>
    <mergeCell ref="OYO27:OYP27"/>
    <mergeCell ref="OYQ27:OYR27"/>
    <mergeCell ref="OYS27:OYT27"/>
    <mergeCell ref="OYU27:OYV27"/>
    <mergeCell ref="OYW27:OYX27"/>
    <mergeCell ref="OYY27:OYZ27"/>
    <mergeCell ref="OYC27:OYD27"/>
    <mergeCell ref="OYE27:OYF27"/>
    <mergeCell ref="OYG27:OYH27"/>
    <mergeCell ref="OYI27:OYJ27"/>
    <mergeCell ref="OYK27:OYL27"/>
    <mergeCell ref="OYM27:OYN27"/>
    <mergeCell ref="OXQ27:OXR27"/>
    <mergeCell ref="OXS27:OXT27"/>
    <mergeCell ref="OXU27:OXV27"/>
    <mergeCell ref="OXW27:OXX27"/>
    <mergeCell ref="OXY27:OXZ27"/>
    <mergeCell ref="OYA27:OYB27"/>
    <mergeCell ref="OXE27:OXF27"/>
    <mergeCell ref="OXG27:OXH27"/>
    <mergeCell ref="OXI27:OXJ27"/>
    <mergeCell ref="OXK27:OXL27"/>
    <mergeCell ref="OXM27:OXN27"/>
    <mergeCell ref="OXO27:OXP27"/>
    <mergeCell ref="PCG27:PCH27"/>
    <mergeCell ref="PCI27:PCJ27"/>
    <mergeCell ref="PCK27:PCL27"/>
    <mergeCell ref="PCM27:PCN27"/>
    <mergeCell ref="PCO27:PCP27"/>
    <mergeCell ref="PCQ27:PCR27"/>
    <mergeCell ref="PBU27:PBV27"/>
    <mergeCell ref="PBW27:PBX27"/>
    <mergeCell ref="PBY27:PBZ27"/>
    <mergeCell ref="PCA27:PCB27"/>
    <mergeCell ref="PCC27:PCD27"/>
    <mergeCell ref="PCE27:PCF27"/>
    <mergeCell ref="PBI27:PBJ27"/>
    <mergeCell ref="PBK27:PBL27"/>
    <mergeCell ref="PBM27:PBN27"/>
    <mergeCell ref="PBO27:PBP27"/>
    <mergeCell ref="PBQ27:PBR27"/>
    <mergeCell ref="PBS27:PBT27"/>
    <mergeCell ref="PAW27:PAX27"/>
    <mergeCell ref="PAY27:PAZ27"/>
    <mergeCell ref="PBA27:PBB27"/>
    <mergeCell ref="PBC27:PBD27"/>
    <mergeCell ref="PBE27:PBF27"/>
    <mergeCell ref="PBG27:PBH27"/>
    <mergeCell ref="PAK27:PAL27"/>
    <mergeCell ref="PAM27:PAN27"/>
    <mergeCell ref="PAO27:PAP27"/>
    <mergeCell ref="PAQ27:PAR27"/>
    <mergeCell ref="PAS27:PAT27"/>
    <mergeCell ref="PAU27:PAV27"/>
    <mergeCell ref="OZY27:OZZ27"/>
    <mergeCell ref="PAA27:PAB27"/>
    <mergeCell ref="PAC27:PAD27"/>
    <mergeCell ref="PAE27:PAF27"/>
    <mergeCell ref="PAG27:PAH27"/>
    <mergeCell ref="PAI27:PAJ27"/>
    <mergeCell ref="PFA27:PFB27"/>
    <mergeCell ref="PFC27:PFD27"/>
    <mergeCell ref="PFE27:PFF27"/>
    <mergeCell ref="PFG27:PFH27"/>
    <mergeCell ref="PFI27:PFJ27"/>
    <mergeCell ref="PFK27:PFL27"/>
    <mergeCell ref="PEO27:PEP27"/>
    <mergeCell ref="PEQ27:PER27"/>
    <mergeCell ref="PES27:PET27"/>
    <mergeCell ref="PEU27:PEV27"/>
    <mergeCell ref="PEW27:PEX27"/>
    <mergeCell ref="PEY27:PEZ27"/>
    <mergeCell ref="PEC27:PED27"/>
    <mergeCell ref="PEE27:PEF27"/>
    <mergeCell ref="PEG27:PEH27"/>
    <mergeCell ref="PEI27:PEJ27"/>
    <mergeCell ref="PEK27:PEL27"/>
    <mergeCell ref="PEM27:PEN27"/>
    <mergeCell ref="PDQ27:PDR27"/>
    <mergeCell ref="PDS27:PDT27"/>
    <mergeCell ref="PDU27:PDV27"/>
    <mergeCell ref="PDW27:PDX27"/>
    <mergeCell ref="PDY27:PDZ27"/>
    <mergeCell ref="PEA27:PEB27"/>
    <mergeCell ref="PDE27:PDF27"/>
    <mergeCell ref="PDG27:PDH27"/>
    <mergeCell ref="PDI27:PDJ27"/>
    <mergeCell ref="PDK27:PDL27"/>
    <mergeCell ref="PDM27:PDN27"/>
    <mergeCell ref="PDO27:PDP27"/>
    <mergeCell ref="PCS27:PCT27"/>
    <mergeCell ref="PCU27:PCV27"/>
    <mergeCell ref="PCW27:PCX27"/>
    <mergeCell ref="PCY27:PCZ27"/>
    <mergeCell ref="PDA27:PDB27"/>
    <mergeCell ref="PDC27:PDD27"/>
    <mergeCell ref="PHU27:PHV27"/>
    <mergeCell ref="PHW27:PHX27"/>
    <mergeCell ref="PHY27:PHZ27"/>
    <mergeCell ref="PIA27:PIB27"/>
    <mergeCell ref="PIC27:PID27"/>
    <mergeCell ref="PIE27:PIF27"/>
    <mergeCell ref="PHI27:PHJ27"/>
    <mergeCell ref="PHK27:PHL27"/>
    <mergeCell ref="PHM27:PHN27"/>
    <mergeCell ref="PHO27:PHP27"/>
    <mergeCell ref="PHQ27:PHR27"/>
    <mergeCell ref="PHS27:PHT27"/>
    <mergeCell ref="PGW27:PGX27"/>
    <mergeCell ref="PGY27:PGZ27"/>
    <mergeCell ref="PHA27:PHB27"/>
    <mergeCell ref="PHC27:PHD27"/>
    <mergeCell ref="PHE27:PHF27"/>
    <mergeCell ref="PHG27:PHH27"/>
    <mergeCell ref="PGK27:PGL27"/>
    <mergeCell ref="PGM27:PGN27"/>
    <mergeCell ref="PGO27:PGP27"/>
    <mergeCell ref="PGQ27:PGR27"/>
    <mergeCell ref="PGS27:PGT27"/>
    <mergeCell ref="PGU27:PGV27"/>
    <mergeCell ref="PFY27:PFZ27"/>
    <mergeCell ref="PGA27:PGB27"/>
    <mergeCell ref="PGC27:PGD27"/>
    <mergeCell ref="PGE27:PGF27"/>
    <mergeCell ref="PGG27:PGH27"/>
    <mergeCell ref="PGI27:PGJ27"/>
    <mergeCell ref="PFM27:PFN27"/>
    <mergeCell ref="PFO27:PFP27"/>
    <mergeCell ref="PFQ27:PFR27"/>
    <mergeCell ref="PFS27:PFT27"/>
    <mergeCell ref="PFU27:PFV27"/>
    <mergeCell ref="PFW27:PFX27"/>
    <mergeCell ref="PKO27:PKP27"/>
    <mergeCell ref="PKQ27:PKR27"/>
    <mergeCell ref="PKS27:PKT27"/>
    <mergeCell ref="PKU27:PKV27"/>
    <mergeCell ref="PKW27:PKX27"/>
    <mergeCell ref="PKY27:PKZ27"/>
    <mergeCell ref="PKC27:PKD27"/>
    <mergeCell ref="PKE27:PKF27"/>
    <mergeCell ref="PKG27:PKH27"/>
    <mergeCell ref="PKI27:PKJ27"/>
    <mergeCell ref="PKK27:PKL27"/>
    <mergeCell ref="PKM27:PKN27"/>
    <mergeCell ref="PJQ27:PJR27"/>
    <mergeCell ref="PJS27:PJT27"/>
    <mergeCell ref="PJU27:PJV27"/>
    <mergeCell ref="PJW27:PJX27"/>
    <mergeCell ref="PJY27:PJZ27"/>
    <mergeCell ref="PKA27:PKB27"/>
    <mergeCell ref="PJE27:PJF27"/>
    <mergeCell ref="PJG27:PJH27"/>
    <mergeCell ref="PJI27:PJJ27"/>
    <mergeCell ref="PJK27:PJL27"/>
    <mergeCell ref="PJM27:PJN27"/>
    <mergeCell ref="PJO27:PJP27"/>
    <mergeCell ref="PIS27:PIT27"/>
    <mergeCell ref="PIU27:PIV27"/>
    <mergeCell ref="PIW27:PIX27"/>
    <mergeCell ref="PIY27:PIZ27"/>
    <mergeCell ref="PJA27:PJB27"/>
    <mergeCell ref="PJC27:PJD27"/>
    <mergeCell ref="PIG27:PIH27"/>
    <mergeCell ref="PII27:PIJ27"/>
    <mergeCell ref="PIK27:PIL27"/>
    <mergeCell ref="PIM27:PIN27"/>
    <mergeCell ref="PIO27:PIP27"/>
    <mergeCell ref="PIQ27:PIR27"/>
    <mergeCell ref="PNI27:PNJ27"/>
    <mergeCell ref="PNK27:PNL27"/>
    <mergeCell ref="PNM27:PNN27"/>
    <mergeCell ref="PNO27:PNP27"/>
    <mergeCell ref="PNQ27:PNR27"/>
    <mergeCell ref="PNS27:PNT27"/>
    <mergeCell ref="PMW27:PMX27"/>
    <mergeCell ref="PMY27:PMZ27"/>
    <mergeCell ref="PNA27:PNB27"/>
    <mergeCell ref="PNC27:PND27"/>
    <mergeCell ref="PNE27:PNF27"/>
    <mergeCell ref="PNG27:PNH27"/>
    <mergeCell ref="PMK27:PML27"/>
    <mergeCell ref="PMM27:PMN27"/>
    <mergeCell ref="PMO27:PMP27"/>
    <mergeCell ref="PMQ27:PMR27"/>
    <mergeCell ref="PMS27:PMT27"/>
    <mergeCell ref="PMU27:PMV27"/>
    <mergeCell ref="PLY27:PLZ27"/>
    <mergeCell ref="PMA27:PMB27"/>
    <mergeCell ref="PMC27:PMD27"/>
    <mergeCell ref="PME27:PMF27"/>
    <mergeCell ref="PMG27:PMH27"/>
    <mergeCell ref="PMI27:PMJ27"/>
    <mergeCell ref="PLM27:PLN27"/>
    <mergeCell ref="PLO27:PLP27"/>
    <mergeCell ref="PLQ27:PLR27"/>
    <mergeCell ref="PLS27:PLT27"/>
    <mergeCell ref="PLU27:PLV27"/>
    <mergeCell ref="PLW27:PLX27"/>
    <mergeCell ref="PLA27:PLB27"/>
    <mergeCell ref="PLC27:PLD27"/>
    <mergeCell ref="PLE27:PLF27"/>
    <mergeCell ref="PLG27:PLH27"/>
    <mergeCell ref="PLI27:PLJ27"/>
    <mergeCell ref="PLK27:PLL27"/>
    <mergeCell ref="PQC27:PQD27"/>
    <mergeCell ref="PQE27:PQF27"/>
    <mergeCell ref="PQG27:PQH27"/>
    <mergeCell ref="PQI27:PQJ27"/>
    <mergeCell ref="PQK27:PQL27"/>
    <mergeCell ref="PQM27:PQN27"/>
    <mergeCell ref="PPQ27:PPR27"/>
    <mergeCell ref="PPS27:PPT27"/>
    <mergeCell ref="PPU27:PPV27"/>
    <mergeCell ref="PPW27:PPX27"/>
    <mergeCell ref="PPY27:PPZ27"/>
    <mergeCell ref="PQA27:PQB27"/>
    <mergeCell ref="PPE27:PPF27"/>
    <mergeCell ref="PPG27:PPH27"/>
    <mergeCell ref="PPI27:PPJ27"/>
    <mergeCell ref="PPK27:PPL27"/>
    <mergeCell ref="PPM27:PPN27"/>
    <mergeCell ref="PPO27:PPP27"/>
    <mergeCell ref="POS27:POT27"/>
    <mergeCell ref="POU27:POV27"/>
    <mergeCell ref="POW27:POX27"/>
    <mergeCell ref="POY27:POZ27"/>
    <mergeCell ref="PPA27:PPB27"/>
    <mergeCell ref="PPC27:PPD27"/>
    <mergeCell ref="POG27:POH27"/>
    <mergeCell ref="POI27:POJ27"/>
    <mergeCell ref="POK27:POL27"/>
    <mergeCell ref="POM27:PON27"/>
    <mergeCell ref="POO27:POP27"/>
    <mergeCell ref="POQ27:POR27"/>
    <mergeCell ref="PNU27:PNV27"/>
    <mergeCell ref="PNW27:PNX27"/>
    <mergeCell ref="PNY27:PNZ27"/>
    <mergeCell ref="POA27:POB27"/>
    <mergeCell ref="POC27:POD27"/>
    <mergeCell ref="POE27:POF27"/>
    <mergeCell ref="PSW27:PSX27"/>
    <mergeCell ref="PSY27:PSZ27"/>
    <mergeCell ref="PTA27:PTB27"/>
    <mergeCell ref="PTC27:PTD27"/>
    <mergeCell ref="PTE27:PTF27"/>
    <mergeCell ref="PTG27:PTH27"/>
    <mergeCell ref="PSK27:PSL27"/>
    <mergeCell ref="PSM27:PSN27"/>
    <mergeCell ref="PSO27:PSP27"/>
    <mergeCell ref="PSQ27:PSR27"/>
    <mergeCell ref="PSS27:PST27"/>
    <mergeCell ref="PSU27:PSV27"/>
    <mergeCell ref="PRY27:PRZ27"/>
    <mergeCell ref="PSA27:PSB27"/>
    <mergeCell ref="PSC27:PSD27"/>
    <mergeCell ref="PSE27:PSF27"/>
    <mergeCell ref="PSG27:PSH27"/>
    <mergeCell ref="PSI27:PSJ27"/>
    <mergeCell ref="PRM27:PRN27"/>
    <mergeCell ref="PRO27:PRP27"/>
    <mergeCell ref="PRQ27:PRR27"/>
    <mergeCell ref="PRS27:PRT27"/>
    <mergeCell ref="PRU27:PRV27"/>
    <mergeCell ref="PRW27:PRX27"/>
    <mergeCell ref="PRA27:PRB27"/>
    <mergeCell ref="PRC27:PRD27"/>
    <mergeCell ref="PRE27:PRF27"/>
    <mergeCell ref="PRG27:PRH27"/>
    <mergeCell ref="PRI27:PRJ27"/>
    <mergeCell ref="PRK27:PRL27"/>
    <mergeCell ref="PQO27:PQP27"/>
    <mergeCell ref="PQQ27:PQR27"/>
    <mergeCell ref="PQS27:PQT27"/>
    <mergeCell ref="PQU27:PQV27"/>
    <mergeCell ref="PQW27:PQX27"/>
    <mergeCell ref="PQY27:PQZ27"/>
    <mergeCell ref="PVQ27:PVR27"/>
    <mergeCell ref="PVS27:PVT27"/>
    <mergeCell ref="PVU27:PVV27"/>
    <mergeCell ref="PVW27:PVX27"/>
    <mergeCell ref="PVY27:PVZ27"/>
    <mergeCell ref="PWA27:PWB27"/>
    <mergeCell ref="PVE27:PVF27"/>
    <mergeCell ref="PVG27:PVH27"/>
    <mergeCell ref="PVI27:PVJ27"/>
    <mergeCell ref="PVK27:PVL27"/>
    <mergeCell ref="PVM27:PVN27"/>
    <mergeCell ref="PVO27:PVP27"/>
    <mergeCell ref="PUS27:PUT27"/>
    <mergeCell ref="PUU27:PUV27"/>
    <mergeCell ref="PUW27:PUX27"/>
    <mergeCell ref="PUY27:PUZ27"/>
    <mergeCell ref="PVA27:PVB27"/>
    <mergeCell ref="PVC27:PVD27"/>
    <mergeCell ref="PUG27:PUH27"/>
    <mergeCell ref="PUI27:PUJ27"/>
    <mergeCell ref="PUK27:PUL27"/>
    <mergeCell ref="PUM27:PUN27"/>
    <mergeCell ref="PUO27:PUP27"/>
    <mergeCell ref="PUQ27:PUR27"/>
    <mergeCell ref="PTU27:PTV27"/>
    <mergeCell ref="PTW27:PTX27"/>
    <mergeCell ref="PTY27:PTZ27"/>
    <mergeCell ref="PUA27:PUB27"/>
    <mergeCell ref="PUC27:PUD27"/>
    <mergeCell ref="PUE27:PUF27"/>
    <mergeCell ref="PTI27:PTJ27"/>
    <mergeCell ref="PTK27:PTL27"/>
    <mergeCell ref="PTM27:PTN27"/>
    <mergeCell ref="PTO27:PTP27"/>
    <mergeCell ref="PTQ27:PTR27"/>
    <mergeCell ref="PTS27:PTT27"/>
    <mergeCell ref="PYK27:PYL27"/>
    <mergeCell ref="PYM27:PYN27"/>
    <mergeCell ref="PYO27:PYP27"/>
    <mergeCell ref="PYQ27:PYR27"/>
    <mergeCell ref="PYS27:PYT27"/>
    <mergeCell ref="PYU27:PYV27"/>
    <mergeCell ref="PXY27:PXZ27"/>
    <mergeCell ref="PYA27:PYB27"/>
    <mergeCell ref="PYC27:PYD27"/>
    <mergeCell ref="PYE27:PYF27"/>
    <mergeCell ref="PYG27:PYH27"/>
    <mergeCell ref="PYI27:PYJ27"/>
    <mergeCell ref="PXM27:PXN27"/>
    <mergeCell ref="PXO27:PXP27"/>
    <mergeCell ref="PXQ27:PXR27"/>
    <mergeCell ref="PXS27:PXT27"/>
    <mergeCell ref="PXU27:PXV27"/>
    <mergeCell ref="PXW27:PXX27"/>
    <mergeCell ref="PXA27:PXB27"/>
    <mergeCell ref="PXC27:PXD27"/>
    <mergeCell ref="PXE27:PXF27"/>
    <mergeCell ref="PXG27:PXH27"/>
    <mergeCell ref="PXI27:PXJ27"/>
    <mergeCell ref="PXK27:PXL27"/>
    <mergeCell ref="PWO27:PWP27"/>
    <mergeCell ref="PWQ27:PWR27"/>
    <mergeCell ref="PWS27:PWT27"/>
    <mergeCell ref="PWU27:PWV27"/>
    <mergeCell ref="PWW27:PWX27"/>
    <mergeCell ref="PWY27:PWZ27"/>
    <mergeCell ref="PWC27:PWD27"/>
    <mergeCell ref="PWE27:PWF27"/>
    <mergeCell ref="PWG27:PWH27"/>
    <mergeCell ref="PWI27:PWJ27"/>
    <mergeCell ref="PWK27:PWL27"/>
    <mergeCell ref="PWM27:PWN27"/>
    <mergeCell ref="QBE27:QBF27"/>
    <mergeCell ref="QBG27:QBH27"/>
    <mergeCell ref="QBI27:QBJ27"/>
    <mergeCell ref="QBK27:QBL27"/>
    <mergeCell ref="QBM27:QBN27"/>
    <mergeCell ref="QBO27:QBP27"/>
    <mergeCell ref="QAS27:QAT27"/>
    <mergeCell ref="QAU27:QAV27"/>
    <mergeCell ref="QAW27:QAX27"/>
    <mergeCell ref="QAY27:QAZ27"/>
    <mergeCell ref="QBA27:QBB27"/>
    <mergeCell ref="QBC27:QBD27"/>
    <mergeCell ref="QAG27:QAH27"/>
    <mergeCell ref="QAI27:QAJ27"/>
    <mergeCell ref="QAK27:QAL27"/>
    <mergeCell ref="QAM27:QAN27"/>
    <mergeCell ref="QAO27:QAP27"/>
    <mergeCell ref="QAQ27:QAR27"/>
    <mergeCell ref="PZU27:PZV27"/>
    <mergeCell ref="PZW27:PZX27"/>
    <mergeCell ref="PZY27:PZZ27"/>
    <mergeCell ref="QAA27:QAB27"/>
    <mergeCell ref="QAC27:QAD27"/>
    <mergeCell ref="QAE27:QAF27"/>
    <mergeCell ref="PZI27:PZJ27"/>
    <mergeCell ref="PZK27:PZL27"/>
    <mergeCell ref="PZM27:PZN27"/>
    <mergeCell ref="PZO27:PZP27"/>
    <mergeCell ref="PZQ27:PZR27"/>
    <mergeCell ref="PZS27:PZT27"/>
    <mergeCell ref="PYW27:PYX27"/>
    <mergeCell ref="PYY27:PYZ27"/>
    <mergeCell ref="PZA27:PZB27"/>
    <mergeCell ref="PZC27:PZD27"/>
    <mergeCell ref="PZE27:PZF27"/>
    <mergeCell ref="PZG27:PZH27"/>
    <mergeCell ref="QDY27:QDZ27"/>
    <mergeCell ref="QEA27:QEB27"/>
    <mergeCell ref="QEC27:QED27"/>
    <mergeCell ref="QEE27:QEF27"/>
    <mergeCell ref="QEG27:QEH27"/>
    <mergeCell ref="QEI27:QEJ27"/>
    <mergeCell ref="QDM27:QDN27"/>
    <mergeCell ref="QDO27:QDP27"/>
    <mergeCell ref="QDQ27:QDR27"/>
    <mergeCell ref="QDS27:QDT27"/>
    <mergeCell ref="QDU27:QDV27"/>
    <mergeCell ref="QDW27:QDX27"/>
    <mergeCell ref="QDA27:QDB27"/>
    <mergeCell ref="QDC27:QDD27"/>
    <mergeCell ref="QDE27:QDF27"/>
    <mergeCell ref="QDG27:QDH27"/>
    <mergeCell ref="QDI27:QDJ27"/>
    <mergeCell ref="QDK27:QDL27"/>
    <mergeCell ref="QCO27:QCP27"/>
    <mergeCell ref="QCQ27:QCR27"/>
    <mergeCell ref="QCS27:QCT27"/>
    <mergeCell ref="QCU27:QCV27"/>
    <mergeCell ref="QCW27:QCX27"/>
    <mergeCell ref="QCY27:QCZ27"/>
    <mergeCell ref="QCC27:QCD27"/>
    <mergeCell ref="QCE27:QCF27"/>
    <mergeCell ref="QCG27:QCH27"/>
    <mergeCell ref="QCI27:QCJ27"/>
    <mergeCell ref="QCK27:QCL27"/>
    <mergeCell ref="QCM27:QCN27"/>
    <mergeCell ref="QBQ27:QBR27"/>
    <mergeCell ref="QBS27:QBT27"/>
    <mergeCell ref="QBU27:QBV27"/>
    <mergeCell ref="QBW27:QBX27"/>
    <mergeCell ref="QBY27:QBZ27"/>
    <mergeCell ref="QCA27:QCB27"/>
    <mergeCell ref="QGS27:QGT27"/>
    <mergeCell ref="QGU27:QGV27"/>
    <mergeCell ref="QGW27:QGX27"/>
    <mergeCell ref="QGY27:QGZ27"/>
    <mergeCell ref="QHA27:QHB27"/>
    <mergeCell ref="QHC27:QHD27"/>
    <mergeCell ref="QGG27:QGH27"/>
    <mergeCell ref="QGI27:QGJ27"/>
    <mergeCell ref="QGK27:QGL27"/>
    <mergeCell ref="QGM27:QGN27"/>
    <mergeCell ref="QGO27:QGP27"/>
    <mergeCell ref="QGQ27:QGR27"/>
    <mergeCell ref="QFU27:QFV27"/>
    <mergeCell ref="QFW27:QFX27"/>
    <mergeCell ref="QFY27:QFZ27"/>
    <mergeCell ref="QGA27:QGB27"/>
    <mergeCell ref="QGC27:QGD27"/>
    <mergeCell ref="QGE27:QGF27"/>
    <mergeCell ref="QFI27:QFJ27"/>
    <mergeCell ref="QFK27:QFL27"/>
    <mergeCell ref="QFM27:QFN27"/>
    <mergeCell ref="QFO27:QFP27"/>
    <mergeCell ref="QFQ27:QFR27"/>
    <mergeCell ref="QFS27:QFT27"/>
    <mergeCell ref="QEW27:QEX27"/>
    <mergeCell ref="QEY27:QEZ27"/>
    <mergeCell ref="QFA27:QFB27"/>
    <mergeCell ref="QFC27:QFD27"/>
    <mergeCell ref="QFE27:QFF27"/>
    <mergeCell ref="QFG27:QFH27"/>
    <mergeCell ref="QEK27:QEL27"/>
    <mergeCell ref="QEM27:QEN27"/>
    <mergeCell ref="QEO27:QEP27"/>
    <mergeCell ref="QEQ27:QER27"/>
    <mergeCell ref="QES27:QET27"/>
    <mergeCell ref="QEU27:QEV27"/>
    <mergeCell ref="QJM27:QJN27"/>
    <mergeCell ref="QJO27:QJP27"/>
    <mergeCell ref="QJQ27:QJR27"/>
    <mergeCell ref="QJS27:QJT27"/>
    <mergeCell ref="QJU27:QJV27"/>
    <mergeCell ref="QJW27:QJX27"/>
    <mergeCell ref="QJA27:QJB27"/>
    <mergeCell ref="QJC27:QJD27"/>
    <mergeCell ref="QJE27:QJF27"/>
    <mergeCell ref="QJG27:QJH27"/>
    <mergeCell ref="QJI27:QJJ27"/>
    <mergeCell ref="QJK27:QJL27"/>
    <mergeCell ref="QIO27:QIP27"/>
    <mergeCell ref="QIQ27:QIR27"/>
    <mergeCell ref="QIS27:QIT27"/>
    <mergeCell ref="QIU27:QIV27"/>
    <mergeCell ref="QIW27:QIX27"/>
    <mergeCell ref="QIY27:QIZ27"/>
    <mergeCell ref="QIC27:QID27"/>
    <mergeCell ref="QIE27:QIF27"/>
    <mergeCell ref="QIG27:QIH27"/>
    <mergeCell ref="QII27:QIJ27"/>
    <mergeCell ref="QIK27:QIL27"/>
    <mergeCell ref="QIM27:QIN27"/>
    <mergeCell ref="QHQ27:QHR27"/>
    <mergeCell ref="QHS27:QHT27"/>
    <mergeCell ref="QHU27:QHV27"/>
    <mergeCell ref="QHW27:QHX27"/>
    <mergeCell ref="QHY27:QHZ27"/>
    <mergeCell ref="QIA27:QIB27"/>
    <mergeCell ref="QHE27:QHF27"/>
    <mergeCell ref="QHG27:QHH27"/>
    <mergeCell ref="QHI27:QHJ27"/>
    <mergeCell ref="QHK27:QHL27"/>
    <mergeCell ref="QHM27:QHN27"/>
    <mergeCell ref="QHO27:QHP27"/>
    <mergeCell ref="QMG27:QMH27"/>
    <mergeCell ref="QMI27:QMJ27"/>
    <mergeCell ref="QMK27:QML27"/>
    <mergeCell ref="QMM27:QMN27"/>
    <mergeCell ref="QMO27:QMP27"/>
    <mergeCell ref="QMQ27:QMR27"/>
    <mergeCell ref="QLU27:QLV27"/>
    <mergeCell ref="QLW27:QLX27"/>
    <mergeCell ref="QLY27:QLZ27"/>
    <mergeCell ref="QMA27:QMB27"/>
    <mergeCell ref="QMC27:QMD27"/>
    <mergeCell ref="QME27:QMF27"/>
    <mergeCell ref="QLI27:QLJ27"/>
    <mergeCell ref="QLK27:QLL27"/>
    <mergeCell ref="QLM27:QLN27"/>
    <mergeCell ref="QLO27:QLP27"/>
    <mergeCell ref="QLQ27:QLR27"/>
    <mergeCell ref="QLS27:QLT27"/>
    <mergeCell ref="QKW27:QKX27"/>
    <mergeCell ref="QKY27:QKZ27"/>
    <mergeCell ref="QLA27:QLB27"/>
    <mergeCell ref="QLC27:QLD27"/>
    <mergeCell ref="QLE27:QLF27"/>
    <mergeCell ref="QLG27:QLH27"/>
    <mergeCell ref="QKK27:QKL27"/>
    <mergeCell ref="QKM27:QKN27"/>
    <mergeCell ref="QKO27:QKP27"/>
    <mergeCell ref="QKQ27:QKR27"/>
    <mergeCell ref="QKS27:QKT27"/>
    <mergeCell ref="QKU27:QKV27"/>
    <mergeCell ref="QJY27:QJZ27"/>
    <mergeCell ref="QKA27:QKB27"/>
    <mergeCell ref="QKC27:QKD27"/>
    <mergeCell ref="QKE27:QKF27"/>
    <mergeCell ref="QKG27:QKH27"/>
    <mergeCell ref="QKI27:QKJ27"/>
    <mergeCell ref="QPA27:QPB27"/>
    <mergeCell ref="QPC27:QPD27"/>
    <mergeCell ref="QPE27:QPF27"/>
    <mergeCell ref="QPG27:QPH27"/>
    <mergeCell ref="QPI27:QPJ27"/>
    <mergeCell ref="QPK27:QPL27"/>
    <mergeCell ref="QOO27:QOP27"/>
    <mergeCell ref="QOQ27:QOR27"/>
    <mergeCell ref="QOS27:QOT27"/>
    <mergeCell ref="QOU27:QOV27"/>
    <mergeCell ref="QOW27:QOX27"/>
    <mergeCell ref="QOY27:QOZ27"/>
    <mergeCell ref="QOC27:QOD27"/>
    <mergeCell ref="QOE27:QOF27"/>
    <mergeCell ref="QOG27:QOH27"/>
    <mergeCell ref="QOI27:QOJ27"/>
    <mergeCell ref="QOK27:QOL27"/>
    <mergeCell ref="QOM27:QON27"/>
    <mergeCell ref="QNQ27:QNR27"/>
    <mergeCell ref="QNS27:QNT27"/>
    <mergeCell ref="QNU27:QNV27"/>
    <mergeCell ref="QNW27:QNX27"/>
    <mergeCell ref="QNY27:QNZ27"/>
    <mergeCell ref="QOA27:QOB27"/>
    <mergeCell ref="QNE27:QNF27"/>
    <mergeCell ref="QNG27:QNH27"/>
    <mergeCell ref="QNI27:QNJ27"/>
    <mergeCell ref="QNK27:QNL27"/>
    <mergeCell ref="QNM27:QNN27"/>
    <mergeCell ref="QNO27:QNP27"/>
    <mergeCell ref="QMS27:QMT27"/>
    <mergeCell ref="QMU27:QMV27"/>
    <mergeCell ref="QMW27:QMX27"/>
    <mergeCell ref="QMY27:QMZ27"/>
    <mergeCell ref="QNA27:QNB27"/>
    <mergeCell ref="QNC27:QND27"/>
    <mergeCell ref="QRU27:QRV27"/>
    <mergeCell ref="QRW27:QRX27"/>
    <mergeCell ref="QRY27:QRZ27"/>
    <mergeCell ref="QSA27:QSB27"/>
    <mergeCell ref="QSC27:QSD27"/>
    <mergeCell ref="QSE27:QSF27"/>
    <mergeCell ref="QRI27:QRJ27"/>
    <mergeCell ref="QRK27:QRL27"/>
    <mergeCell ref="QRM27:QRN27"/>
    <mergeCell ref="QRO27:QRP27"/>
    <mergeCell ref="QRQ27:QRR27"/>
    <mergeCell ref="QRS27:QRT27"/>
    <mergeCell ref="QQW27:QQX27"/>
    <mergeCell ref="QQY27:QQZ27"/>
    <mergeCell ref="QRA27:QRB27"/>
    <mergeCell ref="QRC27:QRD27"/>
    <mergeCell ref="QRE27:QRF27"/>
    <mergeCell ref="QRG27:QRH27"/>
    <mergeCell ref="QQK27:QQL27"/>
    <mergeCell ref="QQM27:QQN27"/>
    <mergeCell ref="QQO27:QQP27"/>
    <mergeCell ref="QQQ27:QQR27"/>
    <mergeCell ref="QQS27:QQT27"/>
    <mergeCell ref="QQU27:QQV27"/>
    <mergeCell ref="QPY27:QPZ27"/>
    <mergeCell ref="QQA27:QQB27"/>
    <mergeCell ref="QQC27:QQD27"/>
    <mergeCell ref="QQE27:QQF27"/>
    <mergeCell ref="QQG27:QQH27"/>
    <mergeCell ref="QQI27:QQJ27"/>
    <mergeCell ref="QPM27:QPN27"/>
    <mergeCell ref="QPO27:QPP27"/>
    <mergeCell ref="QPQ27:QPR27"/>
    <mergeCell ref="QPS27:QPT27"/>
    <mergeCell ref="QPU27:QPV27"/>
    <mergeCell ref="QPW27:QPX27"/>
    <mergeCell ref="QUO27:QUP27"/>
    <mergeCell ref="QUQ27:QUR27"/>
    <mergeCell ref="QUS27:QUT27"/>
    <mergeCell ref="QUU27:QUV27"/>
    <mergeCell ref="QUW27:QUX27"/>
    <mergeCell ref="QUY27:QUZ27"/>
    <mergeCell ref="QUC27:QUD27"/>
    <mergeCell ref="QUE27:QUF27"/>
    <mergeCell ref="QUG27:QUH27"/>
    <mergeCell ref="QUI27:QUJ27"/>
    <mergeCell ref="QUK27:QUL27"/>
    <mergeCell ref="QUM27:QUN27"/>
    <mergeCell ref="QTQ27:QTR27"/>
    <mergeCell ref="QTS27:QTT27"/>
    <mergeCell ref="QTU27:QTV27"/>
    <mergeCell ref="QTW27:QTX27"/>
    <mergeCell ref="QTY27:QTZ27"/>
    <mergeCell ref="QUA27:QUB27"/>
    <mergeCell ref="QTE27:QTF27"/>
    <mergeCell ref="QTG27:QTH27"/>
    <mergeCell ref="QTI27:QTJ27"/>
    <mergeCell ref="QTK27:QTL27"/>
    <mergeCell ref="QTM27:QTN27"/>
    <mergeCell ref="QTO27:QTP27"/>
    <mergeCell ref="QSS27:QST27"/>
    <mergeCell ref="QSU27:QSV27"/>
    <mergeCell ref="QSW27:QSX27"/>
    <mergeCell ref="QSY27:QSZ27"/>
    <mergeCell ref="QTA27:QTB27"/>
    <mergeCell ref="QTC27:QTD27"/>
    <mergeCell ref="QSG27:QSH27"/>
    <mergeCell ref="QSI27:QSJ27"/>
    <mergeCell ref="QSK27:QSL27"/>
    <mergeCell ref="QSM27:QSN27"/>
    <mergeCell ref="QSO27:QSP27"/>
    <mergeCell ref="QSQ27:QSR27"/>
    <mergeCell ref="QXI27:QXJ27"/>
    <mergeCell ref="QXK27:QXL27"/>
    <mergeCell ref="QXM27:QXN27"/>
    <mergeCell ref="QXO27:QXP27"/>
    <mergeCell ref="QXQ27:QXR27"/>
    <mergeCell ref="QXS27:QXT27"/>
    <mergeCell ref="QWW27:QWX27"/>
    <mergeCell ref="QWY27:QWZ27"/>
    <mergeCell ref="QXA27:QXB27"/>
    <mergeCell ref="QXC27:QXD27"/>
    <mergeCell ref="QXE27:QXF27"/>
    <mergeCell ref="QXG27:QXH27"/>
    <mergeCell ref="QWK27:QWL27"/>
    <mergeCell ref="QWM27:QWN27"/>
    <mergeCell ref="QWO27:QWP27"/>
    <mergeCell ref="QWQ27:QWR27"/>
    <mergeCell ref="QWS27:QWT27"/>
    <mergeCell ref="QWU27:QWV27"/>
    <mergeCell ref="QVY27:QVZ27"/>
    <mergeCell ref="QWA27:QWB27"/>
    <mergeCell ref="QWC27:QWD27"/>
    <mergeCell ref="QWE27:QWF27"/>
    <mergeCell ref="QWG27:QWH27"/>
    <mergeCell ref="QWI27:QWJ27"/>
    <mergeCell ref="QVM27:QVN27"/>
    <mergeCell ref="QVO27:QVP27"/>
    <mergeCell ref="QVQ27:QVR27"/>
    <mergeCell ref="QVS27:QVT27"/>
    <mergeCell ref="QVU27:QVV27"/>
    <mergeCell ref="QVW27:QVX27"/>
    <mergeCell ref="QVA27:QVB27"/>
    <mergeCell ref="QVC27:QVD27"/>
    <mergeCell ref="QVE27:QVF27"/>
    <mergeCell ref="QVG27:QVH27"/>
    <mergeCell ref="QVI27:QVJ27"/>
    <mergeCell ref="QVK27:QVL27"/>
    <mergeCell ref="RAC27:RAD27"/>
    <mergeCell ref="RAE27:RAF27"/>
    <mergeCell ref="RAG27:RAH27"/>
    <mergeCell ref="RAI27:RAJ27"/>
    <mergeCell ref="RAK27:RAL27"/>
    <mergeCell ref="RAM27:RAN27"/>
    <mergeCell ref="QZQ27:QZR27"/>
    <mergeCell ref="QZS27:QZT27"/>
    <mergeCell ref="QZU27:QZV27"/>
    <mergeCell ref="QZW27:QZX27"/>
    <mergeCell ref="QZY27:QZZ27"/>
    <mergeCell ref="RAA27:RAB27"/>
    <mergeCell ref="QZE27:QZF27"/>
    <mergeCell ref="QZG27:QZH27"/>
    <mergeCell ref="QZI27:QZJ27"/>
    <mergeCell ref="QZK27:QZL27"/>
    <mergeCell ref="QZM27:QZN27"/>
    <mergeCell ref="QZO27:QZP27"/>
    <mergeCell ref="QYS27:QYT27"/>
    <mergeCell ref="QYU27:QYV27"/>
    <mergeCell ref="QYW27:QYX27"/>
    <mergeCell ref="QYY27:QYZ27"/>
    <mergeCell ref="QZA27:QZB27"/>
    <mergeCell ref="QZC27:QZD27"/>
    <mergeCell ref="QYG27:QYH27"/>
    <mergeCell ref="QYI27:QYJ27"/>
    <mergeCell ref="QYK27:QYL27"/>
    <mergeCell ref="QYM27:QYN27"/>
    <mergeCell ref="QYO27:QYP27"/>
    <mergeCell ref="QYQ27:QYR27"/>
    <mergeCell ref="QXU27:QXV27"/>
    <mergeCell ref="QXW27:QXX27"/>
    <mergeCell ref="QXY27:QXZ27"/>
    <mergeCell ref="QYA27:QYB27"/>
    <mergeCell ref="QYC27:QYD27"/>
    <mergeCell ref="QYE27:QYF27"/>
    <mergeCell ref="RCW27:RCX27"/>
    <mergeCell ref="RCY27:RCZ27"/>
    <mergeCell ref="RDA27:RDB27"/>
    <mergeCell ref="RDC27:RDD27"/>
    <mergeCell ref="RDE27:RDF27"/>
    <mergeCell ref="RDG27:RDH27"/>
    <mergeCell ref="RCK27:RCL27"/>
    <mergeCell ref="RCM27:RCN27"/>
    <mergeCell ref="RCO27:RCP27"/>
    <mergeCell ref="RCQ27:RCR27"/>
    <mergeCell ref="RCS27:RCT27"/>
    <mergeCell ref="RCU27:RCV27"/>
    <mergeCell ref="RBY27:RBZ27"/>
    <mergeCell ref="RCA27:RCB27"/>
    <mergeCell ref="RCC27:RCD27"/>
    <mergeCell ref="RCE27:RCF27"/>
    <mergeCell ref="RCG27:RCH27"/>
    <mergeCell ref="RCI27:RCJ27"/>
    <mergeCell ref="RBM27:RBN27"/>
    <mergeCell ref="RBO27:RBP27"/>
    <mergeCell ref="RBQ27:RBR27"/>
    <mergeCell ref="RBS27:RBT27"/>
    <mergeCell ref="RBU27:RBV27"/>
    <mergeCell ref="RBW27:RBX27"/>
    <mergeCell ref="RBA27:RBB27"/>
    <mergeCell ref="RBC27:RBD27"/>
    <mergeCell ref="RBE27:RBF27"/>
    <mergeCell ref="RBG27:RBH27"/>
    <mergeCell ref="RBI27:RBJ27"/>
    <mergeCell ref="RBK27:RBL27"/>
    <mergeCell ref="RAO27:RAP27"/>
    <mergeCell ref="RAQ27:RAR27"/>
    <mergeCell ref="RAS27:RAT27"/>
    <mergeCell ref="RAU27:RAV27"/>
    <mergeCell ref="RAW27:RAX27"/>
    <mergeCell ref="RAY27:RAZ27"/>
    <mergeCell ref="RFQ27:RFR27"/>
    <mergeCell ref="RFS27:RFT27"/>
    <mergeCell ref="RFU27:RFV27"/>
    <mergeCell ref="RFW27:RFX27"/>
    <mergeCell ref="RFY27:RFZ27"/>
    <mergeCell ref="RGA27:RGB27"/>
    <mergeCell ref="RFE27:RFF27"/>
    <mergeCell ref="RFG27:RFH27"/>
    <mergeCell ref="RFI27:RFJ27"/>
    <mergeCell ref="RFK27:RFL27"/>
    <mergeCell ref="RFM27:RFN27"/>
    <mergeCell ref="RFO27:RFP27"/>
    <mergeCell ref="RES27:RET27"/>
    <mergeCell ref="REU27:REV27"/>
    <mergeCell ref="REW27:REX27"/>
    <mergeCell ref="REY27:REZ27"/>
    <mergeCell ref="RFA27:RFB27"/>
    <mergeCell ref="RFC27:RFD27"/>
    <mergeCell ref="REG27:REH27"/>
    <mergeCell ref="REI27:REJ27"/>
    <mergeCell ref="REK27:REL27"/>
    <mergeCell ref="REM27:REN27"/>
    <mergeCell ref="REO27:REP27"/>
    <mergeCell ref="REQ27:RER27"/>
    <mergeCell ref="RDU27:RDV27"/>
    <mergeCell ref="RDW27:RDX27"/>
    <mergeCell ref="RDY27:RDZ27"/>
    <mergeCell ref="REA27:REB27"/>
    <mergeCell ref="REC27:RED27"/>
    <mergeCell ref="REE27:REF27"/>
    <mergeCell ref="RDI27:RDJ27"/>
    <mergeCell ref="RDK27:RDL27"/>
    <mergeCell ref="RDM27:RDN27"/>
    <mergeCell ref="RDO27:RDP27"/>
    <mergeCell ref="RDQ27:RDR27"/>
    <mergeCell ref="RDS27:RDT27"/>
    <mergeCell ref="RIK27:RIL27"/>
    <mergeCell ref="RIM27:RIN27"/>
    <mergeCell ref="RIO27:RIP27"/>
    <mergeCell ref="RIQ27:RIR27"/>
    <mergeCell ref="RIS27:RIT27"/>
    <mergeCell ref="RIU27:RIV27"/>
    <mergeCell ref="RHY27:RHZ27"/>
    <mergeCell ref="RIA27:RIB27"/>
    <mergeCell ref="RIC27:RID27"/>
    <mergeCell ref="RIE27:RIF27"/>
    <mergeCell ref="RIG27:RIH27"/>
    <mergeCell ref="RII27:RIJ27"/>
    <mergeCell ref="RHM27:RHN27"/>
    <mergeCell ref="RHO27:RHP27"/>
    <mergeCell ref="RHQ27:RHR27"/>
    <mergeCell ref="RHS27:RHT27"/>
    <mergeCell ref="RHU27:RHV27"/>
    <mergeCell ref="RHW27:RHX27"/>
    <mergeCell ref="RHA27:RHB27"/>
    <mergeCell ref="RHC27:RHD27"/>
    <mergeCell ref="RHE27:RHF27"/>
    <mergeCell ref="RHG27:RHH27"/>
    <mergeCell ref="RHI27:RHJ27"/>
    <mergeCell ref="RHK27:RHL27"/>
    <mergeCell ref="RGO27:RGP27"/>
    <mergeCell ref="RGQ27:RGR27"/>
    <mergeCell ref="RGS27:RGT27"/>
    <mergeCell ref="RGU27:RGV27"/>
    <mergeCell ref="RGW27:RGX27"/>
    <mergeCell ref="RGY27:RGZ27"/>
    <mergeCell ref="RGC27:RGD27"/>
    <mergeCell ref="RGE27:RGF27"/>
    <mergeCell ref="RGG27:RGH27"/>
    <mergeCell ref="RGI27:RGJ27"/>
    <mergeCell ref="RGK27:RGL27"/>
    <mergeCell ref="RGM27:RGN27"/>
    <mergeCell ref="RLE27:RLF27"/>
    <mergeCell ref="RLG27:RLH27"/>
    <mergeCell ref="RLI27:RLJ27"/>
    <mergeCell ref="RLK27:RLL27"/>
    <mergeCell ref="RLM27:RLN27"/>
    <mergeCell ref="RLO27:RLP27"/>
    <mergeCell ref="RKS27:RKT27"/>
    <mergeCell ref="RKU27:RKV27"/>
    <mergeCell ref="RKW27:RKX27"/>
    <mergeCell ref="RKY27:RKZ27"/>
    <mergeCell ref="RLA27:RLB27"/>
    <mergeCell ref="RLC27:RLD27"/>
    <mergeCell ref="RKG27:RKH27"/>
    <mergeCell ref="RKI27:RKJ27"/>
    <mergeCell ref="RKK27:RKL27"/>
    <mergeCell ref="RKM27:RKN27"/>
    <mergeCell ref="RKO27:RKP27"/>
    <mergeCell ref="RKQ27:RKR27"/>
    <mergeCell ref="RJU27:RJV27"/>
    <mergeCell ref="RJW27:RJX27"/>
    <mergeCell ref="RJY27:RJZ27"/>
    <mergeCell ref="RKA27:RKB27"/>
    <mergeCell ref="RKC27:RKD27"/>
    <mergeCell ref="RKE27:RKF27"/>
    <mergeCell ref="RJI27:RJJ27"/>
    <mergeCell ref="RJK27:RJL27"/>
    <mergeCell ref="RJM27:RJN27"/>
    <mergeCell ref="RJO27:RJP27"/>
    <mergeCell ref="RJQ27:RJR27"/>
    <mergeCell ref="RJS27:RJT27"/>
    <mergeCell ref="RIW27:RIX27"/>
    <mergeCell ref="RIY27:RIZ27"/>
    <mergeCell ref="RJA27:RJB27"/>
    <mergeCell ref="RJC27:RJD27"/>
    <mergeCell ref="RJE27:RJF27"/>
    <mergeCell ref="RJG27:RJH27"/>
    <mergeCell ref="RNY27:RNZ27"/>
    <mergeCell ref="ROA27:ROB27"/>
    <mergeCell ref="ROC27:ROD27"/>
    <mergeCell ref="ROE27:ROF27"/>
    <mergeCell ref="ROG27:ROH27"/>
    <mergeCell ref="ROI27:ROJ27"/>
    <mergeCell ref="RNM27:RNN27"/>
    <mergeCell ref="RNO27:RNP27"/>
    <mergeCell ref="RNQ27:RNR27"/>
    <mergeCell ref="RNS27:RNT27"/>
    <mergeCell ref="RNU27:RNV27"/>
    <mergeCell ref="RNW27:RNX27"/>
    <mergeCell ref="RNA27:RNB27"/>
    <mergeCell ref="RNC27:RND27"/>
    <mergeCell ref="RNE27:RNF27"/>
    <mergeCell ref="RNG27:RNH27"/>
    <mergeCell ref="RNI27:RNJ27"/>
    <mergeCell ref="RNK27:RNL27"/>
    <mergeCell ref="RMO27:RMP27"/>
    <mergeCell ref="RMQ27:RMR27"/>
    <mergeCell ref="RMS27:RMT27"/>
    <mergeCell ref="RMU27:RMV27"/>
    <mergeCell ref="RMW27:RMX27"/>
    <mergeCell ref="RMY27:RMZ27"/>
    <mergeCell ref="RMC27:RMD27"/>
    <mergeCell ref="RME27:RMF27"/>
    <mergeCell ref="RMG27:RMH27"/>
    <mergeCell ref="RMI27:RMJ27"/>
    <mergeCell ref="RMK27:RML27"/>
    <mergeCell ref="RMM27:RMN27"/>
    <mergeCell ref="RLQ27:RLR27"/>
    <mergeCell ref="RLS27:RLT27"/>
    <mergeCell ref="RLU27:RLV27"/>
    <mergeCell ref="RLW27:RLX27"/>
    <mergeCell ref="RLY27:RLZ27"/>
    <mergeCell ref="RMA27:RMB27"/>
    <mergeCell ref="RQS27:RQT27"/>
    <mergeCell ref="RQU27:RQV27"/>
    <mergeCell ref="RQW27:RQX27"/>
    <mergeCell ref="RQY27:RQZ27"/>
    <mergeCell ref="RRA27:RRB27"/>
    <mergeCell ref="RRC27:RRD27"/>
    <mergeCell ref="RQG27:RQH27"/>
    <mergeCell ref="RQI27:RQJ27"/>
    <mergeCell ref="RQK27:RQL27"/>
    <mergeCell ref="RQM27:RQN27"/>
    <mergeCell ref="RQO27:RQP27"/>
    <mergeCell ref="RQQ27:RQR27"/>
    <mergeCell ref="RPU27:RPV27"/>
    <mergeCell ref="RPW27:RPX27"/>
    <mergeCell ref="RPY27:RPZ27"/>
    <mergeCell ref="RQA27:RQB27"/>
    <mergeCell ref="RQC27:RQD27"/>
    <mergeCell ref="RQE27:RQF27"/>
    <mergeCell ref="RPI27:RPJ27"/>
    <mergeCell ref="RPK27:RPL27"/>
    <mergeCell ref="RPM27:RPN27"/>
    <mergeCell ref="RPO27:RPP27"/>
    <mergeCell ref="RPQ27:RPR27"/>
    <mergeCell ref="RPS27:RPT27"/>
    <mergeCell ref="ROW27:ROX27"/>
    <mergeCell ref="ROY27:ROZ27"/>
    <mergeCell ref="RPA27:RPB27"/>
    <mergeCell ref="RPC27:RPD27"/>
    <mergeCell ref="RPE27:RPF27"/>
    <mergeCell ref="RPG27:RPH27"/>
    <mergeCell ref="ROK27:ROL27"/>
    <mergeCell ref="ROM27:RON27"/>
    <mergeCell ref="ROO27:ROP27"/>
    <mergeCell ref="ROQ27:ROR27"/>
    <mergeCell ref="ROS27:ROT27"/>
    <mergeCell ref="ROU27:ROV27"/>
    <mergeCell ref="RTM27:RTN27"/>
    <mergeCell ref="RTO27:RTP27"/>
    <mergeCell ref="RTQ27:RTR27"/>
    <mergeCell ref="RTS27:RTT27"/>
    <mergeCell ref="RTU27:RTV27"/>
    <mergeCell ref="RTW27:RTX27"/>
    <mergeCell ref="RTA27:RTB27"/>
    <mergeCell ref="RTC27:RTD27"/>
    <mergeCell ref="RTE27:RTF27"/>
    <mergeCell ref="RTG27:RTH27"/>
    <mergeCell ref="RTI27:RTJ27"/>
    <mergeCell ref="RTK27:RTL27"/>
    <mergeCell ref="RSO27:RSP27"/>
    <mergeCell ref="RSQ27:RSR27"/>
    <mergeCell ref="RSS27:RST27"/>
    <mergeCell ref="RSU27:RSV27"/>
    <mergeCell ref="RSW27:RSX27"/>
    <mergeCell ref="RSY27:RSZ27"/>
    <mergeCell ref="RSC27:RSD27"/>
    <mergeCell ref="RSE27:RSF27"/>
    <mergeCell ref="RSG27:RSH27"/>
    <mergeCell ref="RSI27:RSJ27"/>
    <mergeCell ref="RSK27:RSL27"/>
    <mergeCell ref="RSM27:RSN27"/>
    <mergeCell ref="RRQ27:RRR27"/>
    <mergeCell ref="RRS27:RRT27"/>
    <mergeCell ref="RRU27:RRV27"/>
    <mergeCell ref="RRW27:RRX27"/>
    <mergeCell ref="RRY27:RRZ27"/>
    <mergeCell ref="RSA27:RSB27"/>
    <mergeCell ref="RRE27:RRF27"/>
    <mergeCell ref="RRG27:RRH27"/>
    <mergeCell ref="RRI27:RRJ27"/>
    <mergeCell ref="RRK27:RRL27"/>
    <mergeCell ref="RRM27:RRN27"/>
    <mergeCell ref="RRO27:RRP27"/>
    <mergeCell ref="RWG27:RWH27"/>
    <mergeCell ref="RWI27:RWJ27"/>
    <mergeCell ref="RWK27:RWL27"/>
    <mergeCell ref="RWM27:RWN27"/>
    <mergeCell ref="RWO27:RWP27"/>
    <mergeCell ref="RWQ27:RWR27"/>
    <mergeCell ref="RVU27:RVV27"/>
    <mergeCell ref="RVW27:RVX27"/>
    <mergeCell ref="RVY27:RVZ27"/>
    <mergeCell ref="RWA27:RWB27"/>
    <mergeCell ref="RWC27:RWD27"/>
    <mergeCell ref="RWE27:RWF27"/>
    <mergeCell ref="RVI27:RVJ27"/>
    <mergeCell ref="RVK27:RVL27"/>
    <mergeCell ref="RVM27:RVN27"/>
    <mergeCell ref="RVO27:RVP27"/>
    <mergeCell ref="RVQ27:RVR27"/>
    <mergeCell ref="RVS27:RVT27"/>
    <mergeCell ref="RUW27:RUX27"/>
    <mergeCell ref="RUY27:RUZ27"/>
    <mergeCell ref="RVA27:RVB27"/>
    <mergeCell ref="RVC27:RVD27"/>
    <mergeCell ref="RVE27:RVF27"/>
    <mergeCell ref="RVG27:RVH27"/>
    <mergeCell ref="RUK27:RUL27"/>
    <mergeCell ref="RUM27:RUN27"/>
    <mergeCell ref="RUO27:RUP27"/>
    <mergeCell ref="RUQ27:RUR27"/>
    <mergeCell ref="RUS27:RUT27"/>
    <mergeCell ref="RUU27:RUV27"/>
    <mergeCell ref="RTY27:RTZ27"/>
    <mergeCell ref="RUA27:RUB27"/>
    <mergeCell ref="RUC27:RUD27"/>
    <mergeCell ref="RUE27:RUF27"/>
    <mergeCell ref="RUG27:RUH27"/>
    <mergeCell ref="RUI27:RUJ27"/>
    <mergeCell ref="RZA27:RZB27"/>
    <mergeCell ref="RZC27:RZD27"/>
    <mergeCell ref="RZE27:RZF27"/>
    <mergeCell ref="RZG27:RZH27"/>
    <mergeCell ref="RZI27:RZJ27"/>
    <mergeCell ref="RZK27:RZL27"/>
    <mergeCell ref="RYO27:RYP27"/>
    <mergeCell ref="RYQ27:RYR27"/>
    <mergeCell ref="RYS27:RYT27"/>
    <mergeCell ref="RYU27:RYV27"/>
    <mergeCell ref="RYW27:RYX27"/>
    <mergeCell ref="RYY27:RYZ27"/>
    <mergeCell ref="RYC27:RYD27"/>
    <mergeCell ref="RYE27:RYF27"/>
    <mergeCell ref="RYG27:RYH27"/>
    <mergeCell ref="RYI27:RYJ27"/>
    <mergeCell ref="RYK27:RYL27"/>
    <mergeCell ref="RYM27:RYN27"/>
    <mergeCell ref="RXQ27:RXR27"/>
    <mergeCell ref="RXS27:RXT27"/>
    <mergeCell ref="RXU27:RXV27"/>
    <mergeCell ref="RXW27:RXX27"/>
    <mergeCell ref="RXY27:RXZ27"/>
    <mergeCell ref="RYA27:RYB27"/>
    <mergeCell ref="RXE27:RXF27"/>
    <mergeCell ref="RXG27:RXH27"/>
    <mergeCell ref="RXI27:RXJ27"/>
    <mergeCell ref="RXK27:RXL27"/>
    <mergeCell ref="RXM27:RXN27"/>
    <mergeCell ref="RXO27:RXP27"/>
    <mergeCell ref="RWS27:RWT27"/>
    <mergeCell ref="RWU27:RWV27"/>
    <mergeCell ref="RWW27:RWX27"/>
    <mergeCell ref="RWY27:RWZ27"/>
    <mergeCell ref="RXA27:RXB27"/>
    <mergeCell ref="RXC27:RXD27"/>
    <mergeCell ref="SBU27:SBV27"/>
    <mergeCell ref="SBW27:SBX27"/>
    <mergeCell ref="SBY27:SBZ27"/>
    <mergeCell ref="SCA27:SCB27"/>
    <mergeCell ref="SCC27:SCD27"/>
    <mergeCell ref="SCE27:SCF27"/>
    <mergeCell ref="SBI27:SBJ27"/>
    <mergeCell ref="SBK27:SBL27"/>
    <mergeCell ref="SBM27:SBN27"/>
    <mergeCell ref="SBO27:SBP27"/>
    <mergeCell ref="SBQ27:SBR27"/>
    <mergeCell ref="SBS27:SBT27"/>
    <mergeCell ref="SAW27:SAX27"/>
    <mergeCell ref="SAY27:SAZ27"/>
    <mergeCell ref="SBA27:SBB27"/>
    <mergeCell ref="SBC27:SBD27"/>
    <mergeCell ref="SBE27:SBF27"/>
    <mergeCell ref="SBG27:SBH27"/>
    <mergeCell ref="SAK27:SAL27"/>
    <mergeCell ref="SAM27:SAN27"/>
    <mergeCell ref="SAO27:SAP27"/>
    <mergeCell ref="SAQ27:SAR27"/>
    <mergeCell ref="SAS27:SAT27"/>
    <mergeCell ref="SAU27:SAV27"/>
    <mergeCell ref="RZY27:RZZ27"/>
    <mergeCell ref="SAA27:SAB27"/>
    <mergeCell ref="SAC27:SAD27"/>
    <mergeCell ref="SAE27:SAF27"/>
    <mergeCell ref="SAG27:SAH27"/>
    <mergeCell ref="SAI27:SAJ27"/>
    <mergeCell ref="RZM27:RZN27"/>
    <mergeCell ref="RZO27:RZP27"/>
    <mergeCell ref="RZQ27:RZR27"/>
    <mergeCell ref="RZS27:RZT27"/>
    <mergeCell ref="RZU27:RZV27"/>
    <mergeCell ref="RZW27:RZX27"/>
    <mergeCell ref="SEO27:SEP27"/>
    <mergeCell ref="SEQ27:SER27"/>
    <mergeCell ref="SES27:SET27"/>
    <mergeCell ref="SEU27:SEV27"/>
    <mergeCell ref="SEW27:SEX27"/>
    <mergeCell ref="SEY27:SEZ27"/>
    <mergeCell ref="SEC27:SED27"/>
    <mergeCell ref="SEE27:SEF27"/>
    <mergeCell ref="SEG27:SEH27"/>
    <mergeCell ref="SEI27:SEJ27"/>
    <mergeCell ref="SEK27:SEL27"/>
    <mergeCell ref="SEM27:SEN27"/>
    <mergeCell ref="SDQ27:SDR27"/>
    <mergeCell ref="SDS27:SDT27"/>
    <mergeCell ref="SDU27:SDV27"/>
    <mergeCell ref="SDW27:SDX27"/>
    <mergeCell ref="SDY27:SDZ27"/>
    <mergeCell ref="SEA27:SEB27"/>
    <mergeCell ref="SDE27:SDF27"/>
    <mergeCell ref="SDG27:SDH27"/>
    <mergeCell ref="SDI27:SDJ27"/>
    <mergeCell ref="SDK27:SDL27"/>
    <mergeCell ref="SDM27:SDN27"/>
    <mergeCell ref="SDO27:SDP27"/>
    <mergeCell ref="SCS27:SCT27"/>
    <mergeCell ref="SCU27:SCV27"/>
    <mergeCell ref="SCW27:SCX27"/>
    <mergeCell ref="SCY27:SCZ27"/>
    <mergeCell ref="SDA27:SDB27"/>
    <mergeCell ref="SDC27:SDD27"/>
    <mergeCell ref="SCG27:SCH27"/>
    <mergeCell ref="SCI27:SCJ27"/>
    <mergeCell ref="SCK27:SCL27"/>
    <mergeCell ref="SCM27:SCN27"/>
    <mergeCell ref="SCO27:SCP27"/>
    <mergeCell ref="SCQ27:SCR27"/>
    <mergeCell ref="SHI27:SHJ27"/>
    <mergeCell ref="SHK27:SHL27"/>
    <mergeCell ref="SHM27:SHN27"/>
    <mergeCell ref="SHO27:SHP27"/>
    <mergeCell ref="SHQ27:SHR27"/>
    <mergeCell ref="SHS27:SHT27"/>
    <mergeCell ref="SGW27:SGX27"/>
    <mergeCell ref="SGY27:SGZ27"/>
    <mergeCell ref="SHA27:SHB27"/>
    <mergeCell ref="SHC27:SHD27"/>
    <mergeCell ref="SHE27:SHF27"/>
    <mergeCell ref="SHG27:SHH27"/>
    <mergeCell ref="SGK27:SGL27"/>
    <mergeCell ref="SGM27:SGN27"/>
    <mergeCell ref="SGO27:SGP27"/>
    <mergeCell ref="SGQ27:SGR27"/>
    <mergeCell ref="SGS27:SGT27"/>
    <mergeCell ref="SGU27:SGV27"/>
    <mergeCell ref="SFY27:SFZ27"/>
    <mergeCell ref="SGA27:SGB27"/>
    <mergeCell ref="SGC27:SGD27"/>
    <mergeCell ref="SGE27:SGF27"/>
    <mergeCell ref="SGG27:SGH27"/>
    <mergeCell ref="SGI27:SGJ27"/>
    <mergeCell ref="SFM27:SFN27"/>
    <mergeCell ref="SFO27:SFP27"/>
    <mergeCell ref="SFQ27:SFR27"/>
    <mergeCell ref="SFS27:SFT27"/>
    <mergeCell ref="SFU27:SFV27"/>
    <mergeCell ref="SFW27:SFX27"/>
    <mergeCell ref="SFA27:SFB27"/>
    <mergeCell ref="SFC27:SFD27"/>
    <mergeCell ref="SFE27:SFF27"/>
    <mergeCell ref="SFG27:SFH27"/>
    <mergeCell ref="SFI27:SFJ27"/>
    <mergeCell ref="SFK27:SFL27"/>
    <mergeCell ref="SKC27:SKD27"/>
    <mergeCell ref="SKE27:SKF27"/>
    <mergeCell ref="SKG27:SKH27"/>
    <mergeCell ref="SKI27:SKJ27"/>
    <mergeCell ref="SKK27:SKL27"/>
    <mergeCell ref="SKM27:SKN27"/>
    <mergeCell ref="SJQ27:SJR27"/>
    <mergeCell ref="SJS27:SJT27"/>
    <mergeCell ref="SJU27:SJV27"/>
    <mergeCell ref="SJW27:SJX27"/>
    <mergeCell ref="SJY27:SJZ27"/>
    <mergeCell ref="SKA27:SKB27"/>
    <mergeCell ref="SJE27:SJF27"/>
    <mergeCell ref="SJG27:SJH27"/>
    <mergeCell ref="SJI27:SJJ27"/>
    <mergeCell ref="SJK27:SJL27"/>
    <mergeCell ref="SJM27:SJN27"/>
    <mergeCell ref="SJO27:SJP27"/>
    <mergeCell ref="SIS27:SIT27"/>
    <mergeCell ref="SIU27:SIV27"/>
    <mergeCell ref="SIW27:SIX27"/>
    <mergeCell ref="SIY27:SIZ27"/>
    <mergeCell ref="SJA27:SJB27"/>
    <mergeCell ref="SJC27:SJD27"/>
    <mergeCell ref="SIG27:SIH27"/>
    <mergeCell ref="SII27:SIJ27"/>
    <mergeCell ref="SIK27:SIL27"/>
    <mergeCell ref="SIM27:SIN27"/>
    <mergeCell ref="SIO27:SIP27"/>
    <mergeCell ref="SIQ27:SIR27"/>
    <mergeCell ref="SHU27:SHV27"/>
    <mergeCell ref="SHW27:SHX27"/>
    <mergeCell ref="SHY27:SHZ27"/>
    <mergeCell ref="SIA27:SIB27"/>
    <mergeCell ref="SIC27:SID27"/>
    <mergeCell ref="SIE27:SIF27"/>
    <mergeCell ref="SMW27:SMX27"/>
    <mergeCell ref="SMY27:SMZ27"/>
    <mergeCell ref="SNA27:SNB27"/>
    <mergeCell ref="SNC27:SND27"/>
    <mergeCell ref="SNE27:SNF27"/>
    <mergeCell ref="SNG27:SNH27"/>
    <mergeCell ref="SMK27:SML27"/>
    <mergeCell ref="SMM27:SMN27"/>
    <mergeCell ref="SMO27:SMP27"/>
    <mergeCell ref="SMQ27:SMR27"/>
    <mergeCell ref="SMS27:SMT27"/>
    <mergeCell ref="SMU27:SMV27"/>
    <mergeCell ref="SLY27:SLZ27"/>
    <mergeCell ref="SMA27:SMB27"/>
    <mergeCell ref="SMC27:SMD27"/>
    <mergeCell ref="SME27:SMF27"/>
    <mergeCell ref="SMG27:SMH27"/>
    <mergeCell ref="SMI27:SMJ27"/>
    <mergeCell ref="SLM27:SLN27"/>
    <mergeCell ref="SLO27:SLP27"/>
    <mergeCell ref="SLQ27:SLR27"/>
    <mergeCell ref="SLS27:SLT27"/>
    <mergeCell ref="SLU27:SLV27"/>
    <mergeCell ref="SLW27:SLX27"/>
    <mergeCell ref="SLA27:SLB27"/>
    <mergeCell ref="SLC27:SLD27"/>
    <mergeCell ref="SLE27:SLF27"/>
    <mergeCell ref="SLG27:SLH27"/>
    <mergeCell ref="SLI27:SLJ27"/>
    <mergeCell ref="SLK27:SLL27"/>
    <mergeCell ref="SKO27:SKP27"/>
    <mergeCell ref="SKQ27:SKR27"/>
    <mergeCell ref="SKS27:SKT27"/>
    <mergeCell ref="SKU27:SKV27"/>
    <mergeCell ref="SKW27:SKX27"/>
    <mergeCell ref="SKY27:SKZ27"/>
    <mergeCell ref="SPQ27:SPR27"/>
    <mergeCell ref="SPS27:SPT27"/>
    <mergeCell ref="SPU27:SPV27"/>
    <mergeCell ref="SPW27:SPX27"/>
    <mergeCell ref="SPY27:SPZ27"/>
    <mergeCell ref="SQA27:SQB27"/>
    <mergeCell ref="SPE27:SPF27"/>
    <mergeCell ref="SPG27:SPH27"/>
    <mergeCell ref="SPI27:SPJ27"/>
    <mergeCell ref="SPK27:SPL27"/>
    <mergeCell ref="SPM27:SPN27"/>
    <mergeCell ref="SPO27:SPP27"/>
    <mergeCell ref="SOS27:SOT27"/>
    <mergeCell ref="SOU27:SOV27"/>
    <mergeCell ref="SOW27:SOX27"/>
    <mergeCell ref="SOY27:SOZ27"/>
    <mergeCell ref="SPA27:SPB27"/>
    <mergeCell ref="SPC27:SPD27"/>
    <mergeCell ref="SOG27:SOH27"/>
    <mergeCell ref="SOI27:SOJ27"/>
    <mergeCell ref="SOK27:SOL27"/>
    <mergeCell ref="SOM27:SON27"/>
    <mergeCell ref="SOO27:SOP27"/>
    <mergeCell ref="SOQ27:SOR27"/>
    <mergeCell ref="SNU27:SNV27"/>
    <mergeCell ref="SNW27:SNX27"/>
    <mergeCell ref="SNY27:SNZ27"/>
    <mergeCell ref="SOA27:SOB27"/>
    <mergeCell ref="SOC27:SOD27"/>
    <mergeCell ref="SOE27:SOF27"/>
    <mergeCell ref="SNI27:SNJ27"/>
    <mergeCell ref="SNK27:SNL27"/>
    <mergeCell ref="SNM27:SNN27"/>
    <mergeCell ref="SNO27:SNP27"/>
    <mergeCell ref="SNQ27:SNR27"/>
    <mergeCell ref="SNS27:SNT27"/>
    <mergeCell ref="SSK27:SSL27"/>
    <mergeCell ref="SSM27:SSN27"/>
    <mergeCell ref="SSO27:SSP27"/>
    <mergeCell ref="SSQ27:SSR27"/>
    <mergeCell ref="SSS27:SST27"/>
    <mergeCell ref="SSU27:SSV27"/>
    <mergeCell ref="SRY27:SRZ27"/>
    <mergeCell ref="SSA27:SSB27"/>
    <mergeCell ref="SSC27:SSD27"/>
    <mergeCell ref="SSE27:SSF27"/>
    <mergeCell ref="SSG27:SSH27"/>
    <mergeCell ref="SSI27:SSJ27"/>
    <mergeCell ref="SRM27:SRN27"/>
    <mergeCell ref="SRO27:SRP27"/>
    <mergeCell ref="SRQ27:SRR27"/>
    <mergeCell ref="SRS27:SRT27"/>
    <mergeCell ref="SRU27:SRV27"/>
    <mergeCell ref="SRW27:SRX27"/>
    <mergeCell ref="SRA27:SRB27"/>
    <mergeCell ref="SRC27:SRD27"/>
    <mergeCell ref="SRE27:SRF27"/>
    <mergeCell ref="SRG27:SRH27"/>
    <mergeCell ref="SRI27:SRJ27"/>
    <mergeCell ref="SRK27:SRL27"/>
    <mergeCell ref="SQO27:SQP27"/>
    <mergeCell ref="SQQ27:SQR27"/>
    <mergeCell ref="SQS27:SQT27"/>
    <mergeCell ref="SQU27:SQV27"/>
    <mergeCell ref="SQW27:SQX27"/>
    <mergeCell ref="SQY27:SQZ27"/>
    <mergeCell ref="SQC27:SQD27"/>
    <mergeCell ref="SQE27:SQF27"/>
    <mergeCell ref="SQG27:SQH27"/>
    <mergeCell ref="SQI27:SQJ27"/>
    <mergeCell ref="SQK27:SQL27"/>
    <mergeCell ref="SQM27:SQN27"/>
    <mergeCell ref="SVE27:SVF27"/>
    <mergeCell ref="SVG27:SVH27"/>
    <mergeCell ref="SVI27:SVJ27"/>
    <mergeCell ref="SVK27:SVL27"/>
    <mergeCell ref="SVM27:SVN27"/>
    <mergeCell ref="SVO27:SVP27"/>
    <mergeCell ref="SUS27:SUT27"/>
    <mergeCell ref="SUU27:SUV27"/>
    <mergeCell ref="SUW27:SUX27"/>
    <mergeCell ref="SUY27:SUZ27"/>
    <mergeCell ref="SVA27:SVB27"/>
    <mergeCell ref="SVC27:SVD27"/>
    <mergeCell ref="SUG27:SUH27"/>
    <mergeCell ref="SUI27:SUJ27"/>
    <mergeCell ref="SUK27:SUL27"/>
    <mergeCell ref="SUM27:SUN27"/>
    <mergeCell ref="SUO27:SUP27"/>
    <mergeCell ref="SUQ27:SUR27"/>
    <mergeCell ref="STU27:STV27"/>
    <mergeCell ref="STW27:STX27"/>
    <mergeCell ref="STY27:STZ27"/>
    <mergeCell ref="SUA27:SUB27"/>
    <mergeCell ref="SUC27:SUD27"/>
    <mergeCell ref="SUE27:SUF27"/>
    <mergeCell ref="STI27:STJ27"/>
    <mergeCell ref="STK27:STL27"/>
    <mergeCell ref="STM27:STN27"/>
    <mergeCell ref="STO27:STP27"/>
    <mergeCell ref="STQ27:STR27"/>
    <mergeCell ref="STS27:STT27"/>
    <mergeCell ref="SSW27:SSX27"/>
    <mergeCell ref="SSY27:SSZ27"/>
    <mergeCell ref="STA27:STB27"/>
    <mergeCell ref="STC27:STD27"/>
    <mergeCell ref="STE27:STF27"/>
    <mergeCell ref="STG27:STH27"/>
    <mergeCell ref="SXY27:SXZ27"/>
    <mergeCell ref="SYA27:SYB27"/>
    <mergeCell ref="SYC27:SYD27"/>
    <mergeCell ref="SYE27:SYF27"/>
    <mergeCell ref="SYG27:SYH27"/>
    <mergeCell ref="SYI27:SYJ27"/>
    <mergeCell ref="SXM27:SXN27"/>
    <mergeCell ref="SXO27:SXP27"/>
    <mergeCell ref="SXQ27:SXR27"/>
    <mergeCell ref="SXS27:SXT27"/>
    <mergeCell ref="SXU27:SXV27"/>
    <mergeCell ref="SXW27:SXX27"/>
    <mergeCell ref="SXA27:SXB27"/>
    <mergeCell ref="SXC27:SXD27"/>
    <mergeCell ref="SXE27:SXF27"/>
    <mergeCell ref="SXG27:SXH27"/>
    <mergeCell ref="SXI27:SXJ27"/>
    <mergeCell ref="SXK27:SXL27"/>
    <mergeCell ref="SWO27:SWP27"/>
    <mergeCell ref="SWQ27:SWR27"/>
    <mergeCell ref="SWS27:SWT27"/>
    <mergeCell ref="SWU27:SWV27"/>
    <mergeCell ref="SWW27:SWX27"/>
    <mergeCell ref="SWY27:SWZ27"/>
    <mergeCell ref="SWC27:SWD27"/>
    <mergeCell ref="SWE27:SWF27"/>
    <mergeCell ref="SWG27:SWH27"/>
    <mergeCell ref="SWI27:SWJ27"/>
    <mergeCell ref="SWK27:SWL27"/>
    <mergeCell ref="SWM27:SWN27"/>
    <mergeCell ref="SVQ27:SVR27"/>
    <mergeCell ref="SVS27:SVT27"/>
    <mergeCell ref="SVU27:SVV27"/>
    <mergeCell ref="SVW27:SVX27"/>
    <mergeCell ref="SVY27:SVZ27"/>
    <mergeCell ref="SWA27:SWB27"/>
    <mergeCell ref="TAS27:TAT27"/>
    <mergeCell ref="TAU27:TAV27"/>
    <mergeCell ref="TAW27:TAX27"/>
    <mergeCell ref="TAY27:TAZ27"/>
    <mergeCell ref="TBA27:TBB27"/>
    <mergeCell ref="TBC27:TBD27"/>
    <mergeCell ref="TAG27:TAH27"/>
    <mergeCell ref="TAI27:TAJ27"/>
    <mergeCell ref="TAK27:TAL27"/>
    <mergeCell ref="TAM27:TAN27"/>
    <mergeCell ref="TAO27:TAP27"/>
    <mergeCell ref="TAQ27:TAR27"/>
    <mergeCell ref="SZU27:SZV27"/>
    <mergeCell ref="SZW27:SZX27"/>
    <mergeCell ref="SZY27:SZZ27"/>
    <mergeCell ref="TAA27:TAB27"/>
    <mergeCell ref="TAC27:TAD27"/>
    <mergeCell ref="TAE27:TAF27"/>
    <mergeCell ref="SZI27:SZJ27"/>
    <mergeCell ref="SZK27:SZL27"/>
    <mergeCell ref="SZM27:SZN27"/>
    <mergeCell ref="SZO27:SZP27"/>
    <mergeCell ref="SZQ27:SZR27"/>
    <mergeCell ref="SZS27:SZT27"/>
    <mergeCell ref="SYW27:SYX27"/>
    <mergeCell ref="SYY27:SYZ27"/>
    <mergeCell ref="SZA27:SZB27"/>
    <mergeCell ref="SZC27:SZD27"/>
    <mergeCell ref="SZE27:SZF27"/>
    <mergeCell ref="SZG27:SZH27"/>
    <mergeCell ref="SYK27:SYL27"/>
    <mergeCell ref="SYM27:SYN27"/>
    <mergeCell ref="SYO27:SYP27"/>
    <mergeCell ref="SYQ27:SYR27"/>
    <mergeCell ref="SYS27:SYT27"/>
    <mergeCell ref="SYU27:SYV27"/>
    <mergeCell ref="TDM27:TDN27"/>
    <mergeCell ref="TDO27:TDP27"/>
    <mergeCell ref="TDQ27:TDR27"/>
    <mergeCell ref="TDS27:TDT27"/>
    <mergeCell ref="TDU27:TDV27"/>
    <mergeCell ref="TDW27:TDX27"/>
    <mergeCell ref="TDA27:TDB27"/>
    <mergeCell ref="TDC27:TDD27"/>
    <mergeCell ref="TDE27:TDF27"/>
    <mergeCell ref="TDG27:TDH27"/>
    <mergeCell ref="TDI27:TDJ27"/>
    <mergeCell ref="TDK27:TDL27"/>
    <mergeCell ref="TCO27:TCP27"/>
    <mergeCell ref="TCQ27:TCR27"/>
    <mergeCell ref="TCS27:TCT27"/>
    <mergeCell ref="TCU27:TCV27"/>
    <mergeCell ref="TCW27:TCX27"/>
    <mergeCell ref="TCY27:TCZ27"/>
    <mergeCell ref="TCC27:TCD27"/>
    <mergeCell ref="TCE27:TCF27"/>
    <mergeCell ref="TCG27:TCH27"/>
    <mergeCell ref="TCI27:TCJ27"/>
    <mergeCell ref="TCK27:TCL27"/>
    <mergeCell ref="TCM27:TCN27"/>
    <mergeCell ref="TBQ27:TBR27"/>
    <mergeCell ref="TBS27:TBT27"/>
    <mergeCell ref="TBU27:TBV27"/>
    <mergeCell ref="TBW27:TBX27"/>
    <mergeCell ref="TBY27:TBZ27"/>
    <mergeCell ref="TCA27:TCB27"/>
    <mergeCell ref="TBE27:TBF27"/>
    <mergeCell ref="TBG27:TBH27"/>
    <mergeCell ref="TBI27:TBJ27"/>
    <mergeCell ref="TBK27:TBL27"/>
    <mergeCell ref="TBM27:TBN27"/>
    <mergeCell ref="TBO27:TBP27"/>
    <mergeCell ref="TGG27:TGH27"/>
    <mergeCell ref="TGI27:TGJ27"/>
    <mergeCell ref="TGK27:TGL27"/>
    <mergeCell ref="TGM27:TGN27"/>
    <mergeCell ref="TGO27:TGP27"/>
    <mergeCell ref="TGQ27:TGR27"/>
    <mergeCell ref="TFU27:TFV27"/>
    <mergeCell ref="TFW27:TFX27"/>
    <mergeCell ref="TFY27:TFZ27"/>
    <mergeCell ref="TGA27:TGB27"/>
    <mergeCell ref="TGC27:TGD27"/>
    <mergeCell ref="TGE27:TGF27"/>
    <mergeCell ref="TFI27:TFJ27"/>
    <mergeCell ref="TFK27:TFL27"/>
    <mergeCell ref="TFM27:TFN27"/>
    <mergeCell ref="TFO27:TFP27"/>
    <mergeCell ref="TFQ27:TFR27"/>
    <mergeCell ref="TFS27:TFT27"/>
    <mergeCell ref="TEW27:TEX27"/>
    <mergeCell ref="TEY27:TEZ27"/>
    <mergeCell ref="TFA27:TFB27"/>
    <mergeCell ref="TFC27:TFD27"/>
    <mergeCell ref="TFE27:TFF27"/>
    <mergeCell ref="TFG27:TFH27"/>
    <mergeCell ref="TEK27:TEL27"/>
    <mergeCell ref="TEM27:TEN27"/>
    <mergeCell ref="TEO27:TEP27"/>
    <mergeCell ref="TEQ27:TER27"/>
    <mergeCell ref="TES27:TET27"/>
    <mergeCell ref="TEU27:TEV27"/>
    <mergeCell ref="TDY27:TDZ27"/>
    <mergeCell ref="TEA27:TEB27"/>
    <mergeCell ref="TEC27:TED27"/>
    <mergeCell ref="TEE27:TEF27"/>
    <mergeCell ref="TEG27:TEH27"/>
    <mergeCell ref="TEI27:TEJ27"/>
    <mergeCell ref="TJA27:TJB27"/>
    <mergeCell ref="TJC27:TJD27"/>
    <mergeCell ref="TJE27:TJF27"/>
    <mergeCell ref="TJG27:TJH27"/>
    <mergeCell ref="TJI27:TJJ27"/>
    <mergeCell ref="TJK27:TJL27"/>
    <mergeCell ref="TIO27:TIP27"/>
    <mergeCell ref="TIQ27:TIR27"/>
    <mergeCell ref="TIS27:TIT27"/>
    <mergeCell ref="TIU27:TIV27"/>
    <mergeCell ref="TIW27:TIX27"/>
    <mergeCell ref="TIY27:TIZ27"/>
    <mergeCell ref="TIC27:TID27"/>
    <mergeCell ref="TIE27:TIF27"/>
    <mergeCell ref="TIG27:TIH27"/>
    <mergeCell ref="TII27:TIJ27"/>
    <mergeCell ref="TIK27:TIL27"/>
    <mergeCell ref="TIM27:TIN27"/>
    <mergeCell ref="THQ27:THR27"/>
    <mergeCell ref="THS27:THT27"/>
    <mergeCell ref="THU27:THV27"/>
    <mergeCell ref="THW27:THX27"/>
    <mergeCell ref="THY27:THZ27"/>
    <mergeCell ref="TIA27:TIB27"/>
    <mergeCell ref="THE27:THF27"/>
    <mergeCell ref="THG27:THH27"/>
    <mergeCell ref="THI27:THJ27"/>
    <mergeCell ref="THK27:THL27"/>
    <mergeCell ref="THM27:THN27"/>
    <mergeCell ref="THO27:THP27"/>
    <mergeCell ref="TGS27:TGT27"/>
    <mergeCell ref="TGU27:TGV27"/>
    <mergeCell ref="TGW27:TGX27"/>
    <mergeCell ref="TGY27:TGZ27"/>
    <mergeCell ref="THA27:THB27"/>
    <mergeCell ref="THC27:THD27"/>
    <mergeCell ref="TLU27:TLV27"/>
    <mergeCell ref="TLW27:TLX27"/>
    <mergeCell ref="TLY27:TLZ27"/>
    <mergeCell ref="TMA27:TMB27"/>
    <mergeCell ref="TMC27:TMD27"/>
    <mergeCell ref="TME27:TMF27"/>
    <mergeCell ref="TLI27:TLJ27"/>
    <mergeCell ref="TLK27:TLL27"/>
    <mergeCell ref="TLM27:TLN27"/>
    <mergeCell ref="TLO27:TLP27"/>
    <mergeCell ref="TLQ27:TLR27"/>
    <mergeCell ref="TLS27:TLT27"/>
    <mergeCell ref="TKW27:TKX27"/>
    <mergeCell ref="TKY27:TKZ27"/>
    <mergeCell ref="TLA27:TLB27"/>
    <mergeCell ref="TLC27:TLD27"/>
    <mergeCell ref="TLE27:TLF27"/>
    <mergeCell ref="TLG27:TLH27"/>
    <mergeCell ref="TKK27:TKL27"/>
    <mergeCell ref="TKM27:TKN27"/>
    <mergeCell ref="TKO27:TKP27"/>
    <mergeCell ref="TKQ27:TKR27"/>
    <mergeCell ref="TKS27:TKT27"/>
    <mergeCell ref="TKU27:TKV27"/>
    <mergeCell ref="TJY27:TJZ27"/>
    <mergeCell ref="TKA27:TKB27"/>
    <mergeCell ref="TKC27:TKD27"/>
    <mergeCell ref="TKE27:TKF27"/>
    <mergeCell ref="TKG27:TKH27"/>
    <mergeCell ref="TKI27:TKJ27"/>
    <mergeCell ref="TJM27:TJN27"/>
    <mergeCell ref="TJO27:TJP27"/>
    <mergeCell ref="TJQ27:TJR27"/>
    <mergeCell ref="TJS27:TJT27"/>
    <mergeCell ref="TJU27:TJV27"/>
    <mergeCell ref="TJW27:TJX27"/>
    <mergeCell ref="TOO27:TOP27"/>
    <mergeCell ref="TOQ27:TOR27"/>
    <mergeCell ref="TOS27:TOT27"/>
    <mergeCell ref="TOU27:TOV27"/>
    <mergeCell ref="TOW27:TOX27"/>
    <mergeCell ref="TOY27:TOZ27"/>
    <mergeCell ref="TOC27:TOD27"/>
    <mergeCell ref="TOE27:TOF27"/>
    <mergeCell ref="TOG27:TOH27"/>
    <mergeCell ref="TOI27:TOJ27"/>
    <mergeCell ref="TOK27:TOL27"/>
    <mergeCell ref="TOM27:TON27"/>
    <mergeCell ref="TNQ27:TNR27"/>
    <mergeCell ref="TNS27:TNT27"/>
    <mergeCell ref="TNU27:TNV27"/>
    <mergeCell ref="TNW27:TNX27"/>
    <mergeCell ref="TNY27:TNZ27"/>
    <mergeCell ref="TOA27:TOB27"/>
    <mergeCell ref="TNE27:TNF27"/>
    <mergeCell ref="TNG27:TNH27"/>
    <mergeCell ref="TNI27:TNJ27"/>
    <mergeCell ref="TNK27:TNL27"/>
    <mergeCell ref="TNM27:TNN27"/>
    <mergeCell ref="TNO27:TNP27"/>
    <mergeCell ref="TMS27:TMT27"/>
    <mergeCell ref="TMU27:TMV27"/>
    <mergeCell ref="TMW27:TMX27"/>
    <mergeCell ref="TMY27:TMZ27"/>
    <mergeCell ref="TNA27:TNB27"/>
    <mergeCell ref="TNC27:TND27"/>
    <mergeCell ref="TMG27:TMH27"/>
    <mergeCell ref="TMI27:TMJ27"/>
    <mergeCell ref="TMK27:TML27"/>
    <mergeCell ref="TMM27:TMN27"/>
    <mergeCell ref="TMO27:TMP27"/>
    <mergeCell ref="TMQ27:TMR27"/>
    <mergeCell ref="TRI27:TRJ27"/>
    <mergeCell ref="TRK27:TRL27"/>
    <mergeCell ref="TRM27:TRN27"/>
    <mergeCell ref="TRO27:TRP27"/>
    <mergeCell ref="TRQ27:TRR27"/>
    <mergeCell ref="TRS27:TRT27"/>
    <mergeCell ref="TQW27:TQX27"/>
    <mergeCell ref="TQY27:TQZ27"/>
    <mergeCell ref="TRA27:TRB27"/>
    <mergeCell ref="TRC27:TRD27"/>
    <mergeCell ref="TRE27:TRF27"/>
    <mergeCell ref="TRG27:TRH27"/>
    <mergeCell ref="TQK27:TQL27"/>
    <mergeCell ref="TQM27:TQN27"/>
    <mergeCell ref="TQO27:TQP27"/>
    <mergeCell ref="TQQ27:TQR27"/>
    <mergeCell ref="TQS27:TQT27"/>
    <mergeCell ref="TQU27:TQV27"/>
    <mergeCell ref="TPY27:TPZ27"/>
    <mergeCell ref="TQA27:TQB27"/>
    <mergeCell ref="TQC27:TQD27"/>
    <mergeCell ref="TQE27:TQF27"/>
    <mergeCell ref="TQG27:TQH27"/>
    <mergeCell ref="TQI27:TQJ27"/>
    <mergeCell ref="TPM27:TPN27"/>
    <mergeCell ref="TPO27:TPP27"/>
    <mergeCell ref="TPQ27:TPR27"/>
    <mergeCell ref="TPS27:TPT27"/>
    <mergeCell ref="TPU27:TPV27"/>
    <mergeCell ref="TPW27:TPX27"/>
    <mergeCell ref="TPA27:TPB27"/>
    <mergeCell ref="TPC27:TPD27"/>
    <mergeCell ref="TPE27:TPF27"/>
    <mergeCell ref="TPG27:TPH27"/>
    <mergeCell ref="TPI27:TPJ27"/>
    <mergeCell ref="TPK27:TPL27"/>
    <mergeCell ref="TUC27:TUD27"/>
    <mergeCell ref="TUE27:TUF27"/>
    <mergeCell ref="TUG27:TUH27"/>
    <mergeCell ref="TUI27:TUJ27"/>
    <mergeCell ref="TUK27:TUL27"/>
    <mergeCell ref="TUM27:TUN27"/>
    <mergeCell ref="TTQ27:TTR27"/>
    <mergeCell ref="TTS27:TTT27"/>
    <mergeCell ref="TTU27:TTV27"/>
    <mergeCell ref="TTW27:TTX27"/>
    <mergeCell ref="TTY27:TTZ27"/>
    <mergeCell ref="TUA27:TUB27"/>
    <mergeCell ref="TTE27:TTF27"/>
    <mergeCell ref="TTG27:TTH27"/>
    <mergeCell ref="TTI27:TTJ27"/>
    <mergeCell ref="TTK27:TTL27"/>
    <mergeCell ref="TTM27:TTN27"/>
    <mergeCell ref="TTO27:TTP27"/>
    <mergeCell ref="TSS27:TST27"/>
    <mergeCell ref="TSU27:TSV27"/>
    <mergeCell ref="TSW27:TSX27"/>
    <mergeCell ref="TSY27:TSZ27"/>
    <mergeCell ref="TTA27:TTB27"/>
    <mergeCell ref="TTC27:TTD27"/>
    <mergeCell ref="TSG27:TSH27"/>
    <mergeCell ref="TSI27:TSJ27"/>
    <mergeCell ref="TSK27:TSL27"/>
    <mergeCell ref="TSM27:TSN27"/>
    <mergeCell ref="TSO27:TSP27"/>
    <mergeCell ref="TSQ27:TSR27"/>
    <mergeCell ref="TRU27:TRV27"/>
    <mergeCell ref="TRW27:TRX27"/>
    <mergeCell ref="TRY27:TRZ27"/>
    <mergeCell ref="TSA27:TSB27"/>
    <mergeCell ref="TSC27:TSD27"/>
    <mergeCell ref="TSE27:TSF27"/>
    <mergeCell ref="TWW27:TWX27"/>
    <mergeCell ref="TWY27:TWZ27"/>
    <mergeCell ref="TXA27:TXB27"/>
    <mergeCell ref="TXC27:TXD27"/>
    <mergeCell ref="TXE27:TXF27"/>
    <mergeCell ref="TXG27:TXH27"/>
    <mergeCell ref="TWK27:TWL27"/>
    <mergeCell ref="TWM27:TWN27"/>
    <mergeCell ref="TWO27:TWP27"/>
    <mergeCell ref="TWQ27:TWR27"/>
    <mergeCell ref="TWS27:TWT27"/>
    <mergeCell ref="TWU27:TWV27"/>
    <mergeCell ref="TVY27:TVZ27"/>
    <mergeCell ref="TWA27:TWB27"/>
    <mergeCell ref="TWC27:TWD27"/>
    <mergeCell ref="TWE27:TWF27"/>
    <mergeCell ref="TWG27:TWH27"/>
    <mergeCell ref="TWI27:TWJ27"/>
    <mergeCell ref="TVM27:TVN27"/>
    <mergeCell ref="TVO27:TVP27"/>
    <mergeCell ref="TVQ27:TVR27"/>
    <mergeCell ref="TVS27:TVT27"/>
    <mergeCell ref="TVU27:TVV27"/>
    <mergeCell ref="TVW27:TVX27"/>
    <mergeCell ref="TVA27:TVB27"/>
    <mergeCell ref="TVC27:TVD27"/>
    <mergeCell ref="TVE27:TVF27"/>
    <mergeCell ref="TVG27:TVH27"/>
    <mergeCell ref="TVI27:TVJ27"/>
    <mergeCell ref="TVK27:TVL27"/>
    <mergeCell ref="TUO27:TUP27"/>
    <mergeCell ref="TUQ27:TUR27"/>
    <mergeCell ref="TUS27:TUT27"/>
    <mergeCell ref="TUU27:TUV27"/>
    <mergeCell ref="TUW27:TUX27"/>
    <mergeCell ref="TUY27:TUZ27"/>
    <mergeCell ref="TZQ27:TZR27"/>
    <mergeCell ref="TZS27:TZT27"/>
    <mergeCell ref="TZU27:TZV27"/>
    <mergeCell ref="TZW27:TZX27"/>
    <mergeCell ref="TZY27:TZZ27"/>
    <mergeCell ref="UAA27:UAB27"/>
    <mergeCell ref="TZE27:TZF27"/>
    <mergeCell ref="TZG27:TZH27"/>
    <mergeCell ref="TZI27:TZJ27"/>
    <mergeCell ref="TZK27:TZL27"/>
    <mergeCell ref="TZM27:TZN27"/>
    <mergeCell ref="TZO27:TZP27"/>
    <mergeCell ref="TYS27:TYT27"/>
    <mergeCell ref="TYU27:TYV27"/>
    <mergeCell ref="TYW27:TYX27"/>
    <mergeCell ref="TYY27:TYZ27"/>
    <mergeCell ref="TZA27:TZB27"/>
    <mergeCell ref="TZC27:TZD27"/>
    <mergeCell ref="TYG27:TYH27"/>
    <mergeCell ref="TYI27:TYJ27"/>
    <mergeCell ref="TYK27:TYL27"/>
    <mergeCell ref="TYM27:TYN27"/>
    <mergeCell ref="TYO27:TYP27"/>
    <mergeCell ref="TYQ27:TYR27"/>
    <mergeCell ref="TXU27:TXV27"/>
    <mergeCell ref="TXW27:TXX27"/>
    <mergeCell ref="TXY27:TXZ27"/>
    <mergeCell ref="TYA27:TYB27"/>
    <mergeCell ref="TYC27:TYD27"/>
    <mergeCell ref="TYE27:TYF27"/>
    <mergeCell ref="TXI27:TXJ27"/>
    <mergeCell ref="TXK27:TXL27"/>
    <mergeCell ref="TXM27:TXN27"/>
    <mergeCell ref="TXO27:TXP27"/>
    <mergeCell ref="TXQ27:TXR27"/>
    <mergeCell ref="TXS27:TXT27"/>
    <mergeCell ref="UCK27:UCL27"/>
    <mergeCell ref="UCM27:UCN27"/>
    <mergeCell ref="UCO27:UCP27"/>
    <mergeCell ref="UCQ27:UCR27"/>
    <mergeCell ref="UCS27:UCT27"/>
    <mergeCell ref="UCU27:UCV27"/>
    <mergeCell ref="UBY27:UBZ27"/>
    <mergeCell ref="UCA27:UCB27"/>
    <mergeCell ref="UCC27:UCD27"/>
    <mergeCell ref="UCE27:UCF27"/>
    <mergeCell ref="UCG27:UCH27"/>
    <mergeCell ref="UCI27:UCJ27"/>
    <mergeCell ref="UBM27:UBN27"/>
    <mergeCell ref="UBO27:UBP27"/>
    <mergeCell ref="UBQ27:UBR27"/>
    <mergeCell ref="UBS27:UBT27"/>
    <mergeCell ref="UBU27:UBV27"/>
    <mergeCell ref="UBW27:UBX27"/>
    <mergeCell ref="UBA27:UBB27"/>
    <mergeCell ref="UBC27:UBD27"/>
    <mergeCell ref="UBE27:UBF27"/>
    <mergeCell ref="UBG27:UBH27"/>
    <mergeCell ref="UBI27:UBJ27"/>
    <mergeCell ref="UBK27:UBL27"/>
    <mergeCell ref="UAO27:UAP27"/>
    <mergeCell ref="UAQ27:UAR27"/>
    <mergeCell ref="UAS27:UAT27"/>
    <mergeCell ref="UAU27:UAV27"/>
    <mergeCell ref="UAW27:UAX27"/>
    <mergeCell ref="UAY27:UAZ27"/>
    <mergeCell ref="UAC27:UAD27"/>
    <mergeCell ref="UAE27:UAF27"/>
    <mergeCell ref="UAG27:UAH27"/>
    <mergeCell ref="UAI27:UAJ27"/>
    <mergeCell ref="UAK27:UAL27"/>
    <mergeCell ref="UAM27:UAN27"/>
    <mergeCell ref="UFE27:UFF27"/>
    <mergeCell ref="UFG27:UFH27"/>
    <mergeCell ref="UFI27:UFJ27"/>
    <mergeCell ref="UFK27:UFL27"/>
    <mergeCell ref="UFM27:UFN27"/>
    <mergeCell ref="UFO27:UFP27"/>
    <mergeCell ref="UES27:UET27"/>
    <mergeCell ref="UEU27:UEV27"/>
    <mergeCell ref="UEW27:UEX27"/>
    <mergeCell ref="UEY27:UEZ27"/>
    <mergeCell ref="UFA27:UFB27"/>
    <mergeCell ref="UFC27:UFD27"/>
    <mergeCell ref="UEG27:UEH27"/>
    <mergeCell ref="UEI27:UEJ27"/>
    <mergeCell ref="UEK27:UEL27"/>
    <mergeCell ref="UEM27:UEN27"/>
    <mergeCell ref="UEO27:UEP27"/>
    <mergeCell ref="UEQ27:UER27"/>
    <mergeCell ref="UDU27:UDV27"/>
    <mergeCell ref="UDW27:UDX27"/>
    <mergeCell ref="UDY27:UDZ27"/>
    <mergeCell ref="UEA27:UEB27"/>
    <mergeCell ref="UEC27:UED27"/>
    <mergeCell ref="UEE27:UEF27"/>
    <mergeCell ref="UDI27:UDJ27"/>
    <mergeCell ref="UDK27:UDL27"/>
    <mergeCell ref="UDM27:UDN27"/>
    <mergeCell ref="UDO27:UDP27"/>
    <mergeCell ref="UDQ27:UDR27"/>
    <mergeCell ref="UDS27:UDT27"/>
    <mergeCell ref="UCW27:UCX27"/>
    <mergeCell ref="UCY27:UCZ27"/>
    <mergeCell ref="UDA27:UDB27"/>
    <mergeCell ref="UDC27:UDD27"/>
    <mergeCell ref="UDE27:UDF27"/>
    <mergeCell ref="UDG27:UDH27"/>
    <mergeCell ref="UHY27:UHZ27"/>
    <mergeCell ref="UIA27:UIB27"/>
    <mergeCell ref="UIC27:UID27"/>
    <mergeCell ref="UIE27:UIF27"/>
    <mergeCell ref="UIG27:UIH27"/>
    <mergeCell ref="UII27:UIJ27"/>
    <mergeCell ref="UHM27:UHN27"/>
    <mergeCell ref="UHO27:UHP27"/>
    <mergeCell ref="UHQ27:UHR27"/>
    <mergeCell ref="UHS27:UHT27"/>
    <mergeCell ref="UHU27:UHV27"/>
    <mergeCell ref="UHW27:UHX27"/>
    <mergeCell ref="UHA27:UHB27"/>
    <mergeCell ref="UHC27:UHD27"/>
    <mergeCell ref="UHE27:UHF27"/>
    <mergeCell ref="UHG27:UHH27"/>
    <mergeCell ref="UHI27:UHJ27"/>
    <mergeCell ref="UHK27:UHL27"/>
    <mergeCell ref="UGO27:UGP27"/>
    <mergeCell ref="UGQ27:UGR27"/>
    <mergeCell ref="UGS27:UGT27"/>
    <mergeCell ref="UGU27:UGV27"/>
    <mergeCell ref="UGW27:UGX27"/>
    <mergeCell ref="UGY27:UGZ27"/>
    <mergeCell ref="UGC27:UGD27"/>
    <mergeCell ref="UGE27:UGF27"/>
    <mergeCell ref="UGG27:UGH27"/>
    <mergeCell ref="UGI27:UGJ27"/>
    <mergeCell ref="UGK27:UGL27"/>
    <mergeCell ref="UGM27:UGN27"/>
    <mergeCell ref="UFQ27:UFR27"/>
    <mergeCell ref="UFS27:UFT27"/>
    <mergeCell ref="UFU27:UFV27"/>
    <mergeCell ref="UFW27:UFX27"/>
    <mergeCell ref="UFY27:UFZ27"/>
    <mergeCell ref="UGA27:UGB27"/>
    <mergeCell ref="UKS27:UKT27"/>
    <mergeCell ref="UKU27:UKV27"/>
    <mergeCell ref="UKW27:UKX27"/>
    <mergeCell ref="UKY27:UKZ27"/>
    <mergeCell ref="ULA27:ULB27"/>
    <mergeCell ref="ULC27:ULD27"/>
    <mergeCell ref="UKG27:UKH27"/>
    <mergeCell ref="UKI27:UKJ27"/>
    <mergeCell ref="UKK27:UKL27"/>
    <mergeCell ref="UKM27:UKN27"/>
    <mergeCell ref="UKO27:UKP27"/>
    <mergeCell ref="UKQ27:UKR27"/>
    <mergeCell ref="UJU27:UJV27"/>
    <mergeCell ref="UJW27:UJX27"/>
    <mergeCell ref="UJY27:UJZ27"/>
    <mergeCell ref="UKA27:UKB27"/>
    <mergeCell ref="UKC27:UKD27"/>
    <mergeCell ref="UKE27:UKF27"/>
    <mergeCell ref="UJI27:UJJ27"/>
    <mergeCell ref="UJK27:UJL27"/>
    <mergeCell ref="UJM27:UJN27"/>
    <mergeCell ref="UJO27:UJP27"/>
    <mergeCell ref="UJQ27:UJR27"/>
    <mergeCell ref="UJS27:UJT27"/>
    <mergeCell ref="UIW27:UIX27"/>
    <mergeCell ref="UIY27:UIZ27"/>
    <mergeCell ref="UJA27:UJB27"/>
    <mergeCell ref="UJC27:UJD27"/>
    <mergeCell ref="UJE27:UJF27"/>
    <mergeCell ref="UJG27:UJH27"/>
    <mergeCell ref="UIK27:UIL27"/>
    <mergeCell ref="UIM27:UIN27"/>
    <mergeCell ref="UIO27:UIP27"/>
    <mergeCell ref="UIQ27:UIR27"/>
    <mergeCell ref="UIS27:UIT27"/>
    <mergeCell ref="UIU27:UIV27"/>
    <mergeCell ref="UNM27:UNN27"/>
    <mergeCell ref="UNO27:UNP27"/>
    <mergeCell ref="UNQ27:UNR27"/>
    <mergeCell ref="UNS27:UNT27"/>
    <mergeCell ref="UNU27:UNV27"/>
    <mergeCell ref="UNW27:UNX27"/>
    <mergeCell ref="UNA27:UNB27"/>
    <mergeCell ref="UNC27:UND27"/>
    <mergeCell ref="UNE27:UNF27"/>
    <mergeCell ref="UNG27:UNH27"/>
    <mergeCell ref="UNI27:UNJ27"/>
    <mergeCell ref="UNK27:UNL27"/>
    <mergeCell ref="UMO27:UMP27"/>
    <mergeCell ref="UMQ27:UMR27"/>
    <mergeCell ref="UMS27:UMT27"/>
    <mergeCell ref="UMU27:UMV27"/>
    <mergeCell ref="UMW27:UMX27"/>
    <mergeCell ref="UMY27:UMZ27"/>
    <mergeCell ref="UMC27:UMD27"/>
    <mergeCell ref="UME27:UMF27"/>
    <mergeCell ref="UMG27:UMH27"/>
    <mergeCell ref="UMI27:UMJ27"/>
    <mergeCell ref="UMK27:UML27"/>
    <mergeCell ref="UMM27:UMN27"/>
    <mergeCell ref="ULQ27:ULR27"/>
    <mergeCell ref="ULS27:ULT27"/>
    <mergeCell ref="ULU27:ULV27"/>
    <mergeCell ref="ULW27:ULX27"/>
    <mergeCell ref="ULY27:ULZ27"/>
    <mergeCell ref="UMA27:UMB27"/>
    <mergeCell ref="ULE27:ULF27"/>
    <mergeCell ref="ULG27:ULH27"/>
    <mergeCell ref="ULI27:ULJ27"/>
    <mergeCell ref="ULK27:ULL27"/>
    <mergeCell ref="ULM27:ULN27"/>
    <mergeCell ref="ULO27:ULP27"/>
    <mergeCell ref="UQG27:UQH27"/>
    <mergeCell ref="UQI27:UQJ27"/>
    <mergeCell ref="UQK27:UQL27"/>
    <mergeCell ref="UQM27:UQN27"/>
    <mergeCell ref="UQO27:UQP27"/>
    <mergeCell ref="UQQ27:UQR27"/>
    <mergeCell ref="UPU27:UPV27"/>
    <mergeCell ref="UPW27:UPX27"/>
    <mergeCell ref="UPY27:UPZ27"/>
    <mergeCell ref="UQA27:UQB27"/>
    <mergeCell ref="UQC27:UQD27"/>
    <mergeCell ref="UQE27:UQF27"/>
    <mergeCell ref="UPI27:UPJ27"/>
    <mergeCell ref="UPK27:UPL27"/>
    <mergeCell ref="UPM27:UPN27"/>
    <mergeCell ref="UPO27:UPP27"/>
    <mergeCell ref="UPQ27:UPR27"/>
    <mergeCell ref="UPS27:UPT27"/>
    <mergeCell ref="UOW27:UOX27"/>
    <mergeCell ref="UOY27:UOZ27"/>
    <mergeCell ref="UPA27:UPB27"/>
    <mergeCell ref="UPC27:UPD27"/>
    <mergeCell ref="UPE27:UPF27"/>
    <mergeCell ref="UPG27:UPH27"/>
    <mergeCell ref="UOK27:UOL27"/>
    <mergeCell ref="UOM27:UON27"/>
    <mergeCell ref="UOO27:UOP27"/>
    <mergeCell ref="UOQ27:UOR27"/>
    <mergeCell ref="UOS27:UOT27"/>
    <mergeCell ref="UOU27:UOV27"/>
    <mergeCell ref="UNY27:UNZ27"/>
    <mergeCell ref="UOA27:UOB27"/>
    <mergeCell ref="UOC27:UOD27"/>
    <mergeCell ref="UOE27:UOF27"/>
    <mergeCell ref="UOG27:UOH27"/>
    <mergeCell ref="UOI27:UOJ27"/>
    <mergeCell ref="UTA27:UTB27"/>
    <mergeCell ref="UTC27:UTD27"/>
    <mergeCell ref="UTE27:UTF27"/>
    <mergeCell ref="UTG27:UTH27"/>
    <mergeCell ref="UTI27:UTJ27"/>
    <mergeCell ref="UTK27:UTL27"/>
    <mergeCell ref="USO27:USP27"/>
    <mergeCell ref="USQ27:USR27"/>
    <mergeCell ref="USS27:UST27"/>
    <mergeCell ref="USU27:USV27"/>
    <mergeCell ref="USW27:USX27"/>
    <mergeCell ref="USY27:USZ27"/>
    <mergeCell ref="USC27:USD27"/>
    <mergeCell ref="USE27:USF27"/>
    <mergeCell ref="USG27:USH27"/>
    <mergeCell ref="USI27:USJ27"/>
    <mergeCell ref="USK27:USL27"/>
    <mergeCell ref="USM27:USN27"/>
    <mergeCell ref="URQ27:URR27"/>
    <mergeCell ref="URS27:URT27"/>
    <mergeCell ref="URU27:URV27"/>
    <mergeCell ref="URW27:URX27"/>
    <mergeCell ref="URY27:URZ27"/>
    <mergeCell ref="USA27:USB27"/>
    <mergeCell ref="URE27:URF27"/>
    <mergeCell ref="URG27:URH27"/>
    <mergeCell ref="URI27:URJ27"/>
    <mergeCell ref="URK27:URL27"/>
    <mergeCell ref="URM27:URN27"/>
    <mergeCell ref="URO27:URP27"/>
    <mergeCell ref="UQS27:UQT27"/>
    <mergeCell ref="UQU27:UQV27"/>
    <mergeCell ref="UQW27:UQX27"/>
    <mergeCell ref="UQY27:UQZ27"/>
    <mergeCell ref="URA27:URB27"/>
    <mergeCell ref="URC27:URD27"/>
    <mergeCell ref="UVU27:UVV27"/>
    <mergeCell ref="UVW27:UVX27"/>
    <mergeCell ref="UVY27:UVZ27"/>
    <mergeCell ref="UWA27:UWB27"/>
    <mergeCell ref="UWC27:UWD27"/>
    <mergeCell ref="UWE27:UWF27"/>
    <mergeCell ref="UVI27:UVJ27"/>
    <mergeCell ref="UVK27:UVL27"/>
    <mergeCell ref="UVM27:UVN27"/>
    <mergeCell ref="UVO27:UVP27"/>
    <mergeCell ref="UVQ27:UVR27"/>
    <mergeCell ref="UVS27:UVT27"/>
    <mergeCell ref="UUW27:UUX27"/>
    <mergeCell ref="UUY27:UUZ27"/>
    <mergeCell ref="UVA27:UVB27"/>
    <mergeCell ref="UVC27:UVD27"/>
    <mergeCell ref="UVE27:UVF27"/>
    <mergeCell ref="UVG27:UVH27"/>
    <mergeCell ref="UUK27:UUL27"/>
    <mergeCell ref="UUM27:UUN27"/>
    <mergeCell ref="UUO27:UUP27"/>
    <mergeCell ref="UUQ27:UUR27"/>
    <mergeCell ref="UUS27:UUT27"/>
    <mergeCell ref="UUU27:UUV27"/>
    <mergeCell ref="UTY27:UTZ27"/>
    <mergeCell ref="UUA27:UUB27"/>
    <mergeCell ref="UUC27:UUD27"/>
    <mergeCell ref="UUE27:UUF27"/>
    <mergeCell ref="UUG27:UUH27"/>
    <mergeCell ref="UUI27:UUJ27"/>
    <mergeCell ref="UTM27:UTN27"/>
    <mergeCell ref="UTO27:UTP27"/>
    <mergeCell ref="UTQ27:UTR27"/>
    <mergeCell ref="UTS27:UTT27"/>
    <mergeCell ref="UTU27:UTV27"/>
    <mergeCell ref="UTW27:UTX27"/>
    <mergeCell ref="UYO27:UYP27"/>
    <mergeCell ref="UYQ27:UYR27"/>
    <mergeCell ref="UYS27:UYT27"/>
    <mergeCell ref="UYU27:UYV27"/>
    <mergeCell ref="UYW27:UYX27"/>
    <mergeCell ref="UYY27:UYZ27"/>
    <mergeCell ref="UYC27:UYD27"/>
    <mergeCell ref="UYE27:UYF27"/>
    <mergeCell ref="UYG27:UYH27"/>
    <mergeCell ref="UYI27:UYJ27"/>
    <mergeCell ref="UYK27:UYL27"/>
    <mergeCell ref="UYM27:UYN27"/>
    <mergeCell ref="UXQ27:UXR27"/>
    <mergeCell ref="UXS27:UXT27"/>
    <mergeCell ref="UXU27:UXV27"/>
    <mergeCell ref="UXW27:UXX27"/>
    <mergeCell ref="UXY27:UXZ27"/>
    <mergeCell ref="UYA27:UYB27"/>
    <mergeCell ref="UXE27:UXF27"/>
    <mergeCell ref="UXG27:UXH27"/>
    <mergeCell ref="UXI27:UXJ27"/>
    <mergeCell ref="UXK27:UXL27"/>
    <mergeCell ref="UXM27:UXN27"/>
    <mergeCell ref="UXO27:UXP27"/>
    <mergeCell ref="UWS27:UWT27"/>
    <mergeCell ref="UWU27:UWV27"/>
    <mergeCell ref="UWW27:UWX27"/>
    <mergeCell ref="UWY27:UWZ27"/>
    <mergeCell ref="UXA27:UXB27"/>
    <mergeCell ref="UXC27:UXD27"/>
    <mergeCell ref="UWG27:UWH27"/>
    <mergeCell ref="UWI27:UWJ27"/>
    <mergeCell ref="UWK27:UWL27"/>
    <mergeCell ref="UWM27:UWN27"/>
    <mergeCell ref="UWO27:UWP27"/>
    <mergeCell ref="UWQ27:UWR27"/>
    <mergeCell ref="VBI27:VBJ27"/>
    <mergeCell ref="VBK27:VBL27"/>
    <mergeCell ref="VBM27:VBN27"/>
    <mergeCell ref="VBO27:VBP27"/>
    <mergeCell ref="VBQ27:VBR27"/>
    <mergeCell ref="VBS27:VBT27"/>
    <mergeCell ref="VAW27:VAX27"/>
    <mergeCell ref="VAY27:VAZ27"/>
    <mergeCell ref="VBA27:VBB27"/>
    <mergeCell ref="VBC27:VBD27"/>
    <mergeCell ref="VBE27:VBF27"/>
    <mergeCell ref="VBG27:VBH27"/>
    <mergeCell ref="VAK27:VAL27"/>
    <mergeCell ref="VAM27:VAN27"/>
    <mergeCell ref="VAO27:VAP27"/>
    <mergeCell ref="VAQ27:VAR27"/>
    <mergeCell ref="VAS27:VAT27"/>
    <mergeCell ref="VAU27:VAV27"/>
    <mergeCell ref="UZY27:UZZ27"/>
    <mergeCell ref="VAA27:VAB27"/>
    <mergeCell ref="VAC27:VAD27"/>
    <mergeCell ref="VAE27:VAF27"/>
    <mergeCell ref="VAG27:VAH27"/>
    <mergeCell ref="VAI27:VAJ27"/>
    <mergeCell ref="UZM27:UZN27"/>
    <mergeCell ref="UZO27:UZP27"/>
    <mergeCell ref="UZQ27:UZR27"/>
    <mergeCell ref="UZS27:UZT27"/>
    <mergeCell ref="UZU27:UZV27"/>
    <mergeCell ref="UZW27:UZX27"/>
    <mergeCell ref="UZA27:UZB27"/>
    <mergeCell ref="UZC27:UZD27"/>
    <mergeCell ref="UZE27:UZF27"/>
    <mergeCell ref="UZG27:UZH27"/>
    <mergeCell ref="UZI27:UZJ27"/>
    <mergeCell ref="UZK27:UZL27"/>
    <mergeCell ref="VEC27:VED27"/>
    <mergeCell ref="VEE27:VEF27"/>
    <mergeCell ref="VEG27:VEH27"/>
    <mergeCell ref="VEI27:VEJ27"/>
    <mergeCell ref="VEK27:VEL27"/>
    <mergeCell ref="VEM27:VEN27"/>
    <mergeCell ref="VDQ27:VDR27"/>
    <mergeCell ref="VDS27:VDT27"/>
    <mergeCell ref="VDU27:VDV27"/>
    <mergeCell ref="VDW27:VDX27"/>
    <mergeCell ref="VDY27:VDZ27"/>
    <mergeCell ref="VEA27:VEB27"/>
    <mergeCell ref="VDE27:VDF27"/>
    <mergeCell ref="VDG27:VDH27"/>
    <mergeCell ref="VDI27:VDJ27"/>
    <mergeCell ref="VDK27:VDL27"/>
    <mergeCell ref="VDM27:VDN27"/>
    <mergeCell ref="VDO27:VDP27"/>
    <mergeCell ref="VCS27:VCT27"/>
    <mergeCell ref="VCU27:VCV27"/>
    <mergeCell ref="VCW27:VCX27"/>
    <mergeCell ref="VCY27:VCZ27"/>
    <mergeCell ref="VDA27:VDB27"/>
    <mergeCell ref="VDC27:VDD27"/>
    <mergeCell ref="VCG27:VCH27"/>
    <mergeCell ref="VCI27:VCJ27"/>
    <mergeCell ref="VCK27:VCL27"/>
    <mergeCell ref="VCM27:VCN27"/>
    <mergeCell ref="VCO27:VCP27"/>
    <mergeCell ref="VCQ27:VCR27"/>
    <mergeCell ref="VBU27:VBV27"/>
    <mergeCell ref="VBW27:VBX27"/>
    <mergeCell ref="VBY27:VBZ27"/>
    <mergeCell ref="VCA27:VCB27"/>
    <mergeCell ref="VCC27:VCD27"/>
    <mergeCell ref="VCE27:VCF27"/>
    <mergeCell ref="VGW27:VGX27"/>
    <mergeCell ref="VGY27:VGZ27"/>
    <mergeCell ref="VHA27:VHB27"/>
    <mergeCell ref="VHC27:VHD27"/>
    <mergeCell ref="VHE27:VHF27"/>
    <mergeCell ref="VHG27:VHH27"/>
    <mergeCell ref="VGK27:VGL27"/>
    <mergeCell ref="VGM27:VGN27"/>
    <mergeCell ref="VGO27:VGP27"/>
    <mergeCell ref="VGQ27:VGR27"/>
    <mergeCell ref="VGS27:VGT27"/>
    <mergeCell ref="VGU27:VGV27"/>
    <mergeCell ref="VFY27:VFZ27"/>
    <mergeCell ref="VGA27:VGB27"/>
    <mergeCell ref="VGC27:VGD27"/>
    <mergeCell ref="VGE27:VGF27"/>
    <mergeCell ref="VGG27:VGH27"/>
    <mergeCell ref="VGI27:VGJ27"/>
    <mergeCell ref="VFM27:VFN27"/>
    <mergeCell ref="VFO27:VFP27"/>
    <mergeCell ref="VFQ27:VFR27"/>
    <mergeCell ref="VFS27:VFT27"/>
    <mergeCell ref="VFU27:VFV27"/>
    <mergeCell ref="VFW27:VFX27"/>
    <mergeCell ref="VFA27:VFB27"/>
    <mergeCell ref="VFC27:VFD27"/>
    <mergeCell ref="VFE27:VFF27"/>
    <mergeCell ref="VFG27:VFH27"/>
    <mergeCell ref="VFI27:VFJ27"/>
    <mergeCell ref="VFK27:VFL27"/>
    <mergeCell ref="VEO27:VEP27"/>
    <mergeCell ref="VEQ27:VER27"/>
    <mergeCell ref="VES27:VET27"/>
    <mergeCell ref="VEU27:VEV27"/>
    <mergeCell ref="VEW27:VEX27"/>
    <mergeCell ref="VEY27:VEZ27"/>
    <mergeCell ref="VJQ27:VJR27"/>
    <mergeCell ref="VJS27:VJT27"/>
    <mergeCell ref="VJU27:VJV27"/>
    <mergeCell ref="VJW27:VJX27"/>
    <mergeCell ref="VJY27:VJZ27"/>
    <mergeCell ref="VKA27:VKB27"/>
    <mergeCell ref="VJE27:VJF27"/>
    <mergeCell ref="VJG27:VJH27"/>
    <mergeCell ref="VJI27:VJJ27"/>
    <mergeCell ref="VJK27:VJL27"/>
    <mergeCell ref="VJM27:VJN27"/>
    <mergeCell ref="VJO27:VJP27"/>
    <mergeCell ref="VIS27:VIT27"/>
    <mergeCell ref="VIU27:VIV27"/>
    <mergeCell ref="VIW27:VIX27"/>
    <mergeCell ref="VIY27:VIZ27"/>
    <mergeCell ref="VJA27:VJB27"/>
    <mergeCell ref="VJC27:VJD27"/>
    <mergeCell ref="VIG27:VIH27"/>
    <mergeCell ref="VII27:VIJ27"/>
    <mergeCell ref="VIK27:VIL27"/>
    <mergeCell ref="VIM27:VIN27"/>
    <mergeCell ref="VIO27:VIP27"/>
    <mergeCell ref="VIQ27:VIR27"/>
    <mergeCell ref="VHU27:VHV27"/>
    <mergeCell ref="VHW27:VHX27"/>
    <mergeCell ref="VHY27:VHZ27"/>
    <mergeCell ref="VIA27:VIB27"/>
    <mergeCell ref="VIC27:VID27"/>
    <mergeCell ref="VIE27:VIF27"/>
    <mergeCell ref="VHI27:VHJ27"/>
    <mergeCell ref="VHK27:VHL27"/>
    <mergeCell ref="VHM27:VHN27"/>
    <mergeCell ref="VHO27:VHP27"/>
    <mergeCell ref="VHQ27:VHR27"/>
    <mergeCell ref="VHS27:VHT27"/>
    <mergeCell ref="VMK27:VML27"/>
    <mergeCell ref="VMM27:VMN27"/>
    <mergeCell ref="VMO27:VMP27"/>
    <mergeCell ref="VMQ27:VMR27"/>
    <mergeCell ref="VMS27:VMT27"/>
    <mergeCell ref="VMU27:VMV27"/>
    <mergeCell ref="VLY27:VLZ27"/>
    <mergeCell ref="VMA27:VMB27"/>
    <mergeCell ref="VMC27:VMD27"/>
    <mergeCell ref="VME27:VMF27"/>
    <mergeCell ref="VMG27:VMH27"/>
    <mergeCell ref="VMI27:VMJ27"/>
    <mergeCell ref="VLM27:VLN27"/>
    <mergeCell ref="VLO27:VLP27"/>
    <mergeCell ref="VLQ27:VLR27"/>
    <mergeCell ref="VLS27:VLT27"/>
    <mergeCell ref="VLU27:VLV27"/>
    <mergeCell ref="VLW27:VLX27"/>
    <mergeCell ref="VLA27:VLB27"/>
    <mergeCell ref="VLC27:VLD27"/>
    <mergeCell ref="VLE27:VLF27"/>
    <mergeCell ref="VLG27:VLH27"/>
    <mergeCell ref="VLI27:VLJ27"/>
    <mergeCell ref="VLK27:VLL27"/>
    <mergeCell ref="VKO27:VKP27"/>
    <mergeCell ref="VKQ27:VKR27"/>
    <mergeCell ref="VKS27:VKT27"/>
    <mergeCell ref="VKU27:VKV27"/>
    <mergeCell ref="VKW27:VKX27"/>
    <mergeCell ref="VKY27:VKZ27"/>
    <mergeCell ref="VKC27:VKD27"/>
    <mergeCell ref="VKE27:VKF27"/>
    <mergeCell ref="VKG27:VKH27"/>
    <mergeCell ref="VKI27:VKJ27"/>
    <mergeCell ref="VKK27:VKL27"/>
    <mergeCell ref="VKM27:VKN27"/>
    <mergeCell ref="VPE27:VPF27"/>
    <mergeCell ref="VPG27:VPH27"/>
    <mergeCell ref="VPI27:VPJ27"/>
    <mergeCell ref="VPK27:VPL27"/>
    <mergeCell ref="VPM27:VPN27"/>
    <mergeCell ref="VPO27:VPP27"/>
    <mergeCell ref="VOS27:VOT27"/>
    <mergeCell ref="VOU27:VOV27"/>
    <mergeCell ref="VOW27:VOX27"/>
    <mergeCell ref="VOY27:VOZ27"/>
    <mergeCell ref="VPA27:VPB27"/>
    <mergeCell ref="VPC27:VPD27"/>
    <mergeCell ref="VOG27:VOH27"/>
    <mergeCell ref="VOI27:VOJ27"/>
    <mergeCell ref="VOK27:VOL27"/>
    <mergeCell ref="VOM27:VON27"/>
    <mergeCell ref="VOO27:VOP27"/>
    <mergeCell ref="VOQ27:VOR27"/>
    <mergeCell ref="VNU27:VNV27"/>
    <mergeCell ref="VNW27:VNX27"/>
    <mergeCell ref="VNY27:VNZ27"/>
    <mergeCell ref="VOA27:VOB27"/>
    <mergeCell ref="VOC27:VOD27"/>
    <mergeCell ref="VOE27:VOF27"/>
    <mergeCell ref="VNI27:VNJ27"/>
    <mergeCell ref="VNK27:VNL27"/>
    <mergeCell ref="VNM27:VNN27"/>
    <mergeCell ref="VNO27:VNP27"/>
    <mergeCell ref="VNQ27:VNR27"/>
    <mergeCell ref="VNS27:VNT27"/>
    <mergeCell ref="VMW27:VMX27"/>
    <mergeCell ref="VMY27:VMZ27"/>
    <mergeCell ref="VNA27:VNB27"/>
    <mergeCell ref="VNC27:VND27"/>
    <mergeCell ref="VNE27:VNF27"/>
    <mergeCell ref="VNG27:VNH27"/>
    <mergeCell ref="VRY27:VRZ27"/>
    <mergeCell ref="VSA27:VSB27"/>
    <mergeCell ref="VSC27:VSD27"/>
    <mergeCell ref="VSE27:VSF27"/>
    <mergeCell ref="VSG27:VSH27"/>
    <mergeCell ref="VSI27:VSJ27"/>
    <mergeCell ref="VRM27:VRN27"/>
    <mergeCell ref="VRO27:VRP27"/>
    <mergeCell ref="VRQ27:VRR27"/>
    <mergeCell ref="VRS27:VRT27"/>
    <mergeCell ref="VRU27:VRV27"/>
    <mergeCell ref="VRW27:VRX27"/>
    <mergeCell ref="VRA27:VRB27"/>
    <mergeCell ref="VRC27:VRD27"/>
    <mergeCell ref="VRE27:VRF27"/>
    <mergeCell ref="VRG27:VRH27"/>
    <mergeCell ref="VRI27:VRJ27"/>
    <mergeCell ref="VRK27:VRL27"/>
    <mergeCell ref="VQO27:VQP27"/>
    <mergeCell ref="VQQ27:VQR27"/>
    <mergeCell ref="VQS27:VQT27"/>
    <mergeCell ref="VQU27:VQV27"/>
    <mergeCell ref="VQW27:VQX27"/>
    <mergeCell ref="VQY27:VQZ27"/>
    <mergeCell ref="VQC27:VQD27"/>
    <mergeCell ref="VQE27:VQF27"/>
    <mergeCell ref="VQG27:VQH27"/>
    <mergeCell ref="VQI27:VQJ27"/>
    <mergeCell ref="VQK27:VQL27"/>
    <mergeCell ref="VQM27:VQN27"/>
    <mergeCell ref="VPQ27:VPR27"/>
    <mergeCell ref="VPS27:VPT27"/>
    <mergeCell ref="VPU27:VPV27"/>
    <mergeCell ref="VPW27:VPX27"/>
    <mergeCell ref="VPY27:VPZ27"/>
    <mergeCell ref="VQA27:VQB27"/>
    <mergeCell ref="VUS27:VUT27"/>
    <mergeCell ref="VUU27:VUV27"/>
    <mergeCell ref="VUW27:VUX27"/>
    <mergeCell ref="VUY27:VUZ27"/>
    <mergeCell ref="VVA27:VVB27"/>
    <mergeCell ref="VVC27:VVD27"/>
    <mergeCell ref="VUG27:VUH27"/>
    <mergeCell ref="VUI27:VUJ27"/>
    <mergeCell ref="VUK27:VUL27"/>
    <mergeCell ref="VUM27:VUN27"/>
    <mergeCell ref="VUO27:VUP27"/>
    <mergeCell ref="VUQ27:VUR27"/>
    <mergeCell ref="VTU27:VTV27"/>
    <mergeCell ref="VTW27:VTX27"/>
    <mergeCell ref="VTY27:VTZ27"/>
    <mergeCell ref="VUA27:VUB27"/>
    <mergeCell ref="VUC27:VUD27"/>
    <mergeCell ref="VUE27:VUF27"/>
    <mergeCell ref="VTI27:VTJ27"/>
    <mergeCell ref="VTK27:VTL27"/>
    <mergeCell ref="VTM27:VTN27"/>
    <mergeCell ref="VTO27:VTP27"/>
    <mergeCell ref="VTQ27:VTR27"/>
    <mergeCell ref="VTS27:VTT27"/>
    <mergeCell ref="VSW27:VSX27"/>
    <mergeCell ref="VSY27:VSZ27"/>
    <mergeCell ref="VTA27:VTB27"/>
    <mergeCell ref="VTC27:VTD27"/>
    <mergeCell ref="VTE27:VTF27"/>
    <mergeCell ref="VTG27:VTH27"/>
    <mergeCell ref="VSK27:VSL27"/>
    <mergeCell ref="VSM27:VSN27"/>
    <mergeCell ref="VSO27:VSP27"/>
    <mergeCell ref="VSQ27:VSR27"/>
    <mergeCell ref="VSS27:VST27"/>
    <mergeCell ref="VSU27:VSV27"/>
    <mergeCell ref="VXM27:VXN27"/>
    <mergeCell ref="VXO27:VXP27"/>
    <mergeCell ref="VXQ27:VXR27"/>
    <mergeCell ref="VXS27:VXT27"/>
    <mergeCell ref="VXU27:VXV27"/>
    <mergeCell ref="VXW27:VXX27"/>
    <mergeCell ref="VXA27:VXB27"/>
    <mergeCell ref="VXC27:VXD27"/>
    <mergeCell ref="VXE27:VXF27"/>
    <mergeCell ref="VXG27:VXH27"/>
    <mergeCell ref="VXI27:VXJ27"/>
    <mergeCell ref="VXK27:VXL27"/>
    <mergeCell ref="VWO27:VWP27"/>
    <mergeCell ref="VWQ27:VWR27"/>
    <mergeCell ref="VWS27:VWT27"/>
    <mergeCell ref="VWU27:VWV27"/>
    <mergeCell ref="VWW27:VWX27"/>
    <mergeCell ref="VWY27:VWZ27"/>
    <mergeCell ref="VWC27:VWD27"/>
    <mergeCell ref="VWE27:VWF27"/>
    <mergeCell ref="VWG27:VWH27"/>
    <mergeCell ref="VWI27:VWJ27"/>
    <mergeCell ref="VWK27:VWL27"/>
    <mergeCell ref="VWM27:VWN27"/>
    <mergeCell ref="VVQ27:VVR27"/>
    <mergeCell ref="VVS27:VVT27"/>
    <mergeCell ref="VVU27:VVV27"/>
    <mergeCell ref="VVW27:VVX27"/>
    <mergeCell ref="VVY27:VVZ27"/>
    <mergeCell ref="VWA27:VWB27"/>
    <mergeCell ref="VVE27:VVF27"/>
    <mergeCell ref="VVG27:VVH27"/>
    <mergeCell ref="VVI27:VVJ27"/>
    <mergeCell ref="VVK27:VVL27"/>
    <mergeCell ref="VVM27:VVN27"/>
    <mergeCell ref="VVO27:VVP27"/>
    <mergeCell ref="WAG27:WAH27"/>
    <mergeCell ref="WAI27:WAJ27"/>
    <mergeCell ref="WAK27:WAL27"/>
    <mergeCell ref="WAM27:WAN27"/>
    <mergeCell ref="WAO27:WAP27"/>
    <mergeCell ref="WAQ27:WAR27"/>
    <mergeCell ref="VZU27:VZV27"/>
    <mergeCell ref="VZW27:VZX27"/>
    <mergeCell ref="VZY27:VZZ27"/>
    <mergeCell ref="WAA27:WAB27"/>
    <mergeCell ref="WAC27:WAD27"/>
    <mergeCell ref="WAE27:WAF27"/>
    <mergeCell ref="VZI27:VZJ27"/>
    <mergeCell ref="VZK27:VZL27"/>
    <mergeCell ref="VZM27:VZN27"/>
    <mergeCell ref="VZO27:VZP27"/>
    <mergeCell ref="VZQ27:VZR27"/>
    <mergeCell ref="VZS27:VZT27"/>
    <mergeCell ref="VYW27:VYX27"/>
    <mergeCell ref="VYY27:VYZ27"/>
    <mergeCell ref="VZA27:VZB27"/>
    <mergeCell ref="VZC27:VZD27"/>
    <mergeCell ref="VZE27:VZF27"/>
    <mergeCell ref="VZG27:VZH27"/>
    <mergeCell ref="VYK27:VYL27"/>
    <mergeCell ref="VYM27:VYN27"/>
    <mergeCell ref="VYO27:VYP27"/>
    <mergeCell ref="VYQ27:VYR27"/>
    <mergeCell ref="VYS27:VYT27"/>
    <mergeCell ref="VYU27:VYV27"/>
    <mergeCell ref="VXY27:VXZ27"/>
    <mergeCell ref="VYA27:VYB27"/>
    <mergeCell ref="VYC27:VYD27"/>
    <mergeCell ref="VYE27:VYF27"/>
    <mergeCell ref="VYG27:VYH27"/>
    <mergeCell ref="VYI27:VYJ27"/>
    <mergeCell ref="WDA27:WDB27"/>
    <mergeCell ref="WDC27:WDD27"/>
    <mergeCell ref="WDE27:WDF27"/>
    <mergeCell ref="WDG27:WDH27"/>
    <mergeCell ref="WDI27:WDJ27"/>
    <mergeCell ref="WDK27:WDL27"/>
    <mergeCell ref="WCO27:WCP27"/>
    <mergeCell ref="WCQ27:WCR27"/>
    <mergeCell ref="WCS27:WCT27"/>
    <mergeCell ref="WCU27:WCV27"/>
    <mergeCell ref="WCW27:WCX27"/>
    <mergeCell ref="WCY27:WCZ27"/>
    <mergeCell ref="WCC27:WCD27"/>
    <mergeCell ref="WCE27:WCF27"/>
    <mergeCell ref="WCG27:WCH27"/>
    <mergeCell ref="WCI27:WCJ27"/>
    <mergeCell ref="WCK27:WCL27"/>
    <mergeCell ref="WCM27:WCN27"/>
    <mergeCell ref="WBQ27:WBR27"/>
    <mergeCell ref="WBS27:WBT27"/>
    <mergeCell ref="WBU27:WBV27"/>
    <mergeCell ref="WBW27:WBX27"/>
    <mergeCell ref="WBY27:WBZ27"/>
    <mergeCell ref="WCA27:WCB27"/>
    <mergeCell ref="WBE27:WBF27"/>
    <mergeCell ref="WBG27:WBH27"/>
    <mergeCell ref="WBI27:WBJ27"/>
    <mergeCell ref="WBK27:WBL27"/>
    <mergeCell ref="WBM27:WBN27"/>
    <mergeCell ref="WBO27:WBP27"/>
    <mergeCell ref="WAS27:WAT27"/>
    <mergeCell ref="WAU27:WAV27"/>
    <mergeCell ref="WAW27:WAX27"/>
    <mergeCell ref="WAY27:WAZ27"/>
    <mergeCell ref="WBA27:WBB27"/>
    <mergeCell ref="WBC27:WBD27"/>
    <mergeCell ref="WFU27:WFV27"/>
    <mergeCell ref="WFW27:WFX27"/>
    <mergeCell ref="WFY27:WFZ27"/>
    <mergeCell ref="WGA27:WGB27"/>
    <mergeCell ref="WGC27:WGD27"/>
    <mergeCell ref="WGE27:WGF27"/>
    <mergeCell ref="WFI27:WFJ27"/>
    <mergeCell ref="WFK27:WFL27"/>
    <mergeCell ref="WFM27:WFN27"/>
    <mergeCell ref="WFO27:WFP27"/>
    <mergeCell ref="WFQ27:WFR27"/>
    <mergeCell ref="WFS27:WFT27"/>
    <mergeCell ref="WEW27:WEX27"/>
    <mergeCell ref="WEY27:WEZ27"/>
    <mergeCell ref="WFA27:WFB27"/>
    <mergeCell ref="WFC27:WFD27"/>
    <mergeCell ref="WFE27:WFF27"/>
    <mergeCell ref="WFG27:WFH27"/>
    <mergeCell ref="WEK27:WEL27"/>
    <mergeCell ref="WEM27:WEN27"/>
    <mergeCell ref="WEO27:WEP27"/>
    <mergeCell ref="WEQ27:WER27"/>
    <mergeCell ref="WES27:WET27"/>
    <mergeCell ref="WEU27:WEV27"/>
    <mergeCell ref="WDY27:WDZ27"/>
    <mergeCell ref="WEA27:WEB27"/>
    <mergeCell ref="WEC27:WED27"/>
    <mergeCell ref="WEE27:WEF27"/>
    <mergeCell ref="WEG27:WEH27"/>
    <mergeCell ref="WEI27:WEJ27"/>
    <mergeCell ref="WDM27:WDN27"/>
    <mergeCell ref="WDO27:WDP27"/>
    <mergeCell ref="WDQ27:WDR27"/>
    <mergeCell ref="WDS27:WDT27"/>
    <mergeCell ref="WDU27:WDV27"/>
    <mergeCell ref="WDW27:WDX27"/>
    <mergeCell ref="WIO27:WIP27"/>
    <mergeCell ref="WIQ27:WIR27"/>
    <mergeCell ref="WIS27:WIT27"/>
    <mergeCell ref="WIU27:WIV27"/>
    <mergeCell ref="WIW27:WIX27"/>
    <mergeCell ref="WIY27:WIZ27"/>
    <mergeCell ref="WIC27:WID27"/>
    <mergeCell ref="WIE27:WIF27"/>
    <mergeCell ref="WIG27:WIH27"/>
    <mergeCell ref="WII27:WIJ27"/>
    <mergeCell ref="WIK27:WIL27"/>
    <mergeCell ref="WIM27:WIN27"/>
    <mergeCell ref="WHQ27:WHR27"/>
    <mergeCell ref="WHS27:WHT27"/>
    <mergeCell ref="WHU27:WHV27"/>
    <mergeCell ref="WHW27:WHX27"/>
    <mergeCell ref="WHY27:WHZ27"/>
    <mergeCell ref="WIA27:WIB27"/>
    <mergeCell ref="WHE27:WHF27"/>
    <mergeCell ref="WHG27:WHH27"/>
    <mergeCell ref="WHI27:WHJ27"/>
    <mergeCell ref="WHK27:WHL27"/>
    <mergeCell ref="WHM27:WHN27"/>
    <mergeCell ref="WHO27:WHP27"/>
    <mergeCell ref="WGS27:WGT27"/>
    <mergeCell ref="WGU27:WGV27"/>
    <mergeCell ref="WGW27:WGX27"/>
    <mergeCell ref="WGY27:WGZ27"/>
    <mergeCell ref="WHA27:WHB27"/>
    <mergeCell ref="WHC27:WHD27"/>
    <mergeCell ref="WGG27:WGH27"/>
    <mergeCell ref="WGI27:WGJ27"/>
    <mergeCell ref="WGK27:WGL27"/>
    <mergeCell ref="WGM27:WGN27"/>
    <mergeCell ref="WGO27:WGP27"/>
    <mergeCell ref="WGQ27:WGR27"/>
    <mergeCell ref="WLI27:WLJ27"/>
    <mergeCell ref="WLK27:WLL27"/>
    <mergeCell ref="WLM27:WLN27"/>
    <mergeCell ref="WLO27:WLP27"/>
    <mergeCell ref="WLQ27:WLR27"/>
    <mergeCell ref="WLS27:WLT27"/>
    <mergeCell ref="WKW27:WKX27"/>
    <mergeCell ref="WKY27:WKZ27"/>
    <mergeCell ref="WLA27:WLB27"/>
    <mergeCell ref="WLC27:WLD27"/>
    <mergeCell ref="WLE27:WLF27"/>
    <mergeCell ref="WLG27:WLH27"/>
    <mergeCell ref="WKK27:WKL27"/>
    <mergeCell ref="WKM27:WKN27"/>
    <mergeCell ref="WKO27:WKP27"/>
    <mergeCell ref="WKQ27:WKR27"/>
    <mergeCell ref="WKS27:WKT27"/>
    <mergeCell ref="WKU27:WKV27"/>
    <mergeCell ref="WJY27:WJZ27"/>
    <mergeCell ref="WKA27:WKB27"/>
    <mergeCell ref="WKC27:WKD27"/>
    <mergeCell ref="WKE27:WKF27"/>
    <mergeCell ref="WKG27:WKH27"/>
    <mergeCell ref="WKI27:WKJ27"/>
    <mergeCell ref="WJM27:WJN27"/>
    <mergeCell ref="WJO27:WJP27"/>
    <mergeCell ref="WJQ27:WJR27"/>
    <mergeCell ref="WJS27:WJT27"/>
    <mergeCell ref="WJU27:WJV27"/>
    <mergeCell ref="WJW27:WJX27"/>
    <mergeCell ref="WJA27:WJB27"/>
    <mergeCell ref="WJC27:WJD27"/>
    <mergeCell ref="WJE27:WJF27"/>
    <mergeCell ref="WJG27:WJH27"/>
    <mergeCell ref="WJI27:WJJ27"/>
    <mergeCell ref="WJK27:WJL27"/>
    <mergeCell ref="WOC27:WOD27"/>
    <mergeCell ref="WOE27:WOF27"/>
    <mergeCell ref="WOG27:WOH27"/>
    <mergeCell ref="WOI27:WOJ27"/>
    <mergeCell ref="WOK27:WOL27"/>
    <mergeCell ref="WOM27:WON27"/>
    <mergeCell ref="WNQ27:WNR27"/>
    <mergeCell ref="WNS27:WNT27"/>
    <mergeCell ref="WNU27:WNV27"/>
    <mergeCell ref="WNW27:WNX27"/>
    <mergeCell ref="WNY27:WNZ27"/>
    <mergeCell ref="WOA27:WOB27"/>
    <mergeCell ref="WNE27:WNF27"/>
    <mergeCell ref="WNG27:WNH27"/>
    <mergeCell ref="WNI27:WNJ27"/>
    <mergeCell ref="WNK27:WNL27"/>
    <mergeCell ref="WNM27:WNN27"/>
    <mergeCell ref="WNO27:WNP27"/>
    <mergeCell ref="WMS27:WMT27"/>
    <mergeCell ref="WMU27:WMV27"/>
    <mergeCell ref="WMW27:WMX27"/>
    <mergeCell ref="WMY27:WMZ27"/>
    <mergeCell ref="WNA27:WNB27"/>
    <mergeCell ref="WNC27:WND27"/>
    <mergeCell ref="WMG27:WMH27"/>
    <mergeCell ref="WMI27:WMJ27"/>
    <mergeCell ref="WMK27:WML27"/>
    <mergeCell ref="WMM27:WMN27"/>
    <mergeCell ref="WMO27:WMP27"/>
    <mergeCell ref="WMQ27:WMR27"/>
    <mergeCell ref="WLU27:WLV27"/>
    <mergeCell ref="WLW27:WLX27"/>
    <mergeCell ref="WLY27:WLZ27"/>
    <mergeCell ref="WMA27:WMB27"/>
    <mergeCell ref="WMC27:WMD27"/>
    <mergeCell ref="WME27:WMF27"/>
    <mergeCell ref="WQW27:WQX27"/>
    <mergeCell ref="WQY27:WQZ27"/>
    <mergeCell ref="WRA27:WRB27"/>
    <mergeCell ref="WRC27:WRD27"/>
    <mergeCell ref="WRE27:WRF27"/>
    <mergeCell ref="WRG27:WRH27"/>
    <mergeCell ref="WQK27:WQL27"/>
    <mergeCell ref="WQM27:WQN27"/>
    <mergeCell ref="WQO27:WQP27"/>
    <mergeCell ref="WQQ27:WQR27"/>
    <mergeCell ref="WQS27:WQT27"/>
    <mergeCell ref="WQU27:WQV27"/>
    <mergeCell ref="WPY27:WPZ27"/>
    <mergeCell ref="WQA27:WQB27"/>
    <mergeCell ref="WQC27:WQD27"/>
    <mergeCell ref="WQE27:WQF27"/>
    <mergeCell ref="WQG27:WQH27"/>
    <mergeCell ref="WQI27:WQJ27"/>
    <mergeCell ref="WPM27:WPN27"/>
    <mergeCell ref="WPO27:WPP27"/>
    <mergeCell ref="WPQ27:WPR27"/>
    <mergeCell ref="WPS27:WPT27"/>
    <mergeCell ref="WPU27:WPV27"/>
    <mergeCell ref="WPW27:WPX27"/>
    <mergeCell ref="WPA27:WPB27"/>
    <mergeCell ref="WPC27:WPD27"/>
    <mergeCell ref="WPE27:WPF27"/>
    <mergeCell ref="WPG27:WPH27"/>
    <mergeCell ref="WPI27:WPJ27"/>
    <mergeCell ref="WPK27:WPL27"/>
    <mergeCell ref="WOO27:WOP27"/>
    <mergeCell ref="WOQ27:WOR27"/>
    <mergeCell ref="WOS27:WOT27"/>
    <mergeCell ref="WOU27:WOV27"/>
    <mergeCell ref="WOW27:WOX27"/>
    <mergeCell ref="WOY27:WOZ27"/>
    <mergeCell ref="WTQ27:WTR27"/>
    <mergeCell ref="WTS27:WTT27"/>
    <mergeCell ref="WTU27:WTV27"/>
    <mergeCell ref="WTW27:WTX27"/>
    <mergeCell ref="WTY27:WTZ27"/>
    <mergeCell ref="WUA27:WUB27"/>
    <mergeCell ref="WTE27:WTF27"/>
    <mergeCell ref="WTG27:WTH27"/>
    <mergeCell ref="WTI27:WTJ27"/>
    <mergeCell ref="WTK27:WTL27"/>
    <mergeCell ref="WTM27:WTN27"/>
    <mergeCell ref="WTO27:WTP27"/>
    <mergeCell ref="WSS27:WST27"/>
    <mergeCell ref="WSU27:WSV27"/>
    <mergeCell ref="WSW27:WSX27"/>
    <mergeCell ref="WSY27:WSZ27"/>
    <mergeCell ref="WTA27:WTB27"/>
    <mergeCell ref="WTC27:WTD27"/>
    <mergeCell ref="WSG27:WSH27"/>
    <mergeCell ref="WSI27:WSJ27"/>
    <mergeCell ref="WSK27:WSL27"/>
    <mergeCell ref="WSM27:WSN27"/>
    <mergeCell ref="WSO27:WSP27"/>
    <mergeCell ref="WSQ27:WSR27"/>
    <mergeCell ref="WRU27:WRV27"/>
    <mergeCell ref="WRW27:WRX27"/>
    <mergeCell ref="WRY27:WRZ27"/>
    <mergeCell ref="WSA27:WSB27"/>
    <mergeCell ref="WSC27:WSD27"/>
    <mergeCell ref="WSE27:WSF27"/>
    <mergeCell ref="WRI27:WRJ27"/>
    <mergeCell ref="WRK27:WRL27"/>
    <mergeCell ref="WRM27:WRN27"/>
    <mergeCell ref="WRO27:WRP27"/>
    <mergeCell ref="WRQ27:WRR27"/>
    <mergeCell ref="WRS27:WRT27"/>
    <mergeCell ref="WWK27:WWL27"/>
    <mergeCell ref="WWM27:WWN27"/>
    <mergeCell ref="WWO27:WWP27"/>
    <mergeCell ref="WWQ27:WWR27"/>
    <mergeCell ref="WWS27:WWT27"/>
    <mergeCell ref="WWU27:WWV27"/>
    <mergeCell ref="WVY27:WVZ27"/>
    <mergeCell ref="WWA27:WWB27"/>
    <mergeCell ref="WWC27:WWD27"/>
    <mergeCell ref="WWE27:WWF27"/>
    <mergeCell ref="WWG27:WWH27"/>
    <mergeCell ref="WWI27:WWJ27"/>
    <mergeCell ref="WVM27:WVN27"/>
    <mergeCell ref="WVO27:WVP27"/>
    <mergeCell ref="WVQ27:WVR27"/>
    <mergeCell ref="WVS27:WVT27"/>
    <mergeCell ref="WVU27:WVV27"/>
    <mergeCell ref="WVW27:WVX27"/>
    <mergeCell ref="WVA27:WVB27"/>
    <mergeCell ref="WVC27:WVD27"/>
    <mergeCell ref="WVE27:WVF27"/>
    <mergeCell ref="WVG27:WVH27"/>
    <mergeCell ref="WVI27:WVJ27"/>
    <mergeCell ref="WVK27:WVL27"/>
    <mergeCell ref="WUO27:WUP27"/>
    <mergeCell ref="WUQ27:WUR27"/>
    <mergeCell ref="WUS27:WUT27"/>
    <mergeCell ref="WUU27:WUV27"/>
    <mergeCell ref="WUW27:WUX27"/>
    <mergeCell ref="WUY27:WUZ27"/>
    <mergeCell ref="WUC27:WUD27"/>
    <mergeCell ref="WUE27:WUF27"/>
    <mergeCell ref="WUG27:WUH27"/>
    <mergeCell ref="WUI27:WUJ27"/>
    <mergeCell ref="WUK27:WUL27"/>
    <mergeCell ref="WUM27:WUN27"/>
    <mergeCell ref="WZE27:WZF27"/>
    <mergeCell ref="WZG27:WZH27"/>
    <mergeCell ref="WZI27:WZJ27"/>
    <mergeCell ref="WZK27:WZL27"/>
    <mergeCell ref="WZM27:WZN27"/>
    <mergeCell ref="WZO27:WZP27"/>
    <mergeCell ref="WYS27:WYT27"/>
    <mergeCell ref="WYU27:WYV27"/>
    <mergeCell ref="WYW27:WYX27"/>
    <mergeCell ref="WYY27:WYZ27"/>
    <mergeCell ref="WZA27:WZB27"/>
    <mergeCell ref="WZC27:WZD27"/>
    <mergeCell ref="WYG27:WYH27"/>
    <mergeCell ref="WYI27:WYJ27"/>
    <mergeCell ref="WYK27:WYL27"/>
    <mergeCell ref="WYM27:WYN27"/>
    <mergeCell ref="WYO27:WYP27"/>
    <mergeCell ref="WYQ27:WYR27"/>
    <mergeCell ref="WXU27:WXV27"/>
    <mergeCell ref="WXW27:WXX27"/>
    <mergeCell ref="WXY27:WXZ27"/>
    <mergeCell ref="WYA27:WYB27"/>
    <mergeCell ref="WYC27:WYD27"/>
    <mergeCell ref="WYE27:WYF27"/>
    <mergeCell ref="WXI27:WXJ27"/>
    <mergeCell ref="WXK27:WXL27"/>
    <mergeCell ref="WXM27:WXN27"/>
    <mergeCell ref="WXO27:WXP27"/>
    <mergeCell ref="WXQ27:WXR27"/>
    <mergeCell ref="WXS27:WXT27"/>
    <mergeCell ref="WWW27:WWX27"/>
    <mergeCell ref="WWY27:WWZ27"/>
    <mergeCell ref="WXA27:WXB27"/>
    <mergeCell ref="WXC27:WXD27"/>
    <mergeCell ref="WXE27:WXF27"/>
    <mergeCell ref="WXG27:WXH27"/>
    <mergeCell ref="XBY27:XBZ27"/>
    <mergeCell ref="XCA27:XCB27"/>
    <mergeCell ref="XCC27:XCD27"/>
    <mergeCell ref="XCE27:XCF27"/>
    <mergeCell ref="XCG27:XCH27"/>
    <mergeCell ref="XCI27:XCJ27"/>
    <mergeCell ref="XBM27:XBN27"/>
    <mergeCell ref="XBO27:XBP27"/>
    <mergeCell ref="XBQ27:XBR27"/>
    <mergeCell ref="XBS27:XBT27"/>
    <mergeCell ref="XBU27:XBV27"/>
    <mergeCell ref="XBW27:XBX27"/>
    <mergeCell ref="XBA27:XBB27"/>
    <mergeCell ref="XBC27:XBD27"/>
    <mergeCell ref="XBE27:XBF27"/>
    <mergeCell ref="XBG27:XBH27"/>
    <mergeCell ref="XBI27:XBJ27"/>
    <mergeCell ref="XBK27:XBL27"/>
    <mergeCell ref="XAO27:XAP27"/>
    <mergeCell ref="XAQ27:XAR27"/>
    <mergeCell ref="XAS27:XAT27"/>
    <mergeCell ref="XAU27:XAV27"/>
    <mergeCell ref="XAW27:XAX27"/>
    <mergeCell ref="XAY27:XAZ27"/>
    <mergeCell ref="XAC27:XAD27"/>
    <mergeCell ref="XAE27:XAF27"/>
    <mergeCell ref="XAG27:XAH27"/>
    <mergeCell ref="XAI27:XAJ27"/>
    <mergeCell ref="XAK27:XAL27"/>
    <mergeCell ref="XAM27:XAN27"/>
    <mergeCell ref="WZQ27:WZR27"/>
    <mergeCell ref="WZS27:WZT27"/>
    <mergeCell ref="WZU27:WZV27"/>
    <mergeCell ref="WZW27:WZX27"/>
    <mergeCell ref="WZY27:WZZ27"/>
    <mergeCell ref="XAA27:XAB27"/>
    <mergeCell ref="XES27:XET27"/>
    <mergeCell ref="XEU27:XEV27"/>
    <mergeCell ref="XEW27:XEX27"/>
    <mergeCell ref="XEY27:XEZ27"/>
    <mergeCell ref="XFA27:XFB27"/>
    <mergeCell ref="XFC27:XFD27"/>
    <mergeCell ref="XEG27:XEH27"/>
    <mergeCell ref="XEI27:XEJ27"/>
    <mergeCell ref="XEK27:XEL27"/>
    <mergeCell ref="XEM27:XEN27"/>
    <mergeCell ref="XEO27:XEP27"/>
    <mergeCell ref="XEQ27:XER27"/>
    <mergeCell ref="XDU27:XDV27"/>
    <mergeCell ref="XDW27:XDX27"/>
    <mergeCell ref="XDY27:XDZ27"/>
    <mergeCell ref="XEA27:XEB27"/>
    <mergeCell ref="XEC27:XED27"/>
    <mergeCell ref="XEE27:XEF27"/>
    <mergeCell ref="XDI27:XDJ27"/>
    <mergeCell ref="XDK27:XDL27"/>
    <mergeCell ref="XDM27:XDN27"/>
    <mergeCell ref="XDO27:XDP27"/>
    <mergeCell ref="XDQ27:XDR27"/>
    <mergeCell ref="XDS27:XDT27"/>
    <mergeCell ref="XCW27:XCX27"/>
    <mergeCell ref="XCY27:XCZ27"/>
    <mergeCell ref="XDA27:XDB27"/>
    <mergeCell ref="XDC27:XDD27"/>
    <mergeCell ref="XDE27:XDF27"/>
    <mergeCell ref="XDG27:XDH27"/>
    <mergeCell ref="XCK27:XCL27"/>
    <mergeCell ref="XCM27:XCN27"/>
    <mergeCell ref="XCO27:XCP27"/>
    <mergeCell ref="XCQ27:XCR27"/>
    <mergeCell ref="XCS27:XCT27"/>
    <mergeCell ref="XCU27:XCV27"/>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M28:N28"/>
    <mergeCell ref="O28:P28"/>
    <mergeCell ref="Q28:R28"/>
    <mergeCell ref="S28:T28"/>
    <mergeCell ref="U28:V28"/>
    <mergeCell ref="W28:X28"/>
    <mergeCell ref="A28:B28"/>
    <mergeCell ref="C28:D28"/>
    <mergeCell ref="E28:F28"/>
    <mergeCell ref="G28:H28"/>
    <mergeCell ref="I28:J28"/>
    <mergeCell ref="K28:L28"/>
    <mergeCell ref="EC28:ED28"/>
    <mergeCell ref="EE28:EF28"/>
    <mergeCell ref="EG28:EH28"/>
    <mergeCell ref="EI28:EJ28"/>
    <mergeCell ref="EK28:EL28"/>
    <mergeCell ref="EM28:EN28"/>
    <mergeCell ref="DQ28:DR28"/>
    <mergeCell ref="DS28:DT28"/>
    <mergeCell ref="DU28:DV28"/>
    <mergeCell ref="DW28:DX28"/>
    <mergeCell ref="DY28:DZ28"/>
    <mergeCell ref="EA28:EB28"/>
    <mergeCell ref="DE28:DF28"/>
    <mergeCell ref="DG28:DH28"/>
    <mergeCell ref="DI28:DJ28"/>
    <mergeCell ref="DK28:DL28"/>
    <mergeCell ref="DM28:DN28"/>
    <mergeCell ref="DO28:DP28"/>
    <mergeCell ref="CS28:CT28"/>
    <mergeCell ref="CU28:CV28"/>
    <mergeCell ref="CW28:CX28"/>
    <mergeCell ref="CY28:CZ28"/>
    <mergeCell ref="DA28:DB28"/>
    <mergeCell ref="DC28:DD28"/>
    <mergeCell ref="CG28:CH28"/>
    <mergeCell ref="CI28:CJ28"/>
    <mergeCell ref="CK28:CL28"/>
    <mergeCell ref="CM28:CN28"/>
    <mergeCell ref="CO28:CP28"/>
    <mergeCell ref="CQ28:CR28"/>
    <mergeCell ref="BU28:BV28"/>
    <mergeCell ref="BW28:BX28"/>
    <mergeCell ref="BY28:BZ28"/>
    <mergeCell ref="CA28:CB28"/>
    <mergeCell ref="CC28:CD28"/>
    <mergeCell ref="CE28:CF28"/>
    <mergeCell ref="GW28:GX28"/>
    <mergeCell ref="GY28:GZ28"/>
    <mergeCell ref="HA28:HB28"/>
    <mergeCell ref="HC28:HD28"/>
    <mergeCell ref="HE28:HF28"/>
    <mergeCell ref="HG28:HH28"/>
    <mergeCell ref="GK28:GL28"/>
    <mergeCell ref="GM28:GN28"/>
    <mergeCell ref="GO28:GP28"/>
    <mergeCell ref="GQ28:GR28"/>
    <mergeCell ref="GS28:GT28"/>
    <mergeCell ref="GU28:GV28"/>
    <mergeCell ref="FY28:FZ28"/>
    <mergeCell ref="GA28:GB28"/>
    <mergeCell ref="GC28:GD28"/>
    <mergeCell ref="GE28:GF28"/>
    <mergeCell ref="GG28:GH28"/>
    <mergeCell ref="GI28:GJ28"/>
    <mergeCell ref="FM28:FN28"/>
    <mergeCell ref="FO28:FP28"/>
    <mergeCell ref="FQ28:FR28"/>
    <mergeCell ref="FS28:FT28"/>
    <mergeCell ref="FU28:FV28"/>
    <mergeCell ref="FW28:FX28"/>
    <mergeCell ref="FA28:FB28"/>
    <mergeCell ref="FC28:FD28"/>
    <mergeCell ref="FE28:FF28"/>
    <mergeCell ref="FG28:FH28"/>
    <mergeCell ref="FI28:FJ28"/>
    <mergeCell ref="FK28:FL28"/>
    <mergeCell ref="EO28:EP28"/>
    <mergeCell ref="EQ28:ER28"/>
    <mergeCell ref="ES28:ET28"/>
    <mergeCell ref="EU28:EV28"/>
    <mergeCell ref="EW28:EX28"/>
    <mergeCell ref="EY28:EZ28"/>
    <mergeCell ref="JQ28:JR28"/>
    <mergeCell ref="JS28:JT28"/>
    <mergeCell ref="JU28:JV28"/>
    <mergeCell ref="JW28:JX28"/>
    <mergeCell ref="JY28:JZ28"/>
    <mergeCell ref="KA28:KB28"/>
    <mergeCell ref="JE28:JF28"/>
    <mergeCell ref="JG28:JH28"/>
    <mergeCell ref="JI28:JJ28"/>
    <mergeCell ref="JK28:JL28"/>
    <mergeCell ref="JM28:JN28"/>
    <mergeCell ref="JO28:JP28"/>
    <mergeCell ref="IS28:IT28"/>
    <mergeCell ref="IU28:IV28"/>
    <mergeCell ref="IW28:IX28"/>
    <mergeCell ref="IY28:IZ28"/>
    <mergeCell ref="JA28:JB28"/>
    <mergeCell ref="JC28:JD28"/>
    <mergeCell ref="IG28:IH28"/>
    <mergeCell ref="II28:IJ28"/>
    <mergeCell ref="IK28:IL28"/>
    <mergeCell ref="IM28:IN28"/>
    <mergeCell ref="IO28:IP28"/>
    <mergeCell ref="IQ28:IR28"/>
    <mergeCell ref="HU28:HV28"/>
    <mergeCell ref="HW28:HX28"/>
    <mergeCell ref="HY28:HZ28"/>
    <mergeCell ref="IA28:IB28"/>
    <mergeCell ref="IC28:ID28"/>
    <mergeCell ref="IE28:IF28"/>
    <mergeCell ref="HI28:HJ28"/>
    <mergeCell ref="HK28:HL28"/>
    <mergeCell ref="HM28:HN28"/>
    <mergeCell ref="HO28:HP28"/>
    <mergeCell ref="HQ28:HR28"/>
    <mergeCell ref="HS28:HT28"/>
    <mergeCell ref="MK28:ML28"/>
    <mergeCell ref="MM28:MN28"/>
    <mergeCell ref="MO28:MP28"/>
    <mergeCell ref="MQ28:MR28"/>
    <mergeCell ref="MS28:MT28"/>
    <mergeCell ref="MU28:MV28"/>
    <mergeCell ref="LY28:LZ28"/>
    <mergeCell ref="MA28:MB28"/>
    <mergeCell ref="MC28:MD28"/>
    <mergeCell ref="ME28:MF28"/>
    <mergeCell ref="MG28:MH28"/>
    <mergeCell ref="MI28:MJ28"/>
    <mergeCell ref="LM28:LN28"/>
    <mergeCell ref="LO28:LP28"/>
    <mergeCell ref="LQ28:LR28"/>
    <mergeCell ref="LS28:LT28"/>
    <mergeCell ref="LU28:LV28"/>
    <mergeCell ref="LW28:LX28"/>
    <mergeCell ref="LA28:LB28"/>
    <mergeCell ref="LC28:LD28"/>
    <mergeCell ref="LE28:LF28"/>
    <mergeCell ref="LG28:LH28"/>
    <mergeCell ref="LI28:LJ28"/>
    <mergeCell ref="LK28:LL28"/>
    <mergeCell ref="KO28:KP28"/>
    <mergeCell ref="KQ28:KR28"/>
    <mergeCell ref="KS28:KT28"/>
    <mergeCell ref="KU28:KV28"/>
    <mergeCell ref="KW28:KX28"/>
    <mergeCell ref="KY28:KZ28"/>
    <mergeCell ref="KC28:KD28"/>
    <mergeCell ref="KE28:KF28"/>
    <mergeCell ref="KG28:KH28"/>
    <mergeCell ref="KI28:KJ28"/>
    <mergeCell ref="KK28:KL28"/>
    <mergeCell ref="KM28:KN28"/>
    <mergeCell ref="PE28:PF28"/>
    <mergeCell ref="PG28:PH28"/>
    <mergeCell ref="PI28:PJ28"/>
    <mergeCell ref="PK28:PL28"/>
    <mergeCell ref="PM28:PN28"/>
    <mergeCell ref="PO28:PP28"/>
    <mergeCell ref="OS28:OT28"/>
    <mergeCell ref="OU28:OV28"/>
    <mergeCell ref="OW28:OX28"/>
    <mergeCell ref="OY28:OZ28"/>
    <mergeCell ref="PA28:PB28"/>
    <mergeCell ref="PC28:PD28"/>
    <mergeCell ref="OG28:OH28"/>
    <mergeCell ref="OI28:OJ28"/>
    <mergeCell ref="OK28:OL28"/>
    <mergeCell ref="OM28:ON28"/>
    <mergeCell ref="OO28:OP28"/>
    <mergeCell ref="OQ28:OR28"/>
    <mergeCell ref="NU28:NV28"/>
    <mergeCell ref="NW28:NX28"/>
    <mergeCell ref="NY28:NZ28"/>
    <mergeCell ref="OA28:OB28"/>
    <mergeCell ref="OC28:OD28"/>
    <mergeCell ref="OE28:OF28"/>
    <mergeCell ref="NI28:NJ28"/>
    <mergeCell ref="NK28:NL28"/>
    <mergeCell ref="NM28:NN28"/>
    <mergeCell ref="NO28:NP28"/>
    <mergeCell ref="NQ28:NR28"/>
    <mergeCell ref="NS28:NT28"/>
    <mergeCell ref="MW28:MX28"/>
    <mergeCell ref="MY28:MZ28"/>
    <mergeCell ref="NA28:NB28"/>
    <mergeCell ref="NC28:ND28"/>
    <mergeCell ref="NE28:NF28"/>
    <mergeCell ref="NG28:NH28"/>
    <mergeCell ref="RY28:RZ28"/>
    <mergeCell ref="SA28:SB28"/>
    <mergeCell ref="SC28:SD28"/>
    <mergeCell ref="SE28:SF28"/>
    <mergeCell ref="SG28:SH28"/>
    <mergeCell ref="SI28:SJ28"/>
    <mergeCell ref="RM28:RN28"/>
    <mergeCell ref="RO28:RP28"/>
    <mergeCell ref="RQ28:RR28"/>
    <mergeCell ref="RS28:RT28"/>
    <mergeCell ref="RU28:RV28"/>
    <mergeCell ref="RW28:RX28"/>
    <mergeCell ref="RA28:RB28"/>
    <mergeCell ref="RC28:RD28"/>
    <mergeCell ref="RE28:RF28"/>
    <mergeCell ref="RG28:RH28"/>
    <mergeCell ref="RI28:RJ28"/>
    <mergeCell ref="RK28:RL28"/>
    <mergeCell ref="QO28:QP28"/>
    <mergeCell ref="QQ28:QR28"/>
    <mergeCell ref="QS28:QT28"/>
    <mergeCell ref="QU28:QV28"/>
    <mergeCell ref="QW28:QX28"/>
    <mergeCell ref="QY28:QZ28"/>
    <mergeCell ref="QC28:QD28"/>
    <mergeCell ref="QE28:QF28"/>
    <mergeCell ref="QG28:QH28"/>
    <mergeCell ref="QI28:QJ28"/>
    <mergeCell ref="QK28:QL28"/>
    <mergeCell ref="QM28:QN28"/>
    <mergeCell ref="PQ28:PR28"/>
    <mergeCell ref="PS28:PT28"/>
    <mergeCell ref="PU28:PV28"/>
    <mergeCell ref="PW28:PX28"/>
    <mergeCell ref="PY28:PZ28"/>
    <mergeCell ref="QA28:QB28"/>
    <mergeCell ref="US28:UT28"/>
    <mergeCell ref="UU28:UV28"/>
    <mergeCell ref="UW28:UX28"/>
    <mergeCell ref="UY28:UZ28"/>
    <mergeCell ref="VA28:VB28"/>
    <mergeCell ref="VC28:VD28"/>
    <mergeCell ref="UG28:UH28"/>
    <mergeCell ref="UI28:UJ28"/>
    <mergeCell ref="UK28:UL28"/>
    <mergeCell ref="UM28:UN28"/>
    <mergeCell ref="UO28:UP28"/>
    <mergeCell ref="UQ28:UR28"/>
    <mergeCell ref="TU28:TV28"/>
    <mergeCell ref="TW28:TX28"/>
    <mergeCell ref="TY28:TZ28"/>
    <mergeCell ref="UA28:UB28"/>
    <mergeCell ref="UC28:UD28"/>
    <mergeCell ref="UE28:UF28"/>
    <mergeCell ref="TI28:TJ28"/>
    <mergeCell ref="TK28:TL28"/>
    <mergeCell ref="TM28:TN28"/>
    <mergeCell ref="TO28:TP28"/>
    <mergeCell ref="TQ28:TR28"/>
    <mergeCell ref="TS28:TT28"/>
    <mergeCell ref="SW28:SX28"/>
    <mergeCell ref="SY28:SZ28"/>
    <mergeCell ref="TA28:TB28"/>
    <mergeCell ref="TC28:TD28"/>
    <mergeCell ref="TE28:TF28"/>
    <mergeCell ref="TG28:TH28"/>
    <mergeCell ref="SK28:SL28"/>
    <mergeCell ref="SM28:SN28"/>
    <mergeCell ref="SO28:SP28"/>
    <mergeCell ref="SQ28:SR28"/>
    <mergeCell ref="SS28:ST28"/>
    <mergeCell ref="SU28:SV28"/>
    <mergeCell ref="XM28:XN28"/>
    <mergeCell ref="XO28:XP28"/>
    <mergeCell ref="XQ28:XR28"/>
    <mergeCell ref="XS28:XT28"/>
    <mergeCell ref="XU28:XV28"/>
    <mergeCell ref="XW28:XX28"/>
    <mergeCell ref="XA28:XB28"/>
    <mergeCell ref="XC28:XD28"/>
    <mergeCell ref="XE28:XF28"/>
    <mergeCell ref="XG28:XH28"/>
    <mergeCell ref="XI28:XJ28"/>
    <mergeCell ref="XK28:XL28"/>
    <mergeCell ref="WO28:WP28"/>
    <mergeCell ref="WQ28:WR28"/>
    <mergeCell ref="WS28:WT28"/>
    <mergeCell ref="WU28:WV28"/>
    <mergeCell ref="WW28:WX28"/>
    <mergeCell ref="WY28:WZ28"/>
    <mergeCell ref="WC28:WD28"/>
    <mergeCell ref="WE28:WF28"/>
    <mergeCell ref="WG28:WH28"/>
    <mergeCell ref="WI28:WJ28"/>
    <mergeCell ref="WK28:WL28"/>
    <mergeCell ref="WM28:WN28"/>
    <mergeCell ref="VQ28:VR28"/>
    <mergeCell ref="VS28:VT28"/>
    <mergeCell ref="VU28:VV28"/>
    <mergeCell ref="VW28:VX28"/>
    <mergeCell ref="VY28:VZ28"/>
    <mergeCell ref="WA28:WB28"/>
    <mergeCell ref="VE28:VF28"/>
    <mergeCell ref="VG28:VH28"/>
    <mergeCell ref="VI28:VJ28"/>
    <mergeCell ref="VK28:VL28"/>
    <mergeCell ref="VM28:VN28"/>
    <mergeCell ref="VO28:VP28"/>
    <mergeCell ref="AAG28:AAH28"/>
    <mergeCell ref="AAI28:AAJ28"/>
    <mergeCell ref="AAK28:AAL28"/>
    <mergeCell ref="AAM28:AAN28"/>
    <mergeCell ref="AAO28:AAP28"/>
    <mergeCell ref="AAQ28:AAR28"/>
    <mergeCell ref="ZU28:ZV28"/>
    <mergeCell ref="ZW28:ZX28"/>
    <mergeCell ref="ZY28:ZZ28"/>
    <mergeCell ref="AAA28:AAB28"/>
    <mergeCell ref="AAC28:AAD28"/>
    <mergeCell ref="AAE28:AAF28"/>
    <mergeCell ref="ZI28:ZJ28"/>
    <mergeCell ref="ZK28:ZL28"/>
    <mergeCell ref="ZM28:ZN28"/>
    <mergeCell ref="ZO28:ZP28"/>
    <mergeCell ref="ZQ28:ZR28"/>
    <mergeCell ref="ZS28:ZT28"/>
    <mergeCell ref="YW28:YX28"/>
    <mergeCell ref="YY28:YZ28"/>
    <mergeCell ref="ZA28:ZB28"/>
    <mergeCell ref="ZC28:ZD28"/>
    <mergeCell ref="ZE28:ZF28"/>
    <mergeCell ref="ZG28:ZH28"/>
    <mergeCell ref="YK28:YL28"/>
    <mergeCell ref="YM28:YN28"/>
    <mergeCell ref="YO28:YP28"/>
    <mergeCell ref="YQ28:YR28"/>
    <mergeCell ref="YS28:YT28"/>
    <mergeCell ref="YU28:YV28"/>
    <mergeCell ref="XY28:XZ28"/>
    <mergeCell ref="YA28:YB28"/>
    <mergeCell ref="YC28:YD28"/>
    <mergeCell ref="YE28:YF28"/>
    <mergeCell ref="YG28:YH28"/>
    <mergeCell ref="YI28:YJ28"/>
    <mergeCell ref="ADA28:ADB28"/>
    <mergeCell ref="ADC28:ADD28"/>
    <mergeCell ref="ADE28:ADF28"/>
    <mergeCell ref="ADG28:ADH28"/>
    <mergeCell ref="ADI28:ADJ28"/>
    <mergeCell ref="ADK28:ADL28"/>
    <mergeCell ref="ACO28:ACP28"/>
    <mergeCell ref="ACQ28:ACR28"/>
    <mergeCell ref="ACS28:ACT28"/>
    <mergeCell ref="ACU28:ACV28"/>
    <mergeCell ref="ACW28:ACX28"/>
    <mergeCell ref="ACY28:ACZ28"/>
    <mergeCell ref="ACC28:ACD28"/>
    <mergeCell ref="ACE28:ACF28"/>
    <mergeCell ref="ACG28:ACH28"/>
    <mergeCell ref="ACI28:ACJ28"/>
    <mergeCell ref="ACK28:ACL28"/>
    <mergeCell ref="ACM28:ACN28"/>
    <mergeCell ref="ABQ28:ABR28"/>
    <mergeCell ref="ABS28:ABT28"/>
    <mergeCell ref="ABU28:ABV28"/>
    <mergeCell ref="ABW28:ABX28"/>
    <mergeCell ref="ABY28:ABZ28"/>
    <mergeCell ref="ACA28:ACB28"/>
    <mergeCell ref="ABE28:ABF28"/>
    <mergeCell ref="ABG28:ABH28"/>
    <mergeCell ref="ABI28:ABJ28"/>
    <mergeCell ref="ABK28:ABL28"/>
    <mergeCell ref="ABM28:ABN28"/>
    <mergeCell ref="ABO28:ABP28"/>
    <mergeCell ref="AAS28:AAT28"/>
    <mergeCell ref="AAU28:AAV28"/>
    <mergeCell ref="AAW28:AAX28"/>
    <mergeCell ref="AAY28:AAZ28"/>
    <mergeCell ref="ABA28:ABB28"/>
    <mergeCell ref="ABC28:ABD28"/>
    <mergeCell ref="AFU28:AFV28"/>
    <mergeCell ref="AFW28:AFX28"/>
    <mergeCell ref="AFY28:AFZ28"/>
    <mergeCell ref="AGA28:AGB28"/>
    <mergeCell ref="AGC28:AGD28"/>
    <mergeCell ref="AGE28:AGF28"/>
    <mergeCell ref="AFI28:AFJ28"/>
    <mergeCell ref="AFK28:AFL28"/>
    <mergeCell ref="AFM28:AFN28"/>
    <mergeCell ref="AFO28:AFP28"/>
    <mergeCell ref="AFQ28:AFR28"/>
    <mergeCell ref="AFS28:AFT28"/>
    <mergeCell ref="AEW28:AEX28"/>
    <mergeCell ref="AEY28:AEZ28"/>
    <mergeCell ref="AFA28:AFB28"/>
    <mergeCell ref="AFC28:AFD28"/>
    <mergeCell ref="AFE28:AFF28"/>
    <mergeCell ref="AFG28:AFH28"/>
    <mergeCell ref="AEK28:AEL28"/>
    <mergeCell ref="AEM28:AEN28"/>
    <mergeCell ref="AEO28:AEP28"/>
    <mergeCell ref="AEQ28:AER28"/>
    <mergeCell ref="AES28:AET28"/>
    <mergeCell ref="AEU28:AEV28"/>
    <mergeCell ref="ADY28:ADZ28"/>
    <mergeCell ref="AEA28:AEB28"/>
    <mergeCell ref="AEC28:AED28"/>
    <mergeCell ref="AEE28:AEF28"/>
    <mergeCell ref="AEG28:AEH28"/>
    <mergeCell ref="AEI28:AEJ28"/>
    <mergeCell ref="ADM28:ADN28"/>
    <mergeCell ref="ADO28:ADP28"/>
    <mergeCell ref="ADQ28:ADR28"/>
    <mergeCell ref="ADS28:ADT28"/>
    <mergeCell ref="ADU28:ADV28"/>
    <mergeCell ref="ADW28:ADX28"/>
    <mergeCell ref="AIO28:AIP28"/>
    <mergeCell ref="AIQ28:AIR28"/>
    <mergeCell ref="AIS28:AIT28"/>
    <mergeCell ref="AIU28:AIV28"/>
    <mergeCell ref="AIW28:AIX28"/>
    <mergeCell ref="AIY28:AIZ28"/>
    <mergeCell ref="AIC28:AID28"/>
    <mergeCell ref="AIE28:AIF28"/>
    <mergeCell ref="AIG28:AIH28"/>
    <mergeCell ref="AII28:AIJ28"/>
    <mergeCell ref="AIK28:AIL28"/>
    <mergeCell ref="AIM28:AIN28"/>
    <mergeCell ref="AHQ28:AHR28"/>
    <mergeCell ref="AHS28:AHT28"/>
    <mergeCell ref="AHU28:AHV28"/>
    <mergeCell ref="AHW28:AHX28"/>
    <mergeCell ref="AHY28:AHZ28"/>
    <mergeCell ref="AIA28:AIB28"/>
    <mergeCell ref="AHE28:AHF28"/>
    <mergeCell ref="AHG28:AHH28"/>
    <mergeCell ref="AHI28:AHJ28"/>
    <mergeCell ref="AHK28:AHL28"/>
    <mergeCell ref="AHM28:AHN28"/>
    <mergeCell ref="AHO28:AHP28"/>
    <mergeCell ref="AGS28:AGT28"/>
    <mergeCell ref="AGU28:AGV28"/>
    <mergeCell ref="AGW28:AGX28"/>
    <mergeCell ref="AGY28:AGZ28"/>
    <mergeCell ref="AHA28:AHB28"/>
    <mergeCell ref="AHC28:AHD28"/>
    <mergeCell ref="AGG28:AGH28"/>
    <mergeCell ref="AGI28:AGJ28"/>
    <mergeCell ref="AGK28:AGL28"/>
    <mergeCell ref="AGM28:AGN28"/>
    <mergeCell ref="AGO28:AGP28"/>
    <mergeCell ref="AGQ28:AGR28"/>
    <mergeCell ref="ALI28:ALJ28"/>
    <mergeCell ref="ALK28:ALL28"/>
    <mergeCell ref="ALM28:ALN28"/>
    <mergeCell ref="ALO28:ALP28"/>
    <mergeCell ref="ALQ28:ALR28"/>
    <mergeCell ref="ALS28:ALT28"/>
    <mergeCell ref="AKW28:AKX28"/>
    <mergeCell ref="AKY28:AKZ28"/>
    <mergeCell ref="ALA28:ALB28"/>
    <mergeCell ref="ALC28:ALD28"/>
    <mergeCell ref="ALE28:ALF28"/>
    <mergeCell ref="ALG28:ALH28"/>
    <mergeCell ref="AKK28:AKL28"/>
    <mergeCell ref="AKM28:AKN28"/>
    <mergeCell ref="AKO28:AKP28"/>
    <mergeCell ref="AKQ28:AKR28"/>
    <mergeCell ref="AKS28:AKT28"/>
    <mergeCell ref="AKU28:AKV28"/>
    <mergeCell ref="AJY28:AJZ28"/>
    <mergeCell ref="AKA28:AKB28"/>
    <mergeCell ref="AKC28:AKD28"/>
    <mergeCell ref="AKE28:AKF28"/>
    <mergeCell ref="AKG28:AKH28"/>
    <mergeCell ref="AKI28:AKJ28"/>
    <mergeCell ref="AJM28:AJN28"/>
    <mergeCell ref="AJO28:AJP28"/>
    <mergeCell ref="AJQ28:AJR28"/>
    <mergeCell ref="AJS28:AJT28"/>
    <mergeCell ref="AJU28:AJV28"/>
    <mergeCell ref="AJW28:AJX28"/>
    <mergeCell ref="AJA28:AJB28"/>
    <mergeCell ref="AJC28:AJD28"/>
    <mergeCell ref="AJE28:AJF28"/>
    <mergeCell ref="AJG28:AJH28"/>
    <mergeCell ref="AJI28:AJJ28"/>
    <mergeCell ref="AJK28:AJL28"/>
    <mergeCell ref="AOC28:AOD28"/>
    <mergeCell ref="AOE28:AOF28"/>
    <mergeCell ref="AOG28:AOH28"/>
    <mergeCell ref="AOI28:AOJ28"/>
    <mergeCell ref="AOK28:AOL28"/>
    <mergeCell ref="AOM28:AON28"/>
    <mergeCell ref="ANQ28:ANR28"/>
    <mergeCell ref="ANS28:ANT28"/>
    <mergeCell ref="ANU28:ANV28"/>
    <mergeCell ref="ANW28:ANX28"/>
    <mergeCell ref="ANY28:ANZ28"/>
    <mergeCell ref="AOA28:AOB28"/>
    <mergeCell ref="ANE28:ANF28"/>
    <mergeCell ref="ANG28:ANH28"/>
    <mergeCell ref="ANI28:ANJ28"/>
    <mergeCell ref="ANK28:ANL28"/>
    <mergeCell ref="ANM28:ANN28"/>
    <mergeCell ref="ANO28:ANP28"/>
    <mergeCell ref="AMS28:AMT28"/>
    <mergeCell ref="AMU28:AMV28"/>
    <mergeCell ref="AMW28:AMX28"/>
    <mergeCell ref="AMY28:AMZ28"/>
    <mergeCell ref="ANA28:ANB28"/>
    <mergeCell ref="ANC28:AND28"/>
    <mergeCell ref="AMG28:AMH28"/>
    <mergeCell ref="AMI28:AMJ28"/>
    <mergeCell ref="AMK28:AML28"/>
    <mergeCell ref="AMM28:AMN28"/>
    <mergeCell ref="AMO28:AMP28"/>
    <mergeCell ref="AMQ28:AMR28"/>
    <mergeCell ref="ALU28:ALV28"/>
    <mergeCell ref="ALW28:ALX28"/>
    <mergeCell ref="ALY28:ALZ28"/>
    <mergeCell ref="AMA28:AMB28"/>
    <mergeCell ref="AMC28:AMD28"/>
    <mergeCell ref="AME28:AMF28"/>
    <mergeCell ref="AQW28:AQX28"/>
    <mergeCell ref="AQY28:AQZ28"/>
    <mergeCell ref="ARA28:ARB28"/>
    <mergeCell ref="ARC28:ARD28"/>
    <mergeCell ref="ARE28:ARF28"/>
    <mergeCell ref="ARG28:ARH28"/>
    <mergeCell ref="AQK28:AQL28"/>
    <mergeCell ref="AQM28:AQN28"/>
    <mergeCell ref="AQO28:AQP28"/>
    <mergeCell ref="AQQ28:AQR28"/>
    <mergeCell ref="AQS28:AQT28"/>
    <mergeCell ref="AQU28:AQV28"/>
    <mergeCell ref="APY28:APZ28"/>
    <mergeCell ref="AQA28:AQB28"/>
    <mergeCell ref="AQC28:AQD28"/>
    <mergeCell ref="AQE28:AQF28"/>
    <mergeCell ref="AQG28:AQH28"/>
    <mergeCell ref="AQI28:AQJ28"/>
    <mergeCell ref="APM28:APN28"/>
    <mergeCell ref="APO28:APP28"/>
    <mergeCell ref="APQ28:APR28"/>
    <mergeCell ref="APS28:APT28"/>
    <mergeCell ref="APU28:APV28"/>
    <mergeCell ref="APW28:APX28"/>
    <mergeCell ref="APA28:APB28"/>
    <mergeCell ref="APC28:APD28"/>
    <mergeCell ref="APE28:APF28"/>
    <mergeCell ref="APG28:APH28"/>
    <mergeCell ref="API28:APJ28"/>
    <mergeCell ref="APK28:APL28"/>
    <mergeCell ref="AOO28:AOP28"/>
    <mergeCell ref="AOQ28:AOR28"/>
    <mergeCell ref="AOS28:AOT28"/>
    <mergeCell ref="AOU28:AOV28"/>
    <mergeCell ref="AOW28:AOX28"/>
    <mergeCell ref="AOY28:AOZ28"/>
    <mergeCell ref="ATQ28:ATR28"/>
    <mergeCell ref="ATS28:ATT28"/>
    <mergeCell ref="ATU28:ATV28"/>
    <mergeCell ref="ATW28:ATX28"/>
    <mergeCell ref="ATY28:ATZ28"/>
    <mergeCell ref="AUA28:AUB28"/>
    <mergeCell ref="ATE28:ATF28"/>
    <mergeCell ref="ATG28:ATH28"/>
    <mergeCell ref="ATI28:ATJ28"/>
    <mergeCell ref="ATK28:ATL28"/>
    <mergeCell ref="ATM28:ATN28"/>
    <mergeCell ref="ATO28:ATP28"/>
    <mergeCell ref="ASS28:AST28"/>
    <mergeCell ref="ASU28:ASV28"/>
    <mergeCell ref="ASW28:ASX28"/>
    <mergeCell ref="ASY28:ASZ28"/>
    <mergeCell ref="ATA28:ATB28"/>
    <mergeCell ref="ATC28:ATD28"/>
    <mergeCell ref="ASG28:ASH28"/>
    <mergeCell ref="ASI28:ASJ28"/>
    <mergeCell ref="ASK28:ASL28"/>
    <mergeCell ref="ASM28:ASN28"/>
    <mergeCell ref="ASO28:ASP28"/>
    <mergeCell ref="ASQ28:ASR28"/>
    <mergeCell ref="ARU28:ARV28"/>
    <mergeCell ref="ARW28:ARX28"/>
    <mergeCell ref="ARY28:ARZ28"/>
    <mergeCell ref="ASA28:ASB28"/>
    <mergeCell ref="ASC28:ASD28"/>
    <mergeCell ref="ASE28:ASF28"/>
    <mergeCell ref="ARI28:ARJ28"/>
    <mergeCell ref="ARK28:ARL28"/>
    <mergeCell ref="ARM28:ARN28"/>
    <mergeCell ref="ARO28:ARP28"/>
    <mergeCell ref="ARQ28:ARR28"/>
    <mergeCell ref="ARS28:ART28"/>
    <mergeCell ref="AWK28:AWL28"/>
    <mergeCell ref="AWM28:AWN28"/>
    <mergeCell ref="AWO28:AWP28"/>
    <mergeCell ref="AWQ28:AWR28"/>
    <mergeCell ref="AWS28:AWT28"/>
    <mergeCell ref="AWU28:AWV28"/>
    <mergeCell ref="AVY28:AVZ28"/>
    <mergeCell ref="AWA28:AWB28"/>
    <mergeCell ref="AWC28:AWD28"/>
    <mergeCell ref="AWE28:AWF28"/>
    <mergeCell ref="AWG28:AWH28"/>
    <mergeCell ref="AWI28:AWJ28"/>
    <mergeCell ref="AVM28:AVN28"/>
    <mergeCell ref="AVO28:AVP28"/>
    <mergeCell ref="AVQ28:AVR28"/>
    <mergeCell ref="AVS28:AVT28"/>
    <mergeCell ref="AVU28:AVV28"/>
    <mergeCell ref="AVW28:AVX28"/>
    <mergeCell ref="AVA28:AVB28"/>
    <mergeCell ref="AVC28:AVD28"/>
    <mergeCell ref="AVE28:AVF28"/>
    <mergeCell ref="AVG28:AVH28"/>
    <mergeCell ref="AVI28:AVJ28"/>
    <mergeCell ref="AVK28:AVL28"/>
    <mergeCell ref="AUO28:AUP28"/>
    <mergeCell ref="AUQ28:AUR28"/>
    <mergeCell ref="AUS28:AUT28"/>
    <mergeCell ref="AUU28:AUV28"/>
    <mergeCell ref="AUW28:AUX28"/>
    <mergeCell ref="AUY28:AUZ28"/>
    <mergeCell ref="AUC28:AUD28"/>
    <mergeCell ref="AUE28:AUF28"/>
    <mergeCell ref="AUG28:AUH28"/>
    <mergeCell ref="AUI28:AUJ28"/>
    <mergeCell ref="AUK28:AUL28"/>
    <mergeCell ref="AUM28:AUN28"/>
    <mergeCell ref="AZE28:AZF28"/>
    <mergeCell ref="AZG28:AZH28"/>
    <mergeCell ref="AZI28:AZJ28"/>
    <mergeCell ref="AZK28:AZL28"/>
    <mergeCell ref="AZM28:AZN28"/>
    <mergeCell ref="AZO28:AZP28"/>
    <mergeCell ref="AYS28:AYT28"/>
    <mergeCell ref="AYU28:AYV28"/>
    <mergeCell ref="AYW28:AYX28"/>
    <mergeCell ref="AYY28:AYZ28"/>
    <mergeCell ref="AZA28:AZB28"/>
    <mergeCell ref="AZC28:AZD28"/>
    <mergeCell ref="AYG28:AYH28"/>
    <mergeCell ref="AYI28:AYJ28"/>
    <mergeCell ref="AYK28:AYL28"/>
    <mergeCell ref="AYM28:AYN28"/>
    <mergeCell ref="AYO28:AYP28"/>
    <mergeCell ref="AYQ28:AYR28"/>
    <mergeCell ref="AXU28:AXV28"/>
    <mergeCell ref="AXW28:AXX28"/>
    <mergeCell ref="AXY28:AXZ28"/>
    <mergeCell ref="AYA28:AYB28"/>
    <mergeCell ref="AYC28:AYD28"/>
    <mergeCell ref="AYE28:AYF28"/>
    <mergeCell ref="AXI28:AXJ28"/>
    <mergeCell ref="AXK28:AXL28"/>
    <mergeCell ref="AXM28:AXN28"/>
    <mergeCell ref="AXO28:AXP28"/>
    <mergeCell ref="AXQ28:AXR28"/>
    <mergeCell ref="AXS28:AXT28"/>
    <mergeCell ref="AWW28:AWX28"/>
    <mergeCell ref="AWY28:AWZ28"/>
    <mergeCell ref="AXA28:AXB28"/>
    <mergeCell ref="AXC28:AXD28"/>
    <mergeCell ref="AXE28:AXF28"/>
    <mergeCell ref="AXG28:AXH28"/>
    <mergeCell ref="BBY28:BBZ28"/>
    <mergeCell ref="BCA28:BCB28"/>
    <mergeCell ref="BCC28:BCD28"/>
    <mergeCell ref="BCE28:BCF28"/>
    <mergeCell ref="BCG28:BCH28"/>
    <mergeCell ref="BCI28:BCJ28"/>
    <mergeCell ref="BBM28:BBN28"/>
    <mergeCell ref="BBO28:BBP28"/>
    <mergeCell ref="BBQ28:BBR28"/>
    <mergeCell ref="BBS28:BBT28"/>
    <mergeCell ref="BBU28:BBV28"/>
    <mergeCell ref="BBW28:BBX28"/>
    <mergeCell ref="BBA28:BBB28"/>
    <mergeCell ref="BBC28:BBD28"/>
    <mergeCell ref="BBE28:BBF28"/>
    <mergeCell ref="BBG28:BBH28"/>
    <mergeCell ref="BBI28:BBJ28"/>
    <mergeCell ref="BBK28:BBL28"/>
    <mergeCell ref="BAO28:BAP28"/>
    <mergeCell ref="BAQ28:BAR28"/>
    <mergeCell ref="BAS28:BAT28"/>
    <mergeCell ref="BAU28:BAV28"/>
    <mergeCell ref="BAW28:BAX28"/>
    <mergeCell ref="BAY28:BAZ28"/>
    <mergeCell ref="BAC28:BAD28"/>
    <mergeCell ref="BAE28:BAF28"/>
    <mergeCell ref="BAG28:BAH28"/>
    <mergeCell ref="BAI28:BAJ28"/>
    <mergeCell ref="BAK28:BAL28"/>
    <mergeCell ref="BAM28:BAN28"/>
    <mergeCell ref="AZQ28:AZR28"/>
    <mergeCell ref="AZS28:AZT28"/>
    <mergeCell ref="AZU28:AZV28"/>
    <mergeCell ref="AZW28:AZX28"/>
    <mergeCell ref="AZY28:AZZ28"/>
    <mergeCell ref="BAA28:BAB28"/>
    <mergeCell ref="BES28:BET28"/>
    <mergeCell ref="BEU28:BEV28"/>
    <mergeCell ref="BEW28:BEX28"/>
    <mergeCell ref="BEY28:BEZ28"/>
    <mergeCell ref="BFA28:BFB28"/>
    <mergeCell ref="BFC28:BFD28"/>
    <mergeCell ref="BEG28:BEH28"/>
    <mergeCell ref="BEI28:BEJ28"/>
    <mergeCell ref="BEK28:BEL28"/>
    <mergeCell ref="BEM28:BEN28"/>
    <mergeCell ref="BEO28:BEP28"/>
    <mergeCell ref="BEQ28:BER28"/>
    <mergeCell ref="BDU28:BDV28"/>
    <mergeCell ref="BDW28:BDX28"/>
    <mergeCell ref="BDY28:BDZ28"/>
    <mergeCell ref="BEA28:BEB28"/>
    <mergeCell ref="BEC28:BED28"/>
    <mergeCell ref="BEE28:BEF28"/>
    <mergeCell ref="BDI28:BDJ28"/>
    <mergeCell ref="BDK28:BDL28"/>
    <mergeCell ref="BDM28:BDN28"/>
    <mergeCell ref="BDO28:BDP28"/>
    <mergeCell ref="BDQ28:BDR28"/>
    <mergeCell ref="BDS28:BDT28"/>
    <mergeCell ref="BCW28:BCX28"/>
    <mergeCell ref="BCY28:BCZ28"/>
    <mergeCell ref="BDA28:BDB28"/>
    <mergeCell ref="BDC28:BDD28"/>
    <mergeCell ref="BDE28:BDF28"/>
    <mergeCell ref="BDG28:BDH28"/>
    <mergeCell ref="BCK28:BCL28"/>
    <mergeCell ref="BCM28:BCN28"/>
    <mergeCell ref="BCO28:BCP28"/>
    <mergeCell ref="BCQ28:BCR28"/>
    <mergeCell ref="BCS28:BCT28"/>
    <mergeCell ref="BCU28:BCV28"/>
    <mergeCell ref="BHM28:BHN28"/>
    <mergeCell ref="BHO28:BHP28"/>
    <mergeCell ref="BHQ28:BHR28"/>
    <mergeCell ref="BHS28:BHT28"/>
    <mergeCell ref="BHU28:BHV28"/>
    <mergeCell ref="BHW28:BHX28"/>
    <mergeCell ref="BHA28:BHB28"/>
    <mergeCell ref="BHC28:BHD28"/>
    <mergeCell ref="BHE28:BHF28"/>
    <mergeCell ref="BHG28:BHH28"/>
    <mergeCell ref="BHI28:BHJ28"/>
    <mergeCell ref="BHK28:BHL28"/>
    <mergeCell ref="BGO28:BGP28"/>
    <mergeCell ref="BGQ28:BGR28"/>
    <mergeCell ref="BGS28:BGT28"/>
    <mergeCell ref="BGU28:BGV28"/>
    <mergeCell ref="BGW28:BGX28"/>
    <mergeCell ref="BGY28:BGZ28"/>
    <mergeCell ref="BGC28:BGD28"/>
    <mergeCell ref="BGE28:BGF28"/>
    <mergeCell ref="BGG28:BGH28"/>
    <mergeCell ref="BGI28:BGJ28"/>
    <mergeCell ref="BGK28:BGL28"/>
    <mergeCell ref="BGM28:BGN28"/>
    <mergeCell ref="BFQ28:BFR28"/>
    <mergeCell ref="BFS28:BFT28"/>
    <mergeCell ref="BFU28:BFV28"/>
    <mergeCell ref="BFW28:BFX28"/>
    <mergeCell ref="BFY28:BFZ28"/>
    <mergeCell ref="BGA28:BGB28"/>
    <mergeCell ref="BFE28:BFF28"/>
    <mergeCell ref="BFG28:BFH28"/>
    <mergeCell ref="BFI28:BFJ28"/>
    <mergeCell ref="BFK28:BFL28"/>
    <mergeCell ref="BFM28:BFN28"/>
    <mergeCell ref="BFO28:BFP28"/>
    <mergeCell ref="BKG28:BKH28"/>
    <mergeCell ref="BKI28:BKJ28"/>
    <mergeCell ref="BKK28:BKL28"/>
    <mergeCell ref="BKM28:BKN28"/>
    <mergeCell ref="BKO28:BKP28"/>
    <mergeCell ref="BKQ28:BKR28"/>
    <mergeCell ref="BJU28:BJV28"/>
    <mergeCell ref="BJW28:BJX28"/>
    <mergeCell ref="BJY28:BJZ28"/>
    <mergeCell ref="BKA28:BKB28"/>
    <mergeCell ref="BKC28:BKD28"/>
    <mergeCell ref="BKE28:BKF28"/>
    <mergeCell ref="BJI28:BJJ28"/>
    <mergeCell ref="BJK28:BJL28"/>
    <mergeCell ref="BJM28:BJN28"/>
    <mergeCell ref="BJO28:BJP28"/>
    <mergeCell ref="BJQ28:BJR28"/>
    <mergeCell ref="BJS28:BJT28"/>
    <mergeCell ref="BIW28:BIX28"/>
    <mergeCell ref="BIY28:BIZ28"/>
    <mergeCell ref="BJA28:BJB28"/>
    <mergeCell ref="BJC28:BJD28"/>
    <mergeCell ref="BJE28:BJF28"/>
    <mergeCell ref="BJG28:BJH28"/>
    <mergeCell ref="BIK28:BIL28"/>
    <mergeCell ref="BIM28:BIN28"/>
    <mergeCell ref="BIO28:BIP28"/>
    <mergeCell ref="BIQ28:BIR28"/>
    <mergeCell ref="BIS28:BIT28"/>
    <mergeCell ref="BIU28:BIV28"/>
    <mergeCell ref="BHY28:BHZ28"/>
    <mergeCell ref="BIA28:BIB28"/>
    <mergeCell ref="BIC28:BID28"/>
    <mergeCell ref="BIE28:BIF28"/>
    <mergeCell ref="BIG28:BIH28"/>
    <mergeCell ref="BII28:BIJ28"/>
    <mergeCell ref="BNA28:BNB28"/>
    <mergeCell ref="BNC28:BND28"/>
    <mergeCell ref="BNE28:BNF28"/>
    <mergeCell ref="BNG28:BNH28"/>
    <mergeCell ref="BNI28:BNJ28"/>
    <mergeCell ref="BNK28:BNL28"/>
    <mergeCell ref="BMO28:BMP28"/>
    <mergeCell ref="BMQ28:BMR28"/>
    <mergeCell ref="BMS28:BMT28"/>
    <mergeCell ref="BMU28:BMV28"/>
    <mergeCell ref="BMW28:BMX28"/>
    <mergeCell ref="BMY28:BMZ28"/>
    <mergeCell ref="BMC28:BMD28"/>
    <mergeCell ref="BME28:BMF28"/>
    <mergeCell ref="BMG28:BMH28"/>
    <mergeCell ref="BMI28:BMJ28"/>
    <mergeCell ref="BMK28:BML28"/>
    <mergeCell ref="BMM28:BMN28"/>
    <mergeCell ref="BLQ28:BLR28"/>
    <mergeCell ref="BLS28:BLT28"/>
    <mergeCell ref="BLU28:BLV28"/>
    <mergeCell ref="BLW28:BLX28"/>
    <mergeCell ref="BLY28:BLZ28"/>
    <mergeCell ref="BMA28:BMB28"/>
    <mergeCell ref="BLE28:BLF28"/>
    <mergeCell ref="BLG28:BLH28"/>
    <mergeCell ref="BLI28:BLJ28"/>
    <mergeCell ref="BLK28:BLL28"/>
    <mergeCell ref="BLM28:BLN28"/>
    <mergeCell ref="BLO28:BLP28"/>
    <mergeCell ref="BKS28:BKT28"/>
    <mergeCell ref="BKU28:BKV28"/>
    <mergeCell ref="BKW28:BKX28"/>
    <mergeCell ref="BKY28:BKZ28"/>
    <mergeCell ref="BLA28:BLB28"/>
    <mergeCell ref="BLC28:BLD28"/>
    <mergeCell ref="BPU28:BPV28"/>
    <mergeCell ref="BPW28:BPX28"/>
    <mergeCell ref="BPY28:BPZ28"/>
    <mergeCell ref="BQA28:BQB28"/>
    <mergeCell ref="BQC28:BQD28"/>
    <mergeCell ref="BQE28:BQF28"/>
    <mergeCell ref="BPI28:BPJ28"/>
    <mergeCell ref="BPK28:BPL28"/>
    <mergeCell ref="BPM28:BPN28"/>
    <mergeCell ref="BPO28:BPP28"/>
    <mergeCell ref="BPQ28:BPR28"/>
    <mergeCell ref="BPS28:BPT28"/>
    <mergeCell ref="BOW28:BOX28"/>
    <mergeCell ref="BOY28:BOZ28"/>
    <mergeCell ref="BPA28:BPB28"/>
    <mergeCell ref="BPC28:BPD28"/>
    <mergeCell ref="BPE28:BPF28"/>
    <mergeCell ref="BPG28:BPH28"/>
    <mergeCell ref="BOK28:BOL28"/>
    <mergeCell ref="BOM28:BON28"/>
    <mergeCell ref="BOO28:BOP28"/>
    <mergeCell ref="BOQ28:BOR28"/>
    <mergeCell ref="BOS28:BOT28"/>
    <mergeCell ref="BOU28:BOV28"/>
    <mergeCell ref="BNY28:BNZ28"/>
    <mergeCell ref="BOA28:BOB28"/>
    <mergeCell ref="BOC28:BOD28"/>
    <mergeCell ref="BOE28:BOF28"/>
    <mergeCell ref="BOG28:BOH28"/>
    <mergeCell ref="BOI28:BOJ28"/>
    <mergeCell ref="BNM28:BNN28"/>
    <mergeCell ref="BNO28:BNP28"/>
    <mergeCell ref="BNQ28:BNR28"/>
    <mergeCell ref="BNS28:BNT28"/>
    <mergeCell ref="BNU28:BNV28"/>
    <mergeCell ref="BNW28:BNX28"/>
    <mergeCell ref="BSO28:BSP28"/>
    <mergeCell ref="BSQ28:BSR28"/>
    <mergeCell ref="BSS28:BST28"/>
    <mergeCell ref="BSU28:BSV28"/>
    <mergeCell ref="BSW28:BSX28"/>
    <mergeCell ref="BSY28:BSZ28"/>
    <mergeCell ref="BSC28:BSD28"/>
    <mergeCell ref="BSE28:BSF28"/>
    <mergeCell ref="BSG28:BSH28"/>
    <mergeCell ref="BSI28:BSJ28"/>
    <mergeCell ref="BSK28:BSL28"/>
    <mergeCell ref="BSM28:BSN28"/>
    <mergeCell ref="BRQ28:BRR28"/>
    <mergeCell ref="BRS28:BRT28"/>
    <mergeCell ref="BRU28:BRV28"/>
    <mergeCell ref="BRW28:BRX28"/>
    <mergeCell ref="BRY28:BRZ28"/>
    <mergeCell ref="BSA28:BSB28"/>
    <mergeCell ref="BRE28:BRF28"/>
    <mergeCell ref="BRG28:BRH28"/>
    <mergeCell ref="BRI28:BRJ28"/>
    <mergeCell ref="BRK28:BRL28"/>
    <mergeCell ref="BRM28:BRN28"/>
    <mergeCell ref="BRO28:BRP28"/>
    <mergeCell ref="BQS28:BQT28"/>
    <mergeCell ref="BQU28:BQV28"/>
    <mergeCell ref="BQW28:BQX28"/>
    <mergeCell ref="BQY28:BQZ28"/>
    <mergeCell ref="BRA28:BRB28"/>
    <mergeCell ref="BRC28:BRD28"/>
    <mergeCell ref="BQG28:BQH28"/>
    <mergeCell ref="BQI28:BQJ28"/>
    <mergeCell ref="BQK28:BQL28"/>
    <mergeCell ref="BQM28:BQN28"/>
    <mergeCell ref="BQO28:BQP28"/>
    <mergeCell ref="BQQ28:BQR28"/>
    <mergeCell ref="BVI28:BVJ28"/>
    <mergeCell ref="BVK28:BVL28"/>
    <mergeCell ref="BVM28:BVN28"/>
    <mergeCell ref="BVO28:BVP28"/>
    <mergeCell ref="BVQ28:BVR28"/>
    <mergeCell ref="BVS28:BVT28"/>
    <mergeCell ref="BUW28:BUX28"/>
    <mergeCell ref="BUY28:BUZ28"/>
    <mergeCell ref="BVA28:BVB28"/>
    <mergeCell ref="BVC28:BVD28"/>
    <mergeCell ref="BVE28:BVF28"/>
    <mergeCell ref="BVG28:BVH28"/>
    <mergeCell ref="BUK28:BUL28"/>
    <mergeCell ref="BUM28:BUN28"/>
    <mergeCell ref="BUO28:BUP28"/>
    <mergeCell ref="BUQ28:BUR28"/>
    <mergeCell ref="BUS28:BUT28"/>
    <mergeCell ref="BUU28:BUV28"/>
    <mergeCell ref="BTY28:BTZ28"/>
    <mergeCell ref="BUA28:BUB28"/>
    <mergeCell ref="BUC28:BUD28"/>
    <mergeCell ref="BUE28:BUF28"/>
    <mergeCell ref="BUG28:BUH28"/>
    <mergeCell ref="BUI28:BUJ28"/>
    <mergeCell ref="BTM28:BTN28"/>
    <mergeCell ref="BTO28:BTP28"/>
    <mergeCell ref="BTQ28:BTR28"/>
    <mergeCell ref="BTS28:BTT28"/>
    <mergeCell ref="BTU28:BTV28"/>
    <mergeCell ref="BTW28:BTX28"/>
    <mergeCell ref="BTA28:BTB28"/>
    <mergeCell ref="BTC28:BTD28"/>
    <mergeCell ref="BTE28:BTF28"/>
    <mergeCell ref="BTG28:BTH28"/>
    <mergeCell ref="BTI28:BTJ28"/>
    <mergeCell ref="BTK28:BTL28"/>
    <mergeCell ref="BYC28:BYD28"/>
    <mergeCell ref="BYE28:BYF28"/>
    <mergeCell ref="BYG28:BYH28"/>
    <mergeCell ref="BYI28:BYJ28"/>
    <mergeCell ref="BYK28:BYL28"/>
    <mergeCell ref="BYM28:BYN28"/>
    <mergeCell ref="BXQ28:BXR28"/>
    <mergeCell ref="BXS28:BXT28"/>
    <mergeCell ref="BXU28:BXV28"/>
    <mergeCell ref="BXW28:BXX28"/>
    <mergeCell ref="BXY28:BXZ28"/>
    <mergeCell ref="BYA28:BYB28"/>
    <mergeCell ref="BXE28:BXF28"/>
    <mergeCell ref="BXG28:BXH28"/>
    <mergeCell ref="BXI28:BXJ28"/>
    <mergeCell ref="BXK28:BXL28"/>
    <mergeCell ref="BXM28:BXN28"/>
    <mergeCell ref="BXO28:BXP28"/>
    <mergeCell ref="BWS28:BWT28"/>
    <mergeCell ref="BWU28:BWV28"/>
    <mergeCell ref="BWW28:BWX28"/>
    <mergeCell ref="BWY28:BWZ28"/>
    <mergeCell ref="BXA28:BXB28"/>
    <mergeCell ref="BXC28:BXD28"/>
    <mergeCell ref="BWG28:BWH28"/>
    <mergeCell ref="BWI28:BWJ28"/>
    <mergeCell ref="BWK28:BWL28"/>
    <mergeCell ref="BWM28:BWN28"/>
    <mergeCell ref="BWO28:BWP28"/>
    <mergeCell ref="BWQ28:BWR28"/>
    <mergeCell ref="BVU28:BVV28"/>
    <mergeCell ref="BVW28:BVX28"/>
    <mergeCell ref="BVY28:BVZ28"/>
    <mergeCell ref="BWA28:BWB28"/>
    <mergeCell ref="BWC28:BWD28"/>
    <mergeCell ref="BWE28:BWF28"/>
    <mergeCell ref="CAW28:CAX28"/>
    <mergeCell ref="CAY28:CAZ28"/>
    <mergeCell ref="CBA28:CBB28"/>
    <mergeCell ref="CBC28:CBD28"/>
    <mergeCell ref="CBE28:CBF28"/>
    <mergeCell ref="CBG28:CBH28"/>
    <mergeCell ref="CAK28:CAL28"/>
    <mergeCell ref="CAM28:CAN28"/>
    <mergeCell ref="CAO28:CAP28"/>
    <mergeCell ref="CAQ28:CAR28"/>
    <mergeCell ref="CAS28:CAT28"/>
    <mergeCell ref="CAU28:CAV28"/>
    <mergeCell ref="BZY28:BZZ28"/>
    <mergeCell ref="CAA28:CAB28"/>
    <mergeCell ref="CAC28:CAD28"/>
    <mergeCell ref="CAE28:CAF28"/>
    <mergeCell ref="CAG28:CAH28"/>
    <mergeCell ref="CAI28:CAJ28"/>
    <mergeCell ref="BZM28:BZN28"/>
    <mergeCell ref="BZO28:BZP28"/>
    <mergeCell ref="BZQ28:BZR28"/>
    <mergeCell ref="BZS28:BZT28"/>
    <mergeCell ref="BZU28:BZV28"/>
    <mergeCell ref="BZW28:BZX28"/>
    <mergeCell ref="BZA28:BZB28"/>
    <mergeCell ref="BZC28:BZD28"/>
    <mergeCell ref="BZE28:BZF28"/>
    <mergeCell ref="BZG28:BZH28"/>
    <mergeCell ref="BZI28:BZJ28"/>
    <mergeCell ref="BZK28:BZL28"/>
    <mergeCell ref="BYO28:BYP28"/>
    <mergeCell ref="BYQ28:BYR28"/>
    <mergeCell ref="BYS28:BYT28"/>
    <mergeCell ref="BYU28:BYV28"/>
    <mergeCell ref="BYW28:BYX28"/>
    <mergeCell ref="BYY28:BYZ28"/>
    <mergeCell ref="CDQ28:CDR28"/>
    <mergeCell ref="CDS28:CDT28"/>
    <mergeCell ref="CDU28:CDV28"/>
    <mergeCell ref="CDW28:CDX28"/>
    <mergeCell ref="CDY28:CDZ28"/>
    <mergeCell ref="CEA28:CEB28"/>
    <mergeCell ref="CDE28:CDF28"/>
    <mergeCell ref="CDG28:CDH28"/>
    <mergeCell ref="CDI28:CDJ28"/>
    <mergeCell ref="CDK28:CDL28"/>
    <mergeCell ref="CDM28:CDN28"/>
    <mergeCell ref="CDO28:CDP28"/>
    <mergeCell ref="CCS28:CCT28"/>
    <mergeCell ref="CCU28:CCV28"/>
    <mergeCell ref="CCW28:CCX28"/>
    <mergeCell ref="CCY28:CCZ28"/>
    <mergeCell ref="CDA28:CDB28"/>
    <mergeCell ref="CDC28:CDD28"/>
    <mergeCell ref="CCG28:CCH28"/>
    <mergeCell ref="CCI28:CCJ28"/>
    <mergeCell ref="CCK28:CCL28"/>
    <mergeCell ref="CCM28:CCN28"/>
    <mergeCell ref="CCO28:CCP28"/>
    <mergeCell ref="CCQ28:CCR28"/>
    <mergeCell ref="CBU28:CBV28"/>
    <mergeCell ref="CBW28:CBX28"/>
    <mergeCell ref="CBY28:CBZ28"/>
    <mergeCell ref="CCA28:CCB28"/>
    <mergeCell ref="CCC28:CCD28"/>
    <mergeCell ref="CCE28:CCF28"/>
    <mergeCell ref="CBI28:CBJ28"/>
    <mergeCell ref="CBK28:CBL28"/>
    <mergeCell ref="CBM28:CBN28"/>
    <mergeCell ref="CBO28:CBP28"/>
    <mergeCell ref="CBQ28:CBR28"/>
    <mergeCell ref="CBS28:CBT28"/>
    <mergeCell ref="CGK28:CGL28"/>
    <mergeCell ref="CGM28:CGN28"/>
    <mergeCell ref="CGO28:CGP28"/>
    <mergeCell ref="CGQ28:CGR28"/>
    <mergeCell ref="CGS28:CGT28"/>
    <mergeCell ref="CGU28:CGV28"/>
    <mergeCell ref="CFY28:CFZ28"/>
    <mergeCell ref="CGA28:CGB28"/>
    <mergeCell ref="CGC28:CGD28"/>
    <mergeCell ref="CGE28:CGF28"/>
    <mergeCell ref="CGG28:CGH28"/>
    <mergeCell ref="CGI28:CGJ28"/>
    <mergeCell ref="CFM28:CFN28"/>
    <mergeCell ref="CFO28:CFP28"/>
    <mergeCell ref="CFQ28:CFR28"/>
    <mergeCell ref="CFS28:CFT28"/>
    <mergeCell ref="CFU28:CFV28"/>
    <mergeCell ref="CFW28:CFX28"/>
    <mergeCell ref="CFA28:CFB28"/>
    <mergeCell ref="CFC28:CFD28"/>
    <mergeCell ref="CFE28:CFF28"/>
    <mergeCell ref="CFG28:CFH28"/>
    <mergeCell ref="CFI28:CFJ28"/>
    <mergeCell ref="CFK28:CFL28"/>
    <mergeCell ref="CEO28:CEP28"/>
    <mergeCell ref="CEQ28:CER28"/>
    <mergeCell ref="CES28:CET28"/>
    <mergeCell ref="CEU28:CEV28"/>
    <mergeCell ref="CEW28:CEX28"/>
    <mergeCell ref="CEY28:CEZ28"/>
    <mergeCell ref="CEC28:CED28"/>
    <mergeCell ref="CEE28:CEF28"/>
    <mergeCell ref="CEG28:CEH28"/>
    <mergeCell ref="CEI28:CEJ28"/>
    <mergeCell ref="CEK28:CEL28"/>
    <mergeCell ref="CEM28:CEN28"/>
    <mergeCell ref="CJE28:CJF28"/>
    <mergeCell ref="CJG28:CJH28"/>
    <mergeCell ref="CJI28:CJJ28"/>
    <mergeCell ref="CJK28:CJL28"/>
    <mergeCell ref="CJM28:CJN28"/>
    <mergeCell ref="CJO28:CJP28"/>
    <mergeCell ref="CIS28:CIT28"/>
    <mergeCell ref="CIU28:CIV28"/>
    <mergeCell ref="CIW28:CIX28"/>
    <mergeCell ref="CIY28:CIZ28"/>
    <mergeCell ref="CJA28:CJB28"/>
    <mergeCell ref="CJC28:CJD28"/>
    <mergeCell ref="CIG28:CIH28"/>
    <mergeCell ref="CII28:CIJ28"/>
    <mergeCell ref="CIK28:CIL28"/>
    <mergeCell ref="CIM28:CIN28"/>
    <mergeCell ref="CIO28:CIP28"/>
    <mergeCell ref="CIQ28:CIR28"/>
    <mergeCell ref="CHU28:CHV28"/>
    <mergeCell ref="CHW28:CHX28"/>
    <mergeCell ref="CHY28:CHZ28"/>
    <mergeCell ref="CIA28:CIB28"/>
    <mergeCell ref="CIC28:CID28"/>
    <mergeCell ref="CIE28:CIF28"/>
    <mergeCell ref="CHI28:CHJ28"/>
    <mergeCell ref="CHK28:CHL28"/>
    <mergeCell ref="CHM28:CHN28"/>
    <mergeCell ref="CHO28:CHP28"/>
    <mergeCell ref="CHQ28:CHR28"/>
    <mergeCell ref="CHS28:CHT28"/>
    <mergeCell ref="CGW28:CGX28"/>
    <mergeCell ref="CGY28:CGZ28"/>
    <mergeCell ref="CHA28:CHB28"/>
    <mergeCell ref="CHC28:CHD28"/>
    <mergeCell ref="CHE28:CHF28"/>
    <mergeCell ref="CHG28:CHH28"/>
    <mergeCell ref="CLY28:CLZ28"/>
    <mergeCell ref="CMA28:CMB28"/>
    <mergeCell ref="CMC28:CMD28"/>
    <mergeCell ref="CME28:CMF28"/>
    <mergeCell ref="CMG28:CMH28"/>
    <mergeCell ref="CMI28:CMJ28"/>
    <mergeCell ref="CLM28:CLN28"/>
    <mergeCell ref="CLO28:CLP28"/>
    <mergeCell ref="CLQ28:CLR28"/>
    <mergeCell ref="CLS28:CLT28"/>
    <mergeCell ref="CLU28:CLV28"/>
    <mergeCell ref="CLW28:CLX28"/>
    <mergeCell ref="CLA28:CLB28"/>
    <mergeCell ref="CLC28:CLD28"/>
    <mergeCell ref="CLE28:CLF28"/>
    <mergeCell ref="CLG28:CLH28"/>
    <mergeCell ref="CLI28:CLJ28"/>
    <mergeCell ref="CLK28:CLL28"/>
    <mergeCell ref="CKO28:CKP28"/>
    <mergeCell ref="CKQ28:CKR28"/>
    <mergeCell ref="CKS28:CKT28"/>
    <mergeCell ref="CKU28:CKV28"/>
    <mergeCell ref="CKW28:CKX28"/>
    <mergeCell ref="CKY28:CKZ28"/>
    <mergeCell ref="CKC28:CKD28"/>
    <mergeCell ref="CKE28:CKF28"/>
    <mergeCell ref="CKG28:CKH28"/>
    <mergeCell ref="CKI28:CKJ28"/>
    <mergeCell ref="CKK28:CKL28"/>
    <mergeCell ref="CKM28:CKN28"/>
    <mergeCell ref="CJQ28:CJR28"/>
    <mergeCell ref="CJS28:CJT28"/>
    <mergeCell ref="CJU28:CJV28"/>
    <mergeCell ref="CJW28:CJX28"/>
    <mergeCell ref="CJY28:CJZ28"/>
    <mergeCell ref="CKA28:CKB28"/>
    <mergeCell ref="COS28:COT28"/>
    <mergeCell ref="COU28:COV28"/>
    <mergeCell ref="COW28:COX28"/>
    <mergeCell ref="COY28:COZ28"/>
    <mergeCell ref="CPA28:CPB28"/>
    <mergeCell ref="CPC28:CPD28"/>
    <mergeCell ref="COG28:COH28"/>
    <mergeCell ref="COI28:COJ28"/>
    <mergeCell ref="COK28:COL28"/>
    <mergeCell ref="COM28:CON28"/>
    <mergeCell ref="COO28:COP28"/>
    <mergeCell ref="COQ28:COR28"/>
    <mergeCell ref="CNU28:CNV28"/>
    <mergeCell ref="CNW28:CNX28"/>
    <mergeCell ref="CNY28:CNZ28"/>
    <mergeCell ref="COA28:COB28"/>
    <mergeCell ref="COC28:COD28"/>
    <mergeCell ref="COE28:COF28"/>
    <mergeCell ref="CNI28:CNJ28"/>
    <mergeCell ref="CNK28:CNL28"/>
    <mergeCell ref="CNM28:CNN28"/>
    <mergeCell ref="CNO28:CNP28"/>
    <mergeCell ref="CNQ28:CNR28"/>
    <mergeCell ref="CNS28:CNT28"/>
    <mergeCell ref="CMW28:CMX28"/>
    <mergeCell ref="CMY28:CMZ28"/>
    <mergeCell ref="CNA28:CNB28"/>
    <mergeCell ref="CNC28:CND28"/>
    <mergeCell ref="CNE28:CNF28"/>
    <mergeCell ref="CNG28:CNH28"/>
    <mergeCell ref="CMK28:CML28"/>
    <mergeCell ref="CMM28:CMN28"/>
    <mergeCell ref="CMO28:CMP28"/>
    <mergeCell ref="CMQ28:CMR28"/>
    <mergeCell ref="CMS28:CMT28"/>
    <mergeCell ref="CMU28:CMV28"/>
    <mergeCell ref="CRM28:CRN28"/>
    <mergeCell ref="CRO28:CRP28"/>
    <mergeCell ref="CRQ28:CRR28"/>
    <mergeCell ref="CRS28:CRT28"/>
    <mergeCell ref="CRU28:CRV28"/>
    <mergeCell ref="CRW28:CRX28"/>
    <mergeCell ref="CRA28:CRB28"/>
    <mergeCell ref="CRC28:CRD28"/>
    <mergeCell ref="CRE28:CRF28"/>
    <mergeCell ref="CRG28:CRH28"/>
    <mergeCell ref="CRI28:CRJ28"/>
    <mergeCell ref="CRK28:CRL28"/>
    <mergeCell ref="CQO28:CQP28"/>
    <mergeCell ref="CQQ28:CQR28"/>
    <mergeCell ref="CQS28:CQT28"/>
    <mergeCell ref="CQU28:CQV28"/>
    <mergeCell ref="CQW28:CQX28"/>
    <mergeCell ref="CQY28:CQZ28"/>
    <mergeCell ref="CQC28:CQD28"/>
    <mergeCell ref="CQE28:CQF28"/>
    <mergeCell ref="CQG28:CQH28"/>
    <mergeCell ref="CQI28:CQJ28"/>
    <mergeCell ref="CQK28:CQL28"/>
    <mergeCell ref="CQM28:CQN28"/>
    <mergeCell ref="CPQ28:CPR28"/>
    <mergeCell ref="CPS28:CPT28"/>
    <mergeCell ref="CPU28:CPV28"/>
    <mergeCell ref="CPW28:CPX28"/>
    <mergeCell ref="CPY28:CPZ28"/>
    <mergeCell ref="CQA28:CQB28"/>
    <mergeCell ref="CPE28:CPF28"/>
    <mergeCell ref="CPG28:CPH28"/>
    <mergeCell ref="CPI28:CPJ28"/>
    <mergeCell ref="CPK28:CPL28"/>
    <mergeCell ref="CPM28:CPN28"/>
    <mergeCell ref="CPO28:CPP28"/>
    <mergeCell ref="CUG28:CUH28"/>
    <mergeCell ref="CUI28:CUJ28"/>
    <mergeCell ref="CUK28:CUL28"/>
    <mergeCell ref="CUM28:CUN28"/>
    <mergeCell ref="CUO28:CUP28"/>
    <mergeCell ref="CUQ28:CUR28"/>
    <mergeCell ref="CTU28:CTV28"/>
    <mergeCell ref="CTW28:CTX28"/>
    <mergeCell ref="CTY28:CTZ28"/>
    <mergeCell ref="CUA28:CUB28"/>
    <mergeCell ref="CUC28:CUD28"/>
    <mergeCell ref="CUE28:CUF28"/>
    <mergeCell ref="CTI28:CTJ28"/>
    <mergeCell ref="CTK28:CTL28"/>
    <mergeCell ref="CTM28:CTN28"/>
    <mergeCell ref="CTO28:CTP28"/>
    <mergeCell ref="CTQ28:CTR28"/>
    <mergeCell ref="CTS28:CTT28"/>
    <mergeCell ref="CSW28:CSX28"/>
    <mergeCell ref="CSY28:CSZ28"/>
    <mergeCell ref="CTA28:CTB28"/>
    <mergeCell ref="CTC28:CTD28"/>
    <mergeCell ref="CTE28:CTF28"/>
    <mergeCell ref="CTG28:CTH28"/>
    <mergeCell ref="CSK28:CSL28"/>
    <mergeCell ref="CSM28:CSN28"/>
    <mergeCell ref="CSO28:CSP28"/>
    <mergeCell ref="CSQ28:CSR28"/>
    <mergeCell ref="CSS28:CST28"/>
    <mergeCell ref="CSU28:CSV28"/>
    <mergeCell ref="CRY28:CRZ28"/>
    <mergeCell ref="CSA28:CSB28"/>
    <mergeCell ref="CSC28:CSD28"/>
    <mergeCell ref="CSE28:CSF28"/>
    <mergeCell ref="CSG28:CSH28"/>
    <mergeCell ref="CSI28:CSJ28"/>
    <mergeCell ref="CXA28:CXB28"/>
    <mergeCell ref="CXC28:CXD28"/>
    <mergeCell ref="CXE28:CXF28"/>
    <mergeCell ref="CXG28:CXH28"/>
    <mergeCell ref="CXI28:CXJ28"/>
    <mergeCell ref="CXK28:CXL28"/>
    <mergeCell ref="CWO28:CWP28"/>
    <mergeCell ref="CWQ28:CWR28"/>
    <mergeCell ref="CWS28:CWT28"/>
    <mergeCell ref="CWU28:CWV28"/>
    <mergeCell ref="CWW28:CWX28"/>
    <mergeCell ref="CWY28:CWZ28"/>
    <mergeCell ref="CWC28:CWD28"/>
    <mergeCell ref="CWE28:CWF28"/>
    <mergeCell ref="CWG28:CWH28"/>
    <mergeCell ref="CWI28:CWJ28"/>
    <mergeCell ref="CWK28:CWL28"/>
    <mergeCell ref="CWM28:CWN28"/>
    <mergeCell ref="CVQ28:CVR28"/>
    <mergeCell ref="CVS28:CVT28"/>
    <mergeCell ref="CVU28:CVV28"/>
    <mergeCell ref="CVW28:CVX28"/>
    <mergeCell ref="CVY28:CVZ28"/>
    <mergeCell ref="CWA28:CWB28"/>
    <mergeCell ref="CVE28:CVF28"/>
    <mergeCell ref="CVG28:CVH28"/>
    <mergeCell ref="CVI28:CVJ28"/>
    <mergeCell ref="CVK28:CVL28"/>
    <mergeCell ref="CVM28:CVN28"/>
    <mergeCell ref="CVO28:CVP28"/>
    <mergeCell ref="CUS28:CUT28"/>
    <mergeCell ref="CUU28:CUV28"/>
    <mergeCell ref="CUW28:CUX28"/>
    <mergeCell ref="CUY28:CUZ28"/>
    <mergeCell ref="CVA28:CVB28"/>
    <mergeCell ref="CVC28:CVD28"/>
    <mergeCell ref="CZU28:CZV28"/>
    <mergeCell ref="CZW28:CZX28"/>
    <mergeCell ref="CZY28:CZZ28"/>
    <mergeCell ref="DAA28:DAB28"/>
    <mergeCell ref="DAC28:DAD28"/>
    <mergeCell ref="DAE28:DAF28"/>
    <mergeCell ref="CZI28:CZJ28"/>
    <mergeCell ref="CZK28:CZL28"/>
    <mergeCell ref="CZM28:CZN28"/>
    <mergeCell ref="CZO28:CZP28"/>
    <mergeCell ref="CZQ28:CZR28"/>
    <mergeCell ref="CZS28:CZT28"/>
    <mergeCell ref="CYW28:CYX28"/>
    <mergeCell ref="CYY28:CYZ28"/>
    <mergeCell ref="CZA28:CZB28"/>
    <mergeCell ref="CZC28:CZD28"/>
    <mergeCell ref="CZE28:CZF28"/>
    <mergeCell ref="CZG28:CZH28"/>
    <mergeCell ref="CYK28:CYL28"/>
    <mergeCell ref="CYM28:CYN28"/>
    <mergeCell ref="CYO28:CYP28"/>
    <mergeCell ref="CYQ28:CYR28"/>
    <mergeCell ref="CYS28:CYT28"/>
    <mergeCell ref="CYU28:CYV28"/>
    <mergeCell ref="CXY28:CXZ28"/>
    <mergeCell ref="CYA28:CYB28"/>
    <mergeCell ref="CYC28:CYD28"/>
    <mergeCell ref="CYE28:CYF28"/>
    <mergeCell ref="CYG28:CYH28"/>
    <mergeCell ref="CYI28:CYJ28"/>
    <mergeCell ref="CXM28:CXN28"/>
    <mergeCell ref="CXO28:CXP28"/>
    <mergeCell ref="CXQ28:CXR28"/>
    <mergeCell ref="CXS28:CXT28"/>
    <mergeCell ref="CXU28:CXV28"/>
    <mergeCell ref="CXW28:CXX28"/>
    <mergeCell ref="DCO28:DCP28"/>
    <mergeCell ref="DCQ28:DCR28"/>
    <mergeCell ref="DCS28:DCT28"/>
    <mergeCell ref="DCU28:DCV28"/>
    <mergeCell ref="DCW28:DCX28"/>
    <mergeCell ref="DCY28:DCZ28"/>
    <mergeCell ref="DCC28:DCD28"/>
    <mergeCell ref="DCE28:DCF28"/>
    <mergeCell ref="DCG28:DCH28"/>
    <mergeCell ref="DCI28:DCJ28"/>
    <mergeCell ref="DCK28:DCL28"/>
    <mergeCell ref="DCM28:DCN28"/>
    <mergeCell ref="DBQ28:DBR28"/>
    <mergeCell ref="DBS28:DBT28"/>
    <mergeCell ref="DBU28:DBV28"/>
    <mergeCell ref="DBW28:DBX28"/>
    <mergeCell ref="DBY28:DBZ28"/>
    <mergeCell ref="DCA28:DCB28"/>
    <mergeCell ref="DBE28:DBF28"/>
    <mergeCell ref="DBG28:DBH28"/>
    <mergeCell ref="DBI28:DBJ28"/>
    <mergeCell ref="DBK28:DBL28"/>
    <mergeCell ref="DBM28:DBN28"/>
    <mergeCell ref="DBO28:DBP28"/>
    <mergeCell ref="DAS28:DAT28"/>
    <mergeCell ref="DAU28:DAV28"/>
    <mergeCell ref="DAW28:DAX28"/>
    <mergeCell ref="DAY28:DAZ28"/>
    <mergeCell ref="DBA28:DBB28"/>
    <mergeCell ref="DBC28:DBD28"/>
    <mergeCell ref="DAG28:DAH28"/>
    <mergeCell ref="DAI28:DAJ28"/>
    <mergeCell ref="DAK28:DAL28"/>
    <mergeCell ref="DAM28:DAN28"/>
    <mergeCell ref="DAO28:DAP28"/>
    <mergeCell ref="DAQ28:DAR28"/>
    <mergeCell ref="DFI28:DFJ28"/>
    <mergeCell ref="DFK28:DFL28"/>
    <mergeCell ref="DFM28:DFN28"/>
    <mergeCell ref="DFO28:DFP28"/>
    <mergeCell ref="DFQ28:DFR28"/>
    <mergeCell ref="DFS28:DFT28"/>
    <mergeCell ref="DEW28:DEX28"/>
    <mergeCell ref="DEY28:DEZ28"/>
    <mergeCell ref="DFA28:DFB28"/>
    <mergeCell ref="DFC28:DFD28"/>
    <mergeCell ref="DFE28:DFF28"/>
    <mergeCell ref="DFG28:DFH28"/>
    <mergeCell ref="DEK28:DEL28"/>
    <mergeCell ref="DEM28:DEN28"/>
    <mergeCell ref="DEO28:DEP28"/>
    <mergeCell ref="DEQ28:DER28"/>
    <mergeCell ref="DES28:DET28"/>
    <mergeCell ref="DEU28:DEV28"/>
    <mergeCell ref="DDY28:DDZ28"/>
    <mergeCell ref="DEA28:DEB28"/>
    <mergeCell ref="DEC28:DED28"/>
    <mergeCell ref="DEE28:DEF28"/>
    <mergeCell ref="DEG28:DEH28"/>
    <mergeCell ref="DEI28:DEJ28"/>
    <mergeCell ref="DDM28:DDN28"/>
    <mergeCell ref="DDO28:DDP28"/>
    <mergeCell ref="DDQ28:DDR28"/>
    <mergeCell ref="DDS28:DDT28"/>
    <mergeCell ref="DDU28:DDV28"/>
    <mergeCell ref="DDW28:DDX28"/>
    <mergeCell ref="DDA28:DDB28"/>
    <mergeCell ref="DDC28:DDD28"/>
    <mergeCell ref="DDE28:DDF28"/>
    <mergeCell ref="DDG28:DDH28"/>
    <mergeCell ref="DDI28:DDJ28"/>
    <mergeCell ref="DDK28:DDL28"/>
    <mergeCell ref="DIC28:DID28"/>
    <mergeCell ref="DIE28:DIF28"/>
    <mergeCell ref="DIG28:DIH28"/>
    <mergeCell ref="DII28:DIJ28"/>
    <mergeCell ref="DIK28:DIL28"/>
    <mergeCell ref="DIM28:DIN28"/>
    <mergeCell ref="DHQ28:DHR28"/>
    <mergeCell ref="DHS28:DHT28"/>
    <mergeCell ref="DHU28:DHV28"/>
    <mergeCell ref="DHW28:DHX28"/>
    <mergeCell ref="DHY28:DHZ28"/>
    <mergeCell ref="DIA28:DIB28"/>
    <mergeCell ref="DHE28:DHF28"/>
    <mergeCell ref="DHG28:DHH28"/>
    <mergeCell ref="DHI28:DHJ28"/>
    <mergeCell ref="DHK28:DHL28"/>
    <mergeCell ref="DHM28:DHN28"/>
    <mergeCell ref="DHO28:DHP28"/>
    <mergeCell ref="DGS28:DGT28"/>
    <mergeCell ref="DGU28:DGV28"/>
    <mergeCell ref="DGW28:DGX28"/>
    <mergeCell ref="DGY28:DGZ28"/>
    <mergeCell ref="DHA28:DHB28"/>
    <mergeCell ref="DHC28:DHD28"/>
    <mergeCell ref="DGG28:DGH28"/>
    <mergeCell ref="DGI28:DGJ28"/>
    <mergeCell ref="DGK28:DGL28"/>
    <mergeCell ref="DGM28:DGN28"/>
    <mergeCell ref="DGO28:DGP28"/>
    <mergeCell ref="DGQ28:DGR28"/>
    <mergeCell ref="DFU28:DFV28"/>
    <mergeCell ref="DFW28:DFX28"/>
    <mergeCell ref="DFY28:DFZ28"/>
    <mergeCell ref="DGA28:DGB28"/>
    <mergeCell ref="DGC28:DGD28"/>
    <mergeCell ref="DGE28:DGF28"/>
    <mergeCell ref="DKW28:DKX28"/>
    <mergeCell ref="DKY28:DKZ28"/>
    <mergeCell ref="DLA28:DLB28"/>
    <mergeCell ref="DLC28:DLD28"/>
    <mergeCell ref="DLE28:DLF28"/>
    <mergeCell ref="DLG28:DLH28"/>
    <mergeCell ref="DKK28:DKL28"/>
    <mergeCell ref="DKM28:DKN28"/>
    <mergeCell ref="DKO28:DKP28"/>
    <mergeCell ref="DKQ28:DKR28"/>
    <mergeCell ref="DKS28:DKT28"/>
    <mergeCell ref="DKU28:DKV28"/>
    <mergeCell ref="DJY28:DJZ28"/>
    <mergeCell ref="DKA28:DKB28"/>
    <mergeCell ref="DKC28:DKD28"/>
    <mergeCell ref="DKE28:DKF28"/>
    <mergeCell ref="DKG28:DKH28"/>
    <mergeCell ref="DKI28:DKJ28"/>
    <mergeCell ref="DJM28:DJN28"/>
    <mergeCell ref="DJO28:DJP28"/>
    <mergeCell ref="DJQ28:DJR28"/>
    <mergeCell ref="DJS28:DJT28"/>
    <mergeCell ref="DJU28:DJV28"/>
    <mergeCell ref="DJW28:DJX28"/>
    <mergeCell ref="DJA28:DJB28"/>
    <mergeCell ref="DJC28:DJD28"/>
    <mergeCell ref="DJE28:DJF28"/>
    <mergeCell ref="DJG28:DJH28"/>
    <mergeCell ref="DJI28:DJJ28"/>
    <mergeCell ref="DJK28:DJL28"/>
    <mergeCell ref="DIO28:DIP28"/>
    <mergeCell ref="DIQ28:DIR28"/>
    <mergeCell ref="DIS28:DIT28"/>
    <mergeCell ref="DIU28:DIV28"/>
    <mergeCell ref="DIW28:DIX28"/>
    <mergeCell ref="DIY28:DIZ28"/>
    <mergeCell ref="DNQ28:DNR28"/>
    <mergeCell ref="DNS28:DNT28"/>
    <mergeCell ref="DNU28:DNV28"/>
    <mergeCell ref="DNW28:DNX28"/>
    <mergeCell ref="DNY28:DNZ28"/>
    <mergeCell ref="DOA28:DOB28"/>
    <mergeCell ref="DNE28:DNF28"/>
    <mergeCell ref="DNG28:DNH28"/>
    <mergeCell ref="DNI28:DNJ28"/>
    <mergeCell ref="DNK28:DNL28"/>
    <mergeCell ref="DNM28:DNN28"/>
    <mergeCell ref="DNO28:DNP28"/>
    <mergeCell ref="DMS28:DMT28"/>
    <mergeCell ref="DMU28:DMV28"/>
    <mergeCell ref="DMW28:DMX28"/>
    <mergeCell ref="DMY28:DMZ28"/>
    <mergeCell ref="DNA28:DNB28"/>
    <mergeCell ref="DNC28:DND28"/>
    <mergeCell ref="DMG28:DMH28"/>
    <mergeCell ref="DMI28:DMJ28"/>
    <mergeCell ref="DMK28:DML28"/>
    <mergeCell ref="DMM28:DMN28"/>
    <mergeCell ref="DMO28:DMP28"/>
    <mergeCell ref="DMQ28:DMR28"/>
    <mergeCell ref="DLU28:DLV28"/>
    <mergeCell ref="DLW28:DLX28"/>
    <mergeCell ref="DLY28:DLZ28"/>
    <mergeCell ref="DMA28:DMB28"/>
    <mergeCell ref="DMC28:DMD28"/>
    <mergeCell ref="DME28:DMF28"/>
    <mergeCell ref="DLI28:DLJ28"/>
    <mergeCell ref="DLK28:DLL28"/>
    <mergeCell ref="DLM28:DLN28"/>
    <mergeCell ref="DLO28:DLP28"/>
    <mergeCell ref="DLQ28:DLR28"/>
    <mergeCell ref="DLS28:DLT28"/>
    <mergeCell ref="DQK28:DQL28"/>
    <mergeCell ref="DQM28:DQN28"/>
    <mergeCell ref="DQO28:DQP28"/>
    <mergeCell ref="DQQ28:DQR28"/>
    <mergeCell ref="DQS28:DQT28"/>
    <mergeCell ref="DQU28:DQV28"/>
    <mergeCell ref="DPY28:DPZ28"/>
    <mergeCell ref="DQA28:DQB28"/>
    <mergeCell ref="DQC28:DQD28"/>
    <mergeCell ref="DQE28:DQF28"/>
    <mergeCell ref="DQG28:DQH28"/>
    <mergeCell ref="DQI28:DQJ28"/>
    <mergeCell ref="DPM28:DPN28"/>
    <mergeCell ref="DPO28:DPP28"/>
    <mergeCell ref="DPQ28:DPR28"/>
    <mergeCell ref="DPS28:DPT28"/>
    <mergeCell ref="DPU28:DPV28"/>
    <mergeCell ref="DPW28:DPX28"/>
    <mergeCell ref="DPA28:DPB28"/>
    <mergeCell ref="DPC28:DPD28"/>
    <mergeCell ref="DPE28:DPF28"/>
    <mergeCell ref="DPG28:DPH28"/>
    <mergeCell ref="DPI28:DPJ28"/>
    <mergeCell ref="DPK28:DPL28"/>
    <mergeCell ref="DOO28:DOP28"/>
    <mergeCell ref="DOQ28:DOR28"/>
    <mergeCell ref="DOS28:DOT28"/>
    <mergeCell ref="DOU28:DOV28"/>
    <mergeCell ref="DOW28:DOX28"/>
    <mergeCell ref="DOY28:DOZ28"/>
    <mergeCell ref="DOC28:DOD28"/>
    <mergeCell ref="DOE28:DOF28"/>
    <mergeCell ref="DOG28:DOH28"/>
    <mergeCell ref="DOI28:DOJ28"/>
    <mergeCell ref="DOK28:DOL28"/>
    <mergeCell ref="DOM28:DON28"/>
    <mergeCell ref="DTE28:DTF28"/>
    <mergeCell ref="DTG28:DTH28"/>
    <mergeCell ref="DTI28:DTJ28"/>
    <mergeCell ref="DTK28:DTL28"/>
    <mergeCell ref="DTM28:DTN28"/>
    <mergeCell ref="DTO28:DTP28"/>
    <mergeCell ref="DSS28:DST28"/>
    <mergeCell ref="DSU28:DSV28"/>
    <mergeCell ref="DSW28:DSX28"/>
    <mergeCell ref="DSY28:DSZ28"/>
    <mergeCell ref="DTA28:DTB28"/>
    <mergeCell ref="DTC28:DTD28"/>
    <mergeCell ref="DSG28:DSH28"/>
    <mergeCell ref="DSI28:DSJ28"/>
    <mergeCell ref="DSK28:DSL28"/>
    <mergeCell ref="DSM28:DSN28"/>
    <mergeCell ref="DSO28:DSP28"/>
    <mergeCell ref="DSQ28:DSR28"/>
    <mergeCell ref="DRU28:DRV28"/>
    <mergeCell ref="DRW28:DRX28"/>
    <mergeCell ref="DRY28:DRZ28"/>
    <mergeCell ref="DSA28:DSB28"/>
    <mergeCell ref="DSC28:DSD28"/>
    <mergeCell ref="DSE28:DSF28"/>
    <mergeCell ref="DRI28:DRJ28"/>
    <mergeCell ref="DRK28:DRL28"/>
    <mergeCell ref="DRM28:DRN28"/>
    <mergeCell ref="DRO28:DRP28"/>
    <mergeCell ref="DRQ28:DRR28"/>
    <mergeCell ref="DRS28:DRT28"/>
    <mergeCell ref="DQW28:DQX28"/>
    <mergeCell ref="DQY28:DQZ28"/>
    <mergeCell ref="DRA28:DRB28"/>
    <mergeCell ref="DRC28:DRD28"/>
    <mergeCell ref="DRE28:DRF28"/>
    <mergeCell ref="DRG28:DRH28"/>
    <mergeCell ref="DVY28:DVZ28"/>
    <mergeCell ref="DWA28:DWB28"/>
    <mergeCell ref="DWC28:DWD28"/>
    <mergeCell ref="DWE28:DWF28"/>
    <mergeCell ref="DWG28:DWH28"/>
    <mergeCell ref="DWI28:DWJ28"/>
    <mergeCell ref="DVM28:DVN28"/>
    <mergeCell ref="DVO28:DVP28"/>
    <mergeCell ref="DVQ28:DVR28"/>
    <mergeCell ref="DVS28:DVT28"/>
    <mergeCell ref="DVU28:DVV28"/>
    <mergeCell ref="DVW28:DVX28"/>
    <mergeCell ref="DVA28:DVB28"/>
    <mergeCell ref="DVC28:DVD28"/>
    <mergeCell ref="DVE28:DVF28"/>
    <mergeCell ref="DVG28:DVH28"/>
    <mergeCell ref="DVI28:DVJ28"/>
    <mergeCell ref="DVK28:DVL28"/>
    <mergeCell ref="DUO28:DUP28"/>
    <mergeCell ref="DUQ28:DUR28"/>
    <mergeCell ref="DUS28:DUT28"/>
    <mergeCell ref="DUU28:DUV28"/>
    <mergeCell ref="DUW28:DUX28"/>
    <mergeCell ref="DUY28:DUZ28"/>
    <mergeCell ref="DUC28:DUD28"/>
    <mergeCell ref="DUE28:DUF28"/>
    <mergeCell ref="DUG28:DUH28"/>
    <mergeCell ref="DUI28:DUJ28"/>
    <mergeCell ref="DUK28:DUL28"/>
    <mergeCell ref="DUM28:DUN28"/>
    <mergeCell ref="DTQ28:DTR28"/>
    <mergeCell ref="DTS28:DTT28"/>
    <mergeCell ref="DTU28:DTV28"/>
    <mergeCell ref="DTW28:DTX28"/>
    <mergeCell ref="DTY28:DTZ28"/>
    <mergeCell ref="DUA28:DUB28"/>
    <mergeCell ref="DYS28:DYT28"/>
    <mergeCell ref="DYU28:DYV28"/>
    <mergeCell ref="DYW28:DYX28"/>
    <mergeCell ref="DYY28:DYZ28"/>
    <mergeCell ref="DZA28:DZB28"/>
    <mergeCell ref="DZC28:DZD28"/>
    <mergeCell ref="DYG28:DYH28"/>
    <mergeCell ref="DYI28:DYJ28"/>
    <mergeCell ref="DYK28:DYL28"/>
    <mergeCell ref="DYM28:DYN28"/>
    <mergeCell ref="DYO28:DYP28"/>
    <mergeCell ref="DYQ28:DYR28"/>
    <mergeCell ref="DXU28:DXV28"/>
    <mergeCell ref="DXW28:DXX28"/>
    <mergeCell ref="DXY28:DXZ28"/>
    <mergeCell ref="DYA28:DYB28"/>
    <mergeCell ref="DYC28:DYD28"/>
    <mergeCell ref="DYE28:DYF28"/>
    <mergeCell ref="DXI28:DXJ28"/>
    <mergeCell ref="DXK28:DXL28"/>
    <mergeCell ref="DXM28:DXN28"/>
    <mergeCell ref="DXO28:DXP28"/>
    <mergeCell ref="DXQ28:DXR28"/>
    <mergeCell ref="DXS28:DXT28"/>
    <mergeCell ref="DWW28:DWX28"/>
    <mergeCell ref="DWY28:DWZ28"/>
    <mergeCell ref="DXA28:DXB28"/>
    <mergeCell ref="DXC28:DXD28"/>
    <mergeCell ref="DXE28:DXF28"/>
    <mergeCell ref="DXG28:DXH28"/>
    <mergeCell ref="DWK28:DWL28"/>
    <mergeCell ref="DWM28:DWN28"/>
    <mergeCell ref="DWO28:DWP28"/>
    <mergeCell ref="DWQ28:DWR28"/>
    <mergeCell ref="DWS28:DWT28"/>
    <mergeCell ref="DWU28:DWV28"/>
    <mergeCell ref="EBM28:EBN28"/>
    <mergeCell ref="EBO28:EBP28"/>
    <mergeCell ref="EBQ28:EBR28"/>
    <mergeCell ref="EBS28:EBT28"/>
    <mergeCell ref="EBU28:EBV28"/>
    <mergeCell ref="EBW28:EBX28"/>
    <mergeCell ref="EBA28:EBB28"/>
    <mergeCell ref="EBC28:EBD28"/>
    <mergeCell ref="EBE28:EBF28"/>
    <mergeCell ref="EBG28:EBH28"/>
    <mergeCell ref="EBI28:EBJ28"/>
    <mergeCell ref="EBK28:EBL28"/>
    <mergeCell ref="EAO28:EAP28"/>
    <mergeCell ref="EAQ28:EAR28"/>
    <mergeCell ref="EAS28:EAT28"/>
    <mergeCell ref="EAU28:EAV28"/>
    <mergeCell ref="EAW28:EAX28"/>
    <mergeCell ref="EAY28:EAZ28"/>
    <mergeCell ref="EAC28:EAD28"/>
    <mergeCell ref="EAE28:EAF28"/>
    <mergeCell ref="EAG28:EAH28"/>
    <mergeCell ref="EAI28:EAJ28"/>
    <mergeCell ref="EAK28:EAL28"/>
    <mergeCell ref="EAM28:EAN28"/>
    <mergeCell ref="DZQ28:DZR28"/>
    <mergeCell ref="DZS28:DZT28"/>
    <mergeCell ref="DZU28:DZV28"/>
    <mergeCell ref="DZW28:DZX28"/>
    <mergeCell ref="DZY28:DZZ28"/>
    <mergeCell ref="EAA28:EAB28"/>
    <mergeCell ref="DZE28:DZF28"/>
    <mergeCell ref="DZG28:DZH28"/>
    <mergeCell ref="DZI28:DZJ28"/>
    <mergeCell ref="DZK28:DZL28"/>
    <mergeCell ref="DZM28:DZN28"/>
    <mergeCell ref="DZO28:DZP28"/>
    <mergeCell ref="EEG28:EEH28"/>
    <mergeCell ref="EEI28:EEJ28"/>
    <mergeCell ref="EEK28:EEL28"/>
    <mergeCell ref="EEM28:EEN28"/>
    <mergeCell ref="EEO28:EEP28"/>
    <mergeCell ref="EEQ28:EER28"/>
    <mergeCell ref="EDU28:EDV28"/>
    <mergeCell ref="EDW28:EDX28"/>
    <mergeCell ref="EDY28:EDZ28"/>
    <mergeCell ref="EEA28:EEB28"/>
    <mergeCell ref="EEC28:EED28"/>
    <mergeCell ref="EEE28:EEF28"/>
    <mergeCell ref="EDI28:EDJ28"/>
    <mergeCell ref="EDK28:EDL28"/>
    <mergeCell ref="EDM28:EDN28"/>
    <mergeCell ref="EDO28:EDP28"/>
    <mergeCell ref="EDQ28:EDR28"/>
    <mergeCell ref="EDS28:EDT28"/>
    <mergeCell ref="ECW28:ECX28"/>
    <mergeCell ref="ECY28:ECZ28"/>
    <mergeCell ref="EDA28:EDB28"/>
    <mergeCell ref="EDC28:EDD28"/>
    <mergeCell ref="EDE28:EDF28"/>
    <mergeCell ref="EDG28:EDH28"/>
    <mergeCell ref="ECK28:ECL28"/>
    <mergeCell ref="ECM28:ECN28"/>
    <mergeCell ref="ECO28:ECP28"/>
    <mergeCell ref="ECQ28:ECR28"/>
    <mergeCell ref="ECS28:ECT28"/>
    <mergeCell ref="ECU28:ECV28"/>
    <mergeCell ref="EBY28:EBZ28"/>
    <mergeCell ref="ECA28:ECB28"/>
    <mergeCell ref="ECC28:ECD28"/>
    <mergeCell ref="ECE28:ECF28"/>
    <mergeCell ref="ECG28:ECH28"/>
    <mergeCell ref="ECI28:ECJ28"/>
    <mergeCell ref="EHA28:EHB28"/>
    <mergeCell ref="EHC28:EHD28"/>
    <mergeCell ref="EHE28:EHF28"/>
    <mergeCell ref="EHG28:EHH28"/>
    <mergeCell ref="EHI28:EHJ28"/>
    <mergeCell ref="EHK28:EHL28"/>
    <mergeCell ref="EGO28:EGP28"/>
    <mergeCell ref="EGQ28:EGR28"/>
    <mergeCell ref="EGS28:EGT28"/>
    <mergeCell ref="EGU28:EGV28"/>
    <mergeCell ref="EGW28:EGX28"/>
    <mergeCell ref="EGY28:EGZ28"/>
    <mergeCell ref="EGC28:EGD28"/>
    <mergeCell ref="EGE28:EGF28"/>
    <mergeCell ref="EGG28:EGH28"/>
    <mergeCell ref="EGI28:EGJ28"/>
    <mergeCell ref="EGK28:EGL28"/>
    <mergeCell ref="EGM28:EGN28"/>
    <mergeCell ref="EFQ28:EFR28"/>
    <mergeCell ref="EFS28:EFT28"/>
    <mergeCell ref="EFU28:EFV28"/>
    <mergeCell ref="EFW28:EFX28"/>
    <mergeCell ref="EFY28:EFZ28"/>
    <mergeCell ref="EGA28:EGB28"/>
    <mergeCell ref="EFE28:EFF28"/>
    <mergeCell ref="EFG28:EFH28"/>
    <mergeCell ref="EFI28:EFJ28"/>
    <mergeCell ref="EFK28:EFL28"/>
    <mergeCell ref="EFM28:EFN28"/>
    <mergeCell ref="EFO28:EFP28"/>
    <mergeCell ref="EES28:EET28"/>
    <mergeCell ref="EEU28:EEV28"/>
    <mergeCell ref="EEW28:EEX28"/>
    <mergeCell ref="EEY28:EEZ28"/>
    <mergeCell ref="EFA28:EFB28"/>
    <mergeCell ref="EFC28:EFD28"/>
    <mergeCell ref="EJU28:EJV28"/>
    <mergeCell ref="EJW28:EJX28"/>
    <mergeCell ref="EJY28:EJZ28"/>
    <mergeCell ref="EKA28:EKB28"/>
    <mergeCell ref="EKC28:EKD28"/>
    <mergeCell ref="EKE28:EKF28"/>
    <mergeCell ref="EJI28:EJJ28"/>
    <mergeCell ref="EJK28:EJL28"/>
    <mergeCell ref="EJM28:EJN28"/>
    <mergeCell ref="EJO28:EJP28"/>
    <mergeCell ref="EJQ28:EJR28"/>
    <mergeCell ref="EJS28:EJT28"/>
    <mergeCell ref="EIW28:EIX28"/>
    <mergeCell ref="EIY28:EIZ28"/>
    <mergeCell ref="EJA28:EJB28"/>
    <mergeCell ref="EJC28:EJD28"/>
    <mergeCell ref="EJE28:EJF28"/>
    <mergeCell ref="EJG28:EJH28"/>
    <mergeCell ref="EIK28:EIL28"/>
    <mergeCell ref="EIM28:EIN28"/>
    <mergeCell ref="EIO28:EIP28"/>
    <mergeCell ref="EIQ28:EIR28"/>
    <mergeCell ref="EIS28:EIT28"/>
    <mergeCell ref="EIU28:EIV28"/>
    <mergeCell ref="EHY28:EHZ28"/>
    <mergeCell ref="EIA28:EIB28"/>
    <mergeCell ref="EIC28:EID28"/>
    <mergeCell ref="EIE28:EIF28"/>
    <mergeCell ref="EIG28:EIH28"/>
    <mergeCell ref="EII28:EIJ28"/>
    <mergeCell ref="EHM28:EHN28"/>
    <mergeCell ref="EHO28:EHP28"/>
    <mergeCell ref="EHQ28:EHR28"/>
    <mergeCell ref="EHS28:EHT28"/>
    <mergeCell ref="EHU28:EHV28"/>
    <mergeCell ref="EHW28:EHX28"/>
    <mergeCell ref="EMO28:EMP28"/>
    <mergeCell ref="EMQ28:EMR28"/>
    <mergeCell ref="EMS28:EMT28"/>
    <mergeCell ref="EMU28:EMV28"/>
    <mergeCell ref="EMW28:EMX28"/>
    <mergeCell ref="EMY28:EMZ28"/>
    <mergeCell ref="EMC28:EMD28"/>
    <mergeCell ref="EME28:EMF28"/>
    <mergeCell ref="EMG28:EMH28"/>
    <mergeCell ref="EMI28:EMJ28"/>
    <mergeCell ref="EMK28:EML28"/>
    <mergeCell ref="EMM28:EMN28"/>
    <mergeCell ref="ELQ28:ELR28"/>
    <mergeCell ref="ELS28:ELT28"/>
    <mergeCell ref="ELU28:ELV28"/>
    <mergeCell ref="ELW28:ELX28"/>
    <mergeCell ref="ELY28:ELZ28"/>
    <mergeCell ref="EMA28:EMB28"/>
    <mergeCell ref="ELE28:ELF28"/>
    <mergeCell ref="ELG28:ELH28"/>
    <mergeCell ref="ELI28:ELJ28"/>
    <mergeCell ref="ELK28:ELL28"/>
    <mergeCell ref="ELM28:ELN28"/>
    <mergeCell ref="ELO28:ELP28"/>
    <mergeCell ref="EKS28:EKT28"/>
    <mergeCell ref="EKU28:EKV28"/>
    <mergeCell ref="EKW28:EKX28"/>
    <mergeCell ref="EKY28:EKZ28"/>
    <mergeCell ref="ELA28:ELB28"/>
    <mergeCell ref="ELC28:ELD28"/>
    <mergeCell ref="EKG28:EKH28"/>
    <mergeCell ref="EKI28:EKJ28"/>
    <mergeCell ref="EKK28:EKL28"/>
    <mergeCell ref="EKM28:EKN28"/>
    <mergeCell ref="EKO28:EKP28"/>
    <mergeCell ref="EKQ28:EKR28"/>
    <mergeCell ref="EPI28:EPJ28"/>
    <mergeCell ref="EPK28:EPL28"/>
    <mergeCell ref="EPM28:EPN28"/>
    <mergeCell ref="EPO28:EPP28"/>
    <mergeCell ref="EPQ28:EPR28"/>
    <mergeCell ref="EPS28:EPT28"/>
    <mergeCell ref="EOW28:EOX28"/>
    <mergeCell ref="EOY28:EOZ28"/>
    <mergeCell ref="EPA28:EPB28"/>
    <mergeCell ref="EPC28:EPD28"/>
    <mergeCell ref="EPE28:EPF28"/>
    <mergeCell ref="EPG28:EPH28"/>
    <mergeCell ref="EOK28:EOL28"/>
    <mergeCell ref="EOM28:EON28"/>
    <mergeCell ref="EOO28:EOP28"/>
    <mergeCell ref="EOQ28:EOR28"/>
    <mergeCell ref="EOS28:EOT28"/>
    <mergeCell ref="EOU28:EOV28"/>
    <mergeCell ref="ENY28:ENZ28"/>
    <mergeCell ref="EOA28:EOB28"/>
    <mergeCell ref="EOC28:EOD28"/>
    <mergeCell ref="EOE28:EOF28"/>
    <mergeCell ref="EOG28:EOH28"/>
    <mergeCell ref="EOI28:EOJ28"/>
    <mergeCell ref="ENM28:ENN28"/>
    <mergeCell ref="ENO28:ENP28"/>
    <mergeCell ref="ENQ28:ENR28"/>
    <mergeCell ref="ENS28:ENT28"/>
    <mergeCell ref="ENU28:ENV28"/>
    <mergeCell ref="ENW28:ENX28"/>
    <mergeCell ref="ENA28:ENB28"/>
    <mergeCell ref="ENC28:END28"/>
    <mergeCell ref="ENE28:ENF28"/>
    <mergeCell ref="ENG28:ENH28"/>
    <mergeCell ref="ENI28:ENJ28"/>
    <mergeCell ref="ENK28:ENL28"/>
    <mergeCell ref="ESC28:ESD28"/>
    <mergeCell ref="ESE28:ESF28"/>
    <mergeCell ref="ESG28:ESH28"/>
    <mergeCell ref="ESI28:ESJ28"/>
    <mergeCell ref="ESK28:ESL28"/>
    <mergeCell ref="ESM28:ESN28"/>
    <mergeCell ref="ERQ28:ERR28"/>
    <mergeCell ref="ERS28:ERT28"/>
    <mergeCell ref="ERU28:ERV28"/>
    <mergeCell ref="ERW28:ERX28"/>
    <mergeCell ref="ERY28:ERZ28"/>
    <mergeCell ref="ESA28:ESB28"/>
    <mergeCell ref="ERE28:ERF28"/>
    <mergeCell ref="ERG28:ERH28"/>
    <mergeCell ref="ERI28:ERJ28"/>
    <mergeCell ref="ERK28:ERL28"/>
    <mergeCell ref="ERM28:ERN28"/>
    <mergeCell ref="ERO28:ERP28"/>
    <mergeCell ref="EQS28:EQT28"/>
    <mergeCell ref="EQU28:EQV28"/>
    <mergeCell ref="EQW28:EQX28"/>
    <mergeCell ref="EQY28:EQZ28"/>
    <mergeCell ref="ERA28:ERB28"/>
    <mergeCell ref="ERC28:ERD28"/>
    <mergeCell ref="EQG28:EQH28"/>
    <mergeCell ref="EQI28:EQJ28"/>
    <mergeCell ref="EQK28:EQL28"/>
    <mergeCell ref="EQM28:EQN28"/>
    <mergeCell ref="EQO28:EQP28"/>
    <mergeCell ref="EQQ28:EQR28"/>
    <mergeCell ref="EPU28:EPV28"/>
    <mergeCell ref="EPW28:EPX28"/>
    <mergeCell ref="EPY28:EPZ28"/>
    <mergeCell ref="EQA28:EQB28"/>
    <mergeCell ref="EQC28:EQD28"/>
    <mergeCell ref="EQE28:EQF28"/>
    <mergeCell ref="EUW28:EUX28"/>
    <mergeCell ref="EUY28:EUZ28"/>
    <mergeCell ref="EVA28:EVB28"/>
    <mergeCell ref="EVC28:EVD28"/>
    <mergeCell ref="EVE28:EVF28"/>
    <mergeCell ref="EVG28:EVH28"/>
    <mergeCell ref="EUK28:EUL28"/>
    <mergeCell ref="EUM28:EUN28"/>
    <mergeCell ref="EUO28:EUP28"/>
    <mergeCell ref="EUQ28:EUR28"/>
    <mergeCell ref="EUS28:EUT28"/>
    <mergeCell ref="EUU28:EUV28"/>
    <mergeCell ref="ETY28:ETZ28"/>
    <mergeCell ref="EUA28:EUB28"/>
    <mergeCell ref="EUC28:EUD28"/>
    <mergeCell ref="EUE28:EUF28"/>
    <mergeCell ref="EUG28:EUH28"/>
    <mergeCell ref="EUI28:EUJ28"/>
    <mergeCell ref="ETM28:ETN28"/>
    <mergeCell ref="ETO28:ETP28"/>
    <mergeCell ref="ETQ28:ETR28"/>
    <mergeCell ref="ETS28:ETT28"/>
    <mergeCell ref="ETU28:ETV28"/>
    <mergeCell ref="ETW28:ETX28"/>
    <mergeCell ref="ETA28:ETB28"/>
    <mergeCell ref="ETC28:ETD28"/>
    <mergeCell ref="ETE28:ETF28"/>
    <mergeCell ref="ETG28:ETH28"/>
    <mergeCell ref="ETI28:ETJ28"/>
    <mergeCell ref="ETK28:ETL28"/>
    <mergeCell ref="ESO28:ESP28"/>
    <mergeCell ref="ESQ28:ESR28"/>
    <mergeCell ref="ESS28:EST28"/>
    <mergeCell ref="ESU28:ESV28"/>
    <mergeCell ref="ESW28:ESX28"/>
    <mergeCell ref="ESY28:ESZ28"/>
    <mergeCell ref="EXQ28:EXR28"/>
    <mergeCell ref="EXS28:EXT28"/>
    <mergeCell ref="EXU28:EXV28"/>
    <mergeCell ref="EXW28:EXX28"/>
    <mergeCell ref="EXY28:EXZ28"/>
    <mergeCell ref="EYA28:EYB28"/>
    <mergeCell ref="EXE28:EXF28"/>
    <mergeCell ref="EXG28:EXH28"/>
    <mergeCell ref="EXI28:EXJ28"/>
    <mergeCell ref="EXK28:EXL28"/>
    <mergeCell ref="EXM28:EXN28"/>
    <mergeCell ref="EXO28:EXP28"/>
    <mergeCell ref="EWS28:EWT28"/>
    <mergeCell ref="EWU28:EWV28"/>
    <mergeCell ref="EWW28:EWX28"/>
    <mergeCell ref="EWY28:EWZ28"/>
    <mergeCell ref="EXA28:EXB28"/>
    <mergeCell ref="EXC28:EXD28"/>
    <mergeCell ref="EWG28:EWH28"/>
    <mergeCell ref="EWI28:EWJ28"/>
    <mergeCell ref="EWK28:EWL28"/>
    <mergeCell ref="EWM28:EWN28"/>
    <mergeCell ref="EWO28:EWP28"/>
    <mergeCell ref="EWQ28:EWR28"/>
    <mergeCell ref="EVU28:EVV28"/>
    <mergeCell ref="EVW28:EVX28"/>
    <mergeCell ref="EVY28:EVZ28"/>
    <mergeCell ref="EWA28:EWB28"/>
    <mergeCell ref="EWC28:EWD28"/>
    <mergeCell ref="EWE28:EWF28"/>
    <mergeCell ref="EVI28:EVJ28"/>
    <mergeCell ref="EVK28:EVL28"/>
    <mergeCell ref="EVM28:EVN28"/>
    <mergeCell ref="EVO28:EVP28"/>
    <mergeCell ref="EVQ28:EVR28"/>
    <mergeCell ref="EVS28:EVT28"/>
    <mergeCell ref="FAK28:FAL28"/>
    <mergeCell ref="FAM28:FAN28"/>
    <mergeCell ref="FAO28:FAP28"/>
    <mergeCell ref="FAQ28:FAR28"/>
    <mergeCell ref="FAS28:FAT28"/>
    <mergeCell ref="FAU28:FAV28"/>
    <mergeCell ref="EZY28:EZZ28"/>
    <mergeCell ref="FAA28:FAB28"/>
    <mergeCell ref="FAC28:FAD28"/>
    <mergeCell ref="FAE28:FAF28"/>
    <mergeCell ref="FAG28:FAH28"/>
    <mergeCell ref="FAI28:FAJ28"/>
    <mergeCell ref="EZM28:EZN28"/>
    <mergeCell ref="EZO28:EZP28"/>
    <mergeCell ref="EZQ28:EZR28"/>
    <mergeCell ref="EZS28:EZT28"/>
    <mergeCell ref="EZU28:EZV28"/>
    <mergeCell ref="EZW28:EZX28"/>
    <mergeCell ref="EZA28:EZB28"/>
    <mergeCell ref="EZC28:EZD28"/>
    <mergeCell ref="EZE28:EZF28"/>
    <mergeCell ref="EZG28:EZH28"/>
    <mergeCell ref="EZI28:EZJ28"/>
    <mergeCell ref="EZK28:EZL28"/>
    <mergeCell ref="EYO28:EYP28"/>
    <mergeCell ref="EYQ28:EYR28"/>
    <mergeCell ref="EYS28:EYT28"/>
    <mergeCell ref="EYU28:EYV28"/>
    <mergeCell ref="EYW28:EYX28"/>
    <mergeCell ref="EYY28:EYZ28"/>
    <mergeCell ref="EYC28:EYD28"/>
    <mergeCell ref="EYE28:EYF28"/>
    <mergeCell ref="EYG28:EYH28"/>
    <mergeCell ref="EYI28:EYJ28"/>
    <mergeCell ref="EYK28:EYL28"/>
    <mergeCell ref="EYM28:EYN28"/>
    <mergeCell ref="FDE28:FDF28"/>
    <mergeCell ref="FDG28:FDH28"/>
    <mergeCell ref="FDI28:FDJ28"/>
    <mergeCell ref="FDK28:FDL28"/>
    <mergeCell ref="FDM28:FDN28"/>
    <mergeCell ref="FDO28:FDP28"/>
    <mergeCell ref="FCS28:FCT28"/>
    <mergeCell ref="FCU28:FCV28"/>
    <mergeCell ref="FCW28:FCX28"/>
    <mergeCell ref="FCY28:FCZ28"/>
    <mergeCell ref="FDA28:FDB28"/>
    <mergeCell ref="FDC28:FDD28"/>
    <mergeCell ref="FCG28:FCH28"/>
    <mergeCell ref="FCI28:FCJ28"/>
    <mergeCell ref="FCK28:FCL28"/>
    <mergeCell ref="FCM28:FCN28"/>
    <mergeCell ref="FCO28:FCP28"/>
    <mergeCell ref="FCQ28:FCR28"/>
    <mergeCell ref="FBU28:FBV28"/>
    <mergeCell ref="FBW28:FBX28"/>
    <mergeCell ref="FBY28:FBZ28"/>
    <mergeCell ref="FCA28:FCB28"/>
    <mergeCell ref="FCC28:FCD28"/>
    <mergeCell ref="FCE28:FCF28"/>
    <mergeCell ref="FBI28:FBJ28"/>
    <mergeCell ref="FBK28:FBL28"/>
    <mergeCell ref="FBM28:FBN28"/>
    <mergeCell ref="FBO28:FBP28"/>
    <mergeCell ref="FBQ28:FBR28"/>
    <mergeCell ref="FBS28:FBT28"/>
    <mergeCell ref="FAW28:FAX28"/>
    <mergeCell ref="FAY28:FAZ28"/>
    <mergeCell ref="FBA28:FBB28"/>
    <mergeCell ref="FBC28:FBD28"/>
    <mergeCell ref="FBE28:FBF28"/>
    <mergeCell ref="FBG28:FBH28"/>
    <mergeCell ref="FFY28:FFZ28"/>
    <mergeCell ref="FGA28:FGB28"/>
    <mergeCell ref="FGC28:FGD28"/>
    <mergeCell ref="FGE28:FGF28"/>
    <mergeCell ref="FGG28:FGH28"/>
    <mergeCell ref="FGI28:FGJ28"/>
    <mergeCell ref="FFM28:FFN28"/>
    <mergeCell ref="FFO28:FFP28"/>
    <mergeCell ref="FFQ28:FFR28"/>
    <mergeCell ref="FFS28:FFT28"/>
    <mergeCell ref="FFU28:FFV28"/>
    <mergeCell ref="FFW28:FFX28"/>
    <mergeCell ref="FFA28:FFB28"/>
    <mergeCell ref="FFC28:FFD28"/>
    <mergeCell ref="FFE28:FFF28"/>
    <mergeCell ref="FFG28:FFH28"/>
    <mergeCell ref="FFI28:FFJ28"/>
    <mergeCell ref="FFK28:FFL28"/>
    <mergeCell ref="FEO28:FEP28"/>
    <mergeCell ref="FEQ28:FER28"/>
    <mergeCell ref="FES28:FET28"/>
    <mergeCell ref="FEU28:FEV28"/>
    <mergeCell ref="FEW28:FEX28"/>
    <mergeCell ref="FEY28:FEZ28"/>
    <mergeCell ref="FEC28:FED28"/>
    <mergeCell ref="FEE28:FEF28"/>
    <mergeCell ref="FEG28:FEH28"/>
    <mergeCell ref="FEI28:FEJ28"/>
    <mergeCell ref="FEK28:FEL28"/>
    <mergeCell ref="FEM28:FEN28"/>
    <mergeCell ref="FDQ28:FDR28"/>
    <mergeCell ref="FDS28:FDT28"/>
    <mergeCell ref="FDU28:FDV28"/>
    <mergeCell ref="FDW28:FDX28"/>
    <mergeCell ref="FDY28:FDZ28"/>
    <mergeCell ref="FEA28:FEB28"/>
    <mergeCell ref="FIS28:FIT28"/>
    <mergeCell ref="FIU28:FIV28"/>
    <mergeCell ref="FIW28:FIX28"/>
    <mergeCell ref="FIY28:FIZ28"/>
    <mergeCell ref="FJA28:FJB28"/>
    <mergeCell ref="FJC28:FJD28"/>
    <mergeCell ref="FIG28:FIH28"/>
    <mergeCell ref="FII28:FIJ28"/>
    <mergeCell ref="FIK28:FIL28"/>
    <mergeCell ref="FIM28:FIN28"/>
    <mergeCell ref="FIO28:FIP28"/>
    <mergeCell ref="FIQ28:FIR28"/>
    <mergeCell ref="FHU28:FHV28"/>
    <mergeCell ref="FHW28:FHX28"/>
    <mergeCell ref="FHY28:FHZ28"/>
    <mergeCell ref="FIA28:FIB28"/>
    <mergeCell ref="FIC28:FID28"/>
    <mergeCell ref="FIE28:FIF28"/>
    <mergeCell ref="FHI28:FHJ28"/>
    <mergeCell ref="FHK28:FHL28"/>
    <mergeCell ref="FHM28:FHN28"/>
    <mergeCell ref="FHO28:FHP28"/>
    <mergeCell ref="FHQ28:FHR28"/>
    <mergeCell ref="FHS28:FHT28"/>
    <mergeCell ref="FGW28:FGX28"/>
    <mergeCell ref="FGY28:FGZ28"/>
    <mergeCell ref="FHA28:FHB28"/>
    <mergeCell ref="FHC28:FHD28"/>
    <mergeCell ref="FHE28:FHF28"/>
    <mergeCell ref="FHG28:FHH28"/>
    <mergeCell ref="FGK28:FGL28"/>
    <mergeCell ref="FGM28:FGN28"/>
    <mergeCell ref="FGO28:FGP28"/>
    <mergeCell ref="FGQ28:FGR28"/>
    <mergeCell ref="FGS28:FGT28"/>
    <mergeCell ref="FGU28:FGV28"/>
    <mergeCell ref="FLM28:FLN28"/>
    <mergeCell ref="FLO28:FLP28"/>
    <mergeCell ref="FLQ28:FLR28"/>
    <mergeCell ref="FLS28:FLT28"/>
    <mergeCell ref="FLU28:FLV28"/>
    <mergeCell ref="FLW28:FLX28"/>
    <mergeCell ref="FLA28:FLB28"/>
    <mergeCell ref="FLC28:FLD28"/>
    <mergeCell ref="FLE28:FLF28"/>
    <mergeCell ref="FLG28:FLH28"/>
    <mergeCell ref="FLI28:FLJ28"/>
    <mergeCell ref="FLK28:FLL28"/>
    <mergeCell ref="FKO28:FKP28"/>
    <mergeCell ref="FKQ28:FKR28"/>
    <mergeCell ref="FKS28:FKT28"/>
    <mergeCell ref="FKU28:FKV28"/>
    <mergeCell ref="FKW28:FKX28"/>
    <mergeCell ref="FKY28:FKZ28"/>
    <mergeCell ref="FKC28:FKD28"/>
    <mergeCell ref="FKE28:FKF28"/>
    <mergeCell ref="FKG28:FKH28"/>
    <mergeCell ref="FKI28:FKJ28"/>
    <mergeCell ref="FKK28:FKL28"/>
    <mergeCell ref="FKM28:FKN28"/>
    <mergeCell ref="FJQ28:FJR28"/>
    <mergeCell ref="FJS28:FJT28"/>
    <mergeCell ref="FJU28:FJV28"/>
    <mergeCell ref="FJW28:FJX28"/>
    <mergeCell ref="FJY28:FJZ28"/>
    <mergeCell ref="FKA28:FKB28"/>
    <mergeCell ref="FJE28:FJF28"/>
    <mergeCell ref="FJG28:FJH28"/>
    <mergeCell ref="FJI28:FJJ28"/>
    <mergeCell ref="FJK28:FJL28"/>
    <mergeCell ref="FJM28:FJN28"/>
    <mergeCell ref="FJO28:FJP28"/>
    <mergeCell ref="FOG28:FOH28"/>
    <mergeCell ref="FOI28:FOJ28"/>
    <mergeCell ref="FOK28:FOL28"/>
    <mergeCell ref="FOM28:FON28"/>
    <mergeCell ref="FOO28:FOP28"/>
    <mergeCell ref="FOQ28:FOR28"/>
    <mergeCell ref="FNU28:FNV28"/>
    <mergeCell ref="FNW28:FNX28"/>
    <mergeCell ref="FNY28:FNZ28"/>
    <mergeCell ref="FOA28:FOB28"/>
    <mergeCell ref="FOC28:FOD28"/>
    <mergeCell ref="FOE28:FOF28"/>
    <mergeCell ref="FNI28:FNJ28"/>
    <mergeCell ref="FNK28:FNL28"/>
    <mergeCell ref="FNM28:FNN28"/>
    <mergeCell ref="FNO28:FNP28"/>
    <mergeCell ref="FNQ28:FNR28"/>
    <mergeCell ref="FNS28:FNT28"/>
    <mergeCell ref="FMW28:FMX28"/>
    <mergeCell ref="FMY28:FMZ28"/>
    <mergeCell ref="FNA28:FNB28"/>
    <mergeCell ref="FNC28:FND28"/>
    <mergeCell ref="FNE28:FNF28"/>
    <mergeCell ref="FNG28:FNH28"/>
    <mergeCell ref="FMK28:FML28"/>
    <mergeCell ref="FMM28:FMN28"/>
    <mergeCell ref="FMO28:FMP28"/>
    <mergeCell ref="FMQ28:FMR28"/>
    <mergeCell ref="FMS28:FMT28"/>
    <mergeCell ref="FMU28:FMV28"/>
    <mergeCell ref="FLY28:FLZ28"/>
    <mergeCell ref="FMA28:FMB28"/>
    <mergeCell ref="FMC28:FMD28"/>
    <mergeCell ref="FME28:FMF28"/>
    <mergeCell ref="FMG28:FMH28"/>
    <mergeCell ref="FMI28:FMJ28"/>
    <mergeCell ref="FRA28:FRB28"/>
    <mergeCell ref="FRC28:FRD28"/>
    <mergeCell ref="FRE28:FRF28"/>
    <mergeCell ref="FRG28:FRH28"/>
    <mergeCell ref="FRI28:FRJ28"/>
    <mergeCell ref="FRK28:FRL28"/>
    <mergeCell ref="FQO28:FQP28"/>
    <mergeCell ref="FQQ28:FQR28"/>
    <mergeCell ref="FQS28:FQT28"/>
    <mergeCell ref="FQU28:FQV28"/>
    <mergeCell ref="FQW28:FQX28"/>
    <mergeCell ref="FQY28:FQZ28"/>
    <mergeCell ref="FQC28:FQD28"/>
    <mergeCell ref="FQE28:FQF28"/>
    <mergeCell ref="FQG28:FQH28"/>
    <mergeCell ref="FQI28:FQJ28"/>
    <mergeCell ref="FQK28:FQL28"/>
    <mergeCell ref="FQM28:FQN28"/>
    <mergeCell ref="FPQ28:FPR28"/>
    <mergeCell ref="FPS28:FPT28"/>
    <mergeCell ref="FPU28:FPV28"/>
    <mergeCell ref="FPW28:FPX28"/>
    <mergeCell ref="FPY28:FPZ28"/>
    <mergeCell ref="FQA28:FQB28"/>
    <mergeCell ref="FPE28:FPF28"/>
    <mergeCell ref="FPG28:FPH28"/>
    <mergeCell ref="FPI28:FPJ28"/>
    <mergeCell ref="FPK28:FPL28"/>
    <mergeCell ref="FPM28:FPN28"/>
    <mergeCell ref="FPO28:FPP28"/>
    <mergeCell ref="FOS28:FOT28"/>
    <mergeCell ref="FOU28:FOV28"/>
    <mergeCell ref="FOW28:FOX28"/>
    <mergeCell ref="FOY28:FOZ28"/>
    <mergeCell ref="FPA28:FPB28"/>
    <mergeCell ref="FPC28:FPD28"/>
    <mergeCell ref="FTU28:FTV28"/>
    <mergeCell ref="FTW28:FTX28"/>
    <mergeCell ref="FTY28:FTZ28"/>
    <mergeCell ref="FUA28:FUB28"/>
    <mergeCell ref="FUC28:FUD28"/>
    <mergeCell ref="FUE28:FUF28"/>
    <mergeCell ref="FTI28:FTJ28"/>
    <mergeCell ref="FTK28:FTL28"/>
    <mergeCell ref="FTM28:FTN28"/>
    <mergeCell ref="FTO28:FTP28"/>
    <mergeCell ref="FTQ28:FTR28"/>
    <mergeCell ref="FTS28:FTT28"/>
    <mergeCell ref="FSW28:FSX28"/>
    <mergeCell ref="FSY28:FSZ28"/>
    <mergeCell ref="FTA28:FTB28"/>
    <mergeCell ref="FTC28:FTD28"/>
    <mergeCell ref="FTE28:FTF28"/>
    <mergeCell ref="FTG28:FTH28"/>
    <mergeCell ref="FSK28:FSL28"/>
    <mergeCell ref="FSM28:FSN28"/>
    <mergeCell ref="FSO28:FSP28"/>
    <mergeCell ref="FSQ28:FSR28"/>
    <mergeCell ref="FSS28:FST28"/>
    <mergeCell ref="FSU28:FSV28"/>
    <mergeCell ref="FRY28:FRZ28"/>
    <mergeCell ref="FSA28:FSB28"/>
    <mergeCell ref="FSC28:FSD28"/>
    <mergeCell ref="FSE28:FSF28"/>
    <mergeCell ref="FSG28:FSH28"/>
    <mergeCell ref="FSI28:FSJ28"/>
    <mergeCell ref="FRM28:FRN28"/>
    <mergeCell ref="FRO28:FRP28"/>
    <mergeCell ref="FRQ28:FRR28"/>
    <mergeCell ref="FRS28:FRT28"/>
    <mergeCell ref="FRU28:FRV28"/>
    <mergeCell ref="FRW28:FRX28"/>
    <mergeCell ref="FWO28:FWP28"/>
    <mergeCell ref="FWQ28:FWR28"/>
    <mergeCell ref="FWS28:FWT28"/>
    <mergeCell ref="FWU28:FWV28"/>
    <mergeCell ref="FWW28:FWX28"/>
    <mergeCell ref="FWY28:FWZ28"/>
    <mergeCell ref="FWC28:FWD28"/>
    <mergeCell ref="FWE28:FWF28"/>
    <mergeCell ref="FWG28:FWH28"/>
    <mergeCell ref="FWI28:FWJ28"/>
    <mergeCell ref="FWK28:FWL28"/>
    <mergeCell ref="FWM28:FWN28"/>
    <mergeCell ref="FVQ28:FVR28"/>
    <mergeCell ref="FVS28:FVT28"/>
    <mergeCell ref="FVU28:FVV28"/>
    <mergeCell ref="FVW28:FVX28"/>
    <mergeCell ref="FVY28:FVZ28"/>
    <mergeCell ref="FWA28:FWB28"/>
    <mergeCell ref="FVE28:FVF28"/>
    <mergeCell ref="FVG28:FVH28"/>
    <mergeCell ref="FVI28:FVJ28"/>
    <mergeCell ref="FVK28:FVL28"/>
    <mergeCell ref="FVM28:FVN28"/>
    <mergeCell ref="FVO28:FVP28"/>
    <mergeCell ref="FUS28:FUT28"/>
    <mergeCell ref="FUU28:FUV28"/>
    <mergeCell ref="FUW28:FUX28"/>
    <mergeCell ref="FUY28:FUZ28"/>
    <mergeCell ref="FVA28:FVB28"/>
    <mergeCell ref="FVC28:FVD28"/>
    <mergeCell ref="FUG28:FUH28"/>
    <mergeCell ref="FUI28:FUJ28"/>
    <mergeCell ref="FUK28:FUL28"/>
    <mergeCell ref="FUM28:FUN28"/>
    <mergeCell ref="FUO28:FUP28"/>
    <mergeCell ref="FUQ28:FUR28"/>
    <mergeCell ref="FZI28:FZJ28"/>
    <mergeCell ref="FZK28:FZL28"/>
    <mergeCell ref="FZM28:FZN28"/>
    <mergeCell ref="FZO28:FZP28"/>
    <mergeCell ref="FZQ28:FZR28"/>
    <mergeCell ref="FZS28:FZT28"/>
    <mergeCell ref="FYW28:FYX28"/>
    <mergeCell ref="FYY28:FYZ28"/>
    <mergeCell ref="FZA28:FZB28"/>
    <mergeCell ref="FZC28:FZD28"/>
    <mergeCell ref="FZE28:FZF28"/>
    <mergeCell ref="FZG28:FZH28"/>
    <mergeCell ref="FYK28:FYL28"/>
    <mergeCell ref="FYM28:FYN28"/>
    <mergeCell ref="FYO28:FYP28"/>
    <mergeCell ref="FYQ28:FYR28"/>
    <mergeCell ref="FYS28:FYT28"/>
    <mergeCell ref="FYU28:FYV28"/>
    <mergeCell ref="FXY28:FXZ28"/>
    <mergeCell ref="FYA28:FYB28"/>
    <mergeCell ref="FYC28:FYD28"/>
    <mergeCell ref="FYE28:FYF28"/>
    <mergeCell ref="FYG28:FYH28"/>
    <mergeCell ref="FYI28:FYJ28"/>
    <mergeCell ref="FXM28:FXN28"/>
    <mergeCell ref="FXO28:FXP28"/>
    <mergeCell ref="FXQ28:FXR28"/>
    <mergeCell ref="FXS28:FXT28"/>
    <mergeCell ref="FXU28:FXV28"/>
    <mergeCell ref="FXW28:FXX28"/>
    <mergeCell ref="FXA28:FXB28"/>
    <mergeCell ref="FXC28:FXD28"/>
    <mergeCell ref="FXE28:FXF28"/>
    <mergeCell ref="FXG28:FXH28"/>
    <mergeCell ref="FXI28:FXJ28"/>
    <mergeCell ref="FXK28:FXL28"/>
    <mergeCell ref="GCC28:GCD28"/>
    <mergeCell ref="GCE28:GCF28"/>
    <mergeCell ref="GCG28:GCH28"/>
    <mergeCell ref="GCI28:GCJ28"/>
    <mergeCell ref="GCK28:GCL28"/>
    <mergeCell ref="GCM28:GCN28"/>
    <mergeCell ref="GBQ28:GBR28"/>
    <mergeCell ref="GBS28:GBT28"/>
    <mergeCell ref="GBU28:GBV28"/>
    <mergeCell ref="GBW28:GBX28"/>
    <mergeCell ref="GBY28:GBZ28"/>
    <mergeCell ref="GCA28:GCB28"/>
    <mergeCell ref="GBE28:GBF28"/>
    <mergeCell ref="GBG28:GBH28"/>
    <mergeCell ref="GBI28:GBJ28"/>
    <mergeCell ref="GBK28:GBL28"/>
    <mergeCell ref="GBM28:GBN28"/>
    <mergeCell ref="GBO28:GBP28"/>
    <mergeCell ref="GAS28:GAT28"/>
    <mergeCell ref="GAU28:GAV28"/>
    <mergeCell ref="GAW28:GAX28"/>
    <mergeCell ref="GAY28:GAZ28"/>
    <mergeCell ref="GBA28:GBB28"/>
    <mergeCell ref="GBC28:GBD28"/>
    <mergeCell ref="GAG28:GAH28"/>
    <mergeCell ref="GAI28:GAJ28"/>
    <mergeCell ref="GAK28:GAL28"/>
    <mergeCell ref="GAM28:GAN28"/>
    <mergeCell ref="GAO28:GAP28"/>
    <mergeCell ref="GAQ28:GAR28"/>
    <mergeCell ref="FZU28:FZV28"/>
    <mergeCell ref="FZW28:FZX28"/>
    <mergeCell ref="FZY28:FZZ28"/>
    <mergeCell ref="GAA28:GAB28"/>
    <mergeCell ref="GAC28:GAD28"/>
    <mergeCell ref="GAE28:GAF28"/>
    <mergeCell ref="GEW28:GEX28"/>
    <mergeCell ref="GEY28:GEZ28"/>
    <mergeCell ref="GFA28:GFB28"/>
    <mergeCell ref="GFC28:GFD28"/>
    <mergeCell ref="GFE28:GFF28"/>
    <mergeCell ref="GFG28:GFH28"/>
    <mergeCell ref="GEK28:GEL28"/>
    <mergeCell ref="GEM28:GEN28"/>
    <mergeCell ref="GEO28:GEP28"/>
    <mergeCell ref="GEQ28:GER28"/>
    <mergeCell ref="GES28:GET28"/>
    <mergeCell ref="GEU28:GEV28"/>
    <mergeCell ref="GDY28:GDZ28"/>
    <mergeCell ref="GEA28:GEB28"/>
    <mergeCell ref="GEC28:GED28"/>
    <mergeCell ref="GEE28:GEF28"/>
    <mergeCell ref="GEG28:GEH28"/>
    <mergeCell ref="GEI28:GEJ28"/>
    <mergeCell ref="GDM28:GDN28"/>
    <mergeCell ref="GDO28:GDP28"/>
    <mergeCell ref="GDQ28:GDR28"/>
    <mergeCell ref="GDS28:GDT28"/>
    <mergeCell ref="GDU28:GDV28"/>
    <mergeCell ref="GDW28:GDX28"/>
    <mergeCell ref="GDA28:GDB28"/>
    <mergeCell ref="GDC28:GDD28"/>
    <mergeCell ref="GDE28:GDF28"/>
    <mergeCell ref="GDG28:GDH28"/>
    <mergeCell ref="GDI28:GDJ28"/>
    <mergeCell ref="GDK28:GDL28"/>
    <mergeCell ref="GCO28:GCP28"/>
    <mergeCell ref="GCQ28:GCR28"/>
    <mergeCell ref="GCS28:GCT28"/>
    <mergeCell ref="GCU28:GCV28"/>
    <mergeCell ref="GCW28:GCX28"/>
    <mergeCell ref="GCY28:GCZ28"/>
    <mergeCell ref="GHQ28:GHR28"/>
    <mergeCell ref="GHS28:GHT28"/>
    <mergeCell ref="GHU28:GHV28"/>
    <mergeCell ref="GHW28:GHX28"/>
    <mergeCell ref="GHY28:GHZ28"/>
    <mergeCell ref="GIA28:GIB28"/>
    <mergeCell ref="GHE28:GHF28"/>
    <mergeCell ref="GHG28:GHH28"/>
    <mergeCell ref="GHI28:GHJ28"/>
    <mergeCell ref="GHK28:GHL28"/>
    <mergeCell ref="GHM28:GHN28"/>
    <mergeCell ref="GHO28:GHP28"/>
    <mergeCell ref="GGS28:GGT28"/>
    <mergeCell ref="GGU28:GGV28"/>
    <mergeCell ref="GGW28:GGX28"/>
    <mergeCell ref="GGY28:GGZ28"/>
    <mergeCell ref="GHA28:GHB28"/>
    <mergeCell ref="GHC28:GHD28"/>
    <mergeCell ref="GGG28:GGH28"/>
    <mergeCell ref="GGI28:GGJ28"/>
    <mergeCell ref="GGK28:GGL28"/>
    <mergeCell ref="GGM28:GGN28"/>
    <mergeCell ref="GGO28:GGP28"/>
    <mergeCell ref="GGQ28:GGR28"/>
    <mergeCell ref="GFU28:GFV28"/>
    <mergeCell ref="GFW28:GFX28"/>
    <mergeCell ref="GFY28:GFZ28"/>
    <mergeCell ref="GGA28:GGB28"/>
    <mergeCell ref="GGC28:GGD28"/>
    <mergeCell ref="GGE28:GGF28"/>
    <mergeCell ref="GFI28:GFJ28"/>
    <mergeCell ref="GFK28:GFL28"/>
    <mergeCell ref="GFM28:GFN28"/>
    <mergeCell ref="GFO28:GFP28"/>
    <mergeCell ref="GFQ28:GFR28"/>
    <mergeCell ref="GFS28:GFT28"/>
    <mergeCell ref="GKK28:GKL28"/>
    <mergeCell ref="GKM28:GKN28"/>
    <mergeCell ref="GKO28:GKP28"/>
    <mergeCell ref="GKQ28:GKR28"/>
    <mergeCell ref="GKS28:GKT28"/>
    <mergeCell ref="GKU28:GKV28"/>
    <mergeCell ref="GJY28:GJZ28"/>
    <mergeCell ref="GKA28:GKB28"/>
    <mergeCell ref="GKC28:GKD28"/>
    <mergeCell ref="GKE28:GKF28"/>
    <mergeCell ref="GKG28:GKH28"/>
    <mergeCell ref="GKI28:GKJ28"/>
    <mergeCell ref="GJM28:GJN28"/>
    <mergeCell ref="GJO28:GJP28"/>
    <mergeCell ref="GJQ28:GJR28"/>
    <mergeCell ref="GJS28:GJT28"/>
    <mergeCell ref="GJU28:GJV28"/>
    <mergeCell ref="GJW28:GJX28"/>
    <mergeCell ref="GJA28:GJB28"/>
    <mergeCell ref="GJC28:GJD28"/>
    <mergeCell ref="GJE28:GJF28"/>
    <mergeCell ref="GJG28:GJH28"/>
    <mergeCell ref="GJI28:GJJ28"/>
    <mergeCell ref="GJK28:GJL28"/>
    <mergeCell ref="GIO28:GIP28"/>
    <mergeCell ref="GIQ28:GIR28"/>
    <mergeCell ref="GIS28:GIT28"/>
    <mergeCell ref="GIU28:GIV28"/>
    <mergeCell ref="GIW28:GIX28"/>
    <mergeCell ref="GIY28:GIZ28"/>
    <mergeCell ref="GIC28:GID28"/>
    <mergeCell ref="GIE28:GIF28"/>
    <mergeCell ref="GIG28:GIH28"/>
    <mergeCell ref="GII28:GIJ28"/>
    <mergeCell ref="GIK28:GIL28"/>
    <mergeCell ref="GIM28:GIN28"/>
    <mergeCell ref="GNE28:GNF28"/>
    <mergeCell ref="GNG28:GNH28"/>
    <mergeCell ref="GNI28:GNJ28"/>
    <mergeCell ref="GNK28:GNL28"/>
    <mergeCell ref="GNM28:GNN28"/>
    <mergeCell ref="GNO28:GNP28"/>
    <mergeCell ref="GMS28:GMT28"/>
    <mergeCell ref="GMU28:GMV28"/>
    <mergeCell ref="GMW28:GMX28"/>
    <mergeCell ref="GMY28:GMZ28"/>
    <mergeCell ref="GNA28:GNB28"/>
    <mergeCell ref="GNC28:GND28"/>
    <mergeCell ref="GMG28:GMH28"/>
    <mergeCell ref="GMI28:GMJ28"/>
    <mergeCell ref="GMK28:GML28"/>
    <mergeCell ref="GMM28:GMN28"/>
    <mergeCell ref="GMO28:GMP28"/>
    <mergeCell ref="GMQ28:GMR28"/>
    <mergeCell ref="GLU28:GLV28"/>
    <mergeCell ref="GLW28:GLX28"/>
    <mergeCell ref="GLY28:GLZ28"/>
    <mergeCell ref="GMA28:GMB28"/>
    <mergeCell ref="GMC28:GMD28"/>
    <mergeCell ref="GME28:GMF28"/>
    <mergeCell ref="GLI28:GLJ28"/>
    <mergeCell ref="GLK28:GLL28"/>
    <mergeCell ref="GLM28:GLN28"/>
    <mergeCell ref="GLO28:GLP28"/>
    <mergeCell ref="GLQ28:GLR28"/>
    <mergeCell ref="GLS28:GLT28"/>
    <mergeCell ref="GKW28:GKX28"/>
    <mergeCell ref="GKY28:GKZ28"/>
    <mergeCell ref="GLA28:GLB28"/>
    <mergeCell ref="GLC28:GLD28"/>
    <mergeCell ref="GLE28:GLF28"/>
    <mergeCell ref="GLG28:GLH28"/>
    <mergeCell ref="GPY28:GPZ28"/>
    <mergeCell ref="GQA28:GQB28"/>
    <mergeCell ref="GQC28:GQD28"/>
    <mergeCell ref="GQE28:GQF28"/>
    <mergeCell ref="GQG28:GQH28"/>
    <mergeCell ref="GQI28:GQJ28"/>
    <mergeCell ref="GPM28:GPN28"/>
    <mergeCell ref="GPO28:GPP28"/>
    <mergeCell ref="GPQ28:GPR28"/>
    <mergeCell ref="GPS28:GPT28"/>
    <mergeCell ref="GPU28:GPV28"/>
    <mergeCell ref="GPW28:GPX28"/>
    <mergeCell ref="GPA28:GPB28"/>
    <mergeCell ref="GPC28:GPD28"/>
    <mergeCell ref="GPE28:GPF28"/>
    <mergeCell ref="GPG28:GPH28"/>
    <mergeCell ref="GPI28:GPJ28"/>
    <mergeCell ref="GPK28:GPL28"/>
    <mergeCell ref="GOO28:GOP28"/>
    <mergeCell ref="GOQ28:GOR28"/>
    <mergeCell ref="GOS28:GOT28"/>
    <mergeCell ref="GOU28:GOV28"/>
    <mergeCell ref="GOW28:GOX28"/>
    <mergeCell ref="GOY28:GOZ28"/>
    <mergeCell ref="GOC28:GOD28"/>
    <mergeCell ref="GOE28:GOF28"/>
    <mergeCell ref="GOG28:GOH28"/>
    <mergeCell ref="GOI28:GOJ28"/>
    <mergeCell ref="GOK28:GOL28"/>
    <mergeCell ref="GOM28:GON28"/>
    <mergeCell ref="GNQ28:GNR28"/>
    <mergeCell ref="GNS28:GNT28"/>
    <mergeCell ref="GNU28:GNV28"/>
    <mergeCell ref="GNW28:GNX28"/>
    <mergeCell ref="GNY28:GNZ28"/>
    <mergeCell ref="GOA28:GOB28"/>
    <mergeCell ref="GSS28:GST28"/>
    <mergeCell ref="GSU28:GSV28"/>
    <mergeCell ref="GSW28:GSX28"/>
    <mergeCell ref="GSY28:GSZ28"/>
    <mergeCell ref="GTA28:GTB28"/>
    <mergeCell ref="GTC28:GTD28"/>
    <mergeCell ref="GSG28:GSH28"/>
    <mergeCell ref="GSI28:GSJ28"/>
    <mergeCell ref="GSK28:GSL28"/>
    <mergeCell ref="GSM28:GSN28"/>
    <mergeCell ref="GSO28:GSP28"/>
    <mergeCell ref="GSQ28:GSR28"/>
    <mergeCell ref="GRU28:GRV28"/>
    <mergeCell ref="GRW28:GRX28"/>
    <mergeCell ref="GRY28:GRZ28"/>
    <mergeCell ref="GSA28:GSB28"/>
    <mergeCell ref="GSC28:GSD28"/>
    <mergeCell ref="GSE28:GSF28"/>
    <mergeCell ref="GRI28:GRJ28"/>
    <mergeCell ref="GRK28:GRL28"/>
    <mergeCell ref="GRM28:GRN28"/>
    <mergeCell ref="GRO28:GRP28"/>
    <mergeCell ref="GRQ28:GRR28"/>
    <mergeCell ref="GRS28:GRT28"/>
    <mergeCell ref="GQW28:GQX28"/>
    <mergeCell ref="GQY28:GQZ28"/>
    <mergeCell ref="GRA28:GRB28"/>
    <mergeCell ref="GRC28:GRD28"/>
    <mergeCell ref="GRE28:GRF28"/>
    <mergeCell ref="GRG28:GRH28"/>
    <mergeCell ref="GQK28:GQL28"/>
    <mergeCell ref="GQM28:GQN28"/>
    <mergeCell ref="GQO28:GQP28"/>
    <mergeCell ref="GQQ28:GQR28"/>
    <mergeCell ref="GQS28:GQT28"/>
    <mergeCell ref="GQU28:GQV28"/>
    <mergeCell ref="GVM28:GVN28"/>
    <mergeCell ref="GVO28:GVP28"/>
    <mergeCell ref="GVQ28:GVR28"/>
    <mergeCell ref="GVS28:GVT28"/>
    <mergeCell ref="GVU28:GVV28"/>
    <mergeCell ref="GVW28:GVX28"/>
    <mergeCell ref="GVA28:GVB28"/>
    <mergeCell ref="GVC28:GVD28"/>
    <mergeCell ref="GVE28:GVF28"/>
    <mergeCell ref="GVG28:GVH28"/>
    <mergeCell ref="GVI28:GVJ28"/>
    <mergeCell ref="GVK28:GVL28"/>
    <mergeCell ref="GUO28:GUP28"/>
    <mergeCell ref="GUQ28:GUR28"/>
    <mergeCell ref="GUS28:GUT28"/>
    <mergeCell ref="GUU28:GUV28"/>
    <mergeCell ref="GUW28:GUX28"/>
    <mergeCell ref="GUY28:GUZ28"/>
    <mergeCell ref="GUC28:GUD28"/>
    <mergeCell ref="GUE28:GUF28"/>
    <mergeCell ref="GUG28:GUH28"/>
    <mergeCell ref="GUI28:GUJ28"/>
    <mergeCell ref="GUK28:GUL28"/>
    <mergeCell ref="GUM28:GUN28"/>
    <mergeCell ref="GTQ28:GTR28"/>
    <mergeCell ref="GTS28:GTT28"/>
    <mergeCell ref="GTU28:GTV28"/>
    <mergeCell ref="GTW28:GTX28"/>
    <mergeCell ref="GTY28:GTZ28"/>
    <mergeCell ref="GUA28:GUB28"/>
    <mergeCell ref="GTE28:GTF28"/>
    <mergeCell ref="GTG28:GTH28"/>
    <mergeCell ref="GTI28:GTJ28"/>
    <mergeCell ref="GTK28:GTL28"/>
    <mergeCell ref="GTM28:GTN28"/>
    <mergeCell ref="GTO28:GTP28"/>
    <mergeCell ref="GYG28:GYH28"/>
    <mergeCell ref="GYI28:GYJ28"/>
    <mergeCell ref="GYK28:GYL28"/>
    <mergeCell ref="GYM28:GYN28"/>
    <mergeCell ref="GYO28:GYP28"/>
    <mergeCell ref="GYQ28:GYR28"/>
    <mergeCell ref="GXU28:GXV28"/>
    <mergeCell ref="GXW28:GXX28"/>
    <mergeCell ref="GXY28:GXZ28"/>
    <mergeCell ref="GYA28:GYB28"/>
    <mergeCell ref="GYC28:GYD28"/>
    <mergeCell ref="GYE28:GYF28"/>
    <mergeCell ref="GXI28:GXJ28"/>
    <mergeCell ref="GXK28:GXL28"/>
    <mergeCell ref="GXM28:GXN28"/>
    <mergeCell ref="GXO28:GXP28"/>
    <mergeCell ref="GXQ28:GXR28"/>
    <mergeCell ref="GXS28:GXT28"/>
    <mergeCell ref="GWW28:GWX28"/>
    <mergeCell ref="GWY28:GWZ28"/>
    <mergeCell ref="GXA28:GXB28"/>
    <mergeCell ref="GXC28:GXD28"/>
    <mergeCell ref="GXE28:GXF28"/>
    <mergeCell ref="GXG28:GXH28"/>
    <mergeCell ref="GWK28:GWL28"/>
    <mergeCell ref="GWM28:GWN28"/>
    <mergeCell ref="GWO28:GWP28"/>
    <mergeCell ref="GWQ28:GWR28"/>
    <mergeCell ref="GWS28:GWT28"/>
    <mergeCell ref="GWU28:GWV28"/>
    <mergeCell ref="GVY28:GVZ28"/>
    <mergeCell ref="GWA28:GWB28"/>
    <mergeCell ref="GWC28:GWD28"/>
    <mergeCell ref="GWE28:GWF28"/>
    <mergeCell ref="GWG28:GWH28"/>
    <mergeCell ref="GWI28:GWJ28"/>
    <mergeCell ref="HBA28:HBB28"/>
    <mergeCell ref="HBC28:HBD28"/>
    <mergeCell ref="HBE28:HBF28"/>
    <mergeCell ref="HBG28:HBH28"/>
    <mergeCell ref="HBI28:HBJ28"/>
    <mergeCell ref="HBK28:HBL28"/>
    <mergeCell ref="HAO28:HAP28"/>
    <mergeCell ref="HAQ28:HAR28"/>
    <mergeCell ref="HAS28:HAT28"/>
    <mergeCell ref="HAU28:HAV28"/>
    <mergeCell ref="HAW28:HAX28"/>
    <mergeCell ref="HAY28:HAZ28"/>
    <mergeCell ref="HAC28:HAD28"/>
    <mergeCell ref="HAE28:HAF28"/>
    <mergeCell ref="HAG28:HAH28"/>
    <mergeCell ref="HAI28:HAJ28"/>
    <mergeCell ref="HAK28:HAL28"/>
    <mergeCell ref="HAM28:HAN28"/>
    <mergeCell ref="GZQ28:GZR28"/>
    <mergeCell ref="GZS28:GZT28"/>
    <mergeCell ref="GZU28:GZV28"/>
    <mergeCell ref="GZW28:GZX28"/>
    <mergeCell ref="GZY28:GZZ28"/>
    <mergeCell ref="HAA28:HAB28"/>
    <mergeCell ref="GZE28:GZF28"/>
    <mergeCell ref="GZG28:GZH28"/>
    <mergeCell ref="GZI28:GZJ28"/>
    <mergeCell ref="GZK28:GZL28"/>
    <mergeCell ref="GZM28:GZN28"/>
    <mergeCell ref="GZO28:GZP28"/>
    <mergeCell ref="GYS28:GYT28"/>
    <mergeCell ref="GYU28:GYV28"/>
    <mergeCell ref="GYW28:GYX28"/>
    <mergeCell ref="GYY28:GYZ28"/>
    <mergeCell ref="GZA28:GZB28"/>
    <mergeCell ref="GZC28:GZD28"/>
    <mergeCell ref="HDU28:HDV28"/>
    <mergeCell ref="HDW28:HDX28"/>
    <mergeCell ref="HDY28:HDZ28"/>
    <mergeCell ref="HEA28:HEB28"/>
    <mergeCell ref="HEC28:HED28"/>
    <mergeCell ref="HEE28:HEF28"/>
    <mergeCell ref="HDI28:HDJ28"/>
    <mergeCell ref="HDK28:HDL28"/>
    <mergeCell ref="HDM28:HDN28"/>
    <mergeCell ref="HDO28:HDP28"/>
    <mergeCell ref="HDQ28:HDR28"/>
    <mergeCell ref="HDS28:HDT28"/>
    <mergeCell ref="HCW28:HCX28"/>
    <mergeCell ref="HCY28:HCZ28"/>
    <mergeCell ref="HDA28:HDB28"/>
    <mergeCell ref="HDC28:HDD28"/>
    <mergeCell ref="HDE28:HDF28"/>
    <mergeCell ref="HDG28:HDH28"/>
    <mergeCell ref="HCK28:HCL28"/>
    <mergeCell ref="HCM28:HCN28"/>
    <mergeCell ref="HCO28:HCP28"/>
    <mergeCell ref="HCQ28:HCR28"/>
    <mergeCell ref="HCS28:HCT28"/>
    <mergeCell ref="HCU28:HCV28"/>
    <mergeCell ref="HBY28:HBZ28"/>
    <mergeCell ref="HCA28:HCB28"/>
    <mergeCell ref="HCC28:HCD28"/>
    <mergeCell ref="HCE28:HCF28"/>
    <mergeCell ref="HCG28:HCH28"/>
    <mergeCell ref="HCI28:HCJ28"/>
    <mergeCell ref="HBM28:HBN28"/>
    <mergeCell ref="HBO28:HBP28"/>
    <mergeCell ref="HBQ28:HBR28"/>
    <mergeCell ref="HBS28:HBT28"/>
    <mergeCell ref="HBU28:HBV28"/>
    <mergeCell ref="HBW28:HBX28"/>
    <mergeCell ref="HGO28:HGP28"/>
    <mergeCell ref="HGQ28:HGR28"/>
    <mergeCell ref="HGS28:HGT28"/>
    <mergeCell ref="HGU28:HGV28"/>
    <mergeCell ref="HGW28:HGX28"/>
    <mergeCell ref="HGY28:HGZ28"/>
    <mergeCell ref="HGC28:HGD28"/>
    <mergeCell ref="HGE28:HGF28"/>
    <mergeCell ref="HGG28:HGH28"/>
    <mergeCell ref="HGI28:HGJ28"/>
    <mergeCell ref="HGK28:HGL28"/>
    <mergeCell ref="HGM28:HGN28"/>
    <mergeCell ref="HFQ28:HFR28"/>
    <mergeCell ref="HFS28:HFT28"/>
    <mergeCell ref="HFU28:HFV28"/>
    <mergeCell ref="HFW28:HFX28"/>
    <mergeCell ref="HFY28:HFZ28"/>
    <mergeCell ref="HGA28:HGB28"/>
    <mergeCell ref="HFE28:HFF28"/>
    <mergeCell ref="HFG28:HFH28"/>
    <mergeCell ref="HFI28:HFJ28"/>
    <mergeCell ref="HFK28:HFL28"/>
    <mergeCell ref="HFM28:HFN28"/>
    <mergeCell ref="HFO28:HFP28"/>
    <mergeCell ref="HES28:HET28"/>
    <mergeCell ref="HEU28:HEV28"/>
    <mergeCell ref="HEW28:HEX28"/>
    <mergeCell ref="HEY28:HEZ28"/>
    <mergeCell ref="HFA28:HFB28"/>
    <mergeCell ref="HFC28:HFD28"/>
    <mergeCell ref="HEG28:HEH28"/>
    <mergeCell ref="HEI28:HEJ28"/>
    <mergeCell ref="HEK28:HEL28"/>
    <mergeCell ref="HEM28:HEN28"/>
    <mergeCell ref="HEO28:HEP28"/>
    <mergeCell ref="HEQ28:HER28"/>
    <mergeCell ref="HJI28:HJJ28"/>
    <mergeCell ref="HJK28:HJL28"/>
    <mergeCell ref="HJM28:HJN28"/>
    <mergeCell ref="HJO28:HJP28"/>
    <mergeCell ref="HJQ28:HJR28"/>
    <mergeCell ref="HJS28:HJT28"/>
    <mergeCell ref="HIW28:HIX28"/>
    <mergeCell ref="HIY28:HIZ28"/>
    <mergeCell ref="HJA28:HJB28"/>
    <mergeCell ref="HJC28:HJD28"/>
    <mergeCell ref="HJE28:HJF28"/>
    <mergeCell ref="HJG28:HJH28"/>
    <mergeCell ref="HIK28:HIL28"/>
    <mergeCell ref="HIM28:HIN28"/>
    <mergeCell ref="HIO28:HIP28"/>
    <mergeCell ref="HIQ28:HIR28"/>
    <mergeCell ref="HIS28:HIT28"/>
    <mergeCell ref="HIU28:HIV28"/>
    <mergeCell ref="HHY28:HHZ28"/>
    <mergeCell ref="HIA28:HIB28"/>
    <mergeCell ref="HIC28:HID28"/>
    <mergeCell ref="HIE28:HIF28"/>
    <mergeCell ref="HIG28:HIH28"/>
    <mergeCell ref="HII28:HIJ28"/>
    <mergeCell ref="HHM28:HHN28"/>
    <mergeCell ref="HHO28:HHP28"/>
    <mergeCell ref="HHQ28:HHR28"/>
    <mergeCell ref="HHS28:HHT28"/>
    <mergeCell ref="HHU28:HHV28"/>
    <mergeCell ref="HHW28:HHX28"/>
    <mergeCell ref="HHA28:HHB28"/>
    <mergeCell ref="HHC28:HHD28"/>
    <mergeCell ref="HHE28:HHF28"/>
    <mergeCell ref="HHG28:HHH28"/>
    <mergeCell ref="HHI28:HHJ28"/>
    <mergeCell ref="HHK28:HHL28"/>
    <mergeCell ref="HMC28:HMD28"/>
    <mergeCell ref="HME28:HMF28"/>
    <mergeCell ref="HMG28:HMH28"/>
    <mergeCell ref="HMI28:HMJ28"/>
    <mergeCell ref="HMK28:HML28"/>
    <mergeCell ref="HMM28:HMN28"/>
    <mergeCell ref="HLQ28:HLR28"/>
    <mergeCell ref="HLS28:HLT28"/>
    <mergeCell ref="HLU28:HLV28"/>
    <mergeCell ref="HLW28:HLX28"/>
    <mergeCell ref="HLY28:HLZ28"/>
    <mergeCell ref="HMA28:HMB28"/>
    <mergeCell ref="HLE28:HLF28"/>
    <mergeCell ref="HLG28:HLH28"/>
    <mergeCell ref="HLI28:HLJ28"/>
    <mergeCell ref="HLK28:HLL28"/>
    <mergeCell ref="HLM28:HLN28"/>
    <mergeCell ref="HLO28:HLP28"/>
    <mergeCell ref="HKS28:HKT28"/>
    <mergeCell ref="HKU28:HKV28"/>
    <mergeCell ref="HKW28:HKX28"/>
    <mergeCell ref="HKY28:HKZ28"/>
    <mergeCell ref="HLA28:HLB28"/>
    <mergeCell ref="HLC28:HLD28"/>
    <mergeCell ref="HKG28:HKH28"/>
    <mergeCell ref="HKI28:HKJ28"/>
    <mergeCell ref="HKK28:HKL28"/>
    <mergeCell ref="HKM28:HKN28"/>
    <mergeCell ref="HKO28:HKP28"/>
    <mergeCell ref="HKQ28:HKR28"/>
    <mergeCell ref="HJU28:HJV28"/>
    <mergeCell ref="HJW28:HJX28"/>
    <mergeCell ref="HJY28:HJZ28"/>
    <mergeCell ref="HKA28:HKB28"/>
    <mergeCell ref="HKC28:HKD28"/>
    <mergeCell ref="HKE28:HKF28"/>
    <mergeCell ref="HOW28:HOX28"/>
    <mergeCell ref="HOY28:HOZ28"/>
    <mergeCell ref="HPA28:HPB28"/>
    <mergeCell ref="HPC28:HPD28"/>
    <mergeCell ref="HPE28:HPF28"/>
    <mergeCell ref="HPG28:HPH28"/>
    <mergeCell ref="HOK28:HOL28"/>
    <mergeCell ref="HOM28:HON28"/>
    <mergeCell ref="HOO28:HOP28"/>
    <mergeCell ref="HOQ28:HOR28"/>
    <mergeCell ref="HOS28:HOT28"/>
    <mergeCell ref="HOU28:HOV28"/>
    <mergeCell ref="HNY28:HNZ28"/>
    <mergeCell ref="HOA28:HOB28"/>
    <mergeCell ref="HOC28:HOD28"/>
    <mergeCell ref="HOE28:HOF28"/>
    <mergeCell ref="HOG28:HOH28"/>
    <mergeCell ref="HOI28:HOJ28"/>
    <mergeCell ref="HNM28:HNN28"/>
    <mergeCell ref="HNO28:HNP28"/>
    <mergeCell ref="HNQ28:HNR28"/>
    <mergeCell ref="HNS28:HNT28"/>
    <mergeCell ref="HNU28:HNV28"/>
    <mergeCell ref="HNW28:HNX28"/>
    <mergeCell ref="HNA28:HNB28"/>
    <mergeCell ref="HNC28:HND28"/>
    <mergeCell ref="HNE28:HNF28"/>
    <mergeCell ref="HNG28:HNH28"/>
    <mergeCell ref="HNI28:HNJ28"/>
    <mergeCell ref="HNK28:HNL28"/>
    <mergeCell ref="HMO28:HMP28"/>
    <mergeCell ref="HMQ28:HMR28"/>
    <mergeCell ref="HMS28:HMT28"/>
    <mergeCell ref="HMU28:HMV28"/>
    <mergeCell ref="HMW28:HMX28"/>
    <mergeCell ref="HMY28:HMZ28"/>
    <mergeCell ref="HRQ28:HRR28"/>
    <mergeCell ref="HRS28:HRT28"/>
    <mergeCell ref="HRU28:HRV28"/>
    <mergeCell ref="HRW28:HRX28"/>
    <mergeCell ref="HRY28:HRZ28"/>
    <mergeCell ref="HSA28:HSB28"/>
    <mergeCell ref="HRE28:HRF28"/>
    <mergeCell ref="HRG28:HRH28"/>
    <mergeCell ref="HRI28:HRJ28"/>
    <mergeCell ref="HRK28:HRL28"/>
    <mergeCell ref="HRM28:HRN28"/>
    <mergeCell ref="HRO28:HRP28"/>
    <mergeCell ref="HQS28:HQT28"/>
    <mergeCell ref="HQU28:HQV28"/>
    <mergeCell ref="HQW28:HQX28"/>
    <mergeCell ref="HQY28:HQZ28"/>
    <mergeCell ref="HRA28:HRB28"/>
    <mergeCell ref="HRC28:HRD28"/>
    <mergeCell ref="HQG28:HQH28"/>
    <mergeCell ref="HQI28:HQJ28"/>
    <mergeCell ref="HQK28:HQL28"/>
    <mergeCell ref="HQM28:HQN28"/>
    <mergeCell ref="HQO28:HQP28"/>
    <mergeCell ref="HQQ28:HQR28"/>
    <mergeCell ref="HPU28:HPV28"/>
    <mergeCell ref="HPW28:HPX28"/>
    <mergeCell ref="HPY28:HPZ28"/>
    <mergeCell ref="HQA28:HQB28"/>
    <mergeCell ref="HQC28:HQD28"/>
    <mergeCell ref="HQE28:HQF28"/>
    <mergeCell ref="HPI28:HPJ28"/>
    <mergeCell ref="HPK28:HPL28"/>
    <mergeCell ref="HPM28:HPN28"/>
    <mergeCell ref="HPO28:HPP28"/>
    <mergeCell ref="HPQ28:HPR28"/>
    <mergeCell ref="HPS28:HPT28"/>
    <mergeCell ref="HUK28:HUL28"/>
    <mergeCell ref="HUM28:HUN28"/>
    <mergeCell ref="HUO28:HUP28"/>
    <mergeCell ref="HUQ28:HUR28"/>
    <mergeCell ref="HUS28:HUT28"/>
    <mergeCell ref="HUU28:HUV28"/>
    <mergeCell ref="HTY28:HTZ28"/>
    <mergeCell ref="HUA28:HUB28"/>
    <mergeCell ref="HUC28:HUD28"/>
    <mergeCell ref="HUE28:HUF28"/>
    <mergeCell ref="HUG28:HUH28"/>
    <mergeCell ref="HUI28:HUJ28"/>
    <mergeCell ref="HTM28:HTN28"/>
    <mergeCell ref="HTO28:HTP28"/>
    <mergeCell ref="HTQ28:HTR28"/>
    <mergeCell ref="HTS28:HTT28"/>
    <mergeCell ref="HTU28:HTV28"/>
    <mergeCell ref="HTW28:HTX28"/>
    <mergeCell ref="HTA28:HTB28"/>
    <mergeCell ref="HTC28:HTD28"/>
    <mergeCell ref="HTE28:HTF28"/>
    <mergeCell ref="HTG28:HTH28"/>
    <mergeCell ref="HTI28:HTJ28"/>
    <mergeCell ref="HTK28:HTL28"/>
    <mergeCell ref="HSO28:HSP28"/>
    <mergeCell ref="HSQ28:HSR28"/>
    <mergeCell ref="HSS28:HST28"/>
    <mergeCell ref="HSU28:HSV28"/>
    <mergeCell ref="HSW28:HSX28"/>
    <mergeCell ref="HSY28:HSZ28"/>
    <mergeCell ref="HSC28:HSD28"/>
    <mergeCell ref="HSE28:HSF28"/>
    <mergeCell ref="HSG28:HSH28"/>
    <mergeCell ref="HSI28:HSJ28"/>
    <mergeCell ref="HSK28:HSL28"/>
    <mergeCell ref="HSM28:HSN28"/>
    <mergeCell ref="HXE28:HXF28"/>
    <mergeCell ref="HXG28:HXH28"/>
    <mergeCell ref="HXI28:HXJ28"/>
    <mergeCell ref="HXK28:HXL28"/>
    <mergeCell ref="HXM28:HXN28"/>
    <mergeCell ref="HXO28:HXP28"/>
    <mergeCell ref="HWS28:HWT28"/>
    <mergeCell ref="HWU28:HWV28"/>
    <mergeCell ref="HWW28:HWX28"/>
    <mergeCell ref="HWY28:HWZ28"/>
    <mergeCell ref="HXA28:HXB28"/>
    <mergeCell ref="HXC28:HXD28"/>
    <mergeCell ref="HWG28:HWH28"/>
    <mergeCell ref="HWI28:HWJ28"/>
    <mergeCell ref="HWK28:HWL28"/>
    <mergeCell ref="HWM28:HWN28"/>
    <mergeCell ref="HWO28:HWP28"/>
    <mergeCell ref="HWQ28:HWR28"/>
    <mergeCell ref="HVU28:HVV28"/>
    <mergeCell ref="HVW28:HVX28"/>
    <mergeCell ref="HVY28:HVZ28"/>
    <mergeCell ref="HWA28:HWB28"/>
    <mergeCell ref="HWC28:HWD28"/>
    <mergeCell ref="HWE28:HWF28"/>
    <mergeCell ref="HVI28:HVJ28"/>
    <mergeCell ref="HVK28:HVL28"/>
    <mergeCell ref="HVM28:HVN28"/>
    <mergeCell ref="HVO28:HVP28"/>
    <mergeCell ref="HVQ28:HVR28"/>
    <mergeCell ref="HVS28:HVT28"/>
    <mergeCell ref="HUW28:HUX28"/>
    <mergeCell ref="HUY28:HUZ28"/>
    <mergeCell ref="HVA28:HVB28"/>
    <mergeCell ref="HVC28:HVD28"/>
    <mergeCell ref="HVE28:HVF28"/>
    <mergeCell ref="HVG28:HVH28"/>
    <mergeCell ref="HZY28:HZZ28"/>
    <mergeCell ref="IAA28:IAB28"/>
    <mergeCell ref="IAC28:IAD28"/>
    <mergeCell ref="IAE28:IAF28"/>
    <mergeCell ref="IAG28:IAH28"/>
    <mergeCell ref="IAI28:IAJ28"/>
    <mergeCell ref="HZM28:HZN28"/>
    <mergeCell ref="HZO28:HZP28"/>
    <mergeCell ref="HZQ28:HZR28"/>
    <mergeCell ref="HZS28:HZT28"/>
    <mergeCell ref="HZU28:HZV28"/>
    <mergeCell ref="HZW28:HZX28"/>
    <mergeCell ref="HZA28:HZB28"/>
    <mergeCell ref="HZC28:HZD28"/>
    <mergeCell ref="HZE28:HZF28"/>
    <mergeCell ref="HZG28:HZH28"/>
    <mergeCell ref="HZI28:HZJ28"/>
    <mergeCell ref="HZK28:HZL28"/>
    <mergeCell ref="HYO28:HYP28"/>
    <mergeCell ref="HYQ28:HYR28"/>
    <mergeCell ref="HYS28:HYT28"/>
    <mergeCell ref="HYU28:HYV28"/>
    <mergeCell ref="HYW28:HYX28"/>
    <mergeCell ref="HYY28:HYZ28"/>
    <mergeCell ref="HYC28:HYD28"/>
    <mergeCell ref="HYE28:HYF28"/>
    <mergeCell ref="HYG28:HYH28"/>
    <mergeCell ref="HYI28:HYJ28"/>
    <mergeCell ref="HYK28:HYL28"/>
    <mergeCell ref="HYM28:HYN28"/>
    <mergeCell ref="HXQ28:HXR28"/>
    <mergeCell ref="HXS28:HXT28"/>
    <mergeCell ref="HXU28:HXV28"/>
    <mergeCell ref="HXW28:HXX28"/>
    <mergeCell ref="HXY28:HXZ28"/>
    <mergeCell ref="HYA28:HYB28"/>
    <mergeCell ref="ICS28:ICT28"/>
    <mergeCell ref="ICU28:ICV28"/>
    <mergeCell ref="ICW28:ICX28"/>
    <mergeCell ref="ICY28:ICZ28"/>
    <mergeCell ref="IDA28:IDB28"/>
    <mergeCell ref="IDC28:IDD28"/>
    <mergeCell ref="ICG28:ICH28"/>
    <mergeCell ref="ICI28:ICJ28"/>
    <mergeCell ref="ICK28:ICL28"/>
    <mergeCell ref="ICM28:ICN28"/>
    <mergeCell ref="ICO28:ICP28"/>
    <mergeCell ref="ICQ28:ICR28"/>
    <mergeCell ref="IBU28:IBV28"/>
    <mergeCell ref="IBW28:IBX28"/>
    <mergeCell ref="IBY28:IBZ28"/>
    <mergeCell ref="ICA28:ICB28"/>
    <mergeCell ref="ICC28:ICD28"/>
    <mergeCell ref="ICE28:ICF28"/>
    <mergeCell ref="IBI28:IBJ28"/>
    <mergeCell ref="IBK28:IBL28"/>
    <mergeCell ref="IBM28:IBN28"/>
    <mergeCell ref="IBO28:IBP28"/>
    <mergeCell ref="IBQ28:IBR28"/>
    <mergeCell ref="IBS28:IBT28"/>
    <mergeCell ref="IAW28:IAX28"/>
    <mergeCell ref="IAY28:IAZ28"/>
    <mergeCell ref="IBA28:IBB28"/>
    <mergeCell ref="IBC28:IBD28"/>
    <mergeCell ref="IBE28:IBF28"/>
    <mergeCell ref="IBG28:IBH28"/>
    <mergeCell ref="IAK28:IAL28"/>
    <mergeCell ref="IAM28:IAN28"/>
    <mergeCell ref="IAO28:IAP28"/>
    <mergeCell ref="IAQ28:IAR28"/>
    <mergeCell ref="IAS28:IAT28"/>
    <mergeCell ref="IAU28:IAV28"/>
    <mergeCell ref="IFM28:IFN28"/>
    <mergeCell ref="IFO28:IFP28"/>
    <mergeCell ref="IFQ28:IFR28"/>
    <mergeCell ref="IFS28:IFT28"/>
    <mergeCell ref="IFU28:IFV28"/>
    <mergeCell ref="IFW28:IFX28"/>
    <mergeCell ref="IFA28:IFB28"/>
    <mergeCell ref="IFC28:IFD28"/>
    <mergeCell ref="IFE28:IFF28"/>
    <mergeCell ref="IFG28:IFH28"/>
    <mergeCell ref="IFI28:IFJ28"/>
    <mergeCell ref="IFK28:IFL28"/>
    <mergeCell ref="IEO28:IEP28"/>
    <mergeCell ref="IEQ28:IER28"/>
    <mergeCell ref="IES28:IET28"/>
    <mergeCell ref="IEU28:IEV28"/>
    <mergeCell ref="IEW28:IEX28"/>
    <mergeCell ref="IEY28:IEZ28"/>
    <mergeCell ref="IEC28:IED28"/>
    <mergeCell ref="IEE28:IEF28"/>
    <mergeCell ref="IEG28:IEH28"/>
    <mergeCell ref="IEI28:IEJ28"/>
    <mergeCell ref="IEK28:IEL28"/>
    <mergeCell ref="IEM28:IEN28"/>
    <mergeCell ref="IDQ28:IDR28"/>
    <mergeCell ref="IDS28:IDT28"/>
    <mergeCell ref="IDU28:IDV28"/>
    <mergeCell ref="IDW28:IDX28"/>
    <mergeCell ref="IDY28:IDZ28"/>
    <mergeCell ref="IEA28:IEB28"/>
    <mergeCell ref="IDE28:IDF28"/>
    <mergeCell ref="IDG28:IDH28"/>
    <mergeCell ref="IDI28:IDJ28"/>
    <mergeCell ref="IDK28:IDL28"/>
    <mergeCell ref="IDM28:IDN28"/>
    <mergeCell ref="IDO28:IDP28"/>
    <mergeCell ref="IIG28:IIH28"/>
    <mergeCell ref="III28:IIJ28"/>
    <mergeCell ref="IIK28:IIL28"/>
    <mergeCell ref="IIM28:IIN28"/>
    <mergeCell ref="IIO28:IIP28"/>
    <mergeCell ref="IIQ28:IIR28"/>
    <mergeCell ref="IHU28:IHV28"/>
    <mergeCell ref="IHW28:IHX28"/>
    <mergeCell ref="IHY28:IHZ28"/>
    <mergeCell ref="IIA28:IIB28"/>
    <mergeCell ref="IIC28:IID28"/>
    <mergeCell ref="IIE28:IIF28"/>
    <mergeCell ref="IHI28:IHJ28"/>
    <mergeCell ref="IHK28:IHL28"/>
    <mergeCell ref="IHM28:IHN28"/>
    <mergeCell ref="IHO28:IHP28"/>
    <mergeCell ref="IHQ28:IHR28"/>
    <mergeCell ref="IHS28:IHT28"/>
    <mergeCell ref="IGW28:IGX28"/>
    <mergeCell ref="IGY28:IGZ28"/>
    <mergeCell ref="IHA28:IHB28"/>
    <mergeCell ref="IHC28:IHD28"/>
    <mergeCell ref="IHE28:IHF28"/>
    <mergeCell ref="IHG28:IHH28"/>
    <mergeCell ref="IGK28:IGL28"/>
    <mergeCell ref="IGM28:IGN28"/>
    <mergeCell ref="IGO28:IGP28"/>
    <mergeCell ref="IGQ28:IGR28"/>
    <mergeCell ref="IGS28:IGT28"/>
    <mergeCell ref="IGU28:IGV28"/>
    <mergeCell ref="IFY28:IFZ28"/>
    <mergeCell ref="IGA28:IGB28"/>
    <mergeCell ref="IGC28:IGD28"/>
    <mergeCell ref="IGE28:IGF28"/>
    <mergeCell ref="IGG28:IGH28"/>
    <mergeCell ref="IGI28:IGJ28"/>
    <mergeCell ref="ILA28:ILB28"/>
    <mergeCell ref="ILC28:ILD28"/>
    <mergeCell ref="ILE28:ILF28"/>
    <mergeCell ref="ILG28:ILH28"/>
    <mergeCell ref="ILI28:ILJ28"/>
    <mergeCell ref="ILK28:ILL28"/>
    <mergeCell ref="IKO28:IKP28"/>
    <mergeCell ref="IKQ28:IKR28"/>
    <mergeCell ref="IKS28:IKT28"/>
    <mergeCell ref="IKU28:IKV28"/>
    <mergeCell ref="IKW28:IKX28"/>
    <mergeCell ref="IKY28:IKZ28"/>
    <mergeCell ref="IKC28:IKD28"/>
    <mergeCell ref="IKE28:IKF28"/>
    <mergeCell ref="IKG28:IKH28"/>
    <mergeCell ref="IKI28:IKJ28"/>
    <mergeCell ref="IKK28:IKL28"/>
    <mergeCell ref="IKM28:IKN28"/>
    <mergeCell ref="IJQ28:IJR28"/>
    <mergeCell ref="IJS28:IJT28"/>
    <mergeCell ref="IJU28:IJV28"/>
    <mergeCell ref="IJW28:IJX28"/>
    <mergeCell ref="IJY28:IJZ28"/>
    <mergeCell ref="IKA28:IKB28"/>
    <mergeCell ref="IJE28:IJF28"/>
    <mergeCell ref="IJG28:IJH28"/>
    <mergeCell ref="IJI28:IJJ28"/>
    <mergeCell ref="IJK28:IJL28"/>
    <mergeCell ref="IJM28:IJN28"/>
    <mergeCell ref="IJO28:IJP28"/>
    <mergeCell ref="IIS28:IIT28"/>
    <mergeCell ref="IIU28:IIV28"/>
    <mergeCell ref="IIW28:IIX28"/>
    <mergeCell ref="IIY28:IIZ28"/>
    <mergeCell ref="IJA28:IJB28"/>
    <mergeCell ref="IJC28:IJD28"/>
    <mergeCell ref="INU28:INV28"/>
    <mergeCell ref="INW28:INX28"/>
    <mergeCell ref="INY28:INZ28"/>
    <mergeCell ref="IOA28:IOB28"/>
    <mergeCell ref="IOC28:IOD28"/>
    <mergeCell ref="IOE28:IOF28"/>
    <mergeCell ref="INI28:INJ28"/>
    <mergeCell ref="INK28:INL28"/>
    <mergeCell ref="INM28:INN28"/>
    <mergeCell ref="INO28:INP28"/>
    <mergeCell ref="INQ28:INR28"/>
    <mergeCell ref="INS28:INT28"/>
    <mergeCell ref="IMW28:IMX28"/>
    <mergeCell ref="IMY28:IMZ28"/>
    <mergeCell ref="INA28:INB28"/>
    <mergeCell ref="INC28:IND28"/>
    <mergeCell ref="INE28:INF28"/>
    <mergeCell ref="ING28:INH28"/>
    <mergeCell ref="IMK28:IML28"/>
    <mergeCell ref="IMM28:IMN28"/>
    <mergeCell ref="IMO28:IMP28"/>
    <mergeCell ref="IMQ28:IMR28"/>
    <mergeCell ref="IMS28:IMT28"/>
    <mergeCell ref="IMU28:IMV28"/>
    <mergeCell ref="ILY28:ILZ28"/>
    <mergeCell ref="IMA28:IMB28"/>
    <mergeCell ref="IMC28:IMD28"/>
    <mergeCell ref="IME28:IMF28"/>
    <mergeCell ref="IMG28:IMH28"/>
    <mergeCell ref="IMI28:IMJ28"/>
    <mergeCell ref="ILM28:ILN28"/>
    <mergeCell ref="ILO28:ILP28"/>
    <mergeCell ref="ILQ28:ILR28"/>
    <mergeCell ref="ILS28:ILT28"/>
    <mergeCell ref="ILU28:ILV28"/>
    <mergeCell ref="ILW28:ILX28"/>
    <mergeCell ref="IQO28:IQP28"/>
    <mergeCell ref="IQQ28:IQR28"/>
    <mergeCell ref="IQS28:IQT28"/>
    <mergeCell ref="IQU28:IQV28"/>
    <mergeCell ref="IQW28:IQX28"/>
    <mergeCell ref="IQY28:IQZ28"/>
    <mergeCell ref="IQC28:IQD28"/>
    <mergeCell ref="IQE28:IQF28"/>
    <mergeCell ref="IQG28:IQH28"/>
    <mergeCell ref="IQI28:IQJ28"/>
    <mergeCell ref="IQK28:IQL28"/>
    <mergeCell ref="IQM28:IQN28"/>
    <mergeCell ref="IPQ28:IPR28"/>
    <mergeCell ref="IPS28:IPT28"/>
    <mergeCell ref="IPU28:IPV28"/>
    <mergeCell ref="IPW28:IPX28"/>
    <mergeCell ref="IPY28:IPZ28"/>
    <mergeCell ref="IQA28:IQB28"/>
    <mergeCell ref="IPE28:IPF28"/>
    <mergeCell ref="IPG28:IPH28"/>
    <mergeCell ref="IPI28:IPJ28"/>
    <mergeCell ref="IPK28:IPL28"/>
    <mergeCell ref="IPM28:IPN28"/>
    <mergeCell ref="IPO28:IPP28"/>
    <mergeCell ref="IOS28:IOT28"/>
    <mergeCell ref="IOU28:IOV28"/>
    <mergeCell ref="IOW28:IOX28"/>
    <mergeCell ref="IOY28:IOZ28"/>
    <mergeCell ref="IPA28:IPB28"/>
    <mergeCell ref="IPC28:IPD28"/>
    <mergeCell ref="IOG28:IOH28"/>
    <mergeCell ref="IOI28:IOJ28"/>
    <mergeCell ref="IOK28:IOL28"/>
    <mergeCell ref="IOM28:ION28"/>
    <mergeCell ref="IOO28:IOP28"/>
    <mergeCell ref="IOQ28:IOR28"/>
    <mergeCell ref="ITI28:ITJ28"/>
    <mergeCell ref="ITK28:ITL28"/>
    <mergeCell ref="ITM28:ITN28"/>
    <mergeCell ref="ITO28:ITP28"/>
    <mergeCell ref="ITQ28:ITR28"/>
    <mergeCell ref="ITS28:ITT28"/>
    <mergeCell ref="ISW28:ISX28"/>
    <mergeCell ref="ISY28:ISZ28"/>
    <mergeCell ref="ITA28:ITB28"/>
    <mergeCell ref="ITC28:ITD28"/>
    <mergeCell ref="ITE28:ITF28"/>
    <mergeCell ref="ITG28:ITH28"/>
    <mergeCell ref="ISK28:ISL28"/>
    <mergeCell ref="ISM28:ISN28"/>
    <mergeCell ref="ISO28:ISP28"/>
    <mergeCell ref="ISQ28:ISR28"/>
    <mergeCell ref="ISS28:IST28"/>
    <mergeCell ref="ISU28:ISV28"/>
    <mergeCell ref="IRY28:IRZ28"/>
    <mergeCell ref="ISA28:ISB28"/>
    <mergeCell ref="ISC28:ISD28"/>
    <mergeCell ref="ISE28:ISF28"/>
    <mergeCell ref="ISG28:ISH28"/>
    <mergeCell ref="ISI28:ISJ28"/>
    <mergeCell ref="IRM28:IRN28"/>
    <mergeCell ref="IRO28:IRP28"/>
    <mergeCell ref="IRQ28:IRR28"/>
    <mergeCell ref="IRS28:IRT28"/>
    <mergeCell ref="IRU28:IRV28"/>
    <mergeCell ref="IRW28:IRX28"/>
    <mergeCell ref="IRA28:IRB28"/>
    <mergeCell ref="IRC28:IRD28"/>
    <mergeCell ref="IRE28:IRF28"/>
    <mergeCell ref="IRG28:IRH28"/>
    <mergeCell ref="IRI28:IRJ28"/>
    <mergeCell ref="IRK28:IRL28"/>
    <mergeCell ref="IWC28:IWD28"/>
    <mergeCell ref="IWE28:IWF28"/>
    <mergeCell ref="IWG28:IWH28"/>
    <mergeCell ref="IWI28:IWJ28"/>
    <mergeCell ref="IWK28:IWL28"/>
    <mergeCell ref="IWM28:IWN28"/>
    <mergeCell ref="IVQ28:IVR28"/>
    <mergeCell ref="IVS28:IVT28"/>
    <mergeCell ref="IVU28:IVV28"/>
    <mergeCell ref="IVW28:IVX28"/>
    <mergeCell ref="IVY28:IVZ28"/>
    <mergeCell ref="IWA28:IWB28"/>
    <mergeCell ref="IVE28:IVF28"/>
    <mergeCell ref="IVG28:IVH28"/>
    <mergeCell ref="IVI28:IVJ28"/>
    <mergeCell ref="IVK28:IVL28"/>
    <mergeCell ref="IVM28:IVN28"/>
    <mergeCell ref="IVO28:IVP28"/>
    <mergeCell ref="IUS28:IUT28"/>
    <mergeCell ref="IUU28:IUV28"/>
    <mergeCell ref="IUW28:IUX28"/>
    <mergeCell ref="IUY28:IUZ28"/>
    <mergeCell ref="IVA28:IVB28"/>
    <mergeCell ref="IVC28:IVD28"/>
    <mergeCell ref="IUG28:IUH28"/>
    <mergeCell ref="IUI28:IUJ28"/>
    <mergeCell ref="IUK28:IUL28"/>
    <mergeCell ref="IUM28:IUN28"/>
    <mergeCell ref="IUO28:IUP28"/>
    <mergeCell ref="IUQ28:IUR28"/>
    <mergeCell ref="ITU28:ITV28"/>
    <mergeCell ref="ITW28:ITX28"/>
    <mergeCell ref="ITY28:ITZ28"/>
    <mergeCell ref="IUA28:IUB28"/>
    <mergeCell ref="IUC28:IUD28"/>
    <mergeCell ref="IUE28:IUF28"/>
    <mergeCell ref="IYW28:IYX28"/>
    <mergeCell ref="IYY28:IYZ28"/>
    <mergeCell ref="IZA28:IZB28"/>
    <mergeCell ref="IZC28:IZD28"/>
    <mergeCell ref="IZE28:IZF28"/>
    <mergeCell ref="IZG28:IZH28"/>
    <mergeCell ref="IYK28:IYL28"/>
    <mergeCell ref="IYM28:IYN28"/>
    <mergeCell ref="IYO28:IYP28"/>
    <mergeCell ref="IYQ28:IYR28"/>
    <mergeCell ref="IYS28:IYT28"/>
    <mergeCell ref="IYU28:IYV28"/>
    <mergeCell ref="IXY28:IXZ28"/>
    <mergeCell ref="IYA28:IYB28"/>
    <mergeCell ref="IYC28:IYD28"/>
    <mergeCell ref="IYE28:IYF28"/>
    <mergeCell ref="IYG28:IYH28"/>
    <mergeCell ref="IYI28:IYJ28"/>
    <mergeCell ref="IXM28:IXN28"/>
    <mergeCell ref="IXO28:IXP28"/>
    <mergeCell ref="IXQ28:IXR28"/>
    <mergeCell ref="IXS28:IXT28"/>
    <mergeCell ref="IXU28:IXV28"/>
    <mergeCell ref="IXW28:IXX28"/>
    <mergeCell ref="IXA28:IXB28"/>
    <mergeCell ref="IXC28:IXD28"/>
    <mergeCell ref="IXE28:IXF28"/>
    <mergeCell ref="IXG28:IXH28"/>
    <mergeCell ref="IXI28:IXJ28"/>
    <mergeCell ref="IXK28:IXL28"/>
    <mergeCell ref="IWO28:IWP28"/>
    <mergeCell ref="IWQ28:IWR28"/>
    <mergeCell ref="IWS28:IWT28"/>
    <mergeCell ref="IWU28:IWV28"/>
    <mergeCell ref="IWW28:IWX28"/>
    <mergeCell ref="IWY28:IWZ28"/>
    <mergeCell ref="JBQ28:JBR28"/>
    <mergeCell ref="JBS28:JBT28"/>
    <mergeCell ref="JBU28:JBV28"/>
    <mergeCell ref="JBW28:JBX28"/>
    <mergeCell ref="JBY28:JBZ28"/>
    <mergeCell ref="JCA28:JCB28"/>
    <mergeCell ref="JBE28:JBF28"/>
    <mergeCell ref="JBG28:JBH28"/>
    <mergeCell ref="JBI28:JBJ28"/>
    <mergeCell ref="JBK28:JBL28"/>
    <mergeCell ref="JBM28:JBN28"/>
    <mergeCell ref="JBO28:JBP28"/>
    <mergeCell ref="JAS28:JAT28"/>
    <mergeCell ref="JAU28:JAV28"/>
    <mergeCell ref="JAW28:JAX28"/>
    <mergeCell ref="JAY28:JAZ28"/>
    <mergeCell ref="JBA28:JBB28"/>
    <mergeCell ref="JBC28:JBD28"/>
    <mergeCell ref="JAG28:JAH28"/>
    <mergeCell ref="JAI28:JAJ28"/>
    <mergeCell ref="JAK28:JAL28"/>
    <mergeCell ref="JAM28:JAN28"/>
    <mergeCell ref="JAO28:JAP28"/>
    <mergeCell ref="JAQ28:JAR28"/>
    <mergeCell ref="IZU28:IZV28"/>
    <mergeCell ref="IZW28:IZX28"/>
    <mergeCell ref="IZY28:IZZ28"/>
    <mergeCell ref="JAA28:JAB28"/>
    <mergeCell ref="JAC28:JAD28"/>
    <mergeCell ref="JAE28:JAF28"/>
    <mergeCell ref="IZI28:IZJ28"/>
    <mergeCell ref="IZK28:IZL28"/>
    <mergeCell ref="IZM28:IZN28"/>
    <mergeCell ref="IZO28:IZP28"/>
    <mergeCell ref="IZQ28:IZR28"/>
    <mergeCell ref="IZS28:IZT28"/>
    <mergeCell ref="JEK28:JEL28"/>
    <mergeCell ref="JEM28:JEN28"/>
    <mergeCell ref="JEO28:JEP28"/>
    <mergeCell ref="JEQ28:JER28"/>
    <mergeCell ref="JES28:JET28"/>
    <mergeCell ref="JEU28:JEV28"/>
    <mergeCell ref="JDY28:JDZ28"/>
    <mergeCell ref="JEA28:JEB28"/>
    <mergeCell ref="JEC28:JED28"/>
    <mergeCell ref="JEE28:JEF28"/>
    <mergeCell ref="JEG28:JEH28"/>
    <mergeCell ref="JEI28:JEJ28"/>
    <mergeCell ref="JDM28:JDN28"/>
    <mergeCell ref="JDO28:JDP28"/>
    <mergeCell ref="JDQ28:JDR28"/>
    <mergeCell ref="JDS28:JDT28"/>
    <mergeCell ref="JDU28:JDV28"/>
    <mergeCell ref="JDW28:JDX28"/>
    <mergeCell ref="JDA28:JDB28"/>
    <mergeCell ref="JDC28:JDD28"/>
    <mergeCell ref="JDE28:JDF28"/>
    <mergeCell ref="JDG28:JDH28"/>
    <mergeCell ref="JDI28:JDJ28"/>
    <mergeCell ref="JDK28:JDL28"/>
    <mergeCell ref="JCO28:JCP28"/>
    <mergeCell ref="JCQ28:JCR28"/>
    <mergeCell ref="JCS28:JCT28"/>
    <mergeCell ref="JCU28:JCV28"/>
    <mergeCell ref="JCW28:JCX28"/>
    <mergeCell ref="JCY28:JCZ28"/>
    <mergeCell ref="JCC28:JCD28"/>
    <mergeCell ref="JCE28:JCF28"/>
    <mergeCell ref="JCG28:JCH28"/>
    <mergeCell ref="JCI28:JCJ28"/>
    <mergeCell ref="JCK28:JCL28"/>
    <mergeCell ref="JCM28:JCN28"/>
    <mergeCell ref="JHE28:JHF28"/>
    <mergeCell ref="JHG28:JHH28"/>
    <mergeCell ref="JHI28:JHJ28"/>
    <mergeCell ref="JHK28:JHL28"/>
    <mergeCell ref="JHM28:JHN28"/>
    <mergeCell ref="JHO28:JHP28"/>
    <mergeCell ref="JGS28:JGT28"/>
    <mergeCell ref="JGU28:JGV28"/>
    <mergeCell ref="JGW28:JGX28"/>
    <mergeCell ref="JGY28:JGZ28"/>
    <mergeCell ref="JHA28:JHB28"/>
    <mergeCell ref="JHC28:JHD28"/>
    <mergeCell ref="JGG28:JGH28"/>
    <mergeCell ref="JGI28:JGJ28"/>
    <mergeCell ref="JGK28:JGL28"/>
    <mergeCell ref="JGM28:JGN28"/>
    <mergeCell ref="JGO28:JGP28"/>
    <mergeCell ref="JGQ28:JGR28"/>
    <mergeCell ref="JFU28:JFV28"/>
    <mergeCell ref="JFW28:JFX28"/>
    <mergeCell ref="JFY28:JFZ28"/>
    <mergeCell ref="JGA28:JGB28"/>
    <mergeCell ref="JGC28:JGD28"/>
    <mergeCell ref="JGE28:JGF28"/>
    <mergeCell ref="JFI28:JFJ28"/>
    <mergeCell ref="JFK28:JFL28"/>
    <mergeCell ref="JFM28:JFN28"/>
    <mergeCell ref="JFO28:JFP28"/>
    <mergeCell ref="JFQ28:JFR28"/>
    <mergeCell ref="JFS28:JFT28"/>
    <mergeCell ref="JEW28:JEX28"/>
    <mergeCell ref="JEY28:JEZ28"/>
    <mergeCell ref="JFA28:JFB28"/>
    <mergeCell ref="JFC28:JFD28"/>
    <mergeCell ref="JFE28:JFF28"/>
    <mergeCell ref="JFG28:JFH28"/>
    <mergeCell ref="JJY28:JJZ28"/>
    <mergeCell ref="JKA28:JKB28"/>
    <mergeCell ref="JKC28:JKD28"/>
    <mergeCell ref="JKE28:JKF28"/>
    <mergeCell ref="JKG28:JKH28"/>
    <mergeCell ref="JKI28:JKJ28"/>
    <mergeCell ref="JJM28:JJN28"/>
    <mergeCell ref="JJO28:JJP28"/>
    <mergeCell ref="JJQ28:JJR28"/>
    <mergeCell ref="JJS28:JJT28"/>
    <mergeCell ref="JJU28:JJV28"/>
    <mergeCell ref="JJW28:JJX28"/>
    <mergeCell ref="JJA28:JJB28"/>
    <mergeCell ref="JJC28:JJD28"/>
    <mergeCell ref="JJE28:JJF28"/>
    <mergeCell ref="JJG28:JJH28"/>
    <mergeCell ref="JJI28:JJJ28"/>
    <mergeCell ref="JJK28:JJL28"/>
    <mergeCell ref="JIO28:JIP28"/>
    <mergeCell ref="JIQ28:JIR28"/>
    <mergeCell ref="JIS28:JIT28"/>
    <mergeCell ref="JIU28:JIV28"/>
    <mergeCell ref="JIW28:JIX28"/>
    <mergeCell ref="JIY28:JIZ28"/>
    <mergeCell ref="JIC28:JID28"/>
    <mergeCell ref="JIE28:JIF28"/>
    <mergeCell ref="JIG28:JIH28"/>
    <mergeCell ref="JII28:JIJ28"/>
    <mergeCell ref="JIK28:JIL28"/>
    <mergeCell ref="JIM28:JIN28"/>
    <mergeCell ref="JHQ28:JHR28"/>
    <mergeCell ref="JHS28:JHT28"/>
    <mergeCell ref="JHU28:JHV28"/>
    <mergeCell ref="JHW28:JHX28"/>
    <mergeCell ref="JHY28:JHZ28"/>
    <mergeCell ref="JIA28:JIB28"/>
    <mergeCell ref="JMS28:JMT28"/>
    <mergeCell ref="JMU28:JMV28"/>
    <mergeCell ref="JMW28:JMX28"/>
    <mergeCell ref="JMY28:JMZ28"/>
    <mergeCell ref="JNA28:JNB28"/>
    <mergeCell ref="JNC28:JND28"/>
    <mergeCell ref="JMG28:JMH28"/>
    <mergeCell ref="JMI28:JMJ28"/>
    <mergeCell ref="JMK28:JML28"/>
    <mergeCell ref="JMM28:JMN28"/>
    <mergeCell ref="JMO28:JMP28"/>
    <mergeCell ref="JMQ28:JMR28"/>
    <mergeCell ref="JLU28:JLV28"/>
    <mergeCell ref="JLW28:JLX28"/>
    <mergeCell ref="JLY28:JLZ28"/>
    <mergeCell ref="JMA28:JMB28"/>
    <mergeCell ref="JMC28:JMD28"/>
    <mergeCell ref="JME28:JMF28"/>
    <mergeCell ref="JLI28:JLJ28"/>
    <mergeCell ref="JLK28:JLL28"/>
    <mergeCell ref="JLM28:JLN28"/>
    <mergeCell ref="JLO28:JLP28"/>
    <mergeCell ref="JLQ28:JLR28"/>
    <mergeCell ref="JLS28:JLT28"/>
    <mergeCell ref="JKW28:JKX28"/>
    <mergeCell ref="JKY28:JKZ28"/>
    <mergeCell ref="JLA28:JLB28"/>
    <mergeCell ref="JLC28:JLD28"/>
    <mergeCell ref="JLE28:JLF28"/>
    <mergeCell ref="JLG28:JLH28"/>
    <mergeCell ref="JKK28:JKL28"/>
    <mergeCell ref="JKM28:JKN28"/>
    <mergeCell ref="JKO28:JKP28"/>
    <mergeCell ref="JKQ28:JKR28"/>
    <mergeCell ref="JKS28:JKT28"/>
    <mergeCell ref="JKU28:JKV28"/>
    <mergeCell ref="JPM28:JPN28"/>
    <mergeCell ref="JPO28:JPP28"/>
    <mergeCell ref="JPQ28:JPR28"/>
    <mergeCell ref="JPS28:JPT28"/>
    <mergeCell ref="JPU28:JPV28"/>
    <mergeCell ref="JPW28:JPX28"/>
    <mergeCell ref="JPA28:JPB28"/>
    <mergeCell ref="JPC28:JPD28"/>
    <mergeCell ref="JPE28:JPF28"/>
    <mergeCell ref="JPG28:JPH28"/>
    <mergeCell ref="JPI28:JPJ28"/>
    <mergeCell ref="JPK28:JPL28"/>
    <mergeCell ref="JOO28:JOP28"/>
    <mergeCell ref="JOQ28:JOR28"/>
    <mergeCell ref="JOS28:JOT28"/>
    <mergeCell ref="JOU28:JOV28"/>
    <mergeCell ref="JOW28:JOX28"/>
    <mergeCell ref="JOY28:JOZ28"/>
    <mergeCell ref="JOC28:JOD28"/>
    <mergeCell ref="JOE28:JOF28"/>
    <mergeCell ref="JOG28:JOH28"/>
    <mergeCell ref="JOI28:JOJ28"/>
    <mergeCell ref="JOK28:JOL28"/>
    <mergeCell ref="JOM28:JON28"/>
    <mergeCell ref="JNQ28:JNR28"/>
    <mergeCell ref="JNS28:JNT28"/>
    <mergeCell ref="JNU28:JNV28"/>
    <mergeCell ref="JNW28:JNX28"/>
    <mergeCell ref="JNY28:JNZ28"/>
    <mergeCell ref="JOA28:JOB28"/>
    <mergeCell ref="JNE28:JNF28"/>
    <mergeCell ref="JNG28:JNH28"/>
    <mergeCell ref="JNI28:JNJ28"/>
    <mergeCell ref="JNK28:JNL28"/>
    <mergeCell ref="JNM28:JNN28"/>
    <mergeCell ref="JNO28:JNP28"/>
    <mergeCell ref="JSG28:JSH28"/>
    <mergeCell ref="JSI28:JSJ28"/>
    <mergeCell ref="JSK28:JSL28"/>
    <mergeCell ref="JSM28:JSN28"/>
    <mergeCell ref="JSO28:JSP28"/>
    <mergeCell ref="JSQ28:JSR28"/>
    <mergeCell ref="JRU28:JRV28"/>
    <mergeCell ref="JRW28:JRX28"/>
    <mergeCell ref="JRY28:JRZ28"/>
    <mergeCell ref="JSA28:JSB28"/>
    <mergeCell ref="JSC28:JSD28"/>
    <mergeCell ref="JSE28:JSF28"/>
    <mergeCell ref="JRI28:JRJ28"/>
    <mergeCell ref="JRK28:JRL28"/>
    <mergeCell ref="JRM28:JRN28"/>
    <mergeCell ref="JRO28:JRP28"/>
    <mergeCell ref="JRQ28:JRR28"/>
    <mergeCell ref="JRS28:JRT28"/>
    <mergeCell ref="JQW28:JQX28"/>
    <mergeCell ref="JQY28:JQZ28"/>
    <mergeCell ref="JRA28:JRB28"/>
    <mergeCell ref="JRC28:JRD28"/>
    <mergeCell ref="JRE28:JRF28"/>
    <mergeCell ref="JRG28:JRH28"/>
    <mergeCell ref="JQK28:JQL28"/>
    <mergeCell ref="JQM28:JQN28"/>
    <mergeCell ref="JQO28:JQP28"/>
    <mergeCell ref="JQQ28:JQR28"/>
    <mergeCell ref="JQS28:JQT28"/>
    <mergeCell ref="JQU28:JQV28"/>
    <mergeCell ref="JPY28:JPZ28"/>
    <mergeCell ref="JQA28:JQB28"/>
    <mergeCell ref="JQC28:JQD28"/>
    <mergeCell ref="JQE28:JQF28"/>
    <mergeCell ref="JQG28:JQH28"/>
    <mergeCell ref="JQI28:JQJ28"/>
    <mergeCell ref="JVA28:JVB28"/>
    <mergeCell ref="JVC28:JVD28"/>
    <mergeCell ref="JVE28:JVF28"/>
    <mergeCell ref="JVG28:JVH28"/>
    <mergeCell ref="JVI28:JVJ28"/>
    <mergeCell ref="JVK28:JVL28"/>
    <mergeCell ref="JUO28:JUP28"/>
    <mergeCell ref="JUQ28:JUR28"/>
    <mergeCell ref="JUS28:JUT28"/>
    <mergeCell ref="JUU28:JUV28"/>
    <mergeCell ref="JUW28:JUX28"/>
    <mergeCell ref="JUY28:JUZ28"/>
    <mergeCell ref="JUC28:JUD28"/>
    <mergeCell ref="JUE28:JUF28"/>
    <mergeCell ref="JUG28:JUH28"/>
    <mergeCell ref="JUI28:JUJ28"/>
    <mergeCell ref="JUK28:JUL28"/>
    <mergeCell ref="JUM28:JUN28"/>
    <mergeCell ref="JTQ28:JTR28"/>
    <mergeCell ref="JTS28:JTT28"/>
    <mergeCell ref="JTU28:JTV28"/>
    <mergeCell ref="JTW28:JTX28"/>
    <mergeCell ref="JTY28:JTZ28"/>
    <mergeCell ref="JUA28:JUB28"/>
    <mergeCell ref="JTE28:JTF28"/>
    <mergeCell ref="JTG28:JTH28"/>
    <mergeCell ref="JTI28:JTJ28"/>
    <mergeCell ref="JTK28:JTL28"/>
    <mergeCell ref="JTM28:JTN28"/>
    <mergeCell ref="JTO28:JTP28"/>
    <mergeCell ref="JSS28:JST28"/>
    <mergeCell ref="JSU28:JSV28"/>
    <mergeCell ref="JSW28:JSX28"/>
    <mergeCell ref="JSY28:JSZ28"/>
    <mergeCell ref="JTA28:JTB28"/>
    <mergeCell ref="JTC28:JTD28"/>
    <mergeCell ref="JXU28:JXV28"/>
    <mergeCell ref="JXW28:JXX28"/>
    <mergeCell ref="JXY28:JXZ28"/>
    <mergeCell ref="JYA28:JYB28"/>
    <mergeCell ref="JYC28:JYD28"/>
    <mergeCell ref="JYE28:JYF28"/>
    <mergeCell ref="JXI28:JXJ28"/>
    <mergeCell ref="JXK28:JXL28"/>
    <mergeCell ref="JXM28:JXN28"/>
    <mergeCell ref="JXO28:JXP28"/>
    <mergeCell ref="JXQ28:JXR28"/>
    <mergeCell ref="JXS28:JXT28"/>
    <mergeCell ref="JWW28:JWX28"/>
    <mergeCell ref="JWY28:JWZ28"/>
    <mergeCell ref="JXA28:JXB28"/>
    <mergeCell ref="JXC28:JXD28"/>
    <mergeCell ref="JXE28:JXF28"/>
    <mergeCell ref="JXG28:JXH28"/>
    <mergeCell ref="JWK28:JWL28"/>
    <mergeCell ref="JWM28:JWN28"/>
    <mergeCell ref="JWO28:JWP28"/>
    <mergeCell ref="JWQ28:JWR28"/>
    <mergeCell ref="JWS28:JWT28"/>
    <mergeCell ref="JWU28:JWV28"/>
    <mergeCell ref="JVY28:JVZ28"/>
    <mergeCell ref="JWA28:JWB28"/>
    <mergeCell ref="JWC28:JWD28"/>
    <mergeCell ref="JWE28:JWF28"/>
    <mergeCell ref="JWG28:JWH28"/>
    <mergeCell ref="JWI28:JWJ28"/>
    <mergeCell ref="JVM28:JVN28"/>
    <mergeCell ref="JVO28:JVP28"/>
    <mergeCell ref="JVQ28:JVR28"/>
    <mergeCell ref="JVS28:JVT28"/>
    <mergeCell ref="JVU28:JVV28"/>
    <mergeCell ref="JVW28:JVX28"/>
    <mergeCell ref="KAO28:KAP28"/>
    <mergeCell ref="KAQ28:KAR28"/>
    <mergeCell ref="KAS28:KAT28"/>
    <mergeCell ref="KAU28:KAV28"/>
    <mergeCell ref="KAW28:KAX28"/>
    <mergeCell ref="KAY28:KAZ28"/>
    <mergeCell ref="KAC28:KAD28"/>
    <mergeCell ref="KAE28:KAF28"/>
    <mergeCell ref="KAG28:KAH28"/>
    <mergeCell ref="KAI28:KAJ28"/>
    <mergeCell ref="KAK28:KAL28"/>
    <mergeCell ref="KAM28:KAN28"/>
    <mergeCell ref="JZQ28:JZR28"/>
    <mergeCell ref="JZS28:JZT28"/>
    <mergeCell ref="JZU28:JZV28"/>
    <mergeCell ref="JZW28:JZX28"/>
    <mergeCell ref="JZY28:JZZ28"/>
    <mergeCell ref="KAA28:KAB28"/>
    <mergeCell ref="JZE28:JZF28"/>
    <mergeCell ref="JZG28:JZH28"/>
    <mergeCell ref="JZI28:JZJ28"/>
    <mergeCell ref="JZK28:JZL28"/>
    <mergeCell ref="JZM28:JZN28"/>
    <mergeCell ref="JZO28:JZP28"/>
    <mergeCell ref="JYS28:JYT28"/>
    <mergeCell ref="JYU28:JYV28"/>
    <mergeCell ref="JYW28:JYX28"/>
    <mergeCell ref="JYY28:JYZ28"/>
    <mergeCell ref="JZA28:JZB28"/>
    <mergeCell ref="JZC28:JZD28"/>
    <mergeCell ref="JYG28:JYH28"/>
    <mergeCell ref="JYI28:JYJ28"/>
    <mergeCell ref="JYK28:JYL28"/>
    <mergeCell ref="JYM28:JYN28"/>
    <mergeCell ref="JYO28:JYP28"/>
    <mergeCell ref="JYQ28:JYR28"/>
    <mergeCell ref="KDI28:KDJ28"/>
    <mergeCell ref="KDK28:KDL28"/>
    <mergeCell ref="KDM28:KDN28"/>
    <mergeCell ref="KDO28:KDP28"/>
    <mergeCell ref="KDQ28:KDR28"/>
    <mergeCell ref="KDS28:KDT28"/>
    <mergeCell ref="KCW28:KCX28"/>
    <mergeCell ref="KCY28:KCZ28"/>
    <mergeCell ref="KDA28:KDB28"/>
    <mergeCell ref="KDC28:KDD28"/>
    <mergeCell ref="KDE28:KDF28"/>
    <mergeCell ref="KDG28:KDH28"/>
    <mergeCell ref="KCK28:KCL28"/>
    <mergeCell ref="KCM28:KCN28"/>
    <mergeCell ref="KCO28:KCP28"/>
    <mergeCell ref="KCQ28:KCR28"/>
    <mergeCell ref="KCS28:KCT28"/>
    <mergeCell ref="KCU28:KCV28"/>
    <mergeCell ref="KBY28:KBZ28"/>
    <mergeCell ref="KCA28:KCB28"/>
    <mergeCell ref="KCC28:KCD28"/>
    <mergeCell ref="KCE28:KCF28"/>
    <mergeCell ref="KCG28:KCH28"/>
    <mergeCell ref="KCI28:KCJ28"/>
    <mergeCell ref="KBM28:KBN28"/>
    <mergeCell ref="KBO28:KBP28"/>
    <mergeCell ref="KBQ28:KBR28"/>
    <mergeCell ref="KBS28:KBT28"/>
    <mergeCell ref="KBU28:KBV28"/>
    <mergeCell ref="KBW28:KBX28"/>
    <mergeCell ref="KBA28:KBB28"/>
    <mergeCell ref="KBC28:KBD28"/>
    <mergeCell ref="KBE28:KBF28"/>
    <mergeCell ref="KBG28:KBH28"/>
    <mergeCell ref="KBI28:KBJ28"/>
    <mergeCell ref="KBK28:KBL28"/>
    <mergeCell ref="KGC28:KGD28"/>
    <mergeCell ref="KGE28:KGF28"/>
    <mergeCell ref="KGG28:KGH28"/>
    <mergeCell ref="KGI28:KGJ28"/>
    <mergeCell ref="KGK28:KGL28"/>
    <mergeCell ref="KGM28:KGN28"/>
    <mergeCell ref="KFQ28:KFR28"/>
    <mergeCell ref="KFS28:KFT28"/>
    <mergeCell ref="KFU28:KFV28"/>
    <mergeCell ref="KFW28:KFX28"/>
    <mergeCell ref="KFY28:KFZ28"/>
    <mergeCell ref="KGA28:KGB28"/>
    <mergeCell ref="KFE28:KFF28"/>
    <mergeCell ref="KFG28:KFH28"/>
    <mergeCell ref="KFI28:KFJ28"/>
    <mergeCell ref="KFK28:KFL28"/>
    <mergeCell ref="KFM28:KFN28"/>
    <mergeCell ref="KFO28:KFP28"/>
    <mergeCell ref="KES28:KET28"/>
    <mergeCell ref="KEU28:KEV28"/>
    <mergeCell ref="KEW28:KEX28"/>
    <mergeCell ref="KEY28:KEZ28"/>
    <mergeCell ref="KFA28:KFB28"/>
    <mergeCell ref="KFC28:KFD28"/>
    <mergeCell ref="KEG28:KEH28"/>
    <mergeCell ref="KEI28:KEJ28"/>
    <mergeCell ref="KEK28:KEL28"/>
    <mergeCell ref="KEM28:KEN28"/>
    <mergeCell ref="KEO28:KEP28"/>
    <mergeCell ref="KEQ28:KER28"/>
    <mergeCell ref="KDU28:KDV28"/>
    <mergeCell ref="KDW28:KDX28"/>
    <mergeCell ref="KDY28:KDZ28"/>
    <mergeCell ref="KEA28:KEB28"/>
    <mergeCell ref="KEC28:KED28"/>
    <mergeCell ref="KEE28:KEF28"/>
    <mergeCell ref="KIW28:KIX28"/>
    <mergeCell ref="KIY28:KIZ28"/>
    <mergeCell ref="KJA28:KJB28"/>
    <mergeCell ref="KJC28:KJD28"/>
    <mergeCell ref="KJE28:KJF28"/>
    <mergeCell ref="KJG28:KJH28"/>
    <mergeCell ref="KIK28:KIL28"/>
    <mergeCell ref="KIM28:KIN28"/>
    <mergeCell ref="KIO28:KIP28"/>
    <mergeCell ref="KIQ28:KIR28"/>
    <mergeCell ref="KIS28:KIT28"/>
    <mergeCell ref="KIU28:KIV28"/>
    <mergeCell ref="KHY28:KHZ28"/>
    <mergeCell ref="KIA28:KIB28"/>
    <mergeCell ref="KIC28:KID28"/>
    <mergeCell ref="KIE28:KIF28"/>
    <mergeCell ref="KIG28:KIH28"/>
    <mergeCell ref="KII28:KIJ28"/>
    <mergeCell ref="KHM28:KHN28"/>
    <mergeCell ref="KHO28:KHP28"/>
    <mergeCell ref="KHQ28:KHR28"/>
    <mergeCell ref="KHS28:KHT28"/>
    <mergeCell ref="KHU28:KHV28"/>
    <mergeCell ref="KHW28:KHX28"/>
    <mergeCell ref="KHA28:KHB28"/>
    <mergeCell ref="KHC28:KHD28"/>
    <mergeCell ref="KHE28:KHF28"/>
    <mergeCell ref="KHG28:KHH28"/>
    <mergeCell ref="KHI28:KHJ28"/>
    <mergeCell ref="KHK28:KHL28"/>
    <mergeCell ref="KGO28:KGP28"/>
    <mergeCell ref="KGQ28:KGR28"/>
    <mergeCell ref="KGS28:KGT28"/>
    <mergeCell ref="KGU28:KGV28"/>
    <mergeCell ref="KGW28:KGX28"/>
    <mergeCell ref="KGY28:KGZ28"/>
    <mergeCell ref="KLQ28:KLR28"/>
    <mergeCell ref="KLS28:KLT28"/>
    <mergeCell ref="KLU28:KLV28"/>
    <mergeCell ref="KLW28:KLX28"/>
    <mergeCell ref="KLY28:KLZ28"/>
    <mergeCell ref="KMA28:KMB28"/>
    <mergeCell ref="KLE28:KLF28"/>
    <mergeCell ref="KLG28:KLH28"/>
    <mergeCell ref="KLI28:KLJ28"/>
    <mergeCell ref="KLK28:KLL28"/>
    <mergeCell ref="KLM28:KLN28"/>
    <mergeCell ref="KLO28:KLP28"/>
    <mergeCell ref="KKS28:KKT28"/>
    <mergeCell ref="KKU28:KKV28"/>
    <mergeCell ref="KKW28:KKX28"/>
    <mergeCell ref="KKY28:KKZ28"/>
    <mergeCell ref="KLA28:KLB28"/>
    <mergeCell ref="KLC28:KLD28"/>
    <mergeCell ref="KKG28:KKH28"/>
    <mergeCell ref="KKI28:KKJ28"/>
    <mergeCell ref="KKK28:KKL28"/>
    <mergeCell ref="KKM28:KKN28"/>
    <mergeCell ref="KKO28:KKP28"/>
    <mergeCell ref="KKQ28:KKR28"/>
    <mergeCell ref="KJU28:KJV28"/>
    <mergeCell ref="KJW28:KJX28"/>
    <mergeCell ref="KJY28:KJZ28"/>
    <mergeCell ref="KKA28:KKB28"/>
    <mergeCell ref="KKC28:KKD28"/>
    <mergeCell ref="KKE28:KKF28"/>
    <mergeCell ref="KJI28:KJJ28"/>
    <mergeCell ref="KJK28:KJL28"/>
    <mergeCell ref="KJM28:KJN28"/>
    <mergeCell ref="KJO28:KJP28"/>
    <mergeCell ref="KJQ28:KJR28"/>
    <mergeCell ref="KJS28:KJT28"/>
    <mergeCell ref="KOK28:KOL28"/>
    <mergeCell ref="KOM28:KON28"/>
    <mergeCell ref="KOO28:KOP28"/>
    <mergeCell ref="KOQ28:KOR28"/>
    <mergeCell ref="KOS28:KOT28"/>
    <mergeCell ref="KOU28:KOV28"/>
    <mergeCell ref="KNY28:KNZ28"/>
    <mergeCell ref="KOA28:KOB28"/>
    <mergeCell ref="KOC28:KOD28"/>
    <mergeCell ref="KOE28:KOF28"/>
    <mergeCell ref="KOG28:KOH28"/>
    <mergeCell ref="KOI28:KOJ28"/>
    <mergeCell ref="KNM28:KNN28"/>
    <mergeCell ref="KNO28:KNP28"/>
    <mergeCell ref="KNQ28:KNR28"/>
    <mergeCell ref="KNS28:KNT28"/>
    <mergeCell ref="KNU28:KNV28"/>
    <mergeCell ref="KNW28:KNX28"/>
    <mergeCell ref="KNA28:KNB28"/>
    <mergeCell ref="KNC28:KND28"/>
    <mergeCell ref="KNE28:KNF28"/>
    <mergeCell ref="KNG28:KNH28"/>
    <mergeCell ref="KNI28:KNJ28"/>
    <mergeCell ref="KNK28:KNL28"/>
    <mergeCell ref="KMO28:KMP28"/>
    <mergeCell ref="KMQ28:KMR28"/>
    <mergeCell ref="KMS28:KMT28"/>
    <mergeCell ref="KMU28:KMV28"/>
    <mergeCell ref="KMW28:KMX28"/>
    <mergeCell ref="KMY28:KMZ28"/>
    <mergeCell ref="KMC28:KMD28"/>
    <mergeCell ref="KME28:KMF28"/>
    <mergeCell ref="KMG28:KMH28"/>
    <mergeCell ref="KMI28:KMJ28"/>
    <mergeCell ref="KMK28:KML28"/>
    <mergeCell ref="KMM28:KMN28"/>
    <mergeCell ref="KRE28:KRF28"/>
    <mergeCell ref="KRG28:KRH28"/>
    <mergeCell ref="KRI28:KRJ28"/>
    <mergeCell ref="KRK28:KRL28"/>
    <mergeCell ref="KRM28:KRN28"/>
    <mergeCell ref="KRO28:KRP28"/>
    <mergeCell ref="KQS28:KQT28"/>
    <mergeCell ref="KQU28:KQV28"/>
    <mergeCell ref="KQW28:KQX28"/>
    <mergeCell ref="KQY28:KQZ28"/>
    <mergeCell ref="KRA28:KRB28"/>
    <mergeCell ref="KRC28:KRD28"/>
    <mergeCell ref="KQG28:KQH28"/>
    <mergeCell ref="KQI28:KQJ28"/>
    <mergeCell ref="KQK28:KQL28"/>
    <mergeCell ref="KQM28:KQN28"/>
    <mergeCell ref="KQO28:KQP28"/>
    <mergeCell ref="KQQ28:KQR28"/>
    <mergeCell ref="KPU28:KPV28"/>
    <mergeCell ref="KPW28:KPX28"/>
    <mergeCell ref="KPY28:KPZ28"/>
    <mergeCell ref="KQA28:KQB28"/>
    <mergeCell ref="KQC28:KQD28"/>
    <mergeCell ref="KQE28:KQF28"/>
    <mergeCell ref="KPI28:KPJ28"/>
    <mergeCell ref="KPK28:KPL28"/>
    <mergeCell ref="KPM28:KPN28"/>
    <mergeCell ref="KPO28:KPP28"/>
    <mergeCell ref="KPQ28:KPR28"/>
    <mergeCell ref="KPS28:KPT28"/>
    <mergeCell ref="KOW28:KOX28"/>
    <mergeCell ref="KOY28:KOZ28"/>
    <mergeCell ref="KPA28:KPB28"/>
    <mergeCell ref="KPC28:KPD28"/>
    <mergeCell ref="KPE28:KPF28"/>
    <mergeCell ref="KPG28:KPH28"/>
    <mergeCell ref="KTY28:KTZ28"/>
    <mergeCell ref="KUA28:KUB28"/>
    <mergeCell ref="KUC28:KUD28"/>
    <mergeCell ref="KUE28:KUF28"/>
    <mergeCell ref="KUG28:KUH28"/>
    <mergeCell ref="KUI28:KUJ28"/>
    <mergeCell ref="KTM28:KTN28"/>
    <mergeCell ref="KTO28:KTP28"/>
    <mergeCell ref="KTQ28:KTR28"/>
    <mergeCell ref="KTS28:KTT28"/>
    <mergeCell ref="KTU28:KTV28"/>
    <mergeCell ref="KTW28:KTX28"/>
    <mergeCell ref="KTA28:KTB28"/>
    <mergeCell ref="KTC28:KTD28"/>
    <mergeCell ref="KTE28:KTF28"/>
    <mergeCell ref="KTG28:KTH28"/>
    <mergeCell ref="KTI28:KTJ28"/>
    <mergeCell ref="KTK28:KTL28"/>
    <mergeCell ref="KSO28:KSP28"/>
    <mergeCell ref="KSQ28:KSR28"/>
    <mergeCell ref="KSS28:KST28"/>
    <mergeCell ref="KSU28:KSV28"/>
    <mergeCell ref="KSW28:KSX28"/>
    <mergeCell ref="KSY28:KSZ28"/>
    <mergeCell ref="KSC28:KSD28"/>
    <mergeCell ref="KSE28:KSF28"/>
    <mergeCell ref="KSG28:KSH28"/>
    <mergeCell ref="KSI28:KSJ28"/>
    <mergeCell ref="KSK28:KSL28"/>
    <mergeCell ref="KSM28:KSN28"/>
    <mergeCell ref="KRQ28:KRR28"/>
    <mergeCell ref="KRS28:KRT28"/>
    <mergeCell ref="KRU28:KRV28"/>
    <mergeCell ref="KRW28:KRX28"/>
    <mergeCell ref="KRY28:KRZ28"/>
    <mergeCell ref="KSA28:KSB28"/>
    <mergeCell ref="KWS28:KWT28"/>
    <mergeCell ref="KWU28:KWV28"/>
    <mergeCell ref="KWW28:KWX28"/>
    <mergeCell ref="KWY28:KWZ28"/>
    <mergeCell ref="KXA28:KXB28"/>
    <mergeCell ref="KXC28:KXD28"/>
    <mergeCell ref="KWG28:KWH28"/>
    <mergeCell ref="KWI28:KWJ28"/>
    <mergeCell ref="KWK28:KWL28"/>
    <mergeCell ref="KWM28:KWN28"/>
    <mergeCell ref="KWO28:KWP28"/>
    <mergeCell ref="KWQ28:KWR28"/>
    <mergeCell ref="KVU28:KVV28"/>
    <mergeCell ref="KVW28:KVX28"/>
    <mergeCell ref="KVY28:KVZ28"/>
    <mergeCell ref="KWA28:KWB28"/>
    <mergeCell ref="KWC28:KWD28"/>
    <mergeCell ref="KWE28:KWF28"/>
    <mergeCell ref="KVI28:KVJ28"/>
    <mergeCell ref="KVK28:KVL28"/>
    <mergeCell ref="KVM28:KVN28"/>
    <mergeCell ref="KVO28:KVP28"/>
    <mergeCell ref="KVQ28:KVR28"/>
    <mergeCell ref="KVS28:KVT28"/>
    <mergeCell ref="KUW28:KUX28"/>
    <mergeCell ref="KUY28:KUZ28"/>
    <mergeCell ref="KVA28:KVB28"/>
    <mergeCell ref="KVC28:KVD28"/>
    <mergeCell ref="KVE28:KVF28"/>
    <mergeCell ref="KVG28:KVH28"/>
    <mergeCell ref="KUK28:KUL28"/>
    <mergeCell ref="KUM28:KUN28"/>
    <mergeCell ref="KUO28:KUP28"/>
    <mergeCell ref="KUQ28:KUR28"/>
    <mergeCell ref="KUS28:KUT28"/>
    <mergeCell ref="KUU28:KUV28"/>
    <mergeCell ref="KZM28:KZN28"/>
    <mergeCell ref="KZO28:KZP28"/>
    <mergeCell ref="KZQ28:KZR28"/>
    <mergeCell ref="KZS28:KZT28"/>
    <mergeCell ref="KZU28:KZV28"/>
    <mergeCell ref="KZW28:KZX28"/>
    <mergeCell ref="KZA28:KZB28"/>
    <mergeCell ref="KZC28:KZD28"/>
    <mergeCell ref="KZE28:KZF28"/>
    <mergeCell ref="KZG28:KZH28"/>
    <mergeCell ref="KZI28:KZJ28"/>
    <mergeCell ref="KZK28:KZL28"/>
    <mergeCell ref="KYO28:KYP28"/>
    <mergeCell ref="KYQ28:KYR28"/>
    <mergeCell ref="KYS28:KYT28"/>
    <mergeCell ref="KYU28:KYV28"/>
    <mergeCell ref="KYW28:KYX28"/>
    <mergeCell ref="KYY28:KYZ28"/>
    <mergeCell ref="KYC28:KYD28"/>
    <mergeCell ref="KYE28:KYF28"/>
    <mergeCell ref="KYG28:KYH28"/>
    <mergeCell ref="KYI28:KYJ28"/>
    <mergeCell ref="KYK28:KYL28"/>
    <mergeCell ref="KYM28:KYN28"/>
    <mergeCell ref="KXQ28:KXR28"/>
    <mergeCell ref="KXS28:KXT28"/>
    <mergeCell ref="KXU28:KXV28"/>
    <mergeCell ref="KXW28:KXX28"/>
    <mergeCell ref="KXY28:KXZ28"/>
    <mergeCell ref="KYA28:KYB28"/>
    <mergeCell ref="KXE28:KXF28"/>
    <mergeCell ref="KXG28:KXH28"/>
    <mergeCell ref="KXI28:KXJ28"/>
    <mergeCell ref="KXK28:KXL28"/>
    <mergeCell ref="KXM28:KXN28"/>
    <mergeCell ref="KXO28:KXP28"/>
    <mergeCell ref="LCG28:LCH28"/>
    <mergeCell ref="LCI28:LCJ28"/>
    <mergeCell ref="LCK28:LCL28"/>
    <mergeCell ref="LCM28:LCN28"/>
    <mergeCell ref="LCO28:LCP28"/>
    <mergeCell ref="LCQ28:LCR28"/>
    <mergeCell ref="LBU28:LBV28"/>
    <mergeCell ref="LBW28:LBX28"/>
    <mergeCell ref="LBY28:LBZ28"/>
    <mergeCell ref="LCA28:LCB28"/>
    <mergeCell ref="LCC28:LCD28"/>
    <mergeCell ref="LCE28:LCF28"/>
    <mergeCell ref="LBI28:LBJ28"/>
    <mergeCell ref="LBK28:LBL28"/>
    <mergeCell ref="LBM28:LBN28"/>
    <mergeCell ref="LBO28:LBP28"/>
    <mergeCell ref="LBQ28:LBR28"/>
    <mergeCell ref="LBS28:LBT28"/>
    <mergeCell ref="LAW28:LAX28"/>
    <mergeCell ref="LAY28:LAZ28"/>
    <mergeCell ref="LBA28:LBB28"/>
    <mergeCell ref="LBC28:LBD28"/>
    <mergeCell ref="LBE28:LBF28"/>
    <mergeCell ref="LBG28:LBH28"/>
    <mergeCell ref="LAK28:LAL28"/>
    <mergeCell ref="LAM28:LAN28"/>
    <mergeCell ref="LAO28:LAP28"/>
    <mergeCell ref="LAQ28:LAR28"/>
    <mergeCell ref="LAS28:LAT28"/>
    <mergeCell ref="LAU28:LAV28"/>
    <mergeCell ref="KZY28:KZZ28"/>
    <mergeCell ref="LAA28:LAB28"/>
    <mergeCell ref="LAC28:LAD28"/>
    <mergeCell ref="LAE28:LAF28"/>
    <mergeCell ref="LAG28:LAH28"/>
    <mergeCell ref="LAI28:LAJ28"/>
    <mergeCell ref="LFA28:LFB28"/>
    <mergeCell ref="LFC28:LFD28"/>
    <mergeCell ref="LFE28:LFF28"/>
    <mergeCell ref="LFG28:LFH28"/>
    <mergeCell ref="LFI28:LFJ28"/>
    <mergeCell ref="LFK28:LFL28"/>
    <mergeCell ref="LEO28:LEP28"/>
    <mergeCell ref="LEQ28:LER28"/>
    <mergeCell ref="LES28:LET28"/>
    <mergeCell ref="LEU28:LEV28"/>
    <mergeCell ref="LEW28:LEX28"/>
    <mergeCell ref="LEY28:LEZ28"/>
    <mergeCell ref="LEC28:LED28"/>
    <mergeCell ref="LEE28:LEF28"/>
    <mergeCell ref="LEG28:LEH28"/>
    <mergeCell ref="LEI28:LEJ28"/>
    <mergeCell ref="LEK28:LEL28"/>
    <mergeCell ref="LEM28:LEN28"/>
    <mergeCell ref="LDQ28:LDR28"/>
    <mergeCell ref="LDS28:LDT28"/>
    <mergeCell ref="LDU28:LDV28"/>
    <mergeCell ref="LDW28:LDX28"/>
    <mergeCell ref="LDY28:LDZ28"/>
    <mergeCell ref="LEA28:LEB28"/>
    <mergeCell ref="LDE28:LDF28"/>
    <mergeCell ref="LDG28:LDH28"/>
    <mergeCell ref="LDI28:LDJ28"/>
    <mergeCell ref="LDK28:LDL28"/>
    <mergeCell ref="LDM28:LDN28"/>
    <mergeCell ref="LDO28:LDP28"/>
    <mergeCell ref="LCS28:LCT28"/>
    <mergeCell ref="LCU28:LCV28"/>
    <mergeCell ref="LCW28:LCX28"/>
    <mergeCell ref="LCY28:LCZ28"/>
    <mergeCell ref="LDA28:LDB28"/>
    <mergeCell ref="LDC28:LDD28"/>
    <mergeCell ref="LHU28:LHV28"/>
    <mergeCell ref="LHW28:LHX28"/>
    <mergeCell ref="LHY28:LHZ28"/>
    <mergeCell ref="LIA28:LIB28"/>
    <mergeCell ref="LIC28:LID28"/>
    <mergeCell ref="LIE28:LIF28"/>
    <mergeCell ref="LHI28:LHJ28"/>
    <mergeCell ref="LHK28:LHL28"/>
    <mergeCell ref="LHM28:LHN28"/>
    <mergeCell ref="LHO28:LHP28"/>
    <mergeCell ref="LHQ28:LHR28"/>
    <mergeCell ref="LHS28:LHT28"/>
    <mergeCell ref="LGW28:LGX28"/>
    <mergeCell ref="LGY28:LGZ28"/>
    <mergeCell ref="LHA28:LHB28"/>
    <mergeCell ref="LHC28:LHD28"/>
    <mergeCell ref="LHE28:LHF28"/>
    <mergeCell ref="LHG28:LHH28"/>
    <mergeCell ref="LGK28:LGL28"/>
    <mergeCell ref="LGM28:LGN28"/>
    <mergeCell ref="LGO28:LGP28"/>
    <mergeCell ref="LGQ28:LGR28"/>
    <mergeCell ref="LGS28:LGT28"/>
    <mergeCell ref="LGU28:LGV28"/>
    <mergeCell ref="LFY28:LFZ28"/>
    <mergeCell ref="LGA28:LGB28"/>
    <mergeCell ref="LGC28:LGD28"/>
    <mergeCell ref="LGE28:LGF28"/>
    <mergeCell ref="LGG28:LGH28"/>
    <mergeCell ref="LGI28:LGJ28"/>
    <mergeCell ref="LFM28:LFN28"/>
    <mergeCell ref="LFO28:LFP28"/>
    <mergeCell ref="LFQ28:LFR28"/>
    <mergeCell ref="LFS28:LFT28"/>
    <mergeCell ref="LFU28:LFV28"/>
    <mergeCell ref="LFW28:LFX28"/>
    <mergeCell ref="LKO28:LKP28"/>
    <mergeCell ref="LKQ28:LKR28"/>
    <mergeCell ref="LKS28:LKT28"/>
    <mergeCell ref="LKU28:LKV28"/>
    <mergeCell ref="LKW28:LKX28"/>
    <mergeCell ref="LKY28:LKZ28"/>
    <mergeCell ref="LKC28:LKD28"/>
    <mergeCell ref="LKE28:LKF28"/>
    <mergeCell ref="LKG28:LKH28"/>
    <mergeCell ref="LKI28:LKJ28"/>
    <mergeCell ref="LKK28:LKL28"/>
    <mergeCell ref="LKM28:LKN28"/>
    <mergeCell ref="LJQ28:LJR28"/>
    <mergeCell ref="LJS28:LJT28"/>
    <mergeCell ref="LJU28:LJV28"/>
    <mergeCell ref="LJW28:LJX28"/>
    <mergeCell ref="LJY28:LJZ28"/>
    <mergeCell ref="LKA28:LKB28"/>
    <mergeCell ref="LJE28:LJF28"/>
    <mergeCell ref="LJG28:LJH28"/>
    <mergeCell ref="LJI28:LJJ28"/>
    <mergeCell ref="LJK28:LJL28"/>
    <mergeCell ref="LJM28:LJN28"/>
    <mergeCell ref="LJO28:LJP28"/>
    <mergeCell ref="LIS28:LIT28"/>
    <mergeCell ref="LIU28:LIV28"/>
    <mergeCell ref="LIW28:LIX28"/>
    <mergeCell ref="LIY28:LIZ28"/>
    <mergeCell ref="LJA28:LJB28"/>
    <mergeCell ref="LJC28:LJD28"/>
    <mergeCell ref="LIG28:LIH28"/>
    <mergeCell ref="LII28:LIJ28"/>
    <mergeCell ref="LIK28:LIL28"/>
    <mergeCell ref="LIM28:LIN28"/>
    <mergeCell ref="LIO28:LIP28"/>
    <mergeCell ref="LIQ28:LIR28"/>
    <mergeCell ref="LNI28:LNJ28"/>
    <mergeCell ref="LNK28:LNL28"/>
    <mergeCell ref="LNM28:LNN28"/>
    <mergeCell ref="LNO28:LNP28"/>
    <mergeCell ref="LNQ28:LNR28"/>
    <mergeCell ref="LNS28:LNT28"/>
    <mergeCell ref="LMW28:LMX28"/>
    <mergeCell ref="LMY28:LMZ28"/>
    <mergeCell ref="LNA28:LNB28"/>
    <mergeCell ref="LNC28:LND28"/>
    <mergeCell ref="LNE28:LNF28"/>
    <mergeCell ref="LNG28:LNH28"/>
    <mergeCell ref="LMK28:LML28"/>
    <mergeCell ref="LMM28:LMN28"/>
    <mergeCell ref="LMO28:LMP28"/>
    <mergeCell ref="LMQ28:LMR28"/>
    <mergeCell ref="LMS28:LMT28"/>
    <mergeCell ref="LMU28:LMV28"/>
    <mergeCell ref="LLY28:LLZ28"/>
    <mergeCell ref="LMA28:LMB28"/>
    <mergeCell ref="LMC28:LMD28"/>
    <mergeCell ref="LME28:LMF28"/>
    <mergeCell ref="LMG28:LMH28"/>
    <mergeCell ref="LMI28:LMJ28"/>
    <mergeCell ref="LLM28:LLN28"/>
    <mergeCell ref="LLO28:LLP28"/>
    <mergeCell ref="LLQ28:LLR28"/>
    <mergeCell ref="LLS28:LLT28"/>
    <mergeCell ref="LLU28:LLV28"/>
    <mergeCell ref="LLW28:LLX28"/>
    <mergeCell ref="LLA28:LLB28"/>
    <mergeCell ref="LLC28:LLD28"/>
    <mergeCell ref="LLE28:LLF28"/>
    <mergeCell ref="LLG28:LLH28"/>
    <mergeCell ref="LLI28:LLJ28"/>
    <mergeCell ref="LLK28:LLL28"/>
    <mergeCell ref="LQC28:LQD28"/>
    <mergeCell ref="LQE28:LQF28"/>
    <mergeCell ref="LQG28:LQH28"/>
    <mergeCell ref="LQI28:LQJ28"/>
    <mergeCell ref="LQK28:LQL28"/>
    <mergeCell ref="LQM28:LQN28"/>
    <mergeCell ref="LPQ28:LPR28"/>
    <mergeCell ref="LPS28:LPT28"/>
    <mergeCell ref="LPU28:LPV28"/>
    <mergeCell ref="LPW28:LPX28"/>
    <mergeCell ref="LPY28:LPZ28"/>
    <mergeCell ref="LQA28:LQB28"/>
    <mergeCell ref="LPE28:LPF28"/>
    <mergeCell ref="LPG28:LPH28"/>
    <mergeCell ref="LPI28:LPJ28"/>
    <mergeCell ref="LPK28:LPL28"/>
    <mergeCell ref="LPM28:LPN28"/>
    <mergeCell ref="LPO28:LPP28"/>
    <mergeCell ref="LOS28:LOT28"/>
    <mergeCell ref="LOU28:LOV28"/>
    <mergeCell ref="LOW28:LOX28"/>
    <mergeCell ref="LOY28:LOZ28"/>
    <mergeCell ref="LPA28:LPB28"/>
    <mergeCell ref="LPC28:LPD28"/>
    <mergeCell ref="LOG28:LOH28"/>
    <mergeCell ref="LOI28:LOJ28"/>
    <mergeCell ref="LOK28:LOL28"/>
    <mergeCell ref="LOM28:LON28"/>
    <mergeCell ref="LOO28:LOP28"/>
    <mergeCell ref="LOQ28:LOR28"/>
    <mergeCell ref="LNU28:LNV28"/>
    <mergeCell ref="LNW28:LNX28"/>
    <mergeCell ref="LNY28:LNZ28"/>
    <mergeCell ref="LOA28:LOB28"/>
    <mergeCell ref="LOC28:LOD28"/>
    <mergeCell ref="LOE28:LOF28"/>
    <mergeCell ref="LSW28:LSX28"/>
    <mergeCell ref="LSY28:LSZ28"/>
    <mergeCell ref="LTA28:LTB28"/>
    <mergeCell ref="LTC28:LTD28"/>
    <mergeCell ref="LTE28:LTF28"/>
    <mergeCell ref="LTG28:LTH28"/>
    <mergeCell ref="LSK28:LSL28"/>
    <mergeCell ref="LSM28:LSN28"/>
    <mergeCell ref="LSO28:LSP28"/>
    <mergeCell ref="LSQ28:LSR28"/>
    <mergeCell ref="LSS28:LST28"/>
    <mergeCell ref="LSU28:LSV28"/>
    <mergeCell ref="LRY28:LRZ28"/>
    <mergeCell ref="LSA28:LSB28"/>
    <mergeCell ref="LSC28:LSD28"/>
    <mergeCell ref="LSE28:LSF28"/>
    <mergeCell ref="LSG28:LSH28"/>
    <mergeCell ref="LSI28:LSJ28"/>
    <mergeCell ref="LRM28:LRN28"/>
    <mergeCell ref="LRO28:LRP28"/>
    <mergeCell ref="LRQ28:LRR28"/>
    <mergeCell ref="LRS28:LRT28"/>
    <mergeCell ref="LRU28:LRV28"/>
    <mergeCell ref="LRW28:LRX28"/>
    <mergeCell ref="LRA28:LRB28"/>
    <mergeCell ref="LRC28:LRD28"/>
    <mergeCell ref="LRE28:LRF28"/>
    <mergeCell ref="LRG28:LRH28"/>
    <mergeCell ref="LRI28:LRJ28"/>
    <mergeCell ref="LRK28:LRL28"/>
    <mergeCell ref="LQO28:LQP28"/>
    <mergeCell ref="LQQ28:LQR28"/>
    <mergeCell ref="LQS28:LQT28"/>
    <mergeCell ref="LQU28:LQV28"/>
    <mergeCell ref="LQW28:LQX28"/>
    <mergeCell ref="LQY28:LQZ28"/>
    <mergeCell ref="LVQ28:LVR28"/>
    <mergeCell ref="LVS28:LVT28"/>
    <mergeCell ref="LVU28:LVV28"/>
    <mergeCell ref="LVW28:LVX28"/>
    <mergeCell ref="LVY28:LVZ28"/>
    <mergeCell ref="LWA28:LWB28"/>
    <mergeCell ref="LVE28:LVF28"/>
    <mergeCell ref="LVG28:LVH28"/>
    <mergeCell ref="LVI28:LVJ28"/>
    <mergeCell ref="LVK28:LVL28"/>
    <mergeCell ref="LVM28:LVN28"/>
    <mergeCell ref="LVO28:LVP28"/>
    <mergeCell ref="LUS28:LUT28"/>
    <mergeCell ref="LUU28:LUV28"/>
    <mergeCell ref="LUW28:LUX28"/>
    <mergeCell ref="LUY28:LUZ28"/>
    <mergeCell ref="LVA28:LVB28"/>
    <mergeCell ref="LVC28:LVD28"/>
    <mergeCell ref="LUG28:LUH28"/>
    <mergeCell ref="LUI28:LUJ28"/>
    <mergeCell ref="LUK28:LUL28"/>
    <mergeCell ref="LUM28:LUN28"/>
    <mergeCell ref="LUO28:LUP28"/>
    <mergeCell ref="LUQ28:LUR28"/>
    <mergeCell ref="LTU28:LTV28"/>
    <mergeCell ref="LTW28:LTX28"/>
    <mergeCell ref="LTY28:LTZ28"/>
    <mergeCell ref="LUA28:LUB28"/>
    <mergeCell ref="LUC28:LUD28"/>
    <mergeCell ref="LUE28:LUF28"/>
    <mergeCell ref="LTI28:LTJ28"/>
    <mergeCell ref="LTK28:LTL28"/>
    <mergeCell ref="LTM28:LTN28"/>
    <mergeCell ref="LTO28:LTP28"/>
    <mergeCell ref="LTQ28:LTR28"/>
    <mergeCell ref="LTS28:LTT28"/>
    <mergeCell ref="LYK28:LYL28"/>
    <mergeCell ref="LYM28:LYN28"/>
    <mergeCell ref="LYO28:LYP28"/>
    <mergeCell ref="LYQ28:LYR28"/>
    <mergeCell ref="LYS28:LYT28"/>
    <mergeCell ref="LYU28:LYV28"/>
    <mergeCell ref="LXY28:LXZ28"/>
    <mergeCell ref="LYA28:LYB28"/>
    <mergeCell ref="LYC28:LYD28"/>
    <mergeCell ref="LYE28:LYF28"/>
    <mergeCell ref="LYG28:LYH28"/>
    <mergeCell ref="LYI28:LYJ28"/>
    <mergeCell ref="LXM28:LXN28"/>
    <mergeCell ref="LXO28:LXP28"/>
    <mergeCell ref="LXQ28:LXR28"/>
    <mergeCell ref="LXS28:LXT28"/>
    <mergeCell ref="LXU28:LXV28"/>
    <mergeCell ref="LXW28:LXX28"/>
    <mergeCell ref="LXA28:LXB28"/>
    <mergeCell ref="LXC28:LXD28"/>
    <mergeCell ref="LXE28:LXF28"/>
    <mergeCell ref="LXG28:LXH28"/>
    <mergeCell ref="LXI28:LXJ28"/>
    <mergeCell ref="LXK28:LXL28"/>
    <mergeCell ref="LWO28:LWP28"/>
    <mergeCell ref="LWQ28:LWR28"/>
    <mergeCell ref="LWS28:LWT28"/>
    <mergeCell ref="LWU28:LWV28"/>
    <mergeCell ref="LWW28:LWX28"/>
    <mergeCell ref="LWY28:LWZ28"/>
    <mergeCell ref="LWC28:LWD28"/>
    <mergeCell ref="LWE28:LWF28"/>
    <mergeCell ref="LWG28:LWH28"/>
    <mergeCell ref="LWI28:LWJ28"/>
    <mergeCell ref="LWK28:LWL28"/>
    <mergeCell ref="LWM28:LWN28"/>
    <mergeCell ref="MBE28:MBF28"/>
    <mergeCell ref="MBG28:MBH28"/>
    <mergeCell ref="MBI28:MBJ28"/>
    <mergeCell ref="MBK28:MBL28"/>
    <mergeCell ref="MBM28:MBN28"/>
    <mergeCell ref="MBO28:MBP28"/>
    <mergeCell ref="MAS28:MAT28"/>
    <mergeCell ref="MAU28:MAV28"/>
    <mergeCell ref="MAW28:MAX28"/>
    <mergeCell ref="MAY28:MAZ28"/>
    <mergeCell ref="MBA28:MBB28"/>
    <mergeCell ref="MBC28:MBD28"/>
    <mergeCell ref="MAG28:MAH28"/>
    <mergeCell ref="MAI28:MAJ28"/>
    <mergeCell ref="MAK28:MAL28"/>
    <mergeCell ref="MAM28:MAN28"/>
    <mergeCell ref="MAO28:MAP28"/>
    <mergeCell ref="MAQ28:MAR28"/>
    <mergeCell ref="LZU28:LZV28"/>
    <mergeCell ref="LZW28:LZX28"/>
    <mergeCell ref="LZY28:LZZ28"/>
    <mergeCell ref="MAA28:MAB28"/>
    <mergeCell ref="MAC28:MAD28"/>
    <mergeCell ref="MAE28:MAF28"/>
    <mergeCell ref="LZI28:LZJ28"/>
    <mergeCell ref="LZK28:LZL28"/>
    <mergeCell ref="LZM28:LZN28"/>
    <mergeCell ref="LZO28:LZP28"/>
    <mergeCell ref="LZQ28:LZR28"/>
    <mergeCell ref="LZS28:LZT28"/>
    <mergeCell ref="LYW28:LYX28"/>
    <mergeCell ref="LYY28:LYZ28"/>
    <mergeCell ref="LZA28:LZB28"/>
    <mergeCell ref="LZC28:LZD28"/>
    <mergeCell ref="LZE28:LZF28"/>
    <mergeCell ref="LZG28:LZH28"/>
    <mergeCell ref="MDY28:MDZ28"/>
    <mergeCell ref="MEA28:MEB28"/>
    <mergeCell ref="MEC28:MED28"/>
    <mergeCell ref="MEE28:MEF28"/>
    <mergeCell ref="MEG28:MEH28"/>
    <mergeCell ref="MEI28:MEJ28"/>
    <mergeCell ref="MDM28:MDN28"/>
    <mergeCell ref="MDO28:MDP28"/>
    <mergeCell ref="MDQ28:MDR28"/>
    <mergeCell ref="MDS28:MDT28"/>
    <mergeCell ref="MDU28:MDV28"/>
    <mergeCell ref="MDW28:MDX28"/>
    <mergeCell ref="MDA28:MDB28"/>
    <mergeCell ref="MDC28:MDD28"/>
    <mergeCell ref="MDE28:MDF28"/>
    <mergeCell ref="MDG28:MDH28"/>
    <mergeCell ref="MDI28:MDJ28"/>
    <mergeCell ref="MDK28:MDL28"/>
    <mergeCell ref="MCO28:MCP28"/>
    <mergeCell ref="MCQ28:MCR28"/>
    <mergeCell ref="MCS28:MCT28"/>
    <mergeCell ref="MCU28:MCV28"/>
    <mergeCell ref="MCW28:MCX28"/>
    <mergeCell ref="MCY28:MCZ28"/>
    <mergeCell ref="MCC28:MCD28"/>
    <mergeCell ref="MCE28:MCF28"/>
    <mergeCell ref="MCG28:MCH28"/>
    <mergeCell ref="MCI28:MCJ28"/>
    <mergeCell ref="MCK28:MCL28"/>
    <mergeCell ref="MCM28:MCN28"/>
    <mergeCell ref="MBQ28:MBR28"/>
    <mergeCell ref="MBS28:MBT28"/>
    <mergeCell ref="MBU28:MBV28"/>
    <mergeCell ref="MBW28:MBX28"/>
    <mergeCell ref="MBY28:MBZ28"/>
    <mergeCell ref="MCA28:MCB28"/>
    <mergeCell ref="MGS28:MGT28"/>
    <mergeCell ref="MGU28:MGV28"/>
    <mergeCell ref="MGW28:MGX28"/>
    <mergeCell ref="MGY28:MGZ28"/>
    <mergeCell ref="MHA28:MHB28"/>
    <mergeCell ref="MHC28:MHD28"/>
    <mergeCell ref="MGG28:MGH28"/>
    <mergeCell ref="MGI28:MGJ28"/>
    <mergeCell ref="MGK28:MGL28"/>
    <mergeCell ref="MGM28:MGN28"/>
    <mergeCell ref="MGO28:MGP28"/>
    <mergeCell ref="MGQ28:MGR28"/>
    <mergeCell ref="MFU28:MFV28"/>
    <mergeCell ref="MFW28:MFX28"/>
    <mergeCell ref="MFY28:MFZ28"/>
    <mergeCell ref="MGA28:MGB28"/>
    <mergeCell ref="MGC28:MGD28"/>
    <mergeCell ref="MGE28:MGF28"/>
    <mergeCell ref="MFI28:MFJ28"/>
    <mergeCell ref="MFK28:MFL28"/>
    <mergeCell ref="MFM28:MFN28"/>
    <mergeCell ref="MFO28:MFP28"/>
    <mergeCell ref="MFQ28:MFR28"/>
    <mergeCell ref="MFS28:MFT28"/>
    <mergeCell ref="MEW28:MEX28"/>
    <mergeCell ref="MEY28:MEZ28"/>
    <mergeCell ref="MFA28:MFB28"/>
    <mergeCell ref="MFC28:MFD28"/>
    <mergeCell ref="MFE28:MFF28"/>
    <mergeCell ref="MFG28:MFH28"/>
    <mergeCell ref="MEK28:MEL28"/>
    <mergeCell ref="MEM28:MEN28"/>
    <mergeCell ref="MEO28:MEP28"/>
    <mergeCell ref="MEQ28:MER28"/>
    <mergeCell ref="MES28:MET28"/>
    <mergeCell ref="MEU28:MEV28"/>
    <mergeCell ref="MJM28:MJN28"/>
    <mergeCell ref="MJO28:MJP28"/>
    <mergeCell ref="MJQ28:MJR28"/>
    <mergeCell ref="MJS28:MJT28"/>
    <mergeCell ref="MJU28:MJV28"/>
    <mergeCell ref="MJW28:MJX28"/>
    <mergeCell ref="MJA28:MJB28"/>
    <mergeCell ref="MJC28:MJD28"/>
    <mergeCell ref="MJE28:MJF28"/>
    <mergeCell ref="MJG28:MJH28"/>
    <mergeCell ref="MJI28:MJJ28"/>
    <mergeCell ref="MJK28:MJL28"/>
    <mergeCell ref="MIO28:MIP28"/>
    <mergeCell ref="MIQ28:MIR28"/>
    <mergeCell ref="MIS28:MIT28"/>
    <mergeCell ref="MIU28:MIV28"/>
    <mergeCell ref="MIW28:MIX28"/>
    <mergeCell ref="MIY28:MIZ28"/>
    <mergeCell ref="MIC28:MID28"/>
    <mergeCell ref="MIE28:MIF28"/>
    <mergeCell ref="MIG28:MIH28"/>
    <mergeCell ref="MII28:MIJ28"/>
    <mergeCell ref="MIK28:MIL28"/>
    <mergeCell ref="MIM28:MIN28"/>
    <mergeCell ref="MHQ28:MHR28"/>
    <mergeCell ref="MHS28:MHT28"/>
    <mergeCell ref="MHU28:MHV28"/>
    <mergeCell ref="MHW28:MHX28"/>
    <mergeCell ref="MHY28:MHZ28"/>
    <mergeCell ref="MIA28:MIB28"/>
    <mergeCell ref="MHE28:MHF28"/>
    <mergeCell ref="MHG28:MHH28"/>
    <mergeCell ref="MHI28:MHJ28"/>
    <mergeCell ref="MHK28:MHL28"/>
    <mergeCell ref="MHM28:MHN28"/>
    <mergeCell ref="MHO28:MHP28"/>
    <mergeCell ref="MMG28:MMH28"/>
    <mergeCell ref="MMI28:MMJ28"/>
    <mergeCell ref="MMK28:MML28"/>
    <mergeCell ref="MMM28:MMN28"/>
    <mergeCell ref="MMO28:MMP28"/>
    <mergeCell ref="MMQ28:MMR28"/>
    <mergeCell ref="MLU28:MLV28"/>
    <mergeCell ref="MLW28:MLX28"/>
    <mergeCell ref="MLY28:MLZ28"/>
    <mergeCell ref="MMA28:MMB28"/>
    <mergeCell ref="MMC28:MMD28"/>
    <mergeCell ref="MME28:MMF28"/>
    <mergeCell ref="MLI28:MLJ28"/>
    <mergeCell ref="MLK28:MLL28"/>
    <mergeCell ref="MLM28:MLN28"/>
    <mergeCell ref="MLO28:MLP28"/>
    <mergeCell ref="MLQ28:MLR28"/>
    <mergeCell ref="MLS28:MLT28"/>
    <mergeCell ref="MKW28:MKX28"/>
    <mergeCell ref="MKY28:MKZ28"/>
    <mergeCell ref="MLA28:MLB28"/>
    <mergeCell ref="MLC28:MLD28"/>
    <mergeCell ref="MLE28:MLF28"/>
    <mergeCell ref="MLG28:MLH28"/>
    <mergeCell ref="MKK28:MKL28"/>
    <mergeCell ref="MKM28:MKN28"/>
    <mergeCell ref="MKO28:MKP28"/>
    <mergeCell ref="MKQ28:MKR28"/>
    <mergeCell ref="MKS28:MKT28"/>
    <mergeCell ref="MKU28:MKV28"/>
    <mergeCell ref="MJY28:MJZ28"/>
    <mergeCell ref="MKA28:MKB28"/>
    <mergeCell ref="MKC28:MKD28"/>
    <mergeCell ref="MKE28:MKF28"/>
    <mergeCell ref="MKG28:MKH28"/>
    <mergeCell ref="MKI28:MKJ28"/>
    <mergeCell ref="MPA28:MPB28"/>
    <mergeCell ref="MPC28:MPD28"/>
    <mergeCell ref="MPE28:MPF28"/>
    <mergeCell ref="MPG28:MPH28"/>
    <mergeCell ref="MPI28:MPJ28"/>
    <mergeCell ref="MPK28:MPL28"/>
    <mergeCell ref="MOO28:MOP28"/>
    <mergeCell ref="MOQ28:MOR28"/>
    <mergeCell ref="MOS28:MOT28"/>
    <mergeCell ref="MOU28:MOV28"/>
    <mergeCell ref="MOW28:MOX28"/>
    <mergeCell ref="MOY28:MOZ28"/>
    <mergeCell ref="MOC28:MOD28"/>
    <mergeCell ref="MOE28:MOF28"/>
    <mergeCell ref="MOG28:MOH28"/>
    <mergeCell ref="MOI28:MOJ28"/>
    <mergeCell ref="MOK28:MOL28"/>
    <mergeCell ref="MOM28:MON28"/>
    <mergeCell ref="MNQ28:MNR28"/>
    <mergeCell ref="MNS28:MNT28"/>
    <mergeCell ref="MNU28:MNV28"/>
    <mergeCell ref="MNW28:MNX28"/>
    <mergeCell ref="MNY28:MNZ28"/>
    <mergeCell ref="MOA28:MOB28"/>
    <mergeCell ref="MNE28:MNF28"/>
    <mergeCell ref="MNG28:MNH28"/>
    <mergeCell ref="MNI28:MNJ28"/>
    <mergeCell ref="MNK28:MNL28"/>
    <mergeCell ref="MNM28:MNN28"/>
    <mergeCell ref="MNO28:MNP28"/>
    <mergeCell ref="MMS28:MMT28"/>
    <mergeCell ref="MMU28:MMV28"/>
    <mergeCell ref="MMW28:MMX28"/>
    <mergeCell ref="MMY28:MMZ28"/>
    <mergeCell ref="MNA28:MNB28"/>
    <mergeCell ref="MNC28:MND28"/>
    <mergeCell ref="MRU28:MRV28"/>
    <mergeCell ref="MRW28:MRX28"/>
    <mergeCell ref="MRY28:MRZ28"/>
    <mergeCell ref="MSA28:MSB28"/>
    <mergeCell ref="MSC28:MSD28"/>
    <mergeCell ref="MSE28:MSF28"/>
    <mergeCell ref="MRI28:MRJ28"/>
    <mergeCell ref="MRK28:MRL28"/>
    <mergeCell ref="MRM28:MRN28"/>
    <mergeCell ref="MRO28:MRP28"/>
    <mergeCell ref="MRQ28:MRR28"/>
    <mergeCell ref="MRS28:MRT28"/>
    <mergeCell ref="MQW28:MQX28"/>
    <mergeCell ref="MQY28:MQZ28"/>
    <mergeCell ref="MRA28:MRB28"/>
    <mergeCell ref="MRC28:MRD28"/>
    <mergeCell ref="MRE28:MRF28"/>
    <mergeCell ref="MRG28:MRH28"/>
    <mergeCell ref="MQK28:MQL28"/>
    <mergeCell ref="MQM28:MQN28"/>
    <mergeCell ref="MQO28:MQP28"/>
    <mergeCell ref="MQQ28:MQR28"/>
    <mergeCell ref="MQS28:MQT28"/>
    <mergeCell ref="MQU28:MQV28"/>
    <mergeCell ref="MPY28:MPZ28"/>
    <mergeCell ref="MQA28:MQB28"/>
    <mergeCell ref="MQC28:MQD28"/>
    <mergeCell ref="MQE28:MQF28"/>
    <mergeCell ref="MQG28:MQH28"/>
    <mergeCell ref="MQI28:MQJ28"/>
    <mergeCell ref="MPM28:MPN28"/>
    <mergeCell ref="MPO28:MPP28"/>
    <mergeCell ref="MPQ28:MPR28"/>
    <mergeCell ref="MPS28:MPT28"/>
    <mergeCell ref="MPU28:MPV28"/>
    <mergeCell ref="MPW28:MPX28"/>
    <mergeCell ref="MUO28:MUP28"/>
    <mergeCell ref="MUQ28:MUR28"/>
    <mergeCell ref="MUS28:MUT28"/>
    <mergeCell ref="MUU28:MUV28"/>
    <mergeCell ref="MUW28:MUX28"/>
    <mergeCell ref="MUY28:MUZ28"/>
    <mergeCell ref="MUC28:MUD28"/>
    <mergeCell ref="MUE28:MUF28"/>
    <mergeCell ref="MUG28:MUH28"/>
    <mergeCell ref="MUI28:MUJ28"/>
    <mergeCell ref="MUK28:MUL28"/>
    <mergeCell ref="MUM28:MUN28"/>
    <mergeCell ref="MTQ28:MTR28"/>
    <mergeCell ref="MTS28:MTT28"/>
    <mergeCell ref="MTU28:MTV28"/>
    <mergeCell ref="MTW28:MTX28"/>
    <mergeCell ref="MTY28:MTZ28"/>
    <mergeCell ref="MUA28:MUB28"/>
    <mergeCell ref="MTE28:MTF28"/>
    <mergeCell ref="MTG28:MTH28"/>
    <mergeCell ref="MTI28:MTJ28"/>
    <mergeCell ref="MTK28:MTL28"/>
    <mergeCell ref="MTM28:MTN28"/>
    <mergeCell ref="MTO28:MTP28"/>
    <mergeCell ref="MSS28:MST28"/>
    <mergeCell ref="MSU28:MSV28"/>
    <mergeCell ref="MSW28:MSX28"/>
    <mergeCell ref="MSY28:MSZ28"/>
    <mergeCell ref="MTA28:MTB28"/>
    <mergeCell ref="MTC28:MTD28"/>
    <mergeCell ref="MSG28:MSH28"/>
    <mergeCell ref="MSI28:MSJ28"/>
    <mergeCell ref="MSK28:MSL28"/>
    <mergeCell ref="MSM28:MSN28"/>
    <mergeCell ref="MSO28:MSP28"/>
    <mergeCell ref="MSQ28:MSR28"/>
    <mergeCell ref="MXI28:MXJ28"/>
    <mergeCell ref="MXK28:MXL28"/>
    <mergeCell ref="MXM28:MXN28"/>
    <mergeCell ref="MXO28:MXP28"/>
    <mergeCell ref="MXQ28:MXR28"/>
    <mergeCell ref="MXS28:MXT28"/>
    <mergeCell ref="MWW28:MWX28"/>
    <mergeCell ref="MWY28:MWZ28"/>
    <mergeCell ref="MXA28:MXB28"/>
    <mergeCell ref="MXC28:MXD28"/>
    <mergeCell ref="MXE28:MXF28"/>
    <mergeCell ref="MXG28:MXH28"/>
    <mergeCell ref="MWK28:MWL28"/>
    <mergeCell ref="MWM28:MWN28"/>
    <mergeCell ref="MWO28:MWP28"/>
    <mergeCell ref="MWQ28:MWR28"/>
    <mergeCell ref="MWS28:MWT28"/>
    <mergeCell ref="MWU28:MWV28"/>
    <mergeCell ref="MVY28:MVZ28"/>
    <mergeCell ref="MWA28:MWB28"/>
    <mergeCell ref="MWC28:MWD28"/>
    <mergeCell ref="MWE28:MWF28"/>
    <mergeCell ref="MWG28:MWH28"/>
    <mergeCell ref="MWI28:MWJ28"/>
    <mergeCell ref="MVM28:MVN28"/>
    <mergeCell ref="MVO28:MVP28"/>
    <mergeCell ref="MVQ28:MVR28"/>
    <mergeCell ref="MVS28:MVT28"/>
    <mergeCell ref="MVU28:MVV28"/>
    <mergeCell ref="MVW28:MVX28"/>
    <mergeCell ref="MVA28:MVB28"/>
    <mergeCell ref="MVC28:MVD28"/>
    <mergeCell ref="MVE28:MVF28"/>
    <mergeCell ref="MVG28:MVH28"/>
    <mergeCell ref="MVI28:MVJ28"/>
    <mergeCell ref="MVK28:MVL28"/>
    <mergeCell ref="NAC28:NAD28"/>
    <mergeCell ref="NAE28:NAF28"/>
    <mergeCell ref="NAG28:NAH28"/>
    <mergeCell ref="NAI28:NAJ28"/>
    <mergeCell ref="NAK28:NAL28"/>
    <mergeCell ref="NAM28:NAN28"/>
    <mergeCell ref="MZQ28:MZR28"/>
    <mergeCell ref="MZS28:MZT28"/>
    <mergeCell ref="MZU28:MZV28"/>
    <mergeCell ref="MZW28:MZX28"/>
    <mergeCell ref="MZY28:MZZ28"/>
    <mergeCell ref="NAA28:NAB28"/>
    <mergeCell ref="MZE28:MZF28"/>
    <mergeCell ref="MZG28:MZH28"/>
    <mergeCell ref="MZI28:MZJ28"/>
    <mergeCell ref="MZK28:MZL28"/>
    <mergeCell ref="MZM28:MZN28"/>
    <mergeCell ref="MZO28:MZP28"/>
    <mergeCell ref="MYS28:MYT28"/>
    <mergeCell ref="MYU28:MYV28"/>
    <mergeCell ref="MYW28:MYX28"/>
    <mergeCell ref="MYY28:MYZ28"/>
    <mergeCell ref="MZA28:MZB28"/>
    <mergeCell ref="MZC28:MZD28"/>
    <mergeCell ref="MYG28:MYH28"/>
    <mergeCell ref="MYI28:MYJ28"/>
    <mergeCell ref="MYK28:MYL28"/>
    <mergeCell ref="MYM28:MYN28"/>
    <mergeCell ref="MYO28:MYP28"/>
    <mergeCell ref="MYQ28:MYR28"/>
    <mergeCell ref="MXU28:MXV28"/>
    <mergeCell ref="MXW28:MXX28"/>
    <mergeCell ref="MXY28:MXZ28"/>
    <mergeCell ref="MYA28:MYB28"/>
    <mergeCell ref="MYC28:MYD28"/>
    <mergeCell ref="MYE28:MYF28"/>
    <mergeCell ref="NCW28:NCX28"/>
    <mergeCell ref="NCY28:NCZ28"/>
    <mergeCell ref="NDA28:NDB28"/>
    <mergeCell ref="NDC28:NDD28"/>
    <mergeCell ref="NDE28:NDF28"/>
    <mergeCell ref="NDG28:NDH28"/>
    <mergeCell ref="NCK28:NCL28"/>
    <mergeCell ref="NCM28:NCN28"/>
    <mergeCell ref="NCO28:NCP28"/>
    <mergeCell ref="NCQ28:NCR28"/>
    <mergeCell ref="NCS28:NCT28"/>
    <mergeCell ref="NCU28:NCV28"/>
    <mergeCell ref="NBY28:NBZ28"/>
    <mergeCell ref="NCA28:NCB28"/>
    <mergeCell ref="NCC28:NCD28"/>
    <mergeCell ref="NCE28:NCF28"/>
    <mergeCell ref="NCG28:NCH28"/>
    <mergeCell ref="NCI28:NCJ28"/>
    <mergeCell ref="NBM28:NBN28"/>
    <mergeCell ref="NBO28:NBP28"/>
    <mergeCell ref="NBQ28:NBR28"/>
    <mergeCell ref="NBS28:NBT28"/>
    <mergeCell ref="NBU28:NBV28"/>
    <mergeCell ref="NBW28:NBX28"/>
    <mergeCell ref="NBA28:NBB28"/>
    <mergeCell ref="NBC28:NBD28"/>
    <mergeCell ref="NBE28:NBF28"/>
    <mergeCell ref="NBG28:NBH28"/>
    <mergeCell ref="NBI28:NBJ28"/>
    <mergeCell ref="NBK28:NBL28"/>
    <mergeCell ref="NAO28:NAP28"/>
    <mergeCell ref="NAQ28:NAR28"/>
    <mergeCell ref="NAS28:NAT28"/>
    <mergeCell ref="NAU28:NAV28"/>
    <mergeCell ref="NAW28:NAX28"/>
    <mergeCell ref="NAY28:NAZ28"/>
    <mergeCell ref="NFQ28:NFR28"/>
    <mergeCell ref="NFS28:NFT28"/>
    <mergeCell ref="NFU28:NFV28"/>
    <mergeCell ref="NFW28:NFX28"/>
    <mergeCell ref="NFY28:NFZ28"/>
    <mergeCell ref="NGA28:NGB28"/>
    <mergeCell ref="NFE28:NFF28"/>
    <mergeCell ref="NFG28:NFH28"/>
    <mergeCell ref="NFI28:NFJ28"/>
    <mergeCell ref="NFK28:NFL28"/>
    <mergeCell ref="NFM28:NFN28"/>
    <mergeCell ref="NFO28:NFP28"/>
    <mergeCell ref="NES28:NET28"/>
    <mergeCell ref="NEU28:NEV28"/>
    <mergeCell ref="NEW28:NEX28"/>
    <mergeCell ref="NEY28:NEZ28"/>
    <mergeCell ref="NFA28:NFB28"/>
    <mergeCell ref="NFC28:NFD28"/>
    <mergeCell ref="NEG28:NEH28"/>
    <mergeCell ref="NEI28:NEJ28"/>
    <mergeCell ref="NEK28:NEL28"/>
    <mergeCell ref="NEM28:NEN28"/>
    <mergeCell ref="NEO28:NEP28"/>
    <mergeCell ref="NEQ28:NER28"/>
    <mergeCell ref="NDU28:NDV28"/>
    <mergeCell ref="NDW28:NDX28"/>
    <mergeCell ref="NDY28:NDZ28"/>
    <mergeCell ref="NEA28:NEB28"/>
    <mergeCell ref="NEC28:NED28"/>
    <mergeCell ref="NEE28:NEF28"/>
    <mergeCell ref="NDI28:NDJ28"/>
    <mergeCell ref="NDK28:NDL28"/>
    <mergeCell ref="NDM28:NDN28"/>
    <mergeCell ref="NDO28:NDP28"/>
    <mergeCell ref="NDQ28:NDR28"/>
    <mergeCell ref="NDS28:NDT28"/>
    <mergeCell ref="NIK28:NIL28"/>
    <mergeCell ref="NIM28:NIN28"/>
    <mergeCell ref="NIO28:NIP28"/>
    <mergeCell ref="NIQ28:NIR28"/>
    <mergeCell ref="NIS28:NIT28"/>
    <mergeCell ref="NIU28:NIV28"/>
    <mergeCell ref="NHY28:NHZ28"/>
    <mergeCell ref="NIA28:NIB28"/>
    <mergeCell ref="NIC28:NID28"/>
    <mergeCell ref="NIE28:NIF28"/>
    <mergeCell ref="NIG28:NIH28"/>
    <mergeCell ref="NII28:NIJ28"/>
    <mergeCell ref="NHM28:NHN28"/>
    <mergeCell ref="NHO28:NHP28"/>
    <mergeCell ref="NHQ28:NHR28"/>
    <mergeCell ref="NHS28:NHT28"/>
    <mergeCell ref="NHU28:NHV28"/>
    <mergeCell ref="NHW28:NHX28"/>
    <mergeCell ref="NHA28:NHB28"/>
    <mergeCell ref="NHC28:NHD28"/>
    <mergeCell ref="NHE28:NHF28"/>
    <mergeCell ref="NHG28:NHH28"/>
    <mergeCell ref="NHI28:NHJ28"/>
    <mergeCell ref="NHK28:NHL28"/>
    <mergeCell ref="NGO28:NGP28"/>
    <mergeCell ref="NGQ28:NGR28"/>
    <mergeCell ref="NGS28:NGT28"/>
    <mergeCell ref="NGU28:NGV28"/>
    <mergeCell ref="NGW28:NGX28"/>
    <mergeCell ref="NGY28:NGZ28"/>
    <mergeCell ref="NGC28:NGD28"/>
    <mergeCell ref="NGE28:NGF28"/>
    <mergeCell ref="NGG28:NGH28"/>
    <mergeCell ref="NGI28:NGJ28"/>
    <mergeCell ref="NGK28:NGL28"/>
    <mergeCell ref="NGM28:NGN28"/>
    <mergeCell ref="NLE28:NLF28"/>
    <mergeCell ref="NLG28:NLH28"/>
    <mergeCell ref="NLI28:NLJ28"/>
    <mergeCell ref="NLK28:NLL28"/>
    <mergeCell ref="NLM28:NLN28"/>
    <mergeCell ref="NLO28:NLP28"/>
    <mergeCell ref="NKS28:NKT28"/>
    <mergeCell ref="NKU28:NKV28"/>
    <mergeCell ref="NKW28:NKX28"/>
    <mergeCell ref="NKY28:NKZ28"/>
    <mergeCell ref="NLA28:NLB28"/>
    <mergeCell ref="NLC28:NLD28"/>
    <mergeCell ref="NKG28:NKH28"/>
    <mergeCell ref="NKI28:NKJ28"/>
    <mergeCell ref="NKK28:NKL28"/>
    <mergeCell ref="NKM28:NKN28"/>
    <mergeCell ref="NKO28:NKP28"/>
    <mergeCell ref="NKQ28:NKR28"/>
    <mergeCell ref="NJU28:NJV28"/>
    <mergeCell ref="NJW28:NJX28"/>
    <mergeCell ref="NJY28:NJZ28"/>
    <mergeCell ref="NKA28:NKB28"/>
    <mergeCell ref="NKC28:NKD28"/>
    <mergeCell ref="NKE28:NKF28"/>
    <mergeCell ref="NJI28:NJJ28"/>
    <mergeCell ref="NJK28:NJL28"/>
    <mergeCell ref="NJM28:NJN28"/>
    <mergeCell ref="NJO28:NJP28"/>
    <mergeCell ref="NJQ28:NJR28"/>
    <mergeCell ref="NJS28:NJT28"/>
    <mergeCell ref="NIW28:NIX28"/>
    <mergeCell ref="NIY28:NIZ28"/>
    <mergeCell ref="NJA28:NJB28"/>
    <mergeCell ref="NJC28:NJD28"/>
    <mergeCell ref="NJE28:NJF28"/>
    <mergeCell ref="NJG28:NJH28"/>
    <mergeCell ref="NNY28:NNZ28"/>
    <mergeCell ref="NOA28:NOB28"/>
    <mergeCell ref="NOC28:NOD28"/>
    <mergeCell ref="NOE28:NOF28"/>
    <mergeCell ref="NOG28:NOH28"/>
    <mergeCell ref="NOI28:NOJ28"/>
    <mergeCell ref="NNM28:NNN28"/>
    <mergeCell ref="NNO28:NNP28"/>
    <mergeCell ref="NNQ28:NNR28"/>
    <mergeCell ref="NNS28:NNT28"/>
    <mergeCell ref="NNU28:NNV28"/>
    <mergeCell ref="NNW28:NNX28"/>
    <mergeCell ref="NNA28:NNB28"/>
    <mergeCell ref="NNC28:NND28"/>
    <mergeCell ref="NNE28:NNF28"/>
    <mergeCell ref="NNG28:NNH28"/>
    <mergeCell ref="NNI28:NNJ28"/>
    <mergeCell ref="NNK28:NNL28"/>
    <mergeCell ref="NMO28:NMP28"/>
    <mergeCell ref="NMQ28:NMR28"/>
    <mergeCell ref="NMS28:NMT28"/>
    <mergeCell ref="NMU28:NMV28"/>
    <mergeCell ref="NMW28:NMX28"/>
    <mergeCell ref="NMY28:NMZ28"/>
    <mergeCell ref="NMC28:NMD28"/>
    <mergeCell ref="NME28:NMF28"/>
    <mergeCell ref="NMG28:NMH28"/>
    <mergeCell ref="NMI28:NMJ28"/>
    <mergeCell ref="NMK28:NML28"/>
    <mergeCell ref="NMM28:NMN28"/>
    <mergeCell ref="NLQ28:NLR28"/>
    <mergeCell ref="NLS28:NLT28"/>
    <mergeCell ref="NLU28:NLV28"/>
    <mergeCell ref="NLW28:NLX28"/>
    <mergeCell ref="NLY28:NLZ28"/>
    <mergeCell ref="NMA28:NMB28"/>
    <mergeCell ref="NQS28:NQT28"/>
    <mergeCell ref="NQU28:NQV28"/>
    <mergeCell ref="NQW28:NQX28"/>
    <mergeCell ref="NQY28:NQZ28"/>
    <mergeCell ref="NRA28:NRB28"/>
    <mergeCell ref="NRC28:NRD28"/>
    <mergeCell ref="NQG28:NQH28"/>
    <mergeCell ref="NQI28:NQJ28"/>
    <mergeCell ref="NQK28:NQL28"/>
    <mergeCell ref="NQM28:NQN28"/>
    <mergeCell ref="NQO28:NQP28"/>
    <mergeCell ref="NQQ28:NQR28"/>
    <mergeCell ref="NPU28:NPV28"/>
    <mergeCell ref="NPW28:NPX28"/>
    <mergeCell ref="NPY28:NPZ28"/>
    <mergeCell ref="NQA28:NQB28"/>
    <mergeCell ref="NQC28:NQD28"/>
    <mergeCell ref="NQE28:NQF28"/>
    <mergeCell ref="NPI28:NPJ28"/>
    <mergeCell ref="NPK28:NPL28"/>
    <mergeCell ref="NPM28:NPN28"/>
    <mergeCell ref="NPO28:NPP28"/>
    <mergeCell ref="NPQ28:NPR28"/>
    <mergeCell ref="NPS28:NPT28"/>
    <mergeCell ref="NOW28:NOX28"/>
    <mergeCell ref="NOY28:NOZ28"/>
    <mergeCell ref="NPA28:NPB28"/>
    <mergeCell ref="NPC28:NPD28"/>
    <mergeCell ref="NPE28:NPF28"/>
    <mergeCell ref="NPG28:NPH28"/>
    <mergeCell ref="NOK28:NOL28"/>
    <mergeCell ref="NOM28:NON28"/>
    <mergeCell ref="NOO28:NOP28"/>
    <mergeCell ref="NOQ28:NOR28"/>
    <mergeCell ref="NOS28:NOT28"/>
    <mergeCell ref="NOU28:NOV28"/>
    <mergeCell ref="NTM28:NTN28"/>
    <mergeCell ref="NTO28:NTP28"/>
    <mergeCell ref="NTQ28:NTR28"/>
    <mergeCell ref="NTS28:NTT28"/>
    <mergeCell ref="NTU28:NTV28"/>
    <mergeCell ref="NTW28:NTX28"/>
    <mergeCell ref="NTA28:NTB28"/>
    <mergeCell ref="NTC28:NTD28"/>
    <mergeCell ref="NTE28:NTF28"/>
    <mergeCell ref="NTG28:NTH28"/>
    <mergeCell ref="NTI28:NTJ28"/>
    <mergeCell ref="NTK28:NTL28"/>
    <mergeCell ref="NSO28:NSP28"/>
    <mergeCell ref="NSQ28:NSR28"/>
    <mergeCell ref="NSS28:NST28"/>
    <mergeCell ref="NSU28:NSV28"/>
    <mergeCell ref="NSW28:NSX28"/>
    <mergeCell ref="NSY28:NSZ28"/>
    <mergeCell ref="NSC28:NSD28"/>
    <mergeCell ref="NSE28:NSF28"/>
    <mergeCell ref="NSG28:NSH28"/>
    <mergeCell ref="NSI28:NSJ28"/>
    <mergeCell ref="NSK28:NSL28"/>
    <mergeCell ref="NSM28:NSN28"/>
    <mergeCell ref="NRQ28:NRR28"/>
    <mergeCell ref="NRS28:NRT28"/>
    <mergeCell ref="NRU28:NRV28"/>
    <mergeCell ref="NRW28:NRX28"/>
    <mergeCell ref="NRY28:NRZ28"/>
    <mergeCell ref="NSA28:NSB28"/>
    <mergeCell ref="NRE28:NRF28"/>
    <mergeCell ref="NRG28:NRH28"/>
    <mergeCell ref="NRI28:NRJ28"/>
    <mergeCell ref="NRK28:NRL28"/>
    <mergeCell ref="NRM28:NRN28"/>
    <mergeCell ref="NRO28:NRP28"/>
    <mergeCell ref="NWG28:NWH28"/>
    <mergeCell ref="NWI28:NWJ28"/>
    <mergeCell ref="NWK28:NWL28"/>
    <mergeCell ref="NWM28:NWN28"/>
    <mergeCell ref="NWO28:NWP28"/>
    <mergeCell ref="NWQ28:NWR28"/>
    <mergeCell ref="NVU28:NVV28"/>
    <mergeCell ref="NVW28:NVX28"/>
    <mergeCell ref="NVY28:NVZ28"/>
    <mergeCell ref="NWA28:NWB28"/>
    <mergeCell ref="NWC28:NWD28"/>
    <mergeCell ref="NWE28:NWF28"/>
    <mergeCell ref="NVI28:NVJ28"/>
    <mergeCell ref="NVK28:NVL28"/>
    <mergeCell ref="NVM28:NVN28"/>
    <mergeCell ref="NVO28:NVP28"/>
    <mergeCell ref="NVQ28:NVR28"/>
    <mergeCell ref="NVS28:NVT28"/>
    <mergeCell ref="NUW28:NUX28"/>
    <mergeCell ref="NUY28:NUZ28"/>
    <mergeCell ref="NVA28:NVB28"/>
    <mergeCell ref="NVC28:NVD28"/>
    <mergeCell ref="NVE28:NVF28"/>
    <mergeCell ref="NVG28:NVH28"/>
    <mergeCell ref="NUK28:NUL28"/>
    <mergeCell ref="NUM28:NUN28"/>
    <mergeCell ref="NUO28:NUP28"/>
    <mergeCell ref="NUQ28:NUR28"/>
    <mergeCell ref="NUS28:NUT28"/>
    <mergeCell ref="NUU28:NUV28"/>
    <mergeCell ref="NTY28:NTZ28"/>
    <mergeCell ref="NUA28:NUB28"/>
    <mergeCell ref="NUC28:NUD28"/>
    <mergeCell ref="NUE28:NUF28"/>
    <mergeCell ref="NUG28:NUH28"/>
    <mergeCell ref="NUI28:NUJ28"/>
    <mergeCell ref="NZA28:NZB28"/>
    <mergeCell ref="NZC28:NZD28"/>
    <mergeCell ref="NZE28:NZF28"/>
    <mergeCell ref="NZG28:NZH28"/>
    <mergeCell ref="NZI28:NZJ28"/>
    <mergeCell ref="NZK28:NZL28"/>
    <mergeCell ref="NYO28:NYP28"/>
    <mergeCell ref="NYQ28:NYR28"/>
    <mergeCell ref="NYS28:NYT28"/>
    <mergeCell ref="NYU28:NYV28"/>
    <mergeCell ref="NYW28:NYX28"/>
    <mergeCell ref="NYY28:NYZ28"/>
    <mergeCell ref="NYC28:NYD28"/>
    <mergeCell ref="NYE28:NYF28"/>
    <mergeCell ref="NYG28:NYH28"/>
    <mergeCell ref="NYI28:NYJ28"/>
    <mergeCell ref="NYK28:NYL28"/>
    <mergeCell ref="NYM28:NYN28"/>
    <mergeCell ref="NXQ28:NXR28"/>
    <mergeCell ref="NXS28:NXT28"/>
    <mergeCell ref="NXU28:NXV28"/>
    <mergeCell ref="NXW28:NXX28"/>
    <mergeCell ref="NXY28:NXZ28"/>
    <mergeCell ref="NYA28:NYB28"/>
    <mergeCell ref="NXE28:NXF28"/>
    <mergeCell ref="NXG28:NXH28"/>
    <mergeCell ref="NXI28:NXJ28"/>
    <mergeCell ref="NXK28:NXL28"/>
    <mergeCell ref="NXM28:NXN28"/>
    <mergeCell ref="NXO28:NXP28"/>
    <mergeCell ref="NWS28:NWT28"/>
    <mergeCell ref="NWU28:NWV28"/>
    <mergeCell ref="NWW28:NWX28"/>
    <mergeCell ref="NWY28:NWZ28"/>
    <mergeCell ref="NXA28:NXB28"/>
    <mergeCell ref="NXC28:NXD28"/>
    <mergeCell ref="OBU28:OBV28"/>
    <mergeCell ref="OBW28:OBX28"/>
    <mergeCell ref="OBY28:OBZ28"/>
    <mergeCell ref="OCA28:OCB28"/>
    <mergeCell ref="OCC28:OCD28"/>
    <mergeCell ref="OCE28:OCF28"/>
    <mergeCell ref="OBI28:OBJ28"/>
    <mergeCell ref="OBK28:OBL28"/>
    <mergeCell ref="OBM28:OBN28"/>
    <mergeCell ref="OBO28:OBP28"/>
    <mergeCell ref="OBQ28:OBR28"/>
    <mergeCell ref="OBS28:OBT28"/>
    <mergeCell ref="OAW28:OAX28"/>
    <mergeCell ref="OAY28:OAZ28"/>
    <mergeCell ref="OBA28:OBB28"/>
    <mergeCell ref="OBC28:OBD28"/>
    <mergeCell ref="OBE28:OBF28"/>
    <mergeCell ref="OBG28:OBH28"/>
    <mergeCell ref="OAK28:OAL28"/>
    <mergeCell ref="OAM28:OAN28"/>
    <mergeCell ref="OAO28:OAP28"/>
    <mergeCell ref="OAQ28:OAR28"/>
    <mergeCell ref="OAS28:OAT28"/>
    <mergeCell ref="OAU28:OAV28"/>
    <mergeCell ref="NZY28:NZZ28"/>
    <mergeCell ref="OAA28:OAB28"/>
    <mergeCell ref="OAC28:OAD28"/>
    <mergeCell ref="OAE28:OAF28"/>
    <mergeCell ref="OAG28:OAH28"/>
    <mergeCell ref="OAI28:OAJ28"/>
    <mergeCell ref="NZM28:NZN28"/>
    <mergeCell ref="NZO28:NZP28"/>
    <mergeCell ref="NZQ28:NZR28"/>
    <mergeCell ref="NZS28:NZT28"/>
    <mergeCell ref="NZU28:NZV28"/>
    <mergeCell ref="NZW28:NZX28"/>
    <mergeCell ref="OEO28:OEP28"/>
    <mergeCell ref="OEQ28:OER28"/>
    <mergeCell ref="OES28:OET28"/>
    <mergeCell ref="OEU28:OEV28"/>
    <mergeCell ref="OEW28:OEX28"/>
    <mergeCell ref="OEY28:OEZ28"/>
    <mergeCell ref="OEC28:OED28"/>
    <mergeCell ref="OEE28:OEF28"/>
    <mergeCell ref="OEG28:OEH28"/>
    <mergeCell ref="OEI28:OEJ28"/>
    <mergeCell ref="OEK28:OEL28"/>
    <mergeCell ref="OEM28:OEN28"/>
    <mergeCell ref="ODQ28:ODR28"/>
    <mergeCell ref="ODS28:ODT28"/>
    <mergeCell ref="ODU28:ODV28"/>
    <mergeCell ref="ODW28:ODX28"/>
    <mergeCell ref="ODY28:ODZ28"/>
    <mergeCell ref="OEA28:OEB28"/>
    <mergeCell ref="ODE28:ODF28"/>
    <mergeCell ref="ODG28:ODH28"/>
    <mergeCell ref="ODI28:ODJ28"/>
    <mergeCell ref="ODK28:ODL28"/>
    <mergeCell ref="ODM28:ODN28"/>
    <mergeCell ref="ODO28:ODP28"/>
    <mergeCell ref="OCS28:OCT28"/>
    <mergeCell ref="OCU28:OCV28"/>
    <mergeCell ref="OCW28:OCX28"/>
    <mergeCell ref="OCY28:OCZ28"/>
    <mergeCell ref="ODA28:ODB28"/>
    <mergeCell ref="ODC28:ODD28"/>
    <mergeCell ref="OCG28:OCH28"/>
    <mergeCell ref="OCI28:OCJ28"/>
    <mergeCell ref="OCK28:OCL28"/>
    <mergeCell ref="OCM28:OCN28"/>
    <mergeCell ref="OCO28:OCP28"/>
    <mergeCell ref="OCQ28:OCR28"/>
    <mergeCell ref="OHI28:OHJ28"/>
    <mergeCell ref="OHK28:OHL28"/>
    <mergeCell ref="OHM28:OHN28"/>
    <mergeCell ref="OHO28:OHP28"/>
    <mergeCell ref="OHQ28:OHR28"/>
    <mergeCell ref="OHS28:OHT28"/>
    <mergeCell ref="OGW28:OGX28"/>
    <mergeCell ref="OGY28:OGZ28"/>
    <mergeCell ref="OHA28:OHB28"/>
    <mergeCell ref="OHC28:OHD28"/>
    <mergeCell ref="OHE28:OHF28"/>
    <mergeCell ref="OHG28:OHH28"/>
    <mergeCell ref="OGK28:OGL28"/>
    <mergeCell ref="OGM28:OGN28"/>
    <mergeCell ref="OGO28:OGP28"/>
    <mergeCell ref="OGQ28:OGR28"/>
    <mergeCell ref="OGS28:OGT28"/>
    <mergeCell ref="OGU28:OGV28"/>
    <mergeCell ref="OFY28:OFZ28"/>
    <mergeCell ref="OGA28:OGB28"/>
    <mergeCell ref="OGC28:OGD28"/>
    <mergeCell ref="OGE28:OGF28"/>
    <mergeCell ref="OGG28:OGH28"/>
    <mergeCell ref="OGI28:OGJ28"/>
    <mergeCell ref="OFM28:OFN28"/>
    <mergeCell ref="OFO28:OFP28"/>
    <mergeCell ref="OFQ28:OFR28"/>
    <mergeCell ref="OFS28:OFT28"/>
    <mergeCell ref="OFU28:OFV28"/>
    <mergeCell ref="OFW28:OFX28"/>
    <mergeCell ref="OFA28:OFB28"/>
    <mergeCell ref="OFC28:OFD28"/>
    <mergeCell ref="OFE28:OFF28"/>
    <mergeCell ref="OFG28:OFH28"/>
    <mergeCell ref="OFI28:OFJ28"/>
    <mergeCell ref="OFK28:OFL28"/>
    <mergeCell ref="OKC28:OKD28"/>
    <mergeCell ref="OKE28:OKF28"/>
    <mergeCell ref="OKG28:OKH28"/>
    <mergeCell ref="OKI28:OKJ28"/>
    <mergeCell ref="OKK28:OKL28"/>
    <mergeCell ref="OKM28:OKN28"/>
    <mergeCell ref="OJQ28:OJR28"/>
    <mergeCell ref="OJS28:OJT28"/>
    <mergeCell ref="OJU28:OJV28"/>
    <mergeCell ref="OJW28:OJX28"/>
    <mergeCell ref="OJY28:OJZ28"/>
    <mergeCell ref="OKA28:OKB28"/>
    <mergeCell ref="OJE28:OJF28"/>
    <mergeCell ref="OJG28:OJH28"/>
    <mergeCell ref="OJI28:OJJ28"/>
    <mergeCell ref="OJK28:OJL28"/>
    <mergeCell ref="OJM28:OJN28"/>
    <mergeCell ref="OJO28:OJP28"/>
    <mergeCell ref="OIS28:OIT28"/>
    <mergeCell ref="OIU28:OIV28"/>
    <mergeCell ref="OIW28:OIX28"/>
    <mergeCell ref="OIY28:OIZ28"/>
    <mergeCell ref="OJA28:OJB28"/>
    <mergeCell ref="OJC28:OJD28"/>
    <mergeCell ref="OIG28:OIH28"/>
    <mergeCell ref="OII28:OIJ28"/>
    <mergeCell ref="OIK28:OIL28"/>
    <mergeCell ref="OIM28:OIN28"/>
    <mergeCell ref="OIO28:OIP28"/>
    <mergeCell ref="OIQ28:OIR28"/>
    <mergeCell ref="OHU28:OHV28"/>
    <mergeCell ref="OHW28:OHX28"/>
    <mergeCell ref="OHY28:OHZ28"/>
    <mergeCell ref="OIA28:OIB28"/>
    <mergeCell ref="OIC28:OID28"/>
    <mergeCell ref="OIE28:OIF28"/>
    <mergeCell ref="OMW28:OMX28"/>
    <mergeCell ref="OMY28:OMZ28"/>
    <mergeCell ref="ONA28:ONB28"/>
    <mergeCell ref="ONC28:OND28"/>
    <mergeCell ref="ONE28:ONF28"/>
    <mergeCell ref="ONG28:ONH28"/>
    <mergeCell ref="OMK28:OML28"/>
    <mergeCell ref="OMM28:OMN28"/>
    <mergeCell ref="OMO28:OMP28"/>
    <mergeCell ref="OMQ28:OMR28"/>
    <mergeCell ref="OMS28:OMT28"/>
    <mergeCell ref="OMU28:OMV28"/>
    <mergeCell ref="OLY28:OLZ28"/>
    <mergeCell ref="OMA28:OMB28"/>
    <mergeCell ref="OMC28:OMD28"/>
    <mergeCell ref="OME28:OMF28"/>
    <mergeCell ref="OMG28:OMH28"/>
    <mergeCell ref="OMI28:OMJ28"/>
    <mergeCell ref="OLM28:OLN28"/>
    <mergeCell ref="OLO28:OLP28"/>
    <mergeCell ref="OLQ28:OLR28"/>
    <mergeCell ref="OLS28:OLT28"/>
    <mergeCell ref="OLU28:OLV28"/>
    <mergeCell ref="OLW28:OLX28"/>
    <mergeCell ref="OLA28:OLB28"/>
    <mergeCell ref="OLC28:OLD28"/>
    <mergeCell ref="OLE28:OLF28"/>
    <mergeCell ref="OLG28:OLH28"/>
    <mergeCell ref="OLI28:OLJ28"/>
    <mergeCell ref="OLK28:OLL28"/>
    <mergeCell ref="OKO28:OKP28"/>
    <mergeCell ref="OKQ28:OKR28"/>
    <mergeCell ref="OKS28:OKT28"/>
    <mergeCell ref="OKU28:OKV28"/>
    <mergeCell ref="OKW28:OKX28"/>
    <mergeCell ref="OKY28:OKZ28"/>
    <mergeCell ref="OPQ28:OPR28"/>
    <mergeCell ref="OPS28:OPT28"/>
    <mergeCell ref="OPU28:OPV28"/>
    <mergeCell ref="OPW28:OPX28"/>
    <mergeCell ref="OPY28:OPZ28"/>
    <mergeCell ref="OQA28:OQB28"/>
    <mergeCell ref="OPE28:OPF28"/>
    <mergeCell ref="OPG28:OPH28"/>
    <mergeCell ref="OPI28:OPJ28"/>
    <mergeCell ref="OPK28:OPL28"/>
    <mergeCell ref="OPM28:OPN28"/>
    <mergeCell ref="OPO28:OPP28"/>
    <mergeCell ref="OOS28:OOT28"/>
    <mergeCell ref="OOU28:OOV28"/>
    <mergeCell ref="OOW28:OOX28"/>
    <mergeCell ref="OOY28:OOZ28"/>
    <mergeCell ref="OPA28:OPB28"/>
    <mergeCell ref="OPC28:OPD28"/>
    <mergeCell ref="OOG28:OOH28"/>
    <mergeCell ref="OOI28:OOJ28"/>
    <mergeCell ref="OOK28:OOL28"/>
    <mergeCell ref="OOM28:OON28"/>
    <mergeCell ref="OOO28:OOP28"/>
    <mergeCell ref="OOQ28:OOR28"/>
    <mergeCell ref="ONU28:ONV28"/>
    <mergeCell ref="ONW28:ONX28"/>
    <mergeCell ref="ONY28:ONZ28"/>
    <mergeCell ref="OOA28:OOB28"/>
    <mergeCell ref="OOC28:OOD28"/>
    <mergeCell ref="OOE28:OOF28"/>
    <mergeCell ref="ONI28:ONJ28"/>
    <mergeCell ref="ONK28:ONL28"/>
    <mergeCell ref="ONM28:ONN28"/>
    <mergeCell ref="ONO28:ONP28"/>
    <mergeCell ref="ONQ28:ONR28"/>
    <mergeCell ref="ONS28:ONT28"/>
    <mergeCell ref="OSK28:OSL28"/>
    <mergeCell ref="OSM28:OSN28"/>
    <mergeCell ref="OSO28:OSP28"/>
    <mergeCell ref="OSQ28:OSR28"/>
    <mergeCell ref="OSS28:OST28"/>
    <mergeCell ref="OSU28:OSV28"/>
    <mergeCell ref="ORY28:ORZ28"/>
    <mergeCell ref="OSA28:OSB28"/>
    <mergeCell ref="OSC28:OSD28"/>
    <mergeCell ref="OSE28:OSF28"/>
    <mergeCell ref="OSG28:OSH28"/>
    <mergeCell ref="OSI28:OSJ28"/>
    <mergeCell ref="ORM28:ORN28"/>
    <mergeCell ref="ORO28:ORP28"/>
    <mergeCell ref="ORQ28:ORR28"/>
    <mergeCell ref="ORS28:ORT28"/>
    <mergeCell ref="ORU28:ORV28"/>
    <mergeCell ref="ORW28:ORX28"/>
    <mergeCell ref="ORA28:ORB28"/>
    <mergeCell ref="ORC28:ORD28"/>
    <mergeCell ref="ORE28:ORF28"/>
    <mergeCell ref="ORG28:ORH28"/>
    <mergeCell ref="ORI28:ORJ28"/>
    <mergeCell ref="ORK28:ORL28"/>
    <mergeCell ref="OQO28:OQP28"/>
    <mergeCell ref="OQQ28:OQR28"/>
    <mergeCell ref="OQS28:OQT28"/>
    <mergeCell ref="OQU28:OQV28"/>
    <mergeCell ref="OQW28:OQX28"/>
    <mergeCell ref="OQY28:OQZ28"/>
    <mergeCell ref="OQC28:OQD28"/>
    <mergeCell ref="OQE28:OQF28"/>
    <mergeCell ref="OQG28:OQH28"/>
    <mergeCell ref="OQI28:OQJ28"/>
    <mergeCell ref="OQK28:OQL28"/>
    <mergeCell ref="OQM28:OQN28"/>
    <mergeCell ref="OVE28:OVF28"/>
    <mergeCell ref="OVG28:OVH28"/>
    <mergeCell ref="OVI28:OVJ28"/>
    <mergeCell ref="OVK28:OVL28"/>
    <mergeCell ref="OVM28:OVN28"/>
    <mergeCell ref="OVO28:OVP28"/>
    <mergeCell ref="OUS28:OUT28"/>
    <mergeCell ref="OUU28:OUV28"/>
    <mergeCell ref="OUW28:OUX28"/>
    <mergeCell ref="OUY28:OUZ28"/>
    <mergeCell ref="OVA28:OVB28"/>
    <mergeCell ref="OVC28:OVD28"/>
    <mergeCell ref="OUG28:OUH28"/>
    <mergeCell ref="OUI28:OUJ28"/>
    <mergeCell ref="OUK28:OUL28"/>
    <mergeCell ref="OUM28:OUN28"/>
    <mergeCell ref="OUO28:OUP28"/>
    <mergeCell ref="OUQ28:OUR28"/>
    <mergeCell ref="OTU28:OTV28"/>
    <mergeCell ref="OTW28:OTX28"/>
    <mergeCell ref="OTY28:OTZ28"/>
    <mergeCell ref="OUA28:OUB28"/>
    <mergeCell ref="OUC28:OUD28"/>
    <mergeCell ref="OUE28:OUF28"/>
    <mergeCell ref="OTI28:OTJ28"/>
    <mergeCell ref="OTK28:OTL28"/>
    <mergeCell ref="OTM28:OTN28"/>
    <mergeCell ref="OTO28:OTP28"/>
    <mergeCell ref="OTQ28:OTR28"/>
    <mergeCell ref="OTS28:OTT28"/>
    <mergeCell ref="OSW28:OSX28"/>
    <mergeCell ref="OSY28:OSZ28"/>
    <mergeCell ref="OTA28:OTB28"/>
    <mergeCell ref="OTC28:OTD28"/>
    <mergeCell ref="OTE28:OTF28"/>
    <mergeCell ref="OTG28:OTH28"/>
    <mergeCell ref="OXY28:OXZ28"/>
    <mergeCell ref="OYA28:OYB28"/>
    <mergeCell ref="OYC28:OYD28"/>
    <mergeCell ref="OYE28:OYF28"/>
    <mergeCell ref="OYG28:OYH28"/>
    <mergeCell ref="OYI28:OYJ28"/>
    <mergeCell ref="OXM28:OXN28"/>
    <mergeCell ref="OXO28:OXP28"/>
    <mergeCell ref="OXQ28:OXR28"/>
    <mergeCell ref="OXS28:OXT28"/>
    <mergeCell ref="OXU28:OXV28"/>
    <mergeCell ref="OXW28:OXX28"/>
    <mergeCell ref="OXA28:OXB28"/>
    <mergeCell ref="OXC28:OXD28"/>
    <mergeCell ref="OXE28:OXF28"/>
    <mergeCell ref="OXG28:OXH28"/>
    <mergeCell ref="OXI28:OXJ28"/>
    <mergeCell ref="OXK28:OXL28"/>
    <mergeCell ref="OWO28:OWP28"/>
    <mergeCell ref="OWQ28:OWR28"/>
    <mergeCell ref="OWS28:OWT28"/>
    <mergeCell ref="OWU28:OWV28"/>
    <mergeCell ref="OWW28:OWX28"/>
    <mergeCell ref="OWY28:OWZ28"/>
    <mergeCell ref="OWC28:OWD28"/>
    <mergeCell ref="OWE28:OWF28"/>
    <mergeCell ref="OWG28:OWH28"/>
    <mergeCell ref="OWI28:OWJ28"/>
    <mergeCell ref="OWK28:OWL28"/>
    <mergeCell ref="OWM28:OWN28"/>
    <mergeCell ref="OVQ28:OVR28"/>
    <mergeCell ref="OVS28:OVT28"/>
    <mergeCell ref="OVU28:OVV28"/>
    <mergeCell ref="OVW28:OVX28"/>
    <mergeCell ref="OVY28:OVZ28"/>
    <mergeCell ref="OWA28:OWB28"/>
    <mergeCell ref="PAS28:PAT28"/>
    <mergeCell ref="PAU28:PAV28"/>
    <mergeCell ref="PAW28:PAX28"/>
    <mergeCell ref="PAY28:PAZ28"/>
    <mergeCell ref="PBA28:PBB28"/>
    <mergeCell ref="PBC28:PBD28"/>
    <mergeCell ref="PAG28:PAH28"/>
    <mergeCell ref="PAI28:PAJ28"/>
    <mergeCell ref="PAK28:PAL28"/>
    <mergeCell ref="PAM28:PAN28"/>
    <mergeCell ref="PAO28:PAP28"/>
    <mergeCell ref="PAQ28:PAR28"/>
    <mergeCell ref="OZU28:OZV28"/>
    <mergeCell ref="OZW28:OZX28"/>
    <mergeCell ref="OZY28:OZZ28"/>
    <mergeCell ref="PAA28:PAB28"/>
    <mergeCell ref="PAC28:PAD28"/>
    <mergeCell ref="PAE28:PAF28"/>
    <mergeCell ref="OZI28:OZJ28"/>
    <mergeCell ref="OZK28:OZL28"/>
    <mergeCell ref="OZM28:OZN28"/>
    <mergeCell ref="OZO28:OZP28"/>
    <mergeCell ref="OZQ28:OZR28"/>
    <mergeCell ref="OZS28:OZT28"/>
    <mergeCell ref="OYW28:OYX28"/>
    <mergeCell ref="OYY28:OYZ28"/>
    <mergeCell ref="OZA28:OZB28"/>
    <mergeCell ref="OZC28:OZD28"/>
    <mergeCell ref="OZE28:OZF28"/>
    <mergeCell ref="OZG28:OZH28"/>
    <mergeCell ref="OYK28:OYL28"/>
    <mergeCell ref="OYM28:OYN28"/>
    <mergeCell ref="OYO28:OYP28"/>
    <mergeCell ref="OYQ28:OYR28"/>
    <mergeCell ref="OYS28:OYT28"/>
    <mergeCell ref="OYU28:OYV28"/>
    <mergeCell ref="PDM28:PDN28"/>
    <mergeCell ref="PDO28:PDP28"/>
    <mergeCell ref="PDQ28:PDR28"/>
    <mergeCell ref="PDS28:PDT28"/>
    <mergeCell ref="PDU28:PDV28"/>
    <mergeCell ref="PDW28:PDX28"/>
    <mergeCell ref="PDA28:PDB28"/>
    <mergeCell ref="PDC28:PDD28"/>
    <mergeCell ref="PDE28:PDF28"/>
    <mergeCell ref="PDG28:PDH28"/>
    <mergeCell ref="PDI28:PDJ28"/>
    <mergeCell ref="PDK28:PDL28"/>
    <mergeCell ref="PCO28:PCP28"/>
    <mergeCell ref="PCQ28:PCR28"/>
    <mergeCell ref="PCS28:PCT28"/>
    <mergeCell ref="PCU28:PCV28"/>
    <mergeCell ref="PCW28:PCX28"/>
    <mergeCell ref="PCY28:PCZ28"/>
    <mergeCell ref="PCC28:PCD28"/>
    <mergeCell ref="PCE28:PCF28"/>
    <mergeCell ref="PCG28:PCH28"/>
    <mergeCell ref="PCI28:PCJ28"/>
    <mergeCell ref="PCK28:PCL28"/>
    <mergeCell ref="PCM28:PCN28"/>
    <mergeCell ref="PBQ28:PBR28"/>
    <mergeCell ref="PBS28:PBT28"/>
    <mergeCell ref="PBU28:PBV28"/>
    <mergeCell ref="PBW28:PBX28"/>
    <mergeCell ref="PBY28:PBZ28"/>
    <mergeCell ref="PCA28:PCB28"/>
    <mergeCell ref="PBE28:PBF28"/>
    <mergeCell ref="PBG28:PBH28"/>
    <mergeCell ref="PBI28:PBJ28"/>
    <mergeCell ref="PBK28:PBL28"/>
    <mergeCell ref="PBM28:PBN28"/>
    <mergeCell ref="PBO28:PBP28"/>
    <mergeCell ref="PGG28:PGH28"/>
    <mergeCell ref="PGI28:PGJ28"/>
    <mergeCell ref="PGK28:PGL28"/>
    <mergeCell ref="PGM28:PGN28"/>
    <mergeCell ref="PGO28:PGP28"/>
    <mergeCell ref="PGQ28:PGR28"/>
    <mergeCell ref="PFU28:PFV28"/>
    <mergeCell ref="PFW28:PFX28"/>
    <mergeCell ref="PFY28:PFZ28"/>
    <mergeCell ref="PGA28:PGB28"/>
    <mergeCell ref="PGC28:PGD28"/>
    <mergeCell ref="PGE28:PGF28"/>
    <mergeCell ref="PFI28:PFJ28"/>
    <mergeCell ref="PFK28:PFL28"/>
    <mergeCell ref="PFM28:PFN28"/>
    <mergeCell ref="PFO28:PFP28"/>
    <mergeCell ref="PFQ28:PFR28"/>
    <mergeCell ref="PFS28:PFT28"/>
    <mergeCell ref="PEW28:PEX28"/>
    <mergeCell ref="PEY28:PEZ28"/>
    <mergeCell ref="PFA28:PFB28"/>
    <mergeCell ref="PFC28:PFD28"/>
    <mergeCell ref="PFE28:PFF28"/>
    <mergeCell ref="PFG28:PFH28"/>
    <mergeCell ref="PEK28:PEL28"/>
    <mergeCell ref="PEM28:PEN28"/>
    <mergeCell ref="PEO28:PEP28"/>
    <mergeCell ref="PEQ28:PER28"/>
    <mergeCell ref="PES28:PET28"/>
    <mergeCell ref="PEU28:PEV28"/>
    <mergeCell ref="PDY28:PDZ28"/>
    <mergeCell ref="PEA28:PEB28"/>
    <mergeCell ref="PEC28:PED28"/>
    <mergeCell ref="PEE28:PEF28"/>
    <mergeCell ref="PEG28:PEH28"/>
    <mergeCell ref="PEI28:PEJ28"/>
    <mergeCell ref="PJA28:PJB28"/>
    <mergeCell ref="PJC28:PJD28"/>
    <mergeCell ref="PJE28:PJF28"/>
    <mergeCell ref="PJG28:PJH28"/>
    <mergeCell ref="PJI28:PJJ28"/>
    <mergeCell ref="PJK28:PJL28"/>
    <mergeCell ref="PIO28:PIP28"/>
    <mergeCell ref="PIQ28:PIR28"/>
    <mergeCell ref="PIS28:PIT28"/>
    <mergeCell ref="PIU28:PIV28"/>
    <mergeCell ref="PIW28:PIX28"/>
    <mergeCell ref="PIY28:PIZ28"/>
    <mergeCell ref="PIC28:PID28"/>
    <mergeCell ref="PIE28:PIF28"/>
    <mergeCell ref="PIG28:PIH28"/>
    <mergeCell ref="PII28:PIJ28"/>
    <mergeCell ref="PIK28:PIL28"/>
    <mergeCell ref="PIM28:PIN28"/>
    <mergeCell ref="PHQ28:PHR28"/>
    <mergeCell ref="PHS28:PHT28"/>
    <mergeCell ref="PHU28:PHV28"/>
    <mergeCell ref="PHW28:PHX28"/>
    <mergeCell ref="PHY28:PHZ28"/>
    <mergeCell ref="PIA28:PIB28"/>
    <mergeCell ref="PHE28:PHF28"/>
    <mergeCell ref="PHG28:PHH28"/>
    <mergeCell ref="PHI28:PHJ28"/>
    <mergeCell ref="PHK28:PHL28"/>
    <mergeCell ref="PHM28:PHN28"/>
    <mergeCell ref="PHO28:PHP28"/>
    <mergeCell ref="PGS28:PGT28"/>
    <mergeCell ref="PGU28:PGV28"/>
    <mergeCell ref="PGW28:PGX28"/>
    <mergeCell ref="PGY28:PGZ28"/>
    <mergeCell ref="PHA28:PHB28"/>
    <mergeCell ref="PHC28:PHD28"/>
    <mergeCell ref="PLU28:PLV28"/>
    <mergeCell ref="PLW28:PLX28"/>
    <mergeCell ref="PLY28:PLZ28"/>
    <mergeCell ref="PMA28:PMB28"/>
    <mergeCell ref="PMC28:PMD28"/>
    <mergeCell ref="PME28:PMF28"/>
    <mergeCell ref="PLI28:PLJ28"/>
    <mergeCell ref="PLK28:PLL28"/>
    <mergeCell ref="PLM28:PLN28"/>
    <mergeCell ref="PLO28:PLP28"/>
    <mergeCell ref="PLQ28:PLR28"/>
    <mergeCell ref="PLS28:PLT28"/>
    <mergeCell ref="PKW28:PKX28"/>
    <mergeCell ref="PKY28:PKZ28"/>
    <mergeCell ref="PLA28:PLB28"/>
    <mergeCell ref="PLC28:PLD28"/>
    <mergeCell ref="PLE28:PLF28"/>
    <mergeCell ref="PLG28:PLH28"/>
    <mergeCell ref="PKK28:PKL28"/>
    <mergeCell ref="PKM28:PKN28"/>
    <mergeCell ref="PKO28:PKP28"/>
    <mergeCell ref="PKQ28:PKR28"/>
    <mergeCell ref="PKS28:PKT28"/>
    <mergeCell ref="PKU28:PKV28"/>
    <mergeCell ref="PJY28:PJZ28"/>
    <mergeCell ref="PKA28:PKB28"/>
    <mergeCell ref="PKC28:PKD28"/>
    <mergeCell ref="PKE28:PKF28"/>
    <mergeCell ref="PKG28:PKH28"/>
    <mergeCell ref="PKI28:PKJ28"/>
    <mergeCell ref="PJM28:PJN28"/>
    <mergeCell ref="PJO28:PJP28"/>
    <mergeCell ref="PJQ28:PJR28"/>
    <mergeCell ref="PJS28:PJT28"/>
    <mergeCell ref="PJU28:PJV28"/>
    <mergeCell ref="PJW28:PJX28"/>
    <mergeCell ref="POO28:POP28"/>
    <mergeCell ref="POQ28:POR28"/>
    <mergeCell ref="POS28:POT28"/>
    <mergeCell ref="POU28:POV28"/>
    <mergeCell ref="POW28:POX28"/>
    <mergeCell ref="POY28:POZ28"/>
    <mergeCell ref="POC28:POD28"/>
    <mergeCell ref="POE28:POF28"/>
    <mergeCell ref="POG28:POH28"/>
    <mergeCell ref="POI28:POJ28"/>
    <mergeCell ref="POK28:POL28"/>
    <mergeCell ref="POM28:PON28"/>
    <mergeCell ref="PNQ28:PNR28"/>
    <mergeCell ref="PNS28:PNT28"/>
    <mergeCell ref="PNU28:PNV28"/>
    <mergeCell ref="PNW28:PNX28"/>
    <mergeCell ref="PNY28:PNZ28"/>
    <mergeCell ref="POA28:POB28"/>
    <mergeCell ref="PNE28:PNF28"/>
    <mergeCell ref="PNG28:PNH28"/>
    <mergeCell ref="PNI28:PNJ28"/>
    <mergeCell ref="PNK28:PNL28"/>
    <mergeCell ref="PNM28:PNN28"/>
    <mergeCell ref="PNO28:PNP28"/>
    <mergeCell ref="PMS28:PMT28"/>
    <mergeCell ref="PMU28:PMV28"/>
    <mergeCell ref="PMW28:PMX28"/>
    <mergeCell ref="PMY28:PMZ28"/>
    <mergeCell ref="PNA28:PNB28"/>
    <mergeCell ref="PNC28:PND28"/>
    <mergeCell ref="PMG28:PMH28"/>
    <mergeCell ref="PMI28:PMJ28"/>
    <mergeCell ref="PMK28:PML28"/>
    <mergeCell ref="PMM28:PMN28"/>
    <mergeCell ref="PMO28:PMP28"/>
    <mergeCell ref="PMQ28:PMR28"/>
    <mergeCell ref="PRI28:PRJ28"/>
    <mergeCell ref="PRK28:PRL28"/>
    <mergeCell ref="PRM28:PRN28"/>
    <mergeCell ref="PRO28:PRP28"/>
    <mergeCell ref="PRQ28:PRR28"/>
    <mergeCell ref="PRS28:PRT28"/>
    <mergeCell ref="PQW28:PQX28"/>
    <mergeCell ref="PQY28:PQZ28"/>
    <mergeCell ref="PRA28:PRB28"/>
    <mergeCell ref="PRC28:PRD28"/>
    <mergeCell ref="PRE28:PRF28"/>
    <mergeCell ref="PRG28:PRH28"/>
    <mergeCell ref="PQK28:PQL28"/>
    <mergeCell ref="PQM28:PQN28"/>
    <mergeCell ref="PQO28:PQP28"/>
    <mergeCell ref="PQQ28:PQR28"/>
    <mergeCell ref="PQS28:PQT28"/>
    <mergeCell ref="PQU28:PQV28"/>
    <mergeCell ref="PPY28:PPZ28"/>
    <mergeCell ref="PQA28:PQB28"/>
    <mergeCell ref="PQC28:PQD28"/>
    <mergeCell ref="PQE28:PQF28"/>
    <mergeCell ref="PQG28:PQH28"/>
    <mergeCell ref="PQI28:PQJ28"/>
    <mergeCell ref="PPM28:PPN28"/>
    <mergeCell ref="PPO28:PPP28"/>
    <mergeCell ref="PPQ28:PPR28"/>
    <mergeCell ref="PPS28:PPT28"/>
    <mergeCell ref="PPU28:PPV28"/>
    <mergeCell ref="PPW28:PPX28"/>
    <mergeCell ref="PPA28:PPB28"/>
    <mergeCell ref="PPC28:PPD28"/>
    <mergeCell ref="PPE28:PPF28"/>
    <mergeCell ref="PPG28:PPH28"/>
    <mergeCell ref="PPI28:PPJ28"/>
    <mergeCell ref="PPK28:PPL28"/>
    <mergeCell ref="PUC28:PUD28"/>
    <mergeCell ref="PUE28:PUF28"/>
    <mergeCell ref="PUG28:PUH28"/>
    <mergeCell ref="PUI28:PUJ28"/>
    <mergeCell ref="PUK28:PUL28"/>
    <mergeCell ref="PUM28:PUN28"/>
    <mergeCell ref="PTQ28:PTR28"/>
    <mergeCell ref="PTS28:PTT28"/>
    <mergeCell ref="PTU28:PTV28"/>
    <mergeCell ref="PTW28:PTX28"/>
    <mergeCell ref="PTY28:PTZ28"/>
    <mergeCell ref="PUA28:PUB28"/>
    <mergeCell ref="PTE28:PTF28"/>
    <mergeCell ref="PTG28:PTH28"/>
    <mergeCell ref="PTI28:PTJ28"/>
    <mergeCell ref="PTK28:PTL28"/>
    <mergeCell ref="PTM28:PTN28"/>
    <mergeCell ref="PTO28:PTP28"/>
    <mergeCell ref="PSS28:PST28"/>
    <mergeCell ref="PSU28:PSV28"/>
    <mergeCell ref="PSW28:PSX28"/>
    <mergeCell ref="PSY28:PSZ28"/>
    <mergeCell ref="PTA28:PTB28"/>
    <mergeCell ref="PTC28:PTD28"/>
    <mergeCell ref="PSG28:PSH28"/>
    <mergeCell ref="PSI28:PSJ28"/>
    <mergeCell ref="PSK28:PSL28"/>
    <mergeCell ref="PSM28:PSN28"/>
    <mergeCell ref="PSO28:PSP28"/>
    <mergeCell ref="PSQ28:PSR28"/>
    <mergeCell ref="PRU28:PRV28"/>
    <mergeCell ref="PRW28:PRX28"/>
    <mergeCell ref="PRY28:PRZ28"/>
    <mergeCell ref="PSA28:PSB28"/>
    <mergeCell ref="PSC28:PSD28"/>
    <mergeCell ref="PSE28:PSF28"/>
    <mergeCell ref="PWW28:PWX28"/>
    <mergeCell ref="PWY28:PWZ28"/>
    <mergeCell ref="PXA28:PXB28"/>
    <mergeCell ref="PXC28:PXD28"/>
    <mergeCell ref="PXE28:PXF28"/>
    <mergeCell ref="PXG28:PXH28"/>
    <mergeCell ref="PWK28:PWL28"/>
    <mergeCell ref="PWM28:PWN28"/>
    <mergeCell ref="PWO28:PWP28"/>
    <mergeCell ref="PWQ28:PWR28"/>
    <mergeCell ref="PWS28:PWT28"/>
    <mergeCell ref="PWU28:PWV28"/>
    <mergeCell ref="PVY28:PVZ28"/>
    <mergeCell ref="PWA28:PWB28"/>
    <mergeCell ref="PWC28:PWD28"/>
    <mergeCell ref="PWE28:PWF28"/>
    <mergeCell ref="PWG28:PWH28"/>
    <mergeCell ref="PWI28:PWJ28"/>
    <mergeCell ref="PVM28:PVN28"/>
    <mergeCell ref="PVO28:PVP28"/>
    <mergeCell ref="PVQ28:PVR28"/>
    <mergeCell ref="PVS28:PVT28"/>
    <mergeCell ref="PVU28:PVV28"/>
    <mergeCell ref="PVW28:PVX28"/>
    <mergeCell ref="PVA28:PVB28"/>
    <mergeCell ref="PVC28:PVD28"/>
    <mergeCell ref="PVE28:PVF28"/>
    <mergeCell ref="PVG28:PVH28"/>
    <mergeCell ref="PVI28:PVJ28"/>
    <mergeCell ref="PVK28:PVL28"/>
    <mergeCell ref="PUO28:PUP28"/>
    <mergeCell ref="PUQ28:PUR28"/>
    <mergeCell ref="PUS28:PUT28"/>
    <mergeCell ref="PUU28:PUV28"/>
    <mergeCell ref="PUW28:PUX28"/>
    <mergeCell ref="PUY28:PUZ28"/>
    <mergeCell ref="PZQ28:PZR28"/>
    <mergeCell ref="PZS28:PZT28"/>
    <mergeCell ref="PZU28:PZV28"/>
    <mergeCell ref="PZW28:PZX28"/>
    <mergeCell ref="PZY28:PZZ28"/>
    <mergeCell ref="QAA28:QAB28"/>
    <mergeCell ref="PZE28:PZF28"/>
    <mergeCell ref="PZG28:PZH28"/>
    <mergeCell ref="PZI28:PZJ28"/>
    <mergeCell ref="PZK28:PZL28"/>
    <mergeCell ref="PZM28:PZN28"/>
    <mergeCell ref="PZO28:PZP28"/>
    <mergeCell ref="PYS28:PYT28"/>
    <mergeCell ref="PYU28:PYV28"/>
    <mergeCell ref="PYW28:PYX28"/>
    <mergeCell ref="PYY28:PYZ28"/>
    <mergeCell ref="PZA28:PZB28"/>
    <mergeCell ref="PZC28:PZD28"/>
    <mergeCell ref="PYG28:PYH28"/>
    <mergeCell ref="PYI28:PYJ28"/>
    <mergeCell ref="PYK28:PYL28"/>
    <mergeCell ref="PYM28:PYN28"/>
    <mergeCell ref="PYO28:PYP28"/>
    <mergeCell ref="PYQ28:PYR28"/>
    <mergeCell ref="PXU28:PXV28"/>
    <mergeCell ref="PXW28:PXX28"/>
    <mergeCell ref="PXY28:PXZ28"/>
    <mergeCell ref="PYA28:PYB28"/>
    <mergeCell ref="PYC28:PYD28"/>
    <mergeCell ref="PYE28:PYF28"/>
    <mergeCell ref="PXI28:PXJ28"/>
    <mergeCell ref="PXK28:PXL28"/>
    <mergeCell ref="PXM28:PXN28"/>
    <mergeCell ref="PXO28:PXP28"/>
    <mergeCell ref="PXQ28:PXR28"/>
    <mergeCell ref="PXS28:PXT28"/>
    <mergeCell ref="QCK28:QCL28"/>
    <mergeCell ref="QCM28:QCN28"/>
    <mergeCell ref="QCO28:QCP28"/>
    <mergeCell ref="QCQ28:QCR28"/>
    <mergeCell ref="QCS28:QCT28"/>
    <mergeCell ref="QCU28:QCV28"/>
    <mergeCell ref="QBY28:QBZ28"/>
    <mergeCell ref="QCA28:QCB28"/>
    <mergeCell ref="QCC28:QCD28"/>
    <mergeCell ref="QCE28:QCF28"/>
    <mergeCell ref="QCG28:QCH28"/>
    <mergeCell ref="QCI28:QCJ28"/>
    <mergeCell ref="QBM28:QBN28"/>
    <mergeCell ref="QBO28:QBP28"/>
    <mergeCell ref="QBQ28:QBR28"/>
    <mergeCell ref="QBS28:QBT28"/>
    <mergeCell ref="QBU28:QBV28"/>
    <mergeCell ref="QBW28:QBX28"/>
    <mergeCell ref="QBA28:QBB28"/>
    <mergeCell ref="QBC28:QBD28"/>
    <mergeCell ref="QBE28:QBF28"/>
    <mergeCell ref="QBG28:QBH28"/>
    <mergeCell ref="QBI28:QBJ28"/>
    <mergeCell ref="QBK28:QBL28"/>
    <mergeCell ref="QAO28:QAP28"/>
    <mergeCell ref="QAQ28:QAR28"/>
    <mergeCell ref="QAS28:QAT28"/>
    <mergeCell ref="QAU28:QAV28"/>
    <mergeCell ref="QAW28:QAX28"/>
    <mergeCell ref="QAY28:QAZ28"/>
    <mergeCell ref="QAC28:QAD28"/>
    <mergeCell ref="QAE28:QAF28"/>
    <mergeCell ref="QAG28:QAH28"/>
    <mergeCell ref="QAI28:QAJ28"/>
    <mergeCell ref="QAK28:QAL28"/>
    <mergeCell ref="QAM28:QAN28"/>
    <mergeCell ref="QFE28:QFF28"/>
    <mergeCell ref="QFG28:QFH28"/>
    <mergeCell ref="QFI28:QFJ28"/>
    <mergeCell ref="QFK28:QFL28"/>
    <mergeCell ref="QFM28:QFN28"/>
    <mergeCell ref="QFO28:QFP28"/>
    <mergeCell ref="QES28:QET28"/>
    <mergeCell ref="QEU28:QEV28"/>
    <mergeCell ref="QEW28:QEX28"/>
    <mergeCell ref="QEY28:QEZ28"/>
    <mergeCell ref="QFA28:QFB28"/>
    <mergeCell ref="QFC28:QFD28"/>
    <mergeCell ref="QEG28:QEH28"/>
    <mergeCell ref="QEI28:QEJ28"/>
    <mergeCell ref="QEK28:QEL28"/>
    <mergeCell ref="QEM28:QEN28"/>
    <mergeCell ref="QEO28:QEP28"/>
    <mergeCell ref="QEQ28:QER28"/>
    <mergeCell ref="QDU28:QDV28"/>
    <mergeCell ref="QDW28:QDX28"/>
    <mergeCell ref="QDY28:QDZ28"/>
    <mergeCell ref="QEA28:QEB28"/>
    <mergeCell ref="QEC28:QED28"/>
    <mergeCell ref="QEE28:QEF28"/>
    <mergeCell ref="QDI28:QDJ28"/>
    <mergeCell ref="QDK28:QDL28"/>
    <mergeCell ref="QDM28:QDN28"/>
    <mergeCell ref="QDO28:QDP28"/>
    <mergeCell ref="QDQ28:QDR28"/>
    <mergeCell ref="QDS28:QDT28"/>
    <mergeCell ref="QCW28:QCX28"/>
    <mergeCell ref="QCY28:QCZ28"/>
    <mergeCell ref="QDA28:QDB28"/>
    <mergeCell ref="QDC28:QDD28"/>
    <mergeCell ref="QDE28:QDF28"/>
    <mergeCell ref="QDG28:QDH28"/>
    <mergeCell ref="QHY28:QHZ28"/>
    <mergeCell ref="QIA28:QIB28"/>
    <mergeCell ref="QIC28:QID28"/>
    <mergeCell ref="QIE28:QIF28"/>
    <mergeCell ref="QIG28:QIH28"/>
    <mergeCell ref="QII28:QIJ28"/>
    <mergeCell ref="QHM28:QHN28"/>
    <mergeCell ref="QHO28:QHP28"/>
    <mergeCell ref="QHQ28:QHR28"/>
    <mergeCell ref="QHS28:QHT28"/>
    <mergeCell ref="QHU28:QHV28"/>
    <mergeCell ref="QHW28:QHX28"/>
    <mergeCell ref="QHA28:QHB28"/>
    <mergeCell ref="QHC28:QHD28"/>
    <mergeCell ref="QHE28:QHF28"/>
    <mergeCell ref="QHG28:QHH28"/>
    <mergeCell ref="QHI28:QHJ28"/>
    <mergeCell ref="QHK28:QHL28"/>
    <mergeCell ref="QGO28:QGP28"/>
    <mergeCell ref="QGQ28:QGR28"/>
    <mergeCell ref="QGS28:QGT28"/>
    <mergeCell ref="QGU28:QGV28"/>
    <mergeCell ref="QGW28:QGX28"/>
    <mergeCell ref="QGY28:QGZ28"/>
    <mergeCell ref="QGC28:QGD28"/>
    <mergeCell ref="QGE28:QGF28"/>
    <mergeCell ref="QGG28:QGH28"/>
    <mergeCell ref="QGI28:QGJ28"/>
    <mergeCell ref="QGK28:QGL28"/>
    <mergeCell ref="QGM28:QGN28"/>
    <mergeCell ref="QFQ28:QFR28"/>
    <mergeCell ref="QFS28:QFT28"/>
    <mergeCell ref="QFU28:QFV28"/>
    <mergeCell ref="QFW28:QFX28"/>
    <mergeCell ref="QFY28:QFZ28"/>
    <mergeCell ref="QGA28:QGB28"/>
    <mergeCell ref="QKS28:QKT28"/>
    <mergeCell ref="QKU28:QKV28"/>
    <mergeCell ref="QKW28:QKX28"/>
    <mergeCell ref="QKY28:QKZ28"/>
    <mergeCell ref="QLA28:QLB28"/>
    <mergeCell ref="QLC28:QLD28"/>
    <mergeCell ref="QKG28:QKH28"/>
    <mergeCell ref="QKI28:QKJ28"/>
    <mergeCell ref="QKK28:QKL28"/>
    <mergeCell ref="QKM28:QKN28"/>
    <mergeCell ref="QKO28:QKP28"/>
    <mergeCell ref="QKQ28:QKR28"/>
    <mergeCell ref="QJU28:QJV28"/>
    <mergeCell ref="QJW28:QJX28"/>
    <mergeCell ref="QJY28:QJZ28"/>
    <mergeCell ref="QKA28:QKB28"/>
    <mergeCell ref="QKC28:QKD28"/>
    <mergeCell ref="QKE28:QKF28"/>
    <mergeCell ref="QJI28:QJJ28"/>
    <mergeCell ref="QJK28:QJL28"/>
    <mergeCell ref="QJM28:QJN28"/>
    <mergeCell ref="QJO28:QJP28"/>
    <mergeCell ref="QJQ28:QJR28"/>
    <mergeCell ref="QJS28:QJT28"/>
    <mergeCell ref="QIW28:QIX28"/>
    <mergeCell ref="QIY28:QIZ28"/>
    <mergeCell ref="QJA28:QJB28"/>
    <mergeCell ref="QJC28:QJD28"/>
    <mergeCell ref="QJE28:QJF28"/>
    <mergeCell ref="QJG28:QJH28"/>
    <mergeCell ref="QIK28:QIL28"/>
    <mergeCell ref="QIM28:QIN28"/>
    <mergeCell ref="QIO28:QIP28"/>
    <mergeCell ref="QIQ28:QIR28"/>
    <mergeCell ref="QIS28:QIT28"/>
    <mergeCell ref="QIU28:QIV28"/>
    <mergeCell ref="QNM28:QNN28"/>
    <mergeCell ref="QNO28:QNP28"/>
    <mergeCell ref="QNQ28:QNR28"/>
    <mergeCell ref="QNS28:QNT28"/>
    <mergeCell ref="QNU28:QNV28"/>
    <mergeCell ref="QNW28:QNX28"/>
    <mergeCell ref="QNA28:QNB28"/>
    <mergeCell ref="QNC28:QND28"/>
    <mergeCell ref="QNE28:QNF28"/>
    <mergeCell ref="QNG28:QNH28"/>
    <mergeCell ref="QNI28:QNJ28"/>
    <mergeCell ref="QNK28:QNL28"/>
    <mergeCell ref="QMO28:QMP28"/>
    <mergeCell ref="QMQ28:QMR28"/>
    <mergeCell ref="QMS28:QMT28"/>
    <mergeCell ref="QMU28:QMV28"/>
    <mergeCell ref="QMW28:QMX28"/>
    <mergeCell ref="QMY28:QMZ28"/>
    <mergeCell ref="QMC28:QMD28"/>
    <mergeCell ref="QME28:QMF28"/>
    <mergeCell ref="QMG28:QMH28"/>
    <mergeCell ref="QMI28:QMJ28"/>
    <mergeCell ref="QMK28:QML28"/>
    <mergeCell ref="QMM28:QMN28"/>
    <mergeCell ref="QLQ28:QLR28"/>
    <mergeCell ref="QLS28:QLT28"/>
    <mergeCell ref="QLU28:QLV28"/>
    <mergeCell ref="QLW28:QLX28"/>
    <mergeCell ref="QLY28:QLZ28"/>
    <mergeCell ref="QMA28:QMB28"/>
    <mergeCell ref="QLE28:QLF28"/>
    <mergeCell ref="QLG28:QLH28"/>
    <mergeCell ref="QLI28:QLJ28"/>
    <mergeCell ref="QLK28:QLL28"/>
    <mergeCell ref="QLM28:QLN28"/>
    <mergeCell ref="QLO28:QLP28"/>
    <mergeCell ref="QQG28:QQH28"/>
    <mergeCell ref="QQI28:QQJ28"/>
    <mergeCell ref="QQK28:QQL28"/>
    <mergeCell ref="QQM28:QQN28"/>
    <mergeCell ref="QQO28:QQP28"/>
    <mergeCell ref="QQQ28:QQR28"/>
    <mergeCell ref="QPU28:QPV28"/>
    <mergeCell ref="QPW28:QPX28"/>
    <mergeCell ref="QPY28:QPZ28"/>
    <mergeCell ref="QQA28:QQB28"/>
    <mergeCell ref="QQC28:QQD28"/>
    <mergeCell ref="QQE28:QQF28"/>
    <mergeCell ref="QPI28:QPJ28"/>
    <mergeCell ref="QPK28:QPL28"/>
    <mergeCell ref="QPM28:QPN28"/>
    <mergeCell ref="QPO28:QPP28"/>
    <mergeCell ref="QPQ28:QPR28"/>
    <mergeCell ref="QPS28:QPT28"/>
    <mergeCell ref="QOW28:QOX28"/>
    <mergeCell ref="QOY28:QOZ28"/>
    <mergeCell ref="QPA28:QPB28"/>
    <mergeCell ref="QPC28:QPD28"/>
    <mergeCell ref="QPE28:QPF28"/>
    <mergeCell ref="QPG28:QPH28"/>
    <mergeCell ref="QOK28:QOL28"/>
    <mergeCell ref="QOM28:QON28"/>
    <mergeCell ref="QOO28:QOP28"/>
    <mergeCell ref="QOQ28:QOR28"/>
    <mergeCell ref="QOS28:QOT28"/>
    <mergeCell ref="QOU28:QOV28"/>
    <mergeCell ref="QNY28:QNZ28"/>
    <mergeCell ref="QOA28:QOB28"/>
    <mergeCell ref="QOC28:QOD28"/>
    <mergeCell ref="QOE28:QOF28"/>
    <mergeCell ref="QOG28:QOH28"/>
    <mergeCell ref="QOI28:QOJ28"/>
    <mergeCell ref="QTA28:QTB28"/>
    <mergeCell ref="QTC28:QTD28"/>
    <mergeCell ref="QTE28:QTF28"/>
    <mergeCell ref="QTG28:QTH28"/>
    <mergeCell ref="QTI28:QTJ28"/>
    <mergeCell ref="QTK28:QTL28"/>
    <mergeCell ref="QSO28:QSP28"/>
    <mergeCell ref="QSQ28:QSR28"/>
    <mergeCell ref="QSS28:QST28"/>
    <mergeCell ref="QSU28:QSV28"/>
    <mergeCell ref="QSW28:QSX28"/>
    <mergeCell ref="QSY28:QSZ28"/>
    <mergeCell ref="QSC28:QSD28"/>
    <mergeCell ref="QSE28:QSF28"/>
    <mergeCell ref="QSG28:QSH28"/>
    <mergeCell ref="QSI28:QSJ28"/>
    <mergeCell ref="QSK28:QSL28"/>
    <mergeCell ref="QSM28:QSN28"/>
    <mergeCell ref="QRQ28:QRR28"/>
    <mergeCell ref="QRS28:QRT28"/>
    <mergeCell ref="QRU28:QRV28"/>
    <mergeCell ref="QRW28:QRX28"/>
    <mergeCell ref="QRY28:QRZ28"/>
    <mergeCell ref="QSA28:QSB28"/>
    <mergeCell ref="QRE28:QRF28"/>
    <mergeCell ref="QRG28:QRH28"/>
    <mergeCell ref="QRI28:QRJ28"/>
    <mergeCell ref="QRK28:QRL28"/>
    <mergeCell ref="QRM28:QRN28"/>
    <mergeCell ref="QRO28:QRP28"/>
    <mergeCell ref="QQS28:QQT28"/>
    <mergeCell ref="QQU28:QQV28"/>
    <mergeCell ref="QQW28:QQX28"/>
    <mergeCell ref="QQY28:QQZ28"/>
    <mergeCell ref="QRA28:QRB28"/>
    <mergeCell ref="QRC28:QRD28"/>
    <mergeCell ref="QVU28:QVV28"/>
    <mergeCell ref="QVW28:QVX28"/>
    <mergeCell ref="QVY28:QVZ28"/>
    <mergeCell ref="QWA28:QWB28"/>
    <mergeCell ref="QWC28:QWD28"/>
    <mergeCell ref="QWE28:QWF28"/>
    <mergeCell ref="QVI28:QVJ28"/>
    <mergeCell ref="QVK28:QVL28"/>
    <mergeCell ref="QVM28:QVN28"/>
    <mergeCell ref="QVO28:QVP28"/>
    <mergeCell ref="QVQ28:QVR28"/>
    <mergeCell ref="QVS28:QVT28"/>
    <mergeCell ref="QUW28:QUX28"/>
    <mergeCell ref="QUY28:QUZ28"/>
    <mergeCell ref="QVA28:QVB28"/>
    <mergeCell ref="QVC28:QVD28"/>
    <mergeCell ref="QVE28:QVF28"/>
    <mergeCell ref="QVG28:QVH28"/>
    <mergeCell ref="QUK28:QUL28"/>
    <mergeCell ref="QUM28:QUN28"/>
    <mergeCell ref="QUO28:QUP28"/>
    <mergeCell ref="QUQ28:QUR28"/>
    <mergeCell ref="QUS28:QUT28"/>
    <mergeCell ref="QUU28:QUV28"/>
    <mergeCell ref="QTY28:QTZ28"/>
    <mergeCell ref="QUA28:QUB28"/>
    <mergeCell ref="QUC28:QUD28"/>
    <mergeCell ref="QUE28:QUF28"/>
    <mergeCell ref="QUG28:QUH28"/>
    <mergeCell ref="QUI28:QUJ28"/>
    <mergeCell ref="QTM28:QTN28"/>
    <mergeCell ref="QTO28:QTP28"/>
    <mergeCell ref="QTQ28:QTR28"/>
    <mergeCell ref="QTS28:QTT28"/>
    <mergeCell ref="QTU28:QTV28"/>
    <mergeCell ref="QTW28:QTX28"/>
    <mergeCell ref="QYO28:QYP28"/>
    <mergeCell ref="QYQ28:QYR28"/>
    <mergeCell ref="QYS28:QYT28"/>
    <mergeCell ref="QYU28:QYV28"/>
    <mergeCell ref="QYW28:QYX28"/>
    <mergeCell ref="QYY28:QYZ28"/>
    <mergeCell ref="QYC28:QYD28"/>
    <mergeCell ref="QYE28:QYF28"/>
    <mergeCell ref="QYG28:QYH28"/>
    <mergeCell ref="QYI28:QYJ28"/>
    <mergeCell ref="QYK28:QYL28"/>
    <mergeCell ref="QYM28:QYN28"/>
    <mergeCell ref="QXQ28:QXR28"/>
    <mergeCell ref="QXS28:QXT28"/>
    <mergeCell ref="QXU28:QXV28"/>
    <mergeCell ref="QXW28:QXX28"/>
    <mergeCell ref="QXY28:QXZ28"/>
    <mergeCell ref="QYA28:QYB28"/>
    <mergeCell ref="QXE28:QXF28"/>
    <mergeCell ref="QXG28:QXH28"/>
    <mergeCell ref="QXI28:QXJ28"/>
    <mergeCell ref="QXK28:QXL28"/>
    <mergeCell ref="QXM28:QXN28"/>
    <mergeCell ref="QXO28:QXP28"/>
    <mergeCell ref="QWS28:QWT28"/>
    <mergeCell ref="QWU28:QWV28"/>
    <mergeCell ref="QWW28:QWX28"/>
    <mergeCell ref="QWY28:QWZ28"/>
    <mergeCell ref="QXA28:QXB28"/>
    <mergeCell ref="QXC28:QXD28"/>
    <mergeCell ref="QWG28:QWH28"/>
    <mergeCell ref="QWI28:QWJ28"/>
    <mergeCell ref="QWK28:QWL28"/>
    <mergeCell ref="QWM28:QWN28"/>
    <mergeCell ref="QWO28:QWP28"/>
    <mergeCell ref="QWQ28:QWR28"/>
    <mergeCell ref="RBI28:RBJ28"/>
    <mergeCell ref="RBK28:RBL28"/>
    <mergeCell ref="RBM28:RBN28"/>
    <mergeCell ref="RBO28:RBP28"/>
    <mergeCell ref="RBQ28:RBR28"/>
    <mergeCell ref="RBS28:RBT28"/>
    <mergeCell ref="RAW28:RAX28"/>
    <mergeCell ref="RAY28:RAZ28"/>
    <mergeCell ref="RBA28:RBB28"/>
    <mergeCell ref="RBC28:RBD28"/>
    <mergeCell ref="RBE28:RBF28"/>
    <mergeCell ref="RBG28:RBH28"/>
    <mergeCell ref="RAK28:RAL28"/>
    <mergeCell ref="RAM28:RAN28"/>
    <mergeCell ref="RAO28:RAP28"/>
    <mergeCell ref="RAQ28:RAR28"/>
    <mergeCell ref="RAS28:RAT28"/>
    <mergeCell ref="RAU28:RAV28"/>
    <mergeCell ref="QZY28:QZZ28"/>
    <mergeCell ref="RAA28:RAB28"/>
    <mergeCell ref="RAC28:RAD28"/>
    <mergeCell ref="RAE28:RAF28"/>
    <mergeCell ref="RAG28:RAH28"/>
    <mergeCell ref="RAI28:RAJ28"/>
    <mergeCell ref="QZM28:QZN28"/>
    <mergeCell ref="QZO28:QZP28"/>
    <mergeCell ref="QZQ28:QZR28"/>
    <mergeCell ref="QZS28:QZT28"/>
    <mergeCell ref="QZU28:QZV28"/>
    <mergeCell ref="QZW28:QZX28"/>
    <mergeCell ref="QZA28:QZB28"/>
    <mergeCell ref="QZC28:QZD28"/>
    <mergeCell ref="QZE28:QZF28"/>
    <mergeCell ref="QZG28:QZH28"/>
    <mergeCell ref="QZI28:QZJ28"/>
    <mergeCell ref="QZK28:QZL28"/>
    <mergeCell ref="REC28:RED28"/>
    <mergeCell ref="REE28:REF28"/>
    <mergeCell ref="REG28:REH28"/>
    <mergeCell ref="REI28:REJ28"/>
    <mergeCell ref="REK28:REL28"/>
    <mergeCell ref="REM28:REN28"/>
    <mergeCell ref="RDQ28:RDR28"/>
    <mergeCell ref="RDS28:RDT28"/>
    <mergeCell ref="RDU28:RDV28"/>
    <mergeCell ref="RDW28:RDX28"/>
    <mergeCell ref="RDY28:RDZ28"/>
    <mergeCell ref="REA28:REB28"/>
    <mergeCell ref="RDE28:RDF28"/>
    <mergeCell ref="RDG28:RDH28"/>
    <mergeCell ref="RDI28:RDJ28"/>
    <mergeCell ref="RDK28:RDL28"/>
    <mergeCell ref="RDM28:RDN28"/>
    <mergeCell ref="RDO28:RDP28"/>
    <mergeCell ref="RCS28:RCT28"/>
    <mergeCell ref="RCU28:RCV28"/>
    <mergeCell ref="RCW28:RCX28"/>
    <mergeCell ref="RCY28:RCZ28"/>
    <mergeCell ref="RDA28:RDB28"/>
    <mergeCell ref="RDC28:RDD28"/>
    <mergeCell ref="RCG28:RCH28"/>
    <mergeCell ref="RCI28:RCJ28"/>
    <mergeCell ref="RCK28:RCL28"/>
    <mergeCell ref="RCM28:RCN28"/>
    <mergeCell ref="RCO28:RCP28"/>
    <mergeCell ref="RCQ28:RCR28"/>
    <mergeCell ref="RBU28:RBV28"/>
    <mergeCell ref="RBW28:RBX28"/>
    <mergeCell ref="RBY28:RBZ28"/>
    <mergeCell ref="RCA28:RCB28"/>
    <mergeCell ref="RCC28:RCD28"/>
    <mergeCell ref="RCE28:RCF28"/>
    <mergeCell ref="RGW28:RGX28"/>
    <mergeCell ref="RGY28:RGZ28"/>
    <mergeCell ref="RHA28:RHB28"/>
    <mergeCell ref="RHC28:RHD28"/>
    <mergeCell ref="RHE28:RHF28"/>
    <mergeCell ref="RHG28:RHH28"/>
    <mergeCell ref="RGK28:RGL28"/>
    <mergeCell ref="RGM28:RGN28"/>
    <mergeCell ref="RGO28:RGP28"/>
    <mergeCell ref="RGQ28:RGR28"/>
    <mergeCell ref="RGS28:RGT28"/>
    <mergeCell ref="RGU28:RGV28"/>
    <mergeCell ref="RFY28:RFZ28"/>
    <mergeCell ref="RGA28:RGB28"/>
    <mergeCell ref="RGC28:RGD28"/>
    <mergeCell ref="RGE28:RGF28"/>
    <mergeCell ref="RGG28:RGH28"/>
    <mergeCell ref="RGI28:RGJ28"/>
    <mergeCell ref="RFM28:RFN28"/>
    <mergeCell ref="RFO28:RFP28"/>
    <mergeCell ref="RFQ28:RFR28"/>
    <mergeCell ref="RFS28:RFT28"/>
    <mergeCell ref="RFU28:RFV28"/>
    <mergeCell ref="RFW28:RFX28"/>
    <mergeCell ref="RFA28:RFB28"/>
    <mergeCell ref="RFC28:RFD28"/>
    <mergeCell ref="RFE28:RFF28"/>
    <mergeCell ref="RFG28:RFH28"/>
    <mergeCell ref="RFI28:RFJ28"/>
    <mergeCell ref="RFK28:RFL28"/>
    <mergeCell ref="REO28:REP28"/>
    <mergeCell ref="REQ28:RER28"/>
    <mergeCell ref="RES28:RET28"/>
    <mergeCell ref="REU28:REV28"/>
    <mergeCell ref="REW28:REX28"/>
    <mergeCell ref="REY28:REZ28"/>
    <mergeCell ref="RJQ28:RJR28"/>
    <mergeCell ref="RJS28:RJT28"/>
    <mergeCell ref="RJU28:RJV28"/>
    <mergeCell ref="RJW28:RJX28"/>
    <mergeCell ref="RJY28:RJZ28"/>
    <mergeCell ref="RKA28:RKB28"/>
    <mergeCell ref="RJE28:RJF28"/>
    <mergeCell ref="RJG28:RJH28"/>
    <mergeCell ref="RJI28:RJJ28"/>
    <mergeCell ref="RJK28:RJL28"/>
    <mergeCell ref="RJM28:RJN28"/>
    <mergeCell ref="RJO28:RJP28"/>
    <mergeCell ref="RIS28:RIT28"/>
    <mergeCell ref="RIU28:RIV28"/>
    <mergeCell ref="RIW28:RIX28"/>
    <mergeCell ref="RIY28:RIZ28"/>
    <mergeCell ref="RJA28:RJB28"/>
    <mergeCell ref="RJC28:RJD28"/>
    <mergeCell ref="RIG28:RIH28"/>
    <mergeCell ref="RII28:RIJ28"/>
    <mergeCell ref="RIK28:RIL28"/>
    <mergeCell ref="RIM28:RIN28"/>
    <mergeCell ref="RIO28:RIP28"/>
    <mergeCell ref="RIQ28:RIR28"/>
    <mergeCell ref="RHU28:RHV28"/>
    <mergeCell ref="RHW28:RHX28"/>
    <mergeCell ref="RHY28:RHZ28"/>
    <mergeCell ref="RIA28:RIB28"/>
    <mergeCell ref="RIC28:RID28"/>
    <mergeCell ref="RIE28:RIF28"/>
    <mergeCell ref="RHI28:RHJ28"/>
    <mergeCell ref="RHK28:RHL28"/>
    <mergeCell ref="RHM28:RHN28"/>
    <mergeCell ref="RHO28:RHP28"/>
    <mergeCell ref="RHQ28:RHR28"/>
    <mergeCell ref="RHS28:RHT28"/>
    <mergeCell ref="RMK28:RML28"/>
    <mergeCell ref="RMM28:RMN28"/>
    <mergeCell ref="RMO28:RMP28"/>
    <mergeCell ref="RMQ28:RMR28"/>
    <mergeCell ref="RMS28:RMT28"/>
    <mergeCell ref="RMU28:RMV28"/>
    <mergeCell ref="RLY28:RLZ28"/>
    <mergeCell ref="RMA28:RMB28"/>
    <mergeCell ref="RMC28:RMD28"/>
    <mergeCell ref="RME28:RMF28"/>
    <mergeCell ref="RMG28:RMH28"/>
    <mergeCell ref="RMI28:RMJ28"/>
    <mergeCell ref="RLM28:RLN28"/>
    <mergeCell ref="RLO28:RLP28"/>
    <mergeCell ref="RLQ28:RLR28"/>
    <mergeCell ref="RLS28:RLT28"/>
    <mergeCell ref="RLU28:RLV28"/>
    <mergeCell ref="RLW28:RLX28"/>
    <mergeCell ref="RLA28:RLB28"/>
    <mergeCell ref="RLC28:RLD28"/>
    <mergeCell ref="RLE28:RLF28"/>
    <mergeCell ref="RLG28:RLH28"/>
    <mergeCell ref="RLI28:RLJ28"/>
    <mergeCell ref="RLK28:RLL28"/>
    <mergeCell ref="RKO28:RKP28"/>
    <mergeCell ref="RKQ28:RKR28"/>
    <mergeCell ref="RKS28:RKT28"/>
    <mergeCell ref="RKU28:RKV28"/>
    <mergeCell ref="RKW28:RKX28"/>
    <mergeCell ref="RKY28:RKZ28"/>
    <mergeCell ref="RKC28:RKD28"/>
    <mergeCell ref="RKE28:RKF28"/>
    <mergeCell ref="RKG28:RKH28"/>
    <mergeCell ref="RKI28:RKJ28"/>
    <mergeCell ref="RKK28:RKL28"/>
    <mergeCell ref="RKM28:RKN28"/>
    <mergeCell ref="RPE28:RPF28"/>
    <mergeCell ref="RPG28:RPH28"/>
    <mergeCell ref="RPI28:RPJ28"/>
    <mergeCell ref="RPK28:RPL28"/>
    <mergeCell ref="RPM28:RPN28"/>
    <mergeCell ref="RPO28:RPP28"/>
    <mergeCell ref="ROS28:ROT28"/>
    <mergeCell ref="ROU28:ROV28"/>
    <mergeCell ref="ROW28:ROX28"/>
    <mergeCell ref="ROY28:ROZ28"/>
    <mergeCell ref="RPA28:RPB28"/>
    <mergeCell ref="RPC28:RPD28"/>
    <mergeCell ref="ROG28:ROH28"/>
    <mergeCell ref="ROI28:ROJ28"/>
    <mergeCell ref="ROK28:ROL28"/>
    <mergeCell ref="ROM28:RON28"/>
    <mergeCell ref="ROO28:ROP28"/>
    <mergeCell ref="ROQ28:ROR28"/>
    <mergeCell ref="RNU28:RNV28"/>
    <mergeCell ref="RNW28:RNX28"/>
    <mergeCell ref="RNY28:RNZ28"/>
    <mergeCell ref="ROA28:ROB28"/>
    <mergeCell ref="ROC28:ROD28"/>
    <mergeCell ref="ROE28:ROF28"/>
    <mergeCell ref="RNI28:RNJ28"/>
    <mergeCell ref="RNK28:RNL28"/>
    <mergeCell ref="RNM28:RNN28"/>
    <mergeCell ref="RNO28:RNP28"/>
    <mergeCell ref="RNQ28:RNR28"/>
    <mergeCell ref="RNS28:RNT28"/>
    <mergeCell ref="RMW28:RMX28"/>
    <mergeCell ref="RMY28:RMZ28"/>
    <mergeCell ref="RNA28:RNB28"/>
    <mergeCell ref="RNC28:RND28"/>
    <mergeCell ref="RNE28:RNF28"/>
    <mergeCell ref="RNG28:RNH28"/>
    <mergeCell ref="RRY28:RRZ28"/>
    <mergeCell ref="RSA28:RSB28"/>
    <mergeCell ref="RSC28:RSD28"/>
    <mergeCell ref="RSE28:RSF28"/>
    <mergeCell ref="RSG28:RSH28"/>
    <mergeCell ref="RSI28:RSJ28"/>
    <mergeCell ref="RRM28:RRN28"/>
    <mergeCell ref="RRO28:RRP28"/>
    <mergeCell ref="RRQ28:RRR28"/>
    <mergeCell ref="RRS28:RRT28"/>
    <mergeCell ref="RRU28:RRV28"/>
    <mergeCell ref="RRW28:RRX28"/>
    <mergeCell ref="RRA28:RRB28"/>
    <mergeCell ref="RRC28:RRD28"/>
    <mergeCell ref="RRE28:RRF28"/>
    <mergeCell ref="RRG28:RRH28"/>
    <mergeCell ref="RRI28:RRJ28"/>
    <mergeCell ref="RRK28:RRL28"/>
    <mergeCell ref="RQO28:RQP28"/>
    <mergeCell ref="RQQ28:RQR28"/>
    <mergeCell ref="RQS28:RQT28"/>
    <mergeCell ref="RQU28:RQV28"/>
    <mergeCell ref="RQW28:RQX28"/>
    <mergeCell ref="RQY28:RQZ28"/>
    <mergeCell ref="RQC28:RQD28"/>
    <mergeCell ref="RQE28:RQF28"/>
    <mergeCell ref="RQG28:RQH28"/>
    <mergeCell ref="RQI28:RQJ28"/>
    <mergeCell ref="RQK28:RQL28"/>
    <mergeCell ref="RQM28:RQN28"/>
    <mergeCell ref="RPQ28:RPR28"/>
    <mergeCell ref="RPS28:RPT28"/>
    <mergeCell ref="RPU28:RPV28"/>
    <mergeCell ref="RPW28:RPX28"/>
    <mergeCell ref="RPY28:RPZ28"/>
    <mergeCell ref="RQA28:RQB28"/>
    <mergeCell ref="RUS28:RUT28"/>
    <mergeCell ref="RUU28:RUV28"/>
    <mergeCell ref="RUW28:RUX28"/>
    <mergeCell ref="RUY28:RUZ28"/>
    <mergeCell ref="RVA28:RVB28"/>
    <mergeCell ref="RVC28:RVD28"/>
    <mergeCell ref="RUG28:RUH28"/>
    <mergeCell ref="RUI28:RUJ28"/>
    <mergeCell ref="RUK28:RUL28"/>
    <mergeCell ref="RUM28:RUN28"/>
    <mergeCell ref="RUO28:RUP28"/>
    <mergeCell ref="RUQ28:RUR28"/>
    <mergeCell ref="RTU28:RTV28"/>
    <mergeCell ref="RTW28:RTX28"/>
    <mergeCell ref="RTY28:RTZ28"/>
    <mergeCell ref="RUA28:RUB28"/>
    <mergeCell ref="RUC28:RUD28"/>
    <mergeCell ref="RUE28:RUF28"/>
    <mergeCell ref="RTI28:RTJ28"/>
    <mergeCell ref="RTK28:RTL28"/>
    <mergeCell ref="RTM28:RTN28"/>
    <mergeCell ref="RTO28:RTP28"/>
    <mergeCell ref="RTQ28:RTR28"/>
    <mergeCell ref="RTS28:RTT28"/>
    <mergeCell ref="RSW28:RSX28"/>
    <mergeCell ref="RSY28:RSZ28"/>
    <mergeCell ref="RTA28:RTB28"/>
    <mergeCell ref="RTC28:RTD28"/>
    <mergeCell ref="RTE28:RTF28"/>
    <mergeCell ref="RTG28:RTH28"/>
    <mergeCell ref="RSK28:RSL28"/>
    <mergeCell ref="RSM28:RSN28"/>
    <mergeCell ref="RSO28:RSP28"/>
    <mergeCell ref="RSQ28:RSR28"/>
    <mergeCell ref="RSS28:RST28"/>
    <mergeCell ref="RSU28:RSV28"/>
    <mergeCell ref="RXM28:RXN28"/>
    <mergeCell ref="RXO28:RXP28"/>
    <mergeCell ref="RXQ28:RXR28"/>
    <mergeCell ref="RXS28:RXT28"/>
    <mergeCell ref="RXU28:RXV28"/>
    <mergeCell ref="RXW28:RXX28"/>
    <mergeCell ref="RXA28:RXB28"/>
    <mergeCell ref="RXC28:RXD28"/>
    <mergeCell ref="RXE28:RXF28"/>
    <mergeCell ref="RXG28:RXH28"/>
    <mergeCell ref="RXI28:RXJ28"/>
    <mergeCell ref="RXK28:RXL28"/>
    <mergeCell ref="RWO28:RWP28"/>
    <mergeCell ref="RWQ28:RWR28"/>
    <mergeCell ref="RWS28:RWT28"/>
    <mergeCell ref="RWU28:RWV28"/>
    <mergeCell ref="RWW28:RWX28"/>
    <mergeCell ref="RWY28:RWZ28"/>
    <mergeCell ref="RWC28:RWD28"/>
    <mergeCell ref="RWE28:RWF28"/>
    <mergeCell ref="RWG28:RWH28"/>
    <mergeCell ref="RWI28:RWJ28"/>
    <mergeCell ref="RWK28:RWL28"/>
    <mergeCell ref="RWM28:RWN28"/>
    <mergeCell ref="RVQ28:RVR28"/>
    <mergeCell ref="RVS28:RVT28"/>
    <mergeCell ref="RVU28:RVV28"/>
    <mergeCell ref="RVW28:RVX28"/>
    <mergeCell ref="RVY28:RVZ28"/>
    <mergeCell ref="RWA28:RWB28"/>
    <mergeCell ref="RVE28:RVF28"/>
    <mergeCell ref="RVG28:RVH28"/>
    <mergeCell ref="RVI28:RVJ28"/>
    <mergeCell ref="RVK28:RVL28"/>
    <mergeCell ref="RVM28:RVN28"/>
    <mergeCell ref="RVO28:RVP28"/>
    <mergeCell ref="SAG28:SAH28"/>
    <mergeCell ref="SAI28:SAJ28"/>
    <mergeCell ref="SAK28:SAL28"/>
    <mergeCell ref="SAM28:SAN28"/>
    <mergeCell ref="SAO28:SAP28"/>
    <mergeCell ref="SAQ28:SAR28"/>
    <mergeCell ref="RZU28:RZV28"/>
    <mergeCell ref="RZW28:RZX28"/>
    <mergeCell ref="RZY28:RZZ28"/>
    <mergeCell ref="SAA28:SAB28"/>
    <mergeCell ref="SAC28:SAD28"/>
    <mergeCell ref="SAE28:SAF28"/>
    <mergeCell ref="RZI28:RZJ28"/>
    <mergeCell ref="RZK28:RZL28"/>
    <mergeCell ref="RZM28:RZN28"/>
    <mergeCell ref="RZO28:RZP28"/>
    <mergeCell ref="RZQ28:RZR28"/>
    <mergeCell ref="RZS28:RZT28"/>
    <mergeCell ref="RYW28:RYX28"/>
    <mergeCell ref="RYY28:RYZ28"/>
    <mergeCell ref="RZA28:RZB28"/>
    <mergeCell ref="RZC28:RZD28"/>
    <mergeCell ref="RZE28:RZF28"/>
    <mergeCell ref="RZG28:RZH28"/>
    <mergeCell ref="RYK28:RYL28"/>
    <mergeCell ref="RYM28:RYN28"/>
    <mergeCell ref="RYO28:RYP28"/>
    <mergeCell ref="RYQ28:RYR28"/>
    <mergeCell ref="RYS28:RYT28"/>
    <mergeCell ref="RYU28:RYV28"/>
    <mergeCell ref="RXY28:RXZ28"/>
    <mergeCell ref="RYA28:RYB28"/>
    <mergeCell ref="RYC28:RYD28"/>
    <mergeCell ref="RYE28:RYF28"/>
    <mergeCell ref="RYG28:RYH28"/>
    <mergeCell ref="RYI28:RYJ28"/>
    <mergeCell ref="SDA28:SDB28"/>
    <mergeCell ref="SDC28:SDD28"/>
    <mergeCell ref="SDE28:SDF28"/>
    <mergeCell ref="SDG28:SDH28"/>
    <mergeCell ref="SDI28:SDJ28"/>
    <mergeCell ref="SDK28:SDL28"/>
    <mergeCell ref="SCO28:SCP28"/>
    <mergeCell ref="SCQ28:SCR28"/>
    <mergeCell ref="SCS28:SCT28"/>
    <mergeCell ref="SCU28:SCV28"/>
    <mergeCell ref="SCW28:SCX28"/>
    <mergeCell ref="SCY28:SCZ28"/>
    <mergeCell ref="SCC28:SCD28"/>
    <mergeCell ref="SCE28:SCF28"/>
    <mergeCell ref="SCG28:SCH28"/>
    <mergeCell ref="SCI28:SCJ28"/>
    <mergeCell ref="SCK28:SCL28"/>
    <mergeCell ref="SCM28:SCN28"/>
    <mergeCell ref="SBQ28:SBR28"/>
    <mergeCell ref="SBS28:SBT28"/>
    <mergeCell ref="SBU28:SBV28"/>
    <mergeCell ref="SBW28:SBX28"/>
    <mergeCell ref="SBY28:SBZ28"/>
    <mergeCell ref="SCA28:SCB28"/>
    <mergeCell ref="SBE28:SBF28"/>
    <mergeCell ref="SBG28:SBH28"/>
    <mergeCell ref="SBI28:SBJ28"/>
    <mergeCell ref="SBK28:SBL28"/>
    <mergeCell ref="SBM28:SBN28"/>
    <mergeCell ref="SBO28:SBP28"/>
    <mergeCell ref="SAS28:SAT28"/>
    <mergeCell ref="SAU28:SAV28"/>
    <mergeCell ref="SAW28:SAX28"/>
    <mergeCell ref="SAY28:SAZ28"/>
    <mergeCell ref="SBA28:SBB28"/>
    <mergeCell ref="SBC28:SBD28"/>
    <mergeCell ref="SFU28:SFV28"/>
    <mergeCell ref="SFW28:SFX28"/>
    <mergeCell ref="SFY28:SFZ28"/>
    <mergeCell ref="SGA28:SGB28"/>
    <mergeCell ref="SGC28:SGD28"/>
    <mergeCell ref="SGE28:SGF28"/>
    <mergeCell ref="SFI28:SFJ28"/>
    <mergeCell ref="SFK28:SFL28"/>
    <mergeCell ref="SFM28:SFN28"/>
    <mergeCell ref="SFO28:SFP28"/>
    <mergeCell ref="SFQ28:SFR28"/>
    <mergeCell ref="SFS28:SFT28"/>
    <mergeCell ref="SEW28:SEX28"/>
    <mergeCell ref="SEY28:SEZ28"/>
    <mergeCell ref="SFA28:SFB28"/>
    <mergeCell ref="SFC28:SFD28"/>
    <mergeCell ref="SFE28:SFF28"/>
    <mergeCell ref="SFG28:SFH28"/>
    <mergeCell ref="SEK28:SEL28"/>
    <mergeCell ref="SEM28:SEN28"/>
    <mergeCell ref="SEO28:SEP28"/>
    <mergeCell ref="SEQ28:SER28"/>
    <mergeCell ref="SES28:SET28"/>
    <mergeCell ref="SEU28:SEV28"/>
    <mergeCell ref="SDY28:SDZ28"/>
    <mergeCell ref="SEA28:SEB28"/>
    <mergeCell ref="SEC28:SED28"/>
    <mergeCell ref="SEE28:SEF28"/>
    <mergeCell ref="SEG28:SEH28"/>
    <mergeCell ref="SEI28:SEJ28"/>
    <mergeCell ref="SDM28:SDN28"/>
    <mergeCell ref="SDO28:SDP28"/>
    <mergeCell ref="SDQ28:SDR28"/>
    <mergeCell ref="SDS28:SDT28"/>
    <mergeCell ref="SDU28:SDV28"/>
    <mergeCell ref="SDW28:SDX28"/>
    <mergeCell ref="SIO28:SIP28"/>
    <mergeCell ref="SIQ28:SIR28"/>
    <mergeCell ref="SIS28:SIT28"/>
    <mergeCell ref="SIU28:SIV28"/>
    <mergeCell ref="SIW28:SIX28"/>
    <mergeCell ref="SIY28:SIZ28"/>
    <mergeCell ref="SIC28:SID28"/>
    <mergeCell ref="SIE28:SIF28"/>
    <mergeCell ref="SIG28:SIH28"/>
    <mergeCell ref="SII28:SIJ28"/>
    <mergeCell ref="SIK28:SIL28"/>
    <mergeCell ref="SIM28:SIN28"/>
    <mergeCell ref="SHQ28:SHR28"/>
    <mergeCell ref="SHS28:SHT28"/>
    <mergeCell ref="SHU28:SHV28"/>
    <mergeCell ref="SHW28:SHX28"/>
    <mergeCell ref="SHY28:SHZ28"/>
    <mergeCell ref="SIA28:SIB28"/>
    <mergeCell ref="SHE28:SHF28"/>
    <mergeCell ref="SHG28:SHH28"/>
    <mergeCell ref="SHI28:SHJ28"/>
    <mergeCell ref="SHK28:SHL28"/>
    <mergeCell ref="SHM28:SHN28"/>
    <mergeCell ref="SHO28:SHP28"/>
    <mergeCell ref="SGS28:SGT28"/>
    <mergeCell ref="SGU28:SGV28"/>
    <mergeCell ref="SGW28:SGX28"/>
    <mergeCell ref="SGY28:SGZ28"/>
    <mergeCell ref="SHA28:SHB28"/>
    <mergeCell ref="SHC28:SHD28"/>
    <mergeCell ref="SGG28:SGH28"/>
    <mergeCell ref="SGI28:SGJ28"/>
    <mergeCell ref="SGK28:SGL28"/>
    <mergeCell ref="SGM28:SGN28"/>
    <mergeCell ref="SGO28:SGP28"/>
    <mergeCell ref="SGQ28:SGR28"/>
    <mergeCell ref="SLI28:SLJ28"/>
    <mergeCell ref="SLK28:SLL28"/>
    <mergeCell ref="SLM28:SLN28"/>
    <mergeCell ref="SLO28:SLP28"/>
    <mergeCell ref="SLQ28:SLR28"/>
    <mergeCell ref="SLS28:SLT28"/>
    <mergeCell ref="SKW28:SKX28"/>
    <mergeCell ref="SKY28:SKZ28"/>
    <mergeCell ref="SLA28:SLB28"/>
    <mergeCell ref="SLC28:SLD28"/>
    <mergeCell ref="SLE28:SLF28"/>
    <mergeCell ref="SLG28:SLH28"/>
    <mergeCell ref="SKK28:SKL28"/>
    <mergeCell ref="SKM28:SKN28"/>
    <mergeCell ref="SKO28:SKP28"/>
    <mergeCell ref="SKQ28:SKR28"/>
    <mergeCell ref="SKS28:SKT28"/>
    <mergeCell ref="SKU28:SKV28"/>
    <mergeCell ref="SJY28:SJZ28"/>
    <mergeCell ref="SKA28:SKB28"/>
    <mergeCell ref="SKC28:SKD28"/>
    <mergeCell ref="SKE28:SKF28"/>
    <mergeCell ref="SKG28:SKH28"/>
    <mergeCell ref="SKI28:SKJ28"/>
    <mergeCell ref="SJM28:SJN28"/>
    <mergeCell ref="SJO28:SJP28"/>
    <mergeCell ref="SJQ28:SJR28"/>
    <mergeCell ref="SJS28:SJT28"/>
    <mergeCell ref="SJU28:SJV28"/>
    <mergeCell ref="SJW28:SJX28"/>
    <mergeCell ref="SJA28:SJB28"/>
    <mergeCell ref="SJC28:SJD28"/>
    <mergeCell ref="SJE28:SJF28"/>
    <mergeCell ref="SJG28:SJH28"/>
    <mergeCell ref="SJI28:SJJ28"/>
    <mergeCell ref="SJK28:SJL28"/>
    <mergeCell ref="SOC28:SOD28"/>
    <mergeCell ref="SOE28:SOF28"/>
    <mergeCell ref="SOG28:SOH28"/>
    <mergeCell ref="SOI28:SOJ28"/>
    <mergeCell ref="SOK28:SOL28"/>
    <mergeCell ref="SOM28:SON28"/>
    <mergeCell ref="SNQ28:SNR28"/>
    <mergeCell ref="SNS28:SNT28"/>
    <mergeCell ref="SNU28:SNV28"/>
    <mergeCell ref="SNW28:SNX28"/>
    <mergeCell ref="SNY28:SNZ28"/>
    <mergeCell ref="SOA28:SOB28"/>
    <mergeCell ref="SNE28:SNF28"/>
    <mergeCell ref="SNG28:SNH28"/>
    <mergeCell ref="SNI28:SNJ28"/>
    <mergeCell ref="SNK28:SNL28"/>
    <mergeCell ref="SNM28:SNN28"/>
    <mergeCell ref="SNO28:SNP28"/>
    <mergeCell ref="SMS28:SMT28"/>
    <mergeCell ref="SMU28:SMV28"/>
    <mergeCell ref="SMW28:SMX28"/>
    <mergeCell ref="SMY28:SMZ28"/>
    <mergeCell ref="SNA28:SNB28"/>
    <mergeCell ref="SNC28:SND28"/>
    <mergeCell ref="SMG28:SMH28"/>
    <mergeCell ref="SMI28:SMJ28"/>
    <mergeCell ref="SMK28:SML28"/>
    <mergeCell ref="SMM28:SMN28"/>
    <mergeCell ref="SMO28:SMP28"/>
    <mergeCell ref="SMQ28:SMR28"/>
    <mergeCell ref="SLU28:SLV28"/>
    <mergeCell ref="SLW28:SLX28"/>
    <mergeCell ref="SLY28:SLZ28"/>
    <mergeCell ref="SMA28:SMB28"/>
    <mergeCell ref="SMC28:SMD28"/>
    <mergeCell ref="SME28:SMF28"/>
    <mergeCell ref="SQW28:SQX28"/>
    <mergeCell ref="SQY28:SQZ28"/>
    <mergeCell ref="SRA28:SRB28"/>
    <mergeCell ref="SRC28:SRD28"/>
    <mergeCell ref="SRE28:SRF28"/>
    <mergeCell ref="SRG28:SRH28"/>
    <mergeCell ref="SQK28:SQL28"/>
    <mergeCell ref="SQM28:SQN28"/>
    <mergeCell ref="SQO28:SQP28"/>
    <mergeCell ref="SQQ28:SQR28"/>
    <mergeCell ref="SQS28:SQT28"/>
    <mergeCell ref="SQU28:SQV28"/>
    <mergeCell ref="SPY28:SPZ28"/>
    <mergeCell ref="SQA28:SQB28"/>
    <mergeCell ref="SQC28:SQD28"/>
    <mergeCell ref="SQE28:SQF28"/>
    <mergeCell ref="SQG28:SQH28"/>
    <mergeCell ref="SQI28:SQJ28"/>
    <mergeCell ref="SPM28:SPN28"/>
    <mergeCell ref="SPO28:SPP28"/>
    <mergeCell ref="SPQ28:SPR28"/>
    <mergeCell ref="SPS28:SPT28"/>
    <mergeCell ref="SPU28:SPV28"/>
    <mergeCell ref="SPW28:SPX28"/>
    <mergeCell ref="SPA28:SPB28"/>
    <mergeCell ref="SPC28:SPD28"/>
    <mergeCell ref="SPE28:SPF28"/>
    <mergeCell ref="SPG28:SPH28"/>
    <mergeCell ref="SPI28:SPJ28"/>
    <mergeCell ref="SPK28:SPL28"/>
    <mergeCell ref="SOO28:SOP28"/>
    <mergeCell ref="SOQ28:SOR28"/>
    <mergeCell ref="SOS28:SOT28"/>
    <mergeCell ref="SOU28:SOV28"/>
    <mergeCell ref="SOW28:SOX28"/>
    <mergeCell ref="SOY28:SOZ28"/>
    <mergeCell ref="STQ28:STR28"/>
    <mergeCell ref="STS28:STT28"/>
    <mergeCell ref="STU28:STV28"/>
    <mergeCell ref="STW28:STX28"/>
    <mergeCell ref="STY28:STZ28"/>
    <mergeCell ref="SUA28:SUB28"/>
    <mergeCell ref="STE28:STF28"/>
    <mergeCell ref="STG28:STH28"/>
    <mergeCell ref="STI28:STJ28"/>
    <mergeCell ref="STK28:STL28"/>
    <mergeCell ref="STM28:STN28"/>
    <mergeCell ref="STO28:STP28"/>
    <mergeCell ref="SSS28:SST28"/>
    <mergeCell ref="SSU28:SSV28"/>
    <mergeCell ref="SSW28:SSX28"/>
    <mergeCell ref="SSY28:SSZ28"/>
    <mergeCell ref="STA28:STB28"/>
    <mergeCell ref="STC28:STD28"/>
    <mergeCell ref="SSG28:SSH28"/>
    <mergeCell ref="SSI28:SSJ28"/>
    <mergeCell ref="SSK28:SSL28"/>
    <mergeCell ref="SSM28:SSN28"/>
    <mergeCell ref="SSO28:SSP28"/>
    <mergeCell ref="SSQ28:SSR28"/>
    <mergeCell ref="SRU28:SRV28"/>
    <mergeCell ref="SRW28:SRX28"/>
    <mergeCell ref="SRY28:SRZ28"/>
    <mergeCell ref="SSA28:SSB28"/>
    <mergeCell ref="SSC28:SSD28"/>
    <mergeCell ref="SSE28:SSF28"/>
    <mergeCell ref="SRI28:SRJ28"/>
    <mergeCell ref="SRK28:SRL28"/>
    <mergeCell ref="SRM28:SRN28"/>
    <mergeCell ref="SRO28:SRP28"/>
    <mergeCell ref="SRQ28:SRR28"/>
    <mergeCell ref="SRS28:SRT28"/>
    <mergeCell ref="SWK28:SWL28"/>
    <mergeCell ref="SWM28:SWN28"/>
    <mergeCell ref="SWO28:SWP28"/>
    <mergeCell ref="SWQ28:SWR28"/>
    <mergeCell ref="SWS28:SWT28"/>
    <mergeCell ref="SWU28:SWV28"/>
    <mergeCell ref="SVY28:SVZ28"/>
    <mergeCell ref="SWA28:SWB28"/>
    <mergeCell ref="SWC28:SWD28"/>
    <mergeCell ref="SWE28:SWF28"/>
    <mergeCell ref="SWG28:SWH28"/>
    <mergeCell ref="SWI28:SWJ28"/>
    <mergeCell ref="SVM28:SVN28"/>
    <mergeCell ref="SVO28:SVP28"/>
    <mergeCell ref="SVQ28:SVR28"/>
    <mergeCell ref="SVS28:SVT28"/>
    <mergeCell ref="SVU28:SVV28"/>
    <mergeCell ref="SVW28:SVX28"/>
    <mergeCell ref="SVA28:SVB28"/>
    <mergeCell ref="SVC28:SVD28"/>
    <mergeCell ref="SVE28:SVF28"/>
    <mergeCell ref="SVG28:SVH28"/>
    <mergeCell ref="SVI28:SVJ28"/>
    <mergeCell ref="SVK28:SVL28"/>
    <mergeCell ref="SUO28:SUP28"/>
    <mergeCell ref="SUQ28:SUR28"/>
    <mergeCell ref="SUS28:SUT28"/>
    <mergeCell ref="SUU28:SUV28"/>
    <mergeCell ref="SUW28:SUX28"/>
    <mergeCell ref="SUY28:SUZ28"/>
    <mergeCell ref="SUC28:SUD28"/>
    <mergeCell ref="SUE28:SUF28"/>
    <mergeCell ref="SUG28:SUH28"/>
    <mergeCell ref="SUI28:SUJ28"/>
    <mergeCell ref="SUK28:SUL28"/>
    <mergeCell ref="SUM28:SUN28"/>
    <mergeCell ref="SZE28:SZF28"/>
    <mergeCell ref="SZG28:SZH28"/>
    <mergeCell ref="SZI28:SZJ28"/>
    <mergeCell ref="SZK28:SZL28"/>
    <mergeCell ref="SZM28:SZN28"/>
    <mergeCell ref="SZO28:SZP28"/>
    <mergeCell ref="SYS28:SYT28"/>
    <mergeCell ref="SYU28:SYV28"/>
    <mergeCell ref="SYW28:SYX28"/>
    <mergeCell ref="SYY28:SYZ28"/>
    <mergeCell ref="SZA28:SZB28"/>
    <mergeCell ref="SZC28:SZD28"/>
    <mergeCell ref="SYG28:SYH28"/>
    <mergeCell ref="SYI28:SYJ28"/>
    <mergeCell ref="SYK28:SYL28"/>
    <mergeCell ref="SYM28:SYN28"/>
    <mergeCell ref="SYO28:SYP28"/>
    <mergeCell ref="SYQ28:SYR28"/>
    <mergeCell ref="SXU28:SXV28"/>
    <mergeCell ref="SXW28:SXX28"/>
    <mergeCell ref="SXY28:SXZ28"/>
    <mergeCell ref="SYA28:SYB28"/>
    <mergeCell ref="SYC28:SYD28"/>
    <mergeCell ref="SYE28:SYF28"/>
    <mergeCell ref="SXI28:SXJ28"/>
    <mergeCell ref="SXK28:SXL28"/>
    <mergeCell ref="SXM28:SXN28"/>
    <mergeCell ref="SXO28:SXP28"/>
    <mergeCell ref="SXQ28:SXR28"/>
    <mergeCell ref="SXS28:SXT28"/>
    <mergeCell ref="SWW28:SWX28"/>
    <mergeCell ref="SWY28:SWZ28"/>
    <mergeCell ref="SXA28:SXB28"/>
    <mergeCell ref="SXC28:SXD28"/>
    <mergeCell ref="SXE28:SXF28"/>
    <mergeCell ref="SXG28:SXH28"/>
    <mergeCell ref="TBY28:TBZ28"/>
    <mergeCell ref="TCA28:TCB28"/>
    <mergeCell ref="TCC28:TCD28"/>
    <mergeCell ref="TCE28:TCF28"/>
    <mergeCell ref="TCG28:TCH28"/>
    <mergeCell ref="TCI28:TCJ28"/>
    <mergeCell ref="TBM28:TBN28"/>
    <mergeCell ref="TBO28:TBP28"/>
    <mergeCell ref="TBQ28:TBR28"/>
    <mergeCell ref="TBS28:TBT28"/>
    <mergeCell ref="TBU28:TBV28"/>
    <mergeCell ref="TBW28:TBX28"/>
    <mergeCell ref="TBA28:TBB28"/>
    <mergeCell ref="TBC28:TBD28"/>
    <mergeCell ref="TBE28:TBF28"/>
    <mergeCell ref="TBG28:TBH28"/>
    <mergeCell ref="TBI28:TBJ28"/>
    <mergeCell ref="TBK28:TBL28"/>
    <mergeCell ref="TAO28:TAP28"/>
    <mergeCell ref="TAQ28:TAR28"/>
    <mergeCell ref="TAS28:TAT28"/>
    <mergeCell ref="TAU28:TAV28"/>
    <mergeCell ref="TAW28:TAX28"/>
    <mergeCell ref="TAY28:TAZ28"/>
    <mergeCell ref="TAC28:TAD28"/>
    <mergeCell ref="TAE28:TAF28"/>
    <mergeCell ref="TAG28:TAH28"/>
    <mergeCell ref="TAI28:TAJ28"/>
    <mergeCell ref="TAK28:TAL28"/>
    <mergeCell ref="TAM28:TAN28"/>
    <mergeCell ref="SZQ28:SZR28"/>
    <mergeCell ref="SZS28:SZT28"/>
    <mergeCell ref="SZU28:SZV28"/>
    <mergeCell ref="SZW28:SZX28"/>
    <mergeCell ref="SZY28:SZZ28"/>
    <mergeCell ref="TAA28:TAB28"/>
    <mergeCell ref="TES28:TET28"/>
    <mergeCell ref="TEU28:TEV28"/>
    <mergeCell ref="TEW28:TEX28"/>
    <mergeCell ref="TEY28:TEZ28"/>
    <mergeCell ref="TFA28:TFB28"/>
    <mergeCell ref="TFC28:TFD28"/>
    <mergeCell ref="TEG28:TEH28"/>
    <mergeCell ref="TEI28:TEJ28"/>
    <mergeCell ref="TEK28:TEL28"/>
    <mergeCell ref="TEM28:TEN28"/>
    <mergeCell ref="TEO28:TEP28"/>
    <mergeCell ref="TEQ28:TER28"/>
    <mergeCell ref="TDU28:TDV28"/>
    <mergeCell ref="TDW28:TDX28"/>
    <mergeCell ref="TDY28:TDZ28"/>
    <mergeCell ref="TEA28:TEB28"/>
    <mergeCell ref="TEC28:TED28"/>
    <mergeCell ref="TEE28:TEF28"/>
    <mergeCell ref="TDI28:TDJ28"/>
    <mergeCell ref="TDK28:TDL28"/>
    <mergeCell ref="TDM28:TDN28"/>
    <mergeCell ref="TDO28:TDP28"/>
    <mergeCell ref="TDQ28:TDR28"/>
    <mergeCell ref="TDS28:TDT28"/>
    <mergeCell ref="TCW28:TCX28"/>
    <mergeCell ref="TCY28:TCZ28"/>
    <mergeCell ref="TDA28:TDB28"/>
    <mergeCell ref="TDC28:TDD28"/>
    <mergeCell ref="TDE28:TDF28"/>
    <mergeCell ref="TDG28:TDH28"/>
    <mergeCell ref="TCK28:TCL28"/>
    <mergeCell ref="TCM28:TCN28"/>
    <mergeCell ref="TCO28:TCP28"/>
    <mergeCell ref="TCQ28:TCR28"/>
    <mergeCell ref="TCS28:TCT28"/>
    <mergeCell ref="TCU28:TCV28"/>
    <mergeCell ref="THM28:THN28"/>
    <mergeCell ref="THO28:THP28"/>
    <mergeCell ref="THQ28:THR28"/>
    <mergeCell ref="THS28:THT28"/>
    <mergeCell ref="THU28:THV28"/>
    <mergeCell ref="THW28:THX28"/>
    <mergeCell ref="THA28:THB28"/>
    <mergeCell ref="THC28:THD28"/>
    <mergeCell ref="THE28:THF28"/>
    <mergeCell ref="THG28:THH28"/>
    <mergeCell ref="THI28:THJ28"/>
    <mergeCell ref="THK28:THL28"/>
    <mergeCell ref="TGO28:TGP28"/>
    <mergeCell ref="TGQ28:TGR28"/>
    <mergeCell ref="TGS28:TGT28"/>
    <mergeCell ref="TGU28:TGV28"/>
    <mergeCell ref="TGW28:TGX28"/>
    <mergeCell ref="TGY28:TGZ28"/>
    <mergeCell ref="TGC28:TGD28"/>
    <mergeCell ref="TGE28:TGF28"/>
    <mergeCell ref="TGG28:TGH28"/>
    <mergeCell ref="TGI28:TGJ28"/>
    <mergeCell ref="TGK28:TGL28"/>
    <mergeCell ref="TGM28:TGN28"/>
    <mergeCell ref="TFQ28:TFR28"/>
    <mergeCell ref="TFS28:TFT28"/>
    <mergeCell ref="TFU28:TFV28"/>
    <mergeCell ref="TFW28:TFX28"/>
    <mergeCell ref="TFY28:TFZ28"/>
    <mergeCell ref="TGA28:TGB28"/>
    <mergeCell ref="TFE28:TFF28"/>
    <mergeCell ref="TFG28:TFH28"/>
    <mergeCell ref="TFI28:TFJ28"/>
    <mergeCell ref="TFK28:TFL28"/>
    <mergeCell ref="TFM28:TFN28"/>
    <mergeCell ref="TFO28:TFP28"/>
    <mergeCell ref="TKG28:TKH28"/>
    <mergeCell ref="TKI28:TKJ28"/>
    <mergeCell ref="TKK28:TKL28"/>
    <mergeCell ref="TKM28:TKN28"/>
    <mergeCell ref="TKO28:TKP28"/>
    <mergeCell ref="TKQ28:TKR28"/>
    <mergeCell ref="TJU28:TJV28"/>
    <mergeCell ref="TJW28:TJX28"/>
    <mergeCell ref="TJY28:TJZ28"/>
    <mergeCell ref="TKA28:TKB28"/>
    <mergeCell ref="TKC28:TKD28"/>
    <mergeCell ref="TKE28:TKF28"/>
    <mergeCell ref="TJI28:TJJ28"/>
    <mergeCell ref="TJK28:TJL28"/>
    <mergeCell ref="TJM28:TJN28"/>
    <mergeCell ref="TJO28:TJP28"/>
    <mergeCell ref="TJQ28:TJR28"/>
    <mergeCell ref="TJS28:TJT28"/>
    <mergeCell ref="TIW28:TIX28"/>
    <mergeCell ref="TIY28:TIZ28"/>
    <mergeCell ref="TJA28:TJB28"/>
    <mergeCell ref="TJC28:TJD28"/>
    <mergeCell ref="TJE28:TJF28"/>
    <mergeCell ref="TJG28:TJH28"/>
    <mergeCell ref="TIK28:TIL28"/>
    <mergeCell ref="TIM28:TIN28"/>
    <mergeCell ref="TIO28:TIP28"/>
    <mergeCell ref="TIQ28:TIR28"/>
    <mergeCell ref="TIS28:TIT28"/>
    <mergeCell ref="TIU28:TIV28"/>
    <mergeCell ref="THY28:THZ28"/>
    <mergeCell ref="TIA28:TIB28"/>
    <mergeCell ref="TIC28:TID28"/>
    <mergeCell ref="TIE28:TIF28"/>
    <mergeCell ref="TIG28:TIH28"/>
    <mergeCell ref="TII28:TIJ28"/>
    <mergeCell ref="TNA28:TNB28"/>
    <mergeCell ref="TNC28:TND28"/>
    <mergeCell ref="TNE28:TNF28"/>
    <mergeCell ref="TNG28:TNH28"/>
    <mergeCell ref="TNI28:TNJ28"/>
    <mergeCell ref="TNK28:TNL28"/>
    <mergeCell ref="TMO28:TMP28"/>
    <mergeCell ref="TMQ28:TMR28"/>
    <mergeCell ref="TMS28:TMT28"/>
    <mergeCell ref="TMU28:TMV28"/>
    <mergeCell ref="TMW28:TMX28"/>
    <mergeCell ref="TMY28:TMZ28"/>
    <mergeCell ref="TMC28:TMD28"/>
    <mergeCell ref="TME28:TMF28"/>
    <mergeCell ref="TMG28:TMH28"/>
    <mergeCell ref="TMI28:TMJ28"/>
    <mergeCell ref="TMK28:TML28"/>
    <mergeCell ref="TMM28:TMN28"/>
    <mergeCell ref="TLQ28:TLR28"/>
    <mergeCell ref="TLS28:TLT28"/>
    <mergeCell ref="TLU28:TLV28"/>
    <mergeCell ref="TLW28:TLX28"/>
    <mergeCell ref="TLY28:TLZ28"/>
    <mergeCell ref="TMA28:TMB28"/>
    <mergeCell ref="TLE28:TLF28"/>
    <mergeCell ref="TLG28:TLH28"/>
    <mergeCell ref="TLI28:TLJ28"/>
    <mergeCell ref="TLK28:TLL28"/>
    <mergeCell ref="TLM28:TLN28"/>
    <mergeCell ref="TLO28:TLP28"/>
    <mergeCell ref="TKS28:TKT28"/>
    <mergeCell ref="TKU28:TKV28"/>
    <mergeCell ref="TKW28:TKX28"/>
    <mergeCell ref="TKY28:TKZ28"/>
    <mergeCell ref="TLA28:TLB28"/>
    <mergeCell ref="TLC28:TLD28"/>
    <mergeCell ref="TPU28:TPV28"/>
    <mergeCell ref="TPW28:TPX28"/>
    <mergeCell ref="TPY28:TPZ28"/>
    <mergeCell ref="TQA28:TQB28"/>
    <mergeCell ref="TQC28:TQD28"/>
    <mergeCell ref="TQE28:TQF28"/>
    <mergeCell ref="TPI28:TPJ28"/>
    <mergeCell ref="TPK28:TPL28"/>
    <mergeCell ref="TPM28:TPN28"/>
    <mergeCell ref="TPO28:TPP28"/>
    <mergeCell ref="TPQ28:TPR28"/>
    <mergeCell ref="TPS28:TPT28"/>
    <mergeCell ref="TOW28:TOX28"/>
    <mergeCell ref="TOY28:TOZ28"/>
    <mergeCell ref="TPA28:TPB28"/>
    <mergeCell ref="TPC28:TPD28"/>
    <mergeCell ref="TPE28:TPF28"/>
    <mergeCell ref="TPG28:TPH28"/>
    <mergeCell ref="TOK28:TOL28"/>
    <mergeCell ref="TOM28:TON28"/>
    <mergeCell ref="TOO28:TOP28"/>
    <mergeCell ref="TOQ28:TOR28"/>
    <mergeCell ref="TOS28:TOT28"/>
    <mergeCell ref="TOU28:TOV28"/>
    <mergeCell ref="TNY28:TNZ28"/>
    <mergeCell ref="TOA28:TOB28"/>
    <mergeCell ref="TOC28:TOD28"/>
    <mergeCell ref="TOE28:TOF28"/>
    <mergeCell ref="TOG28:TOH28"/>
    <mergeCell ref="TOI28:TOJ28"/>
    <mergeCell ref="TNM28:TNN28"/>
    <mergeCell ref="TNO28:TNP28"/>
    <mergeCell ref="TNQ28:TNR28"/>
    <mergeCell ref="TNS28:TNT28"/>
    <mergeCell ref="TNU28:TNV28"/>
    <mergeCell ref="TNW28:TNX28"/>
    <mergeCell ref="TSO28:TSP28"/>
    <mergeCell ref="TSQ28:TSR28"/>
    <mergeCell ref="TSS28:TST28"/>
    <mergeCell ref="TSU28:TSV28"/>
    <mergeCell ref="TSW28:TSX28"/>
    <mergeCell ref="TSY28:TSZ28"/>
    <mergeCell ref="TSC28:TSD28"/>
    <mergeCell ref="TSE28:TSF28"/>
    <mergeCell ref="TSG28:TSH28"/>
    <mergeCell ref="TSI28:TSJ28"/>
    <mergeCell ref="TSK28:TSL28"/>
    <mergeCell ref="TSM28:TSN28"/>
    <mergeCell ref="TRQ28:TRR28"/>
    <mergeCell ref="TRS28:TRT28"/>
    <mergeCell ref="TRU28:TRV28"/>
    <mergeCell ref="TRW28:TRX28"/>
    <mergeCell ref="TRY28:TRZ28"/>
    <mergeCell ref="TSA28:TSB28"/>
    <mergeCell ref="TRE28:TRF28"/>
    <mergeCell ref="TRG28:TRH28"/>
    <mergeCell ref="TRI28:TRJ28"/>
    <mergeCell ref="TRK28:TRL28"/>
    <mergeCell ref="TRM28:TRN28"/>
    <mergeCell ref="TRO28:TRP28"/>
    <mergeCell ref="TQS28:TQT28"/>
    <mergeCell ref="TQU28:TQV28"/>
    <mergeCell ref="TQW28:TQX28"/>
    <mergeCell ref="TQY28:TQZ28"/>
    <mergeCell ref="TRA28:TRB28"/>
    <mergeCell ref="TRC28:TRD28"/>
    <mergeCell ref="TQG28:TQH28"/>
    <mergeCell ref="TQI28:TQJ28"/>
    <mergeCell ref="TQK28:TQL28"/>
    <mergeCell ref="TQM28:TQN28"/>
    <mergeCell ref="TQO28:TQP28"/>
    <mergeCell ref="TQQ28:TQR28"/>
    <mergeCell ref="TVI28:TVJ28"/>
    <mergeCell ref="TVK28:TVL28"/>
    <mergeCell ref="TVM28:TVN28"/>
    <mergeCell ref="TVO28:TVP28"/>
    <mergeCell ref="TVQ28:TVR28"/>
    <mergeCell ref="TVS28:TVT28"/>
    <mergeCell ref="TUW28:TUX28"/>
    <mergeCell ref="TUY28:TUZ28"/>
    <mergeCell ref="TVA28:TVB28"/>
    <mergeCell ref="TVC28:TVD28"/>
    <mergeCell ref="TVE28:TVF28"/>
    <mergeCell ref="TVG28:TVH28"/>
    <mergeCell ref="TUK28:TUL28"/>
    <mergeCell ref="TUM28:TUN28"/>
    <mergeCell ref="TUO28:TUP28"/>
    <mergeCell ref="TUQ28:TUR28"/>
    <mergeCell ref="TUS28:TUT28"/>
    <mergeCell ref="TUU28:TUV28"/>
    <mergeCell ref="TTY28:TTZ28"/>
    <mergeCell ref="TUA28:TUB28"/>
    <mergeCell ref="TUC28:TUD28"/>
    <mergeCell ref="TUE28:TUF28"/>
    <mergeCell ref="TUG28:TUH28"/>
    <mergeCell ref="TUI28:TUJ28"/>
    <mergeCell ref="TTM28:TTN28"/>
    <mergeCell ref="TTO28:TTP28"/>
    <mergeCell ref="TTQ28:TTR28"/>
    <mergeCell ref="TTS28:TTT28"/>
    <mergeCell ref="TTU28:TTV28"/>
    <mergeCell ref="TTW28:TTX28"/>
    <mergeCell ref="TTA28:TTB28"/>
    <mergeCell ref="TTC28:TTD28"/>
    <mergeCell ref="TTE28:TTF28"/>
    <mergeCell ref="TTG28:TTH28"/>
    <mergeCell ref="TTI28:TTJ28"/>
    <mergeCell ref="TTK28:TTL28"/>
    <mergeCell ref="TYC28:TYD28"/>
    <mergeCell ref="TYE28:TYF28"/>
    <mergeCell ref="TYG28:TYH28"/>
    <mergeCell ref="TYI28:TYJ28"/>
    <mergeCell ref="TYK28:TYL28"/>
    <mergeCell ref="TYM28:TYN28"/>
    <mergeCell ref="TXQ28:TXR28"/>
    <mergeCell ref="TXS28:TXT28"/>
    <mergeCell ref="TXU28:TXV28"/>
    <mergeCell ref="TXW28:TXX28"/>
    <mergeCell ref="TXY28:TXZ28"/>
    <mergeCell ref="TYA28:TYB28"/>
    <mergeCell ref="TXE28:TXF28"/>
    <mergeCell ref="TXG28:TXH28"/>
    <mergeCell ref="TXI28:TXJ28"/>
    <mergeCell ref="TXK28:TXL28"/>
    <mergeCell ref="TXM28:TXN28"/>
    <mergeCell ref="TXO28:TXP28"/>
    <mergeCell ref="TWS28:TWT28"/>
    <mergeCell ref="TWU28:TWV28"/>
    <mergeCell ref="TWW28:TWX28"/>
    <mergeCell ref="TWY28:TWZ28"/>
    <mergeCell ref="TXA28:TXB28"/>
    <mergeCell ref="TXC28:TXD28"/>
    <mergeCell ref="TWG28:TWH28"/>
    <mergeCell ref="TWI28:TWJ28"/>
    <mergeCell ref="TWK28:TWL28"/>
    <mergeCell ref="TWM28:TWN28"/>
    <mergeCell ref="TWO28:TWP28"/>
    <mergeCell ref="TWQ28:TWR28"/>
    <mergeCell ref="TVU28:TVV28"/>
    <mergeCell ref="TVW28:TVX28"/>
    <mergeCell ref="TVY28:TVZ28"/>
    <mergeCell ref="TWA28:TWB28"/>
    <mergeCell ref="TWC28:TWD28"/>
    <mergeCell ref="TWE28:TWF28"/>
    <mergeCell ref="UAW28:UAX28"/>
    <mergeCell ref="UAY28:UAZ28"/>
    <mergeCell ref="UBA28:UBB28"/>
    <mergeCell ref="UBC28:UBD28"/>
    <mergeCell ref="UBE28:UBF28"/>
    <mergeCell ref="UBG28:UBH28"/>
    <mergeCell ref="UAK28:UAL28"/>
    <mergeCell ref="UAM28:UAN28"/>
    <mergeCell ref="UAO28:UAP28"/>
    <mergeCell ref="UAQ28:UAR28"/>
    <mergeCell ref="UAS28:UAT28"/>
    <mergeCell ref="UAU28:UAV28"/>
    <mergeCell ref="TZY28:TZZ28"/>
    <mergeCell ref="UAA28:UAB28"/>
    <mergeCell ref="UAC28:UAD28"/>
    <mergeCell ref="UAE28:UAF28"/>
    <mergeCell ref="UAG28:UAH28"/>
    <mergeCell ref="UAI28:UAJ28"/>
    <mergeCell ref="TZM28:TZN28"/>
    <mergeCell ref="TZO28:TZP28"/>
    <mergeCell ref="TZQ28:TZR28"/>
    <mergeCell ref="TZS28:TZT28"/>
    <mergeCell ref="TZU28:TZV28"/>
    <mergeCell ref="TZW28:TZX28"/>
    <mergeCell ref="TZA28:TZB28"/>
    <mergeCell ref="TZC28:TZD28"/>
    <mergeCell ref="TZE28:TZF28"/>
    <mergeCell ref="TZG28:TZH28"/>
    <mergeCell ref="TZI28:TZJ28"/>
    <mergeCell ref="TZK28:TZL28"/>
    <mergeCell ref="TYO28:TYP28"/>
    <mergeCell ref="TYQ28:TYR28"/>
    <mergeCell ref="TYS28:TYT28"/>
    <mergeCell ref="TYU28:TYV28"/>
    <mergeCell ref="TYW28:TYX28"/>
    <mergeCell ref="TYY28:TYZ28"/>
    <mergeCell ref="UDQ28:UDR28"/>
    <mergeCell ref="UDS28:UDT28"/>
    <mergeCell ref="UDU28:UDV28"/>
    <mergeCell ref="UDW28:UDX28"/>
    <mergeCell ref="UDY28:UDZ28"/>
    <mergeCell ref="UEA28:UEB28"/>
    <mergeCell ref="UDE28:UDF28"/>
    <mergeCell ref="UDG28:UDH28"/>
    <mergeCell ref="UDI28:UDJ28"/>
    <mergeCell ref="UDK28:UDL28"/>
    <mergeCell ref="UDM28:UDN28"/>
    <mergeCell ref="UDO28:UDP28"/>
    <mergeCell ref="UCS28:UCT28"/>
    <mergeCell ref="UCU28:UCV28"/>
    <mergeCell ref="UCW28:UCX28"/>
    <mergeCell ref="UCY28:UCZ28"/>
    <mergeCell ref="UDA28:UDB28"/>
    <mergeCell ref="UDC28:UDD28"/>
    <mergeCell ref="UCG28:UCH28"/>
    <mergeCell ref="UCI28:UCJ28"/>
    <mergeCell ref="UCK28:UCL28"/>
    <mergeCell ref="UCM28:UCN28"/>
    <mergeCell ref="UCO28:UCP28"/>
    <mergeCell ref="UCQ28:UCR28"/>
    <mergeCell ref="UBU28:UBV28"/>
    <mergeCell ref="UBW28:UBX28"/>
    <mergeCell ref="UBY28:UBZ28"/>
    <mergeCell ref="UCA28:UCB28"/>
    <mergeCell ref="UCC28:UCD28"/>
    <mergeCell ref="UCE28:UCF28"/>
    <mergeCell ref="UBI28:UBJ28"/>
    <mergeCell ref="UBK28:UBL28"/>
    <mergeCell ref="UBM28:UBN28"/>
    <mergeCell ref="UBO28:UBP28"/>
    <mergeCell ref="UBQ28:UBR28"/>
    <mergeCell ref="UBS28:UBT28"/>
    <mergeCell ref="UGK28:UGL28"/>
    <mergeCell ref="UGM28:UGN28"/>
    <mergeCell ref="UGO28:UGP28"/>
    <mergeCell ref="UGQ28:UGR28"/>
    <mergeCell ref="UGS28:UGT28"/>
    <mergeCell ref="UGU28:UGV28"/>
    <mergeCell ref="UFY28:UFZ28"/>
    <mergeCell ref="UGA28:UGB28"/>
    <mergeCell ref="UGC28:UGD28"/>
    <mergeCell ref="UGE28:UGF28"/>
    <mergeCell ref="UGG28:UGH28"/>
    <mergeCell ref="UGI28:UGJ28"/>
    <mergeCell ref="UFM28:UFN28"/>
    <mergeCell ref="UFO28:UFP28"/>
    <mergeCell ref="UFQ28:UFR28"/>
    <mergeCell ref="UFS28:UFT28"/>
    <mergeCell ref="UFU28:UFV28"/>
    <mergeCell ref="UFW28:UFX28"/>
    <mergeCell ref="UFA28:UFB28"/>
    <mergeCell ref="UFC28:UFD28"/>
    <mergeCell ref="UFE28:UFF28"/>
    <mergeCell ref="UFG28:UFH28"/>
    <mergeCell ref="UFI28:UFJ28"/>
    <mergeCell ref="UFK28:UFL28"/>
    <mergeCell ref="UEO28:UEP28"/>
    <mergeCell ref="UEQ28:UER28"/>
    <mergeCell ref="UES28:UET28"/>
    <mergeCell ref="UEU28:UEV28"/>
    <mergeCell ref="UEW28:UEX28"/>
    <mergeCell ref="UEY28:UEZ28"/>
    <mergeCell ref="UEC28:UED28"/>
    <mergeCell ref="UEE28:UEF28"/>
    <mergeCell ref="UEG28:UEH28"/>
    <mergeCell ref="UEI28:UEJ28"/>
    <mergeCell ref="UEK28:UEL28"/>
    <mergeCell ref="UEM28:UEN28"/>
    <mergeCell ref="UJE28:UJF28"/>
    <mergeCell ref="UJG28:UJH28"/>
    <mergeCell ref="UJI28:UJJ28"/>
    <mergeCell ref="UJK28:UJL28"/>
    <mergeCell ref="UJM28:UJN28"/>
    <mergeCell ref="UJO28:UJP28"/>
    <mergeCell ref="UIS28:UIT28"/>
    <mergeCell ref="UIU28:UIV28"/>
    <mergeCell ref="UIW28:UIX28"/>
    <mergeCell ref="UIY28:UIZ28"/>
    <mergeCell ref="UJA28:UJB28"/>
    <mergeCell ref="UJC28:UJD28"/>
    <mergeCell ref="UIG28:UIH28"/>
    <mergeCell ref="UII28:UIJ28"/>
    <mergeCell ref="UIK28:UIL28"/>
    <mergeCell ref="UIM28:UIN28"/>
    <mergeCell ref="UIO28:UIP28"/>
    <mergeCell ref="UIQ28:UIR28"/>
    <mergeCell ref="UHU28:UHV28"/>
    <mergeCell ref="UHW28:UHX28"/>
    <mergeCell ref="UHY28:UHZ28"/>
    <mergeCell ref="UIA28:UIB28"/>
    <mergeCell ref="UIC28:UID28"/>
    <mergeCell ref="UIE28:UIF28"/>
    <mergeCell ref="UHI28:UHJ28"/>
    <mergeCell ref="UHK28:UHL28"/>
    <mergeCell ref="UHM28:UHN28"/>
    <mergeCell ref="UHO28:UHP28"/>
    <mergeCell ref="UHQ28:UHR28"/>
    <mergeCell ref="UHS28:UHT28"/>
    <mergeCell ref="UGW28:UGX28"/>
    <mergeCell ref="UGY28:UGZ28"/>
    <mergeCell ref="UHA28:UHB28"/>
    <mergeCell ref="UHC28:UHD28"/>
    <mergeCell ref="UHE28:UHF28"/>
    <mergeCell ref="UHG28:UHH28"/>
    <mergeCell ref="ULY28:ULZ28"/>
    <mergeCell ref="UMA28:UMB28"/>
    <mergeCell ref="UMC28:UMD28"/>
    <mergeCell ref="UME28:UMF28"/>
    <mergeCell ref="UMG28:UMH28"/>
    <mergeCell ref="UMI28:UMJ28"/>
    <mergeCell ref="ULM28:ULN28"/>
    <mergeCell ref="ULO28:ULP28"/>
    <mergeCell ref="ULQ28:ULR28"/>
    <mergeCell ref="ULS28:ULT28"/>
    <mergeCell ref="ULU28:ULV28"/>
    <mergeCell ref="ULW28:ULX28"/>
    <mergeCell ref="ULA28:ULB28"/>
    <mergeCell ref="ULC28:ULD28"/>
    <mergeCell ref="ULE28:ULF28"/>
    <mergeCell ref="ULG28:ULH28"/>
    <mergeCell ref="ULI28:ULJ28"/>
    <mergeCell ref="ULK28:ULL28"/>
    <mergeCell ref="UKO28:UKP28"/>
    <mergeCell ref="UKQ28:UKR28"/>
    <mergeCell ref="UKS28:UKT28"/>
    <mergeCell ref="UKU28:UKV28"/>
    <mergeCell ref="UKW28:UKX28"/>
    <mergeCell ref="UKY28:UKZ28"/>
    <mergeCell ref="UKC28:UKD28"/>
    <mergeCell ref="UKE28:UKF28"/>
    <mergeCell ref="UKG28:UKH28"/>
    <mergeCell ref="UKI28:UKJ28"/>
    <mergeCell ref="UKK28:UKL28"/>
    <mergeCell ref="UKM28:UKN28"/>
    <mergeCell ref="UJQ28:UJR28"/>
    <mergeCell ref="UJS28:UJT28"/>
    <mergeCell ref="UJU28:UJV28"/>
    <mergeCell ref="UJW28:UJX28"/>
    <mergeCell ref="UJY28:UJZ28"/>
    <mergeCell ref="UKA28:UKB28"/>
    <mergeCell ref="UOS28:UOT28"/>
    <mergeCell ref="UOU28:UOV28"/>
    <mergeCell ref="UOW28:UOX28"/>
    <mergeCell ref="UOY28:UOZ28"/>
    <mergeCell ref="UPA28:UPB28"/>
    <mergeCell ref="UPC28:UPD28"/>
    <mergeCell ref="UOG28:UOH28"/>
    <mergeCell ref="UOI28:UOJ28"/>
    <mergeCell ref="UOK28:UOL28"/>
    <mergeCell ref="UOM28:UON28"/>
    <mergeCell ref="UOO28:UOP28"/>
    <mergeCell ref="UOQ28:UOR28"/>
    <mergeCell ref="UNU28:UNV28"/>
    <mergeCell ref="UNW28:UNX28"/>
    <mergeCell ref="UNY28:UNZ28"/>
    <mergeCell ref="UOA28:UOB28"/>
    <mergeCell ref="UOC28:UOD28"/>
    <mergeCell ref="UOE28:UOF28"/>
    <mergeCell ref="UNI28:UNJ28"/>
    <mergeCell ref="UNK28:UNL28"/>
    <mergeCell ref="UNM28:UNN28"/>
    <mergeCell ref="UNO28:UNP28"/>
    <mergeCell ref="UNQ28:UNR28"/>
    <mergeCell ref="UNS28:UNT28"/>
    <mergeCell ref="UMW28:UMX28"/>
    <mergeCell ref="UMY28:UMZ28"/>
    <mergeCell ref="UNA28:UNB28"/>
    <mergeCell ref="UNC28:UND28"/>
    <mergeCell ref="UNE28:UNF28"/>
    <mergeCell ref="UNG28:UNH28"/>
    <mergeCell ref="UMK28:UML28"/>
    <mergeCell ref="UMM28:UMN28"/>
    <mergeCell ref="UMO28:UMP28"/>
    <mergeCell ref="UMQ28:UMR28"/>
    <mergeCell ref="UMS28:UMT28"/>
    <mergeCell ref="UMU28:UMV28"/>
    <mergeCell ref="URM28:URN28"/>
    <mergeCell ref="URO28:URP28"/>
    <mergeCell ref="URQ28:URR28"/>
    <mergeCell ref="URS28:URT28"/>
    <mergeCell ref="URU28:URV28"/>
    <mergeCell ref="URW28:URX28"/>
    <mergeCell ref="URA28:URB28"/>
    <mergeCell ref="URC28:URD28"/>
    <mergeCell ref="URE28:URF28"/>
    <mergeCell ref="URG28:URH28"/>
    <mergeCell ref="URI28:URJ28"/>
    <mergeCell ref="URK28:URL28"/>
    <mergeCell ref="UQO28:UQP28"/>
    <mergeCell ref="UQQ28:UQR28"/>
    <mergeCell ref="UQS28:UQT28"/>
    <mergeCell ref="UQU28:UQV28"/>
    <mergeCell ref="UQW28:UQX28"/>
    <mergeCell ref="UQY28:UQZ28"/>
    <mergeCell ref="UQC28:UQD28"/>
    <mergeCell ref="UQE28:UQF28"/>
    <mergeCell ref="UQG28:UQH28"/>
    <mergeCell ref="UQI28:UQJ28"/>
    <mergeCell ref="UQK28:UQL28"/>
    <mergeCell ref="UQM28:UQN28"/>
    <mergeCell ref="UPQ28:UPR28"/>
    <mergeCell ref="UPS28:UPT28"/>
    <mergeCell ref="UPU28:UPV28"/>
    <mergeCell ref="UPW28:UPX28"/>
    <mergeCell ref="UPY28:UPZ28"/>
    <mergeCell ref="UQA28:UQB28"/>
    <mergeCell ref="UPE28:UPF28"/>
    <mergeCell ref="UPG28:UPH28"/>
    <mergeCell ref="UPI28:UPJ28"/>
    <mergeCell ref="UPK28:UPL28"/>
    <mergeCell ref="UPM28:UPN28"/>
    <mergeCell ref="UPO28:UPP28"/>
    <mergeCell ref="UUG28:UUH28"/>
    <mergeCell ref="UUI28:UUJ28"/>
    <mergeCell ref="UUK28:UUL28"/>
    <mergeCell ref="UUM28:UUN28"/>
    <mergeCell ref="UUO28:UUP28"/>
    <mergeCell ref="UUQ28:UUR28"/>
    <mergeCell ref="UTU28:UTV28"/>
    <mergeCell ref="UTW28:UTX28"/>
    <mergeCell ref="UTY28:UTZ28"/>
    <mergeCell ref="UUA28:UUB28"/>
    <mergeCell ref="UUC28:UUD28"/>
    <mergeCell ref="UUE28:UUF28"/>
    <mergeCell ref="UTI28:UTJ28"/>
    <mergeCell ref="UTK28:UTL28"/>
    <mergeCell ref="UTM28:UTN28"/>
    <mergeCell ref="UTO28:UTP28"/>
    <mergeCell ref="UTQ28:UTR28"/>
    <mergeCell ref="UTS28:UTT28"/>
    <mergeCell ref="USW28:USX28"/>
    <mergeCell ref="USY28:USZ28"/>
    <mergeCell ref="UTA28:UTB28"/>
    <mergeCell ref="UTC28:UTD28"/>
    <mergeCell ref="UTE28:UTF28"/>
    <mergeCell ref="UTG28:UTH28"/>
    <mergeCell ref="USK28:USL28"/>
    <mergeCell ref="USM28:USN28"/>
    <mergeCell ref="USO28:USP28"/>
    <mergeCell ref="USQ28:USR28"/>
    <mergeCell ref="USS28:UST28"/>
    <mergeCell ref="USU28:USV28"/>
    <mergeCell ref="URY28:URZ28"/>
    <mergeCell ref="USA28:USB28"/>
    <mergeCell ref="USC28:USD28"/>
    <mergeCell ref="USE28:USF28"/>
    <mergeCell ref="USG28:USH28"/>
    <mergeCell ref="USI28:USJ28"/>
    <mergeCell ref="UXA28:UXB28"/>
    <mergeCell ref="UXC28:UXD28"/>
    <mergeCell ref="UXE28:UXF28"/>
    <mergeCell ref="UXG28:UXH28"/>
    <mergeCell ref="UXI28:UXJ28"/>
    <mergeCell ref="UXK28:UXL28"/>
    <mergeCell ref="UWO28:UWP28"/>
    <mergeCell ref="UWQ28:UWR28"/>
    <mergeCell ref="UWS28:UWT28"/>
    <mergeCell ref="UWU28:UWV28"/>
    <mergeCell ref="UWW28:UWX28"/>
    <mergeCell ref="UWY28:UWZ28"/>
    <mergeCell ref="UWC28:UWD28"/>
    <mergeCell ref="UWE28:UWF28"/>
    <mergeCell ref="UWG28:UWH28"/>
    <mergeCell ref="UWI28:UWJ28"/>
    <mergeCell ref="UWK28:UWL28"/>
    <mergeCell ref="UWM28:UWN28"/>
    <mergeCell ref="UVQ28:UVR28"/>
    <mergeCell ref="UVS28:UVT28"/>
    <mergeCell ref="UVU28:UVV28"/>
    <mergeCell ref="UVW28:UVX28"/>
    <mergeCell ref="UVY28:UVZ28"/>
    <mergeCell ref="UWA28:UWB28"/>
    <mergeCell ref="UVE28:UVF28"/>
    <mergeCell ref="UVG28:UVH28"/>
    <mergeCell ref="UVI28:UVJ28"/>
    <mergeCell ref="UVK28:UVL28"/>
    <mergeCell ref="UVM28:UVN28"/>
    <mergeCell ref="UVO28:UVP28"/>
    <mergeCell ref="UUS28:UUT28"/>
    <mergeCell ref="UUU28:UUV28"/>
    <mergeCell ref="UUW28:UUX28"/>
    <mergeCell ref="UUY28:UUZ28"/>
    <mergeCell ref="UVA28:UVB28"/>
    <mergeCell ref="UVC28:UVD28"/>
    <mergeCell ref="UZU28:UZV28"/>
    <mergeCell ref="UZW28:UZX28"/>
    <mergeCell ref="UZY28:UZZ28"/>
    <mergeCell ref="VAA28:VAB28"/>
    <mergeCell ref="VAC28:VAD28"/>
    <mergeCell ref="VAE28:VAF28"/>
    <mergeCell ref="UZI28:UZJ28"/>
    <mergeCell ref="UZK28:UZL28"/>
    <mergeCell ref="UZM28:UZN28"/>
    <mergeCell ref="UZO28:UZP28"/>
    <mergeCell ref="UZQ28:UZR28"/>
    <mergeCell ref="UZS28:UZT28"/>
    <mergeCell ref="UYW28:UYX28"/>
    <mergeCell ref="UYY28:UYZ28"/>
    <mergeCell ref="UZA28:UZB28"/>
    <mergeCell ref="UZC28:UZD28"/>
    <mergeCell ref="UZE28:UZF28"/>
    <mergeCell ref="UZG28:UZH28"/>
    <mergeCell ref="UYK28:UYL28"/>
    <mergeCell ref="UYM28:UYN28"/>
    <mergeCell ref="UYO28:UYP28"/>
    <mergeCell ref="UYQ28:UYR28"/>
    <mergeCell ref="UYS28:UYT28"/>
    <mergeCell ref="UYU28:UYV28"/>
    <mergeCell ref="UXY28:UXZ28"/>
    <mergeCell ref="UYA28:UYB28"/>
    <mergeCell ref="UYC28:UYD28"/>
    <mergeCell ref="UYE28:UYF28"/>
    <mergeCell ref="UYG28:UYH28"/>
    <mergeCell ref="UYI28:UYJ28"/>
    <mergeCell ref="UXM28:UXN28"/>
    <mergeCell ref="UXO28:UXP28"/>
    <mergeCell ref="UXQ28:UXR28"/>
    <mergeCell ref="UXS28:UXT28"/>
    <mergeCell ref="UXU28:UXV28"/>
    <mergeCell ref="UXW28:UXX28"/>
    <mergeCell ref="VCO28:VCP28"/>
    <mergeCell ref="VCQ28:VCR28"/>
    <mergeCell ref="VCS28:VCT28"/>
    <mergeCell ref="VCU28:VCV28"/>
    <mergeCell ref="VCW28:VCX28"/>
    <mergeCell ref="VCY28:VCZ28"/>
    <mergeCell ref="VCC28:VCD28"/>
    <mergeCell ref="VCE28:VCF28"/>
    <mergeCell ref="VCG28:VCH28"/>
    <mergeCell ref="VCI28:VCJ28"/>
    <mergeCell ref="VCK28:VCL28"/>
    <mergeCell ref="VCM28:VCN28"/>
    <mergeCell ref="VBQ28:VBR28"/>
    <mergeCell ref="VBS28:VBT28"/>
    <mergeCell ref="VBU28:VBV28"/>
    <mergeCell ref="VBW28:VBX28"/>
    <mergeCell ref="VBY28:VBZ28"/>
    <mergeCell ref="VCA28:VCB28"/>
    <mergeCell ref="VBE28:VBF28"/>
    <mergeCell ref="VBG28:VBH28"/>
    <mergeCell ref="VBI28:VBJ28"/>
    <mergeCell ref="VBK28:VBL28"/>
    <mergeCell ref="VBM28:VBN28"/>
    <mergeCell ref="VBO28:VBP28"/>
    <mergeCell ref="VAS28:VAT28"/>
    <mergeCell ref="VAU28:VAV28"/>
    <mergeCell ref="VAW28:VAX28"/>
    <mergeCell ref="VAY28:VAZ28"/>
    <mergeCell ref="VBA28:VBB28"/>
    <mergeCell ref="VBC28:VBD28"/>
    <mergeCell ref="VAG28:VAH28"/>
    <mergeCell ref="VAI28:VAJ28"/>
    <mergeCell ref="VAK28:VAL28"/>
    <mergeCell ref="VAM28:VAN28"/>
    <mergeCell ref="VAO28:VAP28"/>
    <mergeCell ref="VAQ28:VAR28"/>
    <mergeCell ref="VFI28:VFJ28"/>
    <mergeCell ref="VFK28:VFL28"/>
    <mergeCell ref="VFM28:VFN28"/>
    <mergeCell ref="VFO28:VFP28"/>
    <mergeCell ref="VFQ28:VFR28"/>
    <mergeCell ref="VFS28:VFT28"/>
    <mergeCell ref="VEW28:VEX28"/>
    <mergeCell ref="VEY28:VEZ28"/>
    <mergeCell ref="VFA28:VFB28"/>
    <mergeCell ref="VFC28:VFD28"/>
    <mergeCell ref="VFE28:VFF28"/>
    <mergeCell ref="VFG28:VFH28"/>
    <mergeCell ref="VEK28:VEL28"/>
    <mergeCell ref="VEM28:VEN28"/>
    <mergeCell ref="VEO28:VEP28"/>
    <mergeCell ref="VEQ28:VER28"/>
    <mergeCell ref="VES28:VET28"/>
    <mergeCell ref="VEU28:VEV28"/>
    <mergeCell ref="VDY28:VDZ28"/>
    <mergeCell ref="VEA28:VEB28"/>
    <mergeCell ref="VEC28:VED28"/>
    <mergeCell ref="VEE28:VEF28"/>
    <mergeCell ref="VEG28:VEH28"/>
    <mergeCell ref="VEI28:VEJ28"/>
    <mergeCell ref="VDM28:VDN28"/>
    <mergeCell ref="VDO28:VDP28"/>
    <mergeCell ref="VDQ28:VDR28"/>
    <mergeCell ref="VDS28:VDT28"/>
    <mergeCell ref="VDU28:VDV28"/>
    <mergeCell ref="VDW28:VDX28"/>
    <mergeCell ref="VDA28:VDB28"/>
    <mergeCell ref="VDC28:VDD28"/>
    <mergeCell ref="VDE28:VDF28"/>
    <mergeCell ref="VDG28:VDH28"/>
    <mergeCell ref="VDI28:VDJ28"/>
    <mergeCell ref="VDK28:VDL28"/>
    <mergeCell ref="VIC28:VID28"/>
    <mergeCell ref="VIE28:VIF28"/>
    <mergeCell ref="VIG28:VIH28"/>
    <mergeCell ref="VII28:VIJ28"/>
    <mergeCell ref="VIK28:VIL28"/>
    <mergeCell ref="VIM28:VIN28"/>
    <mergeCell ref="VHQ28:VHR28"/>
    <mergeCell ref="VHS28:VHT28"/>
    <mergeCell ref="VHU28:VHV28"/>
    <mergeCell ref="VHW28:VHX28"/>
    <mergeCell ref="VHY28:VHZ28"/>
    <mergeCell ref="VIA28:VIB28"/>
    <mergeCell ref="VHE28:VHF28"/>
    <mergeCell ref="VHG28:VHH28"/>
    <mergeCell ref="VHI28:VHJ28"/>
    <mergeCell ref="VHK28:VHL28"/>
    <mergeCell ref="VHM28:VHN28"/>
    <mergeCell ref="VHO28:VHP28"/>
    <mergeCell ref="VGS28:VGT28"/>
    <mergeCell ref="VGU28:VGV28"/>
    <mergeCell ref="VGW28:VGX28"/>
    <mergeCell ref="VGY28:VGZ28"/>
    <mergeCell ref="VHA28:VHB28"/>
    <mergeCell ref="VHC28:VHD28"/>
    <mergeCell ref="VGG28:VGH28"/>
    <mergeCell ref="VGI28:VGJ28"/>
    <mergeCell ref="VGK28:VGL28"/>
    <mergeCell ref="VGM28:VGN28"/>
    <mergeCell ref="VGO28:VGP28"/>
    <mergeCell ref="VGQ28:VGR28"/>
    <mergeCell ref="VFU28:VFV28"/>
    <mergeCell ref="VFW28:VFX28"/>
    <mergeCell ref="VFY28:VFZ28"/>
    <mergeCell ref="VGA28:VGB28"/>
    <mergeCell ref="VGC28:VGD28"/>
    <mergeCell ref="VGE28:VGF28"/>
    <mergeCell ref="VKW28:VKX28"/>
    <mergeCell ref="VKY28:VKZ28"/>
    <mergeCell ref="VLA28:VLB28"/>
    <mergeCell ref="VLC28:VLD28"/>
    <mergeCell ref="VLE28:VLF28"/>
    <mergeCell ref="VLG28:VLH28"/>
    <mergeCell ref="VKK28:VKL28"/>
    <mergeCell ref="VKM28:VKN28"/>
    <mergeCell ref="VKO28:VKP28"/>
    <mergeCell ref="VKQ28:VKR28"/>
    <mergeCell ref="VKS28:VKT28"/>
    <mergeCell ref="VKU28:VKV28"/>
    <mergeCell ref="VJY28:VJZ28"/>
    <mergeCell ref="VKA28:VKB28"/>
    <mergeCell ref="VKC28:VKD28"/>
    <mergeCell ref="VKE28:VKF28"/>
    <mergeCell ref="VKG28:VKH28"/>
    <mergeCell ref="VKI28:VKJ28"/>
    <mergeCell ref="VJM28:VJN28"/>
    <mergeCell ref="VJO28:VJP28"/>
    <mergeCell ref="VJQ28:VJR28"/>
    <mergeCell ref="VJS28:VJT28"/>
    <mergeCell ref="VJU28:VJV28"/>
    <mergeCell ref="VJW28:VJX28"/>
    <mergeCell ref="VJA28:VJB28"/>
    <mergeCell ref="VJC28:VJD28"/>
    <mergeCell ref="VJE28:VJF28"/>
    <mergeCell ref="VJG28:VJH28"/>
    <mergeCell ref="VJI28:VJJ28"/>
    <mergeCell ref="VJK28:VJL28"/>
    <mergeCell ref="VIO28:VIP28"/>
    <mergeCell ref="VIQ28:VIR28"/>
    <mergeCell ref="VIS28:VIT28"/>
    <mergeCell ref="VIU28:VIV28"/>
    <mergeCell ref="VIW28:VIX28"/>
    <mergeCell ref="VIY28:VIZ28"/>
    <mergeCell ref="VNQ28:VNR28"/>
    <mergeCell ref="VNS28:VNT28"/>
    <mergeCell ref="VNU28:VNV28"/>
    <mergeCell ref="VNW28:VNX28"/>
    <mergeCell ref="VNY28:VNZ28"/>
    <mergeCell ref="VOA28:VOB28"/>
    <mergeCell ref="VNE28:VNF28"/>
    <mergeCell ref="VNG28:VNH28"/>
    <mergeCell ref="VNI28:VNJ28"/>
    <mergeCell ref="VNK28:VNL28"/>
    <mergeCell ref="VNM28:VNN28"/>
    <mergeCell ref="VNO28:VNP28"/>
    <mergeCell ref="VMS28:VMT28"/>
    <mergeCell ref="VMU28:VMV28"/>
    <mergeCell ref="VMW28:VMX28"/>
    <mergeCell ref="VMY28:VMZ28"/>
    <mergeCell ref="VNA28:VNB28"/>
    <mergeCell ref="VNC28:VND28"/>
    <mergeCell ref="VMG28:VMH28"/>
    <mergeCell ref="VMI28:VMJ28"/>
    <mergeCell ref="VMK28:VML28"/>
    <mergeCell ref="VMM28:VMN28"/>
    <mergeCell ref="VMO28:VMP28"/>
    <mergeCell ref="VMQ28:VMR28"/>
    <mergeCell ref="VLU28:VLV28"/>
    <mergeCell ref="VLW28:VLX28"/>
    <mergeCell ref="VLY28:VLZ28"/>
    <mergeCell ref="VMA28:VMB28"/>
    <mergeCell ref="VMC28:VMD28"/>
    <mergeCell ref="VME28:VMF28"/>
    <mergeCell ref="VLI28:VLJ28"/>
    <mergeCell ref="VLK28:VLL28"/>
    <mergeCell ref="VLM28:VLN28"/>
    <mergeCell ref="VLO28:VLP28"/>
    <mergeCell ref="VLQ28:VLR28"/>
    <mergeCell ref="VLS28:VLT28"/>
    <mergeCell ref="VQK28:VQL28"/>
    <mergeCell ref="VQM28:VQN28"/>
    <mergeCell ref="VQO28:VQP28"/>
    <mergeCell ref="VQQ28:VQR28"/>
    <mergeCell ref="VQS28:VQT28"/>
    <mergeCell ref="VQU28:VQV28"/>
    <mergeCell ref="VPY28:VPZ28"/>
    <mergeCell ref="VQA28:VQB28"/>
    <mergeCell ref="VQC28:VQD28"/>
    <mergeCell ref="VQE28:VQF28"/>
    <mergeCell ref="VQG28:VQH28"/>
    <mergeCell ref="VQI28:VQJ28"/>
    <mergeCell ref="VPM28:VPN28"/>
    <mergeCell ref="VPO28:VPP28"/>
    <mergeCell ref="VPQ28:VPR28"/>
    <mergeCell ref="VPS28:VPT28"/>
    <mergeCell ref="VPU28:VPV28"/>
    <mergeCell ref="VPW28:VPX28"/>
    <mergeCell ref="VPA28:VPB28"/>
    <mergeCell ref="VPC28:VPD28"/>
    <mergeCell ref="VPE28:VPF28"/>
    <mergeCell ref="VPG28:VPH28"/>
    <mergeCell ref="VPI28:VPJ28"/>
    <mergeCell ref="VPK28:VPL28"/>
    <mergeCell ref="VOO28:VOP28"/>
    <mergeCell ref="VOQ28:VOR28"/>
    <mergeCell ref="VOS28:VOT28"/>
    <mergeCell ref="VOU28:VOV28"/>
    <mergeCell ref="VOW28:VOX28"/>
    <mergeCell ref="VOY28:VOZ28"/>
    <mergeCell ref="VOC28:VOD28"/>
    <mergeCell ref="VOE28:VOF28"/>
    <mergeCell ref="VOG28:VOH28"/>
    <mergeCell ref="VOI28:VOJ28"/>
    <mergeCell ref="VOK28:VOL28"/>
    <mergeCell ref="VOM28:VON28"/>
    <mergeCell ref="VTE28:VTF28"/>
    <mergeCell ref="VTG28:VTH28"/>
    <mergeCell ref="VTI28:VTJ28"/>
    <mergeCell ref="VTK28:VTL28"/>
    <mergeCell ref="VTM28:VTN28"/>
    <mergeCell ref="VTO28:VTP28"/>
    <mergeCell ref="VSS28:VST28"/>
    <mergeCell ref="VSU28:VSV28"/>
    <mergeCell ref="VSW28:VSX28"/>
    <mergeCell ref="VSY28:VSZ28"/>
    <mergeCell ref="VTA28:VTB28"/>
    <mergeCell ref="VTC28:VTD28"/>
    <mergeCell ref="VSG28:VSH28"/>
    <mergeCell ref="VSI28:VSJ28"/>
    <mergeCell ref="VSK28:VSL28"/>
    <mergeCell ref="VSM28:VSN28"/>
    <mergeCell ref="VSO28:VSP28"/>
    <mergeCell ref="VSQ28:VSR28"/>
    <mergeCell ref="VRU28:VRV28"/>
    <mergeCell ref="VRW28:VRX28"/>
    <mergeCell ref="VRY28:VRZ28"/>
    <mergeCell ref="VSA28:VSB28"/>
    <mergeCell ref="VSC28:VSD28"/>
    <mergeCell ref="VSE28:VSF28"/>
    <mergeCell ref="VRI28:VRJ28"/>
    <mergeCell ref="VRK28:VRL28"/>
    <mergeCell ref="VRM28:VRN28"/>
    <mergeCell ref="VRO28:VRP28"/>
    <mergeCell ref="VRQ28:VRR28"/>
    <mergeCell ref="VRS28:VRT28"/>
    <mergeCell ref="VQW28:VQX28"/>
    <mergeCell ref="VQY28:VQZ28"/>
    <mergeCell ref="VRA28:VRB28"/>
    <mergeCell ref="VRC28:VRD28"/>
    <mergeCell ref="VRE28:VRF28"/>
    <mergeCell ref="VRG28:VRH28"/>
    <mergeCell ref="VVY28:VVZ28"/>
    <mergeCell ref="VWA28:VWB28"/>
    <mergeCell ref="VWC28:VWD28"/>
    <mergeCell ref="VWE28:VWF28"/>
    <mergeCell ref="VWG28:VWH28"/>
    <mergeCell ref="VWI28:VWJ28"/>
    <mergeCell ref="VVM28:VVN28"/>
    <mergeCell ref="VVO28:VVP28"/>
    <mergeCell ref="VVQ28:VVR28"/>
    <mergeCell ref="VVS28:VVT28"/>
    <mergeCell ref="VVU28:VVV28"/>
    <mergeCell ref="VVW28:VVX28"/>
    <mergeCell ref="VVA28:VVB28"/>
    <mergeCell ref="VVC28:VVD28"/>
    <mergeCell ref="VVE28:VVF28"/>
    <mergeCell ref="VVG28:VVH28"/>
    <mergeCell ref="VVI28:VVJ28"/>
    <mergeCell ref="VVK28:VVL28"/>
    <mergeCell ref="VUO28:VUP28"/>
    <mergeCell ref="VUQ28:VUR28"/>
    <mergeCell ref="VUS28:VUT28"/>
    <mergeCell ref="VUU28:VUV28"/>
    <mergeCell ref="VUW28:VUX28"/>
    <mergeCell ref="VUY28:VUZ28"/>
    <mergeCell ref="VUC28:VUD28"/>
    <mergeCell ref="VUE28:VUF28"/>
    <mergeCell ref="VUG28:VUH28"/>
    <mergeCell ref="VUI28:VUJ28"/>
    <mergeCell ref="VUK28:VUL28"/>
    <mergeCell ref="VUM28:VUN28"/>
    <mergeCell ref="VTQ28:VTR28"/>
    <mergeCell ref="VTS28:VTT28"/>
    <mergeCell ref="VTU28:VTV28"/>
    <mergeCell ref="VTW28:VTX28"/>
    <mergeCell ref="VTY28:VTZ28"/>
    <mergeCell ref="VUA28:VUB28"/>
    <mergeCell ref="VYS28:VYT28"/>
    <mergeCell ref="VYU28:VYV28"/>
    <mergeCell ref="VYW28:VYX28"/>
    <mergeCell ref="VYY28:VYZ28"/>
    <mergeCell ref="VZA28:VZB28"/>
    <mergeCell ref="VZC28:VZD28"/>
    <mergeCell ref="VYG28:VYH28"/>
    <mergeCell ref="VYI28:VYJ28"/>
    <mergeCell ref="VYK28:VYL28"/>
    <mergeCell ref="VYM28:VYN28"/>
    <mergeCell ref="VYO28:VYP28"/>
    <mergeCell ref="VYQ28:VYR28"/>
    <mergeCell ref="VXU28:VXV28"/>
    <mergeCell ref="VXW28:VXX28"/>
    <mergeCell ref="VXY28:VXZ28"/>
    <mergeCell ref="VYA28:VYB28"/>
    <mergeCell ref="VYC28:VYD28"/>
    <mergeCell ref="VYE28:VYF28"/>
    <mergeCell ref="VXI28:VXJ28"/>
    <mergeCell ref="VXK28:VXL28"/>
    <mergeCell ref="VXM28:VXN28"/>
    <mergeCell ref="VXO28:VXP28"/>
    <mergeCell ref="VXQ28:VXR28"/>
    <mergeCell ref="VXS28:VXT28"/>
    <mergeCell ref="VWW28:VWX28"/>
    <mergeCell ref="VWY28:VWZ28"/>
    <mergeCell ref="VXA28:VXB28"/>
    <mergeCell ref="VXC28:VXD28"/>
    <mergeCell ref="VXE28:VXF28"/>
    <mergeCell ref="VXG28:VXH28"/>
    <mergeCell ref="VWK28:VWL28"/>
    <mergeCell ref="VWM28:VWN28"/>
    <mergeCell ref="VWO28:VWP28"/>
    <mergeCell ref="VWQ28:VWR28"/>
    <mergeCell ref="VWS28:VWT28"/>
    <mergeCell ref="VWU28:VWV28"/>
    <mergeCell ref="WBM28:WBN28"/>
    <mergeCell ref="WBO28:WBP28"/>
    <mergeCell ref="WBQ28:WBR28"/>
    <mergeCell ref="WBS28:WBT28"/>
    <mergeCell ref="WBU28:WBV28"/>
    <mergeCell ref="WBW28:WBX28"/>
    <mergeCell ref="WBA28:WBB28"/>
    <mergeCell ref="WBC28:WBD28"/>
    <mergeCell ref="WBE28:WBF28"/>
    <mergeCell ref="WBG28:WBH28"/>
    <mergeCell ref="WBI28:WBJ28"/>
    <mergeCell ref="WBK28:WBL28"/>
    <mergeCell ref="WAO28:WAP28"/>
    <mergeCell ref="WAQ28:WAR28"/>
    <mergeCell ref="WAS28:WAT28"/>
    <mergeCell ref="WAU28:WAV28"/>
    <mergeCell ref="WAW28:WAX28"/>
    <mergeCell ref="WAY28:WAZ28"/>
    <mergeCell ref="WAC28:WAD28"/>
    <mergeCell ref="WAE28:WAF28"/>
    <mergeCell ref="WAG28:WAH28"/>
    <mergeCell ref="WAI28:WAJ28"/>
    <mergeCell ref="WAK28:WAL28"/>
    <mergeCell ref="WAM28:WAN28"/>
    <mergeCell ref="VZQ28:VZR28"/>
    <mergeCell ref="VZS28:VZT28"/>
    <mergeCell ref="VZU28:VZV28"/>
    <mergeCell ref="VZW28:VZX28"/>
    <mergeCell ref="VZY28:VZZ28"/>
    <mergeCell ref="WAA28:WAB28"/>
    <mergeCell ref="VZE28:VZF28"/>
    <mergeCell ref="VZG28:VZH28"/>
    <mergeCell ref="VZI28:VZJ28"/>
    <mergeCell ref="VZK28:VZL28"/>
    <mergeCell ref="VZM28:VZN28"/>
    <mergeCell ref="VZO28:VZP28"/>
    <mergeCell ref="WEG28:WEH28"/>
    <mergeCell ref="WEI28:WEJ28"/>
    <mergeCell ref="WEK28:WEL28"/>
    <mergeCell ref="WEM28:WEN28"/>
    <mergeCell ref="WEO28:WEP28"/>
    <mergeCell ref="WEQ28:WER28"/>
    <mergeCell ref="WDU28:WDV28"/>
    <mergeCell ref="WDW28:WDX28"/>
    <mergeCell ref="WDY28:WDZ28"/>
    <mergeCell ref="WEA28:WEB28"/>
    <mergeCell ref="WEC28:WED28"/>
    <mergeCell ref="WEE28:WEF28"/>
    <mergeCell ref="WDI28:WDJ28"/>
    <mergeCell ref="WDK28:WDL28"/>
    <mergeCell ref="WDM28:WDN28"/>
    <mergeCell ref="WDO28:WDP28"/>
    <mergeCell ref="WDQ28:WDR28"/>
    <mergeCell ref="WDS28:WDT28"/>
    <mergeCell ref="WCW28:WCX28"/>
    <mergeCell ref="WCY28:WCZ28"/>
    <mergeCell ref="WDA28:WDB28"/>
    <mergeCell ref="WDC28:WDD28"/>
    <mergeCell ref="WDE28:WDF28"/>
    <mergeCell ref="WDG28:WDH28"/>
    <mergeCell ref="WCK28:WCL28"/>
    <mergeCell ref="WCM28:WCN28"/>
    <mergeCell ref="WCO28:WCP28"/>
    <mergeCell ref="WCQ28:WCR28"/>
    <mergeCell ref="WCS28:WCT28"/>
    <mergeCell ref="WCU28:WCV28"/>
    <mergeCell ref="WBY28:WBZ28"/>
    <mergeCell ref="WCA28:WCB28"/>
    <mergeCell ref="WCC28:WCD28"/>
    <mergeCell ref="WCE28:WCF28"/>
    <mergeCell ref="WCG28:WCH28"/>
    <mergeCell ref="WCI28:WCJ28"/>
    <mergeCell ref="WHA28:WHB28"/>
    <mergeCell ref="WHC28:WHD28"/>
    <mergeCell ref="WHE28:WHF28"/>
    <mergeCell ref="WHG28:WHH28"/>
    <mergeCell ref="WHI28:WHJ28"/>
    <mergeCell ref="WHK28:WHL28"/>
    <mergeCell ref="WGO28:WGP28"/>
    <mergeCell ref="WGQ28:WGR28"/>
    <mergeCell ref="WGS28:WGT28"/>
    <mergeCell ref="WGU28:WGV28"/>
    <mergeCell ref="WGW28:WGX28"/>
    <mergeCell ref="WGY28:WGZ28"/>
    <mergeCell ref="WGC28:WGD28"/>
    <mergeCell ref="WGE28:WGF28"/>
    <mergeCell ref="WGG28:WGH28"/>
    <mergeCell ref="WGI28:WGJ28"/>
    <mergeCell ref="WGK28:WGL28"/>
    <mergeCell ref="WGM28:WGN28"/>
    <mergeCell ref="WFQ28:WFR28"/>
    <mergeCell ref="WFS28:WFT28"/>
    <mergeCell ref="WFU28:WFV28"/>
    <mergeCell ref="WFW28:WFX28"/>
    <mergeCell ref="WFY28:WFZ28"/>
    <mergeCell ref="WGA28:WGB28"/>
    <mergeCell ref="WFE28:WFF28"/>
    <mergeCell ref="WFG28:WFH28"/>
    <mergeCell ref="WFI28:WFJ28"/>
    <mergeCell ref="WFK28:WFL28"/>
    <mergeCell ref="WFM28:WFN28"/>
    <mergeCell ref="WFO28:WFP28"/>
    <mergeCell ref="WES28:WET28"/>
    <mergeCell ref="WEU28:WEV28"/>
    <mergeCell ref="WEW28:WEX28"/>
    <mergeCell ref="WEY28:WEZ28"/>
    <mergeCell ref="WFA28:WFB28"/>
    <mergeCell ref="WFC28:WFD28"/>
    <mergeCell ref="WJU28:WJV28"/>
    <mergeCell ref="WJW28:WJX28"/>
    <mergeCell ref="WJY28:WJZ28"/>
    <mergeCell ref="WKA28:WKB28"/>
    <mergeCell ref="WKC28:WKD28"/>
    <mergeCell ref="WKE28:WKF28"/>
    <mergeCell ref="WJI28:WJJ28"/>
    <mergeCell ref="WJK28:WJL28"/>
    <mergeCell ref="WJM28:WJN28"/>
    <mergeCell ref="WJO28:WJP28"/>
    <mergeCell ref="WJQ28:WJR28"/>
    <mergeCell ref="WJS28:WJT28"/>
    <mergeCell ref="WIW28:WIX28"/>
    <mergeCell ref="WIY28:WIZ28"/>
    <mergeCell ref="WJA28:WJB28"/>
    <mergeCell ref="WJC28:WJD28"/>
    <mergeCell ref="WJE28:WJF28"/>
    <mergeCell ref="WJG28:WJH28"/>
    <mergeCell ref="WIK28:WIL28"/>
    <mergeCell ref="WIM28:WIN28"/>
    <mergeCell ref="WIO28:WIP28"/>
    <mergeCell ref="WIQ28:WIR28"/>
    <mergeCell ref="WIS28:WIT28"/>
    <mergeCell ref="WIU28:WIV28"/>
    <mergeCell ref="WHY28:WHZ28"/>
    <mergeCell ref="WIA28:WIB28"/>
    <mergeCell ref="WIC28:WID28"/>
    <mergeCell ref="WIE28:WIF28"/>
    <mergeCell ref="WIG28:WIH28"/>
    <mergeCell ref="WII28:WIJ28"/>
    <mergeCell ref="WHM28:WHN28"/>
    <mergeCell ref="WHO28:WHP28"/>
    <mergeCell ref="WHQ28:WHR28"/>
    <mergeCell ref="WHS28:WHT28"/>
    <mergeCell ref="WHU28:WHV28"/>
    <mergeCell ref="WHW28:WHX28"/>
    <mergeCell ref="WMO28:WMP28"/>
    <mergeCell ref="WMQ28:WMR28"/>
    <mergeCell ref="WMS28:WMT28"/>
    <mergeCell ref="WMU28:WMV28"/>
    <mergeCell ref="WMW28:WMX28"/>
    <mergeCell ref="WMY28:WMZ28"/>
    <mergeCell ref="WMC28:WMD28"/>
    <mergeCell ref="WME28:WMF28"/>
    <mergeCell ref="WMG28:WMH28"/>
    <mergeCell ref="WMI28:WMJ28"/>
    <mergeCell ref="WMK28:WML28"/>
    <mergeCell ref="WMM28:WMN28"/>
    <mergeCell ref="WLQ28:WLR28"/>
    <mergeCell ref="WLS28:WLT28"/>
    <mergeCell ref="WLU28:WLV28"/>
    <mergeCell ref="WLW28:WLX28"/>
    <mergeCell ref="WLY28:WLZ28"/>
    <mergeCell ref="WMA28:WMB28"/>
    <mergeCell ref="WLE28:WLF28"/>
    <mergeCell ref="WLG28:WLH28"/>
    <mergeCell ref="WLI28:WLJ28"/>
    <mergeCell ref="WLK28:WLL28"/>
    <mergeCell ref="WLM28:WLN28"/>
    <mergeCell ref="WLO28:WLP28"/>
    <mergeCell ref="WKS28:WKT28"/>
    <mergeCell ref="WKU28:WKV28"/>
    <mergeCell ref="WKW28:WKX28"/>
    <mergeCell ref="WKY28:WKZ28"/>
    <mergeCell ref="WLA28:WLB28"/>
    <mergeCell ref="WLC28:WLD28"/>
    <mergeCell ref="WKG28:WKH28"/>
    <mergeCell ref="WKI28:WKJ28"/>
    <mergeCell ref="WKK28:WKL28"/>
    <mergeCell ref="WKM28:WKN28"/>
    <mergeCell ref="WKO28:WKP28"/>
    <mergeCell ref="WKQ28:WKR28"/>
    <mergeCell ref="WPI28:WPJ28"/>
    <mergeCell ref="WPK28:WPL28"/>
    <mergeCell ref="WPM28:WPN28"/>
    <mergeCell ref="WPO28:WPP28"/>
    <mergeCell ref="WPQ28:WPR28"/>
    <mergeCell ref="WPS28:WPT28"/>
    <mergeCell ref="WOW28:WOX28"/>
    <mergeCell ref="WOY28:WOZ28"/>
    <mergeCell ref="WPA28:WPB28"/>
    <mergeCell ref="WPC28:WPD28"/>
    <mergeCell ref="WPE28:WPF28"/>
    <mergeCell ref="WPG28:WPH28"/>
    <mergeCell ref="WOK28:WOL28"/>
    <mergeCell ref="WOM28:WON28"/>
    <mergeCell ref="WOO28:WOP28"/>
    <mergeCell ref="WOQ28:WOR28"/>
    <mergeCell ref="WOS28:WOT28"/>
    <mergeCell ref="WOU28:WOV28"/>
    <mergeCell ref="WNY28:WNZ28"/>
    <mergeCell ref="WOA28:WOB28"/>
    <mergeCell ref="WOC28:WOD28"/>
    <mergeCell ref="WOE28:WOF28"/>
    <mergeCell ref="WOG28:WOH28"/>
    <mergeCell ref="WOI28:WOJ28"/>
    <mergeCell ref="WNM28:WNN28"/>
    <mergeCell ref="WNO28:WNP28"/>
    <mergeCell ref="WNQ28:WNR28"/>
    <mergeCell ref="WNS28:WNT28"/>
    <mergeCell ref="WNU28:WNV28"/>
    <mergeCell ref="WNW28:WNX28"/>
    <mergeCell ref="WNA28:WNB28"/>
    <mergeCell ref="WNC28:WND28"/>
    <mergeCell ref="WNE28:WNF28"/>
    <mergeCell ref="WNG28:WNH28"/>
    <mergeCell ref="WNI28:WNJ28"/>
    <mergeCell ref="WNK28:WNL28"/>
    <mergeCell ref="WSC28:WSD28"/>
    <mergeCell ref="WSE28:WSF28"/>
    <mergeCell ref="WSG28:WSH28"/>
    <mergeCell ref="WSI28:WSJ28"/>
    <mergeCell ref="WSK28:WSL28"/>
    <mergeCell ref="WSM28:WSN28"/>
    <mergeCell ref="WRQ28:WRR28"/>
    <mergeCell ref="WRS28:WRT28"/>
    <mergeCell ref="WRU28:WRV28"/>
    <mergeCell ref="WRW28:WRX28"/>
    <mergeCell ref="WRY28:WRZ28"/>
    <mergeCell ref="WSA28:WSB28"/>
    <mergeCell ref="WRE28:WRF28"/>
    <mergeCell ref="WRG28:WRH28"/>
    <mergeCell ref="WRI28:WRJ28"/>
    <mergeCell ref="WRK28:WRL28"/>
    <mergeCell ref="WRM28:WRN28"/>
    <mergeCell ref="WRO28:WRP28"/>
    <mergeCell ref="WQS28:WQT28"/>
    <mergeCell ref="WQU28:WQV28"/>
    <mergeCell ref="WQW28:WQX28"/>
    <mergeCell ref="WQY28:WQZ28"/>
    <mergeCell ref="WRA28:WRB28"/>
    <mergeCell ref="WRC28:WRD28"/>
    <mergeCell ref="WQG28:WQH28"/>
    <mergeCell ref="WQI28:WQJ28"/>
    <mergeCell ref="WQK28:WQL28"/>
    <mergeCell ref="WQM28:WQN28"/>
    <mergeCell ref="WQO28:WQP28"/>
    <mergeCell ref="WQQ28:WQR28"/>
    <mergeCell ref="WPU28:WPV28"/>
    <mergeCell ref="WPW28:WPX28"/>
    <mergeCell ref="WPY28:WPZ28"/>
    <mergeCell ref="WQA28:WQB28"/>
    <mergeCell ref="WQC28:WQD28"/>
    <mergeCell ref="WQE28:WQF28"/>
    <mergeCell ref="WUW28:WUX28"/>
    <mergeCell ref="WUY28:WUZ28"/>
    <mergeCell ref="WVA28:WVB28"/>
    <mergeCell ref="WVC28:WVD28"/>
    <mergeCell ref="WVE28:WVF28"/>
    <mergeCell ref="WVG28:WVH28"/>
    <mergeCell ref="WUK28:WUL28"/>
    <mergeCell ref="WUM28:WUN28"/>
    <mergeCell ref="WUO28:WUP28"/>
    <mergeCell ref="WUQ28:WUR28"/>
    <mergeCell ref="WUS28:WUT28"/>
    <mergeCell ref="WUU28:WUV28"/>
    <mergeCell ref="WTY28:WTZ28"/>
    <mergeCell ref="WUA28:WUB28"/>
    <mergeCell ref="WUC28:WUD28"/>
    <mergeCell ref="WUE28:WUF28"/>
    <mergeCell ref="WUG28:WUH28"/>
    <mergeCell ref="WUI28:WUJ28"/>
    <mergeCell ref="WTM28:WTN28"/>
    <mergeCell ref="WTO28:WTP28"/>
    <mergeCell ref="WTQ28:WTR28"/>
    <mergeCell ref="WTS28:WTT28"/>
    <mergeCell ref="WTU28:WTV28"/>
    <mergeCell ref="WTW28:WTX28"/>
    <mergeCell ref="WTA28:WTB28"/>
    <mergeCell ref="WTC28:WTD28"/>
    <mergeCell ref="WTE28:WTF28"/>
    <mergeCell ref="WTG28:WTH28"/>
    <mergeCell ref="WTI28:WTJ28"/>
    <mergeCell ref="WTK28:WTL28"/>
    <mergeCell ref="WSO28:WSP28"/>
    <mergeCell ref="WSQ28:WSR28"/>
    <mergeCell ref="WSS28:WST28"/>
    <mergeCell ref="WSU28:WSV28"/>
    <mergeCell ref="WSW28:WSX28"/>
    <mergeCell ref="WSY28:WSZ28"/>
    <mergeCell ref="WXQ28:WXR28"/>
    <mergeCell ref="WXS28:WXT28"/>
    <mergeCell ref="WXU28:WXV28"/>
    <mergeCell ref="WXW28:WXX28"/>
    <mergeCell ref="WXY28:WXZ28"/>
    <mergeCell ref="WYA28:WYB28"/>
    <mergeCell ref="WXE28:WXF28"/>
    <mergeCell ref="WXG28:WXH28"/>
    <mergeCell ref="WXI28:WXJ28"/>
    <mergeCell ref="WXK28:WXL28"/>
    <mergeCell ref="WXM28:WXN28"/>
    <mergeCell ref="WXO28:WXP28"/>
    <mergeCell ref="WWS28:WWT28"/>
    <mergeCell ref="WWU28:WWV28"/>
    <mergeCell ref="WWW28:WWX28"/>
    <mergeCell ref="WWY28:WWZ28"/>
    <mergeCell ref="WXA28:WXB28"/>
    <mergeCell ref="WXC28:WXD28"/>
    <mergeCell ref="WWG28:WWH28"/>
    <mergeCell ref="WWI28:WWJ28"/>
    <mergeCell ref="WWK28:WWL28"/>
    <mergeCell ref="WWM28:WWN28"/>
    <mergeCell ref="WWO28:WWP28"/>
    <mergeCell ref="WWQ28:WWR28"/>
    <mergeCell ref="WVU28:WVV28"/>
    <mergeCell ref="WVW28:WVX28"/>
    <mergeCell ref="WVY28:WVZ28"/>
    <mergeCell ref="WWA28:WWB28"/>
    <mergeCell ref="WWC28:WWD28"/>
    <mergeCell ref="WWE28:WWF28"/>
    <mergeCell ref="WVI28:WVJ28"/>
    <mergeCell ref="WVK28:WVL28"/>
    <mergeCell ref="WVM28:WVN28"/>
    <mergeCell ref="WVO28:WVP28"/>
    <mergeCell ref="WVQ28:WVR28"/>
    <mergeCell ref="WVS28:WVT28"/>
    <mergeCell ref="XAK28:XAL28"/>
    <mergeCell ref="XAM28:XAN28"/>
    <mergeCell ref="XAO28:XAP28"/>
    <mergeCell ref="XAQ28:XAR28"/>
    <mergeCell ref="XAS28:XAT28"/>
    <mergeCell ref="XAU28:XAV28"/>
    <mergeCell ref="WZY28:WZZ28"/>
    <mergeCell ref="XAA28:XAB28"/>
    <mergeCell ref="XAC28:XAD28"/>
    <mergeCell ref="XAE28:XAF28"/>
    <mergeCell ref="XAG28:XAH28"/>
    <mergeCell ref="XAI28:XAJ28"/>
    <mergeCell ref="WZM28:WZN28"/>
    <mergeCell ref="WZO28:WZP28"/>
    <mergeCell ref="WZQ28:WZR28"/>
    <mergeCell ref="WZS28:WZT28"/>
    <mergeCell ref="WZU28:WZV28"/>
    <mergeCell ref="WZW28:WZX28"/>
    <mergeCell ref="WZA28:WZB28"/>
    <mergeCell ref="WZC28:WZD28"/>
    <mergeCell ref="WZE28:WZF28"/>
    <mergeCell ref="WZG28:WZH28"/>
    <mergeCell ref="WZI28:WZJ28"/>
    <mergeCell ref="WZK28:WZL28"/>
    <mergeCell ref="WYO28:WYP28"/>
    <mergeCell ref="WYQ28:WYR28"/>
    <mergeCell ref="WYS28:WYT28"/>
    <mergeCell ref="WYU28:WYV28"/>
    <mergeCell ref="WYW28:WYX28"/>
    <mergeCell ref="WYY28:WYZ28"/>
    <mergeCell ref="WYC28:WYD28"/>
    <mergeCell ref="WYE28:WYF28"/>
    <mergeCell ref="WYG28:WYH28"/>
    <mergeCell ref="WYI28:WYJ28"/>
    <mergeCell ref="WYK28:WYL28"/>
    <mergeCell ref="WYM28:WYN28"/>
    <mergeCell ref="XFA28:XFB28"/>
    <mergeCell ref="XFC28:XFD28"/>
    <mergeCell ref="A29:B29"/>
    <mergeCell ref="C29:D29"/>
    <mergeCell ref="E29:F29"/>
    <mergeCell ref="G29:H29"/>
    <mergeCell ref="I29:J29"/>
    <mergeCell ref="K29:L29"/>
    <mergeCell ref="M29:N29"/>
    <mergeCell ref="O29:P29"/>
    <mergeCell ref="XEO28:XEP28"/>
    <mergeCell ref="XEQ28:XER28"/>
    <mergeCell ref="XES28:XET28"/>
    <mergeCell ref="XEU28:XEV28"/>
    <mergeCell ref="XEW28:XEX28"/>
    <mergeCell ref="XEY28:XEZ28"/>
    <mergeCell ref="XEC28:XED28"/>
    <mergeCell ref="XEE28:XEF28"/>
    <mergeCell ref="XEG28:XEH28"/>
    <mergeCell ref="XEI28:XEJ28"/>
    <mergeCell ref="XEK28:XEL28"/>
    <mergeCell ref="XEM28:XEN28"/>
    <mergeCell ref="XDQ28:XDR28"/>
    <mergeCell ref="XDS28:XDT28"/>
    <mergeCell ref="XDU28:XDV28"/>
    <mergeCell ref="XDW28:XDX28"/>
    <mergeCell ref="XDY28:XDZ28"/>
    <mergeCell ref="XEA28:XEB28"/>
    <mergeCell ref="XDE28:XDF28"/>
    <mergeCell ref="XDG28:XDH28"/>
    <mergeCell ref="XDI28:XDJ28"/>
    <mergeCell ref="XDK28:XDL28"/>
    <mergeCell ref="XDM28:XDN28"/>
    <mergeCell ref="XDO28:XDP28"/>
    <mergeCell ref="XCS28:XCT28"/>
    <mergeCell ref="XCU28:XCV28"/>
    <mergeCell ref="XCW28:XCX28"/>
    <mergeCell ref="XCY28:XCZ28"/>
    <mergeCell ref="XDA28:XDB28"/>
    <mergeCell ref="XDC28:XDD28"/>
    <mergeCell ref="XCG28:XCH28"/>
    <mergeCell ref="XCI28:XCJ28"/>
    <mergeCell ref="XCK28:XCL28"/>
    <mergeCell ref="XCM28:XCN28"/>
    <mergeCell ref="XCO28:XCP28"/>
    <mergeCell ref="XCQ28:XCR28"/>
    <mergeCell ref="XBU28:XBV28"/>
    <mergeCell ref="XBW28:XBX28"/>
    <mergeCell ref="XBY28:XBZ28"/>
    <mergeCell ref="XCA28:XCB28"/>
    <mergeCell ref="XCC28:XCD28"/>
    <mergeCell ref="XCE28:XCF28"/>
    <mergeCell ref="XBI28:XBJ28"/>
    <mergeCell ref="XBK28:XBL28"/>
    <mergeCell ref="XBM28:XBN28"/>
    <mergeCell ref="XBO28:XBP28"/>
    <mergeCell ref="XBQ28:XBR28"/>
    <mergeCell ref="XBS28:XBT28"/>
    <mergeCell ref="XAW28:XAX28"/>
    <mergeCell ref="XAY28:XAZ28"/>
    <mergeCell ref="XBA28:XBB28"/>
    <mergeCell ref="XBC28:XBD28"/>
    <mergeCell ref="XBE28:XBF28"/>
    <mergeCell ref="XBG28:XBH28"/>
    <mergeCell ref="BY29:BZ29"/>
    <mergeCell ref="CA29:CB29"/>
    <mergeCell ref="CC29:CD29"/>
    <mergeCell ref="CE29:CF29"/>
    <mergeCell ref="CG29:CH29"/>
    <mergeCell ref="CI29:CJ29"/>
    <mergeCell ref="BM29:BN29"/>
    <mergeCell ref="BO29:BP29"/>
    <mergeCell ref="BQ29:BR29"/>
    <mergeCell ref="BS29:BT29"/>
    <mergeCell ref="BU29:BV29"/>
    <mergeCell ref="BW29:BX29"/>
    <mergeCell ref="BA29:BB29"/>
    <mergeCell ref="BC29:BD29"/>
    <mergeCell ref="BE29:BF29"/>
    <mergeCell ref="BG29:BH29"/>
    <mergeCell ref="BI29:BJ29"/>
    <mergeCell ref="BK29:BL29"/>
    <mergeCell ref="AO29:AP29"/>
    <mergeCell ref="AQ29:AR29"/>
    <mergeCell ref="AS29:AT29"/>
    <mergeCell ref="AU29:AV29"/>
    <mergeCell ref="AW29:AX29"/>
    <mergeCell ref="AY29:AZ29"/>
    <mergeCell ref="AC29:AD29"/>
    <mergeCell ref="AE29:AF29"/>
    <mergeCell ref="AG29:AH29"/>
    <mergeCell ref="AI29:AJ29"/>
    <mergeCell ref="AK29:AL29"/>
    <mergeCell ref="AM29:AN29"/>
    <mergeCell ref="Q29:R29"/>
    <mergeCell ref="S29:T29"/>
    <mergeCell ref="U29:V29"/>
    <mergeCell ref="W29:X29"/>
    <mergeCell ref="Y29:Z29"/>
    <mergeCell ref="AA29:AB29"/>
    <mergeCell ref="ES29:ET29"/>
    <mergeCell ref="EU29:EV29"/>
    <mergeCell ref="EW29:EX29"/>
    <mergeCell ref="EY29:EZ29"/>
    <mergeCell ref="FA29:FB29"/>
    <mergeCell ref="FC29:FD29"/>
    <mergeCell ref="EG29:EH29"/>
    <mergeCell ref="EI29:EJ29"/>
    <mergeCell ref="EK29:EL29"/>
    <mergeCell ref="EM29:EN29"/>
    <mergeCell ref="EO29:EP29"/>
    <mergeCell ref="EQ29:ER29"/>
    <mergeCell ref="DU29:DV29"/>
    <mergeCell ref="DW29:DX29"/>
    <mergeCell ref="DY29:DZ29"/>
    <mergeCell ref="EA29:EB29"/>
    <mergeCell ref="EC29:ED29"/>
    <mergeCell ref="EE29:EF29"/>
    <mergeCell ref="DI29:DJ29"/>
    <mergeCell ref="DK29:DL29"/>
    <mergeCell ref="DM29:DN29"/>
    <mergeCell ref="DO29:DP29"/>
    <mergeCell ref="DQ29:DR29"/>
    <mergeCell ref="DS29:DT29"/>
    <mergeCell ref="CW29:CX29"/>
    <mergeCell ref="CY29:CZ29"/>
    <mergeCell ref="DA29:DB29"/>
    <mergeCell ref="DC29:DD29"/>
    <mergeCell ref="DE29:DF29"/>
    <mergeCell ref="DG29:DH29"/>
    <mergeCell ref="CK29:CL29"/>
    <mergeCell ref="CM29:CN29"/>
    <mergeCell ref="CO29:CP29"/>
    <mergeCell ref="CQ29:CR29"/>
    <mergeCell ref="CS29:CT29"/>
    <mergeCell ref="CU29:CV29"/>
    <mergeCell ref="HM29:HN29"/>
    <mergeCell ref="HO29:HP29"/>
    <mergeCell ref="HQ29:HR29"/>
    <mergeCell ref="HS29:HT29"/>
    <mergeCell ref="HU29:HV29"/>
    <mergeCell ref="HW29:HX29"/>
    <mergeCell ref="HA29:HB29"/>
    <mergeCell ref="HC29:HD29"/>
    <mergeCell ref="HE29:HF29"/>
    <mergeCell ref="HG29:HH29"/>
    <mergeCell ref="HI29:HJ29"/>
    <mergeCell ref="HK29:HL29"/>
    <mergeCell ref="GO29:GP29"/>
    <mergeCell ref="GQ29:GR29"/>
    <mergeCell ref="GS29:GT29"/>
    <mergeCell ref="GU29:GV29"/>
    <mergeCell ref="GW29:GX29"/>
    <mergeCell ref="GY29:GZ29"/>
    <mergeCell ref="GC29:GD29"/>
    <mergeCell ref="GE29:GF29"/>
    <mergeCell ref="GG29:GH29"/>
    <mergeCell ref="GI29:GJ29"/>
    <mergeCell ref="GK29:GL29"/>
    <mergeCell ref="GM29:GN29"/>
    <mergeCell ref="FQ29:FR29"/>
    <mergeCell ref="FS29:FT29"/>
    <mergeCell ref="FU29:FV29"/>
    <mergeCell ref="FW29:FX29"/>
    <mergeCell ref="FY29:FZ29"/>
    <mergeCell ref="GA29:GB29"/>
    <mergeCell ref="FE29:FF29"/>
    <mergeCell ref="FG29:FH29"/>
    <mergeCell ref="FI29:FJ29"/>
    <mergeCell ref="FK29:FL29"/>
    <mergeCell ref="FM29:FN29"/>
    <mergeCell ref="FO29:FP29"/>
    <mergeCell ref="KG29:KH29"/>
    <mergeCell ref="KI29:KJ29"/>
    <mergeCell ref="KK29:KL29"/>
    <mergeCell ref="KM29:KN29"/>
    <mergeCell ref="KO29:KP29"/>
    <mergeCell ref="KQ29:KR29"/>
    <mergeCell ref="JU29:JV29"/>
    <mergeCell ref="JW29:JX29"/>
    <mergeCell ref="JY29:JZ29"/>
    <mergeCell ref="KA29:KB29"/>
    <mergeCell ref="KC29:KD29"/>
    <mergeCell ref="KE29:KF29"/>
    <mergeCell ref="JI29:JJ29"/>
    <mergeCell ref="JK29:JL29"/>
    <mergeCell ref="JM29:JN29"/>
    <mergeCell ref="JO29:JP29"/>
    <mergeCell ref="JQ29:JR29"/>
    <mergeCell ref="JS29:JT29"/>
    <mergeCell ref="IW29:IX29"/>
    <mergeCell ref="IY29:IZ29"/>
    <mergeCell ref="JA29:JB29"/>
    <mergeCell ref="JC29:JD29"/>
    <mergeCell ref="JE29:JF29"/>
    <mergeCell ref="JG29:JH29"/>
    <mergeCell ref="IK29:IL29"/>
    <mergeCell ref="IM29:IN29"/>
    <mergeCell ref="IO29:IP29"/>
    <mergeCell ref="IQ29:IR29"/>
    <mergeCell ref="IS29:IT29"/>
    <mergeCell ref="IU29:IV29"/>
    <mergeCell ref="HY29:HZ29"/>
    <mergeCell ref="IA29:IB29"/>
    <mergeCell ref="IC29:ID29"/>
    <mergeCell ref="IE29:IF29"/>
    <mergeCell ref="IG29:IH29"/>
    <mergeCell ref="II29:IJ29"/>
    <mergeCell ref="NA29:NB29"/>
    <mergeCell ref="NC29:ND29"/>
    <mergeCell ref="NE29:NF29"/>
    <mergeCell ref="NG29:NH29"/>
    <mergeCell ref="NI29:NJ29"/>
    <mergeCell ref="NK29:NL29"/>
    <mergeCell ref="MO29:MP29"/>
    <mergeCell ref="MQ29:MR29"/>
    <mergeCell ref="MS29:MT29"/>
    <mergeCell ref="MU29:MV29"/>
    <mergeCell ref="MW29:MX29"/>
    <mergeCell ref="MY29:MZ29"/>
    <mergeCell ref="MC29:MD29"/>
    <mergeCell ref="ME29:MF29"/>
    <mergeCell ref="MG29:MH29"/>
    <mergeCell ref="MI29:MJ29"/>
    <mergeCell ref="MK29:ML29"/>
    <mergeCell ref="MM29:MN29"/>
    <mergeCell ref="LQ29:LR29"/>
    <mergeCell ref="LS29:LT29"/>
    <mergeCell ref="LU29:LV29"/>
    <mergeCell ref="LW29:LX29"/>
    <mergeCell ref="LY29:LZ29"/>
    <mergeCell ref="MA29:MB29"/>
    <mergeCell ref="LE29:LF29"/>
    <mergeCell ref="LG29:LH29"/>
    <mergeCell ref="LI29:LJ29"/>
    <mergeCell ref="LK29:LL29"/>
    <mergeCell ref="LM29:LN29"/>
    <mergeCell ref="LO29:LP29"/>
    <mergeCell ref="KS29:KT29"/>
    <mergeCell ref="KU29:KV29"/>
    <mergeCell ref="KW29:KX29"/>
    <mergeCell ref="KY29:KZ29"/>
    <mergeCell ref="LA29:LB29"/>
    <mergeCell ref="LC29:LD29"/>
    <mergeCell ref="PU29:PV29"/>
    <mergeCell ref="PW29:PX29"/>
    <mergeCell ref="PY29:PZ29"/>
    <mergeCell ref="QA29:QB29"/>
    <mergeCell ref="QC29:QD29"/>
    <mergeCell ref="QE29:QF29"/>
    <mergeCell ref="PI29:PJ29"/>
    <mergeCell ref="PK29:PL29"/>
    <mergeCell ref="PM29:PN29"/>
    <mergeCell ref="PO29:PP29"/>
    <mergeCell ref="PQ29:PR29"/>
    <mergeCell ref="PS29:PT29"/>
    <mergeCell ref="OW29:OX29"/>
    <mergeCell ref="OY29:OZ29"/>
    <mergeCell ref="PA29:PB29"/>
    <mergeCell ref="PC29:PD29"/>
    <mergeCell ref="PE29:PF29"/>
    <mergeCell ref="PG29:PH29"/>
    <mergeCell ref="OK29:OL29"/>
    <mergeCell ref="OM29:ON29"/>
    <mergeCell ref="OO29:OP29"/>
    <mergeCell ref="OQ29:OR29"/>
    <mergeCell ref="OS29:OT29"/>
    <mergeCell ref="OU29:OV29"/>
    <mergeCell ref="NY29:NZ29"/>
    <mergeCell ref="OA29:OB29"/>
    <mergeCell ref="OC29:OD29"/>
    <mergeCell ref="OE29:OF29"/>
    <mergeCell ref="OG29:OH29"/>
    <mergeCell ref="OI29:OJ29"/>
    <mergeCell ref="NM29:NN29"/>
    <mergeCell ref="NO29:NP29"/>
    <mergeCell ref="NQ29:NR29"/>
    <mergeCell ref="NS29:NT29"/>
    <mergeCell ref="NU29:NV29"/>
    <mergeCell ref="NW29:NX29"/>
    <mergeCell ref="SO29:SP29"/>
    <mergeCell ref="SQ29:SR29"/>
    <mergeCell ref="SS29:ST29"/>
    <mergeCell ref="SU29:SV29"/>
    <mergeCell ref="SW29:SX29"/>
    <mergeCell ref="SY29:SZ29"/>
    <mergeCell ref="SC29:SD29"/>
    <mergeCell ref="SE29:SF29"/>
    <mergeCell ref="SG29:SH29"/>
    <mergeCell ref="SI29:SJ29"/>
    <mergeCell ref="SK29:SL29"/>
    <mergeCell ref="SM29:SN29"/>
    <mergeCell ref="RQ29:RR29"/>
    <mergeCell ref="RS29:RT29"/>
    <mergeCell ref="RU29:RV29"/>
    <mergeCell ref="RW29:RX29"/>
    <mergeCell ref="RY29:RZ29"/>
    <mergeCell ref="SA29:SB29"/>
    <mergeCell ref="RE29:RF29"/>
    <mergeCell ref="RG29:RH29"/>
    <mergeCell ref="RI29:RJ29"/>
    <mergeCell ref="RK29:RL29"/>
    <mergeCell ref="RM29:RN29"/>
    <mergeCell ref="RO29:RP29"/>
    <mergeCell ref="QS29:QT29"/>
    <mergeCell ref="QU29:QV29"/>
    <mergeCell ref="QW29:QX29"/>
    <mergeCell ref="QY29:QZ29"/>
    <mergeCell ref="RA29:RB29"/>
    <mergeCell ref="RC29:RD29"/>
    <mergeCell ref="QG29:QH29"/>
    <mergeCell ref="QI29:QJ29"/>
    <mergeCell ref="QK29:QL29"/>
    <mergeCell ref="QM29:QN29"/>
    <mergeCell ref="QO29:QP29"/>
    <mergeCell ref="QQ29:QR29"/>
    <mergeCell ref="VI29:VJ29"/>
    <mergeCell ref="VK29:VL29"/>
    <mergeCell ref="VM29:VN29"/>
    <mergeCell ref="VO29:VP29"/>
    <mergeCell ref="VQ29:VR29"/>
    <mergeCell ref="VS29:VT29"/>
    <mergeCell ref="UW29:UX29"/>
    <mergeCell ref="UY29:UZ29"/>
    <mergeCell ref="VA29:VB29"/>
    <mergeCell ref="VC29:VD29"/>
    <mergeCell ref="VE29:VF29"/>
    <mergeCell ref="VG29:VH29"/>
    <mergeCell ref="UK29:UL29"/>
    <mergeCell ref="UM29:UN29"/>
    <mergeCell ref="UO29:UP29"/>
    <mergeCell ref="UQ29:UR29"/>
    <mergeCell ref="US29:UT29"/>
    <mergeCell ref="UU29:UV29"/>
    <mergeCell ref="TY29:TZ29"/>
    <mergeCell ref="UA29:UB29"/>
    <mergeCell ref="UC29:UD29"/>
    <mergeCell ref="UE29:UF29"/>
    <mergeCell ref="UG29:UH29"/>
    <mergeCell ref="UI29:UJ29"/>
    <mergeCell ref="TM29:TN29"/>
    <mergeCell ref="TO29:TP29"/>
    <mergeCell ref="TQ29:TR29"/>
    <mergeCell ref="TS29:TT29"/>
    <mergeCell ref="TU29:TV29"/>
    <mergeCell ref="TW29:TX29"/>
    <mergeCell ref="TA29:TB29"/>
    <mergeCell ref="TC29:TD29"/>
    <mergeCell ref="TE29:TF29"/>
    <mergeCell ref="TG29:TH29"/>
    <mergeCell ref="TI29:TJ29"/>
    <mergeCell ref="TK29:TL29"/>
    <mergeCell ref="YC29:YD29"/>
    <mergeCell ref="YE29:YF29"/>
    <mergeCell ref="YG29:YH29"/>
    <mergeCell ref="YI29:YJ29"/>
    <mergeCell ref="YK29:YL29"/>
    <mergeCell ref="YM29:YN29"/>
    <mergeCell ref="XQ29:XR29"/>
    <mergeCell ref="XS29:XT29"/>
    <mergeCell ref="XU29:XV29"/>
    <mergeCell ref="XW29:XX29"/>
    <mergeCell ref="XY29:XZ29"/>
    <mergeCell ref="YA29:YB29"/>
    <mergeCell ref="XE29:XF29"/>
    <mergeCell ref="XG29:XH29"/>
    <mergeCell ref="XI29:XJ29"/>
    <mergeCell ref="XK29:XL29"/>
    <mergeCell ref="XM29:XN29"/>
    <mergeCell ref="XO29:XP29"/>
    <mergeCell ref="WS29:WT29"/>
    <mergeCell ref="WU29:WV29"/>
    <mergeCell ref="WW29:WX29"/>
    <mergeCell ref="WY29:WZ29"/>
    <mergeCell ref="XA29:XB29"/>
    <mergeCell ref="XC29:XD29"/>
    <mergeCell ref="WG29:WH29"/>
    <mergeCell ref="WI29:WJ29"/>
    <mergeCell ref="WK29:WL29"/>
    <mergeCell ref="WM29:WN29"/>
    <mergeCell ref="WO29:WP29"/>
    <mergeCell ref="WQ29:WR29"/>
    <mergeCell ref="VU29:VV29"/>
    <mergeCell ref="VW29:VX29"/>
    <mergeCell ref="VY29:VZ29"/>
    <mergeCell ref="WA29:WB29"/>
    <mergeCell ref="WC29:WD29"/>
    <mergeCell ref="WE29:WF29"/>
    <mergeCell ref="AAW29:AAX29"/>
    <mergeCell ref="AAY29:AAZ29"/>
    <mergeCell ref="ABA29:ABB29"/>
    <mergeCell ref="ABC29:ABD29"/>
    <mergeCell ref="ABE29:ABF29"/>
    <mergeCell ref="ABG29:ABH29"/>
    <mergeCell ref="AAK29:AAL29"/>
    <mergeCell ref="AAM29:AAN29"/>
    <mergeCell ref="AAO29:AAP29"/>
    <mergeCell ref="AAQ29:AAR29"/>
    <mergeCell ref="AAS29:AAT29"/>
    <mergeCell ref="AAU29:AAV29"/>
    <mergeCell ref="ZY29:ZZ29"/>
    <mergeCell ref="AAA29:AAB29"/>
    <mergeCell ref="AAC29:AAD29"/>
    <mergeCell ref="AAE29:AAF29"/>
    <mergeCell ref="AAG29:AAH29"/>
    <mergeCell ref="AAI29:AAJ29"/>
    <mergeCell ref="ZM29:ZN29"/>
    <mergeCell ref="ZO29:ZP29"/>
    <mergeCell ref="ZQ29:ZR29"/>
    <mergeCell ref="ZS29:ZT29"/>
    <mergeCell ref="ZU29:ZV29"/>
    <mergeCell ref="ZW29:ZX29"/>
    <mergeCell ref="ZA29:ZB29"/>
    <mergeCell ref="ZC29:ZD29"/>
    <mergeCell ref="ZE29:ZF29"/>
    <mergeCell ref="ZG29:ZH29"/>
    <mergeCell ref="ZI29:ZJ29"/>
    <mergeCell ref="ZK29:ZL29"/>
    <mergeCell ref="YO29:YP29"/>
    <mergeCell ref="YQ29:YR29"/>
    <mergeCell ref="YS29:YT29"/>
    <mergeCell ref="YU29:YV29"/>
    <mergeCell ref="YW29:YX29"/>
    <mergeCell ref="YY29:YZ29"/>
    <mergeCell ref="ADQ29:ADR29"/>
    <mergeCell ref="ADS29:ADT29"/>
    <mergeCell ref="ADU29:ADV29"/>
    <mergeCell ref="ADW29:ADX29"/>
    <mergeCell ref="ADY29:ADZ29"/>
    <mergeCell ref="AEA29:AEB29"/>
    <mergeCell ref="ADE29:ADF29"/>
    <mergeCell ref="ADG29:ADH29"/>
    <mergeCell ref="ADI29:ADJ29"/>
    <mergeCell ref="ADK29:ADL29"/>
    <mergeCell ref="ADM29:ADN29"/>
    <mergeCell ref="ADO29:ADP29"/>
    <mergeCell ref="ACS29:ACT29"/>
    <mergeCell ref="ACU29:ACV29"/>
    <mergeCell ref="ACW29:ACX29"/>
    <mergeCell ref="ACY29:ACZ29"/>
    <mergeCell ref="ADA29:ADB29"/>
    <mergeCell ref="ADC29:ADD29"/>
    <mergeCell ref="ACG29:ACH29"/>
    <mergeCell ref="ACI29:ACJ29"/>
    <mergeCell ref="ACK29:ACL29"/>
    <mergeCell ref="ACM29:ACN29"/>
    <mergeCell ref="ACO29:ACP29"/>
    <mergeCell ref="ACQ29:ACR29"/>
    <mergeCell ref="ABU29:ABV29"/>
    <mergeCell ref="ABW29:ABX29"/>
    <mergeCell ref="ABY29:ABZ29"/>
    <mergeCell ref="ACA29:ACB29"/>
    <mergeCell ref="ACC29:ACD29"/>
    <mergeCell ref="ACE29:ACF29"/>
    <mergeCell ref="ABI29:ABJ29"/>
    <mergeCell ref="ABK29:ABL29"/>
    <mergeCell ref="ABM29:ABN29"/>
    <mergeCell ref="ABO29:ABP29"/>
    <mergeCell ref="ABQ29:ABR29"/>
    <mergeCell ref="ABS29:ABT29"/>
    <mergeCell ref="AGK29:AGL29"/>
    <mergeCell ref="AGM29:AGN29"/>
    <mergeCell ref="AGO29:AGP29"/>
    <mergeCell ref="AGQ29:AGR29"/>
    <mergeCell ref="AGS29:AGT29"/>
    <mergeCell ref="AGU29:AGV29"/>
    <mergeCell ref="AFY29:AFZ29"/>
    <mergeCell ref="AGA29:AGB29"/>
    <mergeCell ref="AGC29:AGD29"/>
    <mergeCell ref="AGE29:AGF29"/>
    <mergeCell ref="AGG29:AGH29"/>
    <mergeCell ref="AGI29:AGJ29"/>
    <mergeCell ref="AFM29:AFN29"/>
    <mergeCell ref="AFO29:AFP29"/>
    <mergeCell ref="AFQ29:AFR29"/>
    <mergeCell ref="AFS29:AFT29"/>
    <mergeCell ref="AFU29:AFV29"/>
    <mergeCell ref="AFW29:AFX29"/>
    <mergeCell ref="AFA29:AFB29"/>
    <mergeCell ref="AFC29:AFD29"/>
    <mergeCell ref="AFE29:AFF29"/>
    <mergeCell ref="AFG29:AFH29"/>
    <mergeCell ref="AFI29:AFJ29"/>
    <mergeCell ref="AFK29:AFL29"/>
    <mergeCell ref="AEO29:AEP29"/>
    <mergeCell ref="AEQ29:AER29"/>
    <mergeCell ref="AES29:AET29"/>
    <mergeCell ref="AEU29:AEV29"/>
    <mergeCell ref="AEW29:AEX29"/>
    <mergeCell ref="AEY29:AEZ29"/>
    <mergeCell ref="AEC29:AED29"/>
    <mergeCell ref="AEE29:AEF29"/>
    <mergeCell ref="AEG29:AEH29"/>
    <mergeCell ref="AEI29:AEJ29"/>
    <mergeCell ref="AEK29:AEL29"/>
    <mergeCell ref="AEM29:AEN29"/>
    <mergeCell ref="AJE29:AJF29"/>
    <mergeCell ref="AJG29:AJH29"/>
    <mergeCell ref="AJI29:AJJ29"/>
    <mergeCell ref="AJK29:AJL29"/>
    <mergeCell ref="AJM29:AJN29"/>
    <mergeCell ref="AJO29:AJP29"/>
    <mergeCell ref="AIS29:AIT29"/>
    <mergeCell ref="AIU29:AIV29"/>
    <mergeCell ref="AIW29:AIX29"/>
    <mergeCell ref="AIY29:AIZ29"/>
    <mergeCell ref="AJA29:AJB29"/>
    <mergeCell ref="AJC29:AJD29"/>
    <mergeCell ref="AIG29:AIH29"/>
    <mergeCell ref="AII29:AIJ29"/>
    <mergeCell ref="AIK29:AIL29"/>
    <mergeCell ref="AIM29:AIN29"/>
    <mergeCell ref="AIO29:AIP29"/>
    <mergeCell ref="AIQ29:AIR29"/>
    <mergeCell ref="AHU29:AHV29"/>
    <mergeCell ref="AHW29:AHX29"/>
    <mergeCell ref="AHY29:AHZ29"/>
    <mergeCell ref="AIA29:AIB29"/>
    <mergeCell ref="AIC29:AID29"/>
    <mergeCell ref="AIE29:AIF29"/>
    <mergeCell ref="AHI29:AHJ29"/>
    <mergeCell ref="AHK29:AHL29"/>
    <mergeCell ref="AHM29:AHN29"/>
    <mergeCell ref="AHO29:AHP29"/>
    <mergeCell ref="AHQ29:AHR29"/>
    <mergeCell ref="AHS29:AHT29"/>
    <mergeCell ref="AGW29:AGX29"/>
    <mergeCell ref="AGY29:AGZ29"/>
    <mergeCell ref="AHA29:AHB29"/>
    <mergeCell ref="AHC29:AHD29"/>
    <mergeCell ref="AHE29:AHF29"/>
    <mergeCell ref="AHG29:AHH29"/>
    <mergeCell ref="ALY29:ALZ29"/>
    <mergeCell ref="AMA29:AMB29"/>
    <mergeCell ref="AMC29:AMD29"/>
    <mergeCell ref="AME29:AMF29"/>
    <mergeCell ref="AMG29:AMH29"/>
    <mergeCell ref="AMI29:AMJ29"/>
    <mergeCell ref="ALM29:ALN29"/>
    <mergeCell ref="ALO29:ALP29"/>
    <mergeCell ref="ALQ29:ALR29"/>
    <mergeCell ref="ALS29:ALT29"/>
    <mergeCell ref="ALU29:ALV29"/>
    <mergeCell ref="ALW29:ALX29"/>
    <mergeCell ref="ALA29:ALB29"/>
    <mergeCell ref="ALC29:ALD29"/>
    <mergeCell ref="ALE29:ALF29"/>
    <mergeCell ref="ALG29:ALH29"/>
    <mergeCell ref="ALI29:ALJ29"/>
    <mergeCell ref="ALK29:ALL29"/>
    <mergeCell ref="AKO29:AKP29"/>
    <mergeCell ref="AKQ29:AKR29"/>
    <mergeCell ref="AKS29:AKT29"/>
    <mergeCell ref="AKU29:AKV29"/>
    <mergeCell ref="AKW29:AKX29"/>
    <mergeCell ref="AKY29:AKZ29"/>
    <mergeCell ref="AKC29:AKD29"/>
    <mergeCell ref="AKE29:AKF29"/>
    <mergeCell ref="AKG29:AKH29"/>
    <mergeCell ref="AKI29:AKJ29"/>
    <mergeCell ref="AKK29:AKL29"/>
    <mergeCell ref="AKM29:AKN29"/>
    <mergeCell ref="AJQ29:AJR29"/>
    <mergeCell ref="AJS29:AJT29"/>
    <mergeCell ref="AJU29:AJV29"/>
    <mergeCell ref="AJW29:AJX29"/>
    <mergeCell ref="AJY29:AJZ29"/>
    <mergeCell ref="AKA29:AKB29"/>
    <mergeCell ref="AOS29:AOT29"/>
    <mergeCell ref="AOU29:AOV29"/>
    <mergeCell ref="AOW29:AOX29"/>
    <mergeCell ref="AOY29:AOZ29"/>
    <mergeCell ref="APA29:APB29"/>
    <mergeCell ref="APC29:APD29"/>
    <mergeCell ref="AOG29:AOH29"/>
    <mergeCell ref="AOI29:AOJ29"/>
    <mergeCell ref="AOK29:AOL29"/>
    <mergeCell ref="AOM29:AON29"/>
    <mergeCell ref="AOO29:AOP29"/>
    <mergeCell ref="AOQ29:AOR29"/>
    <mergeCell ref="ANU29:ANV29"/>
    <mergeCell ref="ANW29:ANX29"/>
    <mergeCell ref="ANY29:ANZ29"/>
    <mergeCell ref="AOA29:AOB29"/>
    <mergeCell ref="AOC29:AOD29"/>
    <mergeCell ref="AOE29:AOF29"/>
    <mergeCell ref="ANI29:ANJ29"/>
    <mergeCell ref="ANK29:ANL29"/>
    <mergeCell ref="ANM29:ANN29"/>
    <mergeCell ref="ANO29:ANP29"/>
    <mergeCell ref="ANQ29:ANR29"/>
    <mergeCell ref="ANS29:ANT29"/>
    <mergeCell ref="AMW29:AMX29"/>
    <mergeCell ref="AMY29:AMZ29"/>
    <mergeCell ref="ANA29:ANB29"/>
    <mergeCell ref="ANC29:AND29"/>
    <mergeCell ref="ANE29:ANF29"/>
    <mergeCell ref="ANG29:ANH29"/>
    <mergeCell ref="AMK29:AML29"/>
    <mergeCell ref="AMM29:AMN29"/>
    <mergeCell ref="AMO29:AMP29"/>
    <mergeCell ref="AMQ29:AMR29"/>
    <mergeCell ref="AMS29:AMT29"/>
    <mergeCell ref="AMU29:AMV29"/>
    <mergeCell ref="ARM29:ARN29"/>
    <mergeCell ref="ARO29:ARP29"/>
    <mergeCell ref="ARQ29:ARR29"/>
    <mergeCell ref="ARS29:ART29"/>
    <mergeCell ref="ARU29:ARV29"/>
    <mergeCell ref="ARW29:ARX29"/>
    <mergeCell ref="ARA29:ARB29"/>
    <mergeCell ref="ARC29:ARD29"/>
    <mergeCell ref="ARE29:ARF29"/>
    <mergeCell ref="ARG29:ARH29"/>
    <mergeCell ref="ARI29:ARJ29"/>
    <mergeCell ref="ARK29:ARL29"/>
    <mergeCell ref="AQO29:AQP29"/>
    <mergeCell ref="AQQ29:AQR29"/>
    <mergeCell ref="AQS29:AQT29"/>
    <mergeCell ref="AQU29:AQV29"/>
    <mergeCell ref="AQW29:AQX29"/>
    <mergeCell ref="AQY29:AQZ29"/>
    <mergeCell ref="AQC29:AQD29"/>
    <mergeCell ref="AQE29:AQF29"/>
    <mergeCell ref="AQG29:AQH29"/>
    <mergeCell ref="AQI29:AQJ29"/>
    <mergeCell ref="AQK29:AQL29"/>
    <mergeCell ref="AQM29:AQN29"/>
    <mergeCell ref="APQ29:APR29"/>
    <mergeCell ref="APS29:APT29"/>
    <mergeCell ref="APU29:APV29"/>
    <mergeCell ref="APW29:APX29"/>
    <mergeCell ref="APY29:APZ29"/>
    <mergeCell ref="AQA29:AQB29"/>
    <mergeCell ref="APE29:APF29"/>
    <mergeCell ref="APG29:APH29"/>
    <mergeCell ref="API29:APJ29"/>
    <mergeCell ref="APK29:APL29"/>
    <mergeCell ref="APM29:APN29"/>
    <mergeCell ref="APO29:APP29"/>
    <mergeCell ref="AUG29:AUH29"/>
    <mergeCell ref="AUI29:AUJ29"/>
    <mergeCell ref="AUK29:AUL29"/>
    <mergeCell ref="AUM29:AUN29"/>
    <mergeCell ref="AUO29:AUP29"/>
    <mergeCell ref="AUQ29:AUR29"/>
    <mergeCell ref="ATU29:ATV29"/>
    <mergeCell ref="ATW29:ATX29"/>
    <mergeCell ref="ATY29:ATZ29"/>
    <mergeCell ref="AUA29:AUB29"/>
    <mergeCell ref="AUC29:AUD29"/>
    <mergeCell ref="AUE29:AUF29"/>
    <mergeCell ref="ATI29:ATJ29"/>
    <mergeCell ref="ATK29:ATL29"/>
    <mergeCell ref="ATM29:ATN29"/>
    <mergeCell ref="ATO29:ATP29"/>
    <mergeCell ref="ATQ29:ATR29"/>
    <mergeCell ref="ATS29:ATT29"/>
    <mergeCell ref="ASW29:ASX29"/>
    <mergeCell ref="ASY29:ASZ29"/>
    <mergeCell ref="ATA29:ATB29"/>
    <mergeCell ref="ATC29:ATD29"/>
    <mergeCell ref="ATE29:ATF29"/>
    <mergeCell ref="ATG29:ATH29"/>
    <mergeCell ref="ASK29:ASL29"/>
    <mergeCell ref="ASM29:ASN29"/>
    <mergeCell ref="ASO29:ASP29"/>
    <mergeCell ref="ASQ29:ASR29"/>
    <mergeCell ref="ASS29:AST29"/>
    <mergeCell ref="ASU29:ASV29"/>
    <mergeCell ref="ARY29:ARZ29"/>
    <mergeCell ref="ASA29:ASB29"/>
    <mergeCell ref="ASC29:ASD29"/>
    <mergeCell ref="ASE29:ASF29"/>
    <mergeCell ref="ASG29:ASH29"/>
    <mergeCell ref="ASI29:ASJ29"/>
    <mergeCell ref="AXA29:AXB29"/>
    <mergeCell ref="AXC29:AXD29"/>
    <mergeCell ref="AXE29:AXF29"/>
    <mergeCell ref="AXG29:AXH29"/>
    <mergeCell ref="AXI29:AXJ29"/>
    <mergeCell ref="AXK29:AXL29"/>
    <mergeCell ref="AWO29:AWP29"/>
    <mergeCell ref="AWQ29:AWR29"/>
    <mergeCell ref="AWS29:AWT29"/>
    <mergeCell ref="AWU29:AWV29"/>
    <mergeCell ref="AWW29:AWX29"/>
    <mergeCell ref="AWY29:AWZ29"/>
    <mergeCell ref="AWC29:AWD29"/>
    <mergeCell ref="AWE29:AWF29"/>
    <mergeCell ref="AWG29:AWH29"/>
    <mergeCell ref="AWI29:AWJ29"/>
    <mergeCell ref="AWK29:AWL29"/>
    <mergeCell ref="AWM29:AWN29"/>
    <mergeCell ref="AVQ29:AVR29"/>
    <mergeCell ref="AVS29:AVT29"/>
    <mergeCell ref="AVU29:AVV29"/>
    <mergeCell ref="AVW29:AVX29"/>
    <mergeCell ref="AVY29:AVZ29"/>
    <mergeCell ref="AWA29:AWB29"/>
    <mergeCell ref="AVE29:AVF29"/>
    <mergeCell ref="AVG29:AVH29"/>
    <mergeCell ref="AVI29:AVJ29"/>
    <mergeCell ref="AVK29:AVL29"/>
    <mergeCell ref="AVM29:AVN29"/>
    <mergeCell ref="AVO29:AVP29"/>
    <mergeCell ref="AUS29:AUT29"/>
    <mergeCell ref="AUU29:AUV29"/>
    <mergeCell ref="AUW29:AUX29"/>
    <mergeCell ref="AUY29:AUZ29"/>
    <mergeCell ref="AVA29:AVB29"/>
    <mergeCell ref="AVC29:AVD29"/>
    <mergeCell ref="AZU29:AZV29"/>
    <mergeCell ref="AZW29:AZX29"/>
    <mergeCell ref="AZY29:AZZ29"/>
    <mergeCell ref="BAA29:BAB29"/>
    <mergeCell ref="BAC29:BAD29"/>
    <mergeCell ref="BAE29:BAF29"/>
    <mergeCell ref="AZI29:AZJ29"/>
    <mergeCell ref="AZK29:AZL29"/>
    <mergeCell ref="AZM29:AZN29"/>
    <mergeCell ref="AZO29:AZP29"/>
    <mergeCell ref="AZQ29:AZR29"/>
    <mergeCell ref="AZS29:AZT29"/>
    <mergeCell ref="AYW29:AYX29"/>
    <mergeCell ref="AYY29:AYZ29"/>
    <mergeCell ref="AZA29:AZB29"/>
    <mergeCell ref="AZC29:AZD29"/>
    <mergeCell ref="AZE29:AZF29"/>
    <mergeCell ref="AZG29:AZH29"/>
    <mergeCell ref="AYK29:AYL29"/>
    <mergeCell ref="AYM29:AYN29"/>
    <mergeCell ref="AYO29:AYP29"/>
    <mergeCell ref="AYQ29:AYR29"/>
    <mergeCell ref="AYS29:AYT29"/>
    <mergeCell ref="AYU29:AYV29"/>
    <mergeCell ref="AXY29:AXZ29"/>
    <mergeCell ref="AYA29:AYB29"/>
    <mergeCell ref="AYC29:AYD29"/>
    <mergeCell ref="AYE29:AYF29"/>
    <mergeCell ref="AYG29:AYH29"/>
    <mergeCell ref="AYI29:AYJ29"/>
    <mergeCell ref="AXM29:AXN29"/>
    <mergeCell ref="AXO29:AXP29"/>
    <mergeCell ref="AXQ29:AXR29"/>
    <mergeCell ref="AXS29:AXT29"/>
    <mergeCell ref="AXU29:AXV29"/>
    <mergeCell ref="AXW29:AXX29"/>
    <mergeCell ref="BCO29:BCP29"/>
    <mergeCell ref="BCQ29:BCR29"/>
    <mergeCell ref="BCS29:BCT29"/>
    <mergeCell ref="BCU29:BCV29"/>
    <mergeCell ref="BCW29:BCX29"/>
    <mergeCell ref="BCY29:BCZ29"/>
    <mergeCell ref="BCC29:BCD29"/>
    <mergeCell ref="BCE29:BCF29"/>
    <mergeCell ref="BCG29:BCH29"/>
    <mergeCell ref="BCI29:BCJ29"/>
    <mergeCell ref="BCK29:BCL29"/>
    <mergeCell ref="BCM29:BCN29"/>
    <mergeCell ref="BBQ29:BBR29"/>
    <mergeCell ref="BBS29:BBT29"/>
    <mergeCell ref="BBU29:BBV29"/>
    <mergeCell ref="BBW29:BBX29"/>
    <mergeCell ref="BBY29:BBZ29"/>
    <mergeCell ref="BCA29:BCB29"/>
    <mergeCell ref="BBE29:BBF29"/>
    <mergeCell ref="BBG29:BBH29"/>
    <mergeCell ref="BBI29:BBJ29"/>
    <mergeCell ref="BBK29:BBL29"/>
    <mergeCell ref="BBM29:BBN29"/>
    <mergeCell ref="BBO29:BBP29"/>
    <mergeCell ref="BAS29:BAT29"/>
    <mergeCell ref="BAU29:BAV29"/>
    <mergeCell ref="BAW29:BAX29"/>
    <mergeCell ref="BAY29:BAZ29"/>
    <mergeCell ref="BBA29:BBB29"/>
    <mergeCell ref="BBC29:BBD29"/>
    <mergeCell ref="BAG29:BAH29"/>
    <mergeCell ref="BAI29:BAJ29"/>
    <mergeCell ref="BAK29:BAL29"/>
    <mergeCell ref="BAM29:BAN29"/>
    <mergeCell ref="BAO29:BAP29"/>
    <mergeCell ref="BAQ29:BAR29"/>
    <mergeCell ref="BFI29:BFJ29"/>
    <mergeCell ref="BFK29:BFL29"/>
    <mergeCell ref="BFM29:BFN29"/>
    <mergeCell ref="BFO29:BFP29"/>
    <mergeCell ref="BFQ29:BFR29"/>
    <mergeCell ref="BFS29:BFT29"/>
    <mergeCell ref="BEW29:BEX29"/>
    <mergeCell ref="BEY29:BEZ29"/>
    <mergeCell ref="BFA29:BFB29"/>
    <mergeCell ref="BFC29:BFD29"/>
    <mergeCell ref="BFE29:BFF29"/>
    <mergeCell ref="BFG29:BFH29"/>
    <mergeCell ref="BEK29:BEL29"/>
    <mergeCell ref="BEM29:BEN29"/>
    <mergeCell ref="BEO29:BEP29"/>
    <mergeCell ref="BEQ29:BER29"/>
    <mergeCell ref="BES29:BET29"/>
    <mergeCell ref="BEU29:BEV29"/>
    <mergeCell ref="BDY29:BDZ29"/>
    <mergeCell ref="BEA29:BEB29"/>
    <mergeCell ref="BEC29:BED29"/>
    <mergeCell ref="BEE29:BEF29"/>
    <mergeCell ref="BEG29:BEH29"/>
    <mergeCell ref="BEI29:BEJ29"/>
    <mergeCell ref="BDM29:BDN29"/>
    <mergeCell ref="BDO29:BDP29"/>
    <mergeCell ref="BDQ29:BDR29"/>
    <mergeCell ref="BDS29:BDT29"/>
    <mergeCell ref="BDU29:BDV29"/>
    <mergeCell ref="BDW29:BDX29"/>
    <mergeCell ref="BDA29:BDB29"/>
    <mergeCell ref="BDC29:BDD29"/>
    <mergeCell ref="BDE29:BDF29"/>
    <mergeCell ref="BDG29:BDH29"/>
    <mergeCell ref="BDI29:BDJ29"/>
    <mergeCell ref="BDK29:BDL29"/>
    <mergeCell ref="BIC29:BID29"/>
    <mergeCell ref="BIE29:BIF29"/>
    <mergeCell ref="BIG29:BIH29"/>
    <mergeCell ref="BII29:BIJ29"/>
    <mergeCell ref="BIK29:BIL29"/>
    <mergeCell ref="BIM29:BIN29"/>
    <mergeCell ref="BHQ29:BHR29"/>
    <mergeCell ref="BHS29:BHT29"/>
    <mergeCell ref="BHU29:BHV29"/>
    <mergeCell ref="BHW29:BHX29"/>
    <mergeCell ref="BHY29:BHZ29"/>
    <mergeCell ref="BIA29:BIB29"/>
    <mergeCell ref="BHE29:BHF29"/>
    <mergeCell ref="BHG29:BHH29"/>
    <mergeCell ref="BHI29:BHJ29"/>
    <mergeCell ref="BHK29:BHL29"/>
    <mergeCell ref="BHM29:BHN29"/>
    <mergeCell ref="BHO29:BHP29"/>
    <mergeCell ref="BGS29:BGT29"/>
    <mergeCell ref="BGU29:BGV29"/>
    <mergeCell ref="BGW29:BGX29"/>
    <mergeCell ref="BGY29:BGZ29"/>
    <mergeCell ref="BHA29:BHB29"/>
    <mergeCell ref="BHC29:BHD29"/>
    <mergeCell ref="BGG29:BGH29"/>
    <mergeCell ref="BGI29:BGJ29"/>
    <mergeCell ref="BGK29:BGL29"/>
    <mergeCell ref="BGM29:BGN29"/>
    <mergeCell ref="BGO29:BGP29"/>
    <mergeCell ref="BGQ29:BGR29"/>
    <mergeCell ref="BFU29:BFV29"/>
    <mergeCell ref="BFW29:BFX29"/>
    <mergeCell ref="BFY29:BFZ29"/>
    <mergeCell ref="BGA29:BGB29"/>
    <mergeCell ref="BGC29:BGD29"/>
    <mergeCell ref="BGE29:BGF29"/>
    <mergeCell ref="BKW29:BKX29"/>
    <mergeCell ref="BKY29:BKZ29"/>
    <mergeCell ref="BLA29:BLB29"/>
    <mergeCell ref="BLC29:BLD29"/>
    <mergeCell ref="BLE29:BLF29"/>
    <mergeCell ref="BLG29:BLH29"/>
    <mergeCell ref="BKK29:BKL29"/>
    <mergeCell ref="BKM29:BKN29"/>
    <mergeCell ref="BKO29:BKP29"/>
    <mergeCell ref="BKQ29:BKR29"/>
    <mergeCell ref="BKS29:BKT29"/>
    <mergeCell ref="BKU29:BKV29"/>
    <mergeCell ref="BJY29:BJZ29"/>
    <mergeCell ref="BKA29:BKB29"/>
    <mergeCell ref="BKC29:BKD29"/>
    <mergeCell ref="BKE29:BKF29"/>
    <mergeCell ref="BKG29:BKH29"/>
    <mergeCell ref="BKI29:BKJ29"/>
    <mergeCell ref="BJM29:BJN29"/>
    <mergeCell ref="BJO29:BJP29"/>
    <mergeCell ref="BJQ29:BJR29"/>
    <mergeCell ref="BJS29:BJT29"/>
    <mergeCell ref="BJU29:BJV29"/>
    <mergeCell ref="BJW29:BJX29"/>
    <mergeCell ref="BJA29:BJB29"/>
    <mergeCell ref="BJC29:BJD29"/>
    <mergeCell ref="BJE29:BJF29"/>
    <mergeCell ref="BJG29:BJH29"/>
    <mergeCell ref="BJI29:BJJ29"/>
    <mergeCell ref="BJK29:BJL29"/>
    <mergeCell ref="BIO29:BIP29"/>
    <mergeCell ref="BIQ29:BIR29"/>
    <mergeCell ref="BIS29:BIT29"/>
    <mergeCell ref="BIU29:BIV29"/>
    <mergeCell ref="BIW29:BIX29"/>
    <mergeCell ref="BIY29:BIZ29"/>
    <mergeCell ref="BNQ29:BNR29"/>
    <mergeCell ref="BNS29:BNT29"/>
    <mergeCell ref="BNU29:BNV29"/>
    <mergeCell ref="BNW29:BNX29"/>
    <mergeCell ref="BNY29:BNZ29"/>
    <mergeCell ref="BOA29:BOB29"/>
    <mergeCell ref="BNE29:BNF29"/>
    <mergeCell ref="BNG29:BNH29"/>
    <mergeCell ref="BNI29:BNJ29"/>
    <mergeCell ref="BNK29:BNL29"/>
    <mergeCell ref="BNM29:BNN29"/>
    <mergeCell ref="BNO29:BNP29"/>
    <mergeCell ref="BMS29:BMT29"/>
    <mergeCell ref="BMU29:BMV29"/>
    <mergeCell ref="BMW29:BMX29"/>
    <mergeCell ref="BMY29:BMZ29"/>
    <mergeCell ref="BNA29:BNB29"/>
    <mergeCell ref="BNC29:BND29"/>
    <mergeCell ref="BMG29:BMH29"/>
    <mergeCell ref="BMI29:BMJ29"/>
    <mergeCell ref="BMK29:BML29"/>
    <mergeCell ref="BMM29:BMN29"/>
    <mergeCell ref="BMO29:BMP29"/>
    <mergeCell ref="BMQ29:BMR29"/>
    <mergeCell ref="BLU29:BLV29"/>
    <mergeCell ref="BLW29:BLX29"/>
    <mergeCell ref="BLY29:BLZ29"/>
    <mergeCell ref="BMA29:BMB29"/>
    <mergeCell ref="BMC29:BMD29"/>
    <mergeCell ref="BME29:BMF29"/>
    <mergeCell ref="BLI29:BLJ29"/>
    <mergeCell ref="BLK29:BLL29"/>
    <mergeCell ref="BLM29:BLN29"/>
    <mergeCell ref="BLO29:BLP29"/>
    <mergeCell ref="BLQ29:BLR29"/>
    <mergeCell ref="BLS29:BLT29"/>
    <mergeCell ref="BQK29:BQL29"/>
    <mergeCell ref="BQM29:BQN29"/>
    <mergeCell ref="BQO29:BQP29"/>
    <mergeCell ref="BQQ29:BQR29"/>
    <mergeCell ref="BQS29:BQT29"/>
    <mergeCell ref="BQU29:BQV29"/>
    <mergeCell ref="BPY29:BPZ29"/>
    <mergeCell ref="BQA29:BQB29"/>
    <mergeCell ref="BQC29:BQD29"/>
    <mergeCell ref="BQE29:BQF29"/>
    <mergeCell ref="BQG29:BQH29"/>
    <mergeCell ref="BQI29:BQJ29"/>
    <mergeCell ref="BPM29:BPN29"/>
    <mergeCell ref="BPO29:BPP29"/>
    <mergeCell ref="BPQ29:BPR29"/>
    <mergeCell ref="BPS29:BPT29"/>
    <mergeCell ref="BPU29:BPV29"/>
    <mergeCell ref="BPW29:BPX29"/>
    <mergeCell ref="BPA29:BPB29"/>
    <mergeCell ref="BPC29:BPD29"/>
    <mergeCell ref="BPE29:BPF29"/>
    <mergeCell ref="BPG29:BPH29"/>
    <mergeCell ref="BPI29:BPJ29"/>
    <mergeCell ref="BPK29:BPL29"/>
    <mergeCell ref="BOO29:BOP29"/>
    <mergeCell ref="BOQ29:BOR29"/>
    <mergeCell ref="BOS29:BOT29"/>
    <mergeCell ref="BOU29:BOV29"/>
    <mergeCell ref="BOW29:BOX29"/>
    <mergeCell ref="BOY29:BOZ29"/>
    <mergeCell ref="BOC29:BOD29"/>
    <mergeCell ref="BOE29:BOF29"/>
    <mergeCell ref="BOG29:BOH29"/>
    <mergeCell ref="BOI29:BOJ29"/>
    <mergeCell ref="BOK29:BOL29"/>
    <mergeCell ref="BOM29:BON29"/>
    <mergeCell ref="BTE29:BTF29"/>
    <mergeCell ref="BTG29:BTH29"/>
    <mergeCell ref="BTI29:BTJ29"/>
    <mergeCell ref="BTK29:BTL29"/>
    <mergeCell ref="BTM29:BTN29"/>
    <mergeCell ref="BTO29:BTP29"/>
    <mergeCell ref="BSS29:BST29"/>
    <mergeCell ref="BSU29:BSV29"/>
    <mergeCell ref="BSW29:BSX29"/>
    <mergeCell ref="BSY29:BSZ29"/>
    <mergeCell ref="BTA29:BTB29"/>
    <mergeCell ref="BTC29:BTD29"/>
    <mergeCell ref="BSG29:BSH29"/>
    <mergeCell ref="BSI29:BSJ29"/>
    <mergeCell ref="BSK29:BSL29"/>
    <mergeCell ref="BSM29:BSN29"/>
    <mergeCell ref="BSO29:BSP29"/>
    <mergeCell ref="BSQ29:BSR29"/>
    <mergeCell ref="BRU29:BRV29"/>
    <mergeCell ref="BRW29:BRX29"/>
    <mergeCell ref="BRY29:BRZ29"/>
    <mergeCell ref="BSA29:BSB29"/>
    <mergeCell ref="BSC29:BSD29"/>
    <mergeCell ref="BSE29:BSF29"/>
    <mergeCell ref="BRI29:BRJ29"/>
    <mergeCell ref="BRK29:BRL29"/>
    <mergeCell ref="BRM29:BRN29"/>
    <mergeCell ref="BRO29:BRP29"/>
    <mergeCell ref="BRQ29:BRR29"/>
    <mergeCell ref="BRS29:BRT29"/>
    <mergeCell ref="BQW29:BQX29"/>
    <mergeCell ref="BQY29:BQZ29"/>
    <mergeCell ref="BRA29:BRB29"/>
    <mergeCell ref="BRC29:BRD29"/>
    <mergeCell ref="BRE29:BRF29"/>
    <mergeCell ref="BRG29:BRH29"/>
    <mergeCell ref="BVY29:BVZ29"/>
    <mergeCell ref="BWA29:BWB29"/>
    <mergeCell ref="BWC29:BWD29"/>
    <mergeCell ref="BWE29:BWF29"/>
    <mergeCell ref="BWG29:BWH29"/>
    <mergeCell ref="BWI29:BWJ29"/>
    <mergeCell ref="BVM29:BVN29"/>
    <mergeCell ref="BVO29:BVP29"/>
    <mergeCell ref="BVQ29:BVR29"/>
    <mergeCell ref="BVS29:BVT29"/>
    <mergeCell ref="BVU29:BVV29"/>
    <mergeCell ref="BVW29:BVX29"/>
    <mergeCell ref="BVA29:BVB29"/>
    <mergeCell ref="BVC29:BVD29"/>
    <mergeCell ref="BVE29:BVF29"/>
    <mergeCell ref="BVG29:BVH29"/>
    <mergeCell ref="BVI29:BVJ29"/>
    <mergeCell ref="BVK29:BVL29"/>
    <mergeCell ref="BUO29:BUP29"/>
    <mergeCell ref="BUQ29:BUR29"/>
    <mergeCell ref="BUS29:BUT29"/>
    <mergeCell ref="BUU29:BUV29"/>
    <mergeCell ref="BUW29:BUX29"/>
    <mergeCell ref="BUY29:BUZ29"/>
    <mergeCell ref="BUC29:BUD29"/>
    <mergeCell ref="BUE29:BUF29"/>
    <mergeCell ref="BUG29:BUH29"/>
    <mergeCell ref="BUI29:BUJ29"/>
    <mergeCell ref="BUK29:BUL29"/>
    <mergeCell ref="BUM29:BUN29"/>
    <mergeCell ref="BTQ29:BTR29"/>
    <mergeCell ref="BTS29:BTT29"/>
    <mergeCell ref="BTU29:BTV29"/>
    <mergeCell ref="BTW29:BTX29"/>
    <mergeCell ref="BTY29:BTZ29"/>
    <mergeCell ref="BUA29:BUB29"/>
    <mergeCell ref="BYS29:BYT29"/>
    <mergeCell ref="BYU29:BYV29"/>
    <mergeCell ref="BYW29:BYX29"/>
    <mergeCell ref="BYY29:BYZ29"/>
    <mergeCell ref="BZA29:BZB29"/>
    <mergeCell ref="BZC29:BZD29"/>
    <mergeCell ref="BYG29:BYH29"/>
    <mergeCell ref="BYI29:BYJ29"/>
    <mergeCell ref="BYK29:BYL29"/>
    <mergeCell ref="BYM29:BYN29"/>
    <mergeCell ref="BYO29:BYP29"/>
    <mergeCell ref="BYQ29:BYR29"/>
    <mergeCell ref="BXU29:BXV29"/>
    <mergeCell ref="BXW29:BXX29"/>
    <mergeCell ref="BXY29:BXZ29"/>
    <mergeCell ref="BYA29:BYB29"/>
    <mergeCell ref="BYC29:BYD29"/>
    <mergeCell ref="BYE29:BYF29"/>
    <mergeCell ref="BXI29:BXJ29"/>
    <mergeCell ref="BXK29:BXL29"/>
    <mergeCell ref="BXM29:BXN29"/>
    <mergeCell ref="BXO29:BXP29"/>
    <mergeCell ref="BXQ29:BXR29"/>
    <mergeCell ref="BXS29:BXT29"/>
    <mergeCell ref="BWW29:BWX29"/>
    <mergeCell ref="BWY29:BWZ29"/>
    <mergeCell ref="BXA29:BXB29"/>
    <mergeCell ref="BXC29:BXD29"/>
    <mergeCell ref="BXE29:BXF29"/>
    <mergeCell ref="BXG29:BXH29"/>
    <mergeCell ref="BWK29:BWL29"/>
    <mergeCell ref="BWM29:BWN29"/>
    <mergeCell ref="BWO29:BWP29"/>
    <mergeCell ref="BWQ29:BWR29"/>
    <mergeCell ref="BWS29:BWT29"/>
    <mergeCell ref="BWU29:BWV29"/>
    <mergeCell ref="CBM29:CBN29"/>
    <mergeCell ref="CBO29:CBP29"/>
    <mergeCell ref="CBQ29:CBR29"/>
    <mergeCell ref="CBS29:CBT29"/>
    <mergeCell ref="CBU29:CBV29"/>
    <mergeCell ref="CBW29:CBX29"/>
    <mergeCell ref="CBA29:CBB29"/>
    <mergeCell ref="CBC29:CBD29"/>
    <mergeCell ref="CBE29:CBF29"/>
    <mergeCell ref="CBG29:CBH29"/>
    <mergeCell ref="CBI29:CBJ29"/>
    <mergeCell ref="CBK29:CBL29"/>
    <mergeCell ref="CAO29:CAP29"/>
    <mergeCell ref="CAQ29:CAR29"/>
    <mergeCell ref="CAS29:CAT29"/>
    <mergeCell ref="CAU29:CAV29"/>
    <mergeCell ref="CAW29:CAX29"/>
    <mergeCell ref="CAY29:CAZ29"/>
    <mergeCell ref="CAC29:CAD29"/>
    <mergeCell ref="CAE29:CAF29"/>
    <mergeCell ref="CAG29:CAH29"/>
    <mergeCell ref="CAI29:CAJ29"/>
    <mergeCell ref="CAK29:CAL29"/>
    <mergeCell ref="CAM29:CAN29"/>
    <mergeCell ref="BZQ29:BZR29"/>
    <mergeCell ref="BZS29:BZT29"/>
    <mergeCell ref="BZU29:BZV29"/>
    <mergeCell ref="BZW29:BZX29"/>
    <mergeCell ref="BZY29:BZZ29"/>
    <mergeCell ref="CAA29:CAB29"/>
    <mergeCell ref="BZE29:BZF29"/>
    <mergeCell ref="BZG29:BZH29"/>
    <mergeCell ref="BZI29:BZJ29"/>
    <mergeCell ref="BZK29:BZL29"/>
    <mergeCell ref="BZM29:BZN29"/>
    <mergeCell ref="BZO29:BZP29"/>
    <mergeCell ref="CEG29:CEH29"/>
    <mergeCell ref="CEI29:CEJ29"/>
    <mergeCell ref="CEK29:CEL29"/>
    <mergeCell ref="CEM29:CEN29"/>
    <mergeCell ref="CEO29:CEP29"/>
    <mergeCell ref="CEQ29:CER29"/>
    <mergeCell ref="CDU29:CDV29"/>
    <mergeCell ref="CDW29:CDX29"/>
    <mergeCell ref="CDY29:CDZ29"/>
    <mergeCell ref="CEA29:CEB29"/>
    <mergeCell ref="CEC29:CED29"/>
    <mergeCell ref="CEE29:CEF29"/>
    <mergeCell ref="CDI29:CDJ29"/>
    <mergeCell ref="CDK29:CDL29"/>
    <mergeCell ref="CDM29:CDN29"/>
    <mergeCell ref="CDO29:CDP29"/>
    <mergeCell ref="CDQ29:CDR29"/>
    <mergeCell ref="CDS29:CDT29"/>
    <mergeCell ref="CCW29:CCX29"/>
    <mergeCell ref="CCY29:CCZ29"/>
    <mergeCell ref="CDA29:CDB29"/>
    <mergeCell ref="CDC29:CDD29"/>
    <mergeCell ref="CDE29:CDF29"/>
    <mergeCell ref="CDG29:CDH29"/>
    <mergeCell ref="CCK29:CCL29"/>
    <mergeCell ref="CCM29:CCN29"/>
    <mergeCell ref="CCO29:CCP29"/>
    <mergeCell ref="CCQ29:CCR29"/>
    <mergeCell ref="CCS29:CCT29"/>
    <mergeCell ref="CCU29:CCV29"/>
    <mergeCell ref="CBY29:CBZ29"/>
    <mergeCell ref="CCA29:CCB29"/>
    <mergeCell ref="CCC29:CCD29"/>
    <mergeCell ref="CCE29:CCF29"/>
    <mergeCell ref="CCG29:CCH29"/>
    <mergeCell ref="CCI29:CCJ29"/>
    <mergeCell ref="CHA29:CHB29"/>
    <mergeCell ref="CHC29:CHD29"/>
    <mergeCell ref="CHE29:CHF29"/>
    <mergeCell ref="CHG29:CHH29"/>
    <mergeCell ref="CHI29:CHJ29"/>
    <mergeCell ref="CHK29:CHL29"/>
    <mergeCell ref="CGO29:CGP29"/>
    <mergeCell ref="CGQ29:CGR29"/>
    <mergeCell ref="CGS29:CGT29"/>
    <mergeCell ref="CGU29:CGV29"/>
    <mergeCell ref="CGW29:CGX29"/>
    <mergeCell ref="CGY29:CGZ29"/>
    <mergeCell ref="CGC29:CGD29"/>
    <mergeCell ref="CGE29:CGF29"/>
    <mergeCell ref="CGG29:CGH29"/>
    <mergeCell ref="CGI29:CGJ29"/>
    <mergeCell ref="CGK29:CGL29"/>
    <mergeCell ref="CGM29:CGN29"/>
    <mergeCell ref="CFQ29:CFR29"/>
    <mergeCell ref="CFS29:CFT29"/>
    <mergeCell ref="CFU29:CFV29"/>
    <mergeCell ref="CFW29:CFX29"/>
    <mergeCell ref="CFY29:CFZ29"/>
    <mergeCell ref="CGA29:CGB29"/>
    <mergeCell ref="CFE29:CFF29"/>
    <mergeCell ref="CFG29:CFH29"/>
    <mergeCell ref="CFI29:CFJ29"/>
    <mergeCell ref="CFK29:CFL29"/>
    <mergeCell ref="CFM29:CFN29"/>
    <mergeCell ref="CFO29:CFP29"/>
    <mergeCell ref="CES29:CET29"/>
    <mergeCell ref="CEU29:CEV29"/>
    <mergeCell ref="CEW29:CEX29"/>
    <mergeCell ref="CEY29:CEZ29"/>
    <mergeCell ref="CFA29:CFB29"/>
    <mergeCell ref="CFC29:CFD29"/>
    <mergeCell ref="CJU29:CJV29"/>
    <mergeCell ref="CJW29:CJX29"/>
    <mergeCell ref="CJY29:CJZ29"/>
    <mergeCell ref="CKA29:CKB29"/>
    <mergeCell ref="CKC29:CKD29"/>
    <mergeCell ref="CKE29:CKF29"/>
    <mergeCell ref="CJI29:CJJ29"/>
    <mergeCell ref="CJK29:CJL29"/>
    <mergeCell ref="CJM29:CJN29"/>
    <mergeCell ref="CJO29:CJP29"/>
    <mergeCell ref="CJQ29:CJR29"/>
    <mergeCell ref="CJS29:CJT29"/>
    <mergeCell ref="CIW29:CIX29"/>
    <mergeCell ref="CIY29:CIZ29"/>
    <mergeCell ref="CJA29:CJB29"/>
    <mergeCell ref="CJC29:CJD29"/>
    <mergeCell ref="CJE29:CJF29"/>
    <mergeCell ref="CJG29:CJH29"/>
    <mergeCell ref="CIK29:CIL29"/>
    <mergeCell ref="CIM29:CIN29"/>
    <mergeCell ref="CIO29:CIP29"/>
    <mergeCell ref="CIQ29:CIR29"/>
    <mergeCell ref="CIS29:CIT29"/>
    <mergeCell ref="CIU29:CIV29"/>
    <mergeCell ref="CHY29:CHZ29"/>
    <mergeCell ref="CIA29:CIB29"/>
    <mergeCell ref="CIC29:CID29"/>
    <mergeCell ref="CIE29:CIF29"/>
    <mergeCell ref="CIG29:CIH29"/>
    <mergeCell ref="CII29:CIJ29"/>
    <mergeCell ref="CHM29:CHN29"/>
    <mergeCell ref="CHO29:CHP29"/>
    <mergeCell ref="CHQ29:CHR29"/>
    <mergeCell ref="CHS29:CHT29"/>
    <mergeCell ref="CHU29:CHV29"/>
    <mergeCell ref="CHW29:CHX29"/>
    <mergeCell ref="CMO29:CMP29"/>
    <mergeCell ref="CMQ29:CMR29"/>
    <mergeCell ref="CMS29:CMT29"/>
    <mergeCell ref="CMU29:CMV29"/>
    <mergeCell ref="CMW29:CMX29"/>
    <mergeCell ref="CMY29:CMZ29"/>
    <mergeCell ref="CMC29:CMD29"/>
    <mergeCell ref="CME29:CMF29"/>
    <mergeCell ref="CMG29:CMH29"/>
    <mergeCell ref="CMI29:CMJ29"/>
    <mergeCell ref="CMK29:CML29"/>
    <mergeCell ref="CMM29:CMN29"/>
    <mergeCell ref="CLQ29:CLR29"/>
    <mergeCell ref="CLS29:CLT29"/>
    <mergeCell ref="CLU29:CLV29"/>
    <mergeCell ref="CLW29:CLX29"/>
    <mergeCell ref="CLY29:CLZ29"/>
    <mergeCell ref="CMA29:CMB29"/>
    <mergeCell ref="CLE29:CLF29"/>
    <mergeCell ref="CLG29:CLH29"/>
    <mergeCell ref="CLI29:CLJ29"/>
    <mergeCell ref="CLK29:CLL29"/>
    <mergeCell ref="CLM29:CLN29"/>
    <mergeCell ref="CLO29:CLP29"/>
    <mergeCell ref="CKS29:CKT29"/>
    <mergeCell ref="CKU29:CKV29"/>
    <mergeCell ref="CKW29:CKX29"/>
    <mergeCell ref="CKY29:CKZ29"/>
    <mergeCell ref="CLA29:CLB29"/>
    <mergeCell ref="CLC29:CLD29"/>
    <mergeCell ref="CKG29:CKH29"/>
    <mergeCell ref="CKI29:CKJ29"/>
    <mergeCell ref="CKK29:CKL29"/>
    <mergeCell ref="CKM29:CKN29"/>
    <mergeCell ref="CKO29:CKP29"/>
    <mergeCell ref="CKQ29:CKR29"/>
    <mergeCell ref="CPI29:CPJ29"/>
    <mergeCell ref="CPK29:CPL29"/>
    <mergeCell ref="CPM29:CPN29"/>
    <mergeCell ref="CPO29:CPP29"/>
    <mergeCell ref="CPQ29:CPR29"/>
    <mergeCell ref="CPS29:CPT29"/>
    <mergeCell ref="COW29:COX29"/>
    <mergeCell ref="COY29:COZ29"/>
    <mergeCell ref="CPA29:CPB29"/>
    <mergeCell ref="CPC29:CPD29"/>
    <mergeCell ref="CPE29:CPF29"/>
    <mergeCell ref="CPG29:CPH29"/>
    <mergeCell ref="COK29:COL29"/>
    <mergeCell ref="COM29:CON29"/>
    <mergeCell ref="COO29:COP29"/>
    <mergeCell ref="COQ29:COR29"/>
    <mergeCell ref="COS29:COT29"/>
    <mergeCell ref="COU29:COV29"/>
    <mergeCell ref="CNY29:CNZ29"/>
    <mergeCell ref="COA29:COB29"/>
    <mergeCell ref="COC29:COD29"/>
    <mergeCell ref="COE29:COF29"/>
    <mergeCell ref="COG29:COH29"/>
    <mergeCell ref="COI29:COJ29"/>
    <mergeCell ref="CNM29:CNN29"/>
    <mergeCell ref="CNO29:CNP29"/>
    <mergeCell ref="CNQ29:CNR29"/>
    <mergeCell ref="CNS29:CNT29"/>
    <mergeCell ref="CNU29:CNV29"/>
    <mergeCell ref="CNW29:CNX29"/>
    <mergeCell ref="CNA29:CNB29"/>
    <mergeCell ref="CNC29:CND29"/>
    <mergeCell ref="CNE29:CNF29"/>
    <mergeCell ref="CNG29:CNH29"/>
    <mergeCell ref="CNI29:CNJ29"/>
    <mergeCell ref="CNK29:CNL29"/>
    <mergeCell ref="CSC29:CSD29"/>
    <mergeCell ref="CSE29:CSF29"/>
    <mergeCell ref="CSG29:CSH29"/>
    <mergeCell ref="CSI29:CSJ29"/>
    <mergeCell ref="CSK29:CSL29"/>
    <mergeCell ref="CSM29:CSN29"/>
    <mergeCell ref="CRQ29:CRR29"/>
    <mergeCell ref="CRS29:CRT29"/>
    <mergeCell ref="CRU29:CRV29"/>
    <mergeCell ref="CRW29:CRX29"/>
    <mergeCell ref="CRY29:CRZ29"/>
    <mergeCell ref="CSA29:CSB29"/>
    <mergeCell ref="CRE29:CRF29"/>
    <mergeCell ref="CRG29:CRH29"/>
    <mergeCell ref="CRI29:CRJ29"/>
    <mergeCell ref="CRK29:CRL29"/>
    <mergeCell ref="CRM29:CRN29"/>
    <mergeCell ref="CRO29:CRP29"/>
    <mergeCell ref="CQS29:CQT29"/>
    <mergeCell ref="CQU29:CQV29"/>
    <mergeCell ref="CQW29:CQX29"/>
    <mergeCell ref="CQY29:CQZ29"/>
    <mergeCell ref="CRA29:CRB29"/>
    <mergeCell ref="CRC29:CRD29"/>
    <mergeCell ref="CQG29:CQH29"/>
    <mergeCell ref="CQI29:CQJ29"/>
    <mergeCell ref="CQK29:CQL29"/>
    <mergeCell ref="CQM29:CQN29"/>
    <mergeCell ref="CQO29:CQP29"/>
    <mergeCell ref="CQQ29:CQR29"/>
    <mergeCell ref="CPU29:CPV29"/>
    <mergeCell ref="CPW29:CPX29"/>
    <mergeCell ref="CPY29:CPZ29"/>
    <mergeCell ref="CQA29:CQB29"/>
    <mergeCell ref="CQC29:CQD29"/>
    <mergeCell ref="CQE29:CQF29"/>
    <mergeCell ref="CUW29:CUX29"/>
    <mergeCell ref="CUY29:CUZ29"/>
    <mergeCell ref="CVA29:CVB29"/>
    <mergeCell ref="CVC29:CVD29"/>
    <mergeCell ref="CVE29:CVF29"/>
    <mergeCell ref="CVG29:CVH29"/>
    <mergeCell ref="CUK29:CUL29"/>
    <mergeCell ref="CUM29:CUN29"/>
    <mergeCell ref="CUO29:CUP29"/>
    <mergeCell ref="CUQ29:CUR29"/>
    <mergeCell ref="CUS29:CUT29"/>
    <mergeCell ref="CUU29:CUV29"/>
    <mergeCell ref="CTY29:CTZ29"/>
    <mergeCell ref="CUA29:CUB29"/>
    <mergeCell ref="CUC29:CUD29"/>
    <mergeCell ref="CUE29:CUF29"/>
    <mergeCell ref="CUG29:CUH29"/>
    <mergeCell ref="CUI29:CUJ29"/>
    <mergeCell ref="CTM29:CTN29"/>
    <mergeCell ref="CTO29:CTP29"/>
    <mergeCell ref="CTQ29:CTR29"/>
    <mergeCell ref="CTS29:CTT29"/>
    <mergeCell ref="CTU29:CTV29"/>
    <mergeCell ref="CTW29:CTX29"/>
    <mergeCell ref="CTA29:CTB29"/>
    <mergeCell ref="CTC29:CTD29"/>
    <mergeCell ref="CTE29:CTF29"/>
    <mergeCell ref="CTG29:CTH29"/>
    <mergeCell ref="CTI29:CTJ29"/>
    <mergeCell ref="CTK29:CTL29"/>
    <mergeCell ref="CSO29:CSP29"/>
    <mergeCell ref="CSQ29:CSR29"/>
    <mergeCell ref="CSS29:CST29"/>
    <mergeCell ref="CSU29:CSV29"/>
    <mergeCell ref="CSW29:CSX29"/>
    <mergeCell ref="CSY29:CSZ29"/>
    <mergeCell ref="CXQ29:CXR29"/>
    <mergeCell ref="CXS29:CXT29"/>
    <mergeCell ref="CXU29:CXV29"/>
    <mergeCell ref="CXW29:CXX29"/>
    <mergeCell ref="CXY29:CXZ29"/>
    <mergeCell ref="CYA29:CYB29"/>
    <mergeCell ref="CXE29:CXF29"/>
    <mergeCell ref="CXG29:CXH29"/>
    <mergeCell ref="CXI29:CXJ29"/>
    <mergeCell ref="CXK29:CXL29"/>
    <mergeCell ref="CXM29:CXN29"/>
    <mergeCell ref="CXO29:CXP29"/>
    <mergeCell ref="CWS29:CWT29"/>
    <mergeCell ref="CWU29:CWV29"/>
    <mergeCell ref="CWW29:CWX29"/>
    <mergeCell ref="CWY29:CWZ29"/>
    <mergeCell ref="CXA29:CXB29"/>
    <mergeCell ref="CXC29:CXD29"/>
    <mergeCell ref="CWG29:CWH29"/>
    <mergeCell ref="CWI29:CWJ29"/>
    <mergeCell ref="CWK29:CWL29"/>
    <mergeCell ref="CWM29:CWN29"/>
    <mergeCell ref="CWO29:CWP29"/>
    <mergeCell ref="CWQ29:CWR29"/>
    <mergeCell ref="CVU29:CVV29"/>
    <mergeCell ref="CVW29:CVX29"/>
    <mergeCell ref="CVY29:CVZ29"/>
    <mergeCell ref="CWA29:CWB29"/>
    <mergeCell ref="CWC29:CWD29"/>
    <mergeCell ref="CWE29:CWF29"/>
    <mergeCell ref="CVI29:CVJ29"/>
    <mergeCell ref="CVK29:CVL29"/>
    <mergeCell ref="CVM29:CVN29"/>
    <mergeCell ref="CVO29:CVP29"/>
    <mergeCell ref="CVQ29:CVR29"/>
    <mergeCell ref="CVS29:CVT29"/>
    <mergeCell ref="DAK29:DAL29"/>
    <mergeCell ref="DAM29:DAN29"/>
    <mergeCell ref="DAO29:DAP29"/>
    <mergeCell ref="DAQ29:DAR29"/>
    <mergeCell ref="DAS29:DAT29"/>
    <mergeCell ref="DAU29:DAV29"/>
    <mergeCell ref="CZY29:CZZ29"/>
    <mergeCell ref="DAA29:DAB29"/>
    <mergeCell ref="DAC29:DAD29"/>
    <mergeCell ref="DAE29:DAF29"/>
    <mergeCell ref="DAG29:DAH29"/>
    <mergeCell ref="DAI29:DAJ29"/>
    <mergeCell ref="CZM29:CZN29"/>
    <mergeCell ref="CZO29:CZP29"/>
    <mergeCell ref="CZQ29:CZR29"/>
    <mergeCell ref="CZS29:CZT29"/>
    <mergeCell ref="CZU29:CZV29"/>
    <mergeCell ref="CZW29:CZX29"/>
    <mergeCell ref="CZA29:CZB29"/>
    <mergeCell ref="CZC29:CZD29"/>
    <mergeCell ref="CZE29:CZF29"/>
    <mergeCell ref="CZG29:CZH29"/>
    <mergeCell ref="CZI29:CZJ29"/>
    <mergeCell ref="CZK29:CZL29"/>
    <mergeCell ref="CYO29:CYP29"/>
    <mergeCell ref="CYQ29:CYR29"/>
    <mergeCell ref="CYS29:CYT29"/>
    <mergeCell ref="CYU29:CYV29"/>
    <mergeCell ref="CYW29:CYX29"/>
    <mergeCell ref="CYY29:CYZ29"/>
    <mergeCell ref="CYC29:CYD29"/>
    <mergeCell ref="CYE29:CYF29"/>
    <mergeCell ref="CYG29:CYH29"/>
    <mergeCell ref="CYI29:CYJ29"/>
    <mergeCell ref="CYK29:CYL29"/>
    <mergeCell ref="CYM29:CYN29"/>
    <mergeCell ref="DDE29:DDF29"/>
    <mergeCell ref="DDG29:DDH29"/>
    <mergeCell ref="DDI29:DDJ29"/>
    <mergeCell ref="DDK29:DDL29"/>
    <mergeCell ref="DDM29:DDN29"/>
    <mergeCell ref="DDO29:DDP29"/>
    <mergeCell ref="DCS29:DCT29"/>
    <mergeCell ref="DCU29:DCV29"/>
    <mergeCell ref="DCW29:DCX29"/>
    <mergeCell ref="DCY29:DCZ29"/>
    <mergeCell ref="DDA29:DDB29"/>
    <mergeCell ref="DDC29:DDD29"/>
    <mergeCell ref="DCG29:DCH29"/>
    <mergeCell ref="DCI29:DCJ29"/>
    <mergeCell ref="DCK29:DCL29"/>
    <mergeCell ref="DCM29:DCN29"/>
    <mergeCell ref="DCO29:DCP29"/>
    <mergeCell ref="DCQ29:DCR29"/>
    <mergeCell ref="DBU29:DBV29"/>
    <mergeCell ref="DBW29:DBX29"/>
    <mergeCell ref="DBY29:DBZ29"/>
    <mergeCell ref="DCA29:DCB29"/>
    <mergeCell ref="DCC29:DCD29"/>
    <mergeCell ref="DCE29:DCF29"/>
    <mergeCell ref="DBI29:DBJ29"/>
    <mergeCell ref="DBK29:DBL29"/>
    <mergeCell ref="DBM29:DBN29"/>
    <mergeCell ref="DBO29:DBP29"/>
    <mergeCell ref="DBQ29:DBR29"/>
    <mergeCell ref="DBS29:DBT29"/>
    <mergeCell ref="DAW29:DAX29"/>
    <mergeCell ref="DAY29:DAZ29"/>
    <mergeCell ref="DBA29:DBB29"/>
    <mergeCell ref="DBC29:DBD29"/>
    <mergeCell ref="DBE29:DBF29"/>
    <mergeCell ref="DBG29:DBH29"/>
    <mergeCell ref="DFY29:DFZ29"/>
    <mergeCell ref="DGA29:DGB29"/>
    <mergeCell ref="DGC29:DGD29"/>
    <mergeCell ref="DGE29:DGF29"/>
    <mergeCell ref="DGG29:DGH29"/>
    <mergeCell ref="DGI29:DGJ29"/>
    <mergeCell ref="DFM29:DFN29"/>
    <mergeCell ref="DFO29:DFP29"/>
    <mergeCell ref="DFQ29:DFR29"/>
    <mergeCell ref="DFS29:DFT29"/>
    <mergeCell ref="DFU29:DFV29"/>
    <mergeCell ref="DFW29:DFX29"/>
    <mergeCell ref="DFA29:DFB29"/>
    <mergeCell ref="DFC29:DFD29"/>
    <mergeCell ref="DFE29:DFF29"/>
    <mergeCell ref="DFG29:DFH29"/>
    <mergeCell ref="DFI29:DFJ29"/>
    <mergeCell ref="DFK29:DFL29"/>
    <mergeCell ref="DEO29:DEP29"/>
    <mergeCell ref="DEQ29:DER29"/>
    <mergeCell ref="DES29:DET29"/>
    <mergeCell ref="DEU29:DEV29"/>
    <mergeCell ref="DEW29:DEX29"/>
    <mergeCell ref="DEY29:DEZ29"/>
    <mergeCell ref="DEC29:DED29"/>
    <mergeCell ref="DEE29:DEF29"/>
    <mergeCell ref="DEG29:DEH29"/>
    <mergeCell ref="DEI29:DEJ29"/>
    <mergeCell ref="DEK29:DEL29"/>
    <mergeCell ref="DEM29:DEN29"/>
    <mergeCell ref="DDQ29:DDR29"/>
    <mergeCell ref="DDS29:DDT29"/>
    <mergeCell ref="DDU29:DDV29"/>
    <mergeCell ref="DDW29:DDX29"/>
    <mergeCell ref="DDY29:DDZ29"/>
    <mergeCell ref="DEA29:DEB29"/>
    <mergeCell ref="DIS29:DIT29"/>
    <mergeCell ref="DIU29:DIV29"/>
    <mergeCell ref="DIW29:DIX29"/>
    <mergeCell ref="DIY29:DIZ29"/>
    <mergeCell ref="DJA29:DJB29"/>
    <mergeCell ref="DJC29:DJD29"/>
    <mergeCell ref="DIG29:DIH29"/>
    <mergeCell ref="DII29:DIJ29"/>
    <mergeCell ref="DIK29:DIL29"/>
    <mergeCell ref="DIM29:DIN29"/>
    <mergeCell ref="DIO29:DIP29"/>
    <mergeCell ref="DIQ29:DIR29"/>
    <mergeCell ref="DHU29:DHV29"/>
    <mergeCell ref="DHW29:DHX29"/>
    <mergeCell ref="DHY29:DHZ29"/>
    <mergeCell ref="DIA29:DIB29"/>
    <mergeCell ref="DIC29:DID29"/>
    <mergeCell ref="DIE29:DIF29"/>
    <mergeCell ref="DHI29:DHJ29"/>
    <mergeCell ref="DHK29:DHL29"/>
    <mergeCell ref="DHM29:DHN29"/>
    <mergeCell ref="DHO29:DHP29"/>
    <mergeCell ref="DHQ29:DHR29"/>
    <mergeCell ref="DHS29:DHT29"/>
    <mergeCell ref="DGW29:DGX29"/>
    <mergeCell ref="DGY29:DGZ29"/>
    <mergeCell ref="DHA29:DHB29"/>
    <mergeCell ref="DHC29:DHD29"/>
    <mergeCell ref="DHE29:DHF29"/>
    <mergeCell ref="DHG29:DHH29"/>
    <mergeCell ref="DGK29:DGL29"/>
    <mergeCell ref="DGM29:DGN29"/>
    <mergeCell ref="DGO29:DGP29"/>
    <mergeCell ref="DGQ29:DGR29"/>
    <mergeCell ref="DGS29:DGT29"/>
    <mergeCell ref="DGU29:DGV29"/>
    <mergeCell ref="DLM29:DLN29"/>
    <mergeCell ref="DLO29:DLP29"/>
    <mergeCell ref="DLQ29:DLR29"/>
    <mergeCell ref="DLS29:DLT29"/>
    <mergeCell ref="DLU29:DLV29"/>
    <mergeCell ref="DLW29:DLX29"/>
    <mergeCell ref="DLA29:DLB29"/>
    <mergeCell ref="DLC29:DLD29"/>
    <mergeCell ref="DLE29:DLF29"/>
    <mergeCell ref="DLG29:DLH29"/>
    <mergeCell ref="DLI29:DLJ29"/>
    <mergeCell ref="DLK29:DLL29"/>
    <mergeCell ref="DKO29:DKP29"/>
    <mergeCell ref="DKQ29:DKR29"/>
    <mergeCell ref="DKS29:DKT29"/>
    <mergeCell ref="DKU29:DKV29"/>
    <mergeCell ref="DKW29:DKX29"/>
    <mergeCell ref="DKY29:DKZ29"/>
    <mergeCell ref="DKC29:DKD29"/>
    <mergeCell ref="DKE29:DKF29"/>
    <mergeCell ref="DKG29:DKH29"/>
    <mergeCell ref="DKI29:DKJ29"/>
    <mergeCell ref="DKK29:DKL29"/>
    <mergeCell ref="DKM29:DKN29"/>
    <mergeCell ref="DJQ29:DJR29"/>
    <mergeCell ref="DJS29:DJT29"/>
    <mergeCell ref="DJU29:DJV29"/>
    <mergeCell ref="DJW29:DJX29"/>
    <mergeCell ref="DJY29:DJZ29"/>
    <mergeCell ref="DKA29:DKB29"/>
    <mergeCell ref="DJE29:DJF29"/>
    <mergeCell ref="DJG29:DJH29"/>
    <mergeCell ref="DJI29:DJJ29"/>
    <mergeCell ref="DJK29:DJL29"/>
    <mergeCell ref="DJM29:DJN29"/>
    <mergeCell ref="DJO29:DJP29"/>
    <mergeCell ref="DOG29:DOH29"/>
    <mergeCell ref="DOI29:DOJ29"/>
    <mergeCell ref="DOK29:DOL29"/>
    <mergeCell ref="DOM29:DON29"/>
    <mergeCell ref="DOO29:DOP29"/>
    <mergeCell ref="DOQ29:DOR29"/>
    <mergeCell ref="DNU29:DNV29"/>
    <mergeCell ref="DNW29:DNX29"/>
    <mergeCell ref="DNY29:DNZ29"/>
    <mergeCell ref="DOA29:DOB29"/>
    <mergeCell ref="DOC29:DOD29"/>
    <mergeCell ref="DOE29:DOF29"/>
    <mergeCell ref="DNI29:DNJ29"/>
    <mergeCell ref="DNK29:DNL29"/>
    <mergeCell ref="DNM29:DNN29"/>
    <mergeCell ref="DNO29:DNP29"/>
    <mergeCell ref="DNQ29:DNR29"/>
    <mergeCell ref="DNS29:DNT29"/>
    <mergeCell ref="DMW29:DMX29"/>
    <mergeCell ref="DMY29:DMZ29"/>
    <mergeCell ref="DNA29:DNB29"/>
    <mergeCell ref="DNC29:DND29"/>
    <mergeCell ref="DNE29:DNF29"/>
    <mergeCell ref="DNG29:DNH29"/>
    <mergeCell ref="DMK29:DML29"/>
    <mergeCell ref="DMM29:DMN29"/>
    <mergeCell ref="DMO29:DMP29"/>
    <mergeCell ref="DMQ29:DMR29"/>
    <mergeCell ref="DMS29:DMT29"/>
    <mergeCell ref="DMU29:DMV29"/>
    <mergeCell ref="DLY29:DLZ29"/>
    <mergeCell ref="DMA29:DMB29"/>
    <mergeCell ref="DMC29:DMD29"/>
    <mergeCell ref="DME29:DMF29"/>
    <mergeCell ref="DMG29:DMH29"/>
    <mergeCell ref="DMI29:DMJ29"/>
    <mergeCell ref="DRA29:DRB29"/>
    <mergeCell ref="DRC29:DRD29"/>
    <mergeCell ref="DRE29:DRF29"/>
    <mergeCell ref="DRG29:DRH29"/>
    <mergeCell ref="DRI29:DRJ29"/>
    <mergeCell ref="DRK29:DRL29"/>
    <mergeCell ref="DQO29:DQP29"/>
    <mergeCell ref="DQQ29:DQR29"/>
    <mergeCell ref="DQS29:DQT29"/>
    <mergeCell ref="DQU29:DQV29"/>
    <mergeCell ref="DQW29:DQX29"/>
    <mergeCell ref="DQY29:DQZ29"/>
    <mergeCell ref="DQC29:DQD29"/>
    <mergeCell ref="DQE29:DQF29"/>
    <mergeCell ref="DQG29:DQH29"/>
    <mergeCell ref="DQI29:DQJ29"/>
    <mergeCell ref="DQK29:DQL29"/>
    <mergeCell ref="DQM29:DQN29"/>
    <mergeCell ref="DPQ29:DPR29"/>
    <mergeCell ref="DPS29:DPT29"/>
    <mergeCell ref="DPU29:DPV29"/>
    <mergeCell ref="DPW29:DPX29"/>
    <mergeCell ref="DPY29:DPZ29"/>
    <mergeCell ref="DQA29:DQB29"/>
    <mergeCell ref="DPE29:DPF29"/>
    <mergeCell ref="DPG29:DPH29"/>
    <mergeCell ref="DPI29:DPJ29"/>
    <mergeCell ref="DPK29:DPL29"/>
    <mergeCell ref="DPM29:DPN29"/>
    <mergeCell ref="DPO29:DPP29"/>
    <mergeCell ref="DOS29:DOT29"/>
    <mergeCell ref="DOU29:DOV29"/>
    <mergeCell ref="DOW29:DOX29"/>
    <mergeCell ref="DOY29:DOZ29"/>
    <mergeCell ref="DPA29:DPB29"/>
    <mergeCell ref="DPC29:DPD29"/>
    <mergeCell ref="DTU29:DTV29"/>
    <mergeCell ref="DTW29:DTX29"/>
    <mergeCell ref="DTY29:DTZ29"/>
    <mergeCell ref="DUA29:DUB29"/>
    <mergeCell ref="DUC29:DUD29"/>
    <mergeCell ref="DUE29:DUF29"/>
    <mergeCell ref="DTI29:DTJ29"/>
    <mergeCell ref="DTK29:DTL29"/>
    <mergeCell ref="DTM29:DTN29"/>
    <mergeCell ref="DTO29:DTP29"/>
    <mergeCell ref="DTQ29:DTR29"/>
    <mergeCell ref="DTS29:DTT29"/>
    <mergeCell ref="DSW29:DSX29"/>
    <mergeCell ref="DSY29:DSZ29"/>
    <mergeCell ref="DTA29:DTB29"/>
    <mergeCell ref="DTC29:DTD29"/>
    <mergeCell ref="DTE29:DTF29"/>
    <mergeCell ref="DTG29:DTH29"/>
    <mergeCell ref="DSK29:DSL29"/>
    <mergeCell ref="DSM29:DSN29"/>
    <mergeCell ref="DSO29:DSP29"/>
    <mergeCell ref="DSQ29:DSR29"/>
    <mergeCell ref="DSS29:DST29"/>
    <mergeCell ref="DSU29:DSV29"/>
    <mergeCell ref="DRY29:DRZ29"/>
    <mergeCell ref="DSA29:DSB29"/>
    <mergeCell ref="DSC29:DSD29"/>
    <mergeCell ref="DSE29:DSF29"/>
    <mergeCell ref="DSG29:DSH29"/>
    <mergeCell ref="DSI29:DSJ29"/>
    <mergeCell ref="DRM29:DRN29"/>
    <mergeCell ref="DRO29:DRP29"/>
    <mergeCell ref="DRQ29:DRR29"/>
    <mergeCell ref="DRS29:DRT29"/>
    <mergeCell ref="DRU29:DRV29"/>
    <mergeCell ref="DRW29:DRX29"/>
    <mergeCell ref="DWO29:DWP29"/>
    <mergeCell ref="DWQ29:DWR29"/>
    <mergeCell ref="DWS29:DWT29"/>
    <mergeCell ref="DWU29:DWV29"/>
    <mergeCell ref="DWW29:DWX29"/>
    <mergeCell ref="DWY29:DWZ29"/>
    <mergeCell ref="DWC29:DWD29"/>
    <mergeCell ref="DWE29:DWF29"/>
    <mergeCell ref="DWG29:DWH29"/>
    <mergeCell ref="DWI29:DWJ29"/>
    <mergeCell ref="DWK29:DWL29"/>
    <mergeCell ref="DWM29:DWN29"/>
    <mergeCell ref="DVQ29:DVR29"/>
    <mergeCell ref="DVS29:DVT29"/>
    <mergeCell ref="DVU29:DVV29"/>
    <mergeCell ref="DVW29:DVX29"/>
    <mergeCell ref="DVY29:DVZ29"/>
    <mergeCell ref="DWA29:DWB29"/>
    <mergeCell ref="DVE29:DVF29"/>
    <mergeCell ref="DVG29:DVH29"/>
    <mergeCell ref="DVI29:DVJ29"/>
    <mergeCell ref="DVK29:DVL29"/>
    <mergeCell ref="DVM29:DVN29"/>
    <mergeCell ref="DVO29:DVP29"/>
    <mergeCell ref="DUS29:DUT29"/>
    <mergeCell ref="DUU29:DUV29"/>
    <mergeCell ref="DUW29:DUX29"/>
    <mergeCell ref="DUY29:DUZ29"/>
    <mergeCell ref="DVA29:DVB29"/>
    <mergeCell ref="DVC29:DVD29"/>
    <mergeCell ref="DUG29:DUH29"/>
    <mergeCell ref="DUI29:DUJ29"/>
    <mergeCell ref="DUK29:DUL29"/>
    <mergeCell ref="DUM29:DUN29"/>
    <mergeCell ref="DUO29:DUP29"/>
    <mergeCell ref="DUQ29:DUR29"/>
    <mergeCell ref="DZI29:DZJ29"/>
    <mergeCell ref="DZK29:DZL29"/>
    <mergeCell ref="DZM29:DZN29"/>
    <mergeCell ref="DZO29:DZP29"/>
    <mergeCell ref="DZQ29:DZR29"/>
    <mergeCell ref="DZS29:DZT29"/>
    <mergeCell ref="DYW29:DYX29"/>
    <mergeCell ref="DYY29:DYZ29"/>
    <mergeCell ref="DZA29:DZB29"/>
    <mergeCell ref="DZC29:DZD29"/>
    <mergeCell ref="DZE29:DZF29"/>
    <mergeCell ref="DZG29:DZH29"/>
    <mergeCell ref="DYK29:DYL29"/>
    <mergeCell ref="DYM29:DYN29"/>
    <mergeCell ref="DYO29:DYP29"/>
    <mergeCell ref="DYQ29:DYR29"/>
    <mergeCell ref="DYS29:DYT29"/>
    <mergeCell ref="DYU29:DYV29"/>
    <mergeCell ref="DXY29:DXZ29"/>
    <mergeCell ref="DYA29:DYB29"/>
    <mergeCell ref="DYC29:DYD29"/>
    <mergeCell ref="DYE29:DYF29"/>
    <mergeCell ref="DYG29:DYH29"/>
    <mergeCell ref="DYI29:DYJ29"/>
    <mergeCell ref="DXM29:DXN29"/>
    <mergeCell ref="DXO29:DXP29"/>
    <mergeCell ref="DXQ29:DXR29"/>
    <mergeCell ref="DXS29:DXT29"/>
    <mergeCell ref="DXU29:DXV29"/>
    <mergeCell ref="DXW29:DXX29"/>
    <mergeCell ref="DXA29:DXB29"/>
    <mergeCell ref="DXC29:DXD29"/>
    <mergeCell ref="DXE29:DXF29"/>
    <mergeCell ref="DXG29:DXH29"/>
    <mergeCell ref="DXI29:DXJ29"/>
    <mergeCell ref="DXK29:DXL29"/>
    <mergeCell ref="ECC29:ECD29"/>
    <mergeCell ref="ECE29:ECF29"/>
    <mergeCell ref="ECG29:ECH29"/>
    <mergeCell ref="ECI29:ECJ29"/>
    <mergeCell ref="ECK29:ECL29"/>
    <mergeCell ref="ECM29:ECN29"/>
    <mergeCell ref="EBQ29:EBR29"/>
    <mergeCell ref="EBS29:EBT29"/>
    <mergeCell ref="EBU29:EBV29"/>
    <mergeCell ref="EBW29:EBX29"/>
    <mergeCell ref="EBY29:EBZ29"/>
    <mergeCell ref="ECA29:ECB29"/>
    <mergeCell ref="EBE29:EBF29"/>
    <mergeCell ref="EBG29:EBH29"/>
    <mergeCell ref="EBI29:EBJ29"/>
    <mergeCell ref="EBK29:EBL29"/>
    <mergeCell ref="EBM29:EBN29"/>
    <mergeCell ref="EBO29:EBP29"/>
    <mergeCell ref="EAS29:EAT29"/>
    <mergeCell ref="EAU29:EAV29"/>
    <mergeCell ref="EAW29:EAX29"/>
    <mergeCell ref="EAY29:EAZ29"/>
    <mergeCell ref="EBA29:EBB29"/>
    <mergeCell ref="EBC29:EBD29"/>
    <mergeCell ref="EAG29:EAH29"/>
    <mergeCell ref="EAI29:EAJ29"/>
    <mergeCell ref="EAK29:EAL29"/>
    <mergeCell ref="EAM29:EAN29"/>
    <mergeCell ref="EAO29:EAP29"/>
    <mergeCell ref="EAQ29:EAR29"/>
    <mergeCell ref="DZU29:DZV29"/>
    <mergeCell ref="DZW29:DZX29"/>
    <mergeCell ref="DZY29:DZZ29"/>
    <mergeCell ref="EAA29:EAB29"/>
    <mergeCell ref="EAC29:EAD29"/>
    <mergeCell ref="EAE29:EAF29"/>
    <mergeCell ref="EEW29:EEX29"/>
    <mergeCell ref="EEY29:EEZ29"/>
    <mergeCell ref="EFA29:EFB29"/>
    <mergeCell ref="EFC29:EFD29"/>
    <mergeCell ref="EFE29:EFF29"/>
    <mergeCell ref="EFG29:EFH29"/>
    <mergeCell ref="EEK29:EEL29"/>
    <mergeCell ref="EEM29:EEN29"/>
    <mergeCell ref="EEO29:EEP29"/>
    <mergeCell ref="EEQ29:EER29"/>
    <mergeCell ref="EES29:EET29"/>
    <mergeCell ref="EEU29:EEV29"/>
    <mergeCell ref="EDY29:EDZ29"/>
    <mergeCell ref="EEA29:EEB29"/>
    <mergeCell ref="EEC29:EED29"/>
    <mergeCell ref="EEE29:EEF29"/>
    <mergeCell ref="EEG29:EEH29"/>
    <mergeCell ref="EEI29:EEJ29"/>
    <mergeCell ref="EDM29:EDN29"/>
    <mergeCell ref="EDO29:EDP29"/>
    <mergeCell ref="EDQ29:EDR29"/>
    <mergeCell ref="EDS29:EDT29"/>
    <mergeCell ref="EDU29:EDV29"/>
    <mergeCell ref="EDW29:EDX29"/>
    <mergeCell ref="EDA29:EDB29"/>
    <mergeCell ref="EDC29:EDD29"/>
    <mergeCell ref="EDE29:EDF29"/>
    <mergeCell ref="EDG29:EDH29"/>
    <mergeCell ref="EDI29:EDJ29"/>
    <mergeCell ref="EDK29:EDL29"/>
    <mergeCell ref="ECO29:ECP29"/>
    <mergeCell ref="ECQ29:ECR29"/>
    <mergeCell ref="ECS29:ECT29"/>
    <mergeCell ref="ECU29:ECV29"/>
    <mergeCell ref="ECW29:ECX29"/>
    <mergeCell ref="ECY29:ECZ29"/>
    <mergeCell ref="EHQ29:EHR29"/>
    <mergeCell ref="EHS29:EHT29"/>
    <mergeCell ref="EHU29:EHV29"/>
    <mergeCell ref="EHW29:EHX29"/>
    <mergeCell ref="EHY29:EHZ29"/>
    <mergeCell ref="EIA29:EIB29"/>
    <mergeCell ref="EHE29:EHF29"/>
    <mergeCell ref="EHG29:EHH29"/>
    <mergeCell ref="EHI29:EHJ29"/>
    <mergeCell ref="EHK29:EHL29"/>
    <mergeCell ref="EHM29:EHN29"/>
    <mergeCell ref="EHO29:EHP29"/>
    <mergeCell ref="EGS29:EGT29"/>
    <mergeCell ref="EGU29:EGV29"/>
    <mergeCell ref="EGW29:EGX29"/>
    <mergeCell ref="EGY29:EGZ29"/>
    <mergeCell ref="EHA29:EHB29"/>
    <mergeCell ref="EHC29:EHD29"/>
    <mergeCell ref="EGG29:EGH29"/>
    <mergeCell ref="EGI29:EGJ29"/>
    <mergeCell ref="EGK29:EGL29"/>
    <mergeCell ref="EGM29:EGN29"/>
    <mergeCell ref="EGO29:EGP29"/>
    <mergeCell ref="EGQ29:EGR29"/>
    <mergeCell ref="EFU29:EFV29"/>
    <mergeCell ref="EFW29:EFX29"/>
    <mergeCell ref="EFY29:EFZ29"/>
    <mergeCell ref="EGA29:EGB29"/>
    <mergeCell ref="EGC29:EGD29"/>
    <mergeCell ref="EGE29:EGF29"/>
    <mergeCell ref="EFI29:EFJ29"/>
    <mergeCell ref="EFK29:EFL29"/>
    <mergeCell ref="EFM29:EFN29"/>
    <mergeCell ref="EFO29:EFP29"/>
    <mergeCell ref="EFQ29:EFR29"/>
    <mergeCell ref="EFS29:EFT29"/>
    <mergeCell ref="EKK29:EKL29"/>
    <mergeCell ref="EKM29:EKN29"/>
    <mergeCell ref="EKO29:EKP29"/>
    <mergeCell ref="EKQ29:EKR29"/>
    <mergeCell ref="EKS29:EKT29"/>
    <mergeCell ref="EKU29:EKV29"/>
    <mergeCell ref="EJY29:EJZ29"/>
    <mergeCell ref="EKA29:EKB29"/>
    <mergeCell ref="EKC29:EKD29"/>
    <mergeCell ref="EKE29:EKF29"/>
    <mergeCell ref="EKG29:EKH29"/>
    <mergeCell ref="EKI29:EKJ29"/>
    <mergeCell ref="EJM29:EJN29"/>
    <mergeCell ref="EJO29:EJP29"/>
    <mergeCell ref="EJQ29:EJR29"/>
    <mergeCell ref="EJS29:EJT29"/>
    <mergeCell ref="EJU29:EJV29"/>
    <mergeCell ref="EJW29:EJX29"/>
    <mergeCell ref="EJA29:EJB29"/>
    <mergeCell ref="EJC29:EJD29"/>
    <mergeCell ref="EJE29:EJF29"/>
    <mergeCell ref="EJG29:EJH29"/>
    <mergeCell ref="EJI29:EJJ29"/>
    <mergeCell ref="EJK29:EJL29"/>
    <mergeCell ref="EIO29:EIP29"/>
    <mergeCell ref="EIQ29:EIR29"/>
    <mergeCell ref="EIS29:EIT29"/>
    <mergeCell ref="EIU29:EIV29"/>
    <mergeCell ref="EIW29:EIX29"/>
    <mergeCell ref="EIY29:EIZ29"/>
    <mergeCell ref="EIC29:EID29"/>
    <mergeCell ref="EIE29:EIF29"/>
    <mergeCell ref="EIG29:EIH29"/>
    <mergeCell ref="EII29:EIJ29"/>
    <mergeCell ref="EIK29:EIL29"/>
    <mergeCell ref="EIM29:EIN29"/>
    <mergeCell ref="ENE29:ENF29"/>
    <mergeCell ref="ENG29:ENH29"/>
    <mergeCell ref="ENI29:ENJ29"/>
    <mergeCell ref="ENK29:ENL29"/>
    <mergeCell ref="ENM29:ENN29"/>
    <mergeCell ref="ENO29:ENP29"/>
    <mergeCell ref="EMS29:EMT29"/>
    <mergeCell ref="EMU29:EMV29"/>
    <mergeCell ref="EMW29:EMX29"/>
    <mergeCell ref="EMY29:EMZ29"/>
    <mergeCell ref="ENA29:ENB29"/>
    <mergeCell ref="ENC29:END29"/>
    <mergeCell ref="EMG29:EMH29"/>
    <mergeCell ref="EMI29:EMJ29"/>
    <mergeCell ref="EMK29:EML29"/>
    <mergeCell ref="EMM29:EMN29"/>
    <mergeCell ref="EMO29:EMP29"/>
    <mergeCell ref="EMQ29:EMR29"/>
    <mergeCell ref="ELU29:ELV29"/>
    <mergeCell ref="ELW29:ELX29"/>
    <mergeCell ref="ELY29:ELZ29"/>
    <mergeCell ref="EMA29:EMB29"/>
    <mergeCell ref="EMC29:EMD29"/>
    <mergeCell ref="EME29:EMF29"/>
    <mergeCell ref="ELI29:ELJ29"/>
    <mergeCell ref="ELK29:ELL29"/>
    <mergeCell ref="ELM29:ELN29"/>
    <mergeCell ref="ELO29:ELP29"/>
    <mergeCell ref="ELQ29:ELR29"/>
    <mergeCell ref="ELS29:ELT29"/>
    <mergeCell ref="EKW29:EKX29"/>
    <mergeCell ref="EKY29:EKZ29"/>
    <mergeCell ref="ELA29:ELB29"/>
    <mergeCell ref="ELC29:ELD29"/>
    <mergeCell ref="ELE29:ELF29"/>
    <mergeCell ref="ELG29:ELH29"/>
    <mergeCell ref="EPY29:EPZ29"/>
    <mergeCell ref="EQA29:EQB29"/>
    <mergeCell ref="EQC29:EQD29"/>
    <mergeCell ref="EQE29:EQF29"/>
    <mergeCell ref="EQG29:EQH29"/>
    <mergeCell ref="EQI29:EQJ29"/>
    <mergeCell ref="EPM29:EPN29"/>
    <mergeCell ref="EPO29:EPP29"/>
    <mergeCell ref="EPQ29:EPR29"/>
    <mergeCell ref="EPS29:EPT29"/>
    <mergeCell ref="EPU29:EPV29"/>
    <mergeCell ref="EPW29:EPX29"/>
    <mergeCell ref="EPA29:EPB29"/>
    <mergeCell ref="EPC29:EPD29"/>
    <mergeCell ref="EPE29:EPF29"/>
    <mergeCell ref="EPG29:EPH29"/>
    <mergeCell ref="EPI29:EPJ29"/>
    <mergeCell ref="EPK29:EPL29"/>
    <mergeCell ref="EOO29:EOP29"/>
    <mergeCell ref="EOQ29:EOR29"/>
    <mergeCell ref="EOS29:EOT29"/>
    <mergeCell ref="EOU29:EOV29"/>
    <mergeCell ref="EOW29:EOX29"/>
    <mergeCell ref="EOY29:EOZ29"/>
    <mergeCell ref="EOC29:EOD29"/>
    <mergeCell ref="EOE29:EOF29"/>
    <mergeCell ref="EOG29:EOH29"/>
    <mergeCell ref="EOI29:EOJ29"/>
    <mergeCell ref="EOK29:EOL29"/>
    <mergeCell ref="EOM29:EON29"/>
    <mergeCell ref="ENQ29:ENR29"/>
    <mergeCell ref="ENS29:ENT29"/>
    <mergeCell ref="ENU29:ENV29"/>
    <mergeCell ref="ENW29:ENX29"/>
    <mergeCell ref="ENY29:ENZ29"/>
    <mergeCell ref="EOA29:EOB29"/>
    <mergeCell ref="ESS29:EST29"/>
    <mergeCell ref="ESU29:ESV29"/>
    <mergeCell ref="ESW29:ESX29"/>
    <mergeCell ref="ESY29:ESZ29"/>
    <mergeCell ref="ETA29:ETB29"/>
    <mergeCell ref="ETC29:ETD29"/>
    <mergeCell ref="ESG29:ESH29"/>
    <mergeCell ref="ESI29:ESJ29"/>
    <mergeCell ref="ESK29:ESL29"/>
    <mergeCell ref="ESM29:ESN29"/>
    <mergeCell ref="ESO29:ESP29"/>
    <mergeCell ref="ESQ29:ESR29"/>
    <mergeCell ref="ERU29:ERV29"/>
    <mergeCell ref="ERW29:ERX29"/>
    <mergeCell ref="ERY29:ERZ29"/>
    <mergeCell ref="ESA29:ESB29"/>
    <mergeCell ref="ESC29:ESD29"/>
    <mergeCell ref="ESE29:ESF29"/>
    <mergeCell ref="ERI29:ERJ29"/>
    <mergeCell ref="ERK29:ERL29"/>
    <mergeCell ref="ERM29:ERN29"/>
    <mergeCell ref="ERO29:ERP29"/>
    <mergeCell ref="ERQ29:ERR29"/>
    <mergeCell ref="ERS29:ERT29"/>
    <mergeCell ref="EQW29:EQX29"/>
    <mergeCell ref="EQY29:EQZ29"/>
    <mergeCell ref="ERA29:ERB29"/>
    <mergeCell ref="ERC29:ERD29"/>
    <mergeCell ref="ERE29:ERF29"/>
    <mergeCell ref="ERG29:ERH29"/>
    <mergeCell ref="EQK29:EQL29"/>
    <mergeCell ref="EQM29:EQN29"/>
    <mergeCell ref="EQO29:EQP29"/>
    <mergeCell ref="EQQ29:EQR29"/>
    <mergeCell ref="EQS29:EQT29"/>
    <mergeCell ref="EQU29:EQV29"/>
    <mergeCell ref="EVM29:EVN29"/>
    <mergeCell ref="EVO29:EVP29"/>
    <mergeCell ref="EVQ29:EVR29"/>
    <mergeCell ref="EVS29:EVT29"/>
    <mergeCell ref="EVU29:EVV29"/>
    <mergeCell ref="EVW29:EVX29"/>
    <mergeCell ref="EVA29:EVB29"/>
    <mergeCell ref="EVC29:EVD29"/>
    <mergeCell ref="EVE29:EVF29"/>
    <mergeCell ref="EVG29:EVH29"/>
    <mergeCell ref="EVI29:EVJ29"/>
    <mergeCell ref="EVK29:EVL29"/>
    <mergeCell ref="EUO29:EUP29"/>
    <mergeCell ref="EUQ29:EUR29"/>
    <mergeCell ref="EUS29:EUT29"/>
    <mergeCell ref="EUU29:EUV29"/>
    <mergeCell ref="EUW29:EUX29"/>
    <mergeCell ref="EUY29:EUZ29"/>
    <mergeCell ref="EUC29:EUD29"/>
    <mergeCell ref="EUE29:EUF29"/>
    <mergeCell ref="EUG29:EUH29"/>
    <mergeCell ref="EUI29:EUJ29"/>
    <mergeCell ref="EUK29:EUL29"/>
    <mergeCell ref="EUM29:EUN29"/>
    <mergeCell ref="ETQ29:ETR29"/>
    <mergeCell ref="ETS29:ETT29"/>
    <mergeCell ref="ETU29:ETV29"/>
    <mergeCell ref="ETW29:ETX29"/>
    <mergeCell ref="ETY29:ETZ29"/>
    <mergeCell ref="EUA29:EUB29"/>
    <mergeCell ref="ETE29:ETF29"/>
    <mergeCell ref="ETG29:ETH29"/>
    <mergeCell ref="ETI29:ETJ29"/>
    <mergeCell ref="ETK29:ETL29"/>
    <mergeCell ref="ETM29:ETN29"/>
    <mergeCell ref="ETO29:ETP29"/>
    <mergeCell ref="EYG29:EYH29"/>
    <mergeCell ref="EYI29:EYJ29"/>
    <mergeCell ref="EYK29:EYL29"/>
    <mergeCell ref="EYM29:EYN29"/>
    <mergeCell ref="EYO29:EYP29"/>
    <mergeCell ref="EYQ29:EYR29"/>
    <mergeCell ref="EXU29:EXV29"/>
    <mergeCell ref="EXW29:EXX29"/>
    <mergeCell ref="EXY29:EXZ29"/>
    <mergeCell ref="EYA29:EYB29"/>
    <mergeCell ref="EYC29:EYD29"/>
    <mergeCell ref="EYE29:EYF29"/>
    <mergeCell ref="EXI29:EXJ29"/>
    <mergeCell ref="EXK29:EXL29"/>
    <mergeCell ref="EXM29:EXN29"/>
    <mergeCell ref="EXO29:EXP29"/>
    <mergeCell ref="EXQ29:EXR29"/>
    <mergeCell ref="EXS29:EXT29"/>
    <mergeCell ref="EWW29:EWX29"/>
    <mergeCell ref="EWY29:EWZ29"/>
    <mergeCell ref="EXA29:EXB29"/>
    <mergeCell ref="EXC29:EXD29"/>
    <mergeCell ref="EXE29:EXF29"/>
    <mergeCell ref="EXG29:EXH29"/>
    <mergeCell ref="EWK29:EWL29"/>
    <mergeCell ref="EWM29:EWN29"/>
    <mergeCell ref="EWO29:EWP29"/>
    <mergeCell ref="EWQ29:EWR29"/>
    <mergeCell ref="EWS29:EWT29"/>
    <mergeCell ref="EWU29:EWV29"/>
    <mergeCell ref="EVY29:EVZ29"/>
    <mergeCell ref="EWA29:EWB29"/>
    <mergeCell ref="EWC29:EWD29"/>
    <mergeCell ref="EWE29:EWF29"/>
    <mergeCell ref="EWG29:EWH29"/>
    <mergeCell ref="EWI29:EWJ29"/>
    <mergeCell ref="FBA29:FBB29"/>
    <mergeCell ref="FBC29:FBD29"/>
    <mergeCell ref="FBE29:FBF29"/>
    <mergeCell ref="FBG29:FBH29"/>
    <mergeCell ref="FBI29:FBJ29"/>
    <mergeCell ref="FBK29:FBL29"/>
    <mergeCell ref="FAO29:FAP29"/>
    <mergeCell ref="FAQ29:FAR29"/>
    <mergeCell ref="FAS29:FAT29"/>
    <mergeCell ref="FAU29:FAV29"/>
    <mergeCell ref="FAW29:FAX29"/>
    <mergeCell ref="FAY29:FAZ29"/>
    <mergeCell ref="FAC29:FAD29"/>
    <mergeCell ref="FAE29:FAF29"/>
    <mergeCell ref="FAG29:FAH29"/>
    <mergeCell ref="FAI29:FAJ29"/>
    <mergeCell ref="FAK29:FAL29"/>
    <mergeCell ref="FAM29:FAN29"/>
    <mergeCell ref="EZQ29:EZR29"/>
    <mergeCell ref="EZS29:EZT29"/>
    <mergeCell ref="EZU29:EZV29"/>
    <mergeCell ref="EZW29:EZX29"/>
    <mergeCell ref="EZY29:EZZ29"/>
    <mergeCell ref="FAA29:FAB29"/>
    <mergeCell ref="EZE29:EZF29"/>
    <mergeCell ref="EZG29:EZH29"/>
    <mergeCell ref="EZI29:EZJ29"/>
    <mergeCell ref="EZK29:EZL29"/>
    <mergeCell ref="EZM29:EZN29"/>
    <mergeCell ref="EZO29:EZP29"/>
    <mergeCell ref="EYS29:EYT29"/>
    <mergeCell ref="EYU29:EYV29"/>
    <mergeCell ref="EYW29:EYX29"/>
    <mergeCell ref="EYY29:EYZ29"/>
    <mergeCell ref="EZA29:EZB29"/>
    <mergeCell ref="EZC29:EZD29"/>
    <mergeCell ref="FDU29:FDV29"/>
    <mergeCell ref="FDW29:FDX29"/>
    <mergeCell ref="FDY29:FDZ29"/>
    <mergeCell ref="FEA29:FEB29"/>
    <mergeCell ref="FEC29:FED29"/>
    <mergeCell ref="FEE29:FEF29"/>
    <mergeCell ref="FDI29:FDJ29"/>
    <mergeCell ref="FDK29:FDL29"/>
    <mergeCell ref="FDM29:FDN29"/>
    <mergeCell ref="FDO29:FDP29"/>
    <mergeCell ref="FDQ29:FDR29"/>
    <mergeCell ref="FDS29:FDT29"/>
    <mergeCell ref="FCW29:FCX29"/>
    <mergeCell ref="FCY29:FCZ29"/>
    <mergeCell ref="FDA29:FDB29"/>
    <mergeCell ref="FDC29:FDD29"/>
    <mergeCell ref="FDE29:FDF29"/>
    <mergeCell ref="FDG29:FDH29"/>
    <mergeCell ref="FCK29:FCL29"/>
    <mergeCell ref="FCM29:FCN29"/>
    <mergeCell ref="FCO29:FCP29"/>
    <mergeCell ref="FCQ29:FCR29"/>
    <mergeCell ref="FCS29:FCT29"/>
    <mergeCell ref="FCU29:FCV29"/>
    <mergeCell ref="FBY29:FBZ29"/>
    <mergeCell ref="FCA29:FCB29"/>
    <mergeCell ref="FCC29:FCD29"/>
    <mergeCell ref="FCE29:FCF29"/>
    <mergeCell ref="FCG29:FCH29"/>
    <mergeCell ref="FCI29:FCJ29"/>
    <mergeCell ref="FBM29:FBN29"/>
    <mergeCell ref="FBO29:FBP29"/>
    <mergeCell ref="FBQ29:FBR29"/>
    <mergeCell ref="FBS29:FBT29"/>
    <mergeCell ref="FBU29:FBV29"/>
    <mergeCell ref="FBW29:FBX29"/>
    <mergeCell ref="FGO29:FGP29"/>
    <mergeCell ref="FGQ29:FGR29"/>
    <mergeCell ref="FGS29:FGT29"/>
    <mergeCell ref="FGU29:FGV29"/>
    <mergeCell ref="FGW29:FGX29"/>
    <mergeCell ref="FGY29:FGZ29"/>
    <mergeCell ref="FGC29:FGD29"/>
    <mergeCell ref="FGE29:FGF29"/>
    <mergeCell ref="FGG29:FGH29"/>
    <mergeCell ref="FGI29:FGJ29"/>
    <mergeCell ref="FGK29:FGL29"/>
    <mergeCell ref="FGM29:FGN29"/>
    <mergeCell ref="FFQ29:FFR29"/>
    <mergeCell ref="FFS29:FFT29"/>
    <mergeCell ref="FFU29:FFV29"/>
    <mergeCell ref="FFW29:FFX29"/>
    <mergeCell ref="FFY29:FFZ29"/>
    <mergeCell ref="FGA29:FGB29"/>
    <mergeCell ref="FFE29:FFF29"/>
    <mergeCell ref="FFG29:FFH29"/>
    <mergeCell ref="FFI29:FFJ29"/>
    <mergeCell ref="FFK29:FFL29"/>
    <mergeCell ref="FFM29:FFN29"/>
    <mergeCell ref="FFO29:FFP29"/>
    <mergeCell ref="FES29:FET29"/>
    <mergeCell ref="FEU29:FEV29"/>
    <mergeCell ref="FEW29:FEX29"/>
    <mergeCell ref="FEY29:FEZ29"/>
    <mergeCell ref="FFA29:FFB29"/>
    <mergeCell ref="FFC29:FFD29"/>
    <mergeCell ref="FEG29:FEH29"/>
    <mergeCell ref="FEI29:FEJ29"/>
    <mergeCell ref="FEK29:FEL29"/>
    <mergeCell ref="FEM29:FEN29"/>
    <mergeCell ref="FEO29:FEP29"/>
    <mergeCell ref="FEQ29:FER29"/>
    <mergeCell ref="FJI29:FJJ29"/>
    <mergeCell ref="FJK29:FJL29"/>
    <mergeCell ref="FJM29:FJN29"/>
    <mergeCell ref="FJO29:FJP29"/>
    <mergeCell ref="FJQ29:FJR29"/>
    <mergeCell ref="FJS29:FJT29"/>
    <mergeCell ref="FIW29:FIX29"/>
    <mergeCell ref="FIY29:FIZ29"/>
    <mergeCell ref="FJA29:FJB29"/>
    <mergeCell ref="FJC29:FJD29"/>
    <mergeCell ref="FJE29:FJF29"/>
    <mergeCell ref="FJG29:FJH29"/>
    <mergeCell ref="FIK29:FIL29"/>
    <mergeCell ref="FIM29:FIN29"/>
    <mergeCell ref="FIO29:FIP29"/>
    <mergeCell ref="FIQ29:FIR29"/>
    <mergeCell ref="FIS29:FIT29"/>
    <mergeCell ref="FIU29:FIV29"/>
    <mergeCell ref="FHY29:FHZ29"/>
    <mergeCell ref="FIA29:FIB29"/>
    <mergeCell ref="FIC29:FID29"/>
    <mergeCell ref="FIE29:FIF29"/>
    <mergeCell ref="FIG29:FIH29"/>
    <mergeCell ref="FII29:FIJ29"/>
    <mergeCell ref="FHM29:FHN29"/>
    <mergeCell ref="FHO29:FHP29"/>
    <mergeCell ref="FHQ29:FHR29"/>
    <mergeCell ref="FHS29:FHT29"/>
    <mergeCell ref="FHU29:FHV29"/>
    <mergeCell ref="FHW29:FHX29"/>
    <mergeCell ref="FHA29:FHB29"/>
    <mergeCell ref="FHC29:FHD29"/>
    <mergeCell ref="FHE29:FHF29"/>
    <mergeCell ref="FHG29:FHH29"/>
    <mergeCell ref="FHI29:FHJ29"/>
    <mergeCell ref="FHK29:FHL29"/>
    <mergeCell ref="FMC29:FMD29"/>
    <mergeCell ref="FME29:FMF29"/>
    <mergeCell ref="FMG29:FMH29"/>
    <mergeCell ref="FMI29:FMJ29"/>
    <mergeCell ref="FMK29:FML29"/>
    <mergeCell ref="FMM29:FMN29"/>
    <mergeCell ref="FLQ29:FLR29"/>
    <mergeCell ref="FLS29:FLT29"/>
    <mergeCell ref="FLU29:FLV29"/>
    <mergeCell ref="FLW29:FLX29"/>
    <mergeCell ref="FLY29:FLZ29"/>
    <mergeCell ref="FMA29:FMB29"/>
    <mergeCell ref="FLE29:FLF29"/>
    <mergeCell ref="FLG29:FLH29"/>
    <mergeCell ref="FLI29:FLJ29"/>
    <mergeCell ref="FLK29:FLL29"/>
    <mergeCell ref="FLM29:FLN29"/>
    <mergeCell ref="FLO29:FLP29"/>
    <mergeCell ref="FKS29:FKT29"/>
    <mergeCell ref="FKU29:FKV29"/>
    <mergeCell ref="FKW29:FKX29"/>
    <mergeCell ref="FKY29:FKZ29"/>
    <mergeCell ref="FLA29:FLB29"/>
    <mergeCell ref="FLC29:FLD29"/>
    <mergeCell ref="FKG29:FKH29"/>
    <mergeCell ref="FKI29:FKJ29"/>
    <mergeCell ref="FKK29:FKL29"/>
    <mergeCell ref="FKM29:FKN29"/>
    <mergeCell ref="FKO29:FKP29"/>
    <mergeCell ref="FKQ29:FKR29"/>
    <mergeCell ref="FJU29:FJV29"/>
    <mergeCell ref="FJW29:FJX29"/>
    <mergeCell ref="FJY29:FJZ29"/>
    <mergeCell ref="FKA29:FKB29"/>
    <mergeCell ref="FKC29:FKD29"/>
    <mergeCell ref="FKE29:FKF29"/>
    <mergeCell ref="FOW29:FOX29"/>
    <mergeCell ref="FOY29:FOZ29"/>
    <mergeCell ref="FPA29:FPB29"/>
    <mergeCell ref="FPC29:FPD29"/>
    <mergeCell ref="FPE29:FPF29"/>
    <mergeCell ref="FPG29:FPH29"/>
    <mergeCell ref="FOK29:FOL29"/>
    <mergeCell ref="FOM29:FON29"/>
    <mergeCell ref="FOO29:FOP29"/>
    <mergeCell ref="FOQ29:FOR29"/>
    <mergeCell ref="FOS29:FOT29"/>
    <mergeCell ref="FOU29:FOV29"/>
    <mergeCell ref="FNY29:FNZ29"/>
    <mergeCell ref="FOA29:FOB29"/>
    <mergeCell ref="FOC29:FOD29"/>
    <mergeCell ref="FOE29:FOF29"/>
    <mergeCell ref="FOG29:FOH29"/>
    <mergeCell ref="FOI29:FOJ29"/>
    <mergeCell ref="FNM29:FNN29"/>
    <mergeCell ref="FNO29:FNP29"/>
    <mergeCell ref="FNQ29:FNR29"/>
    <mergeCell ref="FNS29:FNT29"/>
    <mergeCell ref="FNU29:FNV29"/>
    <mergeCell ref="FNW29:FNX29"/>
    <mergeCell ref="FNA29:FNB29"/>
    <mergeCell ref="FNC29:FND29"/>
    <mergeCell ref="FNE29:FNF29"/>
    <mergeCell ref="FNG29:FNH29"/>
    <mergeCell ref="FNI29:FNJ29"/>
    <mergeCell ref="FNK29:FNL29"/>
    <mergeCell ref="FMO29:FMP29"/>
    <mergeCell ref="FMQ29:FMR29"/>
    <mergeCell ref="FMS29:FMT29"/>
    <mergeCell ref="FMU29:FMV29"/>
    <mergeCell ref="FMW29:FMX29"/>
    <mergeCell ref="FMY29:FMZ29"/>
    <mergeCell ref="FRQ29:FRR29"/>
    <mergeCell ref="FRS29:FRT29"/>
    <mergeCell ref="FRU29:FRV29"/>
    <mergeCell ref="FRW29:FRX29"/>
    <mergeCell ref="FRY29:FRZ29"/>
    <mergeCell ref="FSA29:FSB29"/>
    <mergeCell ref="FRE29:FRF29"/>
    <mergeCell ref="FRG29:FRH29"/>
    <mergeCell ref="FRI29:FRJ29"/>
    <mergeCell ref="FRK29:FRL29"/>
    <mergeCell ref="FRM29:FRN29"/>
    <mergeCell ref="FRO29:FRP29"/>
    <mergeCell ref="FQS29:FQT29"/>
    <mergeCell ref="FQU29:FQV29"/>
    <mergeCell ref="FQW29:FQX29"/>
    <mergeCell ref="FQY29:FQZ29"/>
    <mergeCell ref="FRA29:FRB29"/>
    <mergeCell ref="FRC29:FRD29"/>
    <mergeCell ref="FQG29:FQH29"/>
    <mergeCell ref="FQI29:FQJ29"/>
    <mergeCell ref="FQK29:FQL29"/>
    <mergeCell ref="FQM29:FQN29"/>
    <mergeCell ref="FQO29:FQP29"/>
    <mergeCell ref="FQQ29:FQR29"/>
    <mergeCell ref="FPU29:FPV29"/>
    <mergeCell ref="FPW29:FPX29"/>
    <mergeCell ref="FPY29:FPZ29"/>
    <mergeCell ref="FQA29:FQB29"/>
    <mergeCell ref="FQC29:FQD29"/>
    <mergeCell ref="FQE29:FQF29"/>
    <mergeCell ref="FPI29:FPJ29"/>
    <mergeCell ref="FPK29:FPL29"/>
    <mergeCell ref="FPM29:FPN29"/>
    <mergeCell ref="FPO29:FPP29"/>
    <mergeCell ref="FPQ29:FPR29"/>
    <mergeCell ref="FPS29:FPT29"/>
    <mergeCell ref="FUK29:FUL29"/>
    <mergeCell ref="FUM29:FUN29"/>
    <mergeCell ref="FUO29:FUP29"/>
    <mergeCell ref="FUQ29:FUR29"/>
    <mergeCell ref="FUS29:FUT29"/>
    <mergeCell ref="FUU29:FUV29"/>
    <mergeCell ref="FTY29:FTZ29"/>
    <mergeCell ref="FUA29:FUB29"/>
    <mergeCell ref="FUC29:FUD29"/>
    <mergeCell ref="FUE29:FUF29"/>
    <mergeCell ref="FUG29:FUH29"/>
    <mergeCell ref="FUI29:FUJ29"/>
    <mergeCell ref="FTM29:FTN29"/>
    <mergeCell ref="FTO29:FTP29"/>
    <mergeCell ref="FTQ29:FTR29"/>
    <mergeCell ref="FTS29:FTT29"/>
    <mergeCell ref="FTU29:FTV29"/>
    <mergeCell ref="FTW29:FTX29"/>
    <mergeCell ref="FTA29:FTB29"/>
    <mergeCell ref="FTC29:FTD29"/>
    <mergeCell ref="FTE29:FTF29"/>
    <mergeCell ref="FTG29:FTH29"/>
    <mergeCell ref="FTI29:FTJ29"/>
    <mergeCell ref="FTK29:FTL29"/>
    <mergeCell ref="FSO29:FSP29"/>
    <mergeCell ref="FSQ29:FSR29"/>
    <mergeCell ref="FSS29:FST29"/>
    <mergeCell ref="FSU29:FSV29"/>
    <mergeCell ref="FSW29:FSX29"/>
    <mergeCell ref="FSY29:FSZ29"/>
    <mergeCell ref="FSC29:FSD29"/>
    <mergeCell ref="FSE29:FSF29"/>
    <mergeCell ref="FSG29:FSH29"/>
    <mergeCell ref="FSI29:FSJ29"/>
    <mergeCell ref="FSK29:FSL29"/>
    <mergeCell ref="FSM29:FSN29"/>
    <mergeCell ref="FXE29:FXF29"/>
    <mergeCell ref="FXG29:FXH29"/>
    <mergeCell ref="FXI29:FXJ29"/>
    <mergeCell ref="FXK29:FXL29"/>
    <mergeCell ref="FXM29:FXN29"/>
    <mergeCell ref="FXO29:FXP29"/>
    <mergeCell ref="FWS29:FWT29"/>
    <mergeCell ref="FWU29:FWV29"/>
    <mergeCell ref="FWW29:FWX29"/>
    <mergeCell ref="FWY29:FWZ29"/>
    <mergeCell ref="FXA29:FXB29"/>
    <mergeCell ref="FXC29:FXD29"/>
    <mergeCell ref="FWG29:FWH29"/>
    <mergeCell ref="FWI29:FWJ29"/>
    <mergeCell ref="FWK29:FWL29"/>
    <mergeCell ref="FWM29:FWN29"/>
    <mergeCell ref="FWO29:FWP29"/>
    <mergeCell ref="FWQ29:FWR29"/>
    <mergeCell ref="FVU29:FVV29"/>
    <mergeCell ref="FVW29:FVX29"/>
    <mergeCell ref="FVY29:FVZ29"/>
    <mergeCell ref="FWA29:FWB29"/>
    <mergeCell ref="FWC29:FWD29"/>
    <mergeCell ref="FWE29:FWF29"/>
    <mergeCell ref="FVI29:FVJ29"/>
    <mergeCell ref="FVK29:FVL29"/>
    <mergeCell ref="FVM29:FVN29"/>
    <mergeCell ref="FVO29:FVP29"/>
    <mergeCell ref="FVQ29:FVR29"/>
    <mergeCell ref="FVS29:FVT29"/>
    <mergeCell ref="FUW29:FUX29"/>
    <mergeCell ref="FUY29:FUZ29"/>
    <mergeCell ref="FVA29:FVB29"/>
    <mergeCell ref="FVC29:FVD29"/>
    <mergeCell ref="FVE29:FVF29"/>
    <mergeCell ref="FVG29:FVH29"/>
    <mergeCell ref="FZY29:FZZ29"/>
    <mergeCell ref="GAA29:GAB29"/>
    <mergeCell ref="GAC29:GAD29"/>
    <mergeCell ref="GAE29:GAF29"/>
    <mergeCell ref="GAG29:GAH29"/>
    <mergeCell ref="GAI29:GAJ29"/>
    <mergeCell ref="FZM29:FZN29"/>
    <mergeCell ref="FZO29:FZP29"/>
    <mergeCell ref="FZQ29:FZR29"/>
    <mergeCell ref="FZS29:FZT29"/>
    <mergeCell ref="FZU29:FZV29"/>
    <mergeCell ref="FZW29:FZX29"/>
    <mergeCell ref="FZA29:FZB29"/>
    <mergeCell ref="FZC29:FZD29"/>
    <mergeCell ref="FZE29:FZF29"/>
    <mergeCell ref="FZG29:FZH29"/>
    <mergeCell ref="FZI29:FZJ29"/>
    <mergeCell ref="FZK29:FZL29"/>
    <mergeCell ref="FYO29:FYP29"/>
    <mergeCell ref="FYQ29:FYR29"/>
    <mergeCell ref="FYS29:FYT29"/>
    <mergeCell ref="FYU29:FYV29"/>
    <mergeCell ref="FYW29:FYX29"/>
    <mergeCell ref="FYY29:FYZ29"/>
    <mergeCell ref="FYC29:FYD29"/>
    <mergeCell ref="FYE29:FYF29"/>
    <mergeCell ref="FYG29:FYH29"/>
    <mergeCell ref="FYI29:FYJ29"/>
    <mergeCell ref="FYK29:FYL29"/>
    <mergeCell ref="FYM29:FYN29"/>
    <mergeCell ref="FXQ29:FXR29"/>
    <mergeCell ref="FXS29:FXT29"/>
    <mergeCell ref="FXU29:FXV29"/>
    <mergeCell ref="FXW29:FXX29"/>
    <mergeCell ref="FXY29:FXZ29"/>
    <mergeCell ref="FYA29:FYB29"/>
    <mergeCell ref="GCS29:GCT29"/>
    <mergeCell ref="GCU29:GCV29"/>
    <mergeCell ref="GCW29:GCX29"/>
    <mergeCell ref="GCY29:GCZ29"/>
    <mergeCell ref="GDA29:GDB29"/>
    <mergeCell ref="GDC29:GDD29"/>
    <mergeCell ref="GCG29:GCH29"/>
    <mergeCell ref="GCI29:GCJ29"/>
    <mergeCell ref="GCK29:GCL29"/>
    <mergeCell ref="GCM29:GCN29"/>
    <mergeCell ref="GCO29:GCP29"/>
    <mergeCell ref="GCQ29:GCR29"/>
    <mergeCell ref="GBU29:GBV29"/>
    <mergeCell ref="GBW29:GBX29"/>
    <mergeCell ref="GBY29:GBZ29"/>
    <mergeCell ref="GCA29:GCB29"/>
    <mergeCell ref="GCC29:GCD29"/>
    <mergeCell ref="GCE29:GCF29"/>
    <mergeCell ref="GBI29:GBJ29"/>
    <mergeCell ref="GBK29:GBL29"/>
    <mergeCell ref="GBM29:GBN29"/>
    <mergeCell ref="GBO29:GBP29"/>
    <mergeCell ref="GBQ29:GBR29"/>
    <mergeCell ref="GBS29:GBT29"/>
    <mergeCell ref="GAW29:GAX29"/>
    <mergeCell ref="GAY29:GAZ29"/>
    <mergeCell ref="GBA29:GBB29"/>
    <mergeCell ref="GBC29:GBD29"/>
    <mergeCell ref="GBE29:GBF29"/>
    <mergeCell ref="GBG29:GBH29"/>
    <mergeCell ref="GAK29:GAL29"/>
    <mergeCell ref="GAM29:GAN29"/>
    <mergeCell ref="GAO29:GAP29"/>
    <mergeCell ref="GAQ29:GAR29"/>
    <mergeCell ref="GAS29:GAT29"/>
    <mergeCell ref="GAU29:GAV29"/>
    <mergeCell ref="GFM29:GFN29"/>
    <mergeCell ref="GFO29:GFP29"/>
    <mergeCell ref="GFQ29:GFR29"/>
    <mergeCell ref="GFS29:GFT29"/>
    <mergeCell ref="GFU29:GFV29"/>
    <mergeCell ref="GFW29:GFX29"/>
    <mergeCell ref="GFA29:GFB29"/>
    <mergeCell ref="GFC29:GFD29"/>
    <mergeCell ref="GFE29:GFF29"/>
    <mergeCell ref="GFG29:GFH29"/>
    <mergeCell ref="GFI29:GFJ29"/>
    <mergeCell ref="GFK29:GFL29"/>
    <mergeCell ref="GEO29:GEP29"/>
    <mergeCell ref="GEQ29:GER29"/>
    <mergeCell ref="GES29:GET29"/>
    <mergeCell ref="GEU29:GEV29"/>
    <mergeCell ref="GEW29:GEX29"/>
    <mergeCell ref="GEY29:GEZ29"/>
    <mergeCell ref="GEC29:GED29"/>
    <mergeCell ref="GEE29:GEF29"/>
    <mergeCell ref="GEG29:GEH29"/>
    <mergeCell ref="GEI29:GEJ29"/>
    <mergeCell ref="GEK29:GEL29"/>
    <mergeCell ref="GEM29:GEN29"/>
    <mergeCell ref="GDQ29:GDR29"/>
    <mergeCell ref="GDS29:GDT29"/>
    <mergeCell ref="GDU29:GDV29"/>
    <mergeCell ref="GDW29:GDX29"/>
    <mergeCell ref="GDY29:GDZ29"/>
    <mergeCell ref="GEA29:GEB29"/>
    <mergeCell ref="GDE29:GDF29"/>
    <mergeCell ref="GDG29:GDH29"/>
    <mergeCell ref="GDI29:GDJ29"/>
    <mergeCell ref="GDK29:GDL29"/>
    <mergeCell ref="GDM29:GDN29"/>
    <mergeCell ref="GDO29:GDP29"/>
    <mergeCell ref="GIG29:GIH29"/>
    <mergeCell ref="GII29:GIJ29"/>
    <mergeCell ref="GIK29:GIL29"/>
    <mergeCell ref="GIM29:GIN29"/>
    <mergeCell ref="GIO29:GIP29"/>
    <mergeCell ref="GIQ29:GIR29"/>
    <mergeCell ref="GHU29:GHV29"/>
    <mergeCell ref="GHW29:GHX29"/>
    <mergeCell ref="GHY29:GHZ29"/>
    <mergeCell ref="GIA29:GIB29"/>
    <mergeCell ref="GIC29:GID29"/>
    <mergeCell ref="GIE29:GIF29"/>
    <mergeCell ref="GHI29:GHJ29"/>
    <mergeCell ref="GHK29:GHL29"/>
    <mergeCell ref="GHM29:GHN29"/>
    <mergeCell ref="GHO29:GHP29"/>
    <mergeCell ref="GHQ29:GHR29"/>
    <mergeCell ref="GHS29:GHT29"/>
    <mergeCell ref="GGW29:GGX29"/>
    <mergeCell ref="GGY29:GGZ29"/>
    <mergeCell ref="GHA29:GHB29"/>
    <mergeCell ref="GHC29:GHD29"/>
    <mergeCell ref="GHE29:GHF29"/>
    <mergeCell ref="GHG29:GHH29"/>
    <mergeCell ref="GGK29:GGL29"/>
    <mergeCell ref="GGM29:GGN29"/>
    <mergeCell ref="GGO29:GGP29"/>
    <mergeCell ref="GGQ29:GGR29"/>
    <mergeCell ref="GGS29:GGT29"/>
    <mergeCell ref="GGU29:GGV29"/>
    <mergeCell ref="GFY29:GFZ29"/>
    <mergeCell ref="GGA29:GGB29"/>
    <mergeCell ref="GGC29:GGD29"/>
    <mergeCell ref="GGE29:GGF29"/>
    <mergeCell ref="GGG29:GGH29"/>
    <mergeCell ref="GGI29:GGJ29"/>
    <mergeCell ref="GLA29:GLB29"/>
    <mergeCell ref="GLC29:GLD29"/>
    <mergeCell ref="GLE29:GLF29"/>
    <mergeCell ref="GLG29:GLH29"/>
    <mergeCell ref="GLI29:GLJ29"/>
    <mergeCell ref="GLK29:GLL29"/>
    <mergeCell ref="GKO29:GKP29"/>
    <mergeCell ref="GKQ29:GKR29"/>
    <mergeCell ref="GKS29:GKT29"/>
    <mergeCell ref="GKU29:GKV29"/>
    <mergeCell ref="GKW29:GKX29"/>
    <mergeCell ref="GKY29:GKZ29"/>
    <mergeCell ref="GKC29:GKD29"/>
    <mergeCell ref="GKE29:GKF29"/>
    <mergeCell ref="GKG29:GKH29"/>
    <mergeCell ref="GKI29:GKJ29"/>
    <mergeCell ref="GKK29:GKL29"/>
    <mergeCell ref="GKM29:GKN29"/>
    <mergeCell ref="GJQ29:GJR29"/>
    <mergeCell ref="GJS29:GJT29"/>
    <mergeCell ref="GJU29:GJV29"/>
    <mergeCell ref="GJW29:GJX29"/>
    <mergeCell ref="GJY29:GJZ29"/>
    <mergeCell ref="GKA29:GKB29"/>
    <mergeCell ref="GJE29:GJF29"/>
    <mergeCell ref="GJG29:GJH29"/>
    <mergeCell ref="GJI29:GJJ29"/>
    <mergeCell ref="GJK29:GJL29"/>
    <mergeCell ref="GJM29:GJN29"/>
    <mergeCell ref="GJO29:GJP29"/>
    <mergeCell ref="GIS29:GIT29"/>
    <mergeCell ref="GIU29:GIV29"/>
    <mergeCell ref="GIW29:GIX29"/>
    <mergeCell ref="GIY29:GIZ29"/>
    <mergeCell ref="GJA29:GJB29"/>
    <mergeCell ref="GJC29:GJD29"/>
    <mergeCell ref="GNU29:GNV29"/>
    <mergeCell ref="GNW29:GNX29"/>
    <mergeCell ref="GNY29:GNZ29"/>
    <mergeCell ref="GOA29:GOB29"/>
    <mergeCell ref="GOC29:GOD29"/>
    <mergeCell ref="GOE29:GOF29"/>
    <mergeCell ref="GNI29:GNJ29"/>
    <mergeCell ref="GNK29:GNL29"/>
    <mergeCell ref="GNM29:GNN29"/>
    <mergeCell ref="GNO29:GNP29"/>
    <mergeCell ref="GNQ29:GNR29"/>
    <mergeCell ref="GNS29:GNT29"/>
    <mergeCell ref="GMW29:GMX29"/>
    <mergeCell ref="GMY29:GMZ29"/>
    <mergeCell ref="GNA29:GNB29"/>
    <mergeCell ref="GNC29:GND29"/>
    <mergeCell ref="GNE29:GNF29"/>
    <mergeCell ref="GNG29:GNH29"/>
    <mergeCell ref="GMK29:GML29"/>
    <mergeCell ref="GMM29:GMN29"/>
    <mergeCell ref="GMO29:GMP29"/>
    <mergeCell ref="GMQ29:GMR29"/>
    <mergeCell ref="GMS29:GMT29"/>
    <mergeCell ref="GMU29:GMV29"/>
    <mergeCell ref="GLY29:GLZ29"/>
    <mergeCell ref="GMA29:GMB29"/>
    <mergeCell ref="GMC29:GMD29"/>
    <mergeCell ref="GME29:GMF29"/>
    <mergeCell ref="GMG29:GMH29"/>
    <mergeCell ref="GMI29:GMJ29"/>
    <mergeCell ref="GLM29:GLN29"/>
    <mergeCell ref="GLO29:GLP29"/>
    <mergeCell ref="GLQ29:GLR29"/>
    <mergeCell ref="GLS29:GLT29"/>
    <mergeCell ref="GLU29:GLV29"/>
    <mergeCell ref="GLW29:GLX29"/>
    <mergeCell ref="GQO29:GQP29"/>
    <mergeCell ref="GQQ29:GQR29"/>
    <mergeCell ref="GQS29:GQT29"/>
    <mergeCell ref="GQU29:GQV29"/>
    <mergeCell ref="GQW29:GQX29"/>
    <mergeCell ref="GQY29:GQZ29"/>
    <mergeCell ref="GQC29:GQD29"/>
    <mergeCell ref="GQE29:GQF29"/>
    <mergeCell ref="GQG29:GQH29"/>
    <mergeCell ref="GQI29:GQJ29"/>
    <mergeCell ref="GQK29:GQL29"/>
    <mergeCell ref="GQM29:GQN29"/>
    <mergeCell ref="GPQ29:GPR29"/>
    <mergeCell ref="GPS29:GPT29"/>
    <mergeCell ref="GPU29:GPV29"/>
    <mergeCell ref="GPW29:GPX29"/>
    <mergeCell ref="GPY29:GPZ29"/>
    <mergeCell ref="GQA29:GQB29"/>
    <mergeCell ref="GPE29:GPF29"/>
    <mergeCell ref="GPG29:GPH29"/>
    <mergeCell ref="GPI29:GPJ29"/>
    <mergeCell ref="GPK29:GPL29"/>
    <mergeCell ref="GPM29:GPN29"/>
    <mergeCell ref="GPO29:GPP29"/>
    <mergeCell ref="GOS29:GOT29"/>
    <mergeCell ref="GOU29:GOV29"/>
    <mergeCell ref="GOW29:GOX29"/>
    <mergeCell ref="GOY29:GOZ29"/>
    <mergeCell ref="GPA29:GPB29"/>
    <mergeCell ref="GPC29:GPD29"/>
    <mergeCell ref="GOG29:GOH29"/>
    <mergeCell ref="GOI29:GOJ29"/>
    <mergeCell ref="GOK29:GOL29"/>
    <mergeCell ref="GOM29:GON29"/>
    <mergeCell ref="GOO29:GOP29"/>
    <mergeCell ref="GOQ29:GOR29"/>
    <mergeCell ref="GTI29:GTJ29"/>
    <mergeCell ref="GTK29:GTL29"/>
    <mergeCell ref="GTM29:GTN29"/>
    <mergeCell ref="GTO29:GTP29"/>
    <mergeCell ref="GTQ29:GTR29"/>
    <mergeCell ref="GTS29:GTT29"/>
    <mergeCell ref="GSW29:GSX29"/>
    <mergeCell ref="GSY29:GSZ29"/>
    <mergeCell ref="GTA29:GTB29"/>
    <mergeCell ref="GTC29:GTD29"/>
    <mergeCell ref="GTE29:GTF29"/>
    <mergeCell ref="GTG29:GTH29"/>
    <mergeCell ref="GSK29:GSL29"/>
    <mergeCell ref="GSM29:GSN29"/>
    <mergeCell ref="GSO29:GSP29"/>
    <mergeCell ref="GSQ29:GSR29"/>
    <mergeCell ref="GSS29:GST29"/>
    <mergeCell ref="GSU29:GSV29"/>
    <mergeCell ref="GRY29:GRZ29"/>
    <mergeCell ref="GSA29:GSB29"/>
    <mergeCell ref="GSC29:GSD29"/>
    <mergeCell ref="GSE29:GSF29"/>
    <mergeCell ref="GSG29:GSH29"/>
    <mergeCell ref="GSI29:GSJ29"/>
    <mergeCell ref="GRM29:GRN29"/>
    <mergeCell ref="GRO29:GRP29"/>
    <mergeCell ref="GRQ29:GRR29"/>
    <mergeCell ref="GRS29:GRT29"/>
    <mergeCell ref="GRU29:GRV29"/>
    <mergeCell ref="GRW29:GRX29"/>
    <mergeCell ref="GRA29:GRB29"/>
    <mergeCell ref="GRC29:GRD29"/>
    <mergeCell ref="GRE29:GRF29"/>
    <mergeCell ref="GRG29:GRH29"/>
    <mergeCell ref="GRI29:GRJ29"/>
    <mergeCell ref="GRK29:GRL29"/>
    <mergeCell ref="GWC29:GWD29"/>
    <mergeCell ref="GWE29:GWF29"/>
    <mergeCell ref="GWG29:GWH29"/>
    <mergeCell ref="GWI29:GWJ29"/>
    <mergeCell ref="GWK29:GWL29"/>
    <mergeCell ref="GWM29:GWN29"/>
    <mergeCell ref="GVQ29:GVR29"/>
    <mergeCell ref="GVS29:GVT29"/>
    <mergeCell ref="GVU29:GVV29"/>
    <mergeCell ref="GVW29:GVX29"/>
    <mergeCell ref="GVY29:GVZ29"/>
    <mergeCell ref="GWA29:GWB29"/>
    <mergeCell ref="GVE29:GVF29"/>
    <mergeCell ref="GVG29:GVH29"/>
    <mergeCell ref="GVI29:GVJ29"/>
    <mergeCell ref="GVK29:GVL29"/>
    <mergeCell ref="GVM29:GVN29"/>
    <mergeCell ref="GVO29:GVP29"/>
    <mergeCell ref="GUS29:GUT29"/>
    <mergeCell ref="GUU29:GUV29"/>
    <mergeCell ref="GUW29:GUX29"/>
    <mergeCell ref="GUY29:GUZ29"/>
    <mergeCell ref="GVA29:GVB29"/>
    <mergeCell ref="GVC29:GVD29"/>
    <mergeCell ref="GUG29:GUH29"/>
    <mergeCell ref="GUI29:GUJ29"/>
    <mergeCell ref="GUK29:GUL29"/>
    <mergeCell ref="GUM29:GUN29"/>
    <mergeCell ref="GUO29:GUP29"/>
    <mergeCell ref="GUQ29:GUR29"/>
    <mergeCell ref="GTU29:GTV29"/>
    <mergeCell ref="GTW29:GTX29"/>
    <mergeCell ref="GTY29:GTZ29"/>
    <mergeCell ref="GUA29:GUB29"/>
    <mergeCell ref="GUC29:GUD29"/>
    <mergeCell ref="GUE29:GUF29"/>
    <mergeCell ref="GYW29:GYX29"/>
    <mergeCell ref="GYY29:GYZ29"/>
    <mergeCell ref="GZA29:GZB29"/>
    <mergeCell ref="GZC29:GZD29"/>
    <mergeCell ref="GZE29:GZF29"/>
    <mergeCell ref="GZG29:GZH29"/>
    <mergeCell ref="GYK29:GYL29"/>
    <mergeCell ref="GYM29:GYN29"/>
    <mergeCell ref="GYO29:GYP29"/>
    <mergeCell ref="GYQ29:GYR29"/>
    <mergeCell ref="GYS29:GYT29"/>
    <mergeCell ref="GYU29:GYV29"/>
    <mergeCell ref="GXY29:GXZ29"/>
    <mergeCell ref="GYA29:GYB29"/>
    <mergeCell ref="GYC29:GYD29"/>
    <mergeCell ref="GYE29:GYF29"/>
    <mergeCell ref="GYG29:GYH29"/>
    <mergeCell ref="GYI29:GYJ29"/>
    <mergeCell ref="GXM29:GXN29"/>
    <mergeCell ref="GXO29:GXP29"/>
    <mergeCell ref="GXQ29:GXR29"/>
    <mergeCell ref="GXS29:GXT29"/>
    <mergeCell ref="GXU29:GXV29"/>
    <mergeCell ref="GXW29:GXX29"/>
    <mergeCell ref="GXA29:GXB29"/>
    <mergeCell ref="GXC29:GXD29"/>
    <mergeCell ref="GXE29:GXF29"/>
    <mergeCell ref="GXG29:GXH29"/>
    <mergeCell ref="GXI29:GXJ29"/>
    <mergeCell ref="GXK29:GXL29"/>
    <mergeCell ref="GWO29:GWP29"/>
    <mergeCell ref="GWQ29:GWR29"/>
    <mergeCell ref="GWS29:GWT29"/>
    <mergeCell ref="GWU29:GWV29"/>
    <mergeCell ref="GWW29:GWX29"/>
    <mergeCell ref="GWY29:GWZ29"/>
    <mergeCell ref="HBQ29:HBR29"/>
    <mergeCell ref="HBS29:HBT29"/>
    <mergeCell ref="HBU29:HBV29"/>
    <mergeCell ref="HBW29:HBX29"/>
    <mergeCell ref="HBY29:HBZ29"/>
    <mergeCell ref="HCA29:HCB29"/>
    <mergeCell ref="HBE29:HBF29"/>
    <mergeCell ref="HBG29:HBH29"/>
    <mergeCell ref="HBI29:HBJ29"/>
    <mergeCell ref="HBK29:HBL29"/>
    <mergeCell ref="HBM29:HBN29"/>
    <mergeCell ref="HBO29:HBP29"/>
    <mergeCell ref="HAS29:HAT29"/>
    <mergeCell ref="HAU29:HAV29"/>
    <mergeCell ref="HAW29:HAX29"/>
    <mergeCell ref="HAY29:HAZ29"/>
    <mergeCell ref="HBA29:HBB29"/>
    <mergeCell ref="HBC29:HBD29"/>
    <mergeCell ref="HAG29:HAH29"/>
    <mergeCell ref="HAI29:HAJ29"/>
    <mergeCell ref="HAK29:HAL29"/>
    <mergeCell ref="HAM29:HAN29"/>
    <mergeCell ref="HAO29:HAP29"/>
    <mergeCell ref="HAQ29:HAR29"/>
    <mergeCell ref="GZU29:GZV29"/>
    <mergeCell ref="GZW29:GZX29"/>
    <mergeCell ref="GZY29:GZZ29"/>
    <mergeCell ref="HAA29:HAB29"/>
    <mergeCell ref="HAC29:HAD29"/>
    <mergeCell ref="HAE29:HAF29"/>
    <mergeCell ref="GZI29:GZJ29"/>
    <mergeCell ref="GZK29:GZL29"/>
    <mergeCell ref="GZM29:GZN29"/>
    <mergeCell ref="GZO29:GZP29"/>
    <mergeCell ref="GZQ29:GZR29"/>
    <mergeCell ref="GZS29:GZT29"/>
    <mergeCell ref="HEK29:HEL29"/>
    <mergeCell ref="HEM29:HEN29"/>
    <mergeCell ref="HEO29:HEP29"/>
    <mergeCell ref="HEQ29:HER29"/>
    <mergeCell ref="HES29:HET29"/>
    <mergeCell ref="HEU29:HEV29"/>
    <mergeCell ref="HDY29:HDZ29"/>
    <mergeCell ref="HEA29:HEB29"/>
    <mergeCell ref="HEC29:HED29"/>
    <mergeCell ref="HEE29:HEF29"/>
    <mergeCell ref="HEG29:HEH29"/>
    <mergeCell ref="HEI29:HEJ29"/>
    <mergeCell ref="HDM29:HDN29"/>
    <mergeCell ref="HDO29:HDP29"/>
    <mergeCell ref="HDQ29:HDR29"/>
    <mergeCell ref="HDS29:HDT29"/>
    <mergeCell ref="HDU29:HDV29"/>
    <mergeCell ref="HDW29:HDX29"/>
    <mergeCell ref="HDA29:HDB29"/>
    <mergeCell ref="HDC29:HDD29"/>
    <mergeCell ref="HDE29:HDF29"/>
    <mergeCell ref="HDG29:HDH29"/>
    <mergeCell ref="HDI29:HDJ29"/>
    <mergeCell ref="HDK29:HDL29"/>
    <mergeCell ref="HCO29:HCP29"/>
    <mergeCell ref="HCQ29:HCR29"/>
    <mergeCell ref="HCS29:HCT29"/>
    <mergeCell ref="HCU29:HCV29"/>
    <mergeCell ref="HCW29:HCX29"/>
    <mergeCell ref="HCY29:HCZ29"/>
    <mergeCell ref="HCC29:HCD29"/>
    <mergeCell ref="HCE29:HCF29"/>
    <mergeCell ref="HCG29:HCH29"/>
    <mergeCell ref="HCI29:HCJ29"/>
    <mergeCell ref="HCK29:HCL29"/>
    <mergeCell ref="HCM29:HCN29"/>
    <mergeCell ref="HHE29:HHF29"/>
    <mergeCell ref="HHG29:HHH29"/>
    <mergeCell ref="HHI29:HHJ29"/>
    <mergeCell ref="HHK29:HHL29"/>
    <mergeCell ref="HHM29:HHN29"/>
    <mergeCell ref="HHO29:HHP29"/>
    <mergeCell ref="HGS29:HGT29"/>
    <mergeCell ref="HGU29:HGV29"/>
    <mergeCell ref="HGW29:HGX29"/>
    <mergeCell ref="HGY29:HGZ29"/>
    <mergeCell ref="HHA29:HHB29"/>
    <mergeCell ref="HHC29:HHD29"/>
    <mergeCell ref="HGG29:HGH29"/>
    <mergeCell ref="HGI29:HGJ29"/>
    <mergeCell ref="HGK29:HGL29"/>
    <mergeCell ref="HGM29:HGN29"/>
    <mergeCell ref="HGO29:HGP29"/>
    <mergeCell ref="HGQ29:HGR29"/>
    <mergeCell ref="HFU29:HFV29"/>
    <mergeCell ref="HFW29:HFX29"/>
    <mergeCell ref="HFY29:HFZ29"/>
    <mergeCell ref="HGA29:HGB29"/>
    <mergeCell ref="HGC29:HGD29"/>
    <mergeCell ref="HGE29:HGF29"/>
    <mergeCell ref="HFI29:HFJ29"/>
    <mergeCell ref="HFK29:HFL29"/>
    <mergeCell ref="HFM29:HFN29"/>
    <mergeCell ref="HFO29:HFP29"/>
    <mergeCell ref="HFQ29:HFR29"/>
    <mergeCell ref="HFS29:HFT29"/>
    <mergeCell ref="HEW29:HEX29"/>
    <mergeCell ref="HEY29:HEZ29"/>
    <mergeCell ref="HFA29:HFB29"/>
    <mergeCell ref="HFC29:HFD29"/>
    <mergeCell ref="HFE29:HFF29"/>
    <mergeCell ref="HFG29:HFH29"/>
    <mergeCell ref="HJY29:HJZ29"/>
    <mergeCell ref="HKA29:HKB29"/>
    <mergeCell ref="HKC29:HKD29"/>
    <mergeCell ref="HKE29:HKF29"/>
    <mergeCell ref="HKG29:HKH29"/>
    <mergeCell ref="HKI29:HKJ29"/>
    <mergeCell ref="HJM29:HJN29"/>
    <mergeCell ref="HJO29:HJP29"/>
    <mergeCell ref="HJQ29:HJR29"/>
    <mergeCell ref="HJS29:HJT29"/>
    <mergeCell ref="HJU29:HJV29"/>
    <mergeCell ref="HJW29:HJX29"/>
    <mergeCell ref="HJA29:HJB29"/>
    <mergeCell ref="HJC29:HJD29"/>
    <mergeCell ref="HJE29:HJF29"/>
    <mergeCell ref="HJG29:HJH29"/>
    <mergeCell ref="HJI29:HJJ29"/>
    <mergeCell ref="HJK29:HJL29"/>
    <mergeCell ref="HIO29:HIP29"/>
    <mergeCell ref="HIQ29:HIR29"/>
    <mergeCell ref="HIS29:HIT29"/>
    <mergeCell ref="HIU29:HIV29"/>
    <mergeCell ref="HIW29:HIX29"/>
    <mergeCell ref="HIY29:HIZ29"/>
    <mergeCell ref="HIC29:HID29"/>
    <mergeCell ref="HIE29:HIF29"/>
    <mergeCell ref="HIG29:HIH29"/>
    <mergeCell ref="HII29:HIJ29"/>
    <mergeCell ref="HIK29:HIL29"/>
    <mergeCell ref="HIM29:HIN29"/>
    <mergeCell ref="HHQ29:HHR29"/>
    <mergeCell ref="HHS29:HHT29"/>
    <mergeCell ref="HHU29:HHV29"/>
    <mergeCell ref="HHW29:HHX29"/>
    <mergeCell ref="HHY29:HHZ29"/>
    <mergeCell ref="HIA29:HIB29"/>
    <mergeCell ref="HMS29:HMT29"/>
    <mergeCell ref="HMU29:HMV29"/>
    <mergeCell ref="HMW29:HMX29"/>
    <mergeCell ref="HMY29:HMZ29"/>
    <mergeCell ref="HNA29:HNB29"/>
    <mergeCell ref="HNC29:HND29"/>
    <mergeCell ref="HMG29:HMH29"/>
    <mergeCell ref="HMI29:HMJ29"/>
    <mergeCell ref="HMK29:HML29"/>
    <mergeCell ref="HMM29:HMN29"/>
    <mergeCell ref="HMO29:HMP29"/>
    <mergeCell ref="HMQ29:HMR29"/>
    <mergeCell ref="HLU29:HLV29"/>
    <mergeCell ref="HLW29:HLX29"/>
    <mergeCell ref="HLY29:HLZ29"/>
    <mergeCell ref="HMA29:HMB29"/>
    <mergeCell ref="HMC29:HMD29"/>
    <mergeCell ref="HME29:HMF29"/>
    <mergeCell ref="HLI29:HLJ29"/>
    <mergeCell ref="HLK29:HLL29"/>
    <mergeCell ref="HLM29:HLN29"/>
    <mergeCell ref="HLO29:HLP29"/>
    <mergeCell ref="HLQ29:HLR29"/>
    <mergeCell ref="HLS29:HLT29"/>
    <mergeCell ref="HKW29:HKX29"/>
    <mergeCell ref="HKY29:HKZ29"/>
    <mergeCell ref="HLA29:HLB29"/>
    <mergeCell ref="HLC29:HLD29"/>
    <mergeCell ref="HLE29:HLF29"/>
    <mergeCell ref="HLG29:HLH29"/>
    <mergeCell ref="HKK29:HKL29"/>
    <mergeCell ref="HKM29:HKN29"/>
    <mergeCell ref="HKO29:HKP29"/>
    <mergeCell ref="HKQ29:HKR29"/>
    <mergeCell ref="HKS29:HKT29"/>
    <mergeCell ref="HKU29:HKV29"/>
    <mergeCell ref="HPM29:HPN29"/>
    <mergeCell ref="HPO29:HPP29"/>
    <mergeCell ref="HPQ29:HPR29"/>
    <mergeCell ref="HPS29:HPT29"/>
    <mergeCell ref="HPU29:HPV29"/>
    <mergeCell ref="HPW29:HPX29"/>
    <mergeCell ref="HPA29:HPB29"/>
    <mergeCell ref="HPC29:HPD29"/>
    <mergeCell ref="HPE29:HPF29"/>
    <mergeCell ref="HPG29:HPH29"/>
    <mergeCell ref="HPI29:HPJ29"/>
    <mergeCell ref="HPK29:HPL29"/>
    <mergeCell ref="HOO29:HOP29"/>
    <mergeCell ref="HOQ29:HOR29"/>
    <mergeCell ref="HOS29:HOT29"/>
    <mergeCell ref="HOU29:HOV29"/>
    <mergeCell ref="HOW29:HOX29"/>
    <mergeCell ref="HOY29:HOZ29"/>
    <mergeCell ref="HOC29:HOD29"/>
    <mergeCell ref="HOE29:HOF29"/>
    <mergeCell ref="HOG29:HOH29"/>
    <mergeCell ref="HOI29:HOJ29"/>
    <mergeCell ref="HOK29:HOL29"/>
    <mergeCell ref="HOM29:HON29"/>
    <mergeCell ref="HNQ29:HNR29"/>
    <mergeCell ref="HNS29:HNT29"/>
    <mergeCell ref="HNU29:HNV29"/>
    <mergeCell ref="HNW29:HNX29"/>
    <mergeCell ref="HNY29:HNZ29"/>
    <mergeCell ref="HOA29:HOB29"/>
    <mergeCell ref="HNE29:HNF29"/>
    <mergeCell ref="HNG29:HNH29"/>
    <mergeCell ref="HNI29:HNJ29"/>
    <mergeCell ref="HNK29:HNL29"/>
    <mergeCell ref="HNM29:HNN29"/>
    <mergeCell ref="HNO29:HNP29"/>
    <mergeCell ref="HSG29:HSH29"/>
    <mergeCell ref="HSI29:HSJ29"/>
    <mergeCell ref="HSK29:HSL29"/>
    <mergeCell ref="HSM29:HSN29"/>
    <mergeCell ref="HSO29:HSP29"/>
    <mergeCell ref="HSQ29:HSR29"/>
    <mergeCell ref="HRU29:HRV29"/>
    <mergeCell ref="HRW29:HRX29"/>
    <mergeCell ref="HRY29:HRZ29"/>
    <mergeCell ref="HSA29:HSB29"/>
    <mergeCell ref="HSC29:HSD29"/>
    <mergeCell ref="HSE29:HSF29"/>
    <mergeCell ref="HRI29:HRJ29"/>
    <mergeCell ref="HRK29:HRL29"/>
    <mergeCell ref="HRM29:HRN29"/>
    <mergeCell ref="HRO29:HRP29"/>
    <mergeCell ref="HRQ29:HRR29"/>
    <mergeCell ref="HRS29:HRT29"/>
    <mergeCell ref="HQW29:HQX29"/>
    <mergeCell ref="HQY29:HQZ29"/>
    <mergeCell ref="HRA29:HRB29"/>
    <mergeCell ref="HRC29:HRD29"/>
    <mergeCell ref="HRE29:HRF29"/>
    <mergeCell ref="HRG29:HRH29"/>
    <mergeCell ref="HQK29:HQL29"/>
    <mergeCell ref="HQM29:HQN29"/>
    <mergeCell ref="HQO29:HQP29"/>
    <mergeCell ref="HQQ29:HQR29"/>
    <mergeCell ref="HQS29:HQT29"/>
    <mergeCell ref="HQU29:HQV29"/>
    <mergeCell ref="HPY29:HPZ29"/>
    <mergeCell ref="HQA29:HQB29"/>
    <mergeCell ref="HQC29:HQD29"/>
    <mergeCell ref="HQE29:HQF29"/>
    <mergeCell ref="HQG29:HQH29"/>
    <mergeCell ref="HQI29:HQJ29"/>
    <mergeCell ref="HVA29:HVB29"/>
    <mergeCell ref="HVC29:HVD29"/>
    <mergeCell ref="HVE29:HVF29"/>
    <mergeCell ref="HVG29:HVH29"/>
    <mergeCell ref="HVI29:HVJ29"/>
    <mergeCell ref="HVK29:HVL29"/>
    <mergeCell ref="HUO29:HUP29"/>
    <mergeCell ref="HUQ29:HUR29"/>
    <mergeCell ref="HUS29:HUT29"/>
    <mergeCell ref="HUU29:HUV29"/>
    <mergeCell ref="HUW29:HUX29"/>
    <mergeCell ref="HUY29:HUZ29"/>
    <mergeCell ref="HUC29:HUD29"/>
    <mergeCell ref="HUE29:HUF29"/>
    <mergeCell ref="HUG29:HUH29"/>
    <mergeCell ref="HUI29:HUJ29"/>
    <mergeCell ref="HUK29:HUL29"/>
    <mergeCell ref="HUM29:HUN29"/>
    <mergeCell ref="HTQ29:HTR29"/>
    <mergeCell ref="HTS29:HTT29"/>
    <mergeCell ref="HTU29:HTV29"/>
    <mergeCell ref="HTW29:HTX29"/>
    <mergeCell ref="HTY29:HTZ29"/>
    <mergeCell ref="HUA29:HUB29"/>
    <mergeCell ref="HTE29:HTF29"/>
    <mergeCell ref="HTG29:HTH29"/>
    <mergeCell ref="HTI29:HTJ29"/>
    <mergeCell ref="HTK29:HTL29"/>
    <mergeCell ref="HTM29:HTN29"/>
    <mergeCell ref="HTO29:HTP29"/>
    <mergeCell ref="HSS29:HST29"/>
    <mergeCell ref="HSU29:HSV29"/>
    <mergeCell ref="HSW29:HSX29"/>
    <mergeCell ref="HSY29:HSZ29"/>
    <mergeCell ref="HTA29:HTB29"/>
    <mergeCell ref="HTC29:HTD29"/>
    <mergeCell ref="HXU29:HXV29"/>
    <mergeCell ref="HXW29:HXX29"/>
    <mergeCell ref="HXY29:HXZ29"/>
    <mergeCell ref="HYA29:HYB29"/>
    <mergeCell ref="HYC29:HYD29"/>
    <mergeCell ref="HYE29:HYF29"/>
    <mergeCell ref="HXI29:HXJ29"/>
    <mergeCell ref="HXK29:HXL29"/>
    <mergeCell ref="HXM29:HXN29"/>
    <mergeCell ref="HXO29:HXP29"/>
    <mergeCell ref="HXQ29:HXR29"/>
    <mergeCell ref="HXS29:HXT29"/>
    <mergeCell ref="HWW29:HWX29"/>
    <mergeCell ref="HWY29:HWZ29"/>
    <mergeCell ref="HXA29:HXB29"/>
    <mergeCell ref="HXC29:HXD29"/>
    <mergeCell ref="HXE29:HXF29"/>
    <mergeCell ref="HXG29:HXH29"/>
    <mergeCell ref="HWK29:HWL29"/>
    <mergeCell ref="HWM29:HWN29"/>
    <mergeCell ref="HWO29:HWP29"/>
    <mergeCell ref="HWQ29:HWR29"/>
    <mergeCell ref="HWS29:HWT29"/>
    <mergeCell ref="HWU29:HWV29"/>
    <mergeCell ref="HVY29:HVZ29"/>
    <mergeCell ref="HWA29:HWB29"/>
    <mergeCell ref="HWC29:HWD29"/>
    <mergeCell ref="HWE29:HWF29"/>
    <mergeCell ref="HWG29:HWH29"/>
    <mergeCell ref="HWI29:HWJ29"/>
    <mergeCell ref="HVM29:HVN29"/>
    <mergeCell ref="HVO29:HVP29"/>
    <mergeCell ref="HVQ29:HVR29"/>
    <mergeCell ref="HVS29:HVT29"/>
    <mergeCell ref="HVU29:HVV29"/>
    <mergeCell ref="HVW29:HVX29"/>
    <mergeCell ref="IAO29:IAP29"/>
    <mergeCell ref="IAQ29:IAR29"/>
    <mergeCell ref="IAS29:IAT29"/>
    <mergeCell ref="IAU29:IAV29"/>
    <mergeCell ref="IAW29:IAX29"/>
    <mergeCell ref="IAY29:IAZ29"/>
    <mergeCell ref="IAC29:IAD29"/>
    <mergeCell ref="IAE29:IAF29"/>
    <mergeCell ref="IAG29:IAH29"/>
    <mergeCell ref="IAI29:IAJ29"/>
    <mergeCell ref="IAK29:IAL29"/>
    <mergeCell ref="IAM29:IAN29"/>
    <mergeCell ref="HZQ29:HZR29"/>
    <mergeCell ref="HZS29:HZT29"/>
    <mergeCell ref="HZU29:HZV29"/>
    <mergeCell ref="HZW29:HZX29"/>
    <mergeCell ref="HZY29:HZZ29"/>
    <mergeCell ref="IAA29:IAB29"/>
    <mergeCell ref="HZE29:HZF29"/>
    <mergeCell ref="HZG29:HZH29"/>
    <mergeCell ref="HZI29:HZJ29"/>
    <mergeCell ref="HZK29:HZL29"/>
    <mergeCell ref="HZM29:HZN29"/>
    <mergeCell ref="HZO29:HZP29"/>
    <mergeCell ref="HYS29:HYT29"/>
    <mergeCell ref="HYU29:HYV29"/>
    <mergeCell ref="HYW29:HYX29"/>
    <mergeCell ref="HYY29:HYZ29"/>
    <mergeCell ref="HZA29:HZB29"/>
    <mergeCell ref="HZC29:HZD29"/>
    <mergeCell ref="HYG29:HYH29"/>
    <mergeCell ref="HYI29:HYJ29"/>
    <mergeCell ref="HYK29:HYL29"/>
    <mergeCell ref="HYM29:HYN29"/>
    <mergeCell ref="HYO29:HYP29"/>
    <mergeCell ref="HYQ29:HYR29"/>
    <mergeCell ref="IDI29:IDJ29"/>
    <mergeCell ref="IDK29:IDL29"/>
    <mergeCell ref="IDM29:IDN29"/>
    <mergeCell ref="IDO29:IDP29"/>
    <mergeCell ref="IDQ29:IDR29"/>
    <mergeCell ref="IDS29:IDT29"/>
    <mergeCell ref="ICW29:ICX29"/>
    <mergeCell ref="ICY29:ICZ29"/>
    <mergeCell ref="IDA29:IDB29"/>
    <mergeCell ref="IDC29:IDD29"/>
    <mergeCell ref="IDE29:IDF29"/>
    <mergeCell ref="IDG29:IDH29"/>
    <mergeCell ref="ICK29:ICL29"/>
    <mergeCell ref="ICM29:ICN29"/>
    <mergeCell ref="ICO29:ICP29"/>
    <mergeCell ref="ICQ29:ICR29"/>
    <mergeCell ref="ICS29:ICT29"/>
    <mergeCell ref="ICU29:ICV29"/>
    <mergeCell ref="IBY29:IBZ29"/>
    <mergeCell ref="ICA29:ICB29"/>
    <mergeCell ref="ICC29:ICD29"/>
    <mergeCell ref="ICE29:ICF29"/>
    <mergeCell ref="ICG29:ICH29"/>
    <mergeCell ref="ICI29:ICJ29"/>
    <mergeCell ref="IBM29:IBN29"/>
    <mergeCell ref="IBO29:IBP29"/>
    <mergeCell ref="IBQ29:IBR29"/>
    <mergeCell ref="IBS29:IBT29"/>
    <mergeCell ref="IBU29:IBV29"/>
    <mergeCell ref="IBW29:IBX29"/>
    <mergeCell ref="IBA29:IBB29"/>
    <mergeCell ref="IBC29:IBD29"/>
    <mergeCell ref="IBE29:IBF29"/>
    <mergeCell ref="IBG29:IBH29"/>
    <mergeCell ref="IBI29:IBJ29"/>
    <mergeCell ref="IBK29:IBL29"/>
    <mergeCell ref="IGC29:IGD29"/>
    <mergeCell ref="IGE29:IGF29"/>
    <mergeCell ref="IGG29:IGH29"/>
    <mergeCell ref="IGI29:IGJ29"/>
    <mergeCell ref="IGK29:IGL29"/>
    <mergeCell ref="IGM29:IGN29"/>
    <mergeCell ref="IFQ29:IFR29"/>
    <mergeCell ref="IFS29:IFT29"/>
    <mergeCell ref="IFU29:IFV29"/>
    <mergeCell ref="IFW29:IFX29"/>
    <mergeCell ref="IFY29:IFZ29"/>
    <mergeCell ref="IGA29:IGB29"/>
    <mergeCell ref="IFE29:IFF29"/>
    <mergeCell ref="IFG29:IFH29"/>
    <mergeCell ref="IFI29:IFJ29"/>
    <mergeCell ref="IFK29:IFL29"/>
    <mergeCell ref="IFM29:IFN29"/>
    <mergeCell ref="IFO29:IFP29"/>
    <mergeCell ref="IES29:IET29"/>
    <mergeCell ref="IEU29:IEV29"/>
    <mergeCell ref="IEW29:IEX29"/>
    <mergeCell ref="IEY29:IEZ29"/>
    <mergeCell ref="IFA29:IFB29"/>
    <mergeCell ref="IFC29:IFD29"/>
    <mergeCell ref="IEG29:IEH29"/>
    <mergeCell ref="IEI29:IEJ29"/>
    <mergeCell ref="IEK29:IEL29"/>
    <mergeCell ref="IEM29:IEN29"/>
    <mergeCell ref="IEO29:IEP29"/>
    <mergeCell ref="IEQ29:IER29"/>
    <mergeCell ref="IDU29:IDV29"/>
    <mergeCell ref="IDW29:IDX29"/>
    <mergeCell ref="IDY29:IDZ29"/>
    <mergeCell ref="IEA29:IEB29"/>
    <mergeCell ref="IEC29:IED29"/>
    <mergeCell ref="IEE29:IEF29"/>
    <mergeCell ref="IIW29:IIX29"/>
    <mergeCell ref="IIY29:IIZ29"/>
    <mergeCell ref="IJA29:IJB29"/>
    <mergeCell ref="IJC29:IJD29"/>
    <mergeCell ref="IJE29:IJF29"/>
    <mergeCell ref="IJG29:IJH29"/>
    <mergeCell ref="IIK29:IIL29"/>
    <mergeCell ref="IIM29:IIN29"/>
    <mergeCell ref="IIO29:IIP29"/>
    <mergeCell ref="IIQ29:IIR29"/>
    <mergeCell ref="IIS29:IIT29"/>
    <mergeCell ref="IIU29:IIV29"/>
    <mergeCell ref="IHY29:IHZ29"/>
    <mergeCell ref="IIA29:IIB29"/>
    <mergeCell ref="IIC29:IID29"/>
    <mergeCell ref="IIE29:IIF29"/>
    <mergeCell ref="IIG29:IIH29"/>
    <mergeCell ref="III29:IIJ29"/>
    <mergeCell ref="IHM29:IHN29"/>
    <mergeCell ref="IHO29:IHP29"/>
    <mergeCell ref="IHQ29:IHR29"/>
    <mergeCell ref="IHS29:IHT29"/>
    <mergeCell ref="IHU29:IHV29"/>
    <mergeCell ref="IHW29:IHX29"/>
    <mergeCell ref="IHA29:IHB29"/>
    <mergeCell ref="IHC29:IHD29"/>
    <mergeCell ref="IHE29:IHF29"/>
    <mergeCell ref="IHG29:IHH29"/>
    <mergeCell ref="IHI29:IHJ29"/>
    <mergeCell ref="IHK29:IHL29"/>
    <mergeCell ref="IGO29:IGP29"/>
    <mergeCell ref="IGQ29:IGR29"/>
    <mergeCell ref="IGS29:IGT29"/>
    <mergeCell ref="IGU29:IGV29"/>
    <mergeCell ref="IGW29:IGX29"/>
    <mergeCell ref="IGY29:IGZ29"/>
    <mergeCell ref="ILQ29:ILR29"/>
    <mergeCell ref="ILS29:ILT29"/>
    <mergeCell ref="ILU29:ILV29"/>
    <mergeCell ref="ILW29:ILX29"/>
    <mergeCell ref="ILY29:ILZ29"/>
    <mergeCell ref="IMA29:IMB29"/>
    <mergeCell ref="ILE29:ILF29"/>
    <mergeCell ref="ILG29:ILH29"/>
    <mergeCell ref="ILI29:ILJ29"/>
    <mergeCell ref="ILK29:ILL29"/>
    <mergeCell ref="ILM29:ILN29"/>
    <mergeCell ref="ILO29:ILP29"/>
    <mergeCell ref="IKS29:IKT29"/>
    <mergeCell ref="IKU29:IKV29"/>
    <mergeCell ref="IKW29:IKX29"/>
    <mergeCell ref="IKY29:IKZ29"/>
    <mergeCell ref="ILA29:ILB29"/>
    <mergeCell ref="ILC29:ILD29"/>
    <mergeCell ref="IKG29:IKH29"/>
    <mergeCell ref="IKI29:IKJ29"/>
    <mergeCell ref="IKK29:IKL29"/>
    <mergeCell ref="IKM29:IKN29"/>
    <mergeCell ref="IKO29:IKP29"/>
    <mergeCell ref="IKQ29:IKR29"/>
    <mergeCell ref="IJU29:IJV29"/>
    <mergeCell ref="IJW29:IJX29"/>
    <mergeCell ref="IJY29:IJZ29"/>
    <mergeCell ref="IKA29:IKB29"/>
    <mergeCell ref="IKC29:IKD29"/>
    <mergeCell ref="IKE29:IKF29"/>
    <mergeCell ref="IJI29:IJJ29"/>
    <mergeCell ref="IJK29:IJL29"/>
    <mergeCell ref="IJM29:IJN29"/>
    <mergeCell ref="IJO29:IJP29"/>
    <mergeCell ref="IJQ29:IJR29"/>
    <mergeCell ref="IJS29:IJT29"/>
    <mergeCell ref="IOK29:IOL29"/>
    <mergeCell ref="IOM29:ION29"/>
    <mergeCell ref="IOO29:IOP29"/>
    <mergeCell ref="IOQ29:IOR29"/>
    <mergeCell ref="IOS29:IOT29"/>
    <mergeCell ref="IOU29:IOV29"/>
    <mergeCell ref="INY29:INZ29"/>
    <mergeCell ref="IOA29:IOB29"/>
    <mergeCell ref="IOC29:IOD29"/>
    <mergeCell ref="IOE29:IOF29"/>
    <mergeCell ref="IOG29:IOH29"/>
    <mergeCell ref="IOI29:IOJ29"/>
    <mergeCell ref="INM29:INN29"/>
    <mergeCell ref="INO29:INP29"/>
    <mergeCell ref="INQ29:INR29"/>
    <mergeCell ref="INS29:INT29"/>
    <mergeCell ref="INU29:INV29"/>
    <mergeCell ref="INW29:INX29"/>
    <mergeCell ref="INA29:INB29"/>
    <mergeCell ref="INC29:IND29"/>
    <mergeCell ref="INE29:INF29"/>
    <mergeCell ref="ING29:INH29"/>
    <mergeCell ref="INI29:INJ29"/>
    <mergeCell ref="INK29:INL29"/>
    <mergeCell ref="IMO29:IMP29"/>
    <mergeCell ref="IMQ29:IMR29"/>
    <mergeCell ref="IMS29:IMT29"/>
    <mergeCell ref="IMU29:IMV29"/>
    <mergeCell ref="IMW29:IMX29"/>
    <mergeCell ref="IMY29:IMZ29"/>
    <mergeCell ref="IMC29:IMD29"/>
    <mergeCell ref="IME29:IMF29"/>
    <mergeCell ref="IMG29:IMH29"/>
    <mergeCell ref="IMI29:IMJ29"/>
    <mergeCell ref="IMK29:IML29"/>
    <mergeCell ref="IMM29:IMN29"/>
    <mergeCell ref="IRE29:IRF29"/>
    <mergeCell ref="IRG29:IRH29"/>
    <mergeCell ref="IRI29:IRJ29"/>
    <mergeCell ref="IRK29:IRL29"/>
    <mergeCell ref="IRM29:IRN29"/>
    <mergeCell ref="IRO29:IRP29"/>
    <mergeCell ref="IQS29:IQT29"/>
    <mergeCell ref="IQU29:IQV29"/>
    <mergeCell ref="IQW29:IQX29"/>
    <mergeCell ref="IQY29:IQZ29"/>
    <mergeCell ref="IRA29:IRB29"/>
    <mergeCell ref="IRC29:IRD29"/>
    <mergeCell ref="IQG29:IQH29"/>
    <mergeCell ref="IQI29:IQJ29"/>
    <mergeCell ref="IQK29:IQL29"/>
    <mergeCell ref="IQM29:IQN29"/>
    <mergeCell ref="IQO29:IQP29"/>
    <mergeCell ref="IQQ29:IQR29"/>
    <mergeCell ref="IPU29:IPV29"/>
    <mergeCell ref="IPW29:IPX29"/>
    <mergeCell ref="IPY29:IPZ29"/>
    <mergeCell ref="IQA29:IQB29"/>
    <mergeCell ref="IQC29:IQD29"/>
    <mergeCell ref="IQE29:IQF29"/>
    <mergeCell ref="IPI29:IPJ29"/>
    <mergeCell ref="IPK29:IPL29"/>
    <mergeCell ref="IPM29:IPN29"/>
    <mergeCell ref="IPO29:IPP29"/>
    <mergeCell ref="IPQ29:IPR29"/>
    <mergeCell ref="IPS29:IPT29"/>
    <mergeCell ref="IOW29:IOX29"/>
    <mergeCell ref="IOY29:IOZ29"/>
    <mergeCell ref="IPA29:IPB29"/>
    <mergeCell ref="IPC29:IPD29"/>
    <mergeCell ref="IPE29:IPF29"/>
    <mergeCell ref="IPG29:IPH29"/>
    <mergeCell ref="ITY29:ITZ29"/>
    <mergeCell ref="IUA29:IUB29"/>
    <mergeCell ref="IUC29:IUD29"/>
    <mergeCell ref="IUE29:IUF29"/>
    <mergeCell ref="IUG29:IUH29"/>
    <mergeCell ref="IUI29:IUJ29"/>
    <mergeCell ref="ITM29:ITN29"/>
    <mergeCell ref="ITO29:ITP29"/>
    <mergeCell ref="ITQ29:ITR29"/>
    <mergeCell ref="ITS29:ITT29"/>
    <mergeCell ref="ITU29:ITV29"/>
    <mergeCell ref="ITW29:ITX29"/>
    <mergeCell ref="ITA29:ITB29"/>
    <mergeCell ref="ITC29:ITD29"/>
    <mergeCell ref="ITE29:ITF29"/>
    <mergeCell ref="ITG29:ITH29"/>
    <mergeCell ref="ITI29:ITJ29"/>
    <mergeCell ref="ITK29:ITL29"/>
    <mergeCell ref="ISO29:ISP29"/>
    <mergeCell ref="ISQ29:ISR29"/>
    <mergeCell ref="ISS29:IST29"/>
    <mergeCell ref="ISU29:ISV29"/>
    <mergeCell ref="ISW29:ISX29"/>
    <mergeCell ref="ISY29:ISZ29"/>
    <mergeCell ref="ISC29:ISD29"/>
    <mergeCell ref="ISE29:ISF29"/>
    <mergeCell ref="ISG29:ISH29"/>
    <mergeCell ref="ISI29:ISJ29"/>
    <mergeCell ref="ISK29:ISL29"/>
    <mergeCell ref="ISM29:ISN29"/>
    <mergeCell ref="IRQ29:IRR29"/>
    <mergeCell ref="IRS29:IRT29"/>
    <mergeCell ref="IRU29:IRV29"/>
    <mergeCell ref="IRW29:IRX29"/>
    <mergeCell ref="IRY29:IRZ29"/>
    <mergeCell ref="ISA29:ISB29"/>
    <mergeCell ref="IWS29:IWT29"/>
    <mergeCell ref="IWU29:IWV29"/>
    <mergeCell ref="IWW29:IWX29"/>
    <mergeCell ref="IWY29:IWZ29"/>
    <mergeCell ref="IXA29:IXB29"/>
    <mergeCell ref="IXC29:IXD29"/>
    <mergeCell ref="IWG29:IWH29"/>
    <mergeCell ref="IWI29:IWJ29"/>
    <mergeCell ref="IWK29:IWL29"/>
    <mergeCell ref="IWM29:IWN29"/>
    <mergeCell ref="IWO29:IWP29"/>
    <mergeCell ref="IWQ29:IWR29"/>
    <mergeCell ref="IVU29:IVV29"/>
    <mergeCell ref="IVW29:IVX29"/>
    <mergeCell ref="IVY29:IVZ29"/>
    <mergeCell ref="IWA29:IWB29"/>
    <mergeCell ref="IWC29:IWD29"/>
    <mergeCell ref="IWE29:IWF29"/>
    <mergeCell ref="IVI29:IVJ29"/>
    <mergeCell ref="IVK29:IVL29"/>
    <mergeCell ref="IVM29:IVN29"/>
    <mergeCell ref="IVO29:IVP29"/>
    <mergeCell ref="IVQ29:IVR29"/>
    <mergeCell ref="IVS29:IVT29"/>
    <mergeCell ref="IUW29:IUX29"/>
    <mergeCell ref="IUY29:IUZ29"/>
    <mergeCell ref="IVA29:IVB29"/>
    <mergeCell ref="IVC29:IVD29"/>
    <mergeCell ref="IVE29:IVF29"/>
    <mergeCell ref="IVG29:IVH29"/>
    <mergeCell ref="IUK29:IUL29"/>
    <mergeCell ref="IUM29:IUN29"/>
    <mergeCell ref="IUO29:IUP29"/>
    <mergeCell ref="IUQ29:IUR29"/>
    <mergeCell ref="IUS29:IUT29"/>
    <mergeCell ref="IUU29:IUV29"/>
    <mergeCell ref="IZM29:IZN29"/>
    <mergeCell ref="IZO29:IZP29"/>
    <mergeCell ref="IZQ29:IZR29"/>
    <mergeCell ref="IZS29:IZT29"/>
    <mergeCell ref="IZU29:IZV29"/>
    <mergeCell ref="IZW29:IZX29"/>
    <mergeCell ref="IZA29:IZB29"/>
    <mergeCell ref="IZC29:IZD29"/>
    <mergeCell ref="IZE29:IZF29"/>
    <mergeCell ref="IZG29:IZH29"/>
    <mergeCell ref="IZI29:IZJ29"/>
    <mergeCell ref="IZK29:IZL29"/>
    <mergeCell ref="IYO29:IYP29"/>
    <mergeCell ref="IYQ29:IYR29"/>
    <mergeCell ref="IYS29:IYT29"/>
    <mergeCell ref="IYU29:IYV29"/>
    <mergeCell ref="IYW29:IYX29"/>
    <mergeCell ref="IYY29:IYZ29"/>
    <mergeCell ref="IYC29:IYD29"/>
    <mergeCell ref="IYE29:IYF29"/>
    <mergeCell ref="IYG29:IYH29"/>
    <mergeCell ref="IYI29:IYJ29"/>
    <mergeCell ref="IYK29:IYL29"/>
    <mergeCell ref="IYM29:IYN29"/>
    <mergeCell ref="IXQ29:IXR29"/>
    <mergeCell ref="IXS29:IXT29"/>
    <mergeCell ref="IXU29:IXV29"/>
    <mergeCell ref="IXW29:IXX29"/>
    <mergeCell ref="IXY29:IXZ29"/>
    <mergeCell ref="IYA29:IYB29"/>
    <mergeCell ref="IXE29:IXF29"/>
    <mergeCell ref="IXG29:IXH29"/>
    <mergeCell ref="IXI29:IXJ29"/>
    <mergeCell ref="IXK29:IXL29"/>
    <mergeCell ref="IXM29:IXN29"/>
    <mergeCell ref="IXO29:IXP29"/>
    <mergeCell ref="JCG29:JCH29"/>
    <mergeCell ref="JCI29:JCJ29"/>
    <mergeCell ref="JCK29:JCL29"/>
    <mergeCell ref="JCM29:JCN29"/>
    <mergeCell ref="JCO29:JCP29"/>
    <mergeCell ref="JCQ29:JCR29"/>
    <mergeCell ref="JBU29:JBV29"/>
    <mergeCell ref="JBW29:JBX29"/>
    <mergeCell ref="JBY29:JBZ29"/>
    <mergeCell ref="JCA29:JCB29"/>
    <mergeCell ref="JCC29:JCD29"/>
    <mergeCell ref="JCE29:JCF29"/>
    <mergeCell ref="JBI29:JBJ29"/>
    <mergeCell ref="JBK29:JBL29"/>
    <mergeCell ref="JBM29:JBN29"/>
    <mergeCell ref="JBO29:JBP29"/>
    <mergeCell ref="JBQ29:JBR29"/>
    <mergeCell ref="JBS29:JBT29"/>
    <mergeCell ref="JAW29:JAX29"/>
    <mergeCell ref="JAY29:JAZ29"/>
    <mergeCell ref="JBA29:JBB29"/>
    <mergeCell ref="JBC29:JBD29"/>
    <mergeCell ref="JBE29:JBF29"/>
    <mergeCell ref="JBG29:JBH29"/>
    <mergeCell ref="JAK29:JAL29"/>
    <mergeCell ref="JAM29:JAN29"/>
    <mergeCell ref="JAO29:JAP29"/>
    <mergeCell ref="JAQ29:JAR29"/>
    <mergeCell ref="JAS29:JAT29"/>
    <mergeCell ref="JAU29:JAV29"/>
    <mergeCell ref="IZY29:IZZ29"/>
    <mergeCell ref="JAA29:JAB29"/>
    <mergeCell ref="JAC29:JAD29"/>
    <mergeCell ref="JAE29:JAF29"/>
    <mergeCell ref="JAG29:JAH29"/>
    <mergeCell ref="JAI29:JAJ29"/>
    <mergeCell ref="JFA29:JFB29"/>
    <mergeCell ref="JFC29:JFD29"/>
    <mergeCell ref="JFE29:JFF29"/>
    <mergeCell ref="JFG29:JFH29"/>
    <mergeCell ref="JFI29:JFJ29"/>
    <mergeCell ref="JFK29:JFL29"/>
    <mergeCell ref="JEO29:JEP29"/>
    <mergeCell ref="JEQ29:JER29"/>
    <mergeCell ref="JES29:JET29"/>
    <mergeCell ref="JEU29:JEV29"/>
    <mergeCell ref="JEW29:JEX29"/>
    <mergeCell ref="JEY29:JEZ29"/>
    <mergeCell ref="JEC29:JED29"/>
    <mergeCell ref="JEE29:JEF29"/>
    <mergeCell ref="JEG29:JEH29"/>
    <mergeCell ref="JEI29:JEJ29"/>
    <mergeCell ref="JEK29:JEL29"/>
    <mergeCell ref="JEM29:JEN29"/>
    <mergeCell ref="JDQ29:JDR29"/>
    <mergeCell ref="JDS29:JDT29"/>
    <mergeCell ref="JDU29:JDV29"/>
    <mergeCell ref="JDW29:JDX29"/>
    <mergeCell ref="JDY29:JDZ29"/>
    <mergeCell ref="JEA29:JEB29"/>
    <mergeCell ref="JDE29:JDF29"/>
    <mergeCell ref="JDG29:JDH29"/>
    <mergeCell ref="JDI29:JDJ29"/>
    <mergeCell ref="JDK29:JDL29"/>
    <mergeCell ref="JDM29:JDN29"/>
    <mergeCell ref="JDO29:JDP29"/>
    <mergeCell ref="JCS29:JCT29"/>
    <mergeCell ref="JCU29:JCV29"/>
    <mergeCell ref="JCW29:JCX29"/>
    <mergeCell ref="JCY29:JCZ29"/>
    <mergeCell ref="JDA29:JDB29"/>
    <mergeCell ref="JDC29:JDD29"/>
    <mergeCell ref="JHU29:JHV29"/>
    <mergeCell ref="JHW29:JHX29"/>
    <mergeCell ref="JHY29:JHZ29"/>
    <mergeCell ref="JIA29:JIB29"/>
    <mergeCell ref="JIC29:JID29"/>
    <mergeCell ref="JIE29:JIF29"/>
    <mergeCell ref="JHI29:JHJ29"/>
    <mergeCell ref="JHK29:JHL29"/>
    <mergeCell ref="JHM29:JHN29"/>
    <mergeCell ref="JHO29:JHP29"/>
    <mergeCell ref="JHQ29:JHR29"/>
    <mergeCell ref="JHS29:JHT29"/>
    <mergeCell ref="JGW29:JGX29"/>
    <mergeCell ref="JGY29:JGZ29"/>
    <mergeCell ref="JHA29:JHB29"/>
    <mergeCell ref="JHC29:JHD29"/>
    <mergeCell ref="JHE29:JHF29"/>
    <mergeCell ref="JHG29:JHH29"/>
    <mergeCell ref="JGK29:JGL29"/>
    <mergeCell ref="JGM29:JGN29"/>
    <mergeCell ref="JGO29:JGP29"/>
    <mergeCell ref="JGQ29:JGR29"/>
    <mergeCell ref="JGS29:JGT29"/>
    <mergeCell ref="JGU29:JGV29"/>
    <mergeCell ref="JFY29:JFZ29"/>
    <mergeCell ref="JGA29:JGB29"/>
    <mergeCell ref="JGC29:JGD29"/>
    <mergeCell ref="JGE29:JGF29"/>
    <mergeCell ref="JGG29:JGH29"/>
    <mergeCell ref="JGI29:JGJ29"/>
    <mergeCell ref="JFM29:JFN29"/>
    <mergeCell ref="JFO29:JFP29"/>
    <mergeCell ref="JFQ29:JFR29"/>
    <mergeCell ref="JFS29:JFT29"/>
    <mergeCell ref="JFU29:JFV29"/>
    <mergeCell ref="JFW29:JFX29"/>
    <mergeCell ref="JKO29:JKP29"/>
    <mergeCell ref="JKQ29:JKR29"/>
    <mergeCell ref="JKS29:JKT29"/>
    <mergeCell ref="JKU29:JKV29"/>
    <mergeCell ref="JKW29:JKX29"/>
    <mergeCell ref="JKY29:JKZ29"/>
    <mergeCell ref="JKC29:JKD29"/>
    <mergeCell ref="JKE29:JKF29"/>
    <mergeCell ref="JKG29:JKH29"/>
    <mergeCell ref="JKI29:JKJ29"/>
    <mergeCell ref="JKK29:JKL29"/>
    <mergeCell ref="JKM29:JKN29"/>
    <mergeCell ref="JJQ29:JJR29"/>
    <mergeCell ref="JJS29:JJT29"/>
    <mergeCell ref="JJU29:JJV29"/>
    <mergeCell ref="JJW29:JJX29"/>
    <mergeCell ref="JJY29:JJZ29"/>
    <mergeCell ref="JKA29:JKB29"/>
    <mergeCell ref="JJE29:JJF29"/>
    <mergeCell ref="JJG29:JJH29"/>
    <mergeCell ref="JJI29:JJJ29"/>
    <mergeCell ref="JJK29:JJL29"/>
    <mergeCell ref="JJM29:JJN29"/>
    <mergeCell ref="JJO29:JJP29"/>
    <mergeCell ref="JIS29:JIT29"/>
    <mergeCell ref="JIU29:JIV29"/>
    <mergeCell ref="JIW29:JIX29"/>
    <mergeCell ref="JIY29:JIZ29"/>
    <mergeCell ref="JJA29:JJB29"/>
    <mergeCell ref="JJC29:JJD29"/>
    <mergeCell ref="JIG29:JIH29"/>
    <mergeCell ref="JII29:JIJ29"/>
    <mergeCell ref="JIK29:JIL29"/>
    <mergeCell ref="JIM29:JIN29"/>
    <mergeCell ref="JIO29:JIP29"/>
    <mergeCell ref="JIQ29:JIR29"/>
    <mergeCell ref="JNI29:JNJ29"/>
    <mergeCell ref="JNK29:JNL29"/>
    <mergeCell ref="JNM29:JNN29"/>
    <mergeCell ref="JNO29:JNP29"/>
    <mergeCell ref="JNQ29:JNR29"/>
    <mergeCell ref="JNS29:JNT29"/>
    <mergeCell ref="JMW29:JMX29"/>
    <mergeCell ref="JMY29:JMZ29"/>
    <mergeCell ref="JNA29:JNB29"/>
    <mergeCell ref="JNC29:JND29"/>
    <mergeCell ref="JNE29:JNF29"/>
    <mergeCell ref="JNG29:JNH29"/>
    <mergeCell ref="JMK29:JML29"/>
    <mergeCell ref="JMM29:JMN29"/>
    <mergeCell ref="JMO29:JMP29"/>
    <mergeCell ref="JMQ29:JMR29"/>
    <mergeCell ref="JMS29:JMT29"/>
    <mergeCell ref="JMU29:JMV29"/>
    <mergeCell ref="JLY29:JLZ29"/>
    <mergeCell ref="JMA29:JMB29"/>
    <mergeCell ref="JMC29:JMD29"/>
    <mergeCell ref="JME29:JMF29"/>
    <mergeCell ref="JMG29:JMH29"/>
    <mergeCell ref="JMI29:JMJ29"/>
    <mergeCell ref="JLM29:JLN29"/>
    <mergeCell ref="JLO29:JLP29"/>
    <mergeCell ref="JLQ29:JLR29"/>
    <mergeCell ref="JLS29:JLT29"/>
    <mergeCell ref="JLU29:JLV29"/>
    <mergeCell ref="JLW29:JLX29"/>
    <mergeCell ref="JLA29:JLB29"/>
    <mergeCell ref="JLC29:JLD29"/>
    <mergeCell ref="JLE29:JLF29"/>
    <mergeCell ref="JLG29:JLH29"/>
    <mergeCell ref="JLI29:JLJ29"/>
    <mergeCell ref="JLK29:JLL29"/>
    <mergeCell ref="JQC29:JQD29"/>
    <mergeCell ref="JQE29:JQF29"/>
    <mergeCell ref="JQG29:JQH29"/>
    <mergeCell ref="JQI29:JQJ29"/>
    <mergeCell ref="JQK29:JQL29"/>
    <mergeCell ref="JQM29:JQN29"/>
    <mergeCell ref="JPQ29:JPR29"/>
    <mergeCell ref="JPS29:JPT29"/>
    <mergeCell ref="JPU29:JPV29"/>
    <mergeCell ref="JPW29:JPX29"/>
    <mergeCell ref="JPY29:JPZ29"/>
    <mergeCell ref="JQA29:JQB29"/>
    <mergeCell ref="JPE29:JPF29"/>
    <mergeCell ref="JPG29:JPH29"/>
    <mergeCell ref="JPI29:JPJ29"/>
    <mergeCell ref="JPK29:JPL29"/>
    <mergeCell ref="JPM29:JPN29"/>
    <mergeCell ref="JPO29:JPP29"/>
    <mergeCell ref="JOS29:JOT29"/>
    <mergeCell ref="JOU29:JOV29"/>
    <mergeCell ref="JOW29:JOX29"/>
    <mergeCell ref="JOY29:JOZ29"/>
    <mergeCell ref="JPA29:JPB29"/>
    <mergeCell ref="JPC29:JPD29"/>
    <mergeCell ref="JOG29:JOH29"/>
    <mergeCell ref="JOI29:JOJ29"/>
    <mergeCell ref="JOK29:JOL29"/>
    <mergeCell ref="JOM29:JON29"/>
    <mergeCell ref="JOO29:JOP29"/>
    <mergeCell ref="JOQ29:JOR29"/>
    <mergeCell ref="JNU29:JNV29"/>
    <mergeCell ref="JNW29:JNX29"/>
    <mergeCell ref="JNY29:JNZ29"/>
    <mergeCell ref="JOA29:JOB29"/>
    <mergeCell ref="JOC29:JOD29"/>
    <mergeCell ref="JOE29:JOF29"/>
    <mergeCell ref="JSW29:JSX29"/>
    <mergeCell ref="JSY29:JSZ29"/>
    <mergeCell ref="JTA29:JTB29"/>
    <mergeCell ref="JTC29:JTD29"/>
    <mergeCell ref="JTE29:JTF29"/>
    <mergeCell ref="JTG29:JTH29"/>
    <mergeCell ref="JSK29:JSL29"/>
    <mergeCell ref="JSM29:JSN29"/>
    <mergeCell ref="JSO29:JSP29"/>
    <mergeCell ref="JSQ29:JSR29"/>
    <mergeCell ref="JSS29:JST29"/>
    <mergeCell ref="JSU29:JSV29"/>
    <mergeCell ref="JRY29:JRZ29"/>
    <mergeCell ref="JSA29:JSB29"/>
    <mergeCell ref="JSC29:JSD29"/>
    <mergeCell ref="JSE29:JSF29"/>
    <mergeCell ref="JSG29:JSH29"/>
    <mergeCell ref="JSI29:JSJ29"/>
    <mergeCell ref="JRM29:JRN29"/>
    <mergeCell ref="JRO29:JRP29"/>
    <mergeCell ref="JRQ29:JRR29"/>
    <mergeCell ref="JRS29:JRT29"/>
    <mergeCell ref="JRU29:JRV29"/>
    <mergeCell ref="JRW29:JRX29"/>
    <mergeCell ref="JRA29:JRB29"/>
    <mergeCell ref="JRC29:JRD29"/>
    <mergeCell ref="JRE29:JRF29"/>
    <mergeCell ref="JRG29:JRH29"/>
    <mergeCell ref="JRI29:JRJ29"/>
    <mergeCell ref="JRK29:JRL29"/>
    <mergeCell ref="JQO29:JQP29"/>
    <mergeCell ref="JQQ29:JQR29"/>
    <mergeCell ref="JQS29:JQT29"/>
    <mergeCell ref="JQU29:JQV29"/>
    <mergeCell ref="JQW29:JQX29"/>
    <mergeCell ref="JQY29:JQZ29"/>
    <mergeCell ref="JVQ29:JVR29"/>
    <mergeCell ref="JVS29:JVT29"/>
    <mergeCell ref="JVU29:JVV29"/>
    <mergeCell ref="JVW29:JVX29"/>
    <mergeCell ref="JVY29:JVZ29"/>
    <mergeCell ref="JWA29:JWB29"/>
    <mergeCell ref="JVE29:JVF29"/>
    <mergeCell ref="JVG29:JVH29"/>
    <mergeCell ref="JVI29:JVJ29"/>
    <mergeCell ref="JVK29:JVL29"/>
    <mergeCell ref="JVM29:JVN29"/>
    <mergeCell ref="JVO29:JVP29"/>
    <mergeCell ref="JUS29:JUT29"/>
    <mergeCell ref="JUU29:JUV29"/>
    <mergeCell ref="JUW29:JUX29"/>
    <mergeCell ref="JUY29:JUZ29"/>
    <mergeCell ref="JVA29:JVB29"/>
    <mergeCell ref="JVC29:JVD29"/>
    <mergeCell ref="JUG29:JUH29"/>
    <mergeCell ref="JUI29:JUJ29"/>
    <mergeCell ref="JUK29:JUL29"/>
    <mergeCell ref="JUM29:JUN29"/>
    <mergeCell ref="JUO29:JUP29"/>
    <mergeCell ref="JUQ29:JUR29"/>
    <mergeCell ref="JTU29:JTV29"/>
    <mergeCell ref="JTW29:JTX29"/>
    <mergeCell ref="JTY29:JTZ29"/>
    <mergeCell ref="JUA29:JUB29"/>
    <mergeCell ref="JUC29:JUD29"/>
    <mergeCell ref="JUE29:JUF29"/>
    <mergeCell ref="JTI29:JTJ29"/>
    <mergeCell ref="JTK29:JTL29"/>
    <mergeCell ref="JTM29:JTN29"/>
    <mergeCell ref="JTO29:JTP29"/>
    <mergeCell ref="JTQ29:JTR29"/>
    <mergeCell ref="JTS29:JTT29"/>
    <mergeCell ref="JYK29:JYL29"/>
    <mergeCell ref="JYM29:JYN29"/>
    <mergeCell ref="JYO29:JYP29"/>
    <mergeCell ref="JYQ29:JYR29"/>
    <mergeCell ref="JYS29:JYT29"/>
    <mergeCell ref="JYU29:JYV29"/>
    <mergeCell ref="JXY29:JXZ29"/>
    <mergeCell ref="JYA29:JYB29"/>
    <mergeCell ref="JYC29:JYD29"/>
    <mergeCell ref="JYE29:JYF29"/>
    <mergeCell ref="JYG29:JYH29"/>
    <mergeCell ref="JYI29:JYJ29"/>
    <mergeCell ref="JXM29:JXN29"/>
    <mergeCell ref="JXO29:JXP29"/>
    <mergeCell ref="JXQ29:JXR29"/>
    <mergeCell ref="JXS29:JXT29"/>
    <mergeCell ref="JXU29:JXV29"/>
    <mergeCell ref="JXW29:JXX29"/>
    <mergeCell ref="JXA29:JXB29"/>
    <mergeCell ref="JXC29:JXD29"/>
    <mergeCell ref="JXE29:JXF29"/>
    <mergeCell ref="JXG29:JXH29"/>
    <mergeCell ref="JXI29:JXJ29"/>
    <mergeCell ref="JXK29:JXL29"/>
    <mergeCell ref="JWO29:JWP29"/>
    <mergeCell ref="JWQ29:JWR29"/>
    <mergeCell ref="JWS29:JWT29"/>
    <mergeCell ref="JWU29:JWV29"/>
    <mergeCell ref="JWW29:JWX29"/>
    <mergeCell ref="JWY29:JWZ29"/>
    <mergeCell ref="JWC29:JWD29"/>
    <mergeCell ref="JWE29:JWF29"/>
    <mergeCell ref="JWG29:JWH29"/>
    <mergeCell ref="JWI29:JWJ29"/>
    <mergeCell ref="JWK29:JWL29"/>
    <mergeCell ref="JWM29:JWN29"/>
    <mergeCell ref="KBE29:KBF29"/>
    <mergeCell ref="KBG29:KBH29"/>
    <mergeCell ref="KBI29:KBJ29"/>
    <mergeCell ref="KBK29:KBL29"/>
    <mergeCell ref="KBM29:KBN29"/>
    <mergeCell ref="KBO29:KBP29"/>
    <mergeCell ref="KAS29:KAT29"/>
    <mergeCell ref="KAU29:KAV29"/>
    <mergeCell ref="KAW29:KAX29"/>
    <mergeCell ref="KAY29:KAZ29"/>
    <mergeCell ref="KBA29:KBB29"/>
    <mergeCell ref="KBC29:KBD29"/>
    <mergeCell ref="KAG29:KAH29"/>
    <mergeCell ref="KAI29:KAJ29"/>
    <mergeCell ref="KAK29:KAL29"/>
    <mergeCell ref="KAM29:KAN29"/>
    <mergeCell ref="KAO29:KAP29"/>
    <mergeCell ref="KAQ29:KAR29"/>
    <mergeCell ref="JZU29:JZV29"/>
    <mergeCell ref="JZW29:JZX29"/>
    <mergeCell ref="JZY29:JZZ29"/>
    <mergeCell ref="KAA29:KAB29"/>
    <mergeCell ref="KAC29:KAD29"/>
    <mergeCell ref="KAE29:KAF29"/>
    <mergeCell ref="JZI29:JZJ29"/>
    <mergeCell ref="JZK29:JZL29"/>
    <mergeCell ref="JZM29:JZN29"/>
    <mergeCell ref="JZO29:JZP29"/>
    <mergeCell ref="JZQ29:JZR29"/>
    <mergeCell ref="JZS29:JZT29"/>
    <mergeCell ref="JYW29:JYX29"/>
    <mergeCell ref="JYY29:JYZ29"/>
    <mergeCell ref="JZA29:JZB29"/>
    <mergeCell ref="JZC29:JZD29"/>
    <mergeCell ref="JZE29:JZF29"/>
    <mergeCell ref="JZG29:JZH29"/>
    <mergeCell ref="KDY29:KDZ29"/>
    <mergeCell ref="KEA29:KEB29"/>
    <mergeCell ref="KEC29:KED29"/>
    <mergeCell ref="KEE29:KEF29"/>
    <mergeCell ref="KEG29:KEH29"/>
    <mergeCell ref="KEI29:KEJ29"/>
    <mergeCell ref="KDM29:KDN29"/>
    <mergeCell ref="KDO29:KDP29"/>
    <mergeCell ref="KDQ29:KDR29"/>
    <mergeCell ref="KDS29:KDT29"/>
    <mergeCell ref="KDU29:KDV29"/>
    <mergeCell ref="KDW29:KDX29"/>
    <mergeCell ref="KDA29:KDB29"/>
    <mergeCell ref="KDC29:KDD29"/>
    <mergeCell ref="KDE29:KDF29"/>
    <mergeCell ref="KDG29:KDH29"/>
    <mergeCell ref="KDI29:KDJ29"/>
    <mergeCell ref="KDK29:KDL29"/>
    <mergeCell ref="KCO29:KCP29"/>
    <mergeCell ref="KCQ29:KCR29"/>
    <mergeCell ref="KCS29:KCT29"/>
    <mergeCell ref="KCU29:KCV29"/>
    <mergeCell ref="KCW29:KCX29"/>
    <mergeCell ref="KCY29:KCZ29"/>
    <mergeCell ref="KCC29:KCD29"/>
    <mergeCell ref="KCE29:KCF29"/>
    <mergeCell ref="KCG29:KCH29"/>
    <mergeCell ref="KCI29:KCJ29"/>
    <mergeCell ref="KCK29:KCL29"/>
    <mergeCell ref="KCM29:KCN29"/>
    <mergeCell ref="KBQ29:KBR29"/>
    <mergeCell ref="KBS29:KBT29"/>
    <mergeCell ref="KBU29:KBV29"/>
    <mergeCell ref="KBW29:KBX29"/>
    <mergeCell ref="KBY29:KBZ29"/>
    <mergeCell ref="KCA29:KCB29"/>
    <mergeCell ref="KGS29:KGT29"/>
    <mergeCell ref="KGU29:KGV29"/>
    <mergeCell ref="KGW29:KGX29"/>
    <mergeCell ref="KGY29:KGZ29"/>
    <mergeCell ref="KHA29:KHB29"/>
    <mergeCell ref="KHC29:KHD29"/>
    <mergeCell ref="KGG29:KGH29"/>
    <mergeCell ref="KGI29:KGJ29"/>
    <mergeCell ref="KGK29:KGL29"/>
    <mergeCell ref="KGM29:KGN29"/>
    <mergeCell ref="KGO29:KGP29"/>
    <mergeCell ref="KGQ29:KGR29"/>
    <mergeCell ref="KFU29:KFV29"/>
    <mergeCell ref="KFW29:KFX29"/>
    <mergeCell ref="KFY29:KFZ29"/>
    <mergeCell ref="KGA29:KGB29"/>
    <mergeCell ref="KGC29:KGD29"/>
    <mergeCell ref="KGE29:KGF29"/>
    <mergeCell ref="KFI29:KFJ29"/>
    <mergeCell ref="KFK29:KFL29"/>
    <mergeCell ref="KFM29:KFN29"/>
    <mergeCell ref="KFO29:KFP29"/>
    <mergeCell ref="KFQ29:KFR29"/>
    <mergeCell ref="KFS29:KFT29"/>
    <mergeCell ref="KEW29:KEX29"/>
    <mergeCell ref="KEY29:KEZ29"/>
    <mergeCell ref="KFA29:KFB29"/>
    <mergeCell ref="KFC29:KFD29"/>
    <mergeCell ref="KFE29:KFF29"/>
    <mergeCell ref="KFG29:KFH29"/>
    <mergeCell ref="KEK29:KEL29"/>
    <mergeCell ref="KEM29:KEN29"/>
    <mergeCell ref="KEO29:KEP29"/>
    <mergeCell ref="KEQ29:KER29"/>
    <mergeCell ref="KES29:KET29"/>
    <mergeCell ref="KEU29:KEV29"/>
    <mergeCell ref="KJM29:KJN29"/>
    <mergeCell ref="KJO29:KJP29"/>
    <mergeCell ref="KJQ29:KJR29"/>
    <mergeCell ref="KJS29:KJT29"/>
    <mergeCell ref="KJU29:KJV29"/>
    <mergeCell ref="KJW29:KJX29"/>
    <mergeCell ref="KJA29:KJB29"/>
    <mergeCell ref="KJC29:KJD29"/>
    <mergeCell ref="KJE29:KJF29"/>
    <mergeCell ref="KJG29:KJH29"/>
    <mergeCell ref="KJI29:KJJ29"/>
    <mergeCell ref="KJK29:KJL29"/>
    <mergeCell ref="KIO29:KIP29"/>
    <mergeCell ref="KIQ29:KIR29"/>
    <mergeCell ref="KIS29:KIT29"/>
    <mergeCell ref="KIU29:KIV29"/>
    <mergeCell ref="KIW29:KIX29"/>
    <mergeCell ref="KIY29:KIZ29"/>
    <mergeCell ref="KIC29:KID29"/>
    <mergeCell ref="KIE29:KIF29"/>
    <mergeCell ref="KIG29:KIH29"/>
    <mergeCell ref="KII29:KIJ29"/>
    <mergeCell ref="KIK29:KIL29"/>
    <mergeCell ref="KIM29:KIN29"/>
    <mergeCell ref="KHQ29:KHR29"/>
    <mergeCell ref="KHS29:KHT29"/>
    <mergeCell ref="KHU29:KHV29"/>
    <mergeCell ref="KHW29:KHX29"/>
    <mergeCell ref="KHY29:KHZ29"/>
    <mergeCell ref="KIA29:KIB29"/>
    <mergeCell ref="KHE29:KHF29"/>
    <mergeCell ref="KHG29:KHH29"/>
    <mergeCell ref="KHI29:KHJ29"/>
    <mergeCell ref="KHK29:KHL29"/>
    <mergeCell ref="KHM29:KHN29"/>
    <mergeCell ref="KHO29:KHP29"/>
    <mergeCell ref="KMG29:KMH29"/>
    <mergeCell ref="KMI29:KMJ29"/>
    <mergeCell ref="KMK29:KML29"/>
    <mergeCell ref="KMM29:KMN29"/>
    <mergeCell ref="KMO29:KMP29"/>
    <mergeCell ref="KMQ29:KMR29"/>
    <mergeCell ref="KLU29:KLV29"/>
    <mergeCell ref="KLW29:KLX29"/>
    <mergeCell ref="KLY29:KLZ29"/>
    <mergeCell ref="KMA29:KMB29"/>
    <mergeCell ref="KMC29:KMD29"/>
    <mergeCell ref="KME29:KMF29"/>
    <mergeCell ref="KLI29:KLJ29"/>
    <mergeCell ref="KLK29:KLL29"/>
    <mergeCell ref="KLM29:KLN29"/>
    <mergeCell ref="KLO29:KLP29"/>
    <mergeCell ref="KLQ29:KLR29"/>
    <mergeCell ref="KLS29:KLT29"/>
    <mergeCell ref="KKW29:KKX29"/>
    <mergeCell ref="KKY29:KKZ29"/>
    <mergeCell ref="KLA29:KLB29"/>
    <mergeCell ref="KLC29:KLD29"/>
    <mergeCell ref="KLE29:KLF29"/>
    <mergeCell ref="KLG29:KLH29"/>
    <mergeCell ref="KKK29:KKL29"/>
    <mergeCell ref="KKM29:KKN29"/>
    <mergeCell ref="KKO29:KKP29"/>
    <mergeCell ref="KKQ29:KKR29"/>
    <mergeCell ref="KKS29:KKT29"/>
    <mergeCell ref="KKU29:KKV29"/>
    <mergeCell ref="KJY29:KJZ29"/>
    <mergeCell ref="KKA29:KKB29"/>
    <mergeCell ref="KKC29:KKD29"/>
    <mergeCell ref="KKE29:KKF29"/>
    <mergeCell ref="KKG29:KKH29"/>
    <mergeCell ref="KKI29:KKJ29"/>
    <mergeCell ref="KPA29:KPB29"/>
    <mergeCell ref="KPC29:KPD29"/>
    <mergeCell ref="KPE29:KPF29"/>
    <mergeCell ref="KPG29:KPH29"/>
    <mergeCell ref="KPI29:KPJ29"/>
    <mergeCell ref="KPK29:KPL29"/>
    <mergeCell ref="KOO29:KOP29"/>
    <mergeCell ref="KOQ29:KOR29"/>
    <mergeCell ref="KOS29:KOT29"/>
    <mergeCell ref="KOU29:KOV29"/>
    <mergeCell ref="KOW29:KOX29"/>
    <mergeCell ref="KOY29:KOZ29"/>
    <mergeCell ref="KOC29:KOD29"/>
    <mergeCell ref="KOE29:KOF29"/>
    <mergeCell ref="KOG29:KOH29"/>
    <mergeCell ref="KOI29:KOJ29"/>
    <mergeCell ref="KOK29:KOL29"/>
    <mergeCell ref="KOM29:KON29"/>
    <mergeCell ref="KNQ29:KNR29"/>
    <mergeCell ref="KNS29:KNT29"/>
    <mergeCell ref="KNU29:KNV29"/>
    <mergeCell ref="KNW29:KNX29"/>
    <mergeCell ref="KNY29:KNZ29"/>
    <mergeCell ref="KOA29:KOB29"/>
    <mergeCell ref="KNE29:KNF29"/>
    <mergeCell ref="KNG29:KNH29"/>
    <mergeCell ref="KNI29:KNJ29"/>
    <mergeCell ref="KNK29:KNL29"/>
    <mergeCell ref="KNM29:KNN29"/>
    <mergeCell ref="KNO29:KNP29"/>
    <mergeCell ref="KMS29:KMT29"/>
    <mergeCell ref="KMU29:KMV29"/>
    <mergeCell ref="KMW29:KMX29"/>
    <mergeCell ref="KMY29:KMZ29"/>
    <mergeCell ref="KNA29:KNB29"/>
    <mergeCell ref="KNC29:KND29"/>
    <mergeCell ref="KRU29:KRV29"/>
    <mergeCell ref="KRW29:KRX29"/>
    <mergeCell ref="KRY29:KRZ29"/>
    <mergeCell ref="KSA29:KSB29"/>
    <mergeCell ref="KSC29:KSD29"/>
    <mergeCell ref="KSE29:KSF29"/>
    <mergeCell ref="KRI29:KRJ29"/>
    <mergeCell ref="KRK29:KRL29"/>
    <mergeCell ref="KRM29:KRN29"/>
    <mergeCell ref="KRO29:KRP29"/>
    <mergeCell ref="KRQ29:KRR29"/>
    <mergeCell ref="KRS29:KRT29"/>
    <mergeCell ref="KQW29:KQX29"/>
    <mergeCell ref="KQY29:KQZ29"/>
    <mergeCell ref="KRA29:KRB29"/>
    <mergeCell ref="KRC29:KRD29"/>
    <mergeCell ref="KRE29:KRF29"/>
    <mergeCell ref="KRG29:KRH29"/>
    <mergeCell ref="KQK29:KQL29"/>
    <mergeCell ref="KQM29:KQN29"/>
    <mergeCell ref="KQO29:KQP29"/>
    <mergeCell ref="KQQ29:KQR29"/>
    <mergeCell ref="KQS29:KQT29"/>
    <mergeCell ref="KQU29:KQV29"/>
    <mergeCell ref="KPY29:KPZ29"/>
    <mergeCell ref="KQA29:KQB29"/>
    <mergeCell ref="KQC29:KQD29"/>
    <mergeCell ref="KQE29:KQF29"/>
    <mergeCell ref="KQG29:KQH29"/>
    <mergeCell ref="KQI29:KQJ29"/>
    <mergeCell ref="KPM29:KPN29"/>
    <mergeCell ref="KPO29:KPP29"/>
    <mergeCell ref="KPQ29:KPR29"/>
    <mergeCell ref="KPS29:KPT29"/>
    <mergeCell ref="KPU29:KPV29"/>
    <mergeCell ref="KPW29:KPX29"/>
    <mergeCell ref="KUO29:KUP29"/>
    <mergeCell ref="KUQ29:KUR29"/>
    <mergeCell ref="KUS29:KUT29"/>
    <mergeCell ref="KUU29:KUV29"/>
    <mergeCell ref="KUW29:KUX29"/>
    <mergeCell ref="KUY29:KUZ29"/>
    <mergeCell ref="KUC29:KUD29"/>
    <mergeCell ref="KUE29:KUF29"/>
    <mergeCell ref="KUG29:KUH29"/>
    <mergeCell ref="KUI29:KUJ29"/>
    <mergeCell ref="KUK29:KUL29"/>
    <mergeCell ref="KUM29:KUN29"/>
    <mergeCell ref="KTQ29:KTR29"/>
    <mergeCell ref="KTS29:KTT29"/>
    <mergeCell ref="KTU29:KTV29"/>
    <mergeCell ref="KTW29:KTX29"/>
    <mergeCell ref="KTY29:KTZ29"/>
    <mergeCell ref="KUA29:KUB29"/>
    <mergeCell ref="KTE29:KTF29"/>
    <mergeCell ref="KTG29:KTH29"/>
    <mergeCell ref="KTI29:KTJ29"/>
    <mergeCell ref="KTK29:KTL29"/>
    <mergeCell ref="KTM29:KTN29"/>
    <mergeCell ref="KTO29:KTP29"/>
    <mergeCell ref="KSS29:KST29"/>
    <mergeCell ref="KSU29:KSV29"/>
    <mergeCell ref="KSW29:KSX29"/>
    <mergeCell ref="KSY29:KSZ29"/>
    <mergeCell ref="KTA29:KTB29"/>
    <mergeCell ref="KTC29:KTD29"/>
    <mergeCell ref="KSG29:KSH29"/>
    <mergeCell ref="KSI29:KSJ29"/>
    <mergeCell ref="KSK29:KSL29"/>
    <mergeCell ref="KSM29:KSN29"/>
    <mergeCell ref="KSO29:KSP29"/>
    <mergeCell ref="KSQ29:KSR29"/>
    <mergeCell ref="KXI29:KXJ29"/>
    <mergeCell ref="KXK29:KXL29"/>
    <mergeCell ref="KXM29:KXN29"/>
    <mergeCell ref="KXO29:KXP29"/>
    <mergeCell ref="KXQ29:KXR29"/>
    <mergeCell ref="KXS29:KXT29"/>
    <mergeCell ref="KWW29:KWX29"/>
    <mergeCell ref="KWY29:KWZ29"/>
    <mergeCell ref="KXA29:KXB29"/>
    <mergeCell ref="KXC29:KXD29"/>
    <mergeCell ref="KXE29:KXF29"/>
    <mergeCell ref="KXG29:KXH29"/>
    <mergeCell ref="KWK29:KWL29"/>
    <mergeCell ref="KWM29:KWN29"/>
    <mergeCell ref="KWO29:KWP29"/>
    <mergeCell ref="KWQ29:KWR29"/>
    <mergeCell ref="KWS29:KWT29"/>
    <mergeCell ref="KWU29:KWV29"/>
    <mergeCell ref="KVY29:KVZ29"/>
    <mergeCell ref="KWA29:KWB29"/>
    <mergeCell ref="KWC29:KWD29"/>
    <mergeCell ref="KWE29:KWF29"/>
    <mergeCell ref="KWG29:KWH29"/>
    <mergeCell ref="KWI29:KWJ29"/>
    <mergeCell ref="KVM29:KVN29"/>
    <mergeCell ref="KVO29:KVP29"/>
    <mergeCell ref="KVQ29:KVR29"/>
    <mergeCell ref="KVS29:KVT29"/>
    <mergeCell ref="KVU29:KVV29"/>
    <mergeCell ref="KVW29:KVX29"/>
    <mergeCell ref="KVA29:KVB29"/>
    <mergeCell ref="KVC29:KVD29"/>
    <mergeCell ref="KVE29:KVF29"/>
    <mergeCell ref="KVG29:KVH29"/>
    <mergeCell ref="KVI29:KVJ29"/>
    <mergeCell ref="KVK29:KVL29"/>
    <mergeCell ref="LAC29:LAD29"/>
    <mergeCell ref="LAE29:LAF29"/>
    <mergeCell ref="LAG29:LAH29"/>
    <mergeCell ref="LAI29:LAJ29"/>
    <mergeCell ref="LAK29:LAL29"/>
    <mergeCell ref="LAM29:LAN29"/>
    <mergeCell ref="KZQ29:KZR29"/>
    <mergeCell ref="KZS29:KZT29"/>
    <mergeCell ref="KZU29:KZV29"/>
    <mergeCell ref="KZW29:KZX29"/>
    <mergeCell ref="KZY29:KZZ29"/>
    <mergeCell ref="LAA29:LAB29"/>
    <mergeCell ref="KZE29:KZF29"/>
    <mergeCell ref="KZG29:KZH29"/>
    <mergeCell ref="KZI29:KZJ29"/>
    <mergeCell ref="KZK29:KZL29"/>
    <mergeCell ref="KZM29:KZN29"/>
    <mergeCell ref="KZO29:KZP29"/>
    <mergeCell ref="KYS29:KYT29"/>
    <mergeCell ref="KYU29:KYV29"/>
    <mergeCell ref="KYW29:KYX29"/>
    <mergeCell ref="KYY29:KYZ29"/>
    <mergeCell ref="KZA29:KZB29"/>
    <mergeCell ref="KZC29:KZD29"/>
    <mergeCell ref="KYG29:KYH29"/>
    <mergeCell ref="KYI29:KYJ29"/>
    <mergeCell ref="KYK29:KYL29"/>
    <mergeCell ref="KYM29:KYN29"/>
    <mergeCell ref="KYO29:KYP29"/>
    <mergeCell ref="KYQ29:KYR29"/>
    <mergeCell ref="KXU29:KXV29"/>
    <mergeCell ref="KXW29:KXX29"/>
    <mergeCell ref="KXY29:KXZ29"/>
    <mergeCell ref="KYA29:KYB29"/>
    <mergeCell ref="KYC29:KYD29"/>
    <mergeCell ref="KYE29:KYF29"/>
    <mergeCell ref="LCW29:LCX29"/>
    <mergeCell ref="LCY29:LCZ29"/>
    <mergeCell ref="LDA29:LDB29"/>
    <mergeCell ref="LDC29:LDD29"/>
    <mergeCell ref="LDE29:LDF29"/>
    <mergeCell ref="LDG29:LDH29"/>
    <mergeCell ref="LCK29:LCL29"/>
    <mergeCell ref="LCM29:LCN29"/>
    <mergeCell ref="LCO29:LCP29"/>
    <mergeCell ref="LCQ29:LCR29"/>
    <mergeCell ref="LCS29:LCT29"/>
    <mergeCell ref="LCU29:LCV29"/>
    <mergeCell ref="LBY29:LBZ29"/>
    <mergeCell ref="LCA29:LCB29"/>
    <mergeCell ref="LCC29:LCD29"/>
    <mergeCell ref="LCE29:LCF29"/>
    <mergeCell ref="LCG29:LCH29"/>
    <mergeCell ref="LCI29:LCJ29"/>
    <mergeCell ref="LBM29:LBN29"/>
    <mergeCell ref="LBO29:LBP29"/>
    <mergeCell ref="LBQ29:LBR29"/>
    <mergeCell ref="LBS29:LBT29"/>
    <mergeCell ref="LBU29:LBV29"/>
    <mergeCell ref="LBW29:LBX29"/>
    <mergeCell ref="LBA29:LBB29"/>
    <mergeCell ref="LBC29:LBD29"/>
    <mergeCell ref="LBE29:LBF29"/>
    <mergeCell ref="LBG29:LBH29"/>
    <mergeCell ref="LBI29:LBJ29"/>
    <mergeCell ref="LBK29:LBL29"/>
    <mergeCell ref="LAO29:LAP29"/>
    <mergeCell ref="LAQ29:LAR29"/>
    <mergeCell ref="LAS29:LAT29"/>
    <mergeCell ref="LAU29:LAV29"/>
    <mergeCell ref="LAW29:LAX29"/>
    <mergeCell ref="LAY29:LAZ29"/>
    <mergeCell ref="LFQ29:LFR29"/>
    <mergeCell ref="LFS29:LFT29"/>
    <mergeCell ref="LFU29:LFV29"/>
    <mergeCell ref="LFW29:LFX29"/>
    <mergeCell ref="LFY29:LFZ29"/>
    <mergeCell ref="LGA29:LGB29"/>
    <mergeCell ref="LFE29:LFF29"/>
    <mergeCell ref="LFG29:LFH29"/>
    <mergeCell ref="LFI29:LFJ29"/>
    <mergeCell ref="LFK29:LFL29"/>
    <mergeCell ref="LFM29:LFN29"/>
    <mergeCell ref="LFO29:LFP29"/>
    <mergeCell ref="LES29:LET29"/>
    <mergeCell ref="LEU29:LEV29"/>
    <mergeCell ref="LEW29:LEX29"/>
    <mergeCell ref="LEY29:LEZ29"/>
    <mergeCell ref="LFA29:LFB29"/>
    <mergeCell ref="LFC29:LFD29"/>
    <mergeCell ref="LEG29:LEH29"/>
    <mergeCell ref="LEI29:LEJ29"/>
    <mergeCell ref="LEK29:LEL29"/>
    <mergeCell ref="LEM29:LEN29"/>
    <mergeCell ref="LEO29:LEP29"/>
    <mergeCell ref="LEQ29:LER29"/>
    <mergeCell ref="LDU29:LDV29"/>
    <mergeCell ref="LDW29:LDX29"/>
    <mergeCell ref="LDY29:LDZ29"/>
    <mergeCell ref="LEA29:LEB29"/>
    <mergeCell ref="LEC29:LED29"/>
    <mergeCell ref="LEE29:LEF29"/>
    <mergeCell ref="LDI29:LDJ29"/>
    <mergeCell ref="LDK29:LDL29"/>
    <mergeCell ref="LDM29:LDN29"/>
    <mergeCell ref="LDO29:LDP29"/>
    <mergeCell ref="LDQ29:LDR29"/>
    <mergeCell ref="LDS29:LDT29"/>
    <mergeCell ref="LIK29:LIL29"/>
    <mergeCell ref="LIM29:LIN29"/>
    <mergeCell ref="LIO29:LIP29"/>
    <mergeCell ref="LIQ29:LIR29"/>
    <mergeCell ref="LIS29:LIT29"/>
    <mergeCell ref="LIU29:LIV29"/>
    <mergeCell ref="LHY29:LHZ29"/>
    <mergeCell ref="LIA29:LIB29"/>
    <mergeCell ref="LIC29:LID29"/>
    <mergeCell ref="LIE29:LIF29"/>
    <mergeCell ref="LIG29:LIH29"/>
    <mergeCell ref="LII29:LIJ29"/>
    <mergeCell ref="LHM29:LHN29"/>
    <mergeCell ref="LHO29:LHP29"/>
    <mergeCell ref="LHQ29:LHR29"/>
    <mergeCell ref="LHS29:LHT29"/>
    <mergeCell ref="LHU29:LHV29"/>
    <mergeCell ref="LHW29:LHX29"/>
    <mergeCell ref="LHA29:LHB29"/>
    <mergeCell ref="LHC29:LHD29"/>
    <mergeCell ref="LHE29:LHF29"/>
    <mergeCell ref="LHG29:LHH29"/>
    <mergeCell ref="LHI29:LHJ29"/>
    <mergeCell ref="LHK29:LHL29"/>
    <mergeCell ref="LGO29:LGP29"/>
    <mergeCell ref="LGQ29:LGR29"/>
    <mergeCell ref="LGS29:LGT29"/>
    <mergeCell ref="LGU29:LGV29"/>
    <mergeCell ref="LGW29:LGX29"/>
    <mergeCell ref="LGY29:LGZ29"/>
    <mergeCell ref="LGC29:LGD29"/>
    <mergeCell ref="LGE29:LGF29"/>
    <mergeCell ref="LGG29:LGH29"/>
    <mergeCell ref="LGI29:LGJ29"/>
    <mergeCell ref="LGK29:LGL29"/>
    <mergeCell ref="LGM29:LGN29"/>
    <mergeCell ref="LLE29:LLF29"/>
    <mergeCell ref="LLG29:LLH29"/>
    <mergeCell ref="LLI29:LLJ29"/>
    <mergeCell ref="LLK29:LLL29"/>
    <mergeCell ref="LLM29:LLN29"/>
    <mergeCell ref="LLO29:LLP29"/>
    <mergeCell ref="LKS29:LKT29"/>
    <mergeCell ref="LKU29:LKV29"/>
    <mergeCell ref="LKW29:LKX29"/>
    <mergeCell ref="LKY29:LKZ29"/>
    <mergeCell ref="LLA29:LLB29"/>
    <mergeCell ref="LLC29:LLD29"/>
    <mergeCell ref="LKG29:LKH29"/>
    <mergeCell ref="LKI29:LKJ29"/>
    <mergeCell ref="LKK29:LKL29"/>
    <mergeCell ref="LKM29:LKN29"/>
    <mergeCell ref="LKO29:LKP29"/>
    <mergeCell ref="LKQ29:LKR29"/>
    <mergeCell ref="LJU29:LJV29"/>
    <mergeCell ref="LJW29:LJX29"/>
    <mergeCell ref="LJY29:LJZ29"/>
    <mergeCell ref="LKA29:LKB29"/>
    <mergeCell ref="LKC29:LKD29"/>
    <mergeCell ref="LKE29:LKF29"/>
    <mergeCell ref="LJI29:LJJ29"/>
    <mergeCell ref="LJK29:LJL29"/>
    <mergeCell ref="LJM29:LJN29"/>
    <mergeCell ref="LJO29:LJP29"/>
    <mergeCell ref="LJQ29:LJR29"/>
    <mergeCell ref="LJS29:LJT29"/>
    <mergeCell ref="LIW29:LIX29"/>
    <mergeCell ref="LIY29:LIZ29"/>
    <mergeCell ref="LJA29:LJB29"/>
    <mergeCell ref="LJC29:LJD29"/>
    <mergeCell ref="LJE29:LJF29"/>
    <mergeCell ref="LJG29:LJH29"/>
    <mergeCell ref="LNY29:LNZ29"/>
    <mergeCell ref="LOA29:LOB29"/>
    <mergeCell ref="LOC29:LOD29"/>
    <mergeCell ref="LOE29:LOF29"/>
    <mergeCell ref="LOG29:LOH29"/>
    <mergeCell ref="LOI29:LOJ29"/>
    <mergeCell ref="LNM29:LNN29"/>
    <mergeCell ref="LNO29:LNP29"/>
    <mergeCell ref="LNQ29:LNR29"/>
    <mergeCell ref="LNS29:LNT29"/>
    <mergeCell ref="LNU29:LNV29"/>
    <mergeCell ref="LNW29:LNX29"/>
    <mergeCell ref="LNA29:LNB29"/>
    <mergeCell ref="LNC29:LND29"/>
    <mergeCell ref="LNE29:LNF29"/>
    <mergeCell ref="LNG29:LNH29"/>
    <mergeCell ref="LNI29:LNJ29"/>
    <mergeCell ref="LNK29:LNL29"/>
    <mergeCell ref="LMO29:LMP29"/>
    <mergeCell ref="LMQ29:LMR29"/>
    <mergeCell ref="LMS29:LMT29"/>
    <mergeCell ref="LMU29:LMV29"/>
    <mergeCell ref="LMW29:LMX29"/>
    <mergeCell ref="LMY29:LMZ29"/>
    <mergeCell ref="LMC29:LMD29"/>
    <mergeCell ref="LME29:LMF29"/>
    <mergeCell ref="LMG29:LMH29"/>
    <mergeCell ref="LMI29:LMJ29"/>
    <mergeCell ref="LMK29:LML29"/>
    <mergeCell ref="LMM29:LMN29"/>
    <mergeCell ref="LLQ29:LLR29"/>
    <mergeCell ref="LLS29:LLT29"/>
    <mergeCell ref="LLU29:LLV29"/>
    <mergeCell ref="LLW29:LLX29"/>
    <mergeCell ref="LLY29:LLZ29"/>
    <mergeCell ref="LMA29:LMB29"/>
    <mergeCell ref="LQS29:LQT29"/>
    <mergeCell ref="LQU29:LQV29"/>
    <mergeCell ref="LQW29:LQX29"/>
    <mergeCell ref="LQY29:LQZ29"/>
    <mergeCell ref="LRA29:LRB29"/>
    <mergeCell ref="LRC29:LRD29"/>
    <mergeCell ref="LQG29:LQH29"/>
    <mergeCell ref="LQI29:LQJ29"/>
    <mergeCell ref="LQK29:LQL29"/>
    <mergeCell ref="LQM29:LQN29"/>
    <mergeCell ref="LQO29:LQP29"/>
    <mergeCell ref="LQQ29:LQR29"/>
    <mergeCell ref="LPU29:LPV29"/>
    <mergeCell ref="LPW29:LPX29"/>
    <mergeCell ref="LPY29:LPZ29"/>
    <mergeCell ref="LQA29:LQB29"/>
    <mergeCell ref="LQC29:LQD29"/>
    <mergeCell ref="LQE29:LQF29"/>
    <mergeCell ref="LPI29:LPJ29"/>
    <mergeCell ref="LPK29:LPL29"/>
    <mergeCell ref="LPM29:LPN29"/>
    <mergeCell ref="LPO29:LPP29"/>
    <mergeCell ref="LPQ29:LPR29"/>
    <mergeCell ref="LPS29:LPT29"/>
    <mergeCell ref="LOW29:LOX29"/>
    <mergeCell ref="LOY29:LOZ29"/>
    <mergeCell ref="LPA29:LPB29"/>
    <mergeCell ref="LPC29:LPD29"/>
    <mergeCell ref="LPE29:LPF29"/>
    <mergeCell ref="LPG29:LPH29"/>
    <mergeCell ref="LOK29:LOL29"/>
    <mergeCell ref="LOM29:LON29"/>
    <mergeCell ref="LOO29:LOP29"/>
    <mergeCell ref="LOQ29:LOR29"/>
    <mergeCell ref="LOS29:LOT29"/>
    <mergeCell ref="LOU29:LOV29"/>
    <mergeCell ref="LTM29:LTN29"/>
    <mergeCell ref="LTO29:LTP29"/>
    <mergeCell ref="LTQ29:LTR29"/>
    <mergeCell ref="LTS29:LTT29"/>
    <mergeCell ref="LTU29:LTV29"/>
    <mergeCell ref="LTW29:LTX29"/>
    <mergeCell ref="LTA29:LTB29"/>
    <mergeCell ref="LTC29:LTD29"/>
    <mergeCell ref="LTE29:LTF29"/>
    <mergeCell ref="LTG29:LTH29"/>
    <mergeCell ref="LTI29:LTJ29"/>
    <mergeCell ref="LTK29:LTL29"/>
    <mergeCell ref="LSO29:LSP29"/>
    <mergeCell ref="LSQ29:LSR29"/>
    <mergeCell ref="LSS29:LST29"/>
    <mergeCell ref="LSU29:LSV29"/>
    <mergeCell ref="LSW29:LSX29"/>
    <mergeCell ref="LSY29:LSZ29"/>
    <mergeCell ref="LSC29:LSD29"/>
    <mergeCell ref="LSE29:LSF29"/>
    <mergeCell ref="LSG29:LSH29"/>
    <mergeCell ref="LSI29:LSJ29"/>
    <mergeCell ref="LSK29:LSL29"/>
    <mergeCell ref="LSM29:LSN29"/>
    <mergeCell ref="LRQ29:LRR29"/>
    <mergeCell ref="LRS29:LRT29"/>
    <mergeCell ref="LRU29:LRV29"/>
    <mergeCell ref="LRW29:LRX29"/>
    <mergeCell ref="LRY29:LRZ29"/>
    <mergeCell ref="LSA29:LSB29"/>
    <mergeCell ref="LRE29:LRF29"/>
    <mergeCell ref="LRG29:LRH29"/>
    <mergeCell ref="LRI29:LRJ29"/>
    <mergeCell ref="LRK29:LRL29"/>
    <mergeCell ref="LRM29:LRN29"/>
    <mergeCell ref="LRO29:LRP29"/>
    <mergeCell ref="LWG29:LWH29"/>
    <mergeCell ref="LWI29:LWJ29"/>
    <mergeCell ref="LWK29:LWL29"/>
    <mergeCell ref="LWM29:LWN29"/>
    <mergeCell ref="LWO29:LWP29"/>
    <mergeCell ref="LWQ29:LWR29"/>
    <mergeCell ref="LVU29:LVV29"/>
    <mergeCell ref="LVW29:LVX29"/>
    <mergeCell ref="LVY29:LVZ29"/>
    <mergeCell ref="LWA29:LWB29"/>
    <mergeCell ref="LWC29:LWD29"/>
    <mergeCell ref="LWE29:LWF29"/>
    <mergeCell ref="LVI29:LVJ29"/>
    <mergeCell ref="LVK29:LVL29"/>
    <mergeCell ref="LVM29:LVN29"/>
    <mergeCell ref="LVO29:LVP29"/>
    <mergeCell ref="LVQ29:LVR29"/>
    <mergeCell ref="LVS29:LVT29"/>
    <mergeCell ref="LUW29:LUX29"/>
    <mergeCell ref="LUY29:LUZ29"/>
    <mergeCell ref="LVA29:LVB29"/>
    <mergeCell ref="LVC29:LVD29"/>
    <mergeCell ref="LVE29:LVF29"/>
    <mergeCell ref="LVG29:LVH29"/>
    <mergeCell ref="LUK29:LUL29"/>
    <mergeCell ref="LUM29:LUN29"/>
    <mergeCell ref="LUO29:LUP29"/>
    <mergeCell ref="LUQ29:LUR29"/>
    <mergeCell ref="LUS29:LUT29"/>
    <mergeCell ref="LUU29:LUV29"/>
    <mergeCell ref="LTY29:LTZ29"/>
    <mergeCell ref="LUA29:LUB29"/>
    <mergeCell ref="LUC29:LUD29"/>
    <mergeCell ref="LUE29:LUF29"/>
    <mergeCell ref="LUG29:LUH29"/>
    <mergeCell ref="LUI29:LUJ29"/>
    <mergeCell ref="LZA29:LZB29"/>
    <mergeCell ref="LZC29:LZD29"/>
    <mergeCell ref="LZE29:LZF29"/>
    <mergeCell ref="LZG29:LZH29"/>
    <mergeCell ref="LZI29:LZJ29"/>
    <mergeCell ref="LZK29:LZL29"/>
    <mergeCell ref="LYO29:LYP29"/>
    <mergeCell ref="LYQ29:LYR29"/>
    <mergeCell ref="LYS29:LYT29"/>
    <mergeCell ref="LYU29:LYV29"/>
    <mergeCell ref="LYW29:LYX29"/>
    <mergeCell ref="LYY29:LYZ29"/>
    <mergeCell ref="LYC29:LYD29"/>
    <mergeCell ref="LYE29:LYF29"/>
    <mergeCell ref="LYG29:LYH29"/>
    <mergeCell ref="LYI29:LYJ29"/>
    <mergeCell ref="LYK29:LYL29"/>
    <mergeCell ref="LYM29:LYN29"/>
    <mergeCell ref="LXQ29:LXR29"/>
    <mergeCell ref="LXS29:LXT29"/>
    <mergeCell ref="LXU29:LXV29"/>
    <mergeCell ref="LXW29:LXX29"/>
    <mergeCell ref="LXY29:LXZ29"/>
    <mergeCell ref="LYA29:LYB29"/>
    <mergeCell ref="LXE29:LXF29"/>
    <mergeCell ref="LXG29:LXH29"/>
    <mergeCell ref="LXI29:LXJ29"/>
    <mergeCell ref="LXK29:LXL29"/>
    <mergeCell ref="LXM29:LXN29"/>
    <mergeCell ref="LXO29:LXP29"/>
    <mergeCell ref="LWS29:LWT29"/>
    <mergeCell ref="LWU29:LWV29"/>
    <mergeCell ref="LWW29:LWX29"/>
    <mergeCell ref="LWY29:LWZ29"/>
    <mergeCell ref="LXA29:LXB29"/>
    <mergeCell ref="LXC29:LXD29"/>
    <mergeCell ref="MBU29:MBV29"/>
    <mergeCell ref="MBW29:MBX29"/>
    <mergeCell ref="MBY29:MBZ29"/>
    <mergeCell ref="MCA29:MCB29"/>
    <mergeCell ref="MCC29:MCD29"/>
    <mergeCell ref="MCE29:MCF29"/>
    <mergeCell ref="MBI29:MBJ29"/>
    <mergeCell ref="MBK29:MBL29"/>
    <mergeCell ref="MBM29:MBN29"/>
    <mergeCell ref="MBO29:MBP29"/>
    <mergeCell ref="MBQ29:MBR29"/>
    <mergeCell ref="MBS29:MBT29"/>
    <mergeCell ref="MAW29:MAX29"/>
    <mergeCell ref="MAY29:MAZ29"/>
    <mergeCell ref="MBA29:MBB29"/>
    <mergeCell ref="MBC29:MBD29"/>
    <mergeCell ref="MBE29:MBF29"/>
    <mergeCell ref="MBG29:MBH29"/>
    <mergeCell ref="MAK29:MAL29"/>
    <mergeCell ref="MAM29:MAN29"/>
    <mergeCell ref="MAO29:MAP29"/>
    <mergeCell ref="MAQ29:MAR29"/>
    <mergeCell ref="MAS29:MAT29"/>
    <mergeCell ref="MAU29:MAV29"/>
    <mergeCell ref="LZY29:LZZ29"/>
    <mergeCell ref="MAA29:MAB29"/>
    <mergeCell ref="MAC29:MAD29"/>
    <mergeCell ref="MAE29:MAF29"/>
    <mergeCell ref="MAG29:MAH29"/>
    <mergeCell ref="MAI29:MAJ29"/>
    <mergeCell ref="LZM29:LZN29"/>
    <mergeCell ref="LZO29:LZP29"/>
    <mergeCell ref="LZQ29:LZR29"/>
    <mergeCell ref="LZS29:LZT29"/>
    <mergeCell ref="LZU29:LZV29"/>
    <mergeCell ref="LZW29:LZX29"/>
    <mergeCell ref="MEO29:MEP29"/>
    <mergeCell ref="MEQ29:MER29"/>
    <mergeCell ref="MES29:MET29"/>
    <mergeCell ref="MEU29:MEV29"/>
    <mergeCell ref="MEW29:MEX29"/>
    <mergeCell ref="MEY29:MEZ29"/>
    <mergeCell ref="MEC29:MED29"/>
    <mergeCell ref="MEE29:MEF29"/>
    <mergeCell ref="MEG29:MEH29"/>
    <mergeCell ref="MEI29:MEJ29"/>
    <mergeCell ref="MEK29:MEL29"/>
    <mergeCell ref="MEM29:MEN29"/>
    <mergeCell ref="MDQ29:MDR29"/>
    <mergeCell ref="MDS29:MDT29"/>
    <mergeCell ref="MDU29:MDV29"/>
    <mergeCell ref="MDW29:MDX29"/>
    <mergeCell ref="MDY29:MDZ29"/>
    <mergeCell ref="MEA29:MEB29"/>
    <mergeCell ref="MDE29:MDF29"/>
    <mergeCell ref="MDG29:MDH29"/>
    <mergeCell ref="MDI29:MDJ29"/>
    <mergeCell ref="MDK29:MDL29"/>
    <mergeCell ref="MDM29:MDN29"/>
    <mergeCell ref="MDO29:MDP29"/>
    <mergeCell ref="MCS29:MCT29"/>
    <mergeCell ref="MCU29:MCV29"/>
    <mergeCell ref="MCW29:MCX29"/>
    <mergeCell ref="MCY29:MCZ29"/>
    <mergeCell ref="MDA29:MDB29"/>
    <mergeCell ref="MDC29:MDD29"/>
    <mergeCell ref="MCG29:MCH29"/>
    <mergeCell ref="MCI29:MCJ29"/>
    <mergeCell ref="MCK29:MCL29"/>
    <mergeCell ref="MCM29:MCN29"/>
    <mergeCell ref="MCO29:MCP29"/>
    <mergeCell ref="MCQ29:MCR29"/>
    <mergeCell ref="MHI29:MHJ29"/>
    <mergeCell ref="MHK29:MHL29"/>
    <mergeCell ref="MHM29:MHN29"/>
    <mergeCell ref="MHO29:MHP29"/>
    <mergeCell ref="MHQ29:MHR29"/>
    <mergeCell ref="MHS29:MHT29"/>
    <mergeCell ref="MGW29:MGX29"/>
    <mergeCell ref="MGY29:MGZ29"/>
    <mergeCell ref="MHA29:MHB29"/>
    <mergeCell ref="MHC29:MHD29"/>
    <mergeCell ref="MHE29:MHF29"/>
    <mergeCell ref="MHG29:MHH29"/>
    <mergeCell ref="MGK29:MGL29"/>
    <mergeCell ref="MGM29:MGN29"/>
    <mergeCell ref="MGO29:MGP29"/>
    <mergeCell ref="MGQ29:MGR29"/>
    <mergeCell ref="MGS29:MGT29"/>
    <mergeCell ref="MGU29:MGV29"/>
    <mergeCell ref="MFY29:MFZ29"/>
    <mergeCell ref="MGA29:MGB29"/>
    <mergeCell ref="MGC29:MGD29"/>
    <mergeCell ref="MGE29:MGF29"/>
    <mergeCell ref="MGG29:MGH29"/>
    <mergeCell ref="MGI29:MGJ29"/>
    <mergeCell ref="MFM29:MFN29"/>
    <mergeCell ref="MFO29:MFP29"/>
    <mergeCell ref="MFQ29:MFR29"/>
    <mergeCell ref="MFS29:MFT29"/>
    <mergeCell ref="MFU29:MFV29"/>
    <mergeCell ref="MFW29:MFX29"/>
    <mergeCell ref="MFA29:MFB29"/>
    <mergeCell ref="MFC29:MFD29"/>
    <mergeCell ref="MFE29:MFF29"/>
    <mergeCell ref="MFG29:MFH29"/>
    <mergeCell ref="MFI29:MFJ29"/>
    <mergeCell ref="MFK29:MFL29"/>
    <mergeCell ref="MKC29:MKD29"/>
    <mergeCell ref="MKE29:MKF29"/>
    <mergeCell ref="MKG29:MKH29"/>
    <mergeCell ref="MKI29:MKJ29"/>
    <mergeCell ref="MKK29:MKL29"/>
    <mergeCell ref="MKM29:MKN29"/>
    <mergeCell ref="MJQ29:MJR29"/>
    <mergeCell ref="MJS29:MJT29"/>
    <mergeCell ref="MJU29:MJV29"/>
    <mergeCell ref="MJW29:MJX29"/>
    <mergeCell ref="MJY29:MJZ29"/>
    <mergeCell ref="MKA29:MKB29"/>
    <mergeCell ref="MJE29:MJF29"/>
    <mergeCell ref="MJG29:MJH29"/>
    <mergeCell ref="MJI29:MJJ29"/>
    <mergeCell ref="MJK29:MJL29"/>
    <mergeCell ref="MJM29:MJN29"/>
    <mergeCell ref="MJO29:MJP29"/>
    <mergeCell ref="MIS29:MIT29"/>
    <mergeCell ref="MIU29:MIV29"/>
    <mergeCell ref="MIW29:MIX29"/>
    <mergeCell ref="MIY29:MIZ29"/>
    <mergeCell ref="MJA29:MJB29"/>
    <mergeCell ref="MJC29:MJD29"/>
    <mergeCell ref="MIG29:MIH29"/>
    <mergeCell ref="MII29:MIJ29"/>
    <mergeCell ref="MIK29:MIL29"/>
    <mergeCell ref="MIM29:MIN29"/>
    <mergeCell ref="MIO29:MIP29"/>
    <mergeCell ref="MIQ29:MIR29"/>
    <mergeCell ref="MHU29:MHV29"/>
    <mergeCell ref="MHW29:MHX29"/>
    <mergeCell ref="MHY29:MHZ29"/>
    <mergeCell ref="MIA29:MIB29"/>
    <mergeCell ref="MIC29:MID29"/>
    <mergeCell ref="MIE29:MIF29"/>
    <mergeCell ref="MMW29:MMX29"/>
    <mergeCell ref="MMY29:MMZ29"/>
    <mergeCell ref="MNA29:MNB29"/>
    <mergeCell ref="MNC29:MND29"/>
    <mergeCell ref="MNE29:MNF29"/>
    <mergeCell ref="MNG29:MNH29"/>
    <mergeCell ref="MMK29:MML29"/>
    <mergeCell ref="MMM29:MMN29"/>
    <mergeCell ref="MMO29:MMP29"/>
    <mergeCell ref="MMQ29:MMR29"/>
    <mergeCell ref="MMS29:MMT29"/>
    <mergeCell ref="MMU29:MMV29"/>
    <mergeCell ref="MLY29:MLZ29"/>
    <mergeCell ref="MMA29:MMB29"/>
    <mergeCell ref="MMC29:MMD29"/>
    <mergeCell ref="MME29:MMF29"/>
    <mergeCell ref="MMG29:MMH29"/>
    <mergeCell ref="MMI29:MMJ29"/>
    <mergeCell ref="MLM29:MLN29"/>
    <mergeCell ref="MLO29:MLP29"/>
    <mergeCell ref="MLQ29:MLR29"/>
    <mergeCell ref="MLS29:MLT29"/>
    <mergeCell ref="MLU29:MLV29"/>
    <mergeCell ref="MLW29:MLX29"/>
    <mergeCell ref="MLA29:MLB29"/>
    <mergeCell ref="MLC29:MLD29"/>
    <mergeCell ref="MLE29:MLF29"/>
    <mergeCell ref="MLG29:MLH29"/>
    <mergeCell ref="MLI29:MLJ29"/>
    <mergeCell ref="MLK29:MLL29"/>
    <mergeCell ref="MKO29:MKP29"/>
    <mergeCell ref="MKQ29:MKR29"/>
    <mergeCell ref="MKS29:MKT29"/>
    <mergeCell ref="MKU29:MKV29"/>
    <mergeCell ref="MKW29:MKX29"/>
    <mergeCell ref="MKY29:MKZ29"/>
    <mergeCell ref="MPQ29:MPR29"/>
    <mergeCell ref="MPS29:MPT29"/>
    <mergeCell ref="MPU29:MPV29"/>
    <mergeCell ref="MPW29:MPX29"/>
    <mergeCell ref="MPY29:MPZ29"/>
    <mergeCell ref="MQA29:MQB29"/>
    <mergeCell ref="MPE29:MPF29"/>
    <mergeCell ref="MPG29:MPH29"/>
    <mergeCell ref="MPI29:MPJ29"/>
    <mergeCell ref="MPK29:MPL29"/>
    <mergeCell ref="MPM29:MPN29"/>
    <mergeCell ref="MPO29:MPP29"/>
    <mergeCell ref="MOS29:MOT29"/>
    <mergeCell ref="MOU29:MOV29"/>
    <mergeCell ref="MOW29:MOX29"/>
    <mergeCell ref="MOY29:MOZ29"/>
    <mergeCell ref="MPA29:MPB29"/>
    <mergeCell ref="MPC29:MPD29"/>
    <mergeCell ref="MOG29:MOH29"/>
    <mergeCell ref="MOI29:MOJ29"/>
    <mergeCell ref="MOK29:MOL29"/>
    <mergeCell ref="MOM29:MON29"/>
    <mergeCell ref="MOO29:MOP29"/>
    <mergeCell ref="MOQ29:MOR29"/>
    <mergeCell ref="MNU29:MNV29"/>
    <mergeCell ref="MNW29:MNX29"/>
    <mergeCell ref="MNY29:MNZ29"/>
    <mergeCell ref="MOA29:MOB29"/>
    <mergeCell ref="MOC29:MOD29"/>
    <mergeCell ref="MOE29:MOF29"/>
    <mergeCell ref="MNI29:MNJ29"/>
    <mergeCell ref="MNK29:MNL29"/>
    <mergeCell ref="MNM29:MNN29"/>
    <mergeCell ref="MNO29:MNP29"/>
    <mergeCell ref="MNQ29:MNR29"/>
    <mergeCell ref="MNS29:MNT29"/>
    <mergeCell ref="MSK29:MSL29"/>
    <mergeCell ref="MSM29:MSN29"/>
    <mergeCell ref="MSO29:MSP29"/>
    <mergeCell ref="MSQ29:MSR29"/>
    <mergeCell ref="MSS29:MST29"/>
    <mergeCell ref="MSU29:MSV29"/>
    <mergeCell ref="MRY29:MRZ29"/>
    <mergeCell ref="MSA29:MSB29"/>
    <mergeCell ref="MSC29:MSD29"/>
    <mergeCell ref="MSE29:MSF29"/>
    <mergeCell ref="MSG29:MSH29"/>
    <mergeCell ref="MSI29:MSJ29"/>
    <mergeCell ref="MRM29:MRN29"/>
    <mergeCell ref="MRO29:MRP29"/>
    <mergeCell ref="MRQ29:MRR29"/>
    <mergeCell ref="MRS29:MRT29"/>
    <mergeCell ref="MRU29:MRV29"/>
    <mergeCell ref="MRW29:MRX29"/>
    <mergeCell ref="MRA29:MRB29"/>
    <mergeCell ref="MRC29:MRD29"/>
    <mergeCell ref="MRE29:MRF29"/>
    <mergeCell ref="MRG29:MRH29"/>
    <mergeCell ref="MRI29:MRJ29"/>
    <mergeCell ref="MRK29:MRL29"/>
    <mergeCell ref="MQO29:MQP29"/>
    <mergeCell ref="MQQ29:MQR29"/>
    <mergeCell ref="MQS29:MQT29"/>
    <mergeCell ref="MQU29:MQV29"/>
    <mergeCell ref="MQW29:MQX29"/>
    <mergeCell ref="MQY29:MQZ29"/>
    <mergeCell ref="MQC29:MQD29"/>
    <mergeCell ref="MQE29:MQF29"/>
    <mergeCell ref="MQG29:MQH29"/>
    <mergeCell ref="MQI29:MQJ29"/>
    <mergeCell ref="MQK29:MQL29"/>
    <mergeCell ref="MQM29:MQN29"/>
    <mergeCell ref="MVE29:MVF29"/>
    <mergeCell ref="MVG29:MVH29"/>
    <mergeCell ref="MVI29:MVJ29"/>
    <mergeCell ref="MVK29:MVL29"/>
    <mergeCell ref="MVM29:MVN29"/>
    <mergeCell ref="MVO29:MVP29"/>
    <mergeCell ref="MUS29:MUT29"/>
    <mergeCell ref="MUU29:MUV29"/>
    <mergeCell ref="MUW29:MUX29"/>
    <mergeCell ref="MUY29:MUZ29"/>
    <mergeCell ref="MVA29:MVB29"/>
    <mergeCell ref="MVC29:MVD29"/>
    <mergeCell ref="MUG29:MUH29"/>
    <mergeCell ref="MUI29:MUJ29"/>
    <mergeCell ref="MUK29:MUL29"/>
    <mergeCell ref="MUM29:MUN29"/>
    <mergeCell ref="MUO29:MUP29"/>
    <mergeCell ref="MUQ29:MUR29"/>
    <mergeCell ref="MTU29:MTV29"/>
    <mergeCell ref="MTW29:MTX29"/>
    <mergeCell ref="MTY29:MTZ29"/>
    <mergeCell ref="MUA29:MUB29"/>
    <mergeCell ref="MUC29:MUD29"/>
    <mergeCell ref="MUE29:MUF29"/>
    <mergeCell ref="MTI29:MTJ29"/>
    <mergeCell ref="MTK29:MTL29"/>
    <mergeCell ref="MTM29:MTN29"/>
    <mergeCell ref="MTO29:MTP29"/>
    <mergeCell ref="MTQ29:MTR29"/>
    <mergeCell ref="MTS29:MTT29"/>
    <mergeCell ref="MSW29:MSX29"/>
    <mergeCell ref="MSY29:MSZ29"/>
    <mergeCell ref="MTA29:MTB29"/>
    <mergeCell ref="MTC29:MTD29"/>
    <mergeCell ref="MTE29:MTF29"/>
    <mergeCell ref="MTG29:MTH29"/>
    <mergeCell ref="MXY29:MXZ29"/>
    <mergeCell ref="MYA29:MYB29"/>
    <mergeCell ref="MYC29:MYD29"/>
    <mergeCell ref="MYE29:MYF29"/>
    <mergeCell ref="MYG29:MYH29"/>
    <mergeCell ref="MYI29:MYJ29"/>
    <mergeCell ref="MXM29:MXN29"/>
    <mergeCell ref="MXO29:MXP29"/>
    <mergeCell ref="MXQ29:MXR29"/>
    <mergeCell ref="MXS29:MXT29"/>
    <mergeCell ref="MXU29:MXV29"/>
    <mergeCell ref="MXW29:MXX29"/>
    <mergeCell ref="MXA29:MXB29"/>
    <mergeCell ref="MXC29:MXD29"/>
    <mergeCell ref="MXE29:MXF29"/>
    <mergeCell ref="MXG29:MXH29"/>
    <mergeCell ref="MXI29:MXJ29"/>
    <mergeCell ref="MXK29:MXL29"/>
    <mergeCell ref="MWO29:MWP29"/>
    <mergeCell ref="MWQ29:MWR29"/>
    <mergeCell ref="MWS29:MWT29"/>
    <mergeCell ref="MWU29:MWV29"/>
    <mergeCell ref="MWW29:MWX29"/>
    <mergeCell ref="MWY29:MWZ29"/>
    <mergeCell ref="MWC29:MWD29"/>
    <mergeCell ref="MWE29:MWF29"/>
    <mergeCell ref="MWG29:MWH29"/>
    <mergeCell ref="MWI29:MWJ29"/>
    <mergeCell ref="MWK29:MWL29"/>
    <mergeCell ref="MWM29:MWN29"/>
    <mergeCell ref="MVQ29:MVR29"/>
    <mergeCell ref="MVS29:MVT29"/>
    <mergeCell ref="MVU29:MVV29"/>
    <mergeCell ref="MVW29:MVX29"/>
    <mergeCell ref="MVY29:MVZ29"/>
    <mergeCell ref="MWA29:MWB29"/>
    <mergeCell ref="NAS29:NAT29"/>
    <mergeCell ref="NAU29:NAV29"/>
    <mergeCell ref="NAW29:NAX29"/>
    <mergeCell ref="NAY29:NAZ29"/>
    <mergeCell ref="NBA29:NBB29"/>
    <mergeCell ref="NBC29:NBD29"/>
    <mergeCell ref="NAG29:NAH29"/>
    <mergeCell ref="NAI29:NAJ29"/>
    <mergeCell ref="NAK29:NAL29"/>
    <mergeCell ref="NAM29:NAN29"/>
    <mergeCell ref="NAO29:NAP29"/>
    <mergeCell ref="NAQ29:NAR29"/>
    <mergeCell ref="MZU29:MZV29"/>
    <mergeCell ref="MZW29:MZX29"/>
    <mergeCell ref="MZY29:MZZ29"/>
    <mergeCell ref="NAA29:NAB29"/>
    <mergeCell ref="NAC29:NAD29"/>
    <mergeCell ref="NAE29:NAF29"/>
    <mergeCell ref="MZI29:MZJ29"/>
    <mergeCell ref="MZK29:MZL29"/>
    <mergeCell ref="MZM29:MZN29"/>
    <mergeCell ref="MZO29:MZP29"/>
    <mergeCell ref="MZQ29:MZR29"/>
    <mergeCell ref="MZS29:MZT29"/>
    <mergeCell ref="MYW29:MYX29"/>
    <mergeCell ref="MYY29:MYZ29"/>
    <mergeCell ref="MZA29:MZB29"/>
    <mergeCell ref="MZC29:MZD29"/>
    <mergeCell ref="MZE29:MZF29"/>
    <mergeCell ref="MZG29:MZH29"/>
    <mergeCell ref="MYK29:MYL29"/>
    <mergeCell ref="MYM29:MYN29"/>
    <mergeCell ref="MYO29:MYP29"/>
    <mergeCell ref="MYQ29:MYR29"/>
    <mergeCell ref="MYS29:MYT29"/>
    <mergeCell ref="MYU29:MYV29"/>
    <mergeCell ref="NDM29:NDN29"/>
    <mergeCell ref="NDO29:NDP29"/>
    <mergeCell ref="NDQ29:NDR29"/>
    <mergeCell ref="NDS29:NDT29"/>
    <mergeCell ref="NDU29:NDV29"/>
    <mergeCell ref="NDW29:NDX29"/>
    <mergeCell ref="NDA29:NDB29"/>
    <mergeCell ref="NDC29:NDD29"/>
    <mergeCell ref="NDE29:NDF29"/>
    <mergeCell ref="NDG29:NDH29"/>
    <mergeCell ref="NDI29:NDJ29"/>
    <mergeCell ref="NDK29:NDL29"/>
    <mergeCell ref="NCO29:NCP29"/>
    <mergeCell ref="NCQ29:NCR29"/>
    <mergeCell ref="NCS29:NCT29"/>
    <mergeCell ref="NCU29:NCV29"/>
    <mergeCell ref="NCW29:NCX29"/>
    <mergeCell ref="NCY29:NCZ29"/>
    <mergeCell ref="NCC29:NCD29"/>
    <mergeCell ref="NCE29:NCF29"/>
    <mergeCell ref="NCG29:NCH29"/>
    <mergeCell ref="NCI29:NCJ29"/>
    <mergeCell ref="NCK29:NCL29"/>
    <mergeCell ref="NCM29:NCN29"/>
    <mergeCell ref="NBQ29:NBR29"/>
    <mergeCell ref="NBS29:NBT29"/>
    <mergeCell ref="NBU29:NBV29"/>
    <mergeCell ref="NBW29:NBX29"/>
    <mergeCell ref="NBY29:NBZ29"/>
    <mergeCell ref="NCA29:NCB29"/>
    <mergeCell ref="NBE29:NBF29"/>
    <mergeCell ref="NBG29:NBH29"/>
    <mergeCell ref="NBI29:NBJ29"/>
    <mergeCell ref="NBK29:NBL29"/>
    <mergeCell ref="NBM29:NBN29"/>
    <mergeCell ref="NBO29:NBP29"/>
    <mergeCell ref="NGG29:NGH29"/>
    <mergeCell ref="NGI29:NGJ29"/>
    <mergeCell ref="NGK29:NGL29"/>
    <mergeCell ref="NGM29:NGN29"/>
    <mergeCell ref="NGO29:NGP29"/>
    <mergeCell ref="NGQ29:NGR29"/>
    <mergeCell ref="NFU29:NFV29"/>
    <mergeCell ref="NFW29:NFX29"/>
    <mergeCell ref="NFY29:NFZ29"/>
    <mergeCell ref="NGA29:NGB29"/>
    <mergeCell ref="NGC29:NGD29"/>
    <mergeCell ref="NGE29:NGF29"/>
    <mergeCell ref="NFI29:NFJ29"/>
    <mergeCell ref="NFK29:NFL29"/>
    <mergeCell ref="NFM29:NFN29"/>
    <mergeCell ref="NFO29:NFP29"/>
    <mergeCell ref="NFQ29:NFR29"/>
    <mergeCell ref="NFS29:NFT29"/>
    <mergeCell ref="NEW29:NEX29"/>
    <mergeCell ref="NEY29:NEZ29"/>
    <mergeCell ref="NFA29:NFB29"/>
    <mergeCell ref="NFC29:NFD29"/>
    <mergeCell ref="NFE29:NFF29"/>
    <mergeCell ref="NFG29:NFH29"/>
    <mergeCell ref="NEK29:NEL29"/>
    <mergeCell ref="NEM29:NEN29"/>
    <mergeCell ref="NEO29:NEP29"/>
    <mergeCell ref="NEQ29:NER29"/>
    <mergeCell ref="NES29:NET29"/>
    <mergeCell ref="NEU29:NEV29"/>
    <mergeCell ref="NDY29:NDZ29"/>
    <mergeCell ref="NEA29:NEB29"/>
    <mergeCell ref="NEC29:NED29"/>
    <mergeCell ref="NEE29:NEF29"/>
    <mergeCell ref="NEG29:NEH29"/>
    <mergeCell ref="NEI29:NEJ29"/>
    <mergeCell ref="NJA29:NJB29"/>
    <mergeCell ref="NJC29:NJD29"/>
    <mergeCell ref="NJE29:NJF29"/>
    <mergeCell ref="NJG29:NJH29"/>
    <mergeCell ref="NJI29:NJJ29"/>
    <mergeCell ref="NJK29:NJL29"/>
    <mergeCell ref="NIO29:NIP29"/>
    <mergeCell ref="NIQ29:NIR29"/>
    <mergeCell ref="NIS29:NIT29"/>
    <mergeCell ref="NIU29:NIV29"/>
    <mergeCell ref="NIW29:NIX29"/>
    <mergeCell ref="NIY29:NIZ29"/>
    <mergeCell ref="NIC29:NID29"/>
    <mergeCell ref="NIE29:NIF29"/>
    <mergeCell ref="NIG29:NIH29"/>
    <mergeCell ref="NII29:NIJ29"/>
    <mergeCell ref="NIK29:NIL29"/>
    <mergeCell ref="NIM29:NIN29"/>
    <mergeCell ref="NHQ29:NHR29"/>
    <mergeCell ref="NHS29:NHT29"/>
    <mergeCell ref="NHU29:NHV29"/>
    <mergeCell ref="NHW29:NHX29"/>
    <mergeCell ref="NHY29:NHZ29"/>
    <mergeCell ref="NIA29:NIB29"/>
    <mergeCell ref="NHE29:NHF29"/>
    <mergeCell ref="NHG29:NHH29"/>
    <mergeCell ref="NHI29:NHJ29"/>
    <mergeCell ref="NHK29:NHL29"/>
    <mergeCell ref="NHM29:NHN29"/>
    <mergeCell ref="NHO29:NHP29"/>
    <mergeCell ref="NGS29:NGT29"/>
    <mergeCell ref="NGU29:NGV29"/>
    <mergeCell ref="NGW29:NGX29"/>
    <mergeCell ref="NGY29:NGZ29"/>
    <mergeCell ref="NHA29:NHB29"/>
    <mergeCell ref="NHC29:NHD29"/>
    <mergeCell ref="NLU29:NLV29"/>
    <mergeCell ref="NLW29:NLX29"/>
    <mergeCell ref="NLY29:NLZ29"/>
    <mergeCell ref="NMA29:NMB29"/>
    <mergeCell ref="NMC29:NMD29"/>
    <mergeCell ref="NME29:NMF29"/>
    <mergeCell ref="NLI29:NLJ29"/>
    <mergeCell ref="NLK29:NLL29"/>
    <mergeCell ref="NLM29:NLN29"/>
    <mergeCell ref="NLO29:NLP29"/>
    <mergeCell ref="NLQ29:NLR29"/>
    <mergeCell ref="NLS29:NLT29"/>
    <mergeCell ref="NKW29:NKX29"/>
    <mergeCell ref="NKY29:NKZ29"/>
    <mergeCell ref="NLA29:NLB29"/>
    <mergeCell ref="NLC29:NLD29"/>
    <mergeCell ref="NLE29:NLF29"/>
    <mergeCell ref="NLG29:NLH29"/>
    <mergeCell ref="NKK29:NKL29"/>
    <mergeCell ref="NKM29:NKN29"/>
    <mergeCell ref="NKO29:NKP29"/>
    <mergeCell ref="NKQ29:NKR29"/>
    <mergeCell ref="NKS29:NKT29"/>
    <mergeCell ref="NKU29:NKV29"/>
    <mergeCell ref="NJY29:NJZ29"/>
    <mergeCell ref="NKA29:NKB29"/>
    <mergeCell ref="NKC29:NKD29"/>
    <mergeCell ref="NKE29:NKF29"/>
    <mergeCell ref="NKG29:NKH29"/>
    <mergeCell ref="NKI29:NKJ29"/>
    <mergeCell ref="NJM29:NJN29"/>
    <mergeCell ref="NJO29:NJP29"/>
    <mergeCell ref="NJQ29:NJR29"/>
    <mergeCell ref="NJS29:NJT29"/>
    <mergeCell ref="NJU29:NJV29"/>
    <mergeCell ref="NJW29:NJX29"/>
    <mergeCell ref="NOO29:NOP29"/>
    <mergeCell ref="NOQ29:NOR29"/>
    <mergeCell ref="NOS29:NOT29"/>
    <mergeCell ref="NOU29:NOV29"/>
    <mergeCell ref="NOW29:NOX29"/>
    <mergeCell ref="NOY29:NOZ29"/>
    <mergeCell ref="NOC29:NOD29"/>
    <mergeCell ref="NOE29:NOF29"/>
    <mergeCell ref="NOG29:NOH29"/>
    <mergeCell ref="NOI29:NOJ29"/>
    <mergeCell ref="NOK29:NOL29"/>
    <mergeCell ref="NOM29:NON29"/>
    <mergeCell ref="NNQ29:NNR29"/>
    <mergeCell ref="NNS29:NNT29"/>
    <mergeCell ref="NNU29:NNV29"/>
    <mergeCell ref="NNW29:NNX29"/>
    <mergeCell ref="NNY29:NNZ29"/>
    <mergeCell ref="NOA29:NOB29"/>
    <mergeCell ref="NNE29:NNF29"/>
    <mergeCell ref="NNG29:NNH29"/>
    <mergeCell ref="NNI29:NNJ29"/>
    <mergeCell ref="NNK29:NNL29"/>
    <mergeCell ref="NNM29:NNN29"/>
    <mergeCell ref="NNO29:NNP29"/>
    <mergeCell ref="NMS29:NMT29"/>
    <mergeCell ref="NMU29:NMV29"/>
    <mergeCell ref="NMW29:NMX29"/>
    <mergeCell ref="NMY29:NMZ29"/>
    <mergeCell ref="NNA29:NNB29"/>
    <mergeCell ref="NNC29:NND29"/>
    <mergeCell ref="NMG29:NMH29"/>
    <mergeCell ref="NMI29:NMJ29"/>
    <mergeCell ref="NMK29:NML29"/>
    <mergeCell ref="NMM29:NMN29"/>
    <mergeCell ref="NMO29:NMP29"/>
    <mergeCell ref="NMQ29:NMR29"/>
    <mergeCell ref="NRI29:NRJ29"/>
    <mergeCell ref="NRK29:NRL29"/>
    <mergeCell ref="NRM29:NRN29"/>
    <mergeCell ref="NRO29:NRP29"/>
    <mergeCell ref="NRQ29:NRR29"/>
    <mergeCell ref="NRS29:NRT29"/>
    <mergeCell ref="NQW29:NQX29"/>
    <mergeCell ref="NQY29:NQZ29"/>
    <mergeCell ref="NRA29:NRB29"/>
    <mergeCell ref="NRC29:NRD29"/>
    <mergeCell ref="NRE29:NRF29"/>
    <mergeCell ref="NRG29:NRH29"/>
    <mergeCell ref="NQK29:NQL29"/>
    <mergeCell ref="NQM29:NQN29"/>
    <mergeCell ref="NQO29:NQP29"/>
    <mergeCell ref="NQQ29:NQR29"/>
    <mergeCell ref="NQS29:NQT29"/>
    <mergeCell ref="NQU29:NQV29"/>
    <mergeCell ref="NPY29:NPZ29"/>
    <mergeCell ref="NQA29:NQB29"/>
    <mergeCell ref="NQC29:NQD29"/>
    <mergeCell ref="NQE29:NQF29"/>
    <mergeCell ref="NQG29:NQH29"/>
    <mergeCell ref="NQI29:NQJ29"/>
    <mergeCell ref="NPM29:NPN29"/>
    <mergeCell ref="NPO29:NPP29"/>
    <mergeCell ref="NPQ29:NPR29"/>
    <mergeCell ref="NPS29:NPT29"/>
    <mergeCell ref="NPU29:NPV29"/>
    <mergeCell ref="NPW29:NPX29"/>
    <mergeCell ref="NPA29:NPB29"/>
    <mergeCell ref="NPC29:NPD29"/>
    <mergeCell ref="NPE29:NPF29"/>
    <mergeCell ref="NPG29:NPH29"/>
    <mergeCell ref="NPI29:NPJ29"/>
    <mergeCell ref="NPK29:NPL29"/>
    <mergeCell ref="NUC29:NUD29"/>
    <mergeCell ref="NUE29:NUF29"/>
    <mergeCell ref="NUG29:NUH29"/>
    <mergeCell ref="NUI29:NUJ29"/>
    <mergeCell ref="NUK29:NUL29"/>
    <mergeCell ref="NUM29:NUN29"/>
    <mergeCell ref="NTQ29:NTR29"/>
    <mergeCell ref="NTS29:NTT29"/>
    <mergeCell ref="NTU29:NTV29"/>
    <mergeCell ref="NTW29:NTX29"/>
    <mergeCell ref="NTY29:NTZ29"/>
    <mergeCell ref="NUA29:NUB29"/>
    <mergeCell ref="NTE29:NTF29"/>
    <mergeCell ref="NTG29:NTH29"/>
    <mergeCell ref="NTI29:NTJ29"/>
    <mergeCell ref="NTK29:NTL29"/>
    <mergeCell ref="NTM29:NTN29"/>
    <mergeCell ref="NTO29:NTP29"/>
    <mergeCell ref="NSS29:NST29"/>
    <mergeCell ref="NSU29:NSV29"/>
    <mergeCell ref="NSW29:NSX29"/>
    <mergeCell ref="NSY29:NSZ29"/>
    <mergeCell ref="NTA29:NTB29"/>
    <mergeCell ref="NTC29:NTD29"/>
    <mergeCell ref="NSG29:NSH29"/>
    <mergeCell ref="NSI29:NSJ29"/>
    <mergeCell ref="NSK29:NSL29"/>
    <mergeCell ref="NSM29:NSN29"/>
    <mergeCell ref="NSO29:NSP29"/>
    <mergeCell ref="NSQ29:NSR29"/>
    <mergeCell ref="NRU29:NRV29"/>
    <mergeCell ref="NRW29:NRX29"/>
    <mergeCell ref="NRY29:NRZ29"/>
    <mergeCell ref="NSA29:NSB29"/>
    <mergeCell ref="NSC29:NSD29"/>
    <mergeCell ref="NSE29:NSF29"/>
    <mergeCell ref="NWW29:NWX29"/>
    <mergeCell ref="NWY29:NWZ29"/>
    <mergeCell ref="NXA29:NXB29"/>
    <mergeCell ref="NXC29:NXD29"/>
    <mergeCell ref="NXE29:NXF29"/>
    <mergeCell ref="NXG29:NXH29"/>
    <mergeCell ref="NWK29:NWL29"/>
    <mergeCell ref="NWM29:NWN29"/>
    <mergeCell ref="NWO29:NWP29"/>
    <mergeCell ref="NWQ29:NWR29"/>
    <mergeCell ref="NWS29:NWT29"/>
    <mergeCell ref="NWU29:NWV29"/>
    <mergeCell ref="NVY29:NVZ29"/>
    <mergeCell ref="NWA29:NWB29"/>
    <mergeCell ref="NWC29:NWD29"/>
    <mergeCell ref="NWE29:NWF29"/>
    <mergeCell ref="NWG29:NWH29"/>
    <mergeCell ref="NWI29:NWJ29"/>
    <mergeCell ref="NVM29:NVN29"/>
    <mergeCell ref="NVO29:NVP29"/>
    <mergeCell ref="NVQ29:NVR29"/>
    <mergeCell ref="NVS29:NVT29"/>
    <mergeCell ref="NVU29:NVV29"/>
    <mergeCell ref="NVW29:NVX29"/>
    <mergeCell ref="NVA29:NVB29"/>
    <mergeCell ref="NVC29:NVD29"/>
    <mergeCell ref="NVE29:NVF29"/>
    <mergeCell ref="NVG29:NVH29"/>
    <mergeCell ref="NVI29:NVJ29"/>
    <mergeCell ref="NVK29:NVL29"/>
    <mergeCell ref="NUO29:NUP29"/>
    <mergeCell ref="NUQ29:NUR29"/>
    <mergeCell ref="NUS29:NUT29"/>
    <mergeCell ref="NUU29:NUV29"/>
    <mergeCell ref="NUW29:NUX29"/>
    <mergeCell ref="NUY29:NUZ29"/>
    <mergeCell ref="NZQ29:NZR29"/>
    <mergeCell ref="NZS29:NZT29"/>
    <mergeCell ref="NZU29:NZV29"/>
    <mergeCell ref="NZW29:NZX29"/>
    <mergeCell ref="NZY29:NZZ29"/>
    <mergeCell ref="OAA29:OAB29"/>
    <mergeCell ref="NZE29:NZF29"/>
    <mergeCell ref="NZG29:NZH29"/>
    <mergeCell ref="NZI29:NZJ29"/>
    <mergeCell ref="NZK29:NZL29"/>
    <mergeCell ref="NZM29:NZN29"/>
    <mergeCell ref="NZO29:NZP29"/>
    <mergeCell ref="NYS29:NYT29"/>
    <mergeCell ref="NYU29:NYV29"/>
    <mergeCell ref="NYW29:NYX29"/>
    <mergeCell ref="NYY29:NYZ29"/>
    <mergeCell ref="NZA29:NZB29"/>
    <mergeCell ref="NZC29:NZD29"/>
    <mergeCell ref="NYG29:NYH29"/>
    <mergeCell ref="NYI29:NYJ29"/>
    <mergeCell ref="NYK29:NYL29"/>
    <mergeCell ref="NYM29:NYN29"/>
    <mergeCell ref="NYO29:NYP29"/>
    <mergeCell ref="NYQ29:NYR29"/>
    <mergeCell ref="NXU29:NXV29"/>
    <mergeCell ref="NXW29:NXX29"/>
    <mergeCell ref="NXY29:NXZ29"/>
    <mergeCell ref="NYA29:NYB29"/>
    <mergeCell ref="NYC29:NYD29"/>
    <mergeCell ref="NYE29:NYF29"/>
    <mergeCell ref="NXI29:NXJ29"/>
    <mergeCell ref="NXK29:NXL29"/>
    <mergeCell ref="NXM29:NXN29"/>
    <mergeCell ref="NXO29:NXP29"/>
    <mergeCell ref="NXQ29:NXR29"/>
    <mergeCell ref="NXS29:NXT29"/>
    <mergeCell ref="OCK29:OCL29"/>
    <mergeCell ref="OCM29:OCN29"/>
    <mergeCell ref="OCO29:OCP29"/>
    <mergeCell ref="OCQ29:OCR29"/>
    <mergeCell ref="OCS29:OCT29"/>
    <mergeCell ref="OCU29:OCV29"/>
    <mergeCell ref="OBY29:OBZ29"/>
    <mergeCell ref="OCA29:OCB29"/>
    <mergeCell ref="OCC29:OCD29"/>
    <mergeCell ref="OCE29:OCF29"/>
    <mergeCell ref="OCG29:OCH29"/>
    <mergeCell ref="OCI29:OCJ29"/>
    <mergeCell ref="OBM29:OBN29"/>
    <mergeCell ref="OBO29:OBP29"/>
    <mergeCell ref="OBQ29:OBR29"/>
    <mergeCell ref="OBS29:OBT29"/>
    <mergeCell ref="OBU29:OBV29"/>
    <mergeCell ref="OBW29:OBX29"/>
    <mergeCell ref="OBA29:OBB29"/>
    <mergeCell ref="OBC29:OBD29"/>
    <mergeCell ref="OBE29:OBF29"/>
    <mergeCell ref="OBG29:OBH29"/>
    <mergeCell ref="OBI29:OBJ29"/>
    <mergeCell ref="OBK29:OBL29"/>
    <mergeCell ref="OAO29:OAP29"/>
    <mergeCell ref="OAQ29:OAR29"/>
    <mergeCell ref="OAS29:OAT29"/>
    <mergeCell ref="OAU29:OAV29"/>
    <mergeCell ref="OAW29:OAX29"/>
    <mergeCell ref="OAY29:OAZ29"/>
    <mergeCell ref="OAC29:OAD29"/>
    <mergeCell ref="OAE29:OAF29"/>
    <mergeCell ref="OAG29:OAH29"/>
    <mergeCell ref="OAI29:OAJ29"/>
    <mergeCell ref="OAK29:OAL29"/>
    <mergeCell ref="OAM29:OAN29"/>
    <mergeCell ref="OFE29:OFF29"/>
    <mergeCell ref="OFG29:OFH29"/>
    <mergeCell ref="OFI29:OFJ29"/>
    <mergeCell ref="OFK29:OFL29"/>
    <mergeCell ref="OFM29:OFN29"/>
    <mergeCell ref="OFO29:OFP29"/>
    <mergeCell ref="OES29:OET29"/>
    <mergeCell ref="OEU29:OEV29"/>
    <mergeCell ref="OEW29:OEX29"/>
    <mergeCell ref="OEY29:OEZ29"/>
    <mergeCell ref="OFA29:OFB29"/>
    <mergeCell ref="OFC29:OFD29"/>
    <mergeCell ref="OEG29:OEH29"/>
    <mergeCell ref="OEI29:OEJ29"/>
    <mergeCell ref="OEK29:OEL29"/>
    <mergeCell ref="OEM29:OEN29"/>
    <mergeCell ref="OEO29:OEP29"/>
    <mergeCell ref="OEQ29:OER29"/>
    <mergeCell ref="ODU29:ODV29"/>
    <mergeCell ref="ODW29:ODX29"/>
    <mergeCell ref="ODY29:ODZ29"/>
    <mergeCell ref="OEA29:OEB29"/>
    <mergeCell ref="OEC29:OED29"/>
    <mergeCell ref="OEE29:OEF29"/>
    <mergeCell ref="ODI29:ODJ29"/>
    <mergeCell ref="ODK29:ODL29"/>
    <mergeCell ref="ODM29:ODN29"/>
    <mergeCell ref="ODO29:ODP29"/>
    <mergeCell ref="ODQ29:ODR29"/>
    <mergeCell ref="ODS29:ODT29"/>
    <mergeCell ref="OCW29:OCX29"/>
    <mergeCell ref="OCY29:OCZ29"/>
    <mergeCell ref="ODA29:ODB29"/>
    <mergeCell ref="ODC29:ODD29"/>
    <mergeCell ref="ODE29:ODF29"/>
    <mergeCell ref="ODG29:ODH29"/>
    <mergeCell ref="OHY29:OHZ29"/>
    <mergeCell ref="OIA29:OIB29"/>
    <mergeCell ref="OIC29:OID29"/>
    <mergeCell ref="OIE29:OIF29"/>
    <mergeCell ref="OIG29:OIH29"/>
    <mergeCell ref="OII29:OIJ29"/>
    <mergeCell ref="OHM29:OHN29"/>
    <mergeCell ref="OHO29:OHP29"/>
    <mergeCell ref="OHQ29:OHR29"/>
    <mergeCell ref="OHS29:OHT29"/>
    <mergeCell ref="OHU29:OHV29"/>
    <mergeCell ref="OHW29:OHX29"/>
    <mergeCell ref="OHA29:OHB29"/>
    <mergeCell ref="OHC29:OHD29"/>
    <mergeCell ref="OHE29:OHF29"/>
    <mergeCell ref="OHG29:OHH29"/>
    <mergeCell ref="OHI29:OHJ29"/>
    <mergeCell ref="OHK29:OHL29"/>
    <mergeCell ref="OGO29:OGP29"/>
    <mergeCell ref="OGQ29:OGR29"/>
    <mergeCell ref="OGS29:OGT29"/>
    <mergeCell ref="OGU29:OGV29"/>
    <mergeCell ref="OGW29:OGX29"/>
    <mergeCell ref="OGY29:OGZ29"/>
    <mergeCell ref="OGC29:OGD29"/>
    <mergeCell ref="OGE29:OGF29"/>
    <mergeCell ref="OGG29:OGH29"/>
    <mergeCell ref="OGI29:OGJ29"/>
    <mergeCell ref="OGK29:OGL29"/>
    <mergeCell ref="OGM29:OGN29"/>
    <mergeCell ref="OFQ29:OFR29"/>
    <mergeCell ref="OFS29:OFT29"/>
    <mergeCell ref="OFU29:OFV29"/>
    <mergeCell ref="OFW29:OFX29"/>
    <mergeCell ref="OFY29:OFZ29"/>
    <mergeCell ref="OGA29:OGB29"/>
    <mergeCell ref="OKS29:OKT29"/>
    <mergeCell ref="OKU29:OKV29"/>
    <mergeCell ref="OKW29:OKX29"/>
    <mergeCell ref="OKY29:OKZ29"/>
    <mergeCell ref="OLA29:OLB29"/>
    <mergeCell ref="OLC29:OLD29"/>
    <mergeCell ref="OKG29:OKH29"/>
    <mergeCell ref="OKI29:OKJ29"/>
    <mergeCell ref="OKK29:OKL29"/>
    <mergeCell ref="OKM29:OKN29"/>
    <mergeCell ref="OKO29:OKP29"/>
    <mergeCell ref="OKQ29:OKR29"/>
    <mergeCell ref="OJU29:OJV29"/>
    <mergeCell ref="OJW29:OJX29"/>
    <mergeCell ref="OJY29:OJZ29"/>
    <mergeCell ref="OKA29:OKB29"/>
    <mergeCell ref="OKC29:OKD29"/>
    <mergeCell ref="OKE29:OKF29"/>
    <mergeCell ref="OJI29:OJJ29"/>
    <mergeCell ref="OJK29:OJL29"/>
    <mergeCell ref="OJM29:OJN29"/>
    <mergeCell ref="OJO29:OJP29"/>
    <mergeCell ref="OJQ29:OJR29"/>
    <mergeCell ref="OJS29:OJT29"/>
    <mergeCell ref="OIW29:OIX29"/>
    <mergeCell ref="OIY29:OIZ29"/>
    <mergeCell ref="OJA29:OJB29"/>
    <mergeCell ref="OJC29:OJD29"/>
    <mergeCell ref="OJE29:OJF29"/>
    <mergeCell ref="OJG29:OJH29"/>
    <mergeCell ref="OIK29:OIL29"/>
    <mergeCell ref="OIM29:OIN29"/>
    <mergeCell ref="OIO29:OIP29"/>
    <mergeCell ref="OIQ29:OIR29"/>
    <mergeCell ref="OIS29:OIT29"/>
    <mergeCell ref="OIU29:OIV29"/>
    <mergeCell ref="ONM29:ONN29"/>
    <mergeCell ref="ONO29:ONP29"/>
    <mergeCell ref="ONQ29:ONR29"/>
    <mergeCell ref="ONS29:ONT29"/>
    <mergeCell ref="ONU29:ONV29"/>
    <mergeCell ref="ONW29:ONX29"/>
    <mergeCell ref="ONA29:ONB29"/>
    <mergeCell ref="ONC29:OND29"/>
    <mergeCell ref="ONE29:ONF29"/>
    <mergeCell ref="ONG29:ONH29"/>
    <mergeCell ref="ONI29:ONJ29"/>
    <mergeCell ref="ONK29:ONL29"/>
    <mergeCell ref="OMO29:OMP29"/>
    <mergeCell ref="OMQ29:OMR29"/>
    <mergeCell ref="OMS29:OMT29"/>
    <mergeCell ref="OMU29:OMV29"/>
    <mergeCell ref="OMW29:OMX29"/>
    <mergeCell ref="OMY29:OMZ29"/>
    <mergeCell ref="OMC29:OMD29"/>
    <mergeCell ref="OME29:OMF29"/>
    <mergeCell ref="OMG29:OMH29"/>
    <mergeCell ref="OMI29:OMJ29"/>
    <mergeCell ref="OMK29:OML29"/>
    <mergeCell ref="OMM29:OMN29"/>
    <mergeCell ref="OLQ29:OLR29"/>
    <mergeCell ref="OLS29:OLT29"/>
    <mergeCell ref="OLU29:OLV29"/>
    <mergeCell ref="OLW29:OLX29"/>
    <mergeCell ref="OLY29:OLZ29"/>
    <mergeCell ref="OMA29:OMB29"/>
    <mergeCell ref="OLE29:OLF29"/>
    <mergeCell ref="OLG29:OLH29"/>
    <mergeCell ref="OLI29:OLJ29"/>
    <mergeCell ref="OLK29:OLL29"/>
    <mergeCell ref="OLM29:OLN29"/>
    <mergeCell ref="OLO29:OLP29"/>
    <mergeCell ref="OQG29:OQH29"/>
    <mergeCell ref="OQI29:OQJ29"/>
    <mergeCell ref="OQK29:OQL29"/>
    <mergeCell ref="OQM29:OQN29"/>
    <mergeCell ref="OQO29:OQP29"/>
    <mergeCell ref="OQQ29:OQR29"/>
    <mergeCell ref="OPU29:OPV29"/>
    <mergeCell ref="OPW29:OPX29"/>
    <mergeCell ref="OPY29:OPZ29"/>
    <mergeCell ref="OQA29:OQB29"/>
    <mergeCell ref="OQC29:OQD29"/>
    <mergeCell ref="OQE29:OQF29"/>
    <mergeCell ref="OPI29:OPJ29"/>
    <mergeCell ref="OPK29:OPL29"/>
    <mergeCell ref="OPM29:OPN29"/>
    <mergeCell ref="OPO29:OPP29"/>
    <mergeCell ref="OPQ29:OPR29"/>
    <mergeCell ref="OPS29:OPT29"/>
    <mergeCell ref="OOW29:OOX29"/>
    <mergeCell ref="OOY29:OOZ29"/>
    <mergeCell ref="OPA29:OPB29"/>
    <mergeCell ref="OPC29:OPD29"/>
    <mergeCell ref="OPE29:OPF29"/>
    <mergeCell ref="OPG29:OPH29"/>
    <mergeCell ref="OOK29:OOL29"/>
    <mergeCell ref="OOM29:OON29"/>
    <mergeCell ref="OOO29:OOP29"/>
    <mergeCell ref="OOQ29:OOR29"/>
    <mergeCell ref="OOS29:OOT29"/>
    <mergeCell ref="OOU29:OOV29"/>
    <mergeCell ref="ONY29:ONZ29"/>
    <mergeCell ref="OOA29:OOB29"/>
    <mergeCell ref="OOC29:OOD29"/>
    <mergeCell ref="OOE29:OOF29"/>
    <mergeCell ref="OOG29:OOH29"/>
    <mergeCell ref="OOI29:OOJ29"/>
    <mergeCell ref="OTA29:OTB29"/>
    <mergeCell ref="OTC29:OTD29"/>
    <mergeCell ref="OTE29:OTF29"/>
    <mergeCell ref="OTG29:OTH29"/>
    <mergeCell ref="OTI29:OTJ29"/>
    <mergeCell ref="OTK29:OTL29"/>
    <mergeCell ref="OSO29:OSP29"/>
    <mergeCell ref="OSQ29:OSR29"/>
    <mergeCell ref="OSS29:OST29"/>
    <mergeCell ref="OSU29:OSV29"/>
    <mergeCell ref="OSW29:OSX29"/>
    <mergeCell ref="OSY29:OSZ29"/>
    <mergeCell ref="OSC29:OSD29"/>
    <mergeCell ref="OSE29:OSF29"/>
    <mergeCell ref="OSG29:OSH29"/>
    <mergeCell ref="OSI29:OSJ29"/>
    <mergeCell ref="OSK29:OSL29"/>
    <mergeCell ref="OSM29:OSN29"/>
    <mergeCell ref="ORQ29:ORR29"/>
    <mergeCell ref="ORS29:ORT29"/>
    <mergeCell ref="ORU29:ORV29"/>
    <mergeCell ref="ORW29:ORX29"/>
    <mergeCell ref="ORY29:ORZ29"/>
    <mergeCell ref="OSA29:OSB29"/>
    <mergeCell ref="ORE29:ORF29"/>
    <mergeCell ref="ORG29:ORH29"/>
    <mergeCell ref="ORI29:ORJ29"/>
    <mergeCell ref="ORK29:ORL29"/>
    <mergeCell ref="ORM29:ORN29"/>
    <mergeCell ref="ORO29:ORP29"/>
    <mergeCell ref="OQS29:OQT29"/>
    <mergeCell ref="OQU29:OQV29"/>
    <mergeCell ref="OQW29:OQX29"/>
    <mergeCell ref="OQY29:OQZ29"/>
    <mergeCell ref="ORA29:ORB29"/>
    <mergeCell ref="ORC29:ORD29"/>
    <mergeCell ref="OVU29:OVV29"/>
    <mergeCell ref="OVW29:OVX29"/>
    <mergeCell ref="OVY29:OVZ29"/>
    <mergeCell ref="OWA29:OWB29"/>
    <mergeCell ref="OWC29:OWD29"/>
    <mergeCell ref="OWE29:OWF29"/>
    <mergeCell ref="OVI29:OVJ29"/>
    <mergeCell ref="OVK29:OVL29"/>
    <mergeCell ref="OVM29:OVN29"/>
    <mergeCell ref="OVO29:OVP29"/>
    <mergeCell ref="OVQ29:OVR29"/>
    <mergeCell ref="OVS29:OVT29"/>
    <mergeCell ref="OUW29:OUX29"/>
    <mergeCell ref="OUY29:OUZ29"/>
    <mergeCell ref="OVA29:OVB29"/>
    <mergeCell ref="OVC29:OVD29"/>
    <mergeCell ref="OVE29:OVF29"/>
    <mergeCell ref="OVG29:OVH29"/>
    <mergeCell ref="OUK29:OUL29"/>
    <mergeCell ref="OUM29:OUN29"/>
    <mergeCell ref="OUO29:OUP29"/>
    <mergeCell ref="OUQ29:OUR29"/>
    <mergeCell ref="OUS29:OUT29"/>
    <mergeCell ref="OUU29:OUV29"/>
    <mergeCell ref="OTY29:OTZ29"/>
    <mergeCell ref="OUA29:OUB29"/>
    <mergeCell ref="OUC29:OUD29"/>
    <mergeCell ref="OUE29:OUF29"/>
    <mergeCell ref="OUG29:OUH29"/>
    <mergeCell ref="OUI29:OUJ29"/>
    <mergeCell ref="OTM29:OTN29"/>
    <mergeCell ref="OTO29:OTP29"/>
    <mergeCell ref="OTQ29:OTR29"/>
    <mergeCell ref="OTS29:OTT29"/>
    <mergeCell ref="OTU29:OTV29"/>
    <mergeCell ref="OTW29:OTX29"/>
    <mergeCell ref="OYO29:OYP29"/>
    <mergeCell ref="OYQ29:OYR29"/>
    <mergeCell ref="OYS29:OYT29"/>
    <mergeCell ref="OYU29:OYV29"/>
    <mergeCell ref="OYW29:OYX29"/>
    <mergeCell ref="OYY29:OYZ29"/>
    <mergeCell ref="OYC29:OYD29"/>
    <mergeCell ref="OYE29:OYF29"/>
    <mergeCell ref="OYG29:OYH29"/>
    <mergeCell ref="OYI29:OYJ29"/>
    <mergeCell ref="OYK29:OYL29"/>
    <mergeCell ref="OYM29:OYN29"/>
    <mergeCell ref="OXQ29:OXR29"/>
    <mergeCell ref="OXS29:OXT29"/>
    <mergeCell ref="OXU29:OXV29"/>
    <mergeCell ref="OXW29:OXX29"/>
    <mergeCell ref="OXY29:OXZ29"/>
    <mergeCell ref="OYA29:OYB29"/>
    <mergeCell ref="OXE29:OXF29"/>
    <mergeCell ref="OXG29:OXH29"/>
    <mergeCell ref="OXI29:OXJ29"/>
    <mergeCell ref="OXK29:OXL29"/>
    <mergeCell ref="OXM29:OXN29"/>
    <mergeCell ref="OXO29:OXP29"/>
    <mergeCell ref="OWS29:OWT29"/>
    <mergeCell ref="OWU29:OWV29"/>
    <mergeCell ref="OWW29:OWX29"/>
    <mergeCell ref="OWY29:OWZ29"/>
    <mergeCell ref="OXA29:OXB29"/>
    <mergeCell ref="OXC29:OXD29"/>
    <mergeCell ref="OWG29:OWH29"/>
    <mergeCell ref="OWI29:OWJ29"/>
    <mergeCell ref="OWK29:OWL29"/>
    <mergeCell ref="OWM29:OWN29"/>
    <mergeCell ref="OWO29:OWP29"/>
    <mergeCell ref="OWQ29:OWR29"/>
    <mergeCell ref="PBI29:PBJ29"/>
    <mergeCell ref="PBK29:PBL29"/>
    <mergeCell ref="PBM29:PBN29"/>
    <mergeCell ref="PBO29:PBP29"/>
    <mergeCell ref="PBQ29:PBR29"/>
    <mergeCell ref="PBS29:PBT29"/>
    <mergeCell ref="PAW29:PAX29"/>
    <mergeCell ref="PAY29:PAZ29"/>
    <mergeCell ref="PBA29:PBB29"/>
    <mergeCell ref="PBC29:PBD29"/>
    <mergeCell ref="PBE29:PBF29"/>
    <mergeCell ref="PBG29:PBH29"/>
    <mergeCell ref="PAK29:PAL29"/>
    <mergeCell ref="PAM29:PAN29"/>
    <mergeCell ref="PAO29:PAP29"/>
    <mergeCell ref="PAQ29:PAR29"/>
    <mergeCell ref="PAS29:PAT29"/>
    <mergeCell ref="PAU29:PAV29"/>
    <mergeCell ref="OZY29:OZZ29"/>
    <mergeCell ref="PAA29:PAB29"/>
    <mergeCell ref="PAC29:PAD29"/>
    <mergeCell ref="PAE29:PAF29"/>
    <mergeCell ref="PAG29:PAH29"/>
    <mergeCell ref="PAI29:PAJ29"/>
    <mergeCell ref="OZM29:OZN29"/>
    <mergeCell ref="OZO29:OZP29"/>
    <mergeCell ref="OZQ29:OZR29"/>
    <mergeCell ref="OZS29:OZT29"/>
    <mergeCell ref="OZU29:OZV29"/>
    <mergeCell ref="OZW29:OZX29"/>
    <mergeCell ref="OZA29:OZB29"/>
    <mergeCell ref="OZC29:OZD29"/>
    <mergeCell ref="OZE29:OZF29"/>
    <mergeCell ref="OZG29:OZH29"/>
    <mergeCell ref="OZI29:OZJ29"/>
    <mergeCell ref="OZK29:OZL29"/>
    <mergeCell ref="PEC29:PED29"/>
    <mergeCell ref="PEE29:PEF29"/>
    <mergeCell ref="PEG29:PEH29"/>
    <mergeCell ref="PEI29:PEJ29"/>
    <mergeCell ref="PEK29:PEL29"/>
    <mergeCell ref="PEM29:PEN29"/>
    <mergeCell ref="PDQ29:PDR29"/>
    <mergeCell ref="PDS29:PDT29"/>
    <mergeCell ref="PDU29:PDV29"/>
    <mergeCell ref="PDW29:PDX29"/>
    <mergeCell ref="PDY29:PDZ29"/>
    <mergeCell ref="PEA29:PEB29"/>
    <mergeCell ref="PDE29:PDF29"/>
    <mergeCell ref="PDG29:PDH29"/>
    <mergeCell ref="PDI29:PDJ29"/>
    <mergeCell ref="PDK29:PDL29"/>
    <mergeCell ref="PDM29:PDN29"/>
    <mergeCell ref="PDO29:PDP29"/>
    <mergeCell ref="PCS29:PCT29"/>
    <mergeCell ref="PCU29:PCV29"/>
    <mergeCell ref="PCW29:PCX29"/>
    <mergeCell ref="PCY29:PCZ29"/>
    <mergeCell ref="PDA29:PDB29"/>
    <mergeCell ref="PDC29:PDD29"/>
    <mergeCell ref="PCG29:PCH29"/>
    <mergeCell ref="PCI29:PCJ29"/>
    <mergeCell ref="PCK29:PCL29"/>
    <mergeCell ref="PCM29:PCN29"/>
    <mergeCell ref="PCO29:PCP29"/>
    <mergeCell ref="PCQ29:PCR29"/>
    <mergeCell ref="PBU29:PBV29"/>
    <mergeCell ref="PBW29:PBX29"/>
    <mergeCell ref="PBY29:PBZ29"/>
    <mergeCell ref="PCA29:PCB29"/>
    <mergeCell ref="PCC29:PCD29"/>
    <mergeCell ref="PCE29:PCF29"/>
    <mergeCell ref="PGW29:PGX29"/>
    <mergeCell ref="PGY29:PGZ29"/>
    <mergeCell ref="PHA29:PHB29"/>
    <mergeCell ref="PHC29:PHD29"/>
    <mergeCell ref="PHE29:PHF29"/>
    <mergeCell ref="PHG29:PHH29"/>
    <mergeCell ref="PGK29:PGL29"/>
    <mergeCell ref="PGM29:PGN29"/>
    <mergeCell ref="PGO29:PGP29"/>
    <mergeCell ref="PGQ29:PGR29"/>
    <mergeCell ref="PGS29:PGT29"/>
    <mergeCell ref="PGU29:PGV29"/>
    <mergeCell ref="PFY29:PFZ29"/>
    <mergeCell ref="PGA29:PGB29"/>
    <mergeCell ref="PGC29:PGD29"/>
    <mergeCell ref="PGE29:PGF29"/>
    <mergeCell ref="PGG29:PGH29"/>
    <mergeCell ref="PGI29:PGJ29"/>
    <mergeCell ref="PFM29:PFN29"/>
    <mergeCell ref="PFO29:PFP29"/>
    <mergeCell ref="PFQ29:PFR29"/>
    <mergeCell ref="PFS29:PFT29"/>
    <mergeCell ref="PFU29:PFV29"/>
    <mergeCell ref="PFW29:PFX29"/>
    <mergeCell ref="PFA29:PFB29"/>
    <mergeCell ref="PFC29:PFD29"/>
    <mergeCell ref="PFE29:PFF29"/>
    <mergeCell ref="PFG29:PFH29"/>
    <mergeCell ref="PFI29:PFJ29"/>
    <mergeCell ref="PFK29:PFL29"/>
    <mergeCell ref="PEO29:PEP29"/>
    <mergeCell ref="PEQ29:PER29"/>
    <mergeCell ref="PES29:PET29"/>
    <mergeCell ref="PEU29:PEV29"/>
    <mergeCell ref="PEW29:PEX29"/>
    <mergeCell ref="PEY29:PEZ29"/>
    <mergeCell ref="PJQ29:PJR29"/>
    <mergeCell ref="PJS29:PJT29"/>
    <mergeCell ref="PJU29:PJV29"/>
    <mergeCell ref="PJW29:PJX29"/>
    <mergeCell ref="PJY29:PJZ29"/>
    <mergeCell ref="PKA29:PKB29"/>
    <mergeCell ref="PJE29:PJF29"/>
    <mergeCell ref="PJG29:PJH29"/>
    <mergeCell ref="PJI29:PJJ29"/>
    <mergeCell ref="PJK29:PJL29"/>
    <mergeCell ref="PJM29:PJN29"/>
    <mergeCell ref="PJO29:PJP29"/>
    <mergeCell ref="PIS29:PIT29"/>
    <mergeCell ref="PIU29:PIV29"/>
    <mergeCell ref="PIW29:PIX29"/>
    <mergeCell ref="PIY29:PIZ29"/>
    <mergeCell ref="PJA29:PJB29"/>
    <mergeCell ref="PJC29:PJD29"/>
    <mergeCell ref="PIG29:PIH29"/>
    <mergeCell ref="PII29:PIJ29"/>
    <mergeCell ref="PIK29:PIL29"/>
    <mergeCell ref="PIM29:PIN29"/>
    <mergeCell ref="PIO29:PIP29"/>
    <mergeCell ref="PIQ29:PIR29"/>
    <mergeCell ref="PHU29:PHV29"/>
    <mergeCell ref="PHW29:PHX29"/>
    <mergeCell ref="PHY29:PHZ29"/>
    <mergeCell ref="PIA29:PIB29"/>
    <mergeCell ref="PIC29:PID29"/>
    <mergeCell ref="PIE29:PIF29"/>
    <mergeCell ref="PHI29:PHJ29"/>
    <mergeCell ref="PHK29:PHL29"/>
    <mergeCell ref="PHM29:PHN29"/>
    <mergeCell ref="PHO29:PHP29"/>
    <mergeCell ref="PHQ29:PHR29"/>
    <mergeCell ref="PHS29:PHT29"/>
    <mergeCell ref="PMK29:PML29"/>
    <mergeCell ref="PMM29:PMN29"/>
    <mergeCell ref="PMO29:PMP29"/>
    <mergeCell ref="PMQ29:PMR29"/>
    <mergeCell ref="PMS29:PMT29"/>
    <mergeCell ref="PMU29:PMV29"/>
    <mergeCell ref="PLY29:PLZ29"/>
    <mergeCell ref="PMA29:PMB29"/>
    <mergeCell ref="PMC29:PMD29"/>
    <mergeCell ref="PME29:PMF29"/>
    <mergeCell ref="PMG29:PMH29"/>
    <mergeCell ref="PMI29:PMJ29"/>
    <mergeCell ref="PLM29:PLN29"/>
    <mergeCell ref="PLO29:PLP29"/>
    <mergeCell ref="PLQ29:PLR29"/>
    <mergeCell ref="PLS29:PLT29"/>
    <mergeCell ref="PLU29:PLV29"/>
    <mergeCell ref="PLW29:PLX29"/>
    <mergeCell ref="PLA29:PLB29"/>
    <mergeCell ref="PLC29:PLD29"/>
    <mergeCell ref="PLE29:PLF29"/>
    <mergeCell ref="PLG29:PLH29"/>
    <mergeCell ref="PLI29:PLJ29"/>
    <mergeCell ref="PLK29:PLL29"/>
    <mergeCell ref="PKO29:PKP29"/>
    <mergeCell ref="PKQ29:PKR29"/>
    <mergeCell ref="PKS29:PKT29"/>
    <mergeCell ref="PKU29:PKV29"/>
    <mergeCell ref="PKW29:PKX29"/>
    <mergeCell ref="PKY29:PKZ29"/>
    <mergeCell ref="PKC29:PKD29"/>
    <mergeCell ref="PKE29:PKF29"/>
    <mergeCell ref="PKG29:PKH29"/>
    <mergeCell ref="PKI29:PKJ29"/>
    <mergeCell ref="PKK29:PKL29"/>
    <mergeCell ref="PKM29:PKN29"/>
    <mergeCell ref="PPE29:PPF29"/>
    <mergeCell ref="PPG29:PPH29"/>
    <mergeCell ref="PPI29:PPJ29"/>
    <mergeCell ref="PPK29:PPL29"/>
    <mergeCell ref="PPM29:PPN29"/>
    <mergeCell ref="PPO29:PPP29"/>
    <mergeCell ref="POS29:POT29"/>
    <mergeCell ref="POU29:POV29"/>
    <mergeCell ref="POW29:POX29"/>
    <mergeCell ref="POY29:POZ29"/>
    <mergeCell ref="PPA29:PPB29"/>
    <mergeCell ref="PPC29:PPD29"/>
    <mergeCell ref="POG29:POH29"/>
    <mergeCell ref="POI29:POJ29"/>
    <mergeCell ref="POK29:POL29"/>
    <mergeCell ref="POM29:PON29"/>
    <mergeCell ref="POO29:POP29"/>
    <mergeCell ref="POQ29:POR29"/>
    <mergeCell ref="PNU29:PNV29"/>
    <mergeCell ref="PNW29:PNX29"/>
    <mergeCell ref="PNY29:PNZ29"/>
    <mergeCell ref="POA29:POB29"/>
    <mergeCell ref="POC29:POD29"/>
    <mergeCell ref="POE29:POF29"/>
    <mergeCell ref="PNI29:PNJ29"/>
    <mergeCell ref="PNK29:PNL29"/>
    <mergeCell ref="PNM29:PNN29"/>
    <mergeCell ref="PNO29:PNP29"/>
    <mergeCell ref="PNQ29:PNR29"/>
    <mergeCell ref="PNS29:PNT29"/>
    <mergeCell ref="PMW29:PMX29"/>
    <mergeCell ref="PMY29:PMZ29"/>
    <mergeCell ref="PNA29:PNB29"/>
    <mergeCell ref="PNC29:PND29"/>
    <mergeCell ref="PNE29:PNF29"/>
    <mergeCell ref="PNG29:PNH29"/>
    <mergeCell ref="PRY29:PRZ29"/>
    <mergeCell ref="PSA29:PSB29"/>
    <mergeCell ref="PSC29:PSD29"/>
    <mergeCell ref="PSE29:PSF29"/>
    <mergeCell ref="PSG29:PSH29"/>
    <mergeCell ref="PSI29:PSJ29"/>
    <mergeCell ref="PRM29:PRN29"/>
    <mergeCell ref="PRO29:PRP29"/>
    <mergeCell ref="PRQ29:PRR29"/>
    <mergeCell ref="PRS29:PRT29"/>
    <mergeCell ref="PRU29:PRV29"/>
    <mergeCell ref="PRW29:PRX29"/>
    <mergeCell ref="PRA29:PRB29"/>
    <mergeCell ref="PRC29:PRD29"/>
    <mergeCell ref="PRE29:PRF29"/>
    <mergeCell ref="PRG29:PRH29"/>
    <mergeCell ref="PRI29:PRJ29"/>
    <mergeCell ref="PRK29:PRL29"/>
    <mergeCell ref="PQO29:PQP29"/>
    <mergeCell ref="PQQ29:PQR29"/>
    <mergeCell ref="PQS29:PQT29"/>
    <mergeCell ref="PQU29:PQV29"/>
    <mergeCell ref="PQW29:PQX29"/>
    <mergeCell ref="PQY29:PQZ29"/>
    <mergeCell ref="PQC29:PQD29"/>
    <mergeCell ref="PQE29:PQF29"/>
    <mergeCell ref="PQG29:PQH29"/>
    <mergeCell ref="PQI29:PQJ29"/>
    <mergeCell ref="PQK29:PQL29"/>
    <mergeCell ref="PQM29:PQN29"/>
    <mergeCell ref="PPQ29:PPR29"/>
    <mergeCell ref="PPS29:PPT29"/>
    <mergeCell ref="PPU29:PPV29"/>
    <mergeCell ref="PPW29:PPX29"/>
    <mergeCell ref="PPY29:PPZ29"/>
    <mergeCell ref="PQA29:PQB29"/>
    <mergeCell ref="PUS29:PUT29"/>
    <mergeCell ref="PUU29:PUV29"/>
    <mergeCell ref="PUW29:PUX29"/>
    <mergeCell ref="PUY29:PUZ29"/>
    <mergeCell ref="PVA29:PVB29"/>
    <mergeCell ref="PVC29:PVD29"/>
    <mergeCell ref="PUG29:PUH29"/>
    <mergeCell ref="PUI29:PUJ29"/>
    <mergeCell ref="PUK29:PUL29"/>
    <mergeCell ref="PUM29:PUN29"/>
    <mergeCell ref="PUO29:PUP29"/>
    <mergeCell ref="PUQ29:PUR29"/>
    <mergeCell ref="PTU29:PTV29"/>
    <mergeCell ref="PTW29:PTX29"/>
    <mergeCell ref="PTY29:PTZ29"/>
    <mergeCell ref="PUA29:PUB29"/>
    <mergeCell ref="PUC29:PUD29"/>
    <mergeCell ref="PUE29:PUF29"/>
    <mergeCell ref="PTI29:PTJ29"/>
    <mergeCell ref="PTK29:PTL29"/>
    <mergeCell ref="PTM29:PTN29"/>
    <mergeCell ref="PTO29:PTP29"/>
    <mergeCell ref="PTQ29:PTR29"/>
    <mergeCell ref="PTS29:PTT29"/>
    <mergeCell ref="PSW29:PSX29"/>
    <mergeCell ref="PSY29:PSZ29"/>
    <mergeCell ref="PTA29:PTB29"/>
    <mergeCell ref="PTC29:PTD29"/>
    <mergeCell ref="PTE29:PTF29"/>
    <mergeCell ref="PTG29:PTH29"/>
    <mergeCell ref="PSK29:PSL29"/>
    <mergeCell ref="PSM29:PSN29"/>
    <mergeCell ref="PSO29:PSP29"/>
    <mergeCell ref="PSQ29:PSR29"/>
    <mergeCell ref="PSS29:PST29"/>
    <mergeCell ref="PSU29:PSV29"/>
    <mergeCell ref="PXM29:PXN29"/>
    <mergeCell ref="PXO29:PXP29"/>
    <mergeCell ref="PXQ29:PXR29"/>
    <mergeCell ref="PXS29:PXT29"/>
    <mergeCell ref="PXU29:PXV29"/>
    <mergeCell ref="PXW29:PXX29"/>
    <mergeCell ref="PXA29:PXB29"/>
    <mergeCell ref="PXC29:PXD29"/>
    <mergeCell ref="PXE29:PXF29"/>
    <mergeCell ref="PXG29:PXH29"/>
    <mergeCell ref="PXI29:PXJ29"/>
    <mergeCell ref="PXK29:PXL29"/>
    <mergeCell ref="PWO29:PWP29"/>
    <mergeCell ref="PWQ29:PWR29"/>
    <mergeCell ref="PWS29:PWT29"/>
    <mergeCell ref="PWU29:PWV29"/>
    <mergeCell ref="PWW29:PWX29"/>
    <mergeCell ref="PWY29:PWZ29"/>
    <mergeCell ref="PWC29:PWD29"/>
    <mergeCell ref="PWE29:PWF29"/>
    <mergeCell ref="PWG29:PWH29"/>
    <mergeCell ref="PWI29:PWJ29"/>
    <mergeCell ref="PWK29:PWL29"/>
    <mergeCell ref="PWM29:PWN29"/>
    <mergeCell ref="PVQ29:PVR29"/>
    <mergeCell ref="PVS29:PVT29"/>
    <mergeCell ref="PVU29:PVV29"/>
    <mergeCell ref="PVW29:PVX29"/>
    <mergeCell ref="PVY29:PVZ29"/>
    <mergeCell ref="PWA29:PWB29"/>
    <mergeCell ref="PVE29:PVF29"/>
    <mergeCell ref="PVG29:PVH29"/>
    <mergeCell ref="PVI29:PVJ29"/>
    <mergeCell ref="PVK29:PVL29"/>
    <mergeCell ref="PVM29:PVN29"/>
    <mergeCell ref="PVO29:PVP29"/>
    <mergeCell ref="QAG29:QAH29"/>
    <mergeCell ref="QAI29:QAJ29"/>
    <mergeCell ref="QAK29:QAL29"/>
    <mergeCell ref="QAM29:QAN29"/>
    <mergeCell ref="QAO29:QAP29"/>
    <mergeCell ref="QAQ29:QAR29"/>
    <mergeCell ref="PZU29:PZV29"/>
    <mergeCell ref="PZW29:PZX29"/>
    <mergeCell ref="PZY29:PZZ29"/>
    <mergeCell ref="QAA29:QAB29"/>
    <mergeCell ref="QAC29:QAD29"/>
    <mergeCell ref="QAE29:QAF29"/>
    <mergeCell ref="PZI29:PZJ29"/>
    <mergeCell ref="PZK29:PZL29"/>
    <mergeCell ref="PZM29:PZN29"/>
    <mergeCell ref="PZO29:PZP29"/>
    <mergeCell ref="PZQ29:PZR29"/>
    <mergeCell ref="PZS29:PZT29"/>
    <mergeCell ref="PYW29:PYX29"/>
    <mergeCell ref="PYY29:PYZ29"/>
    <mergeCell ref="PZA29:PZB29"/>
    <mergeCell ref="PZC29:PZD29"/>
    <mergeCell ref="PZE29:PZF29"/>
    <mergeCell ref="PZG29:PZH29"/>
    <mergeCell ref="PYK29:PYL29"/>
    <mergeCell ref="PYM29:PYN29"/>
    <mergeCell ref="PYO29:PYP29"/>
    <mergeCell ref="PYQ29:PYR29"/>
    <mergeCell ref="PYS29:PYT29"/>
    <mergeCell ref="PYU29:PYV29"/>
    <mergeCell ref="PXY29:PXZ29"/>
    <mergeCell ref="PYA29:PYB29"/>
    <mergeCell ref="PYC29:PYD29"/>
    <mergeCell ref="PYE29:PYF29"/>
    <mergeCell ref="PYG29:PYH29"/>
    <mergeCell ref="PYI29:PYJ29"/>
    <mergeCell ref="QDA29:QDB29"/>
    <mergeCell ref="QDC29:QDD29"/>
    <mergeCell ref="QDE29:QDF29"/>
    <mergeCell ref="QDG29:QDH29"/>
    <mergeCell ref="QDI29:QDJ29"/>
    <mergeCell ref="QDK29:QDL29"/>
    <mergeCell ref="QCO29:QCP29"/>
    <mergeCell ref="QCQ29:QCR29"/>
    <mergeCell ref="QCS29:QCT29"/>
    <mergeCell ref="QCU29:QCV29"/>
    <mergeCell ref="QCW29:QCX29"/>
    <mergeCell ref="QCY29:QCZ29"/>
    <mergeCell ref="QCC29:QCD29"/>
    <mergeCell ref="QCE29:QCF29"/>
    <mergeCell ref="QCG29:QCH29"/>
    <mergeCell ref="QCI29:QCJ29"/>
    <mergeCell ref="QCK29:QCL29"/>
    <mergeCell ref="QCM29:QCN29"/>
    <mergeCell ref="QBQ29:QBR29"/>
    <mergeCell ref="QBS29:QBT29"/>
    <mergeCell ref="QBU29:QBV29"/>
    <mergeCell ref="QBW29:QBX29"/>
    <mergeCell ref="QBY29:QBZ29"/>
    <mergeCell ref="QCA29:QCB29"/>
    <mergeCell ref="QBE29:QBF29"/>
    <mergeCell ref="QBG29:QBH29"/>
    <mergeCell ref="QBI29:QBJ29"/>
    <mergeCell ref="QBK29:QBL29"/>
    <mergeCell ref="QBM29:QBN29"/>
    <mergeCell ref="QBO29:QBP29"/>
    <mergeCell ref="QAS29:QAT29"/>
    <mergeCell ref="QAU29:QAV29"/>
    <mergeCell ref="QAW29:QAX29"/>
    <mergeCell ref="QAY29:QAZ29"/>
    <mergeCell ref="QBA29:QBB29"/>
    <mergeCell ref="QBC29:QBD29"/>
    <mergeCell ref="QFU29:QFV29"/>
    <mergeCell ref="QFW29:QFX29"/>
    <mergeCell ref="QFY29:QFZ29"/>
    <mergeCell ref="QGA29:QGB29"/>
    <mergeCell ref="QGC29:QGD29"/>
    <mergeCell ref="QGE29:QGF29"/>
    <mergeCell ref="QFI29:QFJ29"/>
    <mergeCell ref="QFK29:QFL29"/>
    <mergeCell ref="QFM29:QFN29"/>
    <mergeCell ref="QFO29:QFP29"/>
    <mergeCell ref="QFQ29:QFR29"/>
    <mergeCell ref="QFS29:QFT29"/>
    <mergeCell ref="QEW29:QEX29"/>
    <mergeCell ref="QEY29:QEZ29"/>
    <mergeCell ref="QFA29:QFB29"/>
    <mergeCell ref="QFC29:QFD29"/>
    <mergeCell ref="QFE29:QFF29"/>
    <mergeCell ref="QFG29:QFH29"/>
    <mergeCell ref="QEK29:QEL29"/>
    <mergeCell ref="QEM29:QEN29"/>
    <mergeCell ref="QEO29:QEP29"/>
    <mergeCell ref="QEQ29:QER29"/>
    <mergeCell ref="QES29:QET29"/>
    <mergeCell ref="QEU29:QEV29"/>
    <mergeCell ref="QDY29:QDZ29"/>
    <mergeCell ref="QEA29:QEB29"/>
    <mergeCell ref="QEC29:QED29"/>
    <mergeCell ref="QEE29:QEF29"/>
    <mergeCell ref="QEG29:QEH29"/>
    <mergeCell ref="QEI29:QEJ29"/>
    <mergeCell ref="QDM29:QDN29"/>
    <mergeCell ref="QDO29:QDP29"/>
    <mergeCell ref="QDQ29:QDR29"/>
    <mergeCell ref="QDS29:QDT29"/>
    <mergeCell ref="QDU29:QDV29"/>
    <mergeCell ref="QDW29:QDX29"/>
    <mergeCell ref="QIO29:QIP29"/>
    <mergeCell ref="QIQ29:QIR29"/>
    <mergeCell ref="QIS29:QIT29"/>
    <mergeCell ref="QIU29:QIV29"/>
    <mergeCell ref="QIW29:QIX29"/>
    <mergeCell ref="QIY29:QIZ29"/>
    <mergeCell ref="QIC29:QID29"/>
    <mergeCell ref="QIE29:QIF29"/>
    <mergeCell ref="QIG29:QIH29"/>
    <mergeCell ref="QII29:QIJ29"/>
    <mergeCell ref="QIK29:QIL29"/>
    <mergeCell ref="QIM29:QIN29"/>
    <mergeCell ref="QHQ29:QHR29"/>
    <mergeCell ref="QHS29:QHT29"/>
    <mergeCell ref="QHU29:QHV29"/>
    <mergeCell ref="QHW29:QHX29"/>
    <mergeCell ref="QHY29:QHZ29"/>
    <mergeCell ref="QIA29:QIB29"/>
    <mergeCell ref="QHE29:QHF29"/>
    <mergeCell ref="QHG29:QHH29"/>
    <mergeCell ref="QHI29:QHJ29"/>
    <mergeCell ref="QHK29:QHL29"/>
    <mergeCell ref="QHM29:QHN29"/>
    <mergeCell ref="QHO29:QHP29"/>
    <mergeCell ref="QGS29:QGT29"/>
    <mergeCell ref="QGU29:QGV29"/>
    <mergeCell ref="QGW29:QGX29"/>
    <mergeCell ref="QGY29:QGZ29"/>
    <mergeCell ref="QHA29:QHB29"/>
    <mergeCell ref="QHC29:QHD29"/>
    <mergeCell ref="QGG29:QGH29"/>
    <mergeCell ref="QGI29:QGJ29"/>
    <mergeCell ref="QGK29:QGL29"/>
    <mergeCell ref="QGM29:QGN29"/>
    <mergeCell ref="QGO29:QGP29"/>
    <mergeCell ref="QGQ29:QGR29"/>
    <mergeCell ref="QLI29:QLJ29"/>
    <mergeCell ref="QLK29:QLL29"/>
    <mergeCell ref="QLM29:QLN29"/>
    <mergeCell ref="QLO29:QLP29"/>
    <mergeCell ref="QLQ29:QLR29"/>
    <mergeCell ref="QLS29:QLT29"/>
    <mergeCell ref="QKW29:QKX29"/>
    <mergeCell ref="QKY29:QKZ29"/>
    <mergeCell ref="QLA29:QLB29"/>
    <mergeCell ref="QLC29:QLD29"/>
    <mergeCell ref="QLE29:QLF29"/>
    <mergeCell ref="QLG29:QLH29"/>
    <mergeCell ref="QKK29:QKL29"/>
    <mergeCell ref="QKM29:QKN29"/>
    <mergeCell ref="QKO29:QKP29"/>
    <mergeCell ref="QKQ29:QKR29"/>
    <mergeCell ref="QKS29:QKT29"/>
    <mergeCell ref="QKU29:QKV29"/>
    <mergeCell ref="QJY29:QJZ29"/>
    <mergeCell ref="QKA29:QKB29"/>
    <mergeCell ref="QKC29:QKD29"/>
    <mergeCell ref="QKE29:QKF29"/>
    <mergeCell ref="QKG29:QKH29"/>
    <mergeCell ref="QKI29:QKJ29"/>
    <mergeCell ref="QJM29:QJN29"/>
    <mergeCell ref="QJO29:QJP29"/>
    <mergeCell ref="QJQ29:QJR29"/>
    <mergeCell ref="QJS29:QJT29"/>
    <mergeCell ref="QJU29:QJV29"/>
    <mergeCell ref="QJW29:QJX29"/>
    <mergeCell ref="QJA29:QJB29"/>
    <mergeCell ref="QJC29:QJD29"/>
    <mergeCell ref="QJE29:QJF29"/>
    <mergeCell ref="QJG29:QJH29"/>
    <mergeCell ref="QJI29:QJJ29"/>
    <mergeCell ref="QJK29:QJL29"/>
    <mergeCell ref="QOC29:QOD29"/>
    <mergeCell ref="QOE29:QOF29"/>
    <mergeCell ref="QOG29:QOH29"/>
    <mergeCell ref="QOI29:QOJ29"/>
    <mergeCell ref="QOK29:QOL29"/>
    <mergeCell ref="QOM29:QON29"/>
    <mergeCell ref="QNQ29:QNR29"/>
    <mergeCell ref="QNS29:QNT29"/>
    <mergeCell ref="QNU29:QNV29"/>
    <mergeCell ref="QNW29:QNX29"/>
    <mergeCell ref="QNY29:QNZ29"/>
    <mergeCell ref="QOA29:QOB29"/>
    <mergeCell ref="QNE29:QNF29"/>
    <mergeCell ref="QNG29:QNH29"/>
    <mergeCell ref="QNI29:QNJ29"/>
    <mergeCell ref="QNK29:QNL29"/>
    <mergeCell ref="QNM29:QNN29"/>
    <mergeCell ref="QNO29:QNP29"/>
    <mergeCell ref="QMS29:QMT29"/>
    <mergeCell ref="QMU29:QMV29"/>
    <mergeCell ref="QMW29:QMX29"/>
    <mergeCell ref="QMY29:QMZ29"/>
    <mergeCell ref="QNA29:QNB29"/>
    <mergeCell ref="QNC29:QND29"/>
    <mergeCell ref="QMG29:QMH29"/>
    <mergeCell ref="QMI29:QMJ29"/>
    <mergeCell ref="QMK29:QML29"/>
    <mergeCell ref="QMM29:QMN29"/>
    <mergeCell ref="QMO29:QMP29"/>
    <mergeCell ref="QMQ29:QMR29"/>
    <mergeCell ref="QLU29:QLV29"/>
    <mergeCell ref="QLW29:QLX29"/>
    <mergeCell ref="QLY29:QLZ29"/>
    <mergeCell ref="QMA29:QMB29"/>
    <mergeCell ref="QMC29:QMD29"/>
    <mergeCell ref="QME29:QMF29"/>
    <mergeCell ref="QQW29:QQX29"/>
    <mergeCell ref="QQY29:QQZ29"/>
    <mergeCell ref="QRA29:QRB29"/>
    <mergeCell ref="QRC29:QRD29"/>
    <mergeCell ref="QRE29:QRF29"/>
    <mergeCell ref="QRG29:QRH29"/>
    <mergeCell ref="QQK29:QQL29"/>
    <mergeCell ref="QQM29:QQN29"/>
    <mergeCell ref="QQO29:QQP29"/>
    <mergeCell ref="QQQ29:QQR29"/>
    <mergeCell ref="QQS29:QQT29"/>
    <mergeCell ref="QQU29:QQV29"/>
    <mergeCell ref="QPY29:QPZ29"/>
    <mergeCell ref="QQA29:QQB29"/>
    <mergeCell ref="QQC29:QQD29"/>
    <mergeCell ref="QQE29:QQF29"/>
    <mergeCell ref="QQG29:QQH29"/>
    <mergeCell ref="QQI29:QQJ29"/>
    <mergeCell ref="QPM29:QPN29"/>
    <mergeCell ref="QPO29:QPP29"/>
    <mergeCell ref="QPQ29:QPR29"/>
    <mergeCell ref="QPS29:QPT29"/>
    <mergeCell ref="QPU29:QPV29"/>
    <mergeCell ref="QPW29:QPX29"/>
    <mergeCell ref="QPA29:QPB29"/>
    <mergeCell ref="QPC29:QPD29"/>
    <mergeCell ref="QPE29:QPF29"/>
    <mergeCell ref="QPG29:QPH29"/>
    <mergeCell ref="QPI29:QPJ29"/>
    <mergeCell ref="QPK29:QPL29"/>
    <mergeCell ref="QOO29:QOP29"/>
    <mergeCell ref="QOQ29:QOR29"/>
    <mergeCell ref="QOS29:QOT29"/>
    <mergeCell ref="QOU29:QOV29"/>
    <mergeCell ref="QOW29:QOX29"/>
    <mergeCell ref="QOY29:QOZ29"/>
    <mergeCell ref="QTQ29:QTR29"/>
    <mergeCell ref="QTS29:QTT29"/>
    <mergeCell ref="QTU29:QTV29"/>
    <mergeCell ref="QTW29:QTX29"/>
    <mergeCell ref="QTY29:QTZ29"/>
    <mergeCell ref="QUA29:QUB29"/>
    <mergeCell ref="QTE29:QTF29"/>
    <mergeCell ref="QTG29:QTH29"/>
    <mergeCell ref="QTI29:QTJ29"/>
    <mergeCell ref="QTK29:QTL29"/>
    <mergeCell ref="QTM29:QTN29"/>
    <mergeCell ref="QTO29:QTP29"/>
    <mergeCell ref="QSS29:QST29"/>
    <mergeCell ref="QSU29:QSV29"/>
    <mergeCell ref="QSW29:QSX29"/>
    <mergeCell ref="QSY29:QSZ29"/>
    <mergeCell ref="QTA29:QTB29"/>
    <mergeCell ref="QTC29:QTD29"/>
    <mergeCell ref="QSG29:QSH29"/>
    <mergeCell ref="QSI29:QSJ29"/>
    <mergeCell ref="QSK29:QSL29"/>
    <mergeCell ref="QSM29:QSN29"/>
    <mergeCell ref="QSO29:QSP29"/>
    <mergeCell ref="QSQ29:QSR29"/>
    <mergeCell ref="QRU29:QRV29"/>
    <mergeCell ref="QRW29:QRX29"/>
    <mergeCell ref="QRY29:QRZ29"/>
    <mergeCell ref="QSA29:QSB29"/>
    <mergeCell ref="QSC29:QSD29"/>
    <mergeCell ref="QSE29:QSF29"/>
    <mergeCell ref="QRI29:QRJ29"/>
    <mergeCell ref="QRK29:QRL29"/>
    <mergeCell ref="QRM29:QRN29"/>
    <mergeCell ref="QRO29:QRP29"/>
    <mergeCell ref="QRQ29:QRR29"/>
    <mergeCell ref="QRS29:QRT29"/>
    <mergeCell ref="QWK29:QWL29"/>
    <mergeCell ref="QWM29:QWN29"/>
    <mergeCell ref="QWO29:QWP29"/>
    <mergeCell ref="QWQ29:QWR29"/>
    <mergeCell ref="QWS29:QWT29"/>
    <mergeCell ref="QWU29:QWV29"/>
    <mergeCell ref="QVY29:QVZ29"/>
    <mergeCell ref="QWA29:QWB29"/>
    <mergeCell ref="QWC29:QWD29"/>
    <mergeCell ref="QWE29:QWF29"/>
    <mergeCell ref="QWG29:QWH29"/>
    <mergeCell ref="QWI29:QWJ29"/>
    <mergeCell ref="QVM29:QVN29"/>
    <mergeCell ref="QVO29:QVP29"/>
    <mergeCell ref="QVQ29:QVR29"/>
    <mergeCell ref="QVS29:QVT29"/>
    <mergeCell ref="QVU29:QVV29"/>
    <mergeCell ref="QVW29:QVX29"/>
    <mergeCell ref="QVA29:QVB29"/>
    <mergeCell ref="QVC29:QVD29"/>
    <mergeCell ref="QVE29:QVF29"/>
    <mergeCell ref="QVG29:QVH29"/>
    <mergeCell ref="QVI29:QVJ29"/>
    <mergeCell ref="QVK29:QVL29"/>
    <mergeCell ref="QUO29:QUP29"/>
    <mergeCell ref="QUQ29:QUR29"/>
    <mergeCell ref="QUS29:QUT29"/>
    <mergeCell ref="QUU29:QUV29"/>
    <mergeCell ref="QUW29:QUX29"/>
    <mergeCell ref="QUY29:QUZ29"/>
    <mergeCell ref="QUC29:QUD29"/>
    <mergeCell ref="QUE29:QUF29"/>
    <mergeCell ref="QUG29:QUH29"/>
    <mergeCell ref="QUI29:QUJ29"/>
    <mergeCell ref="QUK29:QUL29"/>
    <mergeCell ref="QUM29:QUN29"/>
    <mergeCell ref="QZE29:QZF29"/>
    <mergeCell ref="QZG29:QZH29"/>
    <mergeCell ref="QZI29:QZJ29"/>
    <mergeCell ref="QZK29:QZL29"/>
    <mergeCell ref="QZM29:QZN29"/>
    <mergeCell ref="QZO29:QZP29"/>
    <mergeCell ref="QYS29:QYT29"/>
    <mergeCell ref="QYU29:QYV29"/>
    <mergeCell ref="QYW29:QYX29"/>
    <mergeCell ref="QYY29:QYZ29"/>
    <mergeCell ref="QZA29:QZB29"/>
    <mergeCell ref="QZC29:QZD29"/>
    <mergeCell ref="QYG29:QYH29"/>
    <mergeCell ref="QYI29:QYJ29"/>
    <mergeCell ref="QYK29:QYL29"/>
    <mergeCell ref="QYM29:QYN29"/>
    <mergeCell ref="QYO29:QYP29"/>
    <mergeCell ref="QYQ29:QYR29"/>
    <mergeCell ref="QXU29:QXV29"/>
    <mergeCell ref="QXW29:QXX29"/>
    <mergeCell ref="QXY29:QXZ29"/>
    <mergeCell ref="QYA29:QYB29"/>
    <mergeCell ref="QYC29:QYD29"/>
    <mergeCell ref="QYE29:QYF29"/>
    <mergeCell ref="QXI29:QXJ29"/>
    <mergeCell ref="QXK29:QXL29"/>
    <mergeCell ref="QXM29:QXN29"/>
    <mergeCell ref="QXO29:QXP29"/>
    <mergeCell ref="QXQ29:QXR29"/>
    <mergeCell ref="QXS29:QXT29"/>
    <mergeCell ref="QWW29:QWX29"/>
    <mergeCell ref="QWY29:QWZ29"/>
    <mergeCell ref="QXA29:QXB29"/>
    <mergeCell ref="QXC29:QXD29"/>
    <mergeCell ref="QXE29:QXF29"/>
    <mergeCell ref="QXG29:QXH29"/>
    <mergeCell ref="RBY29:RBZ29"/>
    <mergeCell ref="RCA29:RCB29"/>
    <mergeCell ref="RCC29:RCD29"/>
    <mergeCell ref="RCE29:RCF29"/>
    <mergeCell ref="RCG29:RCH29"/>
    <mergeCell ref="RCI29:RCJ29"/>
    <mergeCell ref="RBM29:RBN29"/>
    <mergeCell ref="RBO29:RBP29"/>
    <mergeCell ref="RBQ29:RBR29"/>
    <mergeCell ref="RBS29:RBT29"/>
    <mergeCell ref="RBU29:RBV29"/>
    <mergeCell ref="RBW29:RBX29"/>
    <mergeCell ref="RBA29:RBB29"/>
    <mergeCell ref="RBC29:RBD29"/>
    <mergeCell ref="RBE29:RBF29"/>
    <mergeCell ref="RBG29:RBH29"/>
    <mergeCell ref="RBI29:RBJ29"/>
    <mergeCell ref="RBK29:RBL29"/>
    <mergeCell ref="RAO29:RAP29"/>
    <mergeCell ref="RAQ29:RAR29"/>
    <mergeCell ref="RAS29:RAT29"/>
    <mergeCell ref="RAU29:RAV29"/>
    <mergeCell ref="RAW29:RAX29"/>
    <mergeCell ref="RAY29:RAZ29"/>
    <mergeCell ref="RAC29:RAD29"/>
    <mergeCell ref="RAE29:RAF29"/>
    <mergeCell ref="RAG29:RAH29"/>
    <mergeCell ref="RAI29:RAJ29"/>
    <mergeCell ref="RAK29:RAL29"/>
    <mergeCell ref="RAM29:RAN29"/>
    <mergeCell ref="QZQ29:QZR29"/>
    <mergeCell ref="QZS29:QZT29"/>
    <mergeCell ref="QZU29:QZV29"/>
    <mergeCell ref="QZW29:QZX29"/>
    <mergeCell ref="QZY29:QZZ29"/>
    <mergeCell ref="RAA29:RAB29"/>
    <mergeCell ref="RES29:RET29"/>
    <mergeCell ref="REU29:REV29"/>
    <mergeCell ref="REW29:REX29"/>
    <mergeCell ref="REY29:REZ29"/>
    <mergeCell ref="RFA29:RFB29"/>
    <mergeCell ref="RFC29:RFD29"/>
    <mergeCell ref="REG29:REH29"/>
    <mergeCell ref="REI29:REJ29"/>
    <mergeCell ref="REK29:REL29"/>
    <mergeCell ref="REM29:REN29"/>
    <mergeCell ref="REO29:REP29"/>
    <mergeCell ref="REQ29:RER29"/>
    <mergeCell ref="RDU29:RDV29"/>
    <mergeCell ref="RDW29:RDX29"/>
    <mergeCell ref="RDY29:RDZ29"/>
    <mergeCell ref="REA29:REB29"/>
    <mergeCell ref="REC29:RED29"/>
    <mergeCell ref="REE29:REF29"/>
    <mergeCell ref="RDI29:RDJ29"/>
    <mergeCell ref="RDK29:RDL29"/>
    <mergeCell ref="RDM29:RDN29"/>
    <mergeCell ref="RDO29:RDP29"/>
    <mergeCell ref="RDQ29:RDR29"/>
    <mergeCell ref="RDS29:RDT29"/>
    <mergeCell ref="RCW29:RCX29"/>
    <mergeCell ref="RCY29:RCZ29"/>
    <mergeCell ref="RDA29:RDB29"/>
    <mergeCell ref="RDC29:RDD29"/>
    <mergeCell ref="RDE29:RDF29"/>
    <mergeCell ref="RDG29:RDH29"/>
    <mergeCell ref="RCK29:RCL29"/>
    <mergeCell ref="RCM29:RCN29"/>
    <mergeCell ref="RCO29:RCP29"/>
    <mergeCell ref="RCQ29:RCR29"/>
    <mergeCell ref="RCS29:RCT29"/>
    <mergeCell ref="RCU29:RCV29"/>
    <mergeCell ref="RHM29:RHN29"/>
    <mergeCell ref="RHO29:RHP29"/>
    <mergeCell ref="RHQ29:RHR29"/>
    <mergeCell ref="RHS29:RHT29"/>
    <mergeCell ref="RHU29:RHV29"/>
    <mergeCell ref="RHW29:RHX29"/>
    <mergeCell ref="RHA29:RHB29"/>
    <mergeCell ref="RHC29:RHD29"/>
    <mergeCell ref="RHE29:RHF29"/>
    <mergeCell ref="RHG29:RHH29"/>
    <mergeCell ref="RHI29:RHJ29"/>
    <mergeCell ref="RHK29:RHL29"/>
    <mergeCell ref="RGO29:RGP29"/>
    <mergeCell ref="RGQ29:RGR29"/>
    <mergeCell ref="RGS29:RGT29"/>
    <mergeCell ref="RGU29:RGV29"/>
    <mergeCell ref="RGW29:RGX29"/>
    <mergeCell ref="RGY29:RGZ29"/>
    <mergeCell ref="RGC29:RGD29"/>
    <mergeCell ref="RGE29:RGF29"/>
    <mergeCell ref="RGG29:RGH29"/>
    <mergeCell ref="RGI29:RGJ29"/>
    <mergeCell ref="RGK29:RGL29"/>
    <mergeCell ref="RGM29:RGN29"/>
    <mergeCell ref="RFQ29:RFR29"/>
    <mergeCell ref="RFS29:RFT29"/>
    <mergeCell ref="RFU29:RFV29"/>
    <mergeCell ref="RFW29:RFX29"/>
    <mergeCell ref="RFY29:RFZ29"/>
    <mergeCell ref="RGA29:RGB29"/>
    <mergeCell ref="RFE29:RFF29"/>
    <mergeCell ref="RFG29:RFH29"/>
    <mergeCell ref="RFI29:RFJ29"/>
    <mergeCell ref="RFK29:RFL29"/>
    <mergeCell ref="RFM29:RFN29"/>
    <mergeCell ref="RFO29:RFP29"/>
    <mergeCell ref="RKG29:RKH29"/>
    <mergeCell ref="RKI29:RKJ29"/>
    <mergeCell ref="RKK29:RKL29"/>
    <mergeCell ref="RKM29:RKN29"/>
    <mergeCell ref="RKO29:RKP29"/>
    <mergeCell ref="RKQ29:RKR29"/>
    <mergeCell ref="RJU29:RJV29"/>
    <mergeCell ref="RJW29:RJX29"/>
    <mergeCell ref="RJY29:RJZ29"/>
    <mergeCell ref="RKA29:RKB29"/>
    <mergeCell ref="RKC29:RKD29"/>
    <mergeCell ref="RKE29:RKF29"/>
    <mergeCell ref="RJI29:RJJ29"/>
    <mergeCell ref="RJK29:RJL29"/>
    <mergeCell ref="RJM29:RJN29"/>
    <mergeCell ref="RJO29:RJP29"/>
    <mergeCell ref="RJQ29:RJR29"/>
    <mergeCell ref="RJS29:RJT29"/>
    <mergeCell ref="RIW29:RIX29"/>
    <mergeCell ref="RIY29:RIZ29"/>
    <mergeCell ref="RJA29:RJB29"/>
    <mergeCell ref="RJC29:RJD29"/>
    <mergeCell ref="RJE29:RJF29"/>
    <mergeCell ref="RJG29:RJH29"/>
    <mergeCell ref="RIK29:RIL29"/>
    <mergeCell ref="RIM29:RIN29"/>
    <mergeCell ref="RIO29:RIP29"/>
    <mergeCell ref="RIQ29:RIR29"/>
    <mergeCell ref="RIS29:RIT29"/>
    <mergeCell ref="RIU29:RIV29"/>
    <mergeCell ref="RHY29:RHZ29"/>
    <mergeCell ref="RIA29:RIB29"/>
    <mergeCell ref="RIC29:RID29"/>
    <mergeCell ref="RIE29:RIF29"/>
    <mergeCell ref="RIG29:RIH29"/>
    <mergeCell ref="RII29:RIJ29"/>
    <mergeCell ref="RNA29:RNB29"/>
    <mergeCell ref="RNC29:RND29"/>
    <mergeCell ref="RNE29:RNF29"/>
    <mergeCell ref="RNG29:RNH29"/>
    <mergeCell ref="RNI29:RNJ29"/>
    <mergeCell ref="RNK29:RNL29"/>
    <mergeCell ref="RMO29:RMP29"/>
    <mergeCell ref="RMQ29:RMR29"/>
    <mergeCell ref="RMS29:RMT29"/>
    <mergeCell ref="RMU29:RMV29"/>
    <mergeCell ref="RMW29:RMX29"/>
    <mergeCell ref="RMY29:RMZ29"/>
    <mergeCell ref="RMC29:RMD29"/>
    <mergeCell ref="RME29:RMF29"/>
    <mergeCell ref="RMG29:RMH29"/>
    <mergeCell ref="RMI29:RMJ29"/>
    <mergeCell ref="RMK29:RML29"/>
    <mergeCell ref="RMM29:RMN29"/>
    <mergeCell ref="RLQ29:RLR29"/>
    <mergeCell ref="RLS29:RLT29"/>
    <mergeCell ref="RLU29:RLV29"/>
    <mergeCell ref="RLW29:RLX29"/>
    <mergeCell ref="RLY29:RLZ29"/>
    <mergeCell ref="RMA29:RMB29"/>
    <mergeCell ref="RLE29:RLF29"/>
    <mergeCell ref="RLG29:RLH29"/>
    <mergeCell ref="RLI29:RLJ29"/>
    <mergeCell ref="RLK29:RLL29"/>
    <mergeCell ref="RLM29:RLN29"/>
    <mergeCell ref="RLO29:RLP29"/>
    <mergeCell ref="RKS29:RKT29"/>
    <mergeCell ref="RKU29:RKV29"/>
    <mergeCell ref="RKW29:RKX29"/>
    <mergeCell ref="RKY29:RKZ29"/>
    <mergeCell ref="RLA29:RLB29"/>
    <mergeCell ref="RLC29:RLD29"/>
    <mergeCell ref="RPU29:RPV29"/>
    <mergeCell ref="RPW29:RPX29"/>
    <mergeCell ref="RPY29:RPZ29"/>
    <mergeCell ref="RQA29:RQB29"/>
    <mergeCell ref="RQC29:RQD29"/>
    <mergeCell ref="RQE29:RQF29"/>
    <mergeCell ref="RPI29:RPJ29"/>
    <mergeCell ref="RPK29:RPL29"/>
    <mergeCell ref="RPM29:RPN29"/>
    <mergeCell ref="RPO29:RPP29"/>
    <mergeCell ref="RPQ29:RPR29"/>
    <mergeCell ref="RPS29:RPT29"/>
    <mergeCell ref="ROW29:ROX29"/>
    <mergeCell ref="ROY29:ROZ29"/>
    <mergeCell ref="RPA29:RPB29"/>
    <mergeCell ref="RPC29:RPD29"/>
    <mergeCell ref="RPE29:RPF29"/>
    <mergeCell ref="RPG29:RPH29"/>
    <mergeCell ref="ROK29:ROL29"/>
    <mergeCell ref="ROM29:RON29"/>
    <mergeCell ref="ROO29:ROP29"/>
    <mergeCell ref="ROQ29:ROR29"/>
    <mergeCell ref="ROS29:ROT29"/>
    <mergeCell ref="ROU29:ROV29"/>
    <mergeCell ref="RNY29:RNZ29"/>
    <mergeCell ref="ROA29:ROB29"/>
    <mergeCell ref="ROC29:ROD29"/>
    <mergeCell ref="ROE29:ROF29"/>
    <mergeCell ref="ROG29:ROH29"/>
    <mergeCell ref="ROI29:ROJ29"/>
    <mergeCell ref="RNM29:RNN29"/>
    <mergeCell ref="RNO29:RNP29"/>
    <mergeCell ref="RNQ29:RNR29"/>
    <mergeCell ref="RNS29:RNT29"/>
    <mergeCell ref="RNU29:RNV29"/>
    <mergeCell ref="RNW29:RNX29"/>
    <mergeCell ref="RSO29:RSP29"/>
    <mergeCell ref="RSQ29:RSR29"/>
    <mergeCell ref="RSS29:RST29"/>
    <mergeCell ref="RSU29:RSV29"/>
    <mergeCell ref="RSW29:RSX29"/>
    <mergeCell ref="RSY29:RSZ29"/>
    <mergeCell ref="RSC29:RSD29"/>
    <mergeCell ref="RSE29:RSF29"/>
    <mergeCell ref="RSG29:RSH29"/>
    <mergeCell ref="RSI29:RSJ29"/>
    <mergeCell ref="RSK29:RSL29"/>
    <mergeCell ref="RSM29:RSN29"/>
    <mergeCell ref="RRQ29:RRR29"/>
    <mergeCell ref="RRS29:RRT29"/>
    <mergeCell ref="RRU29:RRV29"/>
    <mergeCell ref="RRW29:RRX29"/>
    <mergeCell ref="RRY29:RRZ29"/>
    <mergeCell ref="RSA29:RSB29"/>
    <mergeCell ref="RRE29:RRF29"/>
    <mergeCell ref="RRG29:RRH29"/>
    <mergeCell ref="RRI29:RRJ29"/>
    <mergeCell ref="RRK29:RRL29"/>
    <mergeCell ref="RRM29:RRN29"/>
    <mergeCell ref="RRO29:RRP29"/>
    <mergeCell ref="RQS29:RQT29"/>
    <mergeCell ref="RQU29:RQV29"/>
    <mergeCell ref="RQW29:RQX29"/>
    <mergeCell ref="RQY29:RQZ29"/>
    <mergeCell ref="RRA29:RRB29"/>
    <mergeCell ref="RRC29:RRD29"/>
    <mergeCell ref="RQG29:RQH29"/>
    <mergeCell ref="RQI29:RQJ29"/>
    <mergeCell ref="RQK29:RQL29"/>
    <mergeCell ref="RQM29:RQN29"/>
    <mergeCell ref="RQO29:RQP29"/>
    <mergeCell ref="RQQ29:RQR29"/>
    <mergeCell ref="RVI29:RVJ29"/>
    <mergeCell ref="RVK29:RVL29"/>
    <mergeCell ref="RVM29:RVN29"/>
    <mergeCell ref="RVO29:RVP29"/>
    <mergeCell ref="RVQ29:RVR29"/>
    <mergeCell ref="RVS29:RVT29"/>
    <mergeCell ref="RUW29:RUX29"/>
    <mergeCell ref="RUY29:RUZ29"/>
    <mergeCell ref="RVA29:RVB29"/>
    <mergeCell ref="RVC29:RVD29"/>
    <mergeCell ref="RVE29:RVF29"/>
    <mergeCell ref="RVG29:RVH29"/>
    <mergeCell ref="RUK29:RUL29"/>
    <mergeCell ref="RUM29:RUN29"/>
    <mergeCell ref="RUO29:RUP29"/>
    <mergeCell ref="RUQ29:RUR29"/>
    <mergeCell ref="RUS29:RUT29"/>
    <mergeCell ref="RUU29:RUV29"/>
    <mergeCell ref="RTY29:RTZ29"/>
    <mergeCell ref="RUA29:RUB29"/>
    <mergeCell ref="RUC29:RUD29"/>
    <mergeCell ref="RUE29:RUF29"/>
    <mergeCell ref="RUG29:RUH29"/>
    <mergeCell ref="RUI29:RUJ29"/>
    <mergeCell ref="RTM29:RTN29"/>
    <mergeCell ref="RTO29:RTP29"/>
    <mergeCell ref="RTQ29:RTR29"/>
    <mergeCell ref="RTS29:RTT29"/>
    <mergeCell ref="RTU29:RTV29"/>
    <mergeCell ref="RTW29:RTX29"/>
    <mergeCell ref="RTA29:RTB29"/>
    <mergeCell ref="RTC29:RTD29"/>
    <mergeCell ref="RTE29:RTF29"/>
    <mergeCell ref="RTG29:RTH29"/>
    <mergeCell ref="RTI29:RTJ29"/>
    <mergeCell ref="RTK29:RTL29"/>
    <mergeCell ref="RYC29:RYD29"/>
    <mergeCell ref="RYE29:RYF29"/>
    <mergeCell ref="RYG29:RYH29"/>
    <mergeCell ref="RYI29:RYJ29"/>
    <mergeCell ref="RYK29:RYL29"/>
    <mergeCell ref="RYM29:RYN29"/>
    <mergeCell ref="RXQ29:RXR29"/>
    <mergeCell ref="RXS29:RXT29"/>
    <mergeCell ref="RXU29:RXV29"/>
    <mergeCell ref="RXW29:RXX29"/>
    <mergeCell ref="RXY29:RXZ29"/>
    <mergeCell ref="RYA29:RYB29"/>
    <mergeCell ref="RXE29:RXF29"/>
    <mergeCell ref="RXG29:RXH29"/>
    <mergeCell ref="RXI29:RXJ29"/>
    <mergeCell ref="RXK29:RXL29"/>
    <mergeCell ref="RXM29:RXN29"/>
    <mergeCell ref="RXO29:RXP29"/>
    <mergeCell ref="RWS29:RWT29"/>
    <mergeCell ref="RWU29:RWV29"/>
    <mergeCell ref="RWW29:RWX29"/>
    <mergeCell ref="RWY29:RWZ29"/>
    <mergeCell ref="RXA29:RXB29"/>
    <mergeCell ref="RXC29:RXD29"/>
    <mergeCell ref="RWG29:RWH29"/>
    <mergeCell ref="RWI29:RWJ29"/>
    <mergeCell ref="RWK29:RWL29"/>
    <mergeCell ref="RWM29:RWN29"/>
    <mergeCell ref="RWO29:RWP29"/>
    <mergeCell ref="RWQ29:RWR29"/>
    <mergeCell ref="RVU29:RVV29"/>
    <mergeCell ref="RVW29:RVX29"/>
    <mergeCell ref="RVY29:RVZ29"/>
    <mergeCell ref="RWA29:RWB29"/>
    <mergeCell ref="RWC29:RWD29"/>
    <mergeCell ref="RWE29:RWF29"/>
    <mergeCell ref="SAW29:SAX29"/>
    <mergeCell ref="SAY29:SAZ29"/>
    <mergeCell ref="SBA29:SBB29"/>
    <mergeCell ref="SBC29:SBD29"/>
    <mergeCell ref="SBE29:SBF29"/>
    <mergeCell ref="SBG29:SBH29"/>
    <mergeCell ref="SAK29:SAL29"/>
    <mergeCell ref="SAM29:SAN29"/>
    <mergeCell ref="SAO29:SAP29"/>
    <mergeCell ref="SAQ29:SAR29"/>
    <mergeCell ref="SAS29:SAT29"/>
    <mergeCell ref="SAU29:SAV29"/>
    <mergeCell ref="RZY29:RZZ29"/>
    <mergeCell ref="SAA29:SAB29"/>
    <mergeCell ref="SAC29:SAD29"/>
    <mergeCell ref="SAE29:SAF29"/>
    <mergeCell ref="SAG29:SAH29"/>
    <mergeCell ref="SAI29:SAJ29"/>
    <mergeCell ref="RZM29:RZN29"/>
    <mergeCell ref="RZO29:RZP29"/>
    <mergeCell ref="RZQ29:RZR29"/>
    <mergeCell ref="RZS29:RZT29"/>
    <mergeCell ref="RZU29:RZV29"/>
    <mergeCell ref="RZW29:RZX29"/>
    <mergeCell ref="RZA29:RZB29"/>
    <mergeCell ref="RZC29:RZD29"/>
    <mergeCell ref="RZE29:RZF29"/>
    <mergeCell ref="RZG29:RZH29"/>
    <mergeCell ref="RZI29:RZJ29"/>
    <mergeCell ref="RZK29:RZL29"/>
    <mergeCell ref="RYO29:RYP29"/>
    <mergeCell ref="RYQ29:RYR29"/>
    <mergeCell ref="RYS29:RYT29"/>
    <mergeCell ref="RYU29:RYV29"/>
    <mergeCell ref="RYW29:RYX29"/>
    <mergeCell ref="RYY29:RYZ29"/>
    <mergeCell ref="SDQ29:SDR29"/>
    <mergeCell ref="SDS29:SDT29"/>
    <mergeCell ref="SDU29:SDV29"/>
    <mergeCell ref="SDW29:SDX29"/>
    <mergeCell ref="SDY29:SDZ29"/>
    <mergeCell ref="SEA29:SEB29"/>
    <mergeCell ref="SDE29:SDF29"/>
    <mergeCell ref="SDG29:SDH29"/>
    <mergeCell ref="SDI29:SDJ29"/>
    <mergeCell ref="SDK29:SDL29"/>
    <mergeCell ref="SDM29:SDN29"/>
    <mergeCell ref="SDO29:SDP29"/>
    <mergeCell ref="SCS29:SCT29"/>
    <mergeCell ref="SCU29:SCV29"/>
    <mergeCell ref="SCW29:SCX29"/>
    <mergeCell ref="SCY29:SCZ29"/>
    <mergeCell ref="SDA29:SDB29"/>
    <mergeCell ref="SDC29:SDD29"/>
    <mergeCell ref="SCG29:SCH29"/>
    <mergeCell ref="SCI29:SCJ29"/>
    <mergeCell ref="SCK29:SCL29"/>
    <mergeCell ref="SCM29:SCN29"/>
    <mergeCell ref="SCO29:SCP29"/>
    <mergeCell ref="SCQ29:SCR29"/>
    <mergeCell ref="SBU29:SBV29"/>
    <mergeCell ref="SBW29:SBX29"/>
    <mergeCell ref="SBY29:SBZ29"/>
    <mergeCell ref="SCA29:SCB29"/>
    <mergeCell ref="SCC29:SCD29"/>
    <mergeCell ref="SCE29:SCF29"/>
    <mergeCell ref="SBI29:SBJ29"/>
    <mergeCell ref="SBK29:SBL29"/>
    <mergeCell ref="SBM29:SBN29"/>
    <mergeCell ref="SBO29:SBP29"/>
    <mergeCell ref="SBQ29:SBR29"/>
    <mergeCell ref="SBS29:SBT29"/>
    <mergeCell ref="SGK29:SGL29"/>
    <mergeCell ref="SGM29:SGN29"/>
    <mergeCell ref="SGO29:SGP29"/>
    <mergeCell ref="SGQ29:SGR29"/>
    <mergeCell ref="SGS29:SGT29"/>
    <mergeCell ref="SGU29:SGV29"/>
    <mergeCell ref="SFY29:SFZ29"/>
    <mergeCell ref="SGA29:SGB29"/>
    <mergeCell ref="SGC29:SGD29"/>
    <mergeCell ref="SGE29:SGF29"/>
    <mergeCell ref="SGG29:SGH29"/>
    <mergeCell ref="SGI29:SGJ29"/>
    <mergeCell ref="SFM29:SFN29"/>
    <mergeCell ref="SFO29:SFP29"/>
    <mergeCell ref="SFQ29:SFR29"/>
    <mergeCell ref="SFS29:SFT29"/>
    <mergeCell ref="SFU29:SFV29"/>
    <mergeCell ref="SFW29:SFX29"/>
    <mergeCell ref="SFA29:SFB29"/>
    <mergeCell ref="SFC29:SFD29"/>
    <mergeCell ref="SFE29:SFF29"/>
    <mergeCell ref="SFG29:SFH29"/>
    <mergeCell ref="SFI29:SFJ29"/>
    <mergeCell ref="SFK29:SFL29"/>
    <mergeCell ref="SEO29:SEP29"/>
    <mergeCell ref="SEQ29:SER29"/>
    <mergeCell ref="SES29:SET29"/>
    <mergeCell ref="SEU29:SEV29"/>
    <mergeCell ref="SEW29:SEX29"/>
    <mergeCell ref="SEY29:SEZ29"/>
    <mergeCell ref="SEC29:SED29"/>
    <mergeCell ref="SEE29:SEF29"/>
    <mergeCell ref="SEG29:SEH29"/>
    <mergeCell ref="SEI29:SEJ29"/>
    <mergeCell ref="SEK29:SEL29"/>
    <mergeCell ref="SEM29:SEN29"/>
    <mergeCell ref="SJE29:SJF29"/>
    <mergeCell ref="SJG29:SJH29"/>
    <mergeCell ref="SJI29:SJJ29"/>
    <mergeCell ref="SJK29:SJL29"/>
    <mergeCell ref="SJM29:SJN29"/>
    <mergeCell ref="SJO29:SJP29"/>
    <mergeCell ref="SIS29:SIT29"/>
    <mergeCell ref="SIU29:SIV29"/>
    <mergeCell ref="SIW29:SIX29"/>
    <mergeCell ref="SIY29:SIZ29"/>
    <mergeCell ref="SJA29:SJB29"/>
    <mergeCell ref="SJC29:SJD29"/>
    <mergeCell ref="SIG29:SIH29"/>
    <mergeCell ref="SII29:SIJ29"/>
    <mergeCell ref="SIK29:SIL29"/>
    <mergeCell ref="SIM29:SIN29"/>
    <mergeCell ref="SIO29:SIP29"/>
    <mergeCell ref="SIQ29:SIR29"/>
    <mergeCell ref="SHU29:SHV29"/>
    <mergeCell ref="SHW29:SHX29"/>
    <mergeCell ref="SHY29:SHZ29"/>
    <mergeCell ref="SIA29:SIB29"/>
    <mergeCell ref="SIC29:SID29"/>
    <mergeCell ref="SIE29:SIF29"/>
    <mergeCell ref="SHI29:SHJ29"/>
    <mergeCell ref="SHK29:SHL29"/>
    <mergeCell ref="SHM29:SHN29"/>
    <mergeCell ref="SHO29:SHP29"/>
    <mergeCell ref="SHQ29:SHR29"/>
    <mergeCell ref="SHS29:SHT29"/>
    <mergeCell ref="SGW29:SGX29"/>
    <mergeCell ref="SGY29:SGZ29"/>
    <mergeCell ref="SHA29:SHB29"/>
    <mergeCell ref="SHC29:SHD29"/>
    <mergeCell ref="SHE29:SHF29"/>
    <mergeCell ref="SHG29:SHH29"/>
    <mergeCell ref="SLY29:SLZ29"/>
    <mergeCell ref="SMA29:SMB29"/>
    <mergeCell ref="SMC29:SMD29"/>
    <mergeCell ref="SME29:SMF29"/>
    <mergeCell ref="SMG29:SMH29"/>
    <mergeCell ref="SMI29:SMJ29"/>
    <mergeCell ref="SLM29:SLN29"/>
    <mergeCell ref="SLO29:SLP29"/>
    <mergeCell ref="SLQ29:SLR29"/>
    <mergeCell ref="SLS29:SLT29"/>
    <mergeCell ref="SLU29:SLV29"/>
    <mergeCell ref="SLW29:SLX29"/>
    <mergeCell ref="SLA29:SLB29"/>
    <mergeCell ref="SLC29:SLD29"/>
    <mergeCell ref="SLE29:SLF29"/>
    <mergeCell ref="SLG29:SLH29"/>
    <mergeCell ref="SLI29:SLJ29"/>
    <mergeCell ref="SLK29:SLL29"/>
    <mergeCell ref="SKO29:SKP29"/>
    <mergeCell ref="SKQ29:SKR29"/>
    <mergeCell ref="SKS29:SKT29"/>
    <mergeCell ref="SKU29:SKV29"/>
    <mergeCell ref="SKW29:SKX29"/>
    <mergeCell ref="SKY29:SKZ29"/>
    <mergeCell ref="SKC29:SKD29"/>
    <mergeCell ref="SKE29:SKF29"/>
    <mergeCell ref="SKG29:SKH29"/>
    <mergeCell ref="SKI29:SKJ29"/>
    <mergeCell ref="SKK29:SKL29"/>
    <mergeCell ref="SKM29:SKN29"/>
    <mergeCell ref="SJQ29:SJR29"/>
    <mergeCell ref="SJS29:SJT29"/>
    <mergeCell ref="SJU29:SJV29"/>
    <mergeCell ref="SJW29:SJX29"/>
    <mergeCell ref="SJY29:SJZ29"/>
    <mergeCell ref="SKA29:SKB29"/>
    <mergeCell ref="SOS29:SOT29"/>
    <mergeCell ref="SOU29:SOV29"/>
    <mergeCell ref="SOW29:SOX29"/>
    <mergeCell ref="SOY29:SOZ29"/>
    <mergeCell ref="SPA29:SPB29"/>
    <mergeCell ref="SPC29:SPD29"/>
    <mergeCell ref="SOG29:SOH29"/>
    <mergeCell ref="SOI29:SOJ29"/>
    <mergeCell ref="SOK29:SOL29"/>
    <mergeCell ref="SOM29:SON29"/>
    <mergeCell ref="SOO29:SOP29"/>
    <mergeCell ref="SOQ29:SOR29"/>
    <mergeCell ref="SNU29:SNV29"/>
    <mergeCell ref="SNW29:SNX29"/>
    <mergeCell ref="SNY29:SNZ29"/>
    <mergeCell ref="SOA29:SOB29"/>
    <mergeCell ref="SOC29:SOD29"/>
    <mergeCell ref="SOE29:SOF29"/>
    <mergeCell ref="SNI29:SNJ29"/>
    <mergeCell ref="SNK29:SNL29"/>
    <mergeCell ref="SNM29:SNN29"/>
    <mergeCell ref="SNO29:SNP29"/>
    <mergeCell ref="SNQ29:SNR29"/>
    <mergeCell ref="SNS29:SNT29"/>
    <mergeCell ref="SMW29:SMX29"/>
    <mergeCell ref="SMY29:SMZ29"/>
    <mergeCell ref="SNA29:SNB29"/>
    <mergeCell ref="SNC29:SND29"/>
    <mergeCell ref="SNE29:SNF29"/>
    <mergeCell ref="SNG29:SNH29"/>
    <mergeCell ref="SMK29:SML29"/>
    <mergeCell ref="SMM29:SMN29"/>
    <mergeCell ref="SMO29:SMP29"/>
    <mergeCell ref="SMQ29:SMR29"/>
    <mergeCell ref="SMS29:SMT29"/>
    <mergeCell ref="SMU29:SMV29"/>
    <mergeCell ref="SRM29:SRN29"/>
    <mergeCell ref="SRO29:SRP29"/>
    <mergeCell ref="SRQ29:SRR29"/>
    <mergeCell ref="SRS29:SRT29"/>
    <mergeCell ref="SRU29:SRV29"/>
    <mergeCell ref="SRW29:SRX29"/>
    <mergeCell ref="SRA29:SRB29"/>
    <mergeCell ref="SRC29:SRD29"/>
    <mergeCell ref="SRE29:SRF29"/>
    <mergeCell ref="SRG29:SRH29"/>
    <mergeCell ref="SRI29:SRJ29"/>
    <mergeCell ref="SRK29:SRL29"/>
    <mergeCell ref="SQO29:SQP29"/>
    <mergeCell ref="SQQ29:SQR29"/>
    <mergeCell ref="SQS29:SQT29"/>
    <mergeCell ref="SQU29:SQV29"/>
    <mergeCell ref="SQW29:SQX29"/>
    <mergeCell ref="SQY29:SQZ29"/>
    <mergeCell ref="SQC29:SQD29"/>
    <mergeCell ref="SQE29:SQF29"/>
    <mergeCell ref="SQG29:SQH29"/>
    <mergeCell ref="SQI29:SQJ29"/>
    <mergeCell ref="SQK29:SQL29"/>
    <mergeCell ref="SQM29:SQN29"/>
    <mergeCell ref="SPQ29:SPR29"/>
    <mergeCell ref="SPS29:SPT29"/>
    <mergeCell ref="SPU29:SPV29"/>
    <mergeCell ref="SPW29:SPX29"/>
    <mergeCell ref="SPY29:SPZ29"/>
    <mergeCell ref="SQA29:SQB29"/>
    <mergeCell ref="SPE29:SPF29"/>
    <mergeCell ref="SPG29:SPH29"/>
    <mergeCell ref="SPI29:SPJ29"/>
    <mergeCell ref="SPK29:SPL29"/>
    <mergeCell ref="SPM29:SPN29"/>
    <mergeCell ref="SPO29:SPP29"/>
    <mergeCell ref="SUG29:SUH29"/>
    <mergeCell ref="SUI29:SUJ29"/>
    <mergeCell ref="SUK29:SUL29"/>
    <mergeCell ref="SUM29:SUN29"/>
    <mergeCell ref="SUO29:SUP29"/>
    <mergeCell ref="SUQ29:SUR29"/>
    <mergeCell ref="STU29:STV29"/>
    <mergeCell ref="STW29:STX29"/>
    <mergeCell ref="STY29:STZ29"/>
    <mergeCell ref="SUA29:SUB29"/>
    <mergeCell ref="SUC29:SUD29"/>
    <mergeCell ref="SUE29:SUF29"/>
    <mergeCell ref="STI29:STJ29"/>
    <mergeCell ref="STK29:STL29"/>
    <mergeCell ref="STM29:STN29"/>
    <mergeCell ref="STO29:STP29"/>
    <mergeCell ref="STQ29:STR29"/>
    <mergeCell ref="STS29:STT29"/>
    <mergeCell ref="SSW29:SSX29"/>
    <mergeCell ref="SSY29:SSZ29"/>
    <mergeCell ref="STA29:STB29"/>
    <mergeCell ref="STC29:STD29"/>
    <mergeCell ref="STE29:STF29"/>
    <mergeCell ref="STG29:STH29"/>
    <mergeCell ref="SSK29:SSL29"/>
    <mergeCell ref="SSM29:SSN29"/>
    <mergeCell ref="SSO29:SSP29"/>
    <mergeCell ref="SSQ29:SSR29"/>
    <mergeCell ref="SSS29:SST29"/>
    <mergeCell ref="SSU29:SSV29"/>
    <mergeCell ref="SRY29:SRZ29"/>
    <mergeCell ref="SSA29:SSB29"/>
    <mergeCell ref="SSC29:SSD29"/>
    <mergeCell ref="SSE29:SSF29"/>
    <mergeCell ref="SSG29:SSH29"/>
    <mergeCell ref="SSI29:SSJ29"/>
    <mergeCell ref="SXA29:SXB29"/>
    <mergeCell ref="SXC29:SXD29"/>
    <mergeCell ref="SXE29:SXF29"/>
    <mergeCell ref="SXG29:SXH29"/>
    <mergeCell ref="SXI29:SXJ29"/>
    <mergeCell ref="SXK29:SXL29"/>
    <mergeCell ref="SWO29:SWP29"/>
    <mergeCell ref="SWQ29:SWR29"/>
    <mergeCell ref="SWS29:SWT29"/>
    <mergeCell ref="SWU29:SWV29"/>
    <mergeCell ref="SWW29:SWX29"/>
    <mergeCell ref="SWY29:SWZ29"/>
    <mergeCell ref="SWC29:SWD29"/>
    <mergeCell ref="SWE29:SWF29"/>
    <mergeCell ref="SWG29:SWH29"/>
    <mergeCell ref="SWI29:SWJ29"/>
    <mergeCell ref="SWK29:SWL29"/>
    <mergeCell ref="SWM29:SWN29"/>
    <mergeCell ref="SVQ29:SVR29"/>
    <mergeCell ref="SVS29:SVT29"/>
    <mergeCell ref="SVU29:SVV29"/>
    <mergeCell ref="SVW29:SVX29"/>
    <mergeCell ref="SVY29:SVZ29"/>
    <mergeCell ref="SWA29:SWB29"/>
    <mergeCell ref="SVE29:SVF29"/>
    <mergeCell ref="SVG29:SVH29"/>
    <mergeCell ref="SVI29:SVJ29"/>
    <mergeCell ref="SVK29:SVL29"/>
    <mergeCell ref="SVM29:SVN29"/>
    <mergeCell ref="SVO29:SVP29"/>
    <mergeCell ref="SUS29:SUT29"/>
    <mergeCell ref="SUU29:SUV29"/>
    <mergeCell ref="SUW29:SUX29"/>
    <mergeCell ref="SUY29:SUZ29"/>
    <mergeCell ref="SVA29:SVB29"/>
    <mergeCell ref="SVC29:SVD29"/>
    <mergeCell ref="SZU29:SZV29"/>
    <mergeCell ref="SZW29:SZX29"/>
    <mergeCell ref="SZY29:SZZ29"/>
    <mergeCell ref="TAA29:TAB29"/>
    <mergeCell ref="TAC29:TAD29"/>
    <mergeCell ref="TAE29:TAF29"/>
    <mergeCell ref="SZI29:SZJ29"/>
    <mergeCell ref="SZK29:SZL29"/>
    <mergeCell ref="SZM29:SZN29"/>
    <mergeCell ref="SZO29:SZP29"/>
    <mergeCell ref="SZQ29:SZR29"/>
    <mergeCell ref="SZS29:SZT29"/>
    <mergeCell ref="SYW29:SYX29"/>
    <mergeCell ref="SYY29:SYZ29"/>
    <mergeCell ref="SZA29:SZB29"/>
    <mergeCell ref="SZC29:SZD29"/>
    <mergeCell ref="SZE29:SZF29"/>
    <mergeCell ref="SZG29:SZH29"/>
    <mergeCell ref="SYK29:SYL29"/>
    <mergeCell ref="SYM29:SYN29"/>
    <mergeCell ref="SYO29:SYP29"/>
    <mergeCell ref="SYQ29:SYR29"/>
    <mergeCell ref="SYS29:SYT29"/>
    <mergeCell ref="SYU29:SYV29"/>
    <mergeCell ref="SXY29:SXZ29"/>
    <mergeCell ref="SYA29:SYB29"/>
    <mergeCell ref="SYC29:SYD29"/>
    <mergeCell ref="SYE29:SYF29"/>
    <mergeCell ref="SYG29:SYH29"/>
    <mergeCell ref="SYI29:SYJ29"/>
    <mergeCell ref="SXM29:SXN29"/>
    <mergeCell ref="SXO29:SXP29"/>
    <mergeCell ref="SXQ29:SXR29"/>
    <mergeCell ref="SXS29:SXT29"/>
    <mergeCell ref="SXU29:SXV29"/>
    <mergeCell ref="SXW29:SXX29"/>
    <mergeCell ref="TCO29:TCP29"/>
    <mergeCell ref="TCQ29:TCR29"/>
    <mergeCell ref="TCS29:TCT29"/>
    <mergeCell ref="TCU29:TCV29"/>
    <mergeCell ref="TCW29:TCX29"/>
    <mergeCell ref="TCY29:TCZ29"/>
    <mergeCell ref="TCC29:TCD29"/>
    <mergeCell ref="TCE29:TCF29"/>
    <mergeCell ref="TCG29:TCH29"/>
    <mergeCell ref="TCI29:TCJ29"/>
    <mergeCell ref="TCK29:TCL29"/>
    <mergeCell ref="TCM29:TCN29"/>
    <mergeCell ref="TBQ29:TBR29"/>
    <mergeCell ref="TBS29:TBT29"/>
    <mergeCell ref="TBU29:TBV29"/>
    <mergeCell ref="TBW29:TBX29"/>
    <mergeCell ref="TBY29:TBZ29"/>
    <mergeCell ref="TCA29:TCB29"/>
    <mergeCell ref="TBE29:TBF29"/>
    <mergeCell ref="TBG29:TBH29"/>
    <mergeCell ref="TBI29:TBJ29"/>
    <mergeCell ref="TBK29:TBL29"/>
    <mergeCell ref="TBM29:TBN29"/>
    <mergeCell ref="TBO29:TBP29"/>
    <mergeCell ref="TAS29:TAT29"/>
    <mergeCell ref="TAU29:TAV29"/>
    <mergeCell ref="TAW29:TAX29"/>
    <mergeCell ref="TAY29:TAZ29"/>
    <mergeCell ref="TBA29:TBB29"/>
    <mergeCell ref="TBC29:TBD29"/>
    <mergeCell ref="TAG29:TAH29"/>
    <mergeCell ref="TAI29:TAJ29"/>
    <mergeCell ref="TAK29:TAL29"/>
    <mergeCell ref="TAM29:TAN29"/>
    <mergeCell ref="TAO29:TAP29"/>
    <mergeCell ref="TAQ29:TAR29"/>
    <mergeCell ref="TFI29:TFJ29"/>
    <mergeCell ref="TFK29:TFL29"/>
    <mergeCell ref="TFM29:TFN29"/>
    <mergeCell ref="TFO29:TFP29"/>
    <mergeCell ref="TFQ29:TFR29"/>
    <mergeCell ref="TFS29:TFT29"/>
    <mergeCell ref="TEW29:TEX29"/>
    <mergeCell ref="TEY29:TEZ29"/>
    <mergeCell ref="TFA29:TFB29"/>
    <mergeCell ref="TFC29:TFD29"/>
    <mergeCell ref="TFE29:TFF29"/>
    <mergeCell ref="TFG29:TFH29"/>
    <mergeCell ref="TEK29:TEL29"/>
    <mergeCell ref="TEM29:TEN29"/>
    <mergeCell ref="TEO29:TEP29"/>
    <mergeCell ref="TEQ29:TER29"/>
    <mergeCell ref="TES29:TET29"/>
    <mergeCell ref="TEU29:TEV29"/>
    <mergeCell ref="TDY29:TDZ29"/>
    <mergeCell ref="TEA29:TEB29"/>
    <mergeCell ref="TEC29:TED29"/>
    <mergeCell ref="TEE29:TEF29"/>
    <mergeCell ref="TEG29:TEH29"/>
    <mergeCell ref="TEI29:TEJ29"/>
    <mergeCell ref="TDM29:TDN29"/>
    <mergeCell ref="TDO29:TDP29"/>
    <mergeCell ref="TDQ29:TDR29"/>
    <mergeCell ref="TDS29:TDT29"/>
    <mergeCell ref="TDU29:TDV29"/>
    <mergeCell ref="TDW29:TDX29"/>
    <mergeCell ref="TDA29:TDB29"/>
    <mergeCell ref="TDC29:TDD29"/>
    <mergeCell ref="TDE29:TDF29"/>
    <mergeCell ref="TDG29:TDH29"/>
    <mergeCell ref="TDI29:TDJ29"/>
    <mergeCell ref="TDK29:TDL29"/>
    <mergeCell ref="TIC29:TID29"/>
    <mergeCell ref="TIE29:TIF29"/>
    <mergeCell ref="TIG29:TIH29"/>
    <mergeCell ref="TII29:TIJ29"/>
    <mergeCell ref="TIK29:TIL29"/>
    <mergeCell ref="TIM29:TIN29"/>
    <mergeCell ref="THQ29:THR29"/>
    <mergeCell ref="THS29:THT29"/>
    <mergeCell ref="THU29:THV29"/>
    <mergeCell ref="THW29:THX29"/>
    <mergeCell ref="THY29:THZ29"/>
    <mergeCell ref="TIA29:TIB29"/>
    <mergeCell ref="THE29:THF29"/>
    <mergeCell ref="THG29:THH29"/>
    <mergeCell ref="THI29:THJ29"/>
    <mergeCell ref="THK29:THL29"/>
    <mergeCell ref="THM29:THN29"/>
    <mergeCell ref="THO29:THP29"/>
    <mergeCell ref="TGS29:TGT29"/>
    <mergeCell ref="TGU29:TGV29"/>
    <mergeCell ref="TGW29:TGX29"/>
    <mergeCell ref="TGY29:TGZ29"/>
    <mergeCell ref="THA29:THB29"/>
    <mergeCell ref="THC29:THD29"/>
    <mergeCell ref="TGG29:TGH29"/>
    <mergeCell ref="TGI29:TGJ29"/>
    <mergeCell ref="TGK29:TGL29"/>
    <mergeCell ref="TGM29:TGN29"/>
    <mergeCell ref="TGO29:TGP29"/>
    <mergeCell ref="TGQ29:TGR29"/>
    <mergeCell ref="TFU29:TFV29"/>
    <mergeCell ref="TFW29:TFX29"/>
    <mergeCell ref="TFY29:TFZ29"/>
    <mergeCell ref="TGA29:TGB29"/>
    <mergeCell ref="TGC29:TGD29"/>
    <mergeCell ref="TGE29:TGF29"/>
    <mergeCell ref="TKW29:TKX29"/>
    <mergeCell ref="TKY29:TKZ29"/>
    <mergeCell ref="TLA29:TLB29"/>
    <mergeCell ref="TLC29:TLD29"/>
    <mergeCell ref="TLE29:TLF29"/>
    <mergeCell ref="TLG29:TLH29"/>
    <mergeCell ref="TKK29:TKL29"/>
    <mergeCell ref="TKM29:TKN29"/>
    <mergeCell ref="TKO29:TKP29"/>
    <mergeCell ref="TKQ29:TKR29"/>
    <mergeCell ref="TKS29:TKT29"/>
    <mergeCell ref="TKU29:TKV29"/>
    <mergeCell ref="TJY29:TJZ29"/>
    <mergeCell ref="TKA29:TKB29"/>
    <mergeCell ref="TKC29:TKD29"/>
    <mergeCell ref="TKE29:TKF29"/>
    <mergeCell ref="TKG29:TKH29"/>
    <mergeCell ref="TKI29:TKJ29"/>
    <mergeCell ref="TJM29:TJN29"/>
    <mergeCell ref="TJO29:TJP29"/>
    <mergeCell ref="TJQ29:TJR29"/>
    <mergeCell ref="TJS29:TJT29"/>
    <mergeCell ref="TJU29:TJV29"/>
    <mergeCell ref="TJW29:TJX29"/>
    <mergeCell ref="TJA29:TJB29"/>
    <mergeCell ref="TJC29:TJD29"/>
    <mergeCell ref="TJE29:TJF29"/>
    <mergeCell ref="TJG29:TJH29"/>
    <mergeCell ref="TJI29:TJJ29"/>
    <mergeCell ref="TJK29:TJL29"/>
    <mergeCell ref="TIO29:TIP29"/>
    <mergeCell ref="TIQ29:TIR29"/>
    <mergeCell ref="TIS29:TIT29"/>
    <mergeCell ref="TIU29:TIV29"/>
    <mergeCell ref="TIW29:TIX29"/>
    <mergeCell ref="TIY29:TIZ29"/>
    <mergeCell ref="TNQ29:TNR29"/>
    <mergeCell ref="TNS29:TNT29"/>
    <mergeCell ref="TNU29:TNV29"/>
    <mergeCell ref="TNW29:TNX29"/>
    <mergeCell ref="TNY29:TNZ29"/>
    <mergeCell ref="TOA29:TOB29"/>
    <mergeCell ref="TNE29:TNF29"/>
    <mergeCell ref="TNG29:TNH29"/>
    <mergeCell ref="TNI29:TNJ29"/>
    <mergeCell ref="TNK29:TNL29"/>
    <mergeCell ref="TNM29:TNN29"/>
    <mergeCell ref="TNO29:TNP29"/>
    <mergeCell ref="TMS29:TMT29"/>
    <mergeCell ref="TMU29:TMV29"/>
    <mergeCell ref="TMW29:TMX29"/>
    <mergeCell ref="TMY29:TMZ29"/>
    <mergeCell ref="TNA29:TNB29"/>
    <mergeCell ref="TNC29:TND29"/>
    <mergeCell ref="TMG29:TMH29"/>
    <mergeCell ref="TMI29:TMJ29"/>
    <mergeCell ref="TMK29:TML29"/>
    <mergeCell ref="TMM29:TMN29"/>
    <mergeCell ref="TMO29:TMP29"/>
    <mergeCell ref="TMQ29:TMR29"/>
    <mergeCell ref="TLU29:TLV29"/>
    <mergeCell ref="TLW29:TLX29"/>
    <mergeCell ref="TLY29:TLZ29"/>
    <mergeCell ref="TMA29:TMB29"/>
    <mergeCell ref="TMC29:TMD29"/>
    <mergeCell ref="TME29:TMF29"/>
    <mergeCell ref="TLI29:TLJ29"/>
    <mergeCell ref="TLK29:TLL29"/>
    <mergeCell ref="TLM29:TLN29"/>
    <mergeCell ref="TLO29:TLP29"/>
    <mergeCell ref="TLQ29:TLR29"/>
    <mergeCell ref="TLS29:TLT29"/>
    <mergeCell ref="TQK29:TQL29"/>
    <mergeCell ref="TQM29:TQN29"/>
    <mergeCell ref="TQO29:TQP29"/>
    <mergeCell ref="TQQ29:TQR29"/>
    <mergeCell ref="TQS29:TQT29"/>
    <mergeCell ref="TQU29:TQV29"/>
    <mergeCell ref="TPY29:TPZ29"/>
    <mergeCell ref="TQA29:TQB29"/>
    <mergeCell ref="TQC29:TQD29"/>
    <mergeCell ref="TQE29:TQF29"/>
    <mergeCell ref="TQG29:TQH29"/>
    <mergeCell ref="TQI29:TQJ29"/>
    <mergeCell ref="TPM29:TPN29"/>
    <mergeCell ref="TPO29:TPP29"/>
    <mergeCell ref="TPQ29:TPR29"/>
    <mergeCell ref="TPS29:TPT29"/>
    <mergeCell ref="TPU29:TPV29"/>
    <mergeCell ref="TPW29:TPX29"/>
    <mergeCell ref="TPA29:TPB29"/>
    <mergeCell ref="TPC29:TPD29"/>
    <mergeCell ref="TPE29:TPF29"/>
    <mergeCell ref="TPG29:TPH29"/>
    <mergeCell ref="TPI29:TPJ29"/>
    <mergeCell ref="TPK29:TPL29"/>
    <mergeCell ref="TOO29:TOP29"/>
    <mergeCell ref="TOQ29:TOR29"/>
    <mergeCell ref="TOS29:TOT29"/>
    <mergeCell ref="TOU29:TOV29"/>
    <mergeCell ref="TOW29:TOX29"/>
    <mergeCell ref="TOY29:TOZ29"/>
    <mergeCell ref="TOC29:TOD29"/>
    <mergeCell ref="TOE29:TOF29"/>
    <mergeCell ref="TOG29:TOH29"/>
    <mergeCell ref="TOI29:TOJ29"/>
    <mergeCell ref="TOK29:TOL29"/>
    <mergeCell ref="TOM29:TON29"/>
    <mergeCell ref="TTE29:TTF29"/>
    <mergeCell ref="TTG29:TTH29"/>
    <mergeCell ref="TTI29:TTJ29"/>
    <mergeCell ref="TTK29:TTL29"/>
    <mergeCell ref="TTM29:TTN29"/>
    <mergeCell ref="TTO29:TTP29"/>
    <mergeCell ref="TSS29:TST29"/>
    <mergeCell ref="TSU29:TSV29"/>
    <mergeCell ref="TSW29:TSX29"/>
    <mergeCell ref="TSY29:TSZ29"/>
    <mergeCell ref="TTA29:TTB29"/>
    <mergeCell ref="TTC29:TTD29"/>
    <mergeCell ref="TSG29:TSH29"/>
    <mergeCell ref="TSI29:TSJ29"/>
    <mergeCell ref="TSK29:TSL29"/>
    <mergeCell ref="TSM29:TSN29"/>
    <mergeCell ref="TSO29:TSP29"/>
    <mergeCell ref="TSQ29:TSR29"/>
    <mergeCell ref="TRU29:TRV29"/>
    <mergeCell ref="TRW29:TRX29"/>
    <mergeCell ref="TRY29:TRZ29"/>
    <mergeCell ref="TSA29:TSB29"/>
    <mergeCell ref="TSC29:TSD29"/>
    <mergeCell ref="TSE29:TSF29"/>
    <mergeCell ref="TRI29:TRJ29"/>
    <mergeCell ref="TRK29:TRL29"/>
    <mergeCell ref="TRM29:TRN29"/>
    <mergeCell ref="TRO29:TRP29"/>
    <mergeCell ref="TRQ29:TRR29"/>
    <mergeCell ref="TRS29:TRT29"/>
    <mergeCell ref="TQW29:TQX29"/>
    <mergeCell ref="TQY29:TQZ29"/>
    <mergeCell ref="TRA29:TRB29"/>
    <mergeCell ref="TRC29:TRD29"/>
    <mergeCell ref="TRE29:TRF29"/>
    <mergeCell ref="TRG29:TRH29"/>
    <mergeCell ref="TVY29:TVZ29"/>
    <mergeCell ref="TWA29:TWB29"/>
    <mergeCell ref="TWC29:TWD29"/>
    <mergeCell ref="TWE29:TWF29"/>
    <mergeCell ref="TWG29:TWH29"/>
    <mergeCell ref="TWI29:TWJ29"/>
    <mergeCell ref="TVM29:TVN29"/>
    <mergeCell ref="TVO29:TVP29"/>
    <mergeCell ref="TVQ29:TVR29"/>
    <mergeCell ref="TVS29:TVT29"/>
    <mergeCell ref="TVU29:TVV29"/>
    <mergeCell ref="TVW29:TVX29"/>
    <mergeCell ref="TVA29:TVB29"/>
    <mergeCell ref="TVC29:TVD29"/>
    <mergeCell ref="TVE29:TVF29"/>
    <mergeCell ref="TVG29:TVH29"/>
    <mergeCell ref="TVI29:TVJ29"/>
    <mergeCell ref="TVK29:TVL29"/>
    <mergeCell ref="TUO29:TUP29"/>
    <mergeCell ref="TUQ29:TUR29"/>
    <mergeCell ref="TUS29:TUT29"/>
    <mergeCell ref="TUU29:TUV29"/>
    <mergeCell ref="TUW29:TUX29"/>
    <mergeCell ref="TUY29:TUZ29"/>
    <mergeCell ref="TUC29:TUD29"/>
    <mergeCell ref="TUE29:TUF29"/>
    <mergeCell ref="TUG29:TUH29"/>
    <mergeCell ref="TUI29:TUJ29"/>
    <mergeCell ref="TUK29:TUL29"/>
    <mergeCell ref="TUM29:TUN29"/>
    <mergeCell ref="TTQ29:TTR29"/>
    <mergeCell ref="TTS29:TTT29"/>
    <mergeCell ref="TTU29:TTV29"/>
    <mergeCell ref="TTW29:TTX29"/>
    <mergeCell ref="TTY29:TTZ29"/>
    <mergeCell ref="TUA29:TUB29"/>
    <mergeCell ref="TYS29:TYT29"/>
    <mergeCell ref="TYU29:TYV29"/>
    <mergeCell ref="TYW29:TYX29"/>
    <mergeCell ref="TYY29:TYZ29"/>
    <mergeCell ref="TZA29:TZB29"/>
    <mergeCell ref="TZC29:TZD29"/>
    <mergeCell ref="TYG29:TYH29"/>
    <mergeCell ref="TYI29:TYJ29"/>
    <mergeCell ref="TYK29:TYL29"/>
    <mergeCell ref="TYM29:TYN29"/>
    <mergeCell ref="TYO29:TYP29"/>
    <mergeCell ref="TYQ29:TYR29"/>
    <mergeCell ref="TXU29:TXV29"/>
    <mergeCell ref="TXW29:TXX29"/>
    <mergeCell ref="TXY29:TXZ29"/>
    <mergeCell ref="TYA29:TYB29"/>
    <mergeCell ref="TYC29:TYD29"/>
    <mergeCell ref="TYE29:TYF29"/>
    <mergeCell ref="TXI29:TXJ29"/>
    <mergeCell ref="TXK29:TXL29"/>
    <mergeCell ref="TXM29:TXN29"/>
    <mergeCell ref="TXO29:TXP29"/>
    <mergeCell ref="TXQ29:TXR29"/>
    <mergeCell ref="TXS29:TXT29"/>
    <mergeCell ref="TWW29:TWX29"/>
    <mergeCell ref="TWY29:TWZ29"/>
    <mergeCell ref="TXA29:TXB29"/>
    <mergeCell ref="TXC29:TXD29"/>
    <mergeCell ref="TXE29:TXF29"/>
    <mergeCell ref="TXG29:TXH29"/>
    <mergeCell ref="TWK29:TWL29"/>
    <mergeCell ref="TWM29:TWN29"/>
    <mergeCell ref="TWO29:TWP29"/>
    <mergeCell ref="TWQ29:TWR29"/>
    <mergeCell ref="TWS29:TWT29"/>
    <mergeCell ref="TWU29:TWV29"/>
    <mergeCell ref="UBM29:UBN29"/>
    <mergeCell ref="UBO29:UBP29"/>
    <mergeCell ref="UBQ29:UBR29"/>
    <mergeCell ref="UBS29:UBT29"/>
    <mergeCell ref="UBU29:UBV29"/>
    <mergeCell ref="UBW29:UBX29"/>
    <mergeCell ref="UBA29:UBB29"/>
    <mergeCell ref="UBC29:UBD29"/>
    <mergeCell ref="UBE29:UBF29"/>
    <mergeCell ref="UBG29:UBH29"/>
    <mergeCell ref="UBI29:UBJ29"/>
    <mergeCell ref="UBK29:UBL29"/>
    <mergeCell ref="UAO29:UAP29"/>
    <mergeCell ref="UAQ29:UAR29"/>
    <mergeCell ref="UAS29:UAT29"/>
    <mergeCell ref="UAU29:UAV29"/>
    <mergeCell ref="UAW29:UAX29"/>
    <mergeCell ref="UAY29:UAZ29"/>
    <mergeCell ref="UAC29:UAD29"/>
    <mergeCell ref="UAE29:UAF29"/>
    <mergeCell ref="UAG29:UAH29"/>
    <mergeCell ref="UAI29:UAJ29"/>
    <mergeCell ref="UAK29:UAL29"/>
    <mergeCell ref="UAM29:UAN29"/>
    <mergeCell ref="TZQ29:TZR29"/>
    <mergeCell ref="TZS29:TZT29"/>
    <mergeCell ref="TZU29:TZV29"/>
    <mergeCell ref="TZW29:TZX29"/>
    <mergeCell ref="TZY29:TZZ29"/>
    <mergeCell ref="UAA29:UAB29"/>
    <mergeCell ref="TZE29:TZF29"/>
    <mergeCell ref="TZG29:TZH29"/>
    <mergeCell ref="TZI29:TZJ29"/>
    <mergeCell ref="TZK29:TZL29"/>
    <mergeCell ref="TZM29:TZN29"/>
    <mergeCell ref="TZO29:TZP29"/>
    <mergeCell ref="UEG29:UEH29"/>
    <mergeCell ref="UEI29:UEJ29"/>
    <mergeCell ref="UEK29:UEL29"/>
    <mergeCell ref="UEM29:UEN29"/>
    <mergeCell ref="UEO29:UEP29"/>
    <mergeCell ref="UEQ29:UER29"/>
    <mergeCell ref="UDU29:UDV29"/>
    <mergeCell ref="UDW29:UDX29"/>
    <mergeCell ref="UDY29:UDZ29"/>
    <mergeCell ref="UEA29:UEB29"/>
    <mergeCell ref="UEC29:UED29"/>
    <mergeCell ref="UEE29:UEF29"/>
    <mergeCell ref="UDI29:UDJ29"/>
    <mergeCell ref="UDK29:UDL29"/>
    <mergeCell ref="UDM29:UDN29"/>
    <mergeCell ref="UDO29:UDP29"/>
    <mergeCell ref="UDQ29:UDR29"/>
    <mergeCell ref="UDS29:UDT29"/>
    <mergeCell ref="UCW29:UCX29"/>
    <mergeCell ref="UCY29:UCZ29"/>
    <mergeCell ref="UDA29:UDB29"/>
    <mergeCell ref="UDC29:UDD29"/>
    <mergeCell ref="UDE29:UDF29"/>
    <mergeCell ref="UDG29:UDH29"/>
    <mergeCell ref="UCK29:UCL29"/>
    <mergeCell ref="UCM29:UCN29"/>
    <mergeCell ref="UCO29:UCP29"/>
    <mergeCell ref="UCQ29:UCR29"/>
    <mergeCell ref="UCS29:UCT29"/>
    <mergeCell ref="UCU29:UCV29"/>
    <mergeCell ref="UBY29:UBZ29"/>
    <mergeCell ref="UCA29:UCB29"/>
    <mergeCell ref="UCC29:UCD29"/>
    <mergeCell ref="UCE29:UCF29"/>
    <mergeCell ref="UCG29:UCH29"/>
    <mergeCell ref="UCI29:UCJ29"/>
    <mergeCell ref="UHA29:UHB29"/>
    <mergeCell ref="UHC29:UHD29"/>
    <mergeCell ref="UHE29:UHF29"/>
    <mergeCell ref="UHG29:UHH29"/>
    <mergeCell ref="UHI29:UHJ29"/>
    <mergeCell ref="UHK29:UHL29"/>
    <mergeCell ref="UGO29:UGP29"/>
    <mergeCell ref="UGQ29:UGR29"/>
    <mergeCell ref="UGS29:UGT29"/>
    <mergeCell ref="UGU29:UGV29"/>
    <mergeCell ref="UGW29:UGX29"/>
    <mergeCell ref="UGY29:UGZ29"/>
    <mergeCell ref="UGC29:UGD29"/>
    <mergeCell ref="UGE29:UGF29"/>
    <mergeCell ref="UGG29:UGH29"/>
    <mergeCell ref="UGI29:UGJ29"/>
    <mergeCell ref="UGK29:UGL29"/>
    <mergeCell ref="UGM29:UGN29"/>
    <mergeCell ref="UFQ29:UFR29"/>
    <mergeCell ref="UFS29:UFT29"/>
    <mergeCell ref="UFU29:UFV29"/>
    <mergeCell ref="UFW29:UFX29"/>
    <mergeCell ref="UFY29:UFZ29"/>
    <mergeCell ref="UGA29:UGB29"/>
    <mergeCell ref="UFE29:UFF29"/>
    <mergeCell ref="UFG29:UFH29"/>
    <mergeCell ref="UFI29:UFJ29"/>
    <mergeCell ref="UFK29:UFL29"/>
    <mergeCell ref="UFM29:UFN29"/>
    <mergeCell ref="UFO29:UFP29"/>
    <mergeCell ref="UES29:UET29"/>
    <mergeCell ref="UEU29:UEV29"/>
    <mergeCell ref="UEW29:UEX29"/>
    <mergeCell ref="UEY29:UEZ29"/>
    <mergeCell ref="UFA29:UFB29"/>
    <mergeCell ref="UFC29:UFD29"/>
    <mergeCell ref="UJU29:UJV29"/>
    <mergeCell ref="UJW29:UJX29"/>
    <mergeCell ref="UJY29:UJZ29"/>
    <mergeCell ref="UKA29:UKB29"/>
    <mergeCell ref="UKC29:UKD29"/>
    <mergeCell ref="UKE29:UKF29"/>
    <mergeCell ref="UJI29:UJJ29"/>
    <mergeCell ref="UJK29:UJL29"/>
    <mergeCell ref="UJM29:UJN29"/>
    <mergeCell ref="UJO29:UJP29"/>
    <mergeCell ref="UJQ29:UJR29"/>
    <mergeCell ref="UJS29:UJT29"/>
    <mergeCell ref="UIW29:UIX29"/>
    <mergeCell ref="UIY29:UIZ29"/>
    <mergeCell ref="UJA29:UJB29"/>
    <mergeCell ref="UJC29:UJD29"/>
    <mergeCell ref="UJE29:UJF29"/>
    <mergeCell ref="UJG29:UJH29"/>
    <mergeCell ref="UIK29:UIL29"/>
    <mergeCell ref="UIM29:UIN29"/>
    <mergeCell ref="UIO29:UIP29"/>
    <mergeCell ref="UIQ29:UIR29"/>
    <mergeCell ref="UIS29:UIT29"/>
    <mergeCell ref="UIU29:UIV29"/>
    <mergeCell ref="UHY29:UHZ29"/>
    <mergeCell ref="UIA29:UIB29"/>
    <mergeCell ref="UIC29:UID29"/>
    <mergeCell ref="UIE29:UIF29"/>
    <mergeCell ref="UIG29:UIH29"/>
    <mergeCell ref="UII29:UIJ29"/>
    <mergeCell ref="UHM29:UHN29"/>
    <mergeCell ref="UHO29:UHP29"/>
    <mergeCell ref="UHQ29:UHR29"/>
    <mergeCell ref="UHS29:UHT29"/>
    <mergeCell ref="UHU29:UHV29"/>
    <mergeCell ref="UHW29:UHX29"/>
    <mergeCell ref="UMO29:UMP29"/>
    <mergeCell ref="UMQ29:UMR29"/>
    <mergeCell ref="UMS29:UMT29"/>
    <mergeCell ref="UMU29:UMV29"/>
    <mergeCell ref="UMW29:UMX29"/>
    <mergeCell ref="UMY29:UMZ29"/>
    <mergeCell ref="UMC29:UMD29"/>
    <mergeCell ref="UME29:UMF29"/>
    <mergeCell ref="UMG29:UMH29"/>
    <mergeCell ref="UMI29:UMJ29"/>
    <mergeCell ref="UMK29:UML29"/>
    <mergeCell ref="UMM29:UMN29"/>
    <mergeCell ref="ULQ29:ULR29"/>
    <mergeCell ref="ULS29:ULT29"/>
    <mergeCell ref="ULU29:ULV29"/>
    <mergeCell ref="ULW29:ULX29"/>
    <mergeCell ref="ULY29:ULZ29"/>
    <mergeCell ref="UMA29:UMB29"/>
    <mergeCell ref="ULE29:ULF29"/>
    <mergeCell ref="ULG29:ULH29"/>
    <mergeCell ref="ULI29:ULJ29"/>
    <mergeCell ref="ULK29:ULL29"/>
    <mergeCell ref="ULM29:ULN29"/>
    <mergeCell ref="ULO29:ULP29"/>
    <mergeCell ref="UKS29:UKT29"/>
    <mergeCell ref="UKU29:UKV29"/>
    <mergeCell ref="UKW29:UKX29"/>
    <mergeCell ref="UKY29:UKZ29"/>
    <mergeCell ref="ULA29:ULB29"/>
    <mergeCell ref="ULC29:ULD29"/>
    <mergeCell ref="UKG29:UKH29"/>
    <mergeCell ref="UKI29:UKJ29"/>
    <mergeCell ref="UKK29:UKL29"/>
    <mergeCell ref="UKM29:UKN29"/>
    <mergeCell ref="UKO29:UKP29"/>
    <mergeCell ref="UKQ29:UKR29"/>
    <mergeCell ref="UPI29:UPJ29"/>
    <mergeCell ref="UPK29:UPL29"/>
    <mergeCell ref="UPM29:UPN29"/>
    <mergeCell ref="UPO29:UPP29"/>
    <mergeCell ref="UPQ29:UPR29"/>
    <mergeCell ref="UPS29:UPT29"/>
    <mergeCell ref="UOW29:UOX29"/>
    <mergeCell ref="UOY29:UOZ29"/>
    <mergeCell ref="UPA29:UPB29"/>
    <mergeCell ref="UPC29:UPD29"/>
    <mergeCell ref="UPE29:UPF29"/>
    <mergeCell ref="UPG29:UPH29"/>
    <mergeCell ref="UOK29:UOL29"/>
    <mergeCell ref="UOM29:UON29"/>
    <mergeCell ref="UOO29:UOP29"/>
    <mergeCell ref="UOQ29:UOR29"/>
    <mergeCell ref="UOS29:UOT29"/>
    <mergeCell ref="UOU29:UOV29"/>
    <mergeCell ref="UNY29:UNZ29"/>
    <mergeCell ref="UOA29:UOB29"/>
    <mergeCell ref="UOC29:UOD29"/>
    <mergeCell ref="UOE29:UOF29"/>
    <mergeCell ref="UOG29:UOH29"/>
    <mergeCell ref="UOI29:UOJ29"/>
    <mergeCell ref="UNM29:UNN29"/>
    <mergeCell ref="UNO29:UNP29"/>
    <mergeCell ref="UNQ29:UNR29"/>
    <mergeCell ref="UNS29:UNT29"/>
    <mergeCell ref="UNU29:UNV29"/>
    <mergeCell ref="UNW29:UNX29"/>
    <mergeCell ref="UNA29:UNB29"/>
    <mergeCell ref="UNC29:UND29"/>
    <mergeCell ref="UNE29:UNF29"/>
    <mergeCell ref="UNG29:UNH29"/>
    <mergeCell ref="UNI29:UNJ29"/>
    <mergeCell ref="UNK29:UNL29"/>
    <mergeCell ref="USC29:USD29"/>
    <mergeCell ref="USE29:USF29"/>
    <mergeCell ref="USG29:USH29"/>
    <mergeCell ref="USI29:USJ29"/>
    <mergeCell ref="USK29:USL29"/>
    <mergeCell ref="USM29:USN29"/>
    <mergeCell ref="URQ29:URR29"/>
    <mergeCell ref="URS29:URT29"/>
    <mergeCell ref="URU29:URV29"/>
    <mergeCell ref="URW29:URX29"/>
    <mergeCell ref="URY29:URZ29"/>
    <mergeCell ref="USA29:USB29"/>
    <mergeCell ref="URE29:URF29"/>
    <mergeCell ref="URG29:URH29"/>
    <mergeCell ref="URI29:URJ29"/>
    <mergeCell ref="URK29:URL29"/>
    <mergeCell ref="URM29:URN29"/>
    <mergeCell ref="URO29:URP29"/>
    <mergeCell ref="UQS29:UQT29"/>
    <mergeCell ref="UQU29:UQV29"/>
    <mergeCell ref="UQW29:UQX29"/>
    <mergeCell ref="UQY29:UQZ29"/>
    <mergeCell ref="URA29:URB29"/>
    <mergeCell ref="URC29:URD29"/>
    <mergeCell ref="UQG29:UQH29"/>
    <mergeCell ref="UQI29:UQJ29"/>
    <mergeCell ref="UQK29:UQL29"/>
    <mergeCell ref="UQM29:UQN29"/>
    <mergeCell ref="UQO29:UQP29"/>
    <mergeCell ref="UQQ29:UQR29"/>
    <mergeCell ref="UPU29:UPV29"/>
    <mergeCell ref="UPW29:UPX29"/>
    <mergeCell ref="UPY29:UPZ29"/>
    <mergeCell ref="UQA29:UQB29"/>
    <mergeCell ref="UQC29:UQD29"/>
    <mergeCell ref="UQE29:UQF29"/>
    <mergeCell ref="UUW29:UUX29"/>
    <mergeCell ref="UUY29:UUZ29"/>
    <mergeCell ref="UVA29:UVB29"/>
    <mergeCell ref="UVC29:UVD29"/>
    <mergeCell ref="UVE29:UVF29"/>
    <mergeCell ref="UVG29:UVH29"/>
    <mergeCell ref="UUK29:UUL29"/>
    <mergeCell ref="UUM29:UUN29"/>
    <mergeCell ref="UUO29:UUP29"/>
    <mergeCell ref="UUQ29:UUR29"/>
    <mergeCell ref="UUS29:UUT29"/>
    <mergeCell ref="UUU29:UUV29"/>
    <mergeCell ref="UTY29:UTZ29"/>
    <mergeCell ref="UUA29:UUB29"/>
    <mergeCell ref="UUC29:UUD29"/>
    <mergeCell ref="UUE29:UUF29"/>
    <mergeCell ref="UUG29:UUH29"/>
    <mergeCell ref="UUI29:UUJ29"/>
    <mergeCell ref="UTM29:UTN29"/>
    <mergeCell ref="UTO29:UTP29"/>
    <mergeCell ref="UTQ29:UTR29"/>
    <mergeCell ref="UTS29:UTT29"/>
    <mergeCell ref="UTU29:UTV29"/>
    <mergeCell ref="UTW29:UTX29"/>
    <mergeCell ref="UTA29:UTB29"/>
    <mergeCell ref="UTC29:UTD29"/>
    <mergeCell ref="UTE29:UTF29"/>
    <mergeCell ref="UTG29:UTH29"/>
    <mergeCell ref="UTI29:UTJ29"/>
    <mergeCell ref="UTK29:UTL29"/>
    <mergeCell ref="USO29:USP29"/>
    <mergeCell ref="USQ29:USR29"/>
    <mergeCell ref="USS29:UST29"/>
    <mergeCell ref="USU29:USV29"/>
    <mergeCell ref="USW29:USX29"/>
    <mergeCell ref="USY29:USZ29"/>
    <mergeCell ref="UXQ29:UXR29"/>
    <mergeCell ref="UXS29:UXT29"/>
    <mergeCell ref="UXU29:UXV29"/>
    <mergeCell ref="UXW29:UXX29"/>
    <mergeCell ref="UXY29:UXZ29"/>
    <mergeCell ref="UYA29:UYB29"/>
    <mergeCell ref="UXE29:UXF29"/>
    <mergeCell ref="UXG29:UXH29"/>
    <mergeCell ref="UXI29:UXJ29"/>
    <mergeCell ref="UXK29:UXL29"/>
    <mergeCell ref="UXM29:UXN29"/>
    <mergeCell ref="UXO29:UXP29"/>
    <mergeCell ref="UWS29:UWT29"/>
    <mergeCell ref="UWU29:UWV29"/>
    <mergeCell ref="UWW29:UWX29"/>
    <mergeCell ref="UWY29:UWZ29"/>
    <mergeCell ref="UXA29:UXB29"/>
    <mergeCell ref="UXC29:UXD29"/>
    <mergeCell ref="UWG29:UWH29"/>
    <mergeCell ref="UWI29:UWJ29"/>
    <mergeCell ref="UWK29:UWL29"/>
    <mergeCell ref="UWM29:UWN29"/>
    <mergeCell ref="UWO29:UWP29"/>
    <mergeCell ref="UWQ29:UWR29"/>
    <mergeCell ref="UVU29:UVV29"/>
    <mergeCell ref="UVW29:UVX29"/>
    <mergeCell ref="UVY29:UVZ29"/>
    <mergeCell ref="UWA29:UWB29"/>
    <mergeCell ref="UWC29:UWD29"/>
    <mergeCell ref="UWE29:UWF29"/>
    <mergeCell ref="UVI29:UVJ29"/>
    <mergeCell ref="UVK29:UVL29"/>
    <mergeCell ref="UVM29:UVN29"/>
    <mergeCell ref="UVO29:UVP29"/>
    <mergeCell ref="UVQ29:UVR29"/>
    <mergeCell ref="UVS29:UVT29"/>
    <mergeCell ref="VAK29:VAL29"/>
    <mergeCell ref="VAM29:VAN29"/>
    <mergeCell ref="VAO29:VAP29"/>
    <mergeCell ref="VAQ29:VAR29"/>
    <mergeCell ref="VAS29:VAT29"/>
    <mergeCell ref="VAU29:VAV29"/>
    <mergeCell ref="UZY29:UZZ29"/>
    <mergeCell ref="VAA29:VAB29"/>
    <mergeCell ref="VAC29:VAD29"/>
    <mergeCell ref="VAE29:VAF29"/>
    <mergeCell ref="VAG29:VAH29"/>
    <mergeCell ref="VAI29:VAJ29"/>
    <mergeCell ref="UZM29:UZN29"/>
    <mergeCell ref="UZO29:UZP29"/>
    <mergeCell ref="UZQ29:UZR29"/>
    <mergeCell ref="UZS29:UZT29"/>
    <mergeCell ref="UZU29:UZV29"/>
    <mergeCell ref="UZW29:UZX29"/>
    <mergeCell ref="UZA29:UZB29"/>
    <mergeCell ref="UZC29:UZD29"/>
    <mergeCell ref="UZE29:UZF29"/>
    <mergeCell ref="UZG29:UZH29"/>
    <mergeCell ref="UZI29:UZJ29"/>
    <mergeCell ref="UZK29:UZL29"/>
    <mergeCell ref="UYO29:UYP29"/>
    <mergeCell ref="UYQ29:UYR29"/>
    <mergeCell ref="UYS29:UYT29"/>
    <mergeCell ref="UYU29:UYV29"/>
    <mergeCell ref="UYW29:UYX29"/>
    <mergeCell ref="UYY29:UYZ29"/>
    <mergeCell ref="UYC29:UYD29"/>
    <mergeCell ref="UYE29:UYF29"/>
    <mergeCell ref="UYG29:UYH29"/>
    <mergeCell ref="UYI29:UYJ29"/>
    <mergeCell ref="UYK29:UYL29"/>
    <mergeCell ref="UYM29:UYN29"/>
    <mergeCell ref="VDE29:VDF29"/>
    <mergeCell ref="VDG29:VDH29"/>
    <mergeCell ref="VDI29:VDJ29"/>
    <mergeCell ref="VDK29:VDL29"/>
    <mergeCell ref="VDM29:VDN29"/>
    <mergeCell ref="VDO29:VDP29"/>
    <mergeCell ref="VCS29:VCT29"/>
    <mergeCell ref="VCU29:VCV29"/>
    <mergeCell ref="VCW29:VCX29"/>
    <mergeCell ref="VCY29:VCZ29"/>
    <mergeCell ref="VDA29:VDB29"/>
    <mergeCell ref="VDC29:VDD29"/>
    <mergeCell ref="VCG29:VCH29"/>
    <mergeCell ref="VCI29:VCJ29"/>
    <mergeCell ref="VCK29:VCL29"/>
    <mergeCell ref="VCM29:VCN29"/>
    <mergeCell ref="VCO29:VCP29"/>
    <mergeCell ref="VCQ29:VCR29"/>
    <mergeCell ref="VBU29:VBV29"/>
    <mergeCell ref="VBW29:VBX29"/>
    <mergeCell ref="VBY29:VBZ29"/>
    <mergeCell ref="VCA29:VCB29"/>
    <mergeCell ref="VCC29:VCD29"/>
    <mergeCell ref="VCE29:VCF29"/>
    <mergeCell ref="VBI29:VBJ29"/>
    <mergeCell ref="VBK29:VBL29"/>
    <mergeCell ref="VBM29:VBN29"/>
    <mergeCell ref="VBO29:VBP29"/>
    <mergeCell ref="VBQ29:VBR29"/>
    <mergeCell ref="VBS29:VBT29"/>
    <mergeCell ref="VAW29:VAX29"/>
    <mergeCell ref="VAY29:VAZ29"/>
    <mergeCell ref="VBA29:VBB29"/>
    <mergeCell ref="VBC29:VBD29"/>
    <mergeCell ref="VBE29:VBF29"/>
    <mergeCell ref="VBG29:VBH29"/>
    <mergeCell ref="VFY29:VFZ29"/>
    <mergeCell ref="VGA29:VGB29"/>
    <mergeCell ref="VGC29:VGD29"/>
    <mergeCell ref="VGE29:VGF29"/>
    <mergeCell ref="VGG29:VGH29"/>
    <mergeCell ref="VGI29:VGJ29"/>
    <mergeCell ref="VFM29:VFN29"/>
    <mergeCell ref="VFO29:VFP29"/>
    <mergeCell ref="VFQ29:VFR29"/>
    <mergeCell ref="VFS29:VFT29"/>
    <mergeCell ref="VFU29:VFV29"/>
    <mergeCell ref="VFW29:VFX29"/>
    <mergeCell ref="VFA29:VFB29"/>
    <mergeCell ref="VFC29:VFD29"/>
    <mergeCell ref="VFE29:VFF29"/>
    <mergeCell ref="VFG29:VFH29"/>
    <mergeCell ref="VFI29:VFJ29"/>
    <mergeCell ref="VFK29:VFL29"/>
    <mergeCell ref="VEO29:VEP29"/>
    <mergeCell ref="VEQ29:VER29"/>
    <mergeCell ref="VES29:VET29"/>
    <mergeCell ref="VEU29:VEV29"/>
    <mergeCell ref="VEW29:VEX29"/>
    <mergeCell ref="VEY29:VEZ29"/>
    <mergeCell ref="VEC29:VED29"/>
    <mergeCell ref="VEE29:VEF29"/>
    <mergeCell ref="VEG29:VEH29"/>
    <mergeCell ref="VEI29:VEJ29"/>
    <mergeCell ref="VEK29:VEL29"/>
    <mergeCell ref="VEM29:VEN29"/>
    <mergeCell ref="VDQ29:VDR29"/>
    <mergeCell ref="VDS29:VDT29"/>
    <mergeCell ref="VDU29:VDV29"/>
    <mergeCell ref="VDW29:VDX29"/>
    <mergeCell ref="VDY29:VDZ29"/>
    <mergeCell ref="VEA29:VEB29"/>
    <mergeCell ref="VIS29:VIT29"/>
    <mergeCell ref="VIU29:VIV29"/>
    <mergeCell ref="VIW29:VIX29"/>
    <mergeCell ref="VIY29:VIZ29"/>
    <mergeCell ref="VJA29:VJB29"/>
    <mergeCell ref="VJC29:VJD29"/>
    <mergeCell ref="VIG29:VIH29"/>
    <mergeCell ref="VII29:VIJ29"/>
    <mergeCell ref="VIK29:VIL29"/>
    <mergeCell ref="VIM29:VIN29"/>
    <mergeCell ref="VIO29:VIP29"/>
    <mergeCell ref="VIQ29:VIR29"/>
    <mergeCell ref="VHU29:VHV29"/>
    <mergeCell ref="VHW29:VHX29"/>
    <mergeCell ref="VHY29:VHZ29"/>
    <mergeCell ref="VIA29:VIB29"/>
    <mergeCell ref="VIC29:VID29"/>
    <mergeCell ref="VIE29:VIF29"/>
    <mergeCell ref="VHI29:VHJ29"/>
    <mergeCell ref="VHK29:VHL29"/>
    <mergeCell ref="VHM29:VHN29"/>
    <mergeCell ref="VHO29:VHP29"/>
    <mergeCell ref="VHQ29:VHR29"/>
    <mergeCell ref="VHS29:VHT29"/>
    <mergeCell ref="VGW29:VGX29"/>
    <mergeCell ref="VGY29:VGZ29"/>
    <mergeCell ref="VHA29:VHB29"/>
    <mergeCell ref="VHC29:VHD29"/>
    <mergeCell ref="VHE29:VHF29"/>
    <mergeCell ref="VHG29:VHH29"/>
    <mergeCell ref="VGK29:VGL29"/>
    <mergeCell ref="VGM29:VGN29"/>
    <mergeCell ref="VGO29:VGP29"/>
    <mergeCell ref="VGQ29:VGR29"/>
    <mergeCell ref="VGS29:VGT29"/>
    <mergeCell ref="VGU29:VGV29"/>
    <mergeCell ref="VLM29:VLN29"/>
    <mergeCell ref="VLO29:VLP29"/>
    <mergeCell ref="VLQ29:VLR29"/>
    <mergeCell ref="VLS29:VLT29"/>
    <mergeCell ref="VLU29:VLV29"/>
    <mergeCell ref="VLW29:VLX29"/>
    <mergeCell ref="VLA29:VLB29"/>
    <mergeCell ref="VLC29:VLD29"/>
    <mergeCell ref="VLE29:VLF29"/>
    <mergeCell ref="VLG29:VLH29"/>
    <mergeCell ref="VLI29:VLJ29"/>
    <mergeCell ref="VLK29:VLL29"/>
    <mergeCell ref="VKO29:VKP29"/>
    <mergeCell ref="VKQ29:VKR29"/>
    <mergeCell ref="VKS29:VKT29"/>
    <mergeCell ref="VKU29:VKV29"/>
    <mergeCell ref="VKW29:VKX29"/>
    <mergeCell ref="VKY29:VKZ29"/>
    <mergeCell ref="VKC29:VKD29"/>
    <mergeCell ref="VKE29:VKF29"/>
    <mergeCell ref="VKG29:VKH29"/>
    <mergeCell ref="VKI29:VKJ29"/>
    <mergeCell ref="VKK29:VKL29"/>
    <mergeCell ref="VKM29:VKN29"/>
    <mergeCell ref="VJQ29:VJR29"/>
    <mergeCell ref="VJS29:VJT29"/>
    <mergeCell ref="VJU29:VJV29"/>
    <mergeCell ref="VJW29:VJX29"/>
    <mergeCell ref="VJY29:VJZ29"/>
    <mergeCell ref="VKA29:VKB29"/>
    <mergeCell ref="VJE29:VJF29"/>
    <mergeCell ref="VJG29:VJH29"/>
    <mergeCell ref="VJI29:VJJ29"/>
    <mergeCell ref="VJK29:VJL29"/>
    <mergeCell ref="VJM29:VJN29"/>
    <mergeCell ref="VJO29:VJP29"/>
    <mergeCell ref="VOG29:VOH29"/>
    <mergeCell ref="VOI29:VOJ29"/>
    <mergeCell ref="VOK29:VOL29"/>
    <mergeCell ref="VOM29:VON29"/>
    <mergeCell ref="VOO29:VOP29"/>
    <mergeCell ref="VOQ29:VOR29"/>
    <mergeCell ref="VNU29:VNV29"/>
    <mergeCell ref="VNW29:VNX29"/>
    <mergeCell ref="VNY29:VNZ29"/>
    <mergeCell ref="VOA29:VOB29"/>
    <mergeCell ref="VOC29:VOD29"/>
    <mergeCell ref="VOE29:VOF29"/>
    <mergeCell ref="VNI29:VNJ29"/>
    <mergeCell ref="VNK29:VNL29"/>
    <mergeCell ref="VNM29:VNN29"/>
    <mergeCell ref="VNO29:VNP29"/>
    <mergeCell ref="VNQ29:VNR29"/>
    <mergeCell ref="VNS29:VNT29"/>
    <mergeCell ref="VMW29:VMX29"/>
    <mergeCell ref="VMY29:VMZ29"/>
    <mergeCell ref="VNA29:VNB29"/>
    <mergeCell ref="VNC29:VND29"/>
    <mergeCell ref="VNE29:VNF29"/>
    <mergeCell ref="VNG29:VNH29"/>
    <mergeCell ref="VMK29:VML29"/>
    <mergeCell ref="VMM29:VMN29"/>
    <mergeCell ref="VMO29:VMP29"/>
    <mergeCell ref="VMQ29:VMR29"/>
    <mergeCell ref="VMS29:VMT29"/>
    <mergeCell ref="VMU29:VMV29"/>
    <mergeCell ref="VLY29:VLZ29"/>
    <mergeCell ref="VMA29:VMB29"/>
    <mergeCell ref="VMC29:VMD29"/>
    <mergeCell ref="VME29:VMF29"/>
    <mergeCell ref="VMG29:VMH29"/>
    <mergeCell ref="VMI29:VMJ29"/>
    <mergeCell ref="VRA29:VRB29"/>
    <mergeCell ref="VRC29:VRD29"/>
    <mergeCell ref="VRE29:VRF29"/>
    <mergeCell ref="VRG29:VRH29"/>
    <mergeCell ref="VRI29:VRJ29"/>
    <mergeCell ref="VRK29:VRL29"/>
    <mergeCell ref="VQO29:VQP29"/>
    <mergeCell ref="VQQ29:VQR29"/>
    <mergeCell ref="VQS29:VQT29"/>
    <mergeCell ref="VQU29:VQV29"/>
    <mergeCell ref="VQW29:VQX29"/>
    <mergeCell ref="VQY29:VQZ29"/>
    <mergeCell ref="VQC29:VQD29"/>
    <mergeCell ref="VQE29:VQF29"/>
    <mergeCell ref="VQG29:VQH29"/>
    <mergeCell ref="VQI29:VQJ29"/>
    <mergeCell ref="VQK29:VQL29"/>
    <mergeCell ref="VQM29:VQN29"/>
    <mergeCell ref="VPQ29:VPR29"/>
    <mergeCell ref="VPS29:VPT29"/>
    <mergeCell ref="VPU29:VPV29"/>
    <mergeCell ref="VPW29:VPX29"/>
    <mergeCell ref="VPY29:VPZ29"/>
    <mergeCell ref="VQA29:VQB29"/>
    <mergeCell ref="VPE29:VPF29"/>
    <mergeCell ref="VPG29:VPH29"/>
    <mergeCell ref="VPI29:VPJ29"/>
    <mergeCell ref="VPK29:VPL29"/>
    <mergeCell ref="VPM29:VPN29"/>
    <mergeCell ref="VPO29:VPP29"/>
    <mergeCell ref="VOS29:VOT29"/>
    <mergeCell ref="VOU29:VOV29"/>
    <mergeCell ref="VOW29:VOX29"/>
    <mergeCell ref="VOY29:VOZ29"/>
    <mergeCell ref="VPA29:VPB29"/>
    <mergeCell ref="VPC29:VPD29"/>
    <mergeCell ref="VTU29:VTV29"/>
    <mergeCell ref="VTW29:VTX29"/>
    <mergeCell ref="VTY29:VTZ29"/>
    <mergeCell ref="VUA29:VUB29"/>
    <mergeCell ref="VUC29:VUD29"/>
    <mergeCell ref="VUE29:VUF29"/>
    <mergeCell ref="VTI29:VTJ29"/>
    <mergeCell ref="VTK29:VTL29"/>
    <mergeCell ref="VTM29:VTN29"/>
    <mergeCell ref="VTO29:VTP29"/>
    <mergeCell ref="VTQ29:VTR29"/>
    <mergeCell ref="VTS29:VTT29"/>
    <mergeCell ref="VSW29:VSX29"/>
    <mergeCell ref="VSY29:VSZ29"/>
    <mergeCell ref="VTA29:VTB29"/>
    <mergeCell ref="VTC29:VTD29"/>
    <mergeCell ref="VTE29:VTF29"/>
    <mergeCell ref="VTG29:VTH29"/>
    <mergeCell ref="VSK29:VSL29"/>
    <mergeCell ref="VSM29:VSN29"/>
    <mergeCell ref="VSO29:VSP29"/>
    <mergeCell ref="VSQ29:VSR29"/>
    <mergeCell ref="VSS29:VST29"/>
    <mergeCell ref="VSU29:VSV29"/>
    <mergeCell ref="VRY29:VRZ29"/>
    <mergeCell ref="VSA29:VSB29"/>
    <mergeCell ref="VSC29:VSD29"/>
    <mergeCell ref="VSE29:VSF29"/>
    <mergeCell ref="VSG29:VSH29"/>
    <mergeCell ref="VSI29:VSJ29"/>
    <mergeCell ref="VRM29:VRN29"/>
    <mergeCell ref="VRO29:VRP29"/>
    <mergeCell ref="VRQ29:VRR29"/>
    <mergeCell ref="VRS29:VRT29"/>
    <mergeCell ref="VRU29:VRV29"/>
    <mergeCell ref="VRW29:VRX29"/>
    <mergeCell ref="VWO29:VWP29"/>
    <mergeCell ref="VWQ29:VWR29"/>
    <mergeCell ref="VWS29:VWT29"/>
    <mergeCell ref="VWU29:VWV29"/>
    <mergeCell ref="VWW29:VWX29"/>
    <mergeCell ref="VWY29:VWZ29"/>
    <mergeCell ref="VWC29:VWD29"/>
    <mergeCell ref="VWE29:VWF29"/>
    <mergeCell ref="VWG29:VWH29"/>
    <mergeCell ref="VWI29:VWJ29"/>
    <mergeCell ref="VWK29:VWL29"/>
    <mergeCell ref="VWM29:VWN29"/>
    <mergeCell ref="VVQ29:VVR29"/>
    <mergeCell ref="VVS29:VVT29"/>
    <mergeCell ref="VVU29:VVV29"/>
    <mergeCell ref="VVW29:VVX29"/>
    <mergeCell ref="VVY29:VVZ29"/>
    <mergeCell ref="VWA29:VWB29"/>
    <mergeCell ref="VVE29:VVF29"/>
    <mergeCell ref="VVG29:VVH29"/>
    <mergeCell ref="VVI29:VVJ29"/>
    <mergeCell ref="VVK29:VVL29"/>
    <mergeCell ref="VVM29:VVN29"/>
    <mergeCell ref="VVO29:VVP29"/>
    <mergeCell ref="VUS29:VUT29"/>
    <mergeCell ref="VUU29:VUV29"/>
    <mergeCell ref="VUW29:VUX29"/>
    <mergeCell ref="VUY29:VUZ29"/>
    <mergeCell ref="VVA29:VVB29"/>
    <mergeCell ref="VVC29:VVD29"/>
    <mergeCell ref="VUG29:VUH29"/>
    <mergeCell ref="VUI29:VUJ29"/>
    <mergeCell ref="VUK29:VUL29"/>
    <mergeCell ref="VUM29:VUN29"/>
    <mergeCell ref="VUO29:VUP29"/>
    <mergeCell ref="VUQ29:VUR29"/>
    <mergeCell ref="VZI29:VZJ29"/>
    <mergeCell ref="VZK29:VZL29"/>
    <mergeCell ref="VZM29:VZN29"/>
    <mergeCell ref="VZO29:VZP29"/>
    <mergeCell ref="VZQ29:VZR29"/>
    <mergeCell ref="VZS29:VZT29"/>
    <mergeCell ref="VYW29:VYX29"/>
    <mergeCell ref="VYY29:VYZ29"/>
    <mergeCell ref="VZA29:VZB29"/>
    <mergeCell ref="VZC29:VZD29"/>
    <mergeCell ref="VZE29:VZF29"/>
    <mergeCell ref="VZG29:VZH29"/>
    <mergeCell ref="VYK29:VYL29"/>
    <mergeCell ref="VYM29:VYN29"/>
    <mergeCell ref="VYO29:VYP29"/>
    <mergeCell ref="VYQ29:VYR29"/>
    <mergeCell ref="VYS29:VYT29"/>
    <mergeCell ref="VYU29:VYV29"/>
    <mergeCell ref="VXY29:VXZ29"/>
    <mergeCell ref="VYA29:VYB29"/>
    <mergeCell ref="VYC29:VYD29"/>
    <mergeCell ref="VYE29:VYF29"/>
    <mergeCell ref="VYG29:VYH29"/>
    <mergeCell ref="VYI29:VYJ29"/>
    <mergeCell ref="VXM29:VXN29"/>
    <mergeCell ref="VXO29:VXP29"/>
    <mergeCell ref="VXQ29:VXR29"/>
    <mergeCell ref="VXS29:VXT29"/>
    <mergeCell ref="VXU29:VXV29"/>
    <mergeCell ref="VXW29:VXX29"/>
    <mergeCell ref="VXA29:VXB29"/>
    <mergeCell ref="VXC29:VXD29"/>
    <mergeCell ref="VXE29:VXF29"/>
    <mergeCell ref="VXG29:VXH29"/>
    <mergeCell ref="VXI29:VXJ29"/>
    <mergeCell ref="VXK29:VXL29"/>
    <mergeCell ref="WCC29:WCD29"/>
    <mergeCell ref="WCE29:WCF29"/>
    <mergeCell ref="WCG29:WCH29"/>
    <mergeCell ref="WCI29:WCJ29"/>
    <mergeCell ref="WCK29:WCL29"/>
    <mergeCell ref="WCM29:WCN29"/>
    <mergeCell ref="WBQ29:WBR29"/>
    <mergeCell ref="WBS29:WBT29"/>
    <mergeCell ref="WBU29:WBV29"/>
    <mergeCell ref="WBW29:WBX29"/>
    <mergeCell ref="WBY29:WBZ29"/>
    <mergeCell ref="WCA29:WCB29"/>
    <mergeCell ref="WBE29:WBF29"/>
    <mergeCell ref="WBG29:WBH29"/>
    <mergeCell ref="WBI29:WBJ29"/>
    <mergeCell ref="WBK29:WBL29"/>
    <mergeCell ref="WBM29:WBN29"/>
    <mergeCell ref="WBO29:WBP29"/>
    <mergeCell ref="WAS29:WAT29"/>
    <mergeCell ref="WAU29:WAV29"/>
    <mergeCell ref="WAW29:WAX29"/>
    <mergeCell ref="WAY29:WAZ29"/>
    <mergeCell ref="WBA29:WBB29"/>
    <mergeCell ref="WBC29:WBD29"/>
    <mergeCell ref="WAG29:WAH29"/>
    <mergeCell ref="WAI29:WAJ29"/>
    <mergeCell ref="WAK29:WAL29"/>
    <mergeCell ref="WAM29:WAN29"/>
    <mergeCell ref="WAO29:WAP29"/>
    <mergeCell ref="WAQ29:WAR29"/>
    <mergeCell ref="VZU29:VZV29"/>
    <mergeCell ref="VZW29:VZX29"/>
    <mergeCell ref="VZY29:VZZ29"/>
    <mergeCell ref="WAA29:WAB29"/>
    <mergeCell ref="WAC29:WAD29"/>
    <mergeCell ref="WAE29:WAF29"/>
    <mergeCell ref="WEW29:WEX29"/>
    <mergeCell ref="WEY29:WEZ29"/>
    <mergeCell ref="WFA29:WFB29"/>
    <mergeCell ref="WFC29:WFD29"/>
    <mergeCell ref="WFE29:WFF29"/>
    <mergeCell ref="WFG29:WFH29"/>
    <mergeCell ref="WEK29:WEL29"/>
    <mergeCell ref="WEM29:WEN29"/>
    <mergeCell ref="WEO29:WEP29"/>
    <mergeCell ref="WEQ29:WER29"/>
    <mergeCell ref="WES29:WET29"/>
    <mergeCell ref="WEU29:WEV29"/>
    <mergeCell ref="WDY29:WDZ29"/>
    <mergeCell ref="WEA29:WEB29"/>
    <mergeCell ref="WEC29:WED29"/>
    <mergeCell ref="WEE29:WEF29"/>
    <mergeCell ref="WEG29:WEH29"/>
    <mergeCell ref="WEI29:WEJ29"/>
    <mergeCell ref="WDM29:WDN29"/>
    <mergeCell ref="WDO29:WDP29"/>
    <mergeCell ref="WDQ29:WDR29"/>
    <mergeCell ref="WDS29:WDT29"/>
    <mergeCell ref="WDU29:WDV29"/>
    <mergeCell ref="WDW29:WDX29"/>
    <mergeCell ref="WDA29:WDB29"/>
    <mergeCell ref="WDC29:WDD29"/>
    <mergeCell ref="WDE29:WDF29"/>
    <mergeCell ref="WDG29:WDH29"/>
    <mergeCell ref="WDI29:WDJ29"/>
    <mergeCell ref="WDK29:WDL29"/>
    <mergeCell ref="WCO29:WCP29"/>
    <mergeCell ref="WCQ29:WCR29"/>
    <mergeCell ref="WCS29:WCT29"/>
    <mergeCell ref="WCU29:WCV29"/>
    <mergeCell ref="WCW29:WCX29"/>
    <mergeCell ref="WCY29:WCZ29"/>
    <mergeCell ref="WHQ29:WHR29"/>
    <mergeCell ref="WHS29:WHT29"/>
    <mergeCell ref="WHU29:WHV29"/>
    <mergeCell ref="WHW29:WHX29"/>
    <mergeCell ref="WHY29:WHZ29"/>
    <mergeCell ref="WIA29:WIB29"/>
    <mergeCell ref="WHE29:WHF29"/>
    <mergeCell ref="WHG29:WHH29"/>
    <mergeCell ref="WHI29:WHJ29"/>
    <mergeCell ref="WHK29:WHL29"/>
    <mergeCell ref="WHM29:WHN29"/>
    <mergeCell ref="WHO29:WHP29"/>
    <mergeCell ref="WGS29:WGT29"/>
    <mergeCell ref="WGU29:WGV29"/>
    <mergeCell ref="WGW29:WGX29"/>
    <mergeCell ref="WGY29:WGZ29"/>
    <mergeCell ref="WHA29:WHB29"/>
    <mergeCell ref="WHC29:WHD29"/>
    <mergeCell ref="WGG29:WGH29"/>
    <mergeCell ref="WGI29:WGJ29"/>
    <mergeCell ref="WGK29:WGL29"/>
    <mergeCell ref="WGM29:WGN29"/>
    <mergeCell ref="WGO29:WGP29"/>
    <mergeCell ref="WGQ29:WGR29"/>
    <mergeCell ref="WFU29:WFV29"/>
    <mergeCell ref="WFW29:WFX29"/>
    <mergeCell ref="WFY29:WFZ29"/>
    <mergeCell ref="WGA29:WGB29"/>
    <mergeCell ref="WGC29:WGD29"/>
    <mergeCell ref="WGE29:WGF29"/>
    <mergeCell ref="WFI29:WFJ29"/>
    <mergeCell ref="WFK29:WFL29"/>
    <mergeCell ref="WFM29:WFN29"/>
    <mergeCell ref="WFO29:WFP29"/>
    <mergeCell ref="WFQ29:WFR29"/>
    <mergeCell ref="WFS29:WFT29"/>
    <mergeCell ref="WKK29:WKL29"/>
    <mergeCell ref="WKM29:WKN29"/>
    <mergeCell ref="WKO29:WKP29"/>
    <mergeCell ref="WKQ29:WKR29"/>
    <mergeCell ref="WKS29:WKT29"/>
    <mergeCell ref="WKU29:WKV29"/>
    <mergeCell ref="WJY29:WJZ29"/>
    <mergeCell ref="WKA29:WKB29"/>
    <mergeCell ref="WKC29:WKD29"/>
    <mergeCell ref="WKE29:WKF29"/>
    <mergeCell ref="WKG29:WKH29"/>
    <mergeCell ref="WKI29:WKJ29"/>
    <mergeCell ref="WJM29:WJN29"/>
    <mergeCell ref="WJO29:WJP29"/>
    <mergeCell ref="WJQ29:WJR29"/>
    <mergeCell ref="WJS29:WJT29"/>
    <mergeCell ref="WJU29:WJV29"/>
    <mergeCell ref="WJW29:WJX29"/>
    <mergeCell ref="WJA29:WJB29"/>
    <mergeCell ref="WJC29:WJD29"/>
    <mergeCell ref="WJE29:WJF29"/>
    <mergeCell ref="WJG29:WJH29"/>
    <mergeCell ref="WJI29:WJJ29"/>
    <mergeCell ref="WJK29:WJL29"/>
    <mergeCell ref="WIO29:WIP29"/>
    <mergeCell ref="WIQ29:WIR29"/>
    <mergeCell ref="WIS29:WIT29"/>
    <mergeCell ref="WIU29:WIV29"/>
    <mergeCell ref="WIW29:WIX29"/>
    <mergeCell ref="WIY29:WIZ29"/>
    <mergeCell ref="WIC29:WID29"/>
    <mergeCell ref="WIE29:WIF29"/>
    <mergeCell ref="WIG29:WIH29"/>
    <mergeCell ref="WII29:WIJ29"/>
    <mergeCell ref="WIK29:WIL29"/>
    <mergeCell ref="WIM29:WIN29"/>
    <mergeCell ref="WNE29:WNF29"/>
    <mergeCell ref="WNG29:WNH29"/>
    <mergeCell ref="WNI29:WNJ29"/>
    <mergeCell ref="WNK29:WNL29"/>
    <mergeCell ref="WNM29:WNN29"/>
    <mergeCell ref="WNO29:WNP29"/>
    <mergeCell ref="WMS29:WMT29"/>
    <mergeCell ref="WMU29:WMV29"/>
    <mergeCell ref="WMW29:WMX29"/>
    <mergeCell ref="WMY29:WMZ29"/>
    <mergeCell ref="WNA29:WNB29"/>
    <mergeCell ref="WNC29:WND29"/>
    <mergeCell ref="WMG29:WMH29"/>
    <mergeCell ref="WMI29:WMJ29"/>
    <mergeCell ref="WMK29:WML29"/>
    <mergeCell ref="WMM29:WMN29"/>
    <mergeCell ref="WMO29:WMP29"/>
    <mergeCell ref="WMQ29:WMR29"/>
    <mergeCell ref="WLU29:WLV29"/>
    <mergeCell ref="WLW29:WLX29"/>
    <mergeCell ref="WLY29:WLZ29"/>
    <mergeCell ref="WMA29:WMB29"/>
    <mergeCell ref="WMC29:WMD29"/>
    <mergeCell ref="WME29:WMF29"/>
    <mergeCell ref="WLI29:WLJ29"/>
    <mergeCell ref="WLK29:WLL29"/>
    <mergeCell ref="WLM29:WLN29"/>
    <mergeCell ref="WLO29:WLP29"/>
    <mergeCell ref="WLQ29:WLR29"/>
    <mergeCell ref="WLS29:WLT29"/>
    <mergeCell ref="WKW29:WKX29"/>
    <mergeCell ref="WKY29:WKZ29"/>
    <mergeCell ref="WLA29:WLB29"/>
    <mergeCell ref="WLC29:WLD29"/>
    <mergeCell ref="WLE29:WLF29"/>
    <mergeCell ref="WLG29:WLH29"/>
    <mergeCell ref="WPY29:WPZ29"/>
    <mergeCell ref="WQA29:WQB29"/>
    <mergeCell ref="WQC29:WQD29"/>
    <mergeCell ref="WQE29:WQF29"/>
    <mergeCell ref="WQG29:WQH29"/>
    <mergeCell ref="WQI29:WQJ29"/>
    <mergeCell ref="WPM29:WPN29"/>
    <mergeCell ref="WPO29:WPP29"/>
    <mergeCell ref="WPQ29:WPR29"/>
    <mergeCell ref="WPS29:WPT29"/>
    <mergeCell ref="WPU29:WPV29"/>
    <mergeCell ref="WPW29:WPX29"/>
    <mergeCell ref="WPA29:WPB29"/>
    <mergeCell ref="WPC29:WPD29"/>
    <mergeCell ref="WPE29:WPF29"/>
    <mergeCell ref="WPG29:WPH29"/>
    <mergeCell ref="WPI29:WPJ29"/>
    <mergeCell ref="WPK29:WPL29"/>
    <mergeCell ref="WOO29:WOP29"/>
    <mergeCell ref="WOQ29:WOR29"/>
    <mergeCell ref="WOS29:WOT29"/>
    <mergeCell ref="WOU29:WOV29"/>
    <mergeCell ref="WOW29:WOX29"/>
    <mergeCell ref="WOY29:WOZ29"/>
    <mergeCell ref="WOC29:WOD29"/>
    <mergeCell ref="WOE29:WOF29"/>
    <mergeCell ref="WOG29:WOH29"/>
    <mergeCell ref="WOI29:WOJ29"/>
    <mergeCell ref="WOK29:WOL29"/>
    <mergeCell ref="WOM29:WON29"/>
    <mergeCell ref="WNQ29:WNR29"/>
    <mergeCell ref="WNS29:WNT29"/>
    <mergeCell ref="WNU29:WNV29"/>
    <mergeCell ref="WNW29:WNX29"/>
    <mergeCell ref="WNY29:WNZ29"/>
    <mergeCell ref="WOA29:WOB29"/>
    <mergeCell ref="WSS29:WST29"/>
    <mergeCell ref="WSU29:WSV29"/>
    <mergeCell ref="WSW29:WSX29"/>
    <mergeCell ref="WSY29:WSZ29"/>
    <mergeCell ref="WTA29:WTB29"/>
    <mergeCell ref="WTC29:WTD29"/>
    <mergeCell ref="WSG29:WSH29"/>
    <mergeCell ref="WSI29:WSJ29"/>
    <mergeCell ref="WSK29:WSL29"/>
    <mergeCell ref="WSM29:WSN29"/>
    <mergeCell ref="WSO29:WSP29"/>
    <mergeCell ref="WSQ29:WSR29"/>
    <mergeCell ref="WRU29:WRV29"/>
    <mergeCell ref="WRW29:WRX29"/>
    <mergeCell ref="WRY29:WRZ29"/>
    <mergeCell ref="WSA29:WSB29"/>
    <mergeCell ref="WSC29:WSD29"/>
    <mergeCell ref="WSE29:WSF29"/>
    <mergeCell ref="WRI29:WRJ29"/>
    <mergeCell ref="WRK29:WRL29"/>
    <mergeCell ref="WRM29:WRN29"/>
    <mergeCell ref="WRO29:WRP29"/>
    <mergeCell ref="WRQ29:WRR29"/>
    <mergeCell ref="WRS29:WRT29"/>
    <mergeCell ref="WQW29:WQX29"/>
    <mergeCell ref="WQY29:WQZ29"/>
    <mergeCell ref="WRA29:WRB29"/>
    <mergeCell ref="WRC29:WRD29"/>
    <mergeCell ref="WRE29:WRF29"/>
    <mergeCell ref="WRG29:WRH29"/>
    <mergeCell ref="WQK29:WQL29"/>
    <mergeCell ref="WQM29:WQN29"/>
    <mergeCell ref="WQO29:WQP29"/>
    <mergeCell ref="WQQ29:WQR29"/>
    <mergeCell ref="WQS29:WQT29"/>
    <mergeCell ref="WQU29:WQV29"/>
    <mergeCell ref="WVM29:WVN29"/>
    <mergeCell ref="WVO29:WVP29"/>
    <mergeCell ref="WVQ29:WVR29"/>
    <mergeCell ref="WVS29:WVT29"/>
    <mergeCell ref="WVU29:WVV29"/>
    <mergeCell ref="WVW29:WVX29"/>
    <mergeCell ref="WVA29:WVB29"/>
    <mergeCell ref="WVC29:WVD29"/>
    <mergeCell ref="WVE29:WVF29"/>
    <mergeCell ref="WVG29:WVH29"/>
    <mergeCell ref="WVI29:WVJ29"/>
    <mergeCell ref="WVK29:WVL29"/>
    <mergeCell ref="WUO29:WUP29"/>
    <mergeCell ref="WUQ29:WUR29"/>
    <mergeCell ref="WUS29:WUT29"/>
    <mergeCell ref="WUU29:WUV29"/>
    <mergeCell ref="WUW29:WUX29"/>
    <mergeCell ref="WUY29:WUZ29"/>
    <mergeCell ref="WUC29:WUD29"/>
    <mergeCell ref="WUE29:WUF29"/>
    <mergeCell ref="WUG29:WUH29"/>
    <mergeCell ref="WUI29:WUJ29"/>
    <mergeCell ref="WUK29:WUL29"/>
    <mergeCell ref="WUM29:WUN29"/>
    <mergeCell ref="WTQ29:WTR29"/>
    <mergeCell ref="WTS29:WTT29"/>
    <mergeCell ref="WTU29:WTV29"/>
    <mergeCell ref="WTW29:WTX29"/>
    <mergeCell ref="WTY29:WTZ29"/>
    <mergeCell ref="WUA29:WUB29"/>
    <mergeCell ref="WTE29:WTF29"/>
    <mergeCell ref="WTG29:WTH29"/>
    <mergeCell ref="WTI29:WTJ29"/>
    <mergeCell ref="WTK29:WTL29"/>
    <mergeCell ref="WTM29:WTN29"/>
    <mergeCell ref="WTO29:WTP29"/>
    <mergeCell ref="WYG29:WYH29"/>
    <mergeCell ref="WYI29:WYJ29"/>
    <mergeCell ref="WYK29:WYL29"/>
    <mergeCell ref="WYM29:WYN29"/>
    <mergeCell ref="WYO29:WYP29"/>
    <mergeCell ref="WYQ29:WYR29"/>
    <mergeCell ref="WXU29:WXV29"/>
    <mergeCell ref="WXW29:WXX29"/>
    <mergeCell ref="WXY29:WXZ29"/>
    <mergeCell ref="WYA29:WYB29"/>
    <mergeCell ref="WYC29:WYD29"/>
    <mergeCell ref="WYE29:WYF29"/>
    <mergeCell ref="WXI29:WXJ29"/>
    <mergeCell ref="WXK29:WXL29"/>
    <mergeCell ref="WXM29:WXN29"/>
    <mergeCell ref="WXO29:WXP29"/>
    <mergeCell ref="WXQ29:WXR29"/>
    <mergeCell ref="WXS29:WXT29"/>
    <mergeCell ref="WWW29:WWX29"/>
    <mergeCell ref="WWY29:WWZ29"/>
    <mergeCell ref="WXA29:WXB29"/>
    <mergeCell ref="WXC29:WXD29"/>
    <mergeCell ref="WXE29:WXF29"/>
    <mergeCell ref="WXG29:WXH29"/>
    <mergeCell ref="WWK29:WWL29"/>
    <mergeCell ref="WWM29:WWN29"/>
    <mergeCell ref="WWO29:WWP29"/>
    <mergeCell ref="WWQ29:WWR29"/>
    <mergeCell ref="WWS29:WWT29"/>
    <mergeCell ref="WWU29:WWV29"/>
    <mergeCell ref="WVY29:WVZ29"/>
    <mergeCell ref="WWA29:WWB29"/>
    <mergeCell ref="WWC29:WWD29"/>
    <mergeCell ref="WWE29:WWF29"/>
    <mergeCell ref="WWG29:WWH29"/>
    <mergeCell ref="WWI29:WWJ29"/>
    <mergeCell ref="XBU29:XBV29"/>
    <mergeCell ref="XBW29:XBX29"/>
    <mergeCell ref="XBA29:XBB29"/>
    <mergeCell ref="XBC29:XBD29"/>
    <mergeCell ref="XBE29:XBF29"/>
    <mergeCell ref="XBG29:XBH29"/>
    <mergeCell ref="XBI29:XBJ29"/>
    <mergeCell ref="XBK29:XBL29"/>
    <mergeCell ref="XAO29:XAP29"/>
    <mergeCell ref="XAQ29:XAR29"/>
    <mergeCell ref="XAS29:XAT29"/>
    <mergeCell ref="XAU29:XAV29"/>
    <mergeCell ref="XAW29:XAX29"/>
    <mergeCell ref="XAY29:XAZ29"/>
    <mergeCell ref="XAC29:XAD29"/>
    <mergeCell ref="XAE29:XAF29"/>
    <mergeCell ref="XAG29:XAH29"/>
    <mergeCell ref="XAI29:XAJ29"/>
    <mergeCell ref="XAK29:XAL29"/>
    <mergeCell ref="XAM29:XAN29"/>
    <mergeCell ref="WZQ29:WZR29"/>
    <mergeCell ref="WZS29:WZT29"/>
    <mergeCell ref="WZU29:WZV29"/>
    <mergeCell ref="WZW29:WZX29"/>
    <mergeCell ref="WZY29:WZZ29"/>
    <mergeCell ref="XAA29:XAB29"/>
    <mergeCell ref="WZE29:WZF29"/>
    <mergeCell ref="WZG29:WZH29"/>
    <mergeCell ref="WZI29:WZJ29"/>
    <mergeCell ref="WZK29:WZL29"/>
    <mergeCell ref="WZM29:WZN29"/>
    <mergeCell ref="WZO29:WZP29"/>
    <mergeCell ref="WYS29:WYT29"/>
    <mergeCell ref="WYU29:WYV29"/>
    <mergeCell ref="WYW29:WYX29"/>
    <mergeCell ref="WYY29:WYZ29"/>
    <mergeCell ref="WZA29:WZB29"/>
    <mergeCell ref="WZC29:WZD29"/>
    <mergeCell ref="Y30:Z30"/>
    <mergeCell ref="AA30:AB30"/>
    <mergeCell ref="AC30:AD30"/>
    <mergeCell ref="AE30:AF30"/>
    <mergeCell ref="AG30:AH30"/>
    <mergeCell ref="AI30:AJ30"/>
    <mergeCell ref="M30:N30"/>
    <mergeCell ref="O30:P30"/>
    <mergeCell ref="Q30:R30"/>
    <mergeCell ref="S30:T30"/>
    <mergeCell ref="U30:V30"/>
    <mergeCell ref="W30:X30"/>
    <mergeCell ref="A30:B30"/>
    <mergeCell ref="C30:D30"/>
    <mergeCell ref="E30:F30"/>
    <mergeCell ref="G30:H30"/>
    <mergeCell ref="I30:J30"/>
    <mergeCell ref="K30:L30"/>
    <mergeCell ref="XES29:XET29"/>
    <mergeCell ref="XEU29:XEV29"/>
    <mergeCell ref="XEW29:XEX29"/>
    <mergeCell ref="XEY29:XEZ29"/>
    <mergeCell ref="XFA29:XFB29"/>
    <mergeCell ref="XFC29:XFD29"/>
    <mergeCell ref="XEG29:XEH29"/>
    <mergeCell ref="XEI29:XEJ29"/>
    <mergeCell ref="XEK29:XEL29"/>
    <mergeCell ref="XEM29:XEN29"/>
    <mergeCell ref="XEO29:XEP29"/>
    <mergeCell ref="XEQ29:XER29"/>
    <mergeCell ref="XDU29:XDV29"/>
    <mergeCell ref="XDW29:XDX29"/>
    <mergeCell ref="XDY29:XDZ29"/>
    <mergeCell ref="XEA29:XEB29"/>
    <mergeCell ref="XEC29:XED29"/>
    <mergeCell ref="XEE29:XEF29"/>
    <mergeCell ref="XDI29:XDJ29"/>
    <mergeCell ref="XDK29:XDL29"/>
    <mergeCell ref="XDM29:XDN29"/>
    <mergeCell ref="XDO29:XDP29"/>
    <mergeCell ref="XDQ29:XDR29"/>
    <mergeCell ref="XDS29:XDT29"/>
    <mergeCell ref="XCW29:XCX29"/>
    <mergeCell ref="XCY29:XCZ29"/>
    <mergeCell ref="XDA29:XDB29"/>
    <mergeCell ref="XDC29:XDD29"/>
    <mergeCell ref="XDE29:XDF29"/>
    <mergeCell ref="XDG29:XDH29"/>
    <mergeCell ref="XCK29:XCL29"/>
    <mergeCell ref="XCM29:XCN29"/>
    <mergeCell ref="XCO29:XCP29"/>
    <mergeCell ref="XCQ29:XCR29"/>
    <mergeCell ref="XCS29:XCT29"/>
    <mergeCell ref="XCU29:XCV29"/>
    <mergeCell ref="XBY29:XBZ29"/>
    <mergeCell ref="XCA29:XCB29"/>
    <mergeCell ref="XCC29:XCD29"/>
    <mergeCell ref="XCE29:XCF29"/>
    <mergeCell ref="XCG29:XCH29"/>
    <mergeCell ref="XCI29:XCJ29"/>
    <mergeCell ref="XBM29:XBN29"/>
    <mergeCell ref="XBO29:XBP29"/>
    <mergeCell ref="XBQ29:XBR29"/>
    <mergeCell ref="XBS29:XBT29"/>
    <mergeCell ref="CS30:CT30"/>
    <mergeCell ref="CU30:CV30"/>
    <mergeCell ref="CW30:CX30"/>
    <mergeCell ref="CY30:CZ30"/>
    <mergeCell ref="DA30:DB30"/>
    <mergeCell ref="DC30:DD30"/>
    <mergeCell ref="CG30:CH30"/>
    <mergeCell ref="CI30:CJ30"/>
    <mergeCell ref="CK30:CL30"/>
    <mergeCell ref="CM30:CN30"/>
    <mergeCell ref="CO30:CP30"/>
    <mergeCell ref="CQ30:CR30"/>
    <mergeCell ref="BU30:BV30"/>
    <mergeCell ref="BW30:BX30"/>
    <mergeCell ref="BY30:BZ30"/>
    <mergeCell ref="CA30:CB30"/>
    <mergeCell ref="CC30:CD30"/>
    <mergeCell ref="CE30:CF30"/>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FM30:FN30"/>
    <mergeCell ref="FO30:FP30"/>
    <mergeCell ref="FQ30:FR30"/>
    <mergeCell ref="FS30:FT30"/>
    <mergeCell ref="FU30:FV30"/>
    <mergeCell ref="FW30:FX30"/>
    <mergeCell ref="FA30:FB30"/>
    <mergeCell ref="FC30:FD30"/>
    <mergeCell ref="FE30:FF30"/>
    <mergeCell ref="FG30:FH30"/>
    <mergeCell ref="FI30:FJ30"/>
    <mergeCell ref="FK30:FL30"/>
    <mergeCell ref="EO30:EP30"/>
    <mergeCell ref="EQ30:ER30"/>
    <mergeCell ref="ES30:ET30"/>
    <mergeCell ref="EU30:EV30"/>
    <mergeCell ref="EW30:EX30"/>
    <mergeCell ref="EY30:EZ30"/>
    <mergeCell ref="EC30:ED30"/>
    <mergeCell ref="EE30:EF30"/>
    <mergeCell ref="EG30:EH30"/>
    <mergeCell ref="EI30:EJ30"/>
    <mergeCell ref="EK30:EL30"/>
    <mergeCell ref="EM30:EN30"/>
    <mergeCell ref="DQ30:DR30"/>
    <mergeCell ref="DS30:DT30"/>
    <mergeCell ref="DU30:DV30"/>
    <mergeCell ref="DW30:DX30"/>
    <mergeCell ref="DY30:DZ30"/>
    <mergeCell ref="EA30:EB30"/>
    <mergeCell ref="DE30:DF30"/>
    <mergeCell ref="DG30:DH30"/>
    <mergeCell ref="DI30:DJ30"/>
    <mergeCell ref="DK30:DL30"/>
    <mergeCell ref="DM30:DN30"/>
    <mergeCell ref="DO30:DP30"/>
    <mergeCell ref="IG30:IH30"/>
    <mergeCell ref="II30:IJ30"/>
    <mergeCell ref="IK30:IL30"/>
    <mergeCell ref="IM30:IN30"/>
    <mergeCell ref="IO30:IP30"/>
    <mergeCell ref="IQ30:IR30"/>
    <mergeCell ref="HU30:HV30"/>
    <mergeCell ref="HW30:HX30"/>
    <mergeCell ref="HY30:HZ30"/>
    <mergeCell ref="IA30:IB30"/>
    <mergeCell ref="IC30:ID30"/>
    <mergeCell ref="IE30:IF30"/>
    <mergeCell ref="HI30:HJ30"/>
    <mergeCell ref="HK30:HL30"/>
    <mergeCell ref="HM30:HN30"/>
    <mergeCell ref="HO30:HP30"/>
    <mergeCell ref="HQ30:HR30"/>
    <mergeCell ref="HS30:HT30"/>
    <mergeCell ref="GW30:GX30"/>
    <mergeCell ref="GY30:GZ30"/>
    <mergeCell ref="HA30:HB30"/>
    <mergeCell ref="HC30:HD30"/>
    <mergeCell ref="HE30:HF30"/>
    <mergeCell ref="HG30:HH30"/>
    <mergeCell ref="GK30:GL30"/>
    <mergeCell ref="GM30:GN30"/>
    <mergeCell ref="GO30:GP30"/>
    <mergeCell ref="GQ30:GR30"/>
    <mergeCell ref="GS30:GT30"/>
    <mergeCell ref="GU30:GV30"/>
    <mergeCell ref="FY30:FZ30"/>
    <mergeCell ref="GA30:GB30"/>
    <mergeCell ref="GC30:GD30"/>
    <mergeCell ref="GE30:GF30"/>
    <mergeCell ref="GG30:GH30"/>
    <mergeCell ref="GI30:GJ30"/>
    <mergeCell ref="LA30:LB30"/>
    <mergeCell ref="LC30:LD30"/>
    <mergeCell ref="LE30:LF30"/>
    <mergeCell ref="LG30:LH30"/>
    <mergeCell ref="LI30:LJ30"/>
    <mergeCell ref="LK30:LL30"/>
    <mergeCell ref="KO30:KP30"/>
    <mergeCell ref="KQ30:KR30"/>
    <mergeCell ref="KS30:KT30"/>
    <mergeCell ref="KU30:KV30"/>
    <mergeCell ref="KW30:KX30"/>
    <mergeCell ref="KY30:KZ30"/>
    <mergeCell ref="KC30:KD30"/>
    <mergeCell ref="KE30:KF30"/>
    <mergeCell ref="KG30:KH30"/>
    <mergeCell ref="KI30:KJ30"/>
    <mergeCell ref="KK30:KL30"/>
    <mergeCell ref="KM30:KN30"/>
    <mergeCell ref="JQ30:JR30"/>
    <mergeCell ref="JS30:JT30"/>
    <mergeCell ref="JU30:JV30"/>
    <mergeCell ref="JW30:JX30"/>
    <mergeCell ref="JY30:JZ30"/>
    <mergeCell ref="KA30:KB30"/>
    <mergeCell ref="JE30:JF30"/>
    <mergeCell ref="JG30:JH30"/>
    <mergeCell ref="JI30:JJ30"/>
    <mergeCell ref="JK30:JL30"/>
    <mergeCell ref="JM30:JN30"/>
    <mergeCell ref="JO30:JP30"/>
    <mergeCell ref="IS30:IT30"/>
    <mergeCell ref="IU30:IV30"/>
    <mergeCell ref="IW30:IX30"/>
    <mergeCell ref="IY30:IZ30"/>
    <mergeCell ref="JA30:JB30"/>
    <mergeCell ref="JC30:JD30"/>
    <mergeCell ref="NU30:NV30"/>
    <mergeCell ref="NW30:NX30"/>
    <mergeCell ref="NY30:NZ30"/>
    <mergeCell ref="OA30:OB30"/>
    <mergeCell ref="OC30:OD30"/>
    <mergeCell ref="OE30:OF30"/>
    <mergeCell ref="NI30:NJ30"/>
    <mergeCell ref="NK30:NL30"/>
    <mergeCell ref="NM30:NN30"/>
    <mergeCell ref="NO30:NP30"/>
    <mergeCell ref="NQ30:NR30"/>
    <mergeCell ref="NS30:NT30"/>
    <mergeCell ref="MW30:MX30"/>
    <mergeCell ref="MY30:MZ30"/>
    <mergeCell ref="NA30:NB30"/>
    <mergeCell ref="NC30:ND30"/>
    <mergeCell ref="NE30:NF30"/>
    <mergeCell ref="NG30:NH30"/>
    <mergeCell ref="MK30:ML30"/>
    <mergeCell ref="MM30:MN30"/>
    <mergeCell ref="MO30:MP30"/>
    <mergeCell ref="MQ30:MR30"/>
    <mergeCell ref="MS30:MT30"/>
    <mergeCell ref="MU30:MV30"/>
    <mergeCell ref="LY30:LZ30"/>
    <mergeCell ref="MA30:MB30"/>
    <mergeCell ref="MC30:MD30"/>
    <mergeCell ref="ME30:MF30"/>
    <mergeCell ref="MG30:MH30"/>
    <mergeCell ref="MI30:MJ30"/>
    <mergeCell ref="LM30:LN30"/>
    <mergeCell ref="LO30:LP30"/>
    <mergeCell ref="LQ30:LR30"/>
    <mergeCell ref="LS30:LT30"/>
    <mergeCell ref="LU30:LV30"/>
    <mergeCell ref="LW30:LX30"/>
    <mergeCell ref="QO30:QP30"/>
    <mergeCell ref="QQ30:QR30"/>
    <mergeCell ref="QS30:QT30"/>
    <mergeCell ref="QU30:QV30"/>
    <mergeCell ref="QW30:QX30"/>
    <mergeCell ref="QY30:QZ30"/>
    <mergeCell ref="QC30:QD30"/>
    <mergeCell ref="QE30:QF30"/>
    <mergeCell ref="QG30:QH30"/>
    <mergeCell ref="QI30:QJ30"/>
    <mergeCell ref="QK30:QL30"/>
    <mergeCell ref="QM30:QN30"/>
    <mergeCell ref="PQ30:PR30"/>
    <mergeCell ref="PS30:PT30"/>
    <mergeCell ref="PU30:PV30"/>
    <mergeCell ref="PW30:PX30"/>
    <mergeCell ref="PY30:PZ30"/>
    <mergeCell ref="QA30:QB30"/>
    <mergeCell ref="PE30:PF30"/>
    <mergeCell ref="PG30:PH30"/>
    <mergeCell ref="PI30:PJ30"/>
    <mergeCell ref="PK30:PL30"/>
    <mergeCell ref="PM30:PN30"/>
    <mergeCell ref="PO30:PP30"/>
    <mergeCell ref="OS30:OT30"/>
    <mergeCell ref="OU30:OV30"/>
    <mergeCell ref="OW30:OX30"/>
    <mergeCell ref="OY30:OZ30"/>
    <mergeCell ref="PA30:PB30"/>
    <mergeCell ref="PC30:PD30"/>
    <mergeCell ref="OG30:OH30"/>
    <mergeCell ref="OI30:OJ30"/>
    <mergeCell ref="OK30:OL30"/>
    <mergeCell ref="OM30:ON30"/>
    <mergeCell ref="OO30:OP30"/>
    <mergeCell ref="OQ30:OR30"/>
    <mergeCell ref="TI30:TJ30"/>
    <mergeCell ref="TK30:TL30"/>
    <mergeCell ref="TM30:TN30"/>
    <mergeCell ref="TO30:TP30"/>
    <mergeCell ref="TQ30:TR30"/>
    <mergeCell ref="TS30:TT30"/>
    <mergeCell ref="SW30:SX30"/>
    <mergeCell ref="SY30:SZ30"/>
    <mergeCell ref="TA30:TB30"/>
    <mergeCell ref="TC30:TD30"/>
    <mergeCell ref="TE30:TF30"/>
    <mergeCell ref="TG30:TH30"/>
    <mergeCell ref="SK30:SL30"/>
    <mergeCell ref="SM30:SN30"/>
    <mergeCell ref="SO30:SP30"/>
    <mergeCell ref="SQ30:SR30"/>
    <mergeCell ref="SS30:ST30"/>
    <mergeCell ref="SU30:SV30"/>
    <mergeCell ref="RY30:RZ30"/>
    <mergeCell ref="SA30:SB30"/>
    <mergeCell ref="SC30:SD30"/>
    <mergeCell ref="SE30:SF30"/>
    <mergeCell ref="SG30:SH30"/>
    <mergeCell ref="SI30:SJ30"/>
    <mergeCell ref="RM30:RN30"/>
    <mergeCell ref="RO30:RP30"/>
    <mergeCell ref="RQ30:RR30"/>
    <mergeCell ref="RS30:RT30"/>
    <mergeCell ref="RU30:RV30"/>
    <mergeCell ref="RW30:RX30"/>
    <mergeCell ref="RA30:RB30"/>
    <mergeCell ref="RC30:RD30"/>
    <mergeCell ref="RE30:RF30"/>
    <mergeCell ref="RG30:RH30"/>
    <mergeCell ref="RI30:RJ30"/>
    <mergeCell ref="RK30:RL30"/>
    <mergeCell ref="WC30:WD30"/>
    <mergeCell ref="WE30:WF30"/>
    <mergeCell ref="WG30:WH30"/>
    <mergeCell ref="WI30:WJ30"/>
    <mergeCell ref="WK30:WL30"/>
    <mergeCell ref="WM30:WN30"/>
    <mergeCell ref="VQ30:VR30"/>
    <mergeCell ref="VS30:VT30"/>
    <mergeCell ref="VU30:VV30"/>
    <mergeCell ref="VW30:VX30"/>
    <mergeCell ref="VY30:VZ30"/>
    <mergeCell ref="WA30:WB30"/>
    <mergeCell ref="VE30:VF30"/>
    <mergeCell ref="VG30:VH30"/>
    <mergeCell ref="VI30:VJ30"/>
    <mergeCell ref="VK30:VL30"/>
    <mergeCell ref="VM30:VN30"/>
    <mergeCell ref="VO30:VP30"/>
    <mergeCell ref="US30:UT30"/>
    <mergeCell ref="UU30:UV30"/>
    <mergeCell ref="UW30:UX30"/>
    <mergeCell ref="UY30:UZ30"/>
    <mergeCell ref="VA30:VB30"/>
    <mergeCell ref="VC30:VD30"/>
    <mergeCell ref="UG30:UH30"/>
    <mergeCell ref="UI30:UJ30"/>
    <mergeCell ref="UK30:UL30"/>
    <mergeCell ref="UM30:UN30"/>
    <mergeCell ref="UO30:UP30"/>
    <mergeCell ref="UQ30:UR30"/>
    <mergeCell ref="TU30:TV30"/>
    <mergeCell ref="TW30:TX30"/>
    <mergeCell ref="TY30:TZ30"/>
    <mergeCell ref="UA30:UB30"/>
    <mergeCell ref="UC30:UD30"/>
    <mergeCell ref="UE30:UF30"/>
    <mergeCell ref="YW30:YX30"/>
    <mergeCell ref="YY30:YZ30"/>
    <mergeCell ref="ZA30:ZB30"/>
    <mergeCell ref="ZC30:ZD30"/>
    <mergeCell ref="ZE30:ZF30"/>
    <mergeCell ref="ZG30:ZH30"/>
    <mergeCell ref="YK30:YL30"/>
    <mergeCell ref="YM30:YN30"/>
    <mergeCell ref="YO30:YP30"/>
    <mergeCell ref="YQ30:YR30"/>
    <mergeCell ref="YS30:YT30"/>
    <mergeCell ref="YU30:YV30"/>
    <mergeCell ref="XY30:XZ30"/>
    <mergeCell ref="YA30:YB30"/>
    <mergeCell ref="YC30:YD30"/>
    <mergeCell ref="YE30:YF30"/>
    <mergeCell ref="YG30:YH30"/>
    <mergeCell ref="YI30:YJ30"/>
    <mergeCell ref="XM30:XN30"/>
    <mergeCell ref="XO30:XP30"/>
    <mergeCell ref="XQ30:XR30"/>
    <mergeCell ref="XS30:XT30"/>
    <mergeCell ref="XU30:XV30"/>
    <mergeCell ref="XW30:XX30"/>
    <mergeCell ref="XA30:XB30"/>
    <mergeCell ref="XC30:XD30"/>
    <mergeCell ref="XE30:XF30"/>
    <mergeCell ref="XG30:XH30"/>
    <mergeCell ref="XI30:XJ30"/>
    <mergeCell ref="XK30:XL30"/>
    <mergeCell ref="WO30:WP30"/>
    <mergeCell ref="WQ30:WR30"/>
    <mergeCell ref="WS30:WT30"/>
    <mergeCell ref="WU30:WV30"/>
    <mergeCell ref="WW30:WX30"/>
    <mergeCell ref="WY30:WZ30"/>
    <mergeCell ref="ABQ30:ABR30"/>
    <mergeCell ref="ABS30:ABT30"/>
    <mergeCell ref="ABU30:ABV30"/>
    <mergeCell ref="ABW30:ABX30"/>
    <mergeCell ref="ABY30:ABZ30"/>
    <mergeCell ref="ACA30:ACB30"/>
    <mergeCell ref="ABE30:ABF30"/>
    <mergeCell ref="ABG30:ABH30"/>
    <mergeCell ref="ABI30:ABJ30"/>
    <mergeCell ref="ABK30:ABL30"/>
    <mergeCell ref="ABM30:ABN30"/>
    <mergeCell ref="ABO30:ABP30"/>
    <mergeCell ref="AAS30:AAT30"/>
    <mergeCell ref="AAU30:AAV30"/>
    <mergeCell ref="AAW30:AAX30"/>
    <mergeCell ref="AAY30:AAZ30"/>
    <mergeCell ref="ABA30:ABB30"/>
    <mergeCell ref="ABC30:ABD30"/>
    <mergeCell ref="AAG30:AAH30"/>
    <mergeCell ref="AAI30:AAJ30"/>
    <mergeCell ref="AAK30:AAL30"/>
    <mergeCell ref="AAM30:AAN30"/>
    <mergeCell ref="AAO30:AAP30"/>
    <mergeCell ref="AAQ30:AAR30"/>
    <mergeCell ref="ZU30:ZV30"/>
    <mergeCell ref="ZW30:ZX30"/>
    <mergeCell ref="ZY30:ZZ30"/>
    <mergeCell ref="AAA30:AAB30"/>
    <mergeCell ref="AAC30:AAD30"/>
    <mergeCell ref="AAE30:AAF30"/>
    <mergeCell ref="ZI30:ZJ30"/>
    <mergeCell ref="ZK30:ZL30"/>
    <mergeCell ref="ZM30:ZN30"/>
    <mergeCell ref="ZO30:ZP30"/>
    <mergeCell ref="ZQ30:ZR30"/>
    <mergeCell ref="ZS30:ZT30"/>
    <mergeCell ref="AEK30:AEL30"/>
    <mergeCell ref="AEM30:AEN30"/>
    <mergeCell ref="AEO30:AEP30"/>
    <mergeCell ref="AEQ30:AER30"/>
    <mergeCell ref="AES30:AET30"/>
    <mergeCell ref="AEU30:AEV30"/>
    <mergeCell ref="ADY30:ADZ30"/>
    <mergeCell ref="AEA30:AEB30"/>
    <mergeCell ref="AEC30:AED30"/>
    <mergeCell ref="AEE30:AEF30"/>
    <mergeCell ref="AEG30:AEH30"/>
    <mergeCell ref="AEI30:AEJ30"/>
    <mergeCell ref="ADM30:ADN30"/>
    <mergeCell ref="ADO30:ADP30"/>
    <mergeCell ref="ADQ30:ADR30"/>
    <mergeCell ref="ADS30:ADT30"/>
    <mergeCell ref="ADU30:ADV30"/>
    <mergeCell ref="ADW30:ADX30"/>
    <mergeCell ref="ADA30:ADB30"/>
    <mergeCell ref="ADC30:ADD30"/>
    <mergeCell ref="ADE30:ADF30"/>
    <mergeCell ref="ADG30:ADH30"/>
    <mergeCell ref="ADI30:ADJ30"/>
    <mergeCell ref="ADK30:ADL30"/>
    <mergeCell ref="ACO30:ACP30"/>
    <mergeCell ref="ACQ30:ACR30"/>
    <mergeCell ref="ACS30:ACT30"/>
    <mergeCell ref="ACU30:ACV30"/>
    <mergeCell ref="ACW30:ACX30"/>
    <mergeCell ref="ACY30:ACZ30"/>
    <mergeCell ref="ACC30:ACD30"/>
    <mergeCell ref="ACE30:ACF30"/>
    <mergeCell ref="ACG30:ACH30"/>
    <mergeCell ref="ACI30:ACJ30"/>
    <mergeCell ref="ACK30:ACL30"/>
    <mergeCell ref="ACM30:ACN30"/>
    <mergeCell ref="AHE30:AHF30"/>
    <mergeCell ref="AHG30:AHH30"/>
    <mergeCell ref="AHI30:AHJ30"/>
    <mergeCell ref="AHK30:AHL30"/>
    <mergeCell ref="AHM30:AHN30"/>
    <mergeCell ref="AHO30:AHP30"/>
    <mergeCell ref="AGS30:AGT30"/>
    <mergeCell ref="AGU30:AGV30"/>
    <mergeCell ref="AGW30:AGX30"/>
    <mergeCell ref="AGY30:AGZ30"/>
    <mergeCell ref="AHA30:AHB30"/>
    <mergeCell ref="AHC30:AHD30"/>
    <mergeCell ref="AGG30:AGH30"/>
    <mergeCell ref="AGI30:AGJ30"/>
    <mergeCell ref="AGK30:AGL30"/>
    <mergeCell ref="AGM30:AGN30"/>
    <mergeCell ref="AGO30:AGP30"/>
    <mergeCell ref="AGQ30:AGR30"/>
    <mergeCell ref="AFU30:AFV30"/>
    <mergeCell ref="AFW30:AFX30"/>
    <mergeCell ref="AFY30:AFZ30"/>
    <mergeCell ref="AGA30:AGB30"/>
    <mergeCell ref="AGC30:AGD30"/>
    <mergeCell ref="AGE30:AGF30"/>
    <mergeCell ref="AFI30:AFJ30"/>
    <mergeCell ref="AFK30:AFL30"/>
    <mergeCell ref="AFM30:AFN30"/>
    <mergeCell ref="AFO30:AFP30"/>
    <mergeCell ref="AFQ30:AFR30"/>
    <mergeCell ref="AFS30:AFT30"/>
    <mergeCell ref="AEW30:AEX30"/>
    <mergeCell ref="AEY30:AEZ30"/>
    <mergeCell ref="AFA30:AFB30"/>
    <mergeCell ref="AFC30:AFD30"/>
    <mergeCell ref="AFE30:AFF30"/>
    <mergeCell ref="AFG30:AFH30"/>
    <mergeCell ref="AJY30:AJZ30"/>
    <mergeCell ref="AKA30:AKB30"/>
    <mergeCell ref="AKC30:AKD30"/>
    <mergeCell ref="AKE30:AKF30"/>
    <mergeCell ref="AKG30:AKH30"/>
    <mergeCell ref="AKI30:AKJ30"/>
    <mergeCell ref="AJM30:AJN30"/>
    <mergeCell ref="AJO30:AJP30"/>
    <mergeCell ref="AJQ30:AJR30"/>
    <mergeCell ref="AJS30:AJT30"/>
    <mergeCell ref="AJU30:AJV30"/>
    <mergeCell ref="AJW30:AJX30"/>
    <mergeCell ref="AJA30:AJB30"/>
    <mergeCell ref="AJC30:AJD30"/>
    <mergeCell ref="AJE30:AJF30"/>
    <mergeCell ref="AJG30:AJH30"/>
    <mergeCell ref="AJI30:AJJ30"/>
    <mergeCell ref="AJK30:AJL30"/>
    <mergeCell ref="AIO30:AIP30"/>
    <mergeCell ref="AIQ30:AIR30"/>
    <mergeCell ref="AIS30:AIT30"/>
    <mergeCell ref="AIU30:AIV30"/>
    <mergeCell ref="AIW30:AIX30"/>
    <mergeCell ref="AIY30:AIZ30"/>
    <mergeCell ref="AIC30:AID30"/>
    <mergeCell ref="AIE30:AIF30"/>
    <mergeCell ref="AIG30:AIH30"/>
    <mergeCell ref="AII30:AIJ30"/>
    <mergeCell ref="AIK30:AIL30"/>
    <mergeCell ref="AIM30:AIN30"/>
    <mergeCell ref="AHQ30:AHR30"/>
    <mergeCell ref="AHS30:AHT30"/>
    <mergeCell ref="AHU30:AHV30"/>
    <mergeCell ref="AHW30:AHX30"/>
    <mergeCell ref="AHY30:AHZ30"/>
    <mergeCell ref="AIA30:AIB30"/>
    <mergeCell ref="AMS30:AMT30"/>
    <mergeCell ref="AMU30:AMV30"/>
    <mergeCell ref="AMW30:AMX30"/>
    <mergeCell ref="AMY30:AMZ30"/>
    <mergeCell ref="ANA30:ANB30"/>
    <mergeCell ref="ANC30:AND30"/>
    <mergeCell ref="AMG30:AMH30"/>
    <mergeCell ref="AMI30:AMJ30"/>
    <mergeCell ref="AMK30:AML30"/>
    <mergeCell ref="AMM30:AMN30"/>
    <mergeCell ref="AMO30:AMP30"/>
    <mergeCell ref="AMQ30:AMR30"/>
    <mergeCell ref="ALU30:ALV30"/>
    <mergeCell ref="ALW30:ALX30"/>
    <mergeCell ref="ALY30:ALZ30"/>
    <mergeCell ref="AMA30:AMB30"/>
    <mergeCell ref="AMC30:AMD30"/>
    <mergeCell ref="AME30:AMF30"/>
    <mergeCell ref="ALI30:ALJ30"/>
    <mergeCell ref="ALK30:ALL30"/>
    <mergeCell ref="ALM30:ALN30"/>
    <mergeCell ref="ALO30:ALP30"/>
    <mergeCell ref="ALQ30:ALR30"/>
    <mergeCell ref="ALS30:ALT30"/>
    <mergeCell ref="AKW30:AKX30"/>
    <mergeCell ref="AKY30:AKZ30"/>
    <mergeCell ref="ALA30:ALB30"/>
    <mergeCell ref="ALC30:ALD30"/>
    <mergeCell ref="ALE30:ALF30"/>
    <mergeCell ref="ALG30:ALH30"/>
    <mergeCell ref="AKK30:AKL30"/>
    <mergeCell ref="AKM30:AKN30"/>
    <mergeCell ref="AKO30:AKP30"/>
    <mergeCell ref="AKQ30:AKR30"/>
    <mergeCell ref="AKS30:AKT30"/>
    <mergeCell ref="AKU30:AKV30"/>
    <mergeCell ref="APM30:APN30"/>
    <mergeCell ref="APO30:APP30"/>
    <mergeCell ref="APQ30:APR30"/>
    <mergeCell ref="APS30:APT30"/>
    <mergeCell ref="APU30:APV30"/>
    <mergeCell ref="APW30:APX30"/>
    <mergeCell ref="APA30:APB30"/>
    <mergeCell ref="APC30:APD30"/>
    <mergeCell ref="APE30:APF30"/>
    <mergeCell ref="APG30:APH30"/>
    <mergeCell ref="API30:APJ30"/>
    <mergeCell ref="APK30:APL30"/>
    <mergeCell ref="AOO30:AOP30"/>
    <mergeCell ref="AOQ30:AOR30"/>
    <mergeCell ref="AOS30:AOT30"/>
    <mergeCell ref="AOU30:AOV30"/>
    <mergeCell ref="AOW30:AOX30"/>
    <mergeCell ref="AOY30:AOZ30"/>
    <mergeCell ref="AOC30:AOD30"/>
    <mergeCell ref="AOE30:AOF30"/>
    <mergeCell ref="AOG30:AOH30"/>
    <mergeCell ref="AOI30:AOJ30"/>
    <mergeCell ref="AOK30:AOL30"/>
    <mergeCell ref="AOM30:AON30"/>
    <mergeCell ref="ANQ30:ANR30"/>
    <mergeCell ref="ANS30:ANT30"/>
    <mergeCell ref="ANU30:ANV30"/>
    <mergeCell ref="ANW30:ANX30"/>
    <mergeCell ref="ANY30:ANZ30"/>
    <mergeCell ref="AOA30:AOB30"/>
    <mergeCell ref="ANE30:ANF30"/>
    <mergeCell ref="ANG30:ANH30"/>
    <mergeCell ref="ANI30:ANJ30"/>
    <mergeCell ref="ANK30:ANL30"/>
    <mergeCell ref="ANM30:ANN30"/>
    <mergeCell ref="ANO30:ANP30"/>
    <mergeCell ref="ASG30:ASH30"/>
    <mergeCell ref="ASI30:ASJ30"/>
    <mergeCell ref="ASK30:ASL30"/>
    <mergeCell ref="ASM30:ASN30"/>
    <mergeCell ref="ASO30:ASP30"/>
    <mergeCell ref="ASQ30:ASR30"/>
    <mergeCell ref="ARU30:ARV30"/>
    <mergeCell ref="ARW30:ARX30"/>
    <mergeCell ref="ARY30:ARZ30"/>
    <mergeCell ref="ASA30:ASB30"/>
    <mergeCell ref="ASC30:ASD30"/>
    <mergeCell ref="ASE30:ASF30"/>
    <mergeCell ref="ARI30:ARJ30"/>
    <mergeCell ref="ARK30:ARL30"/>
    <mergeCell ref="ARM30:ARN30"/>
    <mergeCell ref="ARO30:ARP30"/>
    <mergeCell ref="ARQ30:ARR30"/>
    <mergeCell ref="ARS30:ART30"/>
    <mergeCell ref="AQW30:AQX30"/>
    <mergeCell ref="AQY30:AQZ30"/>
    <mergeCell ref="ARA30:ARB30"/>
    <mergeCell ref="ARC30:ARD30"/>
    <mergeCell ref="ARE30:ARF30"/>
    <mergeCell ref="ARG30:ARH30"/>
    <mergeCell ref="AQK30:AQL30"/>
    <mergeCell ref="AQM30:AQN30"/>
    <mergeCell ref="AQO30:AQP30"/>
    <mergeCell ref="AQQ30:AQR30"/>
    <mergeCell ref="AQS30:AQT30"/>
    <mergeCell ref="AQU30:AQV30"/>
    <mergeCell ref="APY30:APZ30"/>
    <mergeCell ref="AQA30:AQB30"/>
    <mergeCell ref="AQC30:AQD30"/>
    <mergeCell ref="AQE30:AQF30"/>
    <mergeCell ref="AQG30:AQH30"/>
    <mergeCell ref="AQI30:AQJ30"/>
    <mergeCell ref="AVA30:AVB30"/>
    <mergeCell ref="AVC30:AVD30"/>
    <mergeCell ref="AVE30:AVF30"/>
    <mergeCell ref="AVG30:AVH30"/>
    <mergeCell ref="AVI30:AVJ30"/>
    <mergeCell ref="AVK30:AVL30"/>
    <mergeCell ref="AUO30:AUP30"/>
    <mergeCell ref="AUQ30:AUR30"/>
    <mergeCell ref="AUS30:AUT30"/>
    <mergeCell ref="AUU30:AUV30"/>
    <mergeCell ref="AUW30:AUX30"/>
    <mergeCell ref="AUY30:AUZ30"/>
    <mergeCell ref="AUC30:AUD30"/>
    <mergeCell ref="AUE30:AUF30"/>
    <mergeCell ref="AUG30:AUH30"/>
    <mergeCell ref="AUI30:AUJ30"/>
    <mergeCell ref="AUK30:AUL30"/>
    <mergeCell ref="AUM30:AUN30"/>
    <mergeCell ref="ATQ30:ATR30"/>
    <mergeCell ref="ATS30:ATT30"/>
    <mergeCell ref="ATU30:ATV30"/>
    <mergeCell ref="ATW30:ATX30"/>
    <mergeCell ref="ATY30:ATZ30"/>
    <mergeCell ref="AUA30:AUB30"/>
    <mergeCell ref="ATE30:ATF30"/>
    <mergeCell ref="ATG30:ATH30"/>
    <mergeCell ref="ATI30:ATJ30"/>
    <mergeCell ref="ATK30:ATL30"/>
    <mergeCell ref="ATM30:ATN30"/>
    <mergeCell ref="ATO30:ATP30"/>
    <mergeCell ref="ASS30:AST30"/>
    <mergeCell ref="ASU30:ASV30"/>
    <mergeCell ref="ASW30:ASX30"/>
    <mergeCell ref="ASY30:ASZ30"/>
    <mergeCell ref="ATA30:ATB30"/>
    <mergeCell ref="ATC30:ATD30"/>
    <mergeCell ref="AXU30:AXV30"/>
    <mergeCell ref="AXW30:AXX30"/>
    <mergeCell ref="AXY30:AXZ30"/>
    <mergeCell ref="AYA30:AYB30"/>
    <mergeCell ref="AYC30:AYD30"/>
    <mergeCell ref="AYE30:AYF30"/>
    <mergeCell ref="AXI30:AXJ30"/>
    <mergeCell ref="AXK30:AXL30"/>
    <mergeCell ref="AXM30:AXN30"/>
    <mergeCell ref="AXO30:AXP30"/>
    <mergeCell ref="AXQ30:AXR30"/>
    <mergeCell ref="AXS30:AXT30"/>
    <mergeCell ref="AWW30:AWX30"/>
    <mergeCell ref="AWY30:AWZ30"/>
    <mergeCell ref="AXA30:AXB30"/>
    <mergeCell ref="AXC30:AXD30"/>
    <mergeCell ref="AXE30:AXF30"/>
    <mergeCell ref="AXG30:AXH30"/>
    <mergeCell ref="AWK30:AWL30"/>
    <mergeCell ref="AWM30:AWN30"/>
    <mergeCell ref="AWO30:AWP30"/>
    <mergeCell ref="AWQ30:AWR30"/>
    <mergeCell ref="AWS30:AWT30"/>
    <mergeCell ref="AWU30:AWV30"/>
    <mergeCell ref="AVY30:AVZ30"/>
    <mergeCell ref="AWA30:AWB30"/>
    <mergeCell ref="AWC30:AWD30"/>
    <mergeCell ref="AWE30:AWF30"/>
    <mergeCell ref="AWG30:AWH30"/>
    <mergeCell ref="AWI30:AWJ30"/>
    <mergeCell ref="AVM30:AVN30"/>
    <mergeCell ref="AVO30:AVP30"/>
    <mergeCell ref="AVQ30:AVR30"/>
    <mergeCell ref="AVS30:AVT30"/>
    <mergeCell ref="AVU30:AVV30"/>
    <mergeCell ref="AVW30:AVX30"/>
    <mergeCell ref="BAO30:BAP30"/>
    <mergeCell ref="BAQ30:BAR30"/>
    <mergeCell ref="BAS30:BAT30"/>
    <mergeCell ref="BAU30:BAV30"/>
    <mergeCell ref="BAW30:BAX30"/>
    <mergeCell ref="BAY30:BAZ30"/>
    <mergeCell ref="BAC30:BAD30"/>
    <mergeCell ref="BAE30:BAF30"/>
    <mergeCell ref="BAG30:BAH30"/>
    <mergeCell ref="BAI30:BAJ30"/>
    <mergeCell ref="BAK30:BAL30"/>
    <mergeCell ref="BAM30:BAN30"/>
    <mergeCell ref="AZQ30:AZR30"/>
    <mergeCell ref="AZS30:AZT30"/>
    <mergeCell ref="AZU30:AZV30"/>
    <mergeCell ref="AZW30:AZX30"/>
    <mergeCell ref="AZY30:AZZ30"/>
    <mergeCell ref="BAA30:BAB30"/>
    <mergeCell ref="AZE30:AZF30"/>
    <mergeCell ref="AZG30:AZH30"/>
    <mergeCell ref="AZI30:AZJ30"/>
    <mergeCell ref="AZK30:AZL30"/>
    <mergeCell ref="AZM30:AZN30"/>
    <mergeCell ref="AZO30:AZP30"/>
    <mergeCell ref="AYS30:AYT30"/>
    <mergeCell ref="AYU30:AYV30"/>
    <mergeCell ref="AYW30:AYX30"/>
    <mergeCell ref="AYY30:AYZ30"/>
    <mergeCell ref="AZA30:AZB30"/>
    <mergeCell ref="AZC30:AZD30"/>
    <mergeCell ref="AYG30:AYH30"/>
    <mergeCell ref="AYI30:AYJ30"/>
    <mergeCell ref="AYK30:AYL30"/>
    <mergeCell ref="AYM30:AYN30"/>
    <mergeCell ref="AYO30:AYP30"/>
    <mergeCell ref="AYQ30:AYR30"/>
    <mergeCell ref="BDI30:BDJ30"/>
    <mergeCell ref="BDK30:BDL30"/>
    <mergeCell ref="BDM30:BDN30"/>
    <mergeCell ref="BDO30:BDP30"/>
    <mergeCell ref="BDQ30:BDR30"/>
    <mergeCell ref="BDS30:BDT30"/>
    <mergeCell ref="BCW30:BCX30"/>
    <mergeCell ref="BCY30:BCZ30"/>
    <mergeCell ref="BDA30:BDB30"/>
    <mergeCell ref="BDC30:BDD30"/>
    <mergeCell ref="BDE30:BDF30"/>
    <mergeCell ref="BDG30:BDH30"/>
    <mergeCell ref="BCK30:BCL30"/>
    <mergeCell ref="BCM30:BCN30"/>
    <mergeCell ref="BCO30:BCP30"/>
    <mergeCell ref="BCQ30:BCR30"/>
    <mergeCell ref="BCS30:BCT30"/>
    <mergeCell ref="BCU30:BCV30"/>
    <mergeCell ref="BBY30:BBZ30"/>
    <mergeCell ref="BCA30:BCB30"/>
    <mergeCell ref="BCC30:BCD30"/>
    <mergeCell ref="BCE30:BCF30"/>
    <mergeCell ref="BCG30:BCH30"/>
    <mergeCell ref="BCI30:BCJ30"/>
    <mergeCell ref="BBM30:BBN30"/>
    <mergeCell ref="BBO30:BBP30"/>
    <mergeCell ref="BBQ30:BBR30"/>
    <mergeCell ref="BBS30:BBT30"/>
    <mergeCell ref="BBU30:BBV30"/>
    <mergeCell ref="BBW30:BBX30"/>
    <mergeCell ref="BBA30:BBB30"/>
    <mergeCell ref="BBC30:BBD30"/>
    <mergeCell ref="BBE30:BBF30"/>
    <mergeCell ref="BBG30:BBH30"/>
    <mergeCell ref="BBI30:BBJ30"/>
    <mergeCell ref="BBK30:BBL30"/>
    <mergeCell ref="BGC30:BGD30"/>
    <mergeCell ref="BGE30:BGF30"/>
    <mergeCell ref="BGG30:BGH30"/>
    <mergeCell ref="BGI30:BGJ30"/>
    <mergeCell ref="BGK30:BGL30"/>
    <mergeCell ref="BGM30:BGN30"/>
    <mergeCell ref="BFQ30:BFR30"/>
    <mergeCell ref="BFS30:BFT30"/>
    <mergeCell ref="BFU30:BFV30"/>
    <mergeCell ref="BFW30:BFX30"/>
    <mergeCell ref="BFY30:BFZ30"/>
    <mergeCell ref="BGA30:BGB30"/>
    <mergeCell ref="BFE30:BFF30"/>
    <mergeCell ref="BFG30:BFH30"/>
    <mergeCell ref="BFI30:BFJ30"/>
    <mergeCell ref="BFK30:BFL30"/>
    <mergeCell ref="BFM30:BFN30"/>
    <mergeCell ref="BFO30:BFP30"/>
    <mergeCell ref="BES30:BET30"/>
    <mergeCell ref="BEU30:BEV30"/>
    <mergeCell ref="BEW30:BEX30"/>
    <mergeCell ref="BEY30:BEZ30"/>
    <mergeCell ref="BFA30:BFB30"/>
    <mergeCell ref="BFC30:BFD30"/>
    <mergeCell ref="BEG30:BEH30"/>
    <mergeCell ref="BEI30:BEJ30"/>
    <mergeCell ref="BEK30:BEL30"/>
    <mergeCell ref="BEM30:BEN30"/>
    <mergeCell ref="BEO30:BEP30"/>
    <mergeCell ref="BEQ30:BER30"/>
    <mergeCell ref="BDU30:BDV30"/>
    <mergeCell ref="BDW30:BDX30"/>
    <mergeCell ref="BDY30:BDZ30"/>
    <mergeCell ref="BEA30:BEB30"/>
    <mergeCell ref="BEC30:BED30"/>
    <mergeCell ref="BEE30:BEF30"/>
    <mergeCell ref="BIW30:BIX30"/>
    <mergeCell ref="BIY30:BIZ30"/>
    <mergeCell ref="BJA30:BJB30"/>
    <mergeCell ref="BJC30:BJD30"/>
    <mergeCell ref="BJE30:BJF30"/>
    <mergeCell ref="BJG30:BJH30"/>
    <mergeCell ref="BIK30:BIL30"/>
    <mergeCell ref="BIM30:BIN30"/>
    <mergeCell ref="BIO30:BIP30"/>
    <mergeCell ref="BIQ30:BIR30"/>
    <mergeCell ref="BIS30:BIT30"/>
    <mergeCell ref="BIU30:BIV30"/>
    <mergeCell ref="BHY30:BHZ30"/>
    <mergeCell ref="BIA30:BIB30"/>
    <mergeCell ref="BIC30:BID30"/>
    <mergeCell ref="BIE30:BIF30"/>
    <mergeCell ref="BIG30:BIH30"/>
    <mergeCell ref="BII30:BIJ30"/>
    <mergeCell ref="BHM30:BHN30"/>
    <mergeCell ref="BHO30:BHP30"/>
    <mergeCell ref="BHQ30:BHR30"/>
    <mergeCell ref="BHS30:BHT30"/>
    <mergeCell ref="BHU30:BHV30"/>
    <mergeCell ref="BHW30:BHX30"/>
    <mergeCell ref="BHA30:BHB30"/>
    <mergeCell ref="BHC30:BHD30"/>
    <mergeCell ref="BHE30:BHF30"/>
    <mergeCell ref="BHG30:BHH30"/>
    <mergeCell ref="BHI30:BHJ30"/>
    <mergeCell ref="BHK30:BHL30"/>
    <mergeCell ref="BGO30:BGP30"/>
    <mergeCell ref="BGQ30:BGR30"/>
    <mergeCell ref="BGS30:BGT30"/>
    <mergeCell ref="BGU30:BGV30"/>
    <mergeCell ref="BGW30:BGX30"/>
    <mergeCell ref="BGY30:BGZ30"/>
    <mergeCell ref="BLQ30:BLR30"/>
    <mergeCell ref="BLS30:BLT30"/>
    <mergeCell ref="BLU30:BLV30"/>
    <mergeCell ref="BLW30:BLX30"/>
    <mergeCell ref="BLY30:BLZ30"/>
    <mergeCell ref="BMA30:BMB30"/>
    <mergeCell ref="BLE30:BLF30"/>
    <mergeCell ref="BLG30:BLH30"/>
    <mergeCell ref="BLI30:BLJ30"/>
    <mergeCell ref="BLK30:BLL30"/>
    <mergeCell ref="BLM30:BLN30"/>
    <mergeCell ref="BLO30:BLP30"/>
    <mergeCell ref="BKS30:BKT30"/>
    <mergeCell ref="BKU30:BKV30"/>
    <mergeCell ref="BKW30:BKX30"/>
    <mergeCell ref="BKY30:BKZ30"/>
    <mergeCell ref="BLA30:BLB30"/>
    <mergeCell ref="BLC30:BLD30"/>
    <mergeCell ref="BKG30:BKH30"/>
    <mergeCell ref="BKI30:BKJ30"/>
    <mergeCell ref="BKK30:BKL30"/>
    <mergeCell ref="BKM30:BKN30"/>
    <mergeCell ref="BKO30:BKP30"/>
    <mergeCell ref="BKQ30:BKR30"/>
    <mergeCell ref="BJU30:BJV30"/>
    <mergeCell ref="BJW30:BJX30"/>
    <mergeCell ref="BJY30:BJZ30"/>
    <mergeCell ref="BKA30:BKB30"/>
    <mergeCell ref="BKC30:BKD30"/>
    <mergeCell ref="BKE30:BKF30"/>
    <mergeCell ref="BJI30:BJJ30"/>
    <mergeCell ref="BJK30:BJL30"/>
    <mergeCell ref="BJM30:BJN30"/>
    <mergeCell ref="BJO30:BJP30"/>
    <mergeCell ref="BJQ30:BJR30"/>
    <mergeCell ref="BJS30:BJT30"/>
    <mergeCell ref="BOK30:BOL30"/>
    <mergeCell ref="BOM30:BON30"/>
    <mergeCell ref="BOO30:BOP30"/>
    <mergeCell ref="BOQ30:BOR30"/>
    <mergeCell ref="BOS30:BOT30"/>
    <mergeCell ref="BOU30:BOV30"/>
    <mergeCell ref="BNY30:BNZ30"/>
    <mergeCell ref="BOA30:BOB30"/>
    <mergeCell ref="BOC30:BOD30"/>
    <mergeCell ref="BOE30:BOF30"/>
    <mergeCell ref="BOG30:BOH30"/>
    <mergeCell ref="BOI30:BOJ30"/>
    <mergeCell ref="BNM30:BNN30"/>
    <mergeCell ref="BNO30:BNP30"/>
    <mergeCell ref="BNQ30:BNR30"/>
    <mergeCell ref="BNS30:BNT30"/>
    <mergeCell ref="BNU30:BNV30"/>
    <mergeCell ref="BNW30:BNX30"/>
    <mergeCell ref="BNA30:BNB30"/>
    <mergeCell ref="BNC30:BND30"/>
    <mergeCell ref="BNE30:BNF30"/>
    <mergeCell ref="BNG30:BNH30"/>
    <mergeCell ref="BNI30:BNJ30"/>
    <mergeCell ref="BNK30:BNL30"/>
    <mergeCell ref="BMO30:BMP30"/>
    <mergeCell ref="BMQ30:BMR30"/>
    <mergeCell ref="BMS30:BMT30"/>
    <mergeCell ref="BMU30:BMV30"/>
    <mergeCell ref="BMW30:BMX30"/>
    <mergeCell ref="BMY30:BMZ30"/>
    <mergeCell ref="BMC30:BMD30"/>
    <mergeCell ref="BME30:BMF30"/>
    <mergeCell ref="BMG30:BMH30"/>
    <mergeCell ref="BMI30:BMJ30"/>
    <mergeCell ref="BMK30:BML30"/>
    <mergeCell ref="BMM30:BMN30"/>
    <mergeCell ref="BRE30:BRF30"/>
    <mergeCell ref="BRG30:BRH30"/>
    <mergeCell ref="BRI30:BRJ30"/>
    <mergeCell ref="BRK30:BRL30"/>
    <mergeCell ref="BRM30:BRN30"/>
    <mergeCell ref="BRO30:BRP30"/>
    <mergeCell ref="BQS30:BQT30"/>
    <mergeCell ref="BQU30:BQV30"/>
    <mergeCell ref="BQW30:BQX30"/>
    <mergeCell ref="BQY30:BQZ30"/>
    <mergeCell ref="BRA30:BRB30"/>
    <mergeCell ref="BRC30:BRD30"/>
    <mergeCell ref="BQG30:BQH30"/>
    <mergeCell ref="BQI30:BQJ30"/>
    <mergeCell ref="BQK30:BQL30"/>
    <mergeCell ref="BQM30:BQN30"/>
    <mergeCell ref="BQO30:BQP30"/>
    <mergeCell ref="BQQ30:BQR30"/>
    <mergeCell ref="BPU30:BPV30"/>
    <mergeCell ref="BPW30:BPX30"/>
    <mergeCell ref="BPY30:BPZ30"/>
    <mergeCell ref="BQA30:BQB30"/>
    <mergeCell ref="BQC30:BQD30"/>
    <mergeCell ref="BQE30:BQF30"/>
    <mergeCell ref="BPI30:BPJ30"/>
    <mergeCell ref="BPK30:BPL30"/>
    <mergeCell ref="BPM30:BPN30"/>
    <mergeCell ref="BPO30:BPP30"/>
    <mergeCell ref="BPQ30:BPR30"/>
    <mergeCell ref="BPS30:BPT30"/>
    <mergeCell ref="BOW30:BOX30"/>
    <mergeCell ref="BOY30:BOZ30"/>
    <mergeCell ref="BPA30:BPB30"/>
    <mergeCell ref="BPC30:BPD30"/>
    <mergeCell ref="BPE30:BPF30"/>
    <mergeCell ref="BPG30:BPH30"/>
    <mergeCell ref="BTY30:BTZ30"/>
    <mergeCell ref="BUA30:BUB30"/>
    <mergeCell ref="BUC30:BUD30"/>
    <mergeCell ref="BUE30:BUF30"/>
    <mergeCell ref="BUG30:BUH30"/>
    <mergeCell ref="BUI30:BUJ30"/>
    <mergeCell ref="BTM30:BTN30"/>
    <mergeCell ref="BTO30:BTP30"/>
    <mergeCell ref="BTQ30:BTR30"/>
    <mergeCell ref="BTS30:BTT30"/>
    <mergeCell ref="BTU30:BTV30"/>
    <mergeCell ref="BTW30:BTX30"/>
    <mergeCell ref="BTA30:BTB30"/>
    <mergeCell ref="BTC30:BTD30"/>
    <mergeCell ref="BTE30:BTF30"/>
    <mergeCell ref="BTG30:BTH30"/>
    <mergeCell ref="BTI30:BTJ30"/>
    <mergeCell ref="BTK30:BTL30"/>
    <mergeCell ref="BSO30:BSP30"/>
    <mergeCell ref="BSQ30:BSR30"/>
    <mergeCell ref="BSS30:BST30"/>
    <mergeCell ref="BSU30:BSV30"/>
    <mergeCell ref="BSW30:BSX30"/>
    <mergeCell ref="BSY30:BSZ30"/>
    <mergeCell ref="BSC30:BSD30"/>
    <mergeCell ref="BSE30:BSF30"/>
    <mergeCell ref="BSG30:BSH30"/>
    <mergeCell ref="BSI30:BSJ30"/>
    <mergeCell ref="BSK30:BSL30"/>
    <mergeCell ref="BSM30:BSN30"/>
    <mergeCell ref="BRQ30:BRR30"/>
    <mergeCell ref="BRS30:BRT30"/>
    <mergeCell ref="BRU30:BRV30"/>
    <mergeCell ref="BRW30:BRX30"/>
    <mergeCell ref="BRY30:BRZ30"/>
    <mergeCell ref="BSA30:BSB30"/>
    <mergeCell ref="BWS30:BWT30"/>
    <mergeCell ref="BWU30:BWV30"/>
    <mergeCell ref="BWW30:BWX30"/>
    <mergeCell ref="BWY30:BWZ30"/>
    <mergeCell ref="BXA30:BXB30"/>
    <mergeCell ref="BXC30:BXD30"/>
    <mergeCell ref="BWG30:BWH30"/>
    <mergeCell ref="BWI30:BWJ30"/>
    <mergeCell ref="BWK30:BWL30"/>
    <mergeCell ref="BWM30:BWN30"/>
    <mergeCell ref="BWO30:BWP30"/>
    <mergeCell ref="BWQ30:BWR30"/>
    <mergeCell ref="BVU30:BVV30"/>
    <mergeCell ref="BVW30:BVX30"/>
    <mergeCell ref="BVY30:BVZ30"/>
    <mergeCell ref="BWA30:BWB30"/>
    <mergeCell ref="BWC30:BWD30"/>
    <mergeCell ref="BWE30:BWF30"/>
    <mergeCell ref="BVI30:BVJ30"/>
    <mergeCell ref="BVK30:BVL30"/>
    <mergeCell ref="BVM30:BVN30"/>
    <mergeCell ref="BVO30:BVP30"/>
    <mergeCell ref="BVQ30:BVR30"/>
    <mergeCell ref="BVS30:BVT30"/>
    <mergeCell ref="BUW30:BUX30"/>
    <mergeCell ref="BUY30:BUZ30"/>
    <mergeCell ref="BVA30:BVB30"/>
    <mergeCell ref="BVC30:BVD30"/>
    <mergeCell ref="BVE30:BVF30"/>
    <mergeCell ref="BVG30:BVH30"/>
    <mergeCell ref="BUK30:BUL30"/>
    <mergeCell ref="BUM30:BUN30"/>
    <mergeCell ref="BUO30:BUP30"/>
    <mergeCell ref="BUQ30:BUR30"/>
    <mergeCell ref="BUS30:BUT30"/>
    <mergeCell ref="BUU30:BUV30"/>
    <mergeCell ref="BZM30:BZN30"/>
    <mergeCell ref="BZO30:BZP30"/>
    <mergeCell ref="BZQ30:BZR30"/>
    <mergeCell ref="BZS30:BZT30"/>
    <mergeCell ref="BZU30:BZV30"/>
    <mergeCell ref="BZW30:BZX30"/>
    <mergeCell ref="BZA30:BZB30"/>
    <mergeCell ref="BZC30:BZD30"/>
    <mergeCell ref="BZE30:BZF30"/>
    <mergeCell ref="BZG30:BZH30"/>
    <mergeCell ref="BZI30:BZJ30"/>
    <mergeCell ref="BZK30:BZL30"/>
    <mergeCell ref="BYO30:BYP30"/>
    <mergeCell ref="BYQ30:BYR30"/>
    <mergeCell ref="BYS30:BYT30"/>
    <mergeCell ref="BYU30:BYV30"/>
    <mergeCell ref="BYW30:BYX30"/>
    <mergeCell ref="BYY30:BYZ30"/>
    <mergeCell ref="BYC30:BYD30"/>
    <mergeCell ref="BYE30:BYF30"/>
    <mergeCell ref="BYG30:BYH30"/>
    <mergeCell ref="BYI30:BYJ30"/>
    <mergeCell ref="BYK30:BYL30"/>
    <mergeCell ref="BYM30:BYN30"/>
    <mergeCell ref="BXQ30:BXR30"/>
    <mergeCell ref="BXS30:BXT30"/>
    <mergeCell ref="BXU30:BXV30"/>
    <mergeCell ref="BXW30:BXX30"/>
    <mergeCell ref="BXY30:BXZ30"/>
    <mergeCell ref="BYA30:BYB30"/>
    <mergeCell ref="BXE30:BXF30"/>
    <mergeCell ref="BXG30:BXH30"/>
    <mergeCell ref="BXI30:BXJ30"/>
    <mergeCell ref="BXK30:BXL30"/>
    <mergeCell ref="BXM30:BXN30"/>
    <mergeCell ref="BXO30:BXP30"/>
    <mergeCell ref="CCG30:CCH30"/>
    <mergeCell ref="CCI30:CCJ30"/>
    <mergeCell ref="CCK30:CCL30"/>
    <mergeCell ref="CCM30:CCN30"/>
    <mergeCell ref="CCO30:CCP30"/>
    <mergeCell ref="CCQ30:CCR30"/>
    <mergeCell ref="CBU30:CBV30"/>
    <mergeCell ref="CBW30:CBX30"/>
    <mergeCell ref="CBY30:CBZ30"/>
    <mergeCell ref="CCA30:CCB30"/>
    <mergeCell ref="CCC30:CCD30"/>
    <mergeCell ref="CCE30:CCF30"/>
    <mergeCell ref="CBI30:CBJ30"/>
    <mergeCell ref="CBK30:CBL30"/>
    <mergeCell ref="CBM30:CBN30"/>
    <mergeCell ref="CBO30:CBP30"/>
    <mergeCell ref="CBQ30:CBR30"/>
    <mergeCell ref="CBS30:CBT30"/>
    <mergeCell ref="CAW30:CAX30"/>
    <mergeCell ref="CAY30:CAZ30"/>
    <mergeCell ref="CBA30:CBB30"/>
    <mergeCell ref="CBC30:CBD30"/>
    <mergeCell ref="CBE30:CBF30"/>
    <mergeCell ref="CBG30:CBH30"/>
    <mergeCell ref="CAK30:CAL30"/>
    <mergeCell ref="CAM30:CAN30"/>
    <mergeCell ref="CAO30:CAP30"/>
    <mergeCell ref="CAQ30:CAR30"/>
    <mergeCell ref="CAS30:CAT30"/>
    <mergeCell ref="CAU30:CAV30"/>
    <mergeCell ref="BZY30:BZZ30"/>
    <mergeCell ref="CAA30:CAB30"/>
    <mergeCell ref="CAC30:CAD30"/>
    <mergeCell ref="CAE30:CAF30"/>
    <mergeCell ref="CAG30:CAH30"/>
    <mergeCell ref="CAI30:CAJ30"/>
    <mergeCell ref="CFA30:CFB30"/>
    <mergeCell ref="CFC30:CFD30"/>
    <mergeCell ref="CFE30:CFF30"/>
    <mergeCell ref="CFG30:CFH30"/>
    <mergeCell ref="CFI30:CFJ30"/>
    <mergeCell ref="CFK30:CFL30"/>
    <mergeCell ref="CEO30:CEP30"/>
    <mergeCell ref="CEQ30:CER30"/>
    <mergeCell ref="CES30:CET30"/>
    <mergeCell ref="CEU30:CEV30"/>
    <mergeCell ref="CEW30:CEX30"/>
    <mergeCell ref="CEY30:CEZ30"/>
    <mergeCell ref="CEC30:CED30"/>
    <mergeCell ref="CEE30:CEF30"/>
    <mergeCell ref="CEG30:CEH30"/>
    <mergeCell ref="CEI30:CEJ30"/>
    <mergeCell ref="CEK30:CEL30"/>
    <mergeCell ref="CEM30:CEN30"/>
    <mergeCell ref="CDQ30:CDR30"/>
    <mergeCell ref="CDS30:CDT30"/>
    <mergeCell ref="CDU30:CDV30"/>
    <mergeCell ref="CDW30:CDX30"/>
    <mergeCell ref="CDY30:CDZ30"/>
    <mergeCell ref="CEA30:CEB30"/>
    <mergeCell ref="CDE30:CDF30"/>
    <mergeCell ref="CDG30:CDH30"/>
    <mergeCell ref="CDI30:CDJ30"/>
    <mergeCell ref="CDK30:CDL30"/>
    <mergeCell ref="CDM30:CDN30"/>
    <mergeCell ref="CDO30:CDP30"/>
    <mergeCell ref="CCS30:CCT30"/>
    <mergeCell ref="CCU30:CCV30"/>
    <mergeCell ref="CCW30:CCX30"/>
    <mergeCell ref="CCY30:CCZ30"/>
    <mergeCell ref="CDA30:CDB30"/>
    <mergeCell ref="CDC30:CDD30"/>
    <mergeCell ref="CHU30:CHV30"/>
    <mergeCell ref="CHW30:CHX30"/>
    <mergeCell ref="CHY30:CHZ30"/>
    <mergeCell ref="CIA30:CIB30"/>
    <mergeCell ref="CIC30:CID30"/>
    <mergeCell ref="CIE30:CIF30"/>
    <mergeCell ref="CHI30:CHJ30"/>
    <mergeCell ref="CHK30:CHL30"/>
    <mergeCell ref="CHM30:CHN30"/>
    <mergeCell ref="CHO30:CHP30"/>
    <mergeCell ref="CHQ30:CHR30"/>
    <mergeCell ref="CHS30:CHT30"/>
    <mergeCell ref="CGW30:CGX30"/>
    <mergeCell ref="CGY30:CGZ30"/>
    <mergeCell ref="CHA30:CHB30"/>
    <mergeCell ref="CHC30:CHD30"/>
    <mergeCell ref="CHE30:CHF30"/>
    <mergeCell ref="CHG30:CHH30"/>
    <mergeCell ref="CGK30:CGL30"/>
    <mergeCell ref="CGM30:CGN30"/>
    <mergeCell ref="CGO30:CGP30"/>
    <mergeCell ref="CGQ30:CGR30"/>
    <mergeCell ref="CGS30:CGT30"/>
    <mergeCell ref="CGU30:CGV30"/>
    <mergeCell ref="CFY30:CFZ30"/>
    <mergeCell ref="CGA30:CGB30"/>
    <mergeCell ref="CGC30:CGD30"/>
    <mergeCell ref="CGE30:CGF30"/>
    <mergeCell ref="CGG30:CGH30"/>
    <mergeCell ref="CGI30:CGJ30"/>
    <mergeCell ref="CFM30:CFN30"/>
    <mergeCell ref="CFO30:CFP30"/>
    <mergeCell ref="CFQ30:CFR30"/>
    <mergeCell ref="CFS30:CFT30"/>
    <mergeCell ref="CFU30:CFV30"/>
    <mergeCell ref="CFW30:CFX30"/>
    <mergeCell ref="CKO30:CKP30"/>
    <mergeCell ref="CKQ30:CKR30"/>
    <mergeCell ref="CKS30:CKT30"/>
    <mergeCell ref="CKU30:CKV30"/>
    <mergeCell ref="CKW30:CKX30"/>
    <mergeCell ref="CKY30:CKZ30"/>
    <mergeCell ref="CKC30:CKD30"/>
    <mergeCell ref="CKE30:CKF30"/>
    <mergeCell ref="CKG30:CKH30"/>
    <mergeCell ref="CKI30:CKJ30"/>
    <mergeCell ref="CKK30:CKL30"/>
    <mergeCell ref="CKM30:CKN30"/>
    <mergeCell ref="CJQ30:CJR30"/>
    <mergeCell ref="CJS30:CJT30"/>
    <mergeCell ref="CJU30:CJV30"/>
    <mergeCell ref="CJW30:CJX30"/>
    <mergeCell ref="CJY30:CJZ30"/>
    <mergeCell ref="CKA30:CKB30"/>
    <mergeCell ref="CJE30:CJF30"/>
    <mergeCell ref="CJG30:CJH30"/>
    <mergeCell ref="CJI30:CJJ30"/>
    <mergeCell ref="CJK30:CJL30"/>
    <mergeCell ref="CJM30:CJN30"/>
    <mergeCell ref="CJO30:CJP30"/>
    <mergeCell ref="CIS30:CIT30"/>
    <mergeCell ref="CIU30:CIV30"/>
    <mergeCell ref="CIW30:CIX30"/>
    <mergeCell ref="CIY30:CIZ30"/>
    <mergeCell ref="CJA30:CJB30"/>
    <mergeCell ref="CJC30:CJD30"/>
    <mergeCell ref="CIG30:CIH30"/>
    <mergeCell ref="CII30:CIJ30"/>
    <mergeCell ref="CIK30:CIL30"/>
    <mergeCell ref="CIM30:CIN30"/>
    <mergeCell ref="CIO30:CIP30"/>
    <mergeCell ref="CIQ30:CIR30"/>
    <mergeCell ref="CNI30:CNJ30"/>
    <mergeCell ref="CNK30:CNL30"/>
    <mergeCell ref="CNM30:CNN30"/>
    <mergeCell ref="CNO30:CNP30"/>
    <mergeCell ref="CNQ30:CNR30"/>
    <mergeCell ref="CNS30:CNT30"/>
    <mergeCell ref="CMW30:CMX30"/>
    <mergeCell ref="CMY30:CMZ30"/>
    <mergeCell ref="CNA30:CNB30"/>
    <mergeCell ref="CNC30:CND30"/>
    <mergeCell ref="CNE30:CNF30"/>
    <mergeCell ref="CNG30:CNH30"/>
    <mergeCell ref="CMK30:CML30"/>
    <mergeCell ref="CMM30:CMN30"/>
    <mergeCell ref="CMO30:CMP30"/>
    <mergeCell ref="CMQ30:CMR30"/>
    <mergeCell ref="CMS30:CMT30"/>
    <mergeCell ref="CMU30:CMV30"/>
    <mergeCell ref="CLY30:CLZ30"/>
    <mergeCell ref="CMA30:CMB30"/>
    <mergeCell ref="CMC30:CMD30"/>
    <mergeCell ref="CME30:CMF30"/>
    <mergeCell ref="CMG30:CMH30"/>
    <mergeCell ref="CMI30:CMJ30"/>
    <mergeCell ref="CLM30:CLN30"/>
    <mergeCell ref="CLO30:CLP30"/>
    <mergeCell ref="CLQ30:CLR30"/>
    <mergeCell ref="CLS30:CLT30"/>
    <mergeCell ref="CLU30:CLV30"/>
    <mergeCell ref="CLW30:CLX30"/>
    <mergeCell ref="CLA30:CLB30"/>
    <mergeCell ref="CLC30:CLD30"/>
    <mergeCell ref="CLE30:CLF30"/>
    <mergeCell ref="CLG30:CLH30"/>
    <mergeCell ref="CLI30:CLJ30"/>
    <mergeCell ref="CLK30:CLL30"/>
    <mergeCell ref="CQC30:CQD30"/>
    <mergeCell ref="CQE30:CQF30"/>
    <mergeCell ref="CQG30:CQH30"/>
    <mergeCell ref="CQI30:CQJ30"/>
    <mergeCell ref="CQK30:CQL30"/>
    <mergeCell ref="CQM30:CQN30"/>
    <mergeCell ref="CPQ30:CPR30"/>
    <mergeCell ref="CPS30:CPT30"/>
    <mergeCell ref="CPU30:CPV30"/>
    <mergeCell ref="CPW30:CPX30"/>
    <mergeCell ref="CPY30:CPZ30"/>
    <mergeCell ref="CQA30:CQB30"/>
    <mergeCell ref="CPE30:CPF30"/>
    <mergeCell ref="CPG30:CPH30"/>
    <mergeCell ref="CPI30:CPJ30"/>
    <mergeCell ref="CPK30:CPL30"/>
    <mergeCell ref="CPM30:CPN30"/>
    <mergeCell ref="CPO30:CPP30"/>
    <mergeCell ref="COS30:COT30"/>
    <mergeCell ref="COU30:COV30"/>
    <mergeCell ref="COW30:COX30"/>
    <mergeCell ref="COY30:COZ30"/>
    <mergeCell ref="CPA30:CPB30"/>
    <mergeCell ref="CPC30:CPD30"/>
    <mergeCell ref="COG30:COH30"/>
    <mergeCell ref="COI30:COJ30"/>
    <mergeCell ref="COK30:COL30"/>
    <mergeCell ref="COM30:CON30"/>
    <mergeCell ref="COO30:COP30"/>
    <mergeCell ref="COQ30:COR30"/>
    <mergeCell ref="CNU30:CNV30"/>
    <mergeCell ref="CNW30:CNX30"/>
    <mergeCell ref="CNY30:CNZ30"/>
    <mergeCell ref="COA30:COB30"/>
    <mergeCell ref="COC30:COD30"/>
    <mergeCell ref="COE30:COF30"/>
    <mergeCell ref="CSW30:CSX30"/>
    <mergeCell ref="CSY30:CSZ30"/>
    <mergeCell ref="CTA30:CTB30"/>
    <mergeCell ref="CTC30:CTD30"/>
    <mergeCell ref="CTE30:CTF30"/>
    <mergeCell ref="CTG30:CTH30"/>
    <mergeCell ref="CSK30:CSL30"/>
    <mergeCell ref="CSM30:CSN30"/>
    <mergeCell ref="CSO30:CSP30"/>
    <mergeCell ref="CSQ30:CSR30"/>
    <mergeCell ref="CSS30:CST30"/>
    <mergeCell ref="CSU30:CSV30"/>
    <mergeCell ref="CRY30:CRZ30"/>
    <mergeCell ref="CSA30:CSB30"/>
    <mergeCell ref="CSC30:CSD30"/>
    <mergeCell ref="CSE30:CSF30"/>
    <mergeCell ref="CSG30:CSH30"/>
    <mergeCell ref="CSI30:CSJ30"/>
    <mergeCell ref="CRM30:CRN30"/>
    <mergeCell ref="CRO30:CRP30"/>
    <mergeCell ref="CRQ30:CRR30"/>
    <mergeCell ref="CRS30:CRT30"/>
    <mergeCell ref="CRU30:CRV30"/>
    <mergeCell ref="CRW30:CRX30"/>
    <mergeCell ref="CRA30:CRB30"/>
    <mergeCell ref="CRC30:CRD30"/>
    <mergeCell ref="CRE30:CRF30"/>
    <mergeCell ref="CRG30:CRH30"/>
    <mergeCell ref="CRI30:CRJ30"/>
    <mergeCell ref="CRK30:CRL30"/>
    <mergeCell ref="CQO30:CQP30"/>
    <mergeCell ref="CQQ30:CQR30"/>
    <mergeCell ref="CQS30:CQT30"/>
    <mergeCell ref="CQU30:CQV30"/>
    <mergeCell ref="CQW30:CQX30"/>
    <mergeCell ref="CQY30:CQZ30"/>
    <mergeCell ref="CVQ30:CVR30"/>
    <mergeCell ref="CVS30:CVT30"/>
    <mergeCell ref="CVU30:CVV30"/>
    <mergeCell ref="CVW30:CVX30"/>
    <mergeCell ref="CVY30:CVZ30"/>
    <mergeCell ref="CWA30:CWB30"/>
    <mergeCell ref="CVE30:CVF30"/>
    <mergeCell ref="CVG30:CVH30"/>
    <mergeCell ref="CVI30:CVJ30"/>
    <mergeCell ref="CVK30:CVL30"/>
    <mergeCell ref="CVM30:CVN30"/>
    <mergeCell ref="CVO30:CVP30"/>
    <mergeCell ref="CUS30:CUT30"/>
    <mergeCell ref="CUU30:CUV30"/>
    <mergeCell ref="CUW30:CUX30"/>
    <mergeCell ref="CUY30:CUZ30"/>
    <mergeCell ref="CVA30:CVB30"/>
    <mergeCell ref="CVC30:CVD30"/>
    <mergeCell ref="CUG30:CUH30"/>
    <mergeCell ref="CUI30:CUJ30"/>
    <mergeCell ref="CUK30:CUL30"/>
    <mergeCell ref="CUM30:CUN30"/>
    <mergeCell ref="CUO30:CUP30"/>
    <mergeCell ref="CUQ30:CUR30"/>
    <mergeCell ref="CTU30:CTV30"/>
    <mergeCell ref="CTW30:CTX30"/>
    <mergeCell ref="CTY30:CTZ30"/>
    <mergeCell ref="CUA30:CUB30"/>
    <mergeCell ref="CUC30:CUD30"/>
    <mergeCell ref="CUE30:CUF30"/>
    <mergeCell ref="CTI30:CTJ30"/>
    <mergeCell ref="CTK30:CTL30"/>
    <mergeCell ref="CTM30:CTN30"/>
    <mergeCell ref="CTO30:CTP30"/>
    <mergeCell ref="CTQ30:CTR30"/>
    <mergeCell ref="CTS30:CTT30"/>
    <mergeCell ref="CYK30:CYL30"/>
    <mergeCell ref="CYM30:CYN30"/>
    <mergeCell ref="CYO30:CYP30"/>
    <mergeCell ref="CYQ30:CYR30"/>
    <mergeCell ref="CYS30:CYT30"/>
    <mergeCell ref="CYU30:CYV30"/>
    <mergeCell ref="CXY30:CXZ30"/>
    <mergeCell ref="CYA30:CYB30"/>
    <mergeCell ref="CYC30:CYD30"/>
    <mergeCell ref="CYE30:CYF30"/>
    <mergeCell ref="CYG30:CYH30"/>
    <mergeCell ref="CYI30:CYJ30"/>
    <mergeCell ref="CXM30:CXN30"/>
    <mergeCell ref="CXO30:CXP30"/>
    <mergeCell ref="CXQ30:CXR30"/>
    <mergeCell ref="CXS30:CXT30"/>
    <mergeCell ref="CXU30:CXV30"/>
    <mergeCell ref="CXW30:CXX30"/>
    <mergeCell ref="CXA30:CXB30"/>
    <mergeCell ref="CXC30:CXD30"/>
    <mergeCell ref="CXE30:CXF30"/>
    <mergeCell ref="CXG30:CXH30"/>
    <mergeCell ref="CXI30:CXJ30"/>
    <mergeCell ref="CXK30:CXL30"/>
    <mergeCell ref="CWO30:CWP30"/>
    <mergeCell ref="CWQ30:CWR30"/>
    <mergeCell ref="CWS30:CWT30"/>
    <mergeCell ref="CWU30:CWV30"/>
    <mergeCell ref="CWW30:CWX30"/>
    <mergeCell ref="CWY30:CWZ30"/>
    <mergeCell ref="CWC30:CWD30"/>
    <mergeCell ref="CWE30:CWF30"/>
    <mergeCell ref="CWG30:CWH30"/>
    <mergeCell ref="CWI30:CWJ30"/>
    <mergeCell ref="CWK30:CWL30"/>
    <mergeCell ref="CWM30:CWN30"/>
    <mergeCell ref="DBE30:DBF30"/>
    <mergeCell ref="DBG30:DBH30"/>
    <mergeCell ref="DBI30:DBJ30"/>
    <mergeCell ref="DBK30:DBL30"/>
    <mergeCell ref="DBM30:DBN30"/>
    <mergeCell ref="DBO30:DBP30"/>
    <mergeCell ref="DAS30:DAT30"/>
    <mergeCell ref="DAU30:DAV30"/>
    <mergeCell ref="DAW30:DAX30"/>
    <mergeCell ref="DAY30:DAZ30"/>
    <mergeCell ref="DBA30:DBB30"/>
    <mergeCell ref="DBC30:DBD30"/>
    <mergeCell ref="DAG30:DAH30"/>
    <mergeCell ref="DAI30:DAJ30"/>
    <mergeCell ref="DAK30:DAL30"/>
    <mergeCell ref="DAM30:DAN30"/>
    <mergeCell ref="DAO30:DAP30"/>
    <mergeCell ref="DAQ30:DAR30"/>
    <mergeCell ref="CZU30:CZV30"/>
    <mergeCell ref="CZW30:CZX30"/>
    <mergeCell ref="CZY30:CZZ30"/>
    <mergeCell ref="DAA30:DAB30"/>
    <mergeCell ref="DAC30:DAD30"/>
    <mergeCell ref="DAE30:DAF30"/>
    <mergeCell ref="CZI30:CZJ30"/>
    <mergeCell ref="CZK30:CZL30"/>
    <mergeCell ref="CZM30:CZN30"/>
    <mergeCell ref="CZO30:CZP30"/>
    <mergeCell ref="CZQ30:CZR30"/>
    <mergeCell ref="CZS30:CZT30"/>
    <mergeCell ref="CYW30:CYX30"/>
    <mergeCell ref="CYY30:CYZ30"/>
    <mergeCell ref="CZA30:CZB30"/>
    <mergeCell ref="CZC30:CZD30"/>
    <mergeCell ref="CZE30:CZF30"/>
    <mergeCell ref="CZG30:CZH30"/>
    <mergeCell ref="DDY30:DDZ30"/>
    <mergeCell ref="DEA30:DEB30"/>
    <mergeCell ref="DEC30:DED30"/>
    <mergeCell ref="DEE30:DEF30"/>
    <mergeCell ref="DEG30:DEH30"/>
    <mergeCell ref="DEI30:DEJ30"/>
    <mergeCell ref="DDM30:DDN30"/>
    <mergeCell ref="DDO30:DDP30"/>
    <mergeCell ref="DDQ30:DDR30"/>
    <mergeCell ref="DDS30:DDT30"/>
    <mergeCell ref="DDU30:DDV30"/>
    <mergeCell ref="DDW30:DDX30"/>
    <mergeCell ref="DDA30:DDB30"/>
    <mergeCell ref="DDC30:DDD30"/>
    <mergeCell ref="DDE30:DDF30"/>
    <mergeCell ref="DDG30:DDH30"/>
    <mergeCell ref="DDI30:DDJ30"/>
    <mergeCell ref="DDK30:DDL30"/>
    <mergeCell ref="DCO30:DCP30"/>
    <mergeCell ref="DCQ30:DCR30"/>
    <mergeCell ref="DCS30:DCT30"/>
    <mergeCell ref="DCU30:DCV30"/>
    <mergeCell ref="DCW30:DCX30"/>
    <mergeCell ref="DCY30:DCZ30"/>
    <mergeCell ref="DCC30:DCD30"/>
    <mergeCell ref="DCE30:DCF30"/>
    <mergeCell ref="DCG30:DCH30"/>
    <mergeCell ref="DCI30:DCJ30"/>
    <mergeCell ref="DCK30:DCL30"/>
    <mergeCell ref="DCM30:DCN30"/>
    <mergeCell ref="DBQ30:DBR30"/>
    <mergeCell ref="DBS30:DBT30"/>
    <mergeCell ref="DBU30:DBV30"/>
    <mergeCell ref="DBW30:DBX30"/>
    <mergeCell ref="DBY30:DBZ30"/>
    <mergeCell ref="DCA30:DCB30"/>
    <mergeCell ref="DGS30:DGT30"/>
    <mergeCell ref="DGU30:DGV30"/>
    <mergeCell ref="DGW30:DGX30"/>
    <mergeCell ref="DGY30:DGZ30"/>
    <mergeCell ref="DHA30:DHB30"/>
    <mergeCell ref="DHC30:DHD30"/>
    <mergeCell ref="DGG30:DGH30"/>
    <mergeCell ref="DGI30:DGJ30"/>
    <mergeCell ref="DGK30:DGL30"/>
    <mergeCell ref="DGM30:DGN30"/>
    <mergeCell ref="DGO30:DGP30"/>
    <mergeCell ref="DGQ30:DGR30"/>
    <mergeCell ref="DFU30:DFV30"/>
    <mergeCell ref="DFW30:DFX30"/>
    <mergeCell ref="DFY30:DFZ30"/>
    <mergeCell ref="DGA30:DGB30"/>
    <mergeCell ref="DGC30:DGD30"/>
    <mergeCell ref="DGE30:DGF30"/>
    <mergeCell ref="DFI30:DFJ30"/>
    <mergeCell ref="DFK30:DFL30"/>
    <mergeCell ref="DFM30:DFN30"/>
    <mergeCell ref="DFO30:DFP30"/>
    <mergeCell ref="DFQ30:DFR30"/>
    <mergeCell ref="DFS30:DFT30"/>
    <mergeCell ref="DEW30:DEX30"/>
    <mergeCell ref="DEY30:DEZ30"/>
    <mergeCell ref="DFA30:DFB30"/>
    <mergeCell ref="DFC30:DFD30"/>
    <mergeCell ref="DFE30:DFF30"/>
    <mergeCell ref="DFG30:DFH30"/>
    <mergeCell ref="DEK30:DEL30"/>
    <mergeCell ref="DEM30:DEN30"/>
    <mergeCell ref="DEO30:DEP30"/>
    <mergeCell ref="DEQ30:DER30"/>
    <mergeCell ref="DES30:DET30"/>
    <mergeCell ref="DEU30:DEV30"/>
    <mergeCell ref="DJM30:DJN30"/>
    <mergeCell ref="DJO30:DJP30"/>
    <mergeCell ref="DJQ30:DJR30"/>
    <mergeCell ref="DJS30:DJT30"/>
    <mergeCell ref="DJU30:DJV30"/>
    <mergeCell ref="DJW30:DJX30"/>
    <mergeCell ref="DJA30:DJB30"/>
    <mergeCell ref="DJC30:DJD30"/>
    <mergeCell ref="DJE30:DJF30"/>
    <mergeCell ref="DJG30:DJH30"/>
    <mergeCell ref="DJI30:DJJ30"/>
    <mergeCell ref="DJK30:DJL30"/>
    <mergeCell ref="DIO30:DIP30"/>
    <mergeCell ref="DIQ30:DIR30"/>
    <mergeCell ref="DIS30:DIT30"/>
    <mergeCell ref="DIU30:DIV30"/>
    <mergeCell ref="DIW30:DIX30"/>
    <mergeCell ref="DIY30:DIZ30"/>
    <mergeCell ref="DIC30:DID30"/>
    <mergeCell ref="DIE30:DIF30"/>
    <mergeCell ref="DIG30:DIH30"/>
    <mergeCell ref="DII30:DIJ30"/>
    <mergeCell ref="DIK30:DIL30"/>
    <mergeCell ref="DIM30:DIN30"/>
    <mergeCell ref="DHQ30:DHR30"/>
    <mergeCell ref="DHS30:DHT30"/>
    <mergeCell ref="DHU30:DHV30"/>
    <mergeCell ref="DHW30:DHX30"/>
    <mergeCell ref="DHY30:DHZ30"/>
    <mergeCell ref="DIA30:DIB30"/>
    <mergeCell ref="DHE30:DHF30"/>
    <mergeCell ref="DHG30:DHH30"/>
    <mergeCell ref="DHI30:DHJ30"/>
    <mergeCell ref="DHK30:DHL30"/>
    <mergeCell ref="DHM30:DHN30"/>
    <mergeCell ref="DHO30:DHP30"/>
    <mergeCell ref="DMG30:DMH30"/>
    <mergeCell ref="DMI30:DMJ30"/>
    <mergeCell ref="DMK30:DML30"/>
    <mergeCell ref="DMM30:DMN30"/>
    <mergeCell ref="DMO30:DMP30"/>
    <mergeCell ref="DMQ30:DMR30"/>
    <mergeCell ref="DLU30:DLV30"/>
    <mergeCell ref="DLW30:DLX30"/>
    <mergeCell ref="DLY30:DLZ30"/>
    <mergeCell ref="DMA30:DMB30"/>
    <mergeCell ref="DMC30:DMD30"/>
    <mergeCell ref="DME30:DMF30"/>
    <mergeCell ref="DLI30:DLJ30"/>
    <mergeCell ref="DLK30:DLL30"/>
    <mergeCell ref="DLM30:DLN30"/>
    <mergeCell ref="DLO30:DLP30"/>
    <mergeCell ref="DLQ30:DLR30"/>
    <mergeCell ref="DLS30:DLT30"/>
    <mergeCell ref="DKW30:DKX30"/>
    <mergeCell ref="DKY30:DKZ30"/>
    <mergeCell ref="DLA30:DLB30"/>
    <mergeCell ref="DLC30:DLD30"/>
    <mergeCell ref="DLE30:DLF30"/>
    <mergeCell ref="DLG30:DLH30"/>
    <mergeCell ref="DKK30:DKL30"/>
    <mergeCell ref="DKM30:DKN30"/>
    <mergeCell ref="DKO30:DKP30"/>
    <mergeCell ref="DKQ30:DKR30"/>
    <mergeCell ref="DKS30:DKT30"/>
    <mergeCell ref="DKU30:DKV30"/>
    <mergeCell ref="DJY30:DJZ30"/>
    <mergeCell ref="DKA30:DKB30"/>
    <mergeCell ref="DKC30:DKD30"/>
    <mergeCell ref="DKE30:DKF30"/>
    <mergeCell ref="DKG30:DKH30"/>
    <mergeCell ref="DKI30:DKJ30"/>
    <mergeCell ref="DPA30:DPB30"/>
    <mergeCell ref="DPC30:DPD30"/>
    <mergeCell ref="DPE30:DPF30"/>
    <mergeCell ref="DPG30:DPH30"/>
    <mergeCell ref="DPI30:DPJ30"/>
    <mergeCell ref="DPK30:DPL30"/>
    <mergeCell ref="DOO30:DOP30"/>
    <mergeCell ref="DOQ30:DOR30"/>
    <mergeCell ref="DOS30:DOT30"/>
    <mergeCell ref="DOU30:DOV30"/>
    <mergeCell ref="DOW30:DOX30"/>
    <mergeCell ref="DOY30:DOZ30"/>
    <mergeCell ref="DOC30:DOD30"/>
    <mergeCell ref="DOE30:DOF30"/>
    <mergeCell ref="DOG30:DOH30"/>
    <mergeCell ref="DOI30:DOJ30"/>
    <mergeCell ref="DOK30:DOL30"/>
    <mergeCell ref="DOM30:DON30"/>
    <mergeCell ref="DNQ30:DNR30"/>
    <mergeCell ref="DNS30:DNT30"/>
    <mergeCell ref="DNU30:DNV30"/>
    <mergeCell ref="DNW30:DNX30"/>
    <mergeCell ref="DNY30:DNZ30"/>
    <mergeCell ref="DOA30:DOB30"/>
    <mergeCell ref="DNE30:DNF30"/>
    <mergeCell ref="DNG30:DNH30"/>
    <mergeCell ref="DNI30:DNJ30"/>
    <mergeCell ref="DNK30:DNL30"/>
    <mergeCell ref="DNM30:DNN30"/>
    <mergeCell ref="DNO30:DNP30"/>
    <mergeCell ref="DMS30:DMT30"/>
    <mergeCell ref="DMU30:DMV30"/>
    <mergeCell ref="DMW30:DMX30"/>
    <mergeCell ref="DMY30:DMZ30"/>
    <mergeCell ref="DNA30:DNB30"/>
    <mergeCell ref="DNC30:DND30"/>
    <mergeCell ref="DRU30:DRV30"/>
    <mergeCell ref="DRW30:DRX30"/>
    <mergeCell ref="DRY30:DRZ30"/>
    <mergeCell ref="DSA30:DSB30"/>
    <mergeCell ref="DSC30:DSD30"/>
    <mergeCell ref="DSE30:DSF30"/>
    <mergeCell ref="DRI30:DRJ30"/>
    <mergeCell ref="DRK30:DRL30"/>
    <mergeCell ref="DRM30:DRN30"/>
    <mergeCell ref="DRO30:DRP30"/>
    <mergeCell ref="DRQ30:DRR30"/>
    <mergeCell ref="DRS30:DRT30"/>
    <mergeCell ref="DQW30:DQX30"/>
    <mergeCell ref="DQY30:DQZ30"/>
    <mergeCell ref="DRA30:DRB30"/>
    <mergeCell ref="DRC30:DRD30"/>
    <mergeCell ref="DRE30:DRF30"/>
    <mergeCell ref="DRG30:DRH30"/>
    <mergeCell ref="DQK30:DQL30"/>
    <mergeCell ref="DQM30:DQN30"/>
    <mergeCell ref="DQO30:DQP30"/>
    <mergeCell ref="DQQ30:DQR30"/>
    <mergeCell ref="DQS30:DQT30"/>
    <mergeCell ref="DQU30:DQV30"/>
    <mergeCell ref="DPY30:DPZ30"/>
    <mergeCell ref="DQA30:DQB30"/>
    <mergeCell ref="DQC30:DQD30"/>
    <mergeCell ref="DQE30:DQF30"/>
    <mergeCell ref="DQG30:DQH30"/>
    <mergeCell ref="DQI30:DQJ30"/>
    <mergeCell ref="DPM30:DPN30"/>
    <mergeCell ref="DPO30:DPP30"/>
    <mergeCell ref="DPQ30:DPR30"/>
    <mergeCell ref="DPS30:DPT30"/>
    <mergeCell ref="DPU30:DPV30"/>
    <mergeCell ref="DPW30:DPX30"/>
    <mergeCell ref="DUO30:DUP30"/>
    <mergeCell ref="DUQ30:DUR30"/>
    <mergeCell ref="DUS30:DUT30"/>
    <mergeCell ref="DUU30:DUV30"/>
    <mergeCell ref="DUW30:DUX30"/>
    <mergeCell ref="DUY30:DUZ30"/>
    <mergeCell ref="DUC30:DUD30"/>
    <mergeCell ref="DUE30:DUF30"/>
    <mergeCell ref="DUG30:DUH30"/>
    <mergeCell ref="DUI30:DUJ30"/>
    <mergeCell ref="DUK30:DUL30"/>
    <mergeCell ref="DUM30:DUN30"/>
    <mergeCell ref="DTQ30:DTR30"/>
    <mergeCell ref="DTS30:DTT30"/>
    <mergeCell ref="DTU30:DTV30"/>
    <mergeCell ref="DTW30:DTX30"/>
    <mergeCell ref="DTY30:DTZ30"/>
    <mergeCell ref="DUA30:DUB30"/>
    <mergeCell ref="DTE30:DTF30"/>
    <mergeCell ref="DTG30:DTH30"/>
    <mergeCell ref="DTI30:DTJ30"/>
    <mergeCell ref="DTK30:DTL30"/>
    <mergeCell ref="DTM30:DTN30"/>
    <mergeCell ref="DTO30:DTP30"/>
    <mergeCell ref="DSS30:DST30"/>
    <mergeCell ref="DSU30:DSV30"/>
    <mergeCell ref="DSW30:DSX30"/>
    <mergeCell ref="DSY30:DSZ30"/>
    <mergeCell ref="DTA30:DTB30"/>
    <mergeCell ref="DTC30:DTD30"/>
    <mergeCell ref="DSG30:DSH30"/>
    <mergeCell ref="DSI30:DSJ30"/>
    <mergeCell ref="DSK30:DSL30"/>
    <mergeCell ref="DSM30:DSN30"/>
    <mergeCell ref="DSO30:DSP30"/>
    <mergeCell ref="DSQ30:DSR30"/>
    <mergeCell ref="DXI30:DXJ30"/>
    <mergeCell ref="DXK30:DXL30"/>
    <mergeCell ref="DXM30:DXN30"/>
    <mergeCell ref="DXO30:DXP30"/>
    <mergeCell ref="DXQ30:DXR30"/>
    <mergeCell ref="DXS30:DXT30"/>
    <mergeCell ref="DWW30:DWX30"/>
    <mergeCell ref="DWY30:DWZ30"/>
    <mergeCell ref="DXA30:DXB30"/>
    <mergeCell ref="DXC30:DXD30"/>
    <mergeCell ref="DXE30:DXF30"/>
    <mergeCell ref="DXG30:DXH30"/>
    <mergeCell ref="DWK30:DWL30"/>
    <mergeCell ref="DWM30:DWN30"/>
    <mergeCell ref="DWO30:DWP30"/>
    <mergeCell ref="DWQ30:DWR30"/>
    <mergeCell ref="DWS30:DWT30"/>
    <mergeCell ref="DWU30:DWV30"/>
    <mergeCell ref="DVY30:DVZ30"/>
    <mergeCell ref="DWA30:DWB30"/>
    <mergeCell ref="DWC30:DWD30"/>
    <mergeCell ref="DWE30:DWF30"/>
    <mergeCell ref="DWG30:DWH30"/>
    <mergeCell ref="DWI30:DWJ30"/>
    <mergeCell ref="DVM30:DVN30"/>
    <mergeCell ref="DVO30:DVP30"/>
    <mergeCell ref="DVQ30:DVR30"/>
    <mergeCell ref="DVS30:DVT30"/>
    <mergeCell ref="DVU30:DVV30"/>
    <mergeCell ref="DVW30:DVX30"/>
    <mergeCell ref="DVA30:DVB30"/>
    <mergeCell ref="DVC30:DVD30"/>
    <mergeCell ref="DVE30:DVF30"/>
    <mergeCell ref="DVG30:DVH30"/>
    <mergeCell ref="DVI30:DVJ30"/>
    <mergeCell ref="DVK30:DVL30"/>
    <mergeCell ref="EAC30:EAD30"/>
    <mergeCell ref="EAE30:EAF30"/>
    <mergeCell ref="EAG30:EAH30"/>
    <mergeCell ref="EAI30:EAJ30"/>
    <mergeCell ref="EAK30:EAL30"/>
    <mergeCell ref="EAM30:EAN30"/>
    <mergeCell ref="DZQ30:DZR30"/>
    <mergeCell ref="DZS30:DZT30"/>
    <mergeCell ref="DZU30:DZV30"/>
    <mergeCell ref="DZW30:DZX30"/>
    <mergeCell ref="DZY30:DZZ30"/>
    <mergeCell ref="EAA30:EAB30"/>
    <mergeCell ref="DZE30:DZF30"/>
    <mergeCell ref="DZG30:DZH30"/>
    <mergeCell ref="DZI30:DZJ30"/>
    <mergeCell ref="DZK30:DZL30"/>
    <mergeCell ref="DZM30:DZN30"/>
    <mergeCell ref="DZO30:DZP30"/>
    <mergeCell ref="DYS30:DYT30"/>
    <mergeCell ref="DYU30:DYV30"/>
    <mergeCell ref="DYW30:DYX30"/>
    <mergeCell ref="DYY30:DYZ30"/>
    <mergeCell ref="DZA30:DZB30"/>
    <mergeCell ref="DZC30:DZD30"/>
    <mergeCell ref="DYG30:DYH30"/>
    <mergeCell ref="DYI30:DYJ30"/>
    <mergeCell ref="DYK30:DYL30"/>
    <mergeCell ref="DYM30:DYN30"/>
    <mergeCell ref="DYO30:DYP30"/>
    <mergeCell ref="DYQ30:DYR30"/>
    <mergeCell ref="DXU30:DXV30"/>
    <mergeCell ref="DXW30:DXX30"/>
    <mergeCell ref="DXY30:DXZ30"/>
    <mergeCell ref="DYA30:DYB30"/>
    <mergeCell ref="DYC30:DYD30"/>
    <mergeCell ref="DYE30:DYF30"/>
    <mergeCell ref="ECW30:ECX30"/>
    <mergeCell ref="ECY30:ECZ30"/>
    <mergeCell ref="EDA30:EDB30"/>
    <mergeCell ref="EDC30:EDD30"/>
    <mergeCell ref="EDE30:EDF30"/>
    <mergeCell ref="EDG30:EDH30"/>
    <mergeCell ref="ECK30:ECL30"/>
    <mergeCell ref="ECM30:ECN30"/>
    <mergeCell ref="ECO30:ECP30"/>
    <mergeCell ref="ECQ30:ECR30"/>
    <mergeCell ref="ECS30:ECT30"/>
    <mergeCell ref="ECU30:ECV30"/>
    <mergeCell ref="EBY30:EBZ30"/>
    <mergeCell ref="ECA30:ECB30"/>
    <mergeCell ref="ECC30:ECD30"/>
    <mergeCell ref="ECE30:ECF30"/>
    <mergeCell ref="ECG30:ECH30"/>
    <mergeCell ref="ECI30:ECJ30"/>
    <mergeCell ref="EBM30:EBN30"/>
    <mergeCell ref="EBO30:EBP30"/>
    <mergeCell ref="EBQ30:EBR30"/>
    <mergeCell ref="EBS30:EBT30"/>
    <mergeCell ref="EBU30:EBV30"/>
    <mergeCell ref="EBW30:EBX30"/>
    <mergeCell ref="EBA30:EBB30"/>
    <mergeCell ref="EBC30:EBD30"/>
    <mergeCell ref="EBE30:EBF30"/>
    <mergeCell ref="EBG30:EBH30"/>
    <mergeCell ref="EBI30:EBJ30"/>
    <mergeCell ref="EBK30:EBL30"/>
    <mergeCell ref="EAO30:EAP30"/>
    <mergeCell ref="EAQ30:EAR30"/>
    <mergeCell ref="EAS30:EAT30"/>
    <mergeCell ref="EAU30:EAV30"/>
    <mergeCell ref="EAW30:EAX30"/>
    <mergeCell ref="EAY30:EAZ30"/>
    <mergeCell ref="EFQ30:EFR30"/>
    <mergeCell ref="EFS30:EFT30"/>
    <mergeCell ref="EFU30:EFV30"/>
    <mergeCell ref="EFW30:EFX30"/>
    <mergeCell ref="EFY30:EFZ30"/>
    <mergeCell ref="EGA30:EGB30"/>
    <mergeCell ref="EFE30:EFF30"/>
    <mergeCell ref="EFG30:EFH30"/>
    <mergeCell ref="EFI30:EFJ30"/>
    <mergeCell ref="EFK30:EFL30"/>
    <mergeCell ref="EFM30:EFN30"/>
    <mergeCell ref="EFO30:EFP30"/>
    <mergeCell ref="EES30:EET30"/>
    <mergeCell ref="EEU30:EEV30"/>
    <mergeCell ref="EEW30:EEX30"/>
    <mergeCell ref="EEY30:EEZ30"/>
    <mergeCell ref="EFA30:EFB30"/>
    <mergeCell ref="EFC30:EFD30"/>
    <mergeCell ref="EEG30:EEH30"/>
    <mergeCell ref="EEI30:EEJ30"/>
    <mergeCell ref="EEK30:EEL30"/>
    <mergeCell ref="EEM30:EEN30"/>
    <mergeCell ref="EEO30:EEP30"/>
    <mergeCell ref="EEQ30:EER30"/>
    <mergeCell ref="EDU30:EDV30"/>
    <mergeCell ref="EDW30:EDX30"/>
    <mergeCell ref="EDY30:EDZ30"/>
    <mergeCell ref="EEA30:EEB30"/>
    <mergeCell ref="EEC30:EED30"/>
    <mergeCell ref="EEE30:EEF30"/>
    <mergeCell ref="EDI30:EDJ30"/>
    <mergeCell ref="EDK30:EDL30"/>
    <mergeCell ref="EDM30:EDN30"/>
    <mergeCell ref="EDO30:EDP30"/>
    <mergeCell ref="EDQ30:EDR30"/>
    <mergeCell ref="EDS30:EDT30"/>
    <mergeCell ref="EIK30:EIL30"/>
    <mergeCell ref="EIM30:EIN30"/>
    <mergeCell ref="EIO30:EIP30"/>
    <mergeCell ref="EIQ30:EIR30"/>
    <mergeCell ref="EIS30:EIT30"/>
    <mergeCell ref="EIU30:EIV30"/>
    <mergeCell ref="EHY30:EHZ30"/>
    <mergeCell ref="EIA30:EIB30"/>
    <mergeCell ref="EIC30:EID30"/>
    <mergeCell ref="EIE30:EIF30"/>
    <mergeCell ref="EIG30:EIH30"/>
    <mergeCell ref="EII30:EIJ30"/>
    <mergeCell ref="EHM30:EHN30"/>
    <mergeCell ref="EHO30:EHP30"/>
    <mergeCell ref="EHQ30:EHR30"/>
    <mergeCell ref="EHS30:EHT30"/>
    <mergeCell ref="EHU30:EHV30"/>
    <mergeCell ref="EHW30:EHX30"/>
    <mergeCell ref="EHA30:EHB30"/>
    <mergeCell ref="EHC30:EHD30"/>
    <mergeCell ref="EHE30:EHF30"/>
    <mergeCell ref="EHG30:EHH30"/>
    <mergeCell ref="EHI30:EHJ30"/>
    <mergeCell ref="EHK30:EHL30"/>
    <mergeCell ref="EGO30:EGP30"/>
    <mergeCell ref="EGQ30:EGR30"/>
    <mergeCell ref="EGS30:EGT30"/>
    <mergeCell ref="EGU30:EGV30"/>
    <mergeCell ref="EGW30:EGX30"/>
    <mergeCell ref="EGY30:EGZ30"/>
    <mergeCell ref="EGC30:EGD30"/>
    <mergeCell ref="EGE30:EGF30"/>
    <mergeCell ref="EGG30:EGH30"/>
    <mergeCell ref="EGI30:EGJ30"/>
    <mergeCell ref="EGK30:EGL30"/>
    <mergeCell ref="EGM30:EGN30"/>
    <mergeCell ref="ELE30:ELF30"/>
    <mergeCell ref="ELG30:ELH30"/>
    <mergeCell ref="ELI30:ELJ30"/>
    <mergeCell ref="ELK30:ELL30"/>
    <mergeCell ref="ELM30:ELN30"/>
    <mergeCell ref="ELO30:ELP30"/>
    <mergeCell ref="EKS30:EKT30"/>
    <mergeCell ref="EKU30:EKV30"/>
    <mergeCell ref="EKW30:EKX30"/>
    <mergeCell ref="EKY30:EKZ30"/>
    <mergeCell ref="ELA30:ELB30"/>
    <mergeCell ref="ELC30:ELD30"/>
    <mergeCell ref="EKG30:EKH30"/>
    <mergeCell ref="EKI30:EKJ30"/>
    <mergeCell ref="EKK30:EKL30"/>
    <mergeCell ref="EKM30:EKN30"/>
    <mergeCell ref="EKO30:EKP30"/>
    <mergeCell ref="EKQ30:EKR30"/>
    <mergeCell ref="EJU30:EJV30"/>
    <mergeCell ref="EJW30:EJX30"/>
    <mergeCell ref="EJY30:EJZ30"/>
    <mergeCell ref="EKA30:EKB30"/>
    <mergeCell ref="EKC30:EKD30"/>
    <mergeCell ref="EKE30:EKF30"/>
    <mergeCell ref="EJI30:EJJ30"/>
    <mergeCell ref="EJK30:EJL30"/>
    <mergeCell ref="EJM30:EJN30"/>
    <mergeCell ref="EJO30:EJP30"/>
    <mergeCell ref="EJQ30:EJR30"/>
    <mergeCell ref="EJS30:EJT30"/>
    <mergeCell ref="EIW30:EIX30"/>
    <mergeCell ref="EIY30:EIZ30"/>
    <mergeCell ref="EJA30:EJB30"/>
    <mergeCell ref="EJC30:EJD30"/>
    <mergeCell ref="EJE30:EJF30"/>
    <mergeCell ref="EJG30:EJH30"/>
    <mergeCell ref="ENY30:ENZ30"/>
    <mergeCell ref="EOA30:EOB30"/>
    <mergeCell ref="EOC30:EOD30"/>
    <mergeCell ref="EOE30:EOF30"/>
    <mergeCell ref="EOG30:EOH30"/>
    <mergeCell ref="EOI30:EOJ30"/>
    <mergeCell ref="ENM30:ENN30"/>
    <mergeCell ref="ENO30:ENP30"/>
    <mergeCell ref="ENQ30:ENR30"/>
    <mergeCell ref="ENS30:ENT30"/>
    <mergeCell ref="ENU30:ENV30"/>
    <mergeCell ref="ENW30:ENX30"/>
    <mergeCell ref="ENA30:ENB30"/>
    <mergeCell ref="ENC30:END30"/>
    <mergeCell ref="ENE30:ENF30"/>
    <mergeCell ref="ENG30:ENH30"/>
    <mergeCell ref="ENI30:ENJ30"/>
    <mergeCell ref="ENK30:ENL30"/>
    <mergeCell ref="EMO30:EMP30"/>
    <mergeCell ref="EMQ30:EMR30"/>
    <mergeCell ref="EMS30:EMT30"/>
    <mergeCell ref="EMU30:EMV30"/>
    <mergeCell ref="EMW30:EMX30"/>
    <mergeCell ref="EMY30:EMZ30"/>
    <mergeCell ref="EMC30:EMD30"/>
    <mergeCell ref="EME30:EMF30"/>
    <mergeCell ref="EMG30:EMH30"/>
    <mergeCell ref="EMI30:EMJ30"/>
    <mergeCell ref="EMK30:EML30"/>
    <mergeCell ref="EMM30:EMN30"/>
    <mergeCell ref="ELQ30:ELR30"/>
    <mergeCell ref="ELS30:ELT30"/>
    <mergeCell ref="ELU30:ELV30"/>
    <mergeCell ref="ELW30:ELX30"/>
    <mergeCell ref="ELY30:ELZ30"/>
    <mergeCell ref="EMA30:EMB30"/>
    <mergeCell ref="EQS30:EQT30"/>
    <mergeCell ref="EQU30:EQV30"/>
    <mergeCell ref="EQW30:EQX30"/>
    <mergeCell ref="EQY30:EQZ30"/>
    <mergeCell ref="ERA30:ERB30"/>
    <mergeCell ref="ERC30:ERD30"/>
    <mergeCell ref="EQG30:EQH30"/>
    <mergeCell ref="EQI30:EQJ30"/>
    <mergeCell ref="EQK30:EQL30"/>
    <mergeCell ref="EQM30:EQN30"/>
    <mergeCell ref="EQO30:EQP30"/>
    <mergeCell ref="EQQ30:EQR30"/>
    <mergeCell ref="EPU30:EPV30"/>
    <mergeCell ref="EPW30:EPX30"/>
    <mergeCell ref="EPY30:EPZ30"/>
    <mergeCell ref="EQA30:EQB30"/>
    <mergeCell ref="EQC30:EQD30"/>
    <mergeCell ref="EQE30:EQF30"/>
    <mergeCell ref="EPI30:EPJ30"/>
    <mergeCell ref="EPK30:EPL30"/>
    <mergeCell ref="EPM30:EPN30"/>
    <mergeCell ref="EPO30:EPP30"/>
    <mergeCell ref="EPQ30:EPR30"/>
    <mergeCell ref="EPS30:EPT30"/>
    <mergeCell ref="EOW30:EOX30"/>
    <mergeCell ref="EOY30:EOZ30"/>
    <mergeCell ref="EPA30:EPB30"/>
    <mergeCell ref="EPC30:EPD30"/>
    <mergeCell ref="EPE30:EPF30"/>
    <mergeCell ref="EPG30:EPH30"/>
    <mergeCell ref="EOK30:EOL30"/>
    <mergeCell ref="EOM30:EON30"/>
    <mergeCell ref="EOO30:EOP30"/>
    <mergeCell ref="EOQ30:EOR30"/>
    <mergeCell ref="EOS30:EOT30"/>
    <mergeCell ref="EOU30:EOV30"/>
    <mergeCell ref="ETM30:ETN30"/>
    <mergeCell ref="ETO30:ETP30"/>
    <mergeCell ref="ETQ30:ETR30"/>
    <mergeCell ref="ETS30:ETT30"/>
    <mergeCell ref="ETU30:ETV30"/>
    <mergeCell ref="ETW30:ETX30"/>
    <mergeCell ref="ETA30:ETB30"/>
    <mergeCell ref="ETC30:ETD30"/>
    <mergeCell ref="ETE30:ETF30"/>
    <mergeCell ref="ETG30:ETH30"/>
    <mergeCell ref="ETI30:ETJ30"/>
    <mergeCell ref="ETK30:ETL30"/>
    <mergeCell ref="ESO30:ESP30"/>
    <mergeCell ref="ESQ30:ESR30"/>
    <mergeCell ref="ESS30:EST30"/>
    <mergeCell ref="ESU30:ESV30"/>
    <mergeCell ref="ESW30:ESX30"/>
    <mergeCell ref="ESY30:ESZ30"/>
    <mergeCell ref="ESC30:ESD30"/>
    <mergeCell ref="ESE30:ESF30"/>
    <mergeCell ref="ESG30:ESH30"/>
    <mergeCell ref="ESI30:ESJ30"/>
    <mergeCell ref="ESK30:ESL30"/>
    <mergeCell ref="ESM30:ESN30"/>
    <mergeCell ref="ERQ30:ERR30"/>
    <mergeCell ref="ERS30:ERT30"/>
    <mergeCell ref="ERU30:ERV30"/>
    <mergeCell ref="ERW30:ERX30"/>
    <mergeCell ref="ERY30:ERZ30"/>
    <mergeCell ref="ESA30:ESB30"/>
    <mergeCell ref="ERE30:ERF30"/>
    <mergeCell ref="ERG30:ERH30"/>
    <mergeCell ref="ERI30:ERJ30"/>
    <mergeCell ref="ERK30:ERL30"/>
    <mergeCell ref="ERM30:ERN30"/>
    <mergeCell ref="ERO30:ERP30"/>
    <mergeCell ref="EWG30:EWH30"/>
    <mergeCell ref="EWI30:EWJ30"/>
    <mergeCell ref="EWK30:EWL30"/>
    <mergeCell ref="EWM30:EWN30"/>
    <mergeCell ref="EWO30:EWP30"/>
    <mergeCell ref="EWQ30:EWR30"/>
    <mergeCell ref="EVU30:EVV30"/>
    <mergeCell ref="EVW30:EVX30"/>
    <mergeCell ref="EVY30:EVZ30"/>
    <mergeCell ref="EWA30:EWB30"/>
    <mergeCell ref="EWC30:EWD30"/>
    <mergeCell ref="EWE30:EWF30"/>
    <mergeCell ref="EVI30:EVJ30"/>
    <mergeCell ref="EVK30:EVL30"/>
    <mergeCell ref="EVM30:EVN30"/>
    <mergeCell ref="EVO30:EVP30"/>
    <mergeCell ref="EVQ30:EVR30"/>
    <mergeCell ref="EVS30:EVT30"/>
    <mergeCell ref="EUW30:EUX30"/>
    <mergeCell ref="EUY30:EUZ30"/>
    <mergeCell ref="EVA30:EVB30"/>
    <mergeCell ref="EVC30:EVD30"/>
    <mergeCell ref="EVE30:EVF30"/>
    <mergeCell ref="EVG30:EVH30"/>
    <mergeCell ref="EUK30:EUL30"/>
    <mergeCell ref="EUM30:EUN30"/>
    <mergeCell ref="EUO30:EUP30"/>
    <mergeCell ref="EUQ30:EUR30"/>
    <mergeCell ref="EUS30:EUT30"/>
    <mergeCell ref="EUU30:EUV30"/>
    <mergeCell ref="ETY30:ETZ30"/>
    <mergeCell ref="EUA30:EUB30"/>
    <mergeCell ref="EUC30:EUD30"/>
    <mergeCell ref="EUE30:EUF30"/>
    <mergeCell ref="EUG30:EUH30"/>
    <mergeCell ref="EUI30:EUJ30"/>
    <mergeCell ref="EZA30:EZB30"/>
    <mergeCell ref="EZC30:EZD30"/>
    <mergeCell ref="EZE30:EZF30"/>
    <mergeCell ref="EZG30:EZH30"/>
    <mergeCell ref="EZI30:EZJ30"/>
    <mergeCell ref="EZK30:EZL30"/>
    <mergeCell ref="EYO30:EYP30"/>
    <mergeCell ref="EYQ30:EYR30"/>
    <mergeCell ref="EYS30:EYT30"/>
    <mergeCell ref="EYU30:EYV30"/>
    <mergeCell ref="EYW30:EYX30"/>
    <mergeCell ref="EYY30:EYZ30"/>
    <mergeCell ref="EYC30:EYD30"/>
    <mergeCell ref="EYE30:EYF30"/>
    <mergeCell ref="EYG30:EYH30"/>
    <mergeCell ref="EYI30:EYJ30"/>
    <mergeCell ref="EYK30:EYL30"/>
    <mergeCell ref="EYM30:EYN30"/>
    <mergeCell ref="EXQ30:EXR30"/>
    <mergeCell ref="EXS30:EXT30"/>
    <mergeCell ref="EXU30:EXV30"/>
    <mergeCell ref="EXW30:EXX30"/>
    <mergeCell ref="EXY30:EXZ30"/>
    <mergeCell ref="EYA30:EYB30"/>
    <mergeCell ref="EXE30:EXF30"/>
    <mergeCell ref="EXG30:EXH30"/>
    <mergeCell ref="EXI30:EXJ30"/>
    <mergeCell ref="EXK30:EXL30"/>
    <mergeCell ref="EXM30:EXN30"/>
    <mergeCell ref="EXO30:EXP30"/>
    <mergeCell ref="EWS30:EWT30"/>
    <mergeCell ref="EWU30:EWV30"/>
    <mergeCell ref="EWW30:EWX30"/>
    <mergeCell ref="EWY30:EWZ30"/>
    <mergeCell ref="EXA30:EXB30"/>
    <mergeCell ref="EXC30:EXD30"/>
    <mergeCell ref="FBU30:FBV30"/>
    <mergeCell ref="FBW30:FBX30"/>
    <mergeCell ref="FBY30:FBZ30"/>
    <mergeCell ref="FCA30:FCB30"/>
    <mergeCell ref="FCC30:FCD30"/>
    <mergeCell ref="FCE30:FCF30"/>
    <mergeCell ref="FBI30:FBJ30"/>
    <mergeCell ref="FBK30:FBL30"/>
    <mergeCell ref="FBM30:FBN30"/>
    <mergeCell ref="FBO30:FBP30"/>
    <mergeCell ref="FBQ30:FBR30"/>
    <mergeCell ref="FBS30:FBT30"/>
    <mergeCell ref="FAW30:FAX30"/>
    <mergeCell ref="FAY30:FAZ30"/>
    <mergeCell ref="FBA30:FBB30"/>
    <mergeCell ref="FBC30:FBD30"/>
    <mergeCell ref="FBE30:FBF30"/>
    <mergeCell ref="FBG30:FBH30"/>
    <mergeCell ref="FAK30:FAL30"/>
    <mergeCell ref="FAM30:FAN30"/>
    <mergeCell ref="FAO30:FAP30"/>
    <mergeCell ref="FAQ30:FAR30"/>
    <mergeCell ref="FAS30:FAT30"/>
    <mergeCell ref="FAU30:FAV30"/>
    <mergeCell ref="EZY30:EZZ30"/>
    <mergeCell ref="FAA30:FAB30"/>
    <mergeCell ref="FAC30:FAD30"/>
    <mergeCell ref="FAE30:FAF30"/>
    <mergeCell ref="FAG30:FAH30"/>
    <mergeCell ref="FAI30:FAJ30"/>
    <mergeCell ref="EZM30:EZN30"/>
    <mergeCell ref="EZO30:EZP30"/>
    <mergeCell ref="EZQ30:EZR30"/>
    <mergeCell ref="EZS30:EZT30"/>
    <mergeCell ref="EZU30:EZV30"/>
    <mergeCell ref="EZW30:EZX30"/>
    <mergeCell ref="FEO30:FEP30"/>
    <mergeCell ref="FEQ30:FER30"/>
    <mergeCell ref="FES30:FET30"/>
    <mergeCell ref="FEU30:FEV30"/>
    <mergeCell ref="FEW30:FEX30"/>
    <mergeCell ref="FEY30:FEZ30"/>
    <mergeCell ref="FEC30:FED30"/>
    <mergeCell ref="FEE30:FEF30"/>
    <mergeCell ref="FEG30:FEH30"/>
    <mergeCell ref="FEI30:FEJ30"/>
    <mergeCell ref="FEK30:FEL30"/>
    <mergeCell ref="FEM30:FEN30"/>
    <mergeCell ref="FDQ30:FDR30"/>
    <mergeCell ref="FDS30:FDT30"/>
    <mergeCell ref="FDU30:FDV30"/>
    <mergeCell ref="FDW30:FDX30"/>
    <mergeCell ref="FDY30:FDZ30"/>
    <mergeCell ref="FEA30:FEB30"/>
    <mergeCell ref="FDE30:FDF30"/>
    <mergeCell ref="FDG30:FDH30"/>
    <mergeCell ref="FDI30:FDJ30"/>
    <mergeCell ref="FDK30:FDL30"/>
    <mergeCell ref="FDM30:FDN30"/>
    <mergeCell ref="FDO30:FDP30"/>
    <mergeCell ref="FCS30:FCT30"/>
    <mergeCell ref="FCU30:FCV30"/>
    <mergeCell ref="FCW30:FCX30"/>
    <mergeCell ref="FCY30:FCZ30"/>
    <mergeCell ref="FDA30:FDB30"/>
    <mergeCell ref="FDC30:FDD30"/>
    <mergeCell ref="FCG30:FCH30"/>
    <mergeCell ref="FCI30:FCJ30"/>
    <mergeCell ref="FCK30:FCL30"/>
    <mergeCell ref="FCM30:FCN30"/>
    <mergeCell ref="FCO30:FCP30"/>
    <mergeCell ref="FCQ30:FCR30"/>
    <mergeCell ref="FHI30:FHJ30"/>
    <mergeCell ref="FHK30:FHL30"/>
    <mergeCell ref="FHM30:FHN30"/>
    <mergeCell ref="FHO30:FHP30"/>
    <mergeCell ref="FHQ30:FHR30"/>
    <mergeCell ref="FHS30:FHT30"/>
    <mergeCell ref="FGW30:FGX30"/>
    <mergeCell ref="FGY30:FGZ30"/>
    <mergeCell ref="FHA30:FHB30"/>
    <mergeCell ref="FHC30:FHD30"/>
    <mergeCell ref="FHE30:FHF30"/>
    <mergeCell ref="FHG30:FHH30"/>
    <mergeCell ref="FGK30:FGL30"/>
    <mergeCell ref="FGM30:FGN30"/>
    <mergeCell ref="FGO30:FGP30"/>
    <mergeCell ref="FGQ30:FGR30"/>
    <mergeCell ref="FGS30:FGT30"/>
    <mergeCell ref="FGU30:FGV30"/>
    <mergeCell ref="FFY30:FFZ30"/>
    <mergeCell ref="FGA30:FGB30"/>
    <mergeCell ref="FGC30:FGD30"/>
    <mergeCell ref="FGE30:FGF30"/>
    <mergeCell ref="FGG30:FGH30"/>
    <mergeCell ref="FGI30:FGJ30"/>
    <mergeCell ref="FFM30:FFN30"/>
    <mergeCell ref="FFO30:FFP30"/>
    <mergeCell ref="FFQ30:FFR30"/>
    <mergeCell ref="FFS30:FFT30"/>
    <mergeCell ref="FFU30:FFV30"/>
    <mergeCell ref="FFW30:FFX30"/>
    <mergeCell ref="FFA30:FFB30"/>
    <mergeCell ref="FFC30:FFD30"/>
    <mergeCell ref="FFE30:FFF30"/>
    <mergeCell ref="FFG30:FFH30"/>
    <mergeCell ref="FFI30:FFJ30"/>
    <mergeCell ref="FFK30:FFL30"/>
    <mergeCell ref="FKC30:FKD30"/>
    <mergeCell ref="FKE30:FKF30"/>
    <mergeCell ref="FKG30:FKH30"/>
    <mergeCell ref="FKI30:FKJ30"/>
    <mergeCell ref="FKK30:FKL30"/>
    <mergeCell ref="FKM30:FKN30"/>
    <mergeCell ref="FJQ30:FJR30"/>
    <mergeCell ref="FJS30:FJT30"/>
    <mergeCell ref="FJU30:FJV30"/>
    <mergeCell ref="FJW30:FJX30"/>
    <mergeCell ref="FJY30:FJZ30"/>
    <mergeCell ref="FKA30:FKB30"/>
    <mergeCell ref="FJE30:FJF30"/>
    <mergeCell ref="FJG30:FJH30"/>
    <mergeCell ref="FJI30:FJJ30"/>
    <mergeCell ref="FJK30:FJL30"/>
    <mergeCell ref="FJM30:FJN30"/>
    <mergeCell ref="FJO30:FJP30"/>
    <mergeCell ref="FIS30:FIT30"/>
    <mergeCell ref="FIU30:FIV30"/>
    <mergeCell ref="FIW30:FIX30"/>
    <mergeCell ref="FIY30:FIZ30"/>
    <mergeCell ref="FJA30:FJB30"/>
    <mergeCell ref="FJC30:FJD30"/>
    <mergeCell ref="FIG30:FIH30"/>
    <mergeCell ref="FII30:FIJ30"/>
    <mergeCell ref="FIK30:FIL30"/>
    <mergeCell ref="FIM30:FIN30"/>
    <mergeCell ref="FIO30:FIP30"/>
    <mergeCell ref="FIQ30:FIR30"/>
    <mergeCell ref="FHU30:FHV30"/>
    <mergeCell ref="FHW30:FHX30"/>
    <mergeCell ref="FHY30:FHZ30"/>
    <mergeCell ref="FIA30:FIB30"/>
    <mergeCell ref="FIC30:FID30"/>
    <mergeCell ref="FIE30:FIF30"/>
    <mergeCell ref="FMW30:FMX30"/>
    <mergeCell ref="FMY30:FMZ30"/>
    <mergeCell ref="FNA30:FNB30"/>
    <mergeCell ref="FNC30:FND30"/>
    <mergeCell ref="FNE30:FNF30"/>
    <mergeCell ref="FNG30:FNH30"/>
    <mergeCell ref="FMK30:FML30"/>
    <mergeCell ref="FMM30:FMN30"/>
    <mergeCell ref="FMO30:FMP30"/>
    <mergeCell ref="FMQ30:FMR30"/>
    <mergeCell ref="FMS30:FMT30"/>
    <mergeCell ref="FMU30:FMV30"/>
    <mergeCell ref="FLY30:FLZ30"/>
    <mergeCell ref="FMA30:FMB30"/>
    <mergeCell ref="FMC30:FMD30"/>
    <mergeCell ref="FME30:FMF30"/>
    <mergeCell ref="FMG30:FMH30"/>
    <mergeCell ref="FMI30:FMJ30"/>
    <mergeCell ref="FLM30:FLN30"/>
    <mergeCell ref="FLO30:FLP30"/>
    <mergeCell ref="FLQ30:FLR30"/>
    <mergeCell ref="FLS30:FLT30"/>
    <mergeCell ref="FLU30:FLV30"/>
    <mergeCell ref="FLW30:FLX30"/>
    <mergeCell ref="FLA30:FLB30"/>
    <mergeCell ref="FLC30:FLD30"/>
    <mergeCell ref="FLE30:FLF30"/>
    <mergeCell ref="FLG30:FLH30"/>
    <mergeCell ref="FLI30:FLJ30"/>
    <mergeCell ref="FLK30:FLL30"/>
    <mergeCell ref="FKO30:FKP30"/>
    <mergeCell ref="FKQ30:FKR30"/>
    <mergeCell ref="FKS30:FKT30"/>
    <mergeCell ref="FKU30:FKV30"/>
    <mergeCell ref="FKW30:FKX30"/>
    <mergeCell ref="FKY30:FKZ30"/>
    <mergeCell ref="FPQ30:FPR30"/>
    <mergeCell ref="FPS30:FPT30"/>
    <mergeCell ref="FPU30:FPV30"/>
    <mergeCell ref="FPW30:FPX30"/>
    <mergeCell ref="FPY30:FPZ30"/>
    <mergeCell ref="FQA30:FQB30"/>
    <mergeCell ref="FPE30:FPF30"/>
    <mergeCell ref="FPG30:FPH30"/>
    <mergeCell ref="FPI30:FPJ30"/>
    <mergeCell ref="FPK30:FPL30"/>
    <mergeCell ref="FPM30:FPN30"/>
    <mergeCell ref="FPO30:FPP30"/>
    <mergeCell ref="FOS30:FOT30"/>
    <mergeCell ref="FOU30:FOV30"/>
    <mergeCell ref="FOW30:FOX30"/>
    <mergeCell ref="FOY30:FOZ30"/>
    <mergeCell ref="FPA30:FPB30"/>
    <mergeCell ref="FPC30:FPD30"/>
    <mergeCell ref="FOG30:FOH30"/>
    <mergeCell ref="FOI30:FOJ30"/>
    <mergeCell ref="FOK30:FOL30"/>
    <mergeCell ref="FOM30:FON30"/>
    <mergeCell ref="FOO30:FOP30"/>
    <mergeCell ref="FOQ30:FOR30"/>
    <mergeCell ref="FNU30:FNV30"/>
    <mergeCell ref="FNW30:FNX30"/>
    <mergeCell ref="FNY30:FNZ30"/>
    <mergeCell ref="FOA30:FOB30"/>
    <mergeCell ref="FOC30:FOD30"/>
    <mergeCell ref="FOE30:FOF30"/>
    <mergeCell ref="FNI30:FNJ30"/>
    <mergeCell ref="FNK30:FNL30"/>
    <mergeCell ref="FNM30:FNN30"/>
    <mergeCell ref="FNO30:FNP30"/>
    <mergeCell ref="FNQ30:FNR30"/>
    <mergeCell ref="FNS30:FNT30"/>
    <mergeCell ref="FSK30:FSL30"/>
    <mergeCell ref="FSM30:FSN30"/>
    <mergeCell ref="FSO30:FSP30"/>
    <mergeCell ref="FSQ30:FSR30"/>
    <mergeCell ref="FSS30:FST30"/>
    <mergeCell ref="FSU30:FSV30"/>
    <mergeCell ref="FRY30:FRZ30"/>
    <mergeCell ref="FSA30:FSB30"/>
    <mergeCell ref="FSC30:FSD30"/>
    <mergeCell ref="FSE30:FSF30"/>
    <mergeCell ref="FSG30:FSH30"/>
    <mergeCell ref="FSI30:FSJ30"/>
    <mergeCell ref="FRM30:FRN30"/>
    <mergeCell ref="FRO30:FRP30"/>
    <mergeCell ref="FRQ30:FRR30"/>
    <mergeCell ref="FRS30:FRT30"/>
    <mergeCell ref="FRU30:FRV30"/>
    <mergeCell ref="FRW30:FRX30"/>
    <mergeCell ref="FRA30:FRB30"/>
    <mergeCell ref="FRC30:FRD30"/>
    <mergeCell ref="FRE30:FRF30"/>
    <mergeCell ref="FRG30:FRH30"/>
    <mergeCell ref="FRI30:FRJ30"/>
    <mergeCell ref="FRK30:FRL30"/>
    <mergeCell ref="FQO30:FQP30"/>
    <mergeCell ref="FQQ30:FQR30"/>
    <mergeCell ref="FQS30:FQT30"/>
    <mergeCell ref="FQU30:FQV30"/>
    <mergeCell ref="FQW30:FQX30"/>
    <mergeCell ref="FQY30:FQZ30"/>
    <mergeCell ref="FQC30:FQD30"/>
    <mergeCell ref="FQE30:FQF30"/>
    <mergeCell ref="FQG30:FQH30"/>
    <mergeCell ref="FQI30:FQJ30"/>
    <mergeCell ref="FQK30:FQL30"/>
    <mergeCell ref="FQM30:FQN30"/>
    <mergeCell ref="FVE30:FVF30"/>
    <mergeCell ref="FVG30:FVH30"/>
    <mergeCell ref="FVI30:FVJ30"/>
    <mergeCell ref="FVK30:FVL30"/>
    <mergeCell ref="FVM30:FVN30"/>
    <mergeCell ref="FVO30:FVP30"/>
    <mergeCell ref="FUS30:FUT30"/>
    <mergeCell ref="FUU30:FUV30"/>
    <mergeCell ref="FUW30:FUX30"/>
    <mergeCell ref="FUY30:FUZ30"/>
    <mergeCell ref="FVA30:FVB30"/>
    <mergeCell ref="FVC30:FVD30"/>
    <mergeCell ref="FUG30:FUH30"/>
    <mergeCell ref="FUI30:FUJ30"/>
    <mergeCell ref="FUK30:FUL30"/>
    <mergeCell ref="FUM30:FUN30"/>
    <mergeCell ref="FUO30:FUP30"/>
    <mergeCell ref="FUQ30:FUR30"/>
    <mergeCell ref="FTU30:FTV30"/>
    <mergeCell ref="FTW30:FTX30"/>
    <mergeCell ref="FTY30:FTZ30"/>
    <mergeCell ref="FUA30:FUB30"/>
    <mergeCell ref="FUC30:FUD30"/>
    <mergeCell ref="FUE30:FUF30"/>
    <mergeCell ref="FTI30:FTJ30"/>
    <mergeCell ref="FTK30:FTL30"/>
    <mergeCell ref="FTM30:FTN30"/>
    <mergeCell ref="FTO30:FTP30"/>
    <mergeCell ref="FTQ30:FTR30"/>
    <mergeCell ref="FTS30:FTT30"/>
    <mergeCell ref="FSW30:FSX30"/>
    <mergeCell ref="FSY30:FSZ30"/>
    <mergeCell ref="FTA30:FTB30"/>
    <mergeCell ref="FTC30:FTD30"/>
    <mergeCell ref="FTE30:FTF30"/>
    <mergeCell ref="FTG30:FTH30"/>
    <mergeCell ref="FXY30:FXZ30"/>
    <mergeCell ref="FYA30:FYB30"/>
    <mergeCell ref="FYC30:FYD30"/>
    <mergeCell ref="FYE30:FYF30"/>
    <mergeCell ref="FYG30:FYH30"/>
    <mergeCell ref="FYI30:FYJ30"/>
    <mergeCell ref="FXM30:FXN30"/>
    <mergeCell ref="FXO30:FXP30"/>
    <mergeCell ref="FXQ30:FXR30"/>
    <mergeCell ref="FXS30:FXT30"/>
    <mergeCell ref="FXU30:FXV30"/>
    <mergeCell ref="FXW30:FXX30"/>
    <mergeCell ref="FXA30:FXB30"/>
    <mergeCell ref="FXC30:FXD30"/>
    <mergeCell ref="FXE30:FXF30"/>
    <mergeCell ref="FXG30:FXH30"/>
    <mergeCell ref="FXI30:FXJ30"/>
    <mergeCell ref="FXK30:FXL30"/>
    <mergeCell ref="FWO30:FWP30"/>
    <mergeCell ref="FWQ30:FWR30"/>
    <mergeCell ref="FWS30:FWT30"/>
    <mergeCell ref="FWU30:FWV30"/>
    <mergeCell ref="FWW30:FWX30"/>
    <mergeCell ref="FWY30:FWZ30"/>
    <mergeCell ref="FWC30:FWD30"/>
    <mergeCell ref="FWE30:FWF30"/>
    <mergeCell ref="FWG30:FWH30"/>
    <mergeCell ref="FWI30:FWJ30"/>
    <mergeCell ref="FWK30:FWL30"/>
    <mergeCell ref="FWM30:FWN30"/>
    <mergeCell ref="FVQ30:FVR30"/>
    <mergeCell ref="FVS30:FVT30"/>
    <mergeCell ref="FVU30:FVV30"/>
    <mergeCell ref="FVW30:FVX30"/>
    <mergeCell ref="FVY30:FVZ30"/>
    <mergeCell ref="FWA30:FWB30"/>
    <mergeCell ref="GAS30:GAT30"/>
    <mergeCell ref="GAU30:GAV30"/>
    <mergeCell ref="GAW30:GAX30"/>
    <mergeCell ref="GAY30:GAZ30"/>
    <mergeCell ref="GBA30:GBB30"/>
    <mergeCell ref="GBC30:GBD30"/>
    <mergeCell ref="GAG30:GAH30"/>
    <mergeCell ref="GAI30:GAJ30"/>
    <mergeCell ref="GAK30:GAL30"/>
    <mergeCell ref="GAM30:GAN30"/>
    <mergeCell ref="GAO30:GAP30"/>
    <mergeCell ref="GAQ30:GAR30"/>
    <mergeCell ref="FZU30:FZV30"/>
    <mergeCell ref="FZW30:FZX30"/>
    <mergeCell ref="FZY30:FZZ30"/>
    <mergeCell ref="GAA30:GAB30"/>
    <mergeCell ref="GAC30:GAD30"/>
    <mergeCell ref="GAE30:GAF30"/>
    <mergeCell ref="FZI30:FZJ30"/>
    <mergeCell ref="FZK30:FZL30"/>
    <mergeCell ref="FZM30:FZN30"/>
    <mergeCell ref="FZO30:FZP30"/>
    <mergeCell ref="FZQ30:FZR30"/>
    <mergeCell ref="FZS30:FZT30"/>
    <mergeCell ref="FYW30:FYX30"/>
    <mergeCell ref="FYY30:FYZ30"/>
    <mergeCell ref="FZA30:FZB30"/>
    <mergeCell ref="FZC30:FZD30"/>
    <mergeCell ref="FZE30:FZF30"/>
    <mergeCell ref="FZG30:FZH30"/>
    <mergeCell ref="FYK30:FYL30"/>
    <mergeCell ref="FYM30:FYN30"/>
    <mergeCell ref="FYO30:FYP30"/>
    <mergeCell ref="FYQ30:FYR30"/>
    <mergeCell ref="FYS30:FYT30"/>
    <mergeCell ref="FYU30:FYV30"/>
    <mergeCell ref="GDM30:GDN30"/>
    <mergeCell ref="GDO30:GDP30"/>
    <mergeCell ref="GDQ30:GDR30"/>
    <mergeCell ref="GDS30:GDT30"/>
    <mergeCell ref="GDU30:GDV30"/>
    <mergeCell ref="GDW30:GDX30"/>
    <mergeCell ref="GDA30:GDB30"/>
    <mergeCell ref="GDC30:GDD30"/>
    <mergeCell ref="GDE30:GDF30"/>
    <mergeCell ref="GDG30:GDH30"/>
    <mergeCell ref="GDI30:GDJ30"/>
    <mergeCell ref="GDK30:GDL30"/>
    <mergeCell ref="GCO30:GCP30"/>
    <mergeCell ref="GCQ30:GCR30"/>
    <mergeCell ref="GCS30:GCT30"/>
    <mergeCell ref="GCU30:GCV30"/>
    <mergeCell ref="GCW30:GCX30"/>
    <mergeCell ref="GCY30:GCZ30"/>
    <mergeCell ref="GCC30:GCD30"/>
    <mergeCell ref="GCE30:GCF30"/>
    <mergeCell ref="GCG30:GCH30"/>
    <mergeCell ref="GCI30:GCJ30"/>
    <mergeCell ref="GCK30:GCL30"/>
    <mergeCell ref="GCM30:GCN30"/>
    <mergeCell ref="GBQ30:GBR30"/>
    <mergeCell ref="GBS30:GBT30"/>
    <mergeCell ref="GBU30:GBV30"/>
    <mergeCell ref="GBW30:GBX30"/>
    <mergeCell ref="GBY30:GBZ30"/>
    <mergeCell ref="GCA30:GCB30"/>
    <mergeCell ref="GBE30:GBF30"/>
    <mergeCell ref="GBG30:GBH30"/>
    <mergeCell ref="GBI30:GBJ30"/>
    <mergeCell ref="GBK30:GBL30"/>
    <mergeCell ref="GBM30:GBN30"/>
    <mergeCell ref="GBO30:GBP30"/>
    <mergeCell ref="GGG30:GGH30"/>
    <mergeCell ref="GGI30:GGJ30"/>
    <mergeCell ref="GGK30:GGL30"/>
    <mergeCell ref="GGM30:GGN30"/>
    <mergeCell ref="GGO30:GGP30"/>
    <mergeCell ref="GGQ30:GGR30"/>
    <mergeCell ref="GFU30:GFV30"/>
    <mergeCell ref="GFW30:GFX30"/>
    <mergeCell ref="GFY30:GFZ30"/>
    <mergeCell ref="GGA30:GGB30"/>
    <mergeCell ref="GGC30:GGD30"/>
    <mergeCell ref="GGE30:GGF30"/>
    <mergeCell ref="GFI30:GFJ30"/>
    <mergeCell ref="GFK30:GFL30"/>
    <mergeCell ref="GFM30:GFN30"/>
    <mergeCell ref="GFO30:GFP30"/>
    <mergeCell ref="GFQ30:GFR30"/>
    <mergeCell ref="GFS30:GFT30"/>
    <mergeCell ref="GEW30:GEX30"/>
    <mergeCell ref="GEY30:GEZ30"/>
    <mergeCell ref="GFA30:GFB30"/>
    <mergeCell ref="GFC30:GFD30"/>
    <mergeCell ref="GFE30:GFF30"/>
    <mergeCell ref="GFG30:GFH30"/>
    <mergeCell ref="GEK30:GEL30"/>
    <mergeCell ref="GEM30:GEN30"/>
    <mergeCell ref="GEO30:GEP30"/>
    <mergeCell ref="GEQ30:GER30"/>
    <mergeCell ref="GES30:GET30"/>
    <mergeCell ref="GEU30:GEV30"/>
    <mergeCell ref="GDY30:GDZ30"/>
    <mergeCell ref="GEA30:GEB30"/>
    <mergeCell ref="GEC30:GED30"/>
    <mergeCell ref="GEE30:GEF30"/>
    <mergeCell ref="GEG30:GEH30"/>
    <mergeCell ref="GEI30:GEJ30"/>
    <mergeCell ref="GJA30:GJB30"/>
    <mergeCell ref="GJC30:GJD30"/>
    <mergeCell ref="GJE30:GJF30"/>
    <mergeCell ref="GJG30:GJH30"/>
    <mergeCell ref="GJI30:GJJ30"/>
    <mergeCell ref="GJK30:GJL30"/>
    <mergeCell ref="GIO30:GIP30"/>
    <mergeCell ref="GIQ30:GIR30"/>
    <mergeCell ref="GIS30:GIT30"/>
    <mergeCell ref="GIU30:GIV30"/>
    <mergeCell ref="GIW30:GIX30"/>
    <mergeCell ref="GIY30:GIZ30"/>
    <mergeCell ref="GIC30:GID30"/>
    <mergeCell ref="GIE30:GIF30"/>
    <mergeCell ref="GIG30:GIH30"/>
    <mergeCell ref="GII30:GIJ30"/>
    <mergeCell ref="GIK30:GIL30"/>
    <mergeCell ref="GIM30:GIN30"/>
    <mergeCell ref="GHQ30:GHR30"/>
    <mergeCell ref="GHS30:GHT30"/>
    <mergeCell ref="GHU30:GHV30"/>
    <mergeCell ref="GHW30:GHX30"/>
    <mergeCell ref="GHY30:GHZ30"/>
    <mergeCell ref="GIA30:GIB30"/>
    <mergeCell ref="GHE30:GHF30"/>
    <mergeCell ref="GHG30:GHH30"/>
    <mergeCell ref="GHI30:GHJ30"/>
    <mergeCell ref="GHK30:GHL30"/>
    <mergeCell ref="GHM30:GHN30"/>
    <mergeCell ref="GHO30:GHP30"/>
    <mergeCell ref="GGS30:GGT30"/>
    <mergeCell ref="GGU30:GGV30"/>
    <mergeCell ref="GGW30:GGX30"/>
    <mergeCell ref="GGY30:GGZ30"/>
    <mergeCell ref="GHA30:GHB30"/>
    <mergeCell ref="GHC30:GHD30"/>
    <mergeCell ref="GLU30:GLV30"/>
    <mergeCell ref="GLW30:GLX30"/>
    <mergeCell ref="GLY30:GLZ30"/>
    <mergeCell ref="GMA30:GMB30"/>
    <mergeCell ref="GMC30:GMD30"/>
    <mergeCell ref="GME30:GMF30"/>
    <mergeCell ref="GLI30:GLJ30"/>
    <mergeCell ref="GLK30:GLL30"/>
    <mergeCell ref="GLM30:GLN30"/>
    <mergeCell ref="GLO30:GLP30"/>
    <mergeCell ref="GLQ30:GLR30"/>
    <mergeCell ref="GLS30:GLT30"/>
    <mergeCell ref="GKW30:GKX30"/>
    <mergeCell ref="GKY30:GKZ30"/>
    <mergeCell ref="GLA30:GLB30"/>
    <mergeCell ref="GLC30:GLD30"/>
    <mergeCell ref="GLE30:GLF30"/>
    <mergeCell ref="GLG30:GLH30"/>
    <mergeCell ref="GKK30:GKL30"/>
    <mergeCell ref="GKM30:GKN30"/>
    <mergeCell ref="GKO30:GKP30"/>
    <mergeCell ref="GKQ30:GKR30"/>
    <mergeCell ref="GKS30:GKT30"/>
    <mergeCell ref="GKU30:GKV30"/>
    <mergeCell ref="GJY30:GJZ30"/>
    <mergeCell ref="GKA30:GKB30"/>
    <mergeCell ref="GKC30:GKD30"/>
    <mergeCell ref="GKE30:GKF30"/>
    <mergeCell ref="GKG30:GKH30"/>
    <mergeCell ref="GKI30:GKJ30"/>
    <mergeCell ref="GJM30:GJN30"/>
    <mergeCell ref="GJO30:GJP30"/>
    <mergeCell ref="GJQ30:GJR30"/>
    <mergeCell ref="GJS30:GJT30"/>
    <mergeCell ref="GJU30:GJV30"/>
    <mergeCell ref="GJW30:GJX30"/>
    <mergeCell ref="GOO30:GOP30"/>
    <mergeCell ref="GOQ30:GOR30"/>
    <mergeCell ref="GOS30:GOT30"/>
    <mergeCell ref="GOU30:GOV30"/>
    <mergeCell ref="GOW30:GOX30"/>
    <mergeCell ref="GOY30:GOZ30"/>
    <mergeCell ref="GOC30:GOD30"/>
    <mergeCell ref="GOE30:GOF30"/>
    <mergeCell ref="GOG30:GOH30"/>
    <mergeCell ref="GOI30:GOJ30"/>
    <mergeCell ref="GOK30:GOL30"/>
    <mergeCell ref="GOM30:GON30"/>
    <mergeCell ref="GNQ30:GNR30"/>
    <mergeCell ref="GNS30:GNT30"/>
    <mergeCell ref="GNU30:GNV30"/>
    <mergeCell ref="GNW30:GNX30"/>
    <mergeCell ref="GNY30:GNZ30"/>
    <mergeCell ref="GOA30:GOB30"/>
    <mergeCell ref="GNE30:GNF30"/>
    <mergeCell ref="GNG30:GNH30"/>
    <mergeCell ref="GNI30:GNJ30"/>
    <mergeCell ref="GNK30:GNL30"/>
    <mergeCell ref="GNM30:GNN30"/>
    <mergeCell ref="GNO30:GNP30"/>
    <mergeCell ref="GMS30:GMT30"/>
    <mergeCell ref="GMU30:GMV30"/>
    <mergeCell ref="GMW30:GMX30"/>
    <mergeCell ref="GMY30:GMZ30"/>
    <mergeCell ref="GNA30:GNB30"/>
    <mergeCell ref="GNC30:GND30"/>
    <mergeCell ref="GMG30:GMH30"/>
    <mergeCell ref="GMI30:GMJ30"/>
    <mergeCell ref="GMK30:GML30"/>
    <mergeCell ref="GMM30:GMN30"/>
    <mergeCell ref="GMO30:GMP30"/>
    <mergeCell ref="GMQ30:GMR30"/>
    <mergeCell ref="GRI30:GRJ30"/>
    <mergeCell ref="GRK30:GRL30"/>
    <mergeCell ref="GRM30:GRN30"/>
    <mergeCell ref="GRO30:GRP30"/>
    <mergeCell ref="GRQ30:GRR30"/>
    <mergeCell ref="GRS30:GRT30"/>
    <mergeCell ref="GQW30:GQX30"/>
    <mergeCell ref="GQY30:GQZ30"/>
    <mergeCell ref="GRA30:GRB30"/>
    <mergeCell ref="GRC30:GRD30"/>
    <mergeCell ref="GRE30:GRF30"/>
    <mergeCell ref="GRG30:GRH30"/>
    <mergeCell ref="GQK30:GQL30"/>
    <mergeCell ref="GQM30:GQN30"/>
    <mergeCell ref="GQO30:GQP30"/>
    <mergeCell ref="GQQ30:GQR30"/>
    <mergeCell ref="GQS30:GQT30"/>
    <mergeCell ref="GQU30:GQV30"/>
    <mergeCell ref="GPY30:GPZ30"/>
    <mergeCell ref="GQA30:GQB30"/>
    <mergeCell ref="GQC30:GQD30"/>
    <mergeCell ref="GQE30:GQF30"/>
    <mergeCell ref="GQG30:GQH30"/>
    <mergeCell ref="GQI30:GQJ30"/>
    <mergeCell ref="GPM30:GPN30"/>
    <mergeCell ref="GPO30:GPP30"/>
    <mergeCell ref="GPQ30:GPR30"/>
    <mergeCell ref="GPS30:GPT30"/>
    <mergeCell ref="GPU30:GPV30"/>
    <mergeCell ref="GPW30:GPX30"/>
    <mergeCell ref="GPA30:GPB30"/>
    <mergeCell ref="GPC30:GPD30"/>
    <mergeCell ref="GPE30:GPF30"/>
    <mergeCell ref="GPG30:GPH30"/>
    <mergeCell ref="GPI30:GPJ30"/>
    <mergeCell ref="GPK30:GPL30"/>
    <mergeCell ref="GUC30:GUD30"/>
    <mergeCell ref="GUE30:GUF30"/>
    <mergeCell ref="GUG30:GUH30"/>
    <mergeCell ref="GUI30:GUJ30"/>
    <mergeCell ref="GUK30:GUL30"/>
    <mergeCell ref="GUM30:GUN30"/>
    <mergeCell ref="GTQ30:GTR30"/>
    <mergeCell ref="GTS30:GTT30"/>
    <mergeCell ref="GTU30:GTV30"/>
    <mergeCell ref="GTW30:GTX30"/>
    <mergeCell ref="GTY30:GTZ30"/>
    <mergeCell ref="GUA30:GUB30"/>
    <mergeCell ref="GTE30:GTF30"/>
    <mergeCell ref="GTG30:GTH30"/>
    <mergeCell ref="GTI30:GTJ30"/>
    <mergeCell ref="GTK30:GTL30"/>
    <mergeCell ref="GTM30:GTN30"/>
    <mergeCell ref="GTO30:GTP30"/>
    <mergeCell ref="GSS30:GST30"/>
    <mergeCell ref="GSU30:GSV30"/>
    <mergeCell ref="GSW30:GSX30"/>
    <mergeCell ref="GSY30:GSZ30"/>
    <mergeCell ref="GTA30:GTB30"/>
    <mergeCell ref="GTC30:GTD30"/>
    <mergeCell ref="GSG30:GSH30"/>
    <mergeCell ref="GSI30:GSJ30"/>
    <mergeCell ref="GSK30:GSL30"/>
    <mergeCell ref="GSM30:GSN30"/>
    <mergeCell ref="GSO30:GSP30"/>
    <mergeCell ref="GSQ30:GSR30"/>
    <mergeCell ref="GRU30:GRV30"/>
    <mergeCell ref="GRW30:GRX30"/>
    <mergeCell ref="GRY30:GRZ30"/>
    <mergeCell ref="GSA30:GSB30"/>
    <mergeCell ref="GSC30:GSD30"/>
    <mergeCell ref="GSE30:GSF30"/>
    <mergeCell ref="GWW30:GWX30"/>
    <mergeCell ref="GWY30:GWZ30"/>
    <mergeCell ref="GXA30:GXB30"/>
    <mergeCell ref="GXC30:GXD30"/>
    <mergeCell ref="GXE30:GXF30"/>
    <mergeCell ref="GXG30:GXH30"/>
    <mergeCell ref="GWK30:GWL30"/>
    <mergeCell ref="GWM30:GWN30"/>
    <mergeCell ref="GWO30:GWP30"/>
    <mergeCell ref="GWQ30:GWR30"/>
    <mergeCell ref="GWS30:GWT30"/>
    <mergeCell ref="GWU30:GWV30"/>
    <mergeCell ref="GVY30:GVZ30"/>
    <mergeCell ref="GWA30:GWB30"/>
    <mergeCell ref="GWC30:GWD30"/>
    <mergeCell ref="GWE30:GWF30"/>
    <mergeCell ref="GWG30:GWH30"/>
    <mergeCell ref="GWI30:GWJ30"/>
    <mergeCell ref="GVM30:GVN30"/>
    <mergeCell ref="GVO30:GVP30"/>
    <mergeCell ref="GVQ30:GVR30"/>
    <mergeCell ref="GVS30:GVT30"/>
    <mergeCell ref="GVU30:GVV30"/>
    <mergeCell ref="GVW30:GVX30"/>
    <mergeCell ref="GVA30:GVB30"/>
    <mergeCell ref="GVC30:GVD30"/>
    <mergeCell ref="GVE30:GVF30"/>
    <mergeCell ref="GVG30:GVH30"/>
    <mergeCell ref="GVI30:GVJ30"/>
    <mergeCell ref="GVK30:GVL30"/>
    <mergeCell ref="GUO30:GUP30"/>
    <mergeCell ref="GUQ30:GUR30"/>
    <mergeCell ref="GUS30:GUT30"/>
    <mergeCell ref="GUU30:GUV30"/>
    <mergeCell ref="GUW30:GUX30"/>
    <mergeCell ref="GUY30:GUZ30"/>
    <mergeCell ref="GZQ30:GZR30"/>
    <mergeCell ref="GZS30:GZT30"/>
    <mergeCell ref="GZU30:GZV30"/>
    <mergeCell ref="GZW30:GZX30"/>
    <mergeCell ref="GZY30:GZZ30"/>
    <mergeCell ref="HAA30:HAB30"/>
    <mergeCell ref="GZE30:GZF30"/>
    <mergeCell ref="GZG30:GZH30"/>
    <mergeCell ref="GZI30:GZJ30"/>
    <mergeCell ref="GZK30:GZL30"/>
    <mergeCell ref="GZM30:GZN30"/>
    <mergeCell ref="GZO30:GZP30"/>
    <mergeCell ref="GYS30:GYT30"/>
    <mergeCell ref="GYU30:GYV30"/>
    <mergeCell ref="GYW30:GYX30"/>
    <mergeCell ref="GYY30:GYZ30"/>
    <mergeCell ref="GZA30:GZB30"/>
    <mergeCell ref="GZC30:GZD30"/>
    <mergeCell ref="GYG30:GYH30"/>
    <mergeCell ref="GYI30:GYJ30"/>
    <mergeCell ref="GYK30:GYL30"/>
    <mergeCell ref="GYM30:GYN30"/>
    <mergeCell ref="GYO30:GYP30"/>
    <mergeCell ref="GYQ30:GYR30"/>
    <mergeCell ref="GXU30:GXV30"/>
    <mergeCell ref="GXW30:GXX30"/>
    <mergeCell ref="GXY30:GXZ30"/>
    <mergeCell ref="GYA30:GYB30"/>
    <mergeCell ref="GYC30:GYD30"/>
    <mergeCell ref="GYE30:GYF30"/>
    <mergeCell ref="GXI30:GXJ30"/>
    <mergeCell ref="GXK30:GXL30"/>
    <mergeCell ref="GXM30:GXN30"/>
    <mergeCell ref="GXO30:GXP30"/>
    <mergeCell ref="GXQ30:GXR30"/>
    <mergeCell ref="GXS30:GXT30"/>
    <mergeCell ref="HCK30:HCL30"/>
    <mergeCell ref="HCM30:HCN30"/>
    <mergeCell ref="HCO30:HCP30"/>
    <mergeCell ref="HCQ30:HCR30"/>
    <mergeCell ref="HCS30:HCT30"/>
    <mergeCell ref="HCU30:HCV30"/>
    <mergeCell ref="HBY30:HBZ30"/>
    <mergeCell ref="HCA30:HCB30"/>
    <mergeCell ref="HCC30:HCD30"/>
    <mergeCell ref="HCE30:HCF30"/>
    <mergeCell ref="HCG30:HCH30"/>
    <mergeCell ref="HCI30:HCJ30"/>
    <mergeCell ref="HBM30:HBN30"/>
    <mergeCell ref="HBO30:HBP30"/>
    <mergeCell ref="HBQ30:HBR30"/>
    <mergeCell ref="HBS30:HBT30"/>
    <mergeCell ref="HBU30:HBV30"/>
    <mergeCell ref="HBW30:HBX30"/>
    <mergeCell ref="HBA30:HBB30"/>
    <mergeCell ref="HBC30:HBD30"/>
    <mergeCell ref="HBE30:HBF30"/>
    <mergeCell ref="HBG30:HBH30"/>
    <mergeCell ref="HBI30:HBJ30"/>
    <mergeCell ref="HBK30:HBL30"/>
    <mergeCell ref="HAO30:HAP30"/>
    <mergeCell ref="HAQ30:HAR30"/>
    <mergeCell ref="HAS30:HAT30"/>
    <mergeCell ref="HAU30:HAV30"/>
    <mergeCell ref="HAW30:HAX30"/>
    <mergeCell ref="HAY30:HAZ30"/>
    <mergeCell ref="HAC30:HAD30"/>
    <mergeCell ref="HAE30:HAF30"/>
    <mergeCell ref="HAG30:HAH30"/>
    <mergeCell ref="HAI30:HAJ30"/>
    <mergeCell ref="HAK30:HAL30"/>
    <mergeCell ref="HAM30:HAN30"/>
    <mergeCell ref="HFE30:HFF30"/>
    <mergeCell ref="HFG30:HFH30"/>
    <mergeCell ref="HFI30:HFJ30"/>
    <mergeCell ref="HFK30:HFL30"/>
    <mergeCell ref="HFM30:HFN30"/>
    <mergeCell ref="HFO30:HFP30"/>
    <mergeCell ref="HES30:HET30"/>
    <mergeCell ref="HEU30:HEV30"/>
    <mergeCell ref="HEW30:HEX30"/>
    <mergeCell ref="HEY30:HEZ30"/>
    <mergeCell ref="HFA30:HFB30"/>
    <mergeCell ref="HFC30:HFD30"/>
    <mergeCell ref="HEG30:HEH30"/>
    <mergeCell ref="HEI30:HEJ30"/>
    <mergeCell ref="HEK30:HEL30"/>
    <mergeCell ref="HEM30:HEN30"/>
    <mergeCell ref="HEO30:HEP30"/>
    <mergeCell ref="HEQ30:HER30"/>
    <mergeCell ref="HDU30:HDV30"/>
    <mergeCell ref="HDW30:HDX30"/>
    <mergeCell ref="HDY30:HDZ30"/>
    <mergeCell ref="HEA30:HEB30"/>
    <mergeCell ref="HEC30:HED30"/>
    <mergeCell ref="HEE30:HEF30"/>
    <mergeCell ref="HDI30:HDJ30"/>
    <mergeCell ref="HDK30:HDL30"/>
    <mergeCell ref="HDM30:HDN30"/>
    <mergeCell ref="HDO30:HDP30"/>
    <mergeCell ref="HDQ30:HDR30"/>
    <mergeCell ref="HDS30:HDT30"/>
    <mergeCell ref="HCW30:HCX30"/>
    <mergeCell ref="HCY30:HCZ30"/>
    <mergeCell ref="HDA30:HDB30"/>
    <mergeCell ref="HDC30:HDD30"/>
    <mergeCell ref="HDE30:HDF30"/>
    <mergeCell ref="HDG30:HDH30"/>
    <mergeCell ref="HHY30:HHZ30"/>
    <mergeCell ref="HIA30:HIB30"/>
    <mergeCell ref="HIC30:HID30"/>
    <mergeCell ref="HIE30:HIF30"/>
    <mergeCell ref="HIG30:HIH30"/>
    <mergeCell ref="HII30:HIJ30"/>
    <mergeCell ref="HHM30:HHN30"/>
    <mergeCell ref="HHO30:HHP30"/>
    <mergeCell ref="HHQ30:HHR30"/>
    <mergeCell ref="HHS30:HHT30"/>
    <mergeCell ref="HHU30:HHV30"/>
    <mergeCell ref="HHW30:HHX30"/>
    <mergeCell ref="HHA30:HHB30"/>
    <mergeCell ref="HHC30:HHD30"/>
    <mergeCell ref="HHE30:HHF30"/>
    <mergeCell ref="HHG30:HHH30"/>
    <mergeCell ref="HHI30:HHJ30"/>
    <mergeCell ref="HHK30:HHL30"/>
    <mergeCell ref="HGO30:HGP30"/>
    <mergeCell ref="HGQ30:HGR30"/>
    <mergeCell ref="HGS30:HGT30"/>
    <mergeCell ref="HGU30:HGV30"/>
    <mergeCell ref="HGW30:HGX30"/>
    <mergeCell ref="HGY30:HGZ30"/>
    <mergeCell ref="HGC30:HGD30"/>
    <mergeCell ref="HGE30:HGF30"/>
    <mergeCell ref="HGG30:HGH30"/>
    <mergeCell ref="HGI30:HGJ30"/>
    <mergeCell ref="HGK30:HGL30"/>
    <mergeCell ref="HGM30:HGN30"/>
    <mergeCell ref="HFQ30:HFR30"/>
    <mergeCell ref="HFS30:HFT30"/>
    <mergeCell ref="HFU30:HFV30"/>
    <mergeCell ref="HFW30:HFX30"/>
    <mergeCell ref="HFY30:HFZ30"/>
    <mergeCell ref="HGA30:HGB30"/>
    <mergeCell ref="HKS30:HKT30"/>
    <mergeCell ref="HKU30:HKV30"/>
    <mergeCell ref="HKW30:HKX30"/>
    <mergeCell ref="HKY30:HKZ30"/>
    <mergeCell ref="HLA30:HLB30"/>
    <mergeCell ref="HLC30:HLD30"/>
    <mergeCell ref="HKG30:HKH30"/>
    <mergeCell ref="HKI30:HKJ30"/>
    <mergeCell ref="HKK30:HKL30"/>
    <mergeCell ref="HKM30:HKN30"/>
    <mergeCell ref="HKO30:HKP30"/>
    <mergeCell ref="HKQ30:HKR30"/>
    <mergeCell ref="HJU30:HJV30"/>
    <mergeCell ref="HJW30:HJX30"/>
    <mergeCell ref="HJY30:HJZ30"/>
    <mergeCell ref="HKA30:HKB30"/>
    <mergeCell ref="HKC30:HKD30"/>
    <mergeCell ref="HKE30:HKF30"/>
    <mergeCell ref="HJI30:HJJ30"/>
    <mergeCell ref="HJK30:HJL30"/>
    <mergeCell ref="HJM30:HJN30"/>
    <mergeCell ref="HJO30:HJP30"/>
    <mergeCell ref="HJQ30:HJR30"/>
    <mergeCell ref="HJS30:HJT30"/>
    <mergeCell ref="HIW30:HIX30"/>
    <mergeCell ref="HIY30:HIZ30"/>
    <mergeCell ref="HJA30:HJB30"/>
    <mergeCell ref="HJC30:HJD30"/>
    <mergeCell ref="HJE30:HJF30"/>
    <mergeCell ref="HJG30:HJH30"/>
    <mergeCell ref="HIK30:HIL30"/>
    <mergeCell ref="HIM30:HIN30"/>
    <mergeCell ref="HIO30:HIP30"/>
    <mergeCell ref="HIQ30:HIR30"/>
    <mergeCell ref="HIS30:HIT30"/>
    <mergeCell ref="HIU30:HIV30"/>
    <mergeCell ref="HNM30:HNN30"/>
    <mergeCell ref="HNO30:HNP30"/>
    <mergeCell ref="HNQ30:HNR30"/>
    <mergeCell ref="HNS30:HNT30"/>
    <mergeCell ref="HNU30:HNV30"/>
    <mergeCell ref="HNW30:HNX30"/>
    <mergeCell ref="HNA30:HNB30"/>
    <mergeCell ref="HNC30:HND30"/>
    <mergeCell ref="HNE30:HNF30"/>
    <mergeCell ref="HNG30:HNH30"/>
    <mergeCell ref="HNI30:HNJ30"/>
    <mergeCell ref="HNK30:HNL30"/>
    <mergeCell ref="HMO30:HMP30"/>
    <mergeCell ref="HMQ30:HMR30"/>
    <mergeCell ref="HMS30:HMT30"/>
    <mergeCell ref="HMU30:HMV30"/>
    <mergeCell ref="HMW30:HMX30"/>
    <mergeCell ref="HMY30:HMZ30"/>
    <mergeCell ref="HMC30:HMD30"/>
    <mergeCell ref="HME30:HMF30"/>
    <mergeCell ref="HMG30:HMH30"/>
    <mergeCell ref="HMI30:HMJ30"/>
    <mergeCell ref="HMK30:HML30"/>
    <mergeCell ref="HMM30:HMN30"/>
    <mergeCell ref="HLQ30:HLR30"/>
    <mergeCell ref="HLS30:HLT30"/>
    <mergeCell ref="HLU30:HLV30"/>
    <mergeCell ref="HLW30:HLX30"/>
    <mergeCell ref="HLY30:HLZ30"/>
    <mergeCell ref="HMA30:HMB30"/>
    <mergeCell ref="HLE30:HLF30"/>
    <mergeCell ref="HLG30:HLH30"/>
    <mergeCell ref="HLI30:HLJ30"/>
    <mergeCell ref="HLK30:HLL30"/>
    <mergeCell ref="HLM30:HLN30"/>
    <mergeCell ref="HLO30:HLP30"/>
    <mergeCell ref="HQG30:HQH30"/>
    <mergeCell ref="HQI30:HQJ30"/>
    <mergeCell ref="HQK30:HQL30"/>
    <mergeCell ref="HQM30:HQN30"/>
    <mergeCell ref="HQO30:HQP30"/>
    <mergeCell ref="HQQ30:HQR30"/>
    <mergeCell ref="HPU30:HPV30"/>
    <mergeCell ref="HPW30:HPX30"/>
    <mergeCell ref="HPY30:HPZ30"/>
    <mergeCell ref="HQA30:HQB30"/>
    <mergeCell ref="HQC30:HQD30"/>
    <mergeCell ref="HQE30:HQF30"/>
    <mergeCell ref="HPI30:HPJ30"/>
    <mergeCell ref="HPK30:HPL30"/>
    <mergeCell ref="HPM30:HPN30"/>
    <mergeCell ref="HPO30:HPP30"/>
    <mergeCell ref="HPQ30:HPR30"/>
    <mergeCell ref="HPS30:HPT30"/>
    <mergeCell ref="HOW30:HOX30"/>
    <mergeCell ref="HOY30:HOZ30"/>
    <mergeCell ref="HPA30:HPB30"/>
    <mergeCell ref="HPC30:HPD30"/>
    <mergeCell ref="HPE30:HPF30"/>
    <mergeCell ref="HPG30:HPH30"/>
    <mergeCell ref="HOK30:HOL30"/>
    <mergeCell ref="HOM30:HON30"/>
    <mergeCell ref="HOO30:HOP30"/>
    <mergeCell ref="HOQ30:HOR30"/>
    <mergeCell ref="HOS30:HOT30"/>
    <mergeCell ref="HOU30:HOV30"/>
    <mergeCell ref="HNY30:HNZ30"/>
    <mergeCell ref="HOA30:HOB30"/>
    <mergeCell ref="HOC30:HOD30"/>
    <mergeCell ref="HOE30:HOF30"/>
    <mergeCell ref="HOG30:HOH30"/>
    <mergeCell ref="HOI30:HOJ30"/>
    <mergeCell ref="HTA30:HTB30"/>
    <mergeCell ref="HTC30:HTD30"/>
    <mergeCell ref="HTE30:HTF30"/>
    <mergeCell ref="HTG30:HTH30"/>
    <mergeCell ref="HTI30:HTJ30"/>
    <mergeCell ref="HTK30:HTL30"/>
    <mergeCell ref="HSO30:HSP30"/>
    <mergeCell ref="HSQ30:HSR30"/>
    <mergeCell ref="HSS30:HST30"/>
    <mergeCell ref="HSU30:HSV30"/>
    <mergeCell ref="HSW30:HSX30"/>
    <mergeCell ref="HSY30:HSZ30"/>
    <mergeCell ref="HSC30:HSD30"/>
    <mergeCell ref="HSE30:HSF30"/>
    <mergeCell ref="HSG30:HSH30"/>
    <mergeCell ref="HSI30:HSJ30"/>
    <mergeCell ref="HSK30:HSL30"/>
    <mergeCell ref="HSM30:HSN30"/>
    <mergeCell ref="HRQ30:HRR30"/>
    <mergeCell ref="HRS30:HRT30"/>
    <mergeCell ref="HRU30:HRV30"/>
    <mergeCell ref="HRW30:HRX30"/>
    <mergeCell ref="HRY30:HRZ30"/>
    <mergeCell ref="HSA30:HSB30"/>
    <mergeCell ref="HRE30:HRF30"/>
    <mergeCell ref="HRG30:HRH30"/>
    <mergeCell ref="HRI30:HRJ30"/>
    <mergeCell ref="HRK30:HRL30"/>
    <mergeCell ref="HRM30:HRN30"/>
    <mergeCell ref="HRO30:HRP30"/>
    <mergeCell ref="HQS30:HQT30"/>
    <mergeCell ref="HQU30:HQV30"/>
    <mergeCell ref="HQW30:HQX30"/>
    <mergeCell ref="HQY30:HQZ30"/>
    <mergeCell ref="HRA30:HRB30"/>
    <mergeCell ref="HRC30:HRD30"/>
    <mergeCell ref="HVU30:HVV30"/>
    <mergeCell ref="HVW30:HVX30"/>
    <mergeCell ref="HVY30:HVZ30"/>
    <mergeCell ref="HWA30:HWB30"/>
    <mergeCell ref="HWC30:HWD30"/>
    <mergeCell ref="HWE30:HWF30"/>
    <mergeCell ref="HVI30:HVJ30"/>
    <mergeCell ref="HVK30:HVL30"/>
    <mergeCell ref="HVM30:HVN30"/>
    <mergeCell ref="HVO30:HVP30"/>
    <mergeCell ref="HVQ30:HVR30"/>
    <mergeCell ref="HVS30:HVT30"/>
    <mergeCell ref="HUW30:HUX30"/>
    <mergeCell ref="HUY30:HUZ30"/>
    <mergeCell ref="HVA30:HVB30"/>
    <mergeCell ref="HVC30:HVD30"/>
    <mergeCell ref="HVE30:HVF30"/>
    <mergeCell ref="HVG30:HVH30"/>
    <mergeCell ref="HUK30:HUL30"/>
    <mergeCell ref="HUM30:HUN30"/>
    <mergeCell ref="HUO30:HUP30"/>
    <mergeCell ref="HUQ30:HUR30"/>
    <mergeCell ref="HUS30:HUT30"/>
    <mergeCell ref="HUU30:HUV30"/>
    <mergeCell ref="HTY30:HTZ30"/>
    <mergeCell ref="HUA30:HUB30"/>
    <mergeCell ref="HUC30:HUD30"/>
    <mergeCell ref="HUE30:HUF30"/>
    <mergeCell ref="HUG30:HUH30"/>
    <mergeCell ref="HUI30:HUJ30"/>
    <mergeCell ref="HTM30:HTN30"/>
    <mergeCell ref="HTO30:HTP30"/>
    <mergeCell ref="HTQ30:HTR30"/>
    <mergeCell ref="HTS30:HTT30"/>
    <mergeCell ref="HTU30:HTV30"/>
    <mergeCell ref="HTW30:HTX30"/>
    <mergeCell ref="HYO30:HYP30"/>
    <mergeCell ref="HYQ30:HYR30"/>
    <mergeCell ref="HYS30:HYT30"/>
    <mergeCell ref="HYU30:HYV30"/>
    <mergeCell ref="HYW30:HYX30"/>
    <mergeCell ref="HYY30:HYZ30"/>
    <mergeCell ref="HYC30:HYD30"/>
    <mergeCell ref="HYE30:HYF30"/>
    <mergeCell ref="HYG30:HYH30"/>
    <mergeCell ref="HYI30:HYJ30"/>
    <mergeCell ref="HYK30:HYL30"/>
    <mergeCell ref="HYM30:HYN30"/>
    <mergeCell ref="HXQ30:HXR30"/>
    <mergeCell ref="HXS30:HXT30"/>
    <mergeCell ref="HXU30:HXV30"/>
    <mergeCell ref="HXW30:HXX30"/>
    <mergeCell ref="HXY30:HXZ30"/>
    <mergeCell ref="HYA30:HYB30"/>
    <mergeCell ref="HXE30:HXF30"/>
    <mergeCell ref="HXG30:HXH30"/>
    <mergeCell ref="HXI30:HXJ30"/>
    <mergeCell ref="HXK30:HXL30"/>
    <mergeCell ref="HXM30:HXN30"/>
    <mergeCell ref="HXO30:HXP30"/>
    <mergeCell ref="HWS30:HWT30"/>
    <mergeCell ref="HWU30:HWV30"/>
    <mergeCell ref="HWW30:HWX30"/>
    <mergeCell ref="HWY30:HWZ30"/>
    <mergeCell ref="HXA30:HXB30"/>
    <mergeCell ref="HXC30:HXD30"/>
    <mergeCell ref="HWG30:HWH30"/>
    <mergeCell ref="HWI30:HWJ30"/>
    <mergeCell ref="HWK30:HWL30"/>
    <mergeCell ref="HWM30:HWN30"/>
    <mergeCell ref="HWO30:HWP30"/>
    <mergeCell ref="HWQ30:HWR30"/>
    <mergeCell ref="IBI30:IBJ30"/>
    <mergeCell ref="IBK30:IBL30"/>
    <mergeCell ref="IBM30:IBN30"/>
    <mergeCell ref="IBO30:IBP30"/>
    <mergeCell ref="IBQ30:IBR30"/>
    <mergeCell ref="IBS30:IBT30"/>
    <mergeCell ref="IAW30:IAX30"/>
    <mergeCell ref="IAY30:IAZ30"/>
    <mergeCell ref="IBA30:IBB30"/>
    <mergeCell ref="IBC30:IBD30"/>
    <mergeCell ref="IBE30:IBF30"/>
    <mergeCell ref="IBG30:IBH30"/>
    <mergeCell ref="IAK30:IAL30"/>
    <mergeCell ref="IAM30:IAN30"/>
    <mergeCell ref="IAO30:IAP30"/>
    <mergeCell ref="IAQ30:IAR30"/>
    <mergeCell ref="IAS30:IAT30"/>
    <mergeCell ref="IAU30:IAV30"/>
    <mergeCell ref="HZY30:HZZ30"/>
    <mergeCell ref="IAA30:IAB30"/>
    <mergeCell ref="IAC30:IAD30"/>
    <mergeCell ref="IAE30:IAF30"/>
    <mergeCell ref="IAG30:IAH30"/>
    <mergeCell ref="IAI30:IAJ30"/>
    <mergeCell ref="HZM30:HZN30"/>
    <mergeCell ref="HZO30:HZP30"/>
    <mergeCell ref="HZQ30:HZR30"/>
    <mergeCell ref="HZS30:HZT30"/>
    <mergeCell ref="HZU30:HZV30"/>
    <mergeCell ref="HZW30:HZX30"/>
    <mergeCell ref="HZA30:HZB30"/>
    <mergeCell ref="HZC30:HZD30"/>
    <mergeCell ref="HZE30:HZF30"/>
    <mergeCell ref="HZG30:HZH30"/>
    <mergeCell ref="HZI30:HZJ30"/>
    <mergeCell ref="HZK30:HZL30"/>
    <mergeCell ref="IEC30:IED30"/>
    <mergeCell ref="IEE30:IEF30"/>
    <mergeCell ref="IEG30:IEH30"/>
    <mergeCell ref="IEI30:IEJ30"/>
    <mergeCell ref="IEK30:IEL30"/>
    <mergeCell ref="IEM30:IEN30"/>
    <mergeCell ref="IDQ30:IDR30"/>
    <mergeCell ref="IDS30:IDT30"/>
    <mergeCell ref="IDU30:IDV30"/>
    <mergeCell ref="IDW30:IDX30"/>
    <mergeCell ref="IDY30:IDZ30"/>
    <mergeCell ref="IEA30:IEB30"/>
    <mergeCell ref="IDE30:IDF30"/>
    <mergeCell ref="IDG30:IDH30"/>
    <mergeCell ref="IDI30:IDJ30"/>
    <mergeCell ref="IDK30:IDL30"/>
    <mergeCell ref="IDM30:IDN30"/>
    <mergeCell ref="IDO30:IDP30"/>
    <mergeCell ref="ICS30:ICT30"/>
    <mergeCell ref="ICU30:ICV30"/>
    <mergeCell ref="ICW30:ICX30"/>
    <mergeCell ref="ICY30:ICZ30"/>
    <mergeCell ref="IDA30:IDB30"/>
    <mergeCell ref="IDC30:IDD30"/>
    <mergeCell ref="ICG30:ICH30"/>
    <mergeCell ref="ICI30:ICJ30"/>
    <mergeCell ref="ICK30:ICL30"/>
    <mergeCell ref="ICM30:ICN30"/>
    <mergeCell ref="ICO30:ICP30"/>
    <mergeCell ref="ICQ30:ICR30"/>
    <mergeCell ref="IBU30:IBV30"/>
    <mergeCell ref="IBW30:IBX30"/>
    <mergeCell ref="IBY30:IBZ30"/>
    <mergeCell ref="ICA30:ICB30"/>
    <mergeCell ref="ICC30:ICD30"/>
    <mergeCell ref="ICE30:ICF30"/>
    <mergeCell ref="IGW30:IGX30"/>
    <mergeCell ref="IGY30:IGZ30"/>
    <mergeCell ref="IHA30:IHB30"/>
    <mergeCell ref="IHC30:IHD30"/>
    <mergeCell ref="IHE30:IHF30"/>
    <mergeCell ref="IHG30:IHH30"/>
    <mergeCell ref="IGK30:IGL30"/>
    <mergeCell ref="IGM30:IGN30"/>
    <mergeCell ref="IGO30:IGP30"/>
    <mergeCell ref="IGQ30:IGR30"/>
    <mergeCell ref="IGS30:IGT30"/>
    <mergeCell ref="IGU30:IGV30"/>
    <mergeCell ref="IFY30:IFZ30"/>
    <mergeCell ref="IGA30:IGB30"/>
    <mergeCell ref="IGC30:IGD30"/>
    <mergeCell ref="IGE30:IGF30"/>
    <mergeCell ref="IGG30:IGH30"/>
    <mergeCell ref="IGI30:IGJ30"/>
    <mergeCell ref="IFM30:IFN30"/>
    <mergeCell ref="IFO30:IFP30"/>
    <mergeCell ref="IFQ30:IFR30"/>
    <mergeCell ref="IFS30:IFT30"/>
    <mergeCell ref="IFU30:IFV30"/>
    <mergeCell ref="IFW30:IFX30"/>
    <mergeCell ref="IFA30:IFB30"/>
    <mergeCell ref="IFC30:IFD30"/>
    <mergeCell ref="IFE30:IFF30"/>
    <mergeCell ref="IFG30:IFH30"/>
    <mergeCell ref="IFI30:IFJ30"/>
    <mergeCell ref="IFK30:IFL30"/>
    <mergeCell ref="IEO30:IEP30"/>
    <mergeCell ref="IEQ30:IER30"/>
    <mergeCell ref="IES30:IET30"/>
    <mergeCell ref="IEU30:IEV30"/>
    <mergeCell ref="IEW30:IEX30"/>
    <mergeCell ref="IEY30:IEZ30"/>
    <mergeCell ref="IJQ30:IJR30"/>
    <mergeCell ref="IJS30:IJT30"/>
    <mergeCell ref="IJU30:IJV30"/>
    <mergeCell ref="IJW30:IJX30"/>
    <mergeCell ref="IJY30:IJZ30"/>
    <mergeCell ref="IKA30:IKB30"/>
    <mergeCell ref="IJE30:IJF30"/>
    <mergeCell ref="IJG30:IJH30"/>
    <mergeCell ref="IJI30:IJJ30"/>
    <mergeCell ref="IJK30:IJL30"/>
    <mergeCell ref="IJM30:IJN30"/>
    <mergeCell ref="IJO30:IJP30"/>
    <mergeCell ref="IIS30:IIT30"/>
    <mergeCell ref="IIU30:IIV30"/>
    <mergeCell ref="IIW30:IIX30"/>
    <mergeCell ref="IIY30:IIZ30"/>
    <mergeCell ref="IJA30:IJB30"/>
    <mergeCell ref="IJC30:IJD30"/>
    <mergeCell ref="IIG30:IIH30"/>
    <mergeCell ref="III30:IIJ30"/>
    <mergeCell ref="IIK30:IIL30"/>
    <mergeCell ref="IIM30:IIN30"/>
    <mergeCell ref="IIO30:IIP30"/>
    <mergeCell ref="IIQ30:IIR30"/>
    <mergeCell ref="IHU30:IHV30"/>
    <mergeCell ref="IHW30:IHX30"/>
    <mergeCell ref="IHY30:IHZ30"/>
    <mergeCell ref="IIA30:IIB30"/>
    <mergeCell ref="IIC30:IID30"/>
    <mergeCell ref="IIE30:IIF30"/>
    <mergeCell ref="IHI30:IHJ30"/>
    <mergeCell ref="IHK30:IHL30"/>
    <mergeCell ref="IHM30:IHN30"/>
    <mergeCell ref="IHO30:IHP30"/>
    <mergeCell ref="IHQ30:IHR30"/>
    <mergeCell ref="IHS30:IHT30"/>
    <mergeCell ref="IMK30:IML30"/>
    <mergeCell ref="IMM30:IMN30"/>
    <mergeCell ref="IMO30:IMP30"/>
    <mergeCell ref="IMQ30:IMR30"/>
    <mergeCell ref="IMS30:IMT30"/>
    <mergeCell ref="IMU30:IMV30"/>
    <mergeCell ref="ILY30:ILZ30"/>
    <mergeCell ref="IMA30:IMB30"/>
    <mergeCell ref="IMC30:IMD30"/>
    <mergeCell ref="IME30:IMF30"/>
    <mergeCell ref="IMG30:IMH30"/>
    <mergeCell ref="IMI30:IMJ30"/>
    <mergeCell ref="ILM30:ILN30"/>
    <mergeCell ref="ILO30:ILP30"/>
    <mergeCell ref="ILQ30:ILR30"/>
    <mergeCell ref="ILS30:ILT30"/>
    <mergeCell ref="ILU30:ILV30"/>
    <mergeCell ref="ILW30:ILX30"/>
    <mergeCell ref="ILA30:ILB30"/>
    <mergeCell ref="ILC30:ILD30"/>
    <mergeCell ref="ILE30:ILF30"/>
    <mergeCell ref="ILG30:ILH30"/>
    <mergeCell ref="ILI30:ILJ30"/>
    <mergeCell ref="ILK30:ILL30"/>
    <mergeCell ref="IKO30:IKP30"/>
    <mergeCell ref="IKQ30:IKR30"/>
    <mergeCell ref="IKS30:IKT30"/>
    <mergeCell ref="IKU30:IKV30"/>
    <mergeCell ref="IKW30:IKX30"/>
    <mergeCell ref="IKY30:IKZ30"/>
    <mergeCell ref="IKC30:IKD30"/>
    <mergeCell ref="IKE30:IKF30"/>
    <mergeCell ref="IKG30:IKH30"/>
    <mergeCell ref="IKI30:IKJ30"/>
    <mergeCell ref="IKK30:IKL30"/>
    <mergeCell ref="IKM30:IKN30"/>
    <mergeCell ref="IPE30:IPF30"/>
    <mergeCell ref="IPG30:IPH30"/>
    <mergeCell ref="IPI30:IPJ30"/>
    <mergeCell ref="IPK30:IPL30"/>
    <mergeCell ref="IPM30:IPN30"/>
    <mergeCell ref="IPO30:IPP30"/>
    <mergeCell ref="IOS30:IOT30"/>
    <mergeCell ref="IOU30:IOV30"/>
    <mergeCell ref="IOW30:IOX30"/>
    <mergeCell ref="IOY30:IOZ30"/>
    <mergeCell ref="IPA30:IPB30"/>
    <mergeCell ref="IPC30:IPD30"/>
    <mergeCell ref="IOG30:IOH30"/>
    <mergeCell ref="IOI30:IOJ30"/>
    <mergeCell ref="IOK30:IOL30"/>
    <mergeCell ref="IOM30:ION30"/>
    <mergeCell ref="IOO30:IOP30"/>
    <mergeCell ref="IOQ30:IOR30"/>
    <mergeCell ref="INU30:INV30"/>
    <mergeCell ref="INW30:INX30"/>
    <mergeCell ref="INY30:INZ30"/>
    <mergeCell ref="IOA30:IOB30"/>
    <mergeCell ref="IOC30:IOD30"/>
    <mergeCell ref="IOE30:IOF30"/>
    <mergeCell ref="INI30:INJ30"/>
    <mergeCell ref="INK30:INL30"/>
    <mergeCell ref="INM30:INN30"/>
    <mergeCell ref="INO30:INP30"/>
    <mergeCell ref="INQ30:INR30"/>
    <mergeCell ref="INS30:INT30"/>
    <mergeCell ref="IMW30:IMX30"/>
    <mergeCell ref="IMY30:IMZ30"/>
    <mergeCell ref="INA30:INB30"/>
    <mergeCell ref="INC30:IND30"/>
    <mergeCell ref="INE30:INF30"/>
    <mergeCell ref="ING30:INH30"/>
    <mergeCell ref="IRY30:IRZ30"/>
    <mergeCell ref="ISA30:ISB30"/>
    <mergeCell ref="ISC30:ISD30"/>
    <mergeCell ref="ISE30:ISF30"/>
    <mergeCell ref="ISG30:ISH30"/>
    <mergeCell ref="ISI30:ISJ30"/>
    <mergeCell ref="IRM30:IRN30"/>
    <mergeCell ref="IRO30:IRP30"/>
    <mergeCell ref="IRQ30:IRR30"/>
    <mergeCell ref="IRS30:IRT30"/>
    <mergeCell ref="IRU30:IRV30"/>
    <mergeCell ref="IRW30:IRX30"/>
    <mergeCell ref="IRA30:IRB30"/>
    <mergeCell ref="IRC30:IRD30"/>
    <mergeCell ref="IRE30:IRF30"/>
    <mergeCell ref="IRG30:IRH30"/>
    <mergeCell ref="IRI30:IRJ30"/>
    <mergeCell ref="IRK30:IRL30"/>
    <mergeCell ref="IQO30:IQP30"/>
    <mergeCell ref="IQQ30:IQR30"/>
    <mergeCell ref="IQS30:IQT30"/>
    <mergeCell ref="IQU30:IQV30"/>
    <mergeCell ref="IQW30:IQX30"/>
    <mergeCell ref="IQY30:IQZ30"/>
    <mergeCell ref="IQC30:IQD30"/>
    <mergeCell ref="IQE30:IQF30"/>
    <mergeCell ref="IQG30:IQH30"/>
    <mergeCell ref="IQI30:IQJ30"/>
    <mergeCell ref="IQK30:IQL30"/>
    <mergeCell ref="IQM30:IQN30"/>
    <mergeCell ref="IPQ30:IPR30"/>
    <mergeCell ref="IPS30:IPT30"/>
    <mergeCell ref="IPU30:IPV30"/>
    <mergeCell ref="IPW30:IPX30"/>
    <mergeCell ref="IPY30:IPZ30"/>
    <mergeCell ref="IQA30:IQB30"/>
    <mergeCell ref="IUS30:IUT30"/>
    <mergeCell ref="IUU30:IUV30"/>
    <mergeCell ref="IUW30:IUX30"/>
    <mergeCell ref="IUY30:IUZ30"/>
    <mergeCell ref="IVA30:IVB30"/>
    <mergeCell ref="IVC30:IVD30"/>
    <mergeCell ref="IUG30:IUH30"/>
    <mergeCell ref="IUI30:IUJ30"/>
    <mergeCell ref="IUK30:IUL30"/>
    <mergeCell ref="IUM30:IUN30"/>
    <mergeCell ref="IUO30:IUP30"/>
    <mergeCell ref="IUQ30:IUR30"/>
    <mergeCell ref="ITU30:ITV30"/>
    <mergeCell ref="ITW30:ITX30"/>
    <mergeCell ref="ITY30:ITZ30"/>
    <mergeCell ref="IUA30:IUB30"/>
    <mergeCell ref="IUC30:IUD30"/>
    <mergeCell ref="IUE30:IUF30"/>
    <mergeCell ref="ITI30:ITJ30"/>
    <mergeCell ref="ITK30:ITL30"/>
    <mergeCell ref="ITM30:ITN30"/>
    <mergeCell ref="ITO30:ITP30"/>
    <mergeCell ref="ITQ30:ITR30"/>
    <mergeCell ref="ITS30:ITT30"/>
    <mergeCell ref="ISW30:ISX30"/>
    <mergeCell ref="ISY30:ISZ30"/>
    <mergeCell ref="ITA30:ITB30"/>
    <mergeCell ref="ITC30:ITD30"/>
    <mergeCell ref="ITE30:ITF30"/>
    <mergeCell ref="ITG30:ITH30"/>
    <mergeCell ref="ISK30:ISL30"/>
    <mergeCell ref="ISM30:ISN30"/>
    <mergeCell ref="ISO30:ISP30"/>
    <mergeCell ref="ISQ30:ISR30"/>
    <mergeCell ref="ISS30:IST30"/>
    <mergeCell ref="ISU30:ISV30"/>
    <mergeCell ref="IXM30:IXN30"/>
    <mergeCell ref="IXO30:IXP30"/>
    <mergeCell ref="IXQ30:IXR30"/>
    <mergeCell ref="IXS30:IXT30"/>
    <mergeCell ref="IXU30:IXV30"/>
    <mergeCell ref="IXW30:IXX30"/>
    <mergeCell ref="IXA30:IXB30"/>
    <mergeCell ref="IXC30:IXD30"/>
    <mergeCell ref="IXE30:IXF30"/>
    <mergeCell ref="IXG30:IXH30"/>
    <mergeCell ref="IXI30:IXJ30"/>
    <mergeCell ref="IXK30:IXL30"/>
    <mergeCell ref="IWO30:IWP30"/>
    <mergeCell ref="IWQ30:IWR30"/>
    <mergeCell ref="IWS30:IWT30"/>
    <mergeCell ref="IWU30:IWV30"/>
    <mergeCell ref="IWW30:IWX30"/>
    <mergeCell ref="IWY30:IWZ30"/>
    <mergeCell ref="IWC30:IWD30"/>
    <mergeCell ref="IWE30:IWF30"/>
    <mergeCell ref="IWG30:IWH30"/>
    <mergeCell ref="IWI30:IWJ30"/>
    <mergeCell ref="IWK30:IWL30"/>
    <mergeCell ref="IWM30:IWN30"/>
    <mergeCell ref="IVQ30:IVR30"/>
    <mergeCell ref="IVS30:IVT30"/>
    <mergeCell ref="IVU30:IVV30"/>
    <mergeCell ref="IVW30:IVX30"/>
    <mergeCell ref="IVY30:IVZ30"/>
    <mergeCell ref="IWA30:IWB30"/>
    <mergeCell ref="IVE30:IVF30"/>
    <mergeCell ref="IVG30:IVH30"/>
    <mergeCell ref="IVI30:IVJ30"/>
    <mergeCell ref="IVK30:IVL30"/>
    <mergeCell ref="IVM30:IVN30"/>
    <mergeCell ref="IVO30:IVP30"/>
    <mergeCell ref="JAG30:JAH30"/>
    <mergeCell ref="JAI30:JAJ30"/>
    <mergeCell ref="JAK30:JAL30"/>
    <mergeCell ref="JAM30:JAN30"/>
    <mergeCell ref="JAO30:JAP30"/>
    <mergeCell ref="JAQ30:JAR30"/>
    <mergeCell ref="IZU30:IZV30"/>
    <mergeCell ref="IZW30:IZX30"/>
    <mergeCell ref="IZY30:IZZ30"/>
    <mergeCell ref="JAA30:JAB30"/>
    <mergeCell ref="JAC30:JAD30"/>
    <mergeCell ref="JAE30:JAF30"/>
    <mergeCell ref="IZI30:IZJ30"/>
    <mergeCell ref="IZK30:IZL30"/>
    <mergeCell ref="IZM30:IZN30"/>
    <mergeCell ref="IZO30:IZP30"/>
    <mergeCell ref="IZQ30:IZR30"/>
    <mergeCell ref="IZS30:IZT30"/>
    <mergeCell ref="IYW30:IYX30"/>
    <mergeCell ref="IYY30:IYZ30"/>
    <mergeCell ref="IZA30:IZB30"/>
    <mergeCell ref="IZC30:IZD30"/>
    <mergeCell ref="IZE30:IZF30"/>
    <mergeCell ref="IZG30:IZH30"/>
    <mergeCell ref="IYK30:IYL30"/>
    <mergeCell ref="IYM30:IYN30"/>
    <mergeCell ref="IYO30:IYP30"/>
    <mergeCell ref="IYQ30:IYR30"/>
    <mergeCell ref="IYS30:IYT30"/>
    <mergeCell ref="IYU30:IYV30"/>
    <mergeCell ref="IXY30:IXZ30"/>
    <mergeCell ref="IYA30:IYB30"/>
    <mergeCell ref="IYC30:IYD30"/>
    <mergeCell ref="IYE30:IYF30"/>
    <mergeCell ref="IYG30:IYH30"/>
    <mergeCell ref="IYI30:IYJ30"/>
    <mergeCell ref="JDA30:JDB30"/>
    <mergeCell ref="JDC30:JDD30"/>
    <mergeCell ref="JDE30:JDF30"/>
    <mergeCell ref="JDG30:JDH30"/>
    <mergeCell ref="JDI30:JDJ30"/>
    <mergeCell ref="JDK30:JDL30"/>
    <mergeCell ref="JCO30:JCP30"/>
    <mergeCell ref="JCQ30:JCR30"/>
    <mergeCell ref="JCS30:JCT30"/>
    <mergeCell ref="JCU30:JCV30"/>
    <mergeCell ref="JCW30:JCX30"/>
    <mergeCell ref="JCY30:JCZ30"/>
    <mergeCell ref="JCC30:JCD30"/>
    <mergeCell ref="JCE30:JCF30"/>
    <mergeCell ref="JCG30:JCH30"/>
    <mergeCell ref="JCI30:JCJ30"/>
    <mergeCell ref="JCK30:JCL30"/>
    <mergeCell ref="JCM30:JCN30"/>
    <mergeCell ref="JBQ30:JBR30"/>
    <mergeCell ref="JBS30:JBT30"/>
    <mergeCell ref="JBU30:JBV30"/>
    <mergeCell ref="JBW30:JBX30"/>
    <mergeCell ref="JBY30:JBZ30"/>
    <mergeCell ref="JCA30:JCB30"/>
    <mergeCell ref="JBE30:JBF30"/>
    <mergeCell ref="JBG30:JBH30"/>
    <mergeCell ref="JBI30:JBJ30"/>
    <mergeCell ref="JBK30:JBL30"/>
    <mergeCell ref="JBM30:JBN30"/>
    <mergeCell ref="JBO30:JBP30"/>
    <mergeCell ref="JAS30:JAT30"/>
    <mergeCell ref="JAU30:JAV30"/>
    <mergeCell ref="JAW30:JAX30"/>
    <mergeCell ref="JAY30:JAZ30"/>
    <mergeCell ref="JBA30:JBB30"/>
    <mergeCell ref="JBC30:JBD30"/>
    <mergeCell ref="JFU30:JFV30"/>
    <mergeCell ref="JFW30:JFX30"/>
    <mergeCell ref="JFY30:JFZ30"/>
    <mergeCell ref="JGA30:JGB30"/>
    <mergeCell ref="JGC30:JGD30"/>
    <mergeCell ref="JGE30:JGF30"/>
    <mergeCell ref="JFI30:JFJ30"/>
    <mergeCell ref="JFK30:JFL30"/>
    <mergeCell ref="JFM30:JFN30"/>
    <mergeCell ref="JFO30:JFP30"/>
    <mergeCell ref="JFQ30:JFR30"/>
    <mergeCell ref="JFS30:JFT30"/>
    <mergeCell ref="JEW30:JEX30"/>
    <mergeCell ref="JEY30:JEZ30"/>
    <mergeCell ref="JFA30:JFB30"/>
    <mergeCell ref="JFC30:JFD30"/>
    <mergeCell ref="JFE30:JFF30"/>
    <mergeCell ref="JFG30:JFH30"/>
    <mergeCell ref="JEK30:JEL30"/>
    <mergeCell ref="JEM30:JEN30"/>
    <mergeCell ref="JEO30:JEP30"/>
    <mergeCell ref="JEQ30:JER30"/>
    <mergeCell ref="JES30:JET30"/>
    <mergeCell ref="JEU30:JEV30"/>
    <mergeCell ref="JDY30:JDZ30"/>
    <mergeCell ref="JEA30:JEB30"/>
    <mergeCell ref="JEC30:JED30"/>
    <mergeCell ref="JEE30:JEF30"/>
    <mergeCell ref="JEG30:JEH30"/>
    <mergeCell ref="JEI30:JEJ30"/>
    <mergeCell ref="JDM30:JDN30"/>
    <mergeCell ref="JDO30:JDP30"/>
    <mergeCell ref="JDQ30:JDR30"/>
    <mergeCell ref="JDS30:JDT30"/>
    <mergeCell ref="JDU30:JDV30"/>
    <mergeCell ref="JDW30:JDX30"/>
    <mergeCell ref="JIO30:JIP30"/>
    <mergeCell ref="JIQ30:JIR30"/>
    <mergeCell ref="JIS30:JIT30"/>
    <mergeCell ref="JIU30:JIV30"/>
    <mergeCell ref="JIW30:JIX30"/>
    <mergeCell ref="JIY30:JIZ30"/>
    <mergeCell ref="JIC30:JID30"/>
    <mergeCell ref="JIE30:JIF30"/>
    <mergeCell ref="JIG30:JIH30"/>
    <mergeCell ref="JII30:JIJ30"/>
    <mergeCell ref="JIK30:JIL30"/>
    <mergeCell ref="JIM30:JIN30"/>
    <mergeCell ref="JHQ30:JHR30"/>
    <mergeCell ref="JHS30:JHT30"/>
    <mergeCell ref="JHU30:JHV30"/>
    <mergeCell ref="JHW30:JHX30"/>
    <mergeCell ref="JHY30:JHZ30"/>
    <mergeCell ref="JIA30:JIB30"/>
    <mergeCell ref="JHE30:JHF30"/>
    <mergeCell ref="JHG30:JHH30"/>
    <mergeCell ref="JHI30:JHJ30"/>
    <mergeCell ref="JHK30:JHL30"/>
    <mergeCell ref="JHM30:JHN30"/>
    <mergeCell ref="JHO30:JHP30"/>
    <mergeCell ref="JGS30:JGT30"/>
    <mergeCell ref="JGU30:JGV30"/>
    <mergeCell ref="JGW30:JGX30"/>
    <mergeCell ref="JGY30:JGZ30"/>
    <mergeCell ref="JHA30:JHB30"/>
    <mergeCell ref="JHC30:JHD30"/>
    <mergeCell ref="JGG30:JGH30"/>
    <mergeCell ref="JGI30:JGJ30"/>
    <mergeCell ref="JGK30:JGL30"/>
    <mergeCell ref="JGM30:JGN30"/>
    <mergeCell ref="JGO30:JGP30"/>
    <mergeCell ref="JGQ30:JGR30"/>
    <mergeCell ref="JLI30:JLJ30"/>
    <mergeCell ref="JLK30:JLL30"/>
    <mergeCell ref="JLM30:JLN30"/>
    <mergeCell ref="JLO30:JLP30"/>
    <mergeCell ref="JLQ30:JLR30"/>
    <mergeCell ref="JLS30:JLT30"/>
    <mergeCell ref="JKW30:JKX30"/>
    <mergeCell ref="JKY30:JKZ30"/>
    <mergeCell ref="JLA30:JLB30"/>
    <mergeCell ref="JLC30:JLD30"/>
    <mergeCell ref="JLE30:JLF30"/>
    <mergeCell ref="JLG30:JLH30"/>
    <mergeCell ref="JKK30:JKL30"/>
    <mergeCell ref="JKM30:JKN30"/>
    <mergeCell ref="JKO30:JKP30"/>
    <mergeCell ref="JKQ30:JKR30"/>
    <mergeCell ref="JKS30:JKT30"/>
    <mergeCell ref="JKU30:JKV30"/>
    <mergeCell ref="JJY30:JJZ30"/>
    <mergeCell ref="JKA30:JKB30"/>
    <mergeCell ref="JKC30:JKD30"/>
    <mergeCell ref="JKE30:JKF30"/>
    <mergeCell ref="JKG30:JKH30"/>
    <mergeCell ref="JKI30:JKJ30"/>
    <mergeCell ref="JJM30:JJN30"/>
    <mergeCell ref="JJO30:JJP30"/>
    <mergeCell ref="JJQ30:JJR30"/>
    <mergeCell ref="JJS30:JJT30"/>
    <mergeCell ref="JJU30:JJV30"/>
    <mergeCell ref="JJW30:JJX30"/>
    <mergeCell ref="JJA30:JJB30"/>
    <mergeCell ref="JJC30:JJD30"/>
    <mergeCell ref="JJE30:JJF30"/>
    <mergeCell ref="JJG30:JJH30"/>
    <mergeCell ref="JJI30:JJJ30"/>
    <mergeCell ref="JJK30:JJL30"/>
    <mergeCell ref="JOC30:JOD30"/>
    <mergeCell ref="JOE30:JOF30"/>
    <mergeCell ref="JOG30:JOH30"/>
    <mergeCell ref="JOI30:JOJ30"/>
    <mergeCell ref="JOK30:JOL30"/>
    <mergeCell ref="JOM30:JON30"/>
    <mergeCell ref="JNQ30:JNR30"/>
    <mergeCell ref="JNS30:JNT30"/>
    <mergeCell ref="JNU30:JNV30"/>
    <mergeCell ref="JNW30:JNX30"/>
    <mergeCell ref="JNY30:JNZ30"/>
    <mergeCell ref="JOA30:JOB30"/>
    <mergeCell ref="JNE30:JNF30"/>
    <mergeCell ref="JNG30:JNH30"/>
    <mergeCell ref="JNI30:JNJ30"/>
    <mergeCell ref="JNK30:JNL30"/>
    <mergeCell ref="JNM30:JNN30"/>
    <mergeCell ref="JNO30:JNP30"/>
    <mergeCell ref="JMS30:JMT30"/>
    <mergeCell ref="JMU30:JMV30"/>
    <mergeCell ref="JMW30:JMX30"/>
    <mergeCell ref="JMY30:JMZ30"/>
    <mergeCell ref="JNA30:JNB30"/>
    <mergeCell ref="JNC30:JND30"/>
    <mergeCell ref="JMG30:JMH30"/>
    <mergeCell ref="JMI30:JMJ30"/>
    <mergeCell ref="JMK30:JML30"/>
    <mergeCell ref="JMM30:JMN30"/>
    <mergeCell ref="JMO30:JMP30"/>
    <mergeCell ref="JMQ30:JMR30"/>
    <mergeCell ref="JLU30:JLV30"/>
    <mergeCell ref="JLW30:JLX30"/>
    <mergeCell ref="JLY30:JLZ30"/>
    <mergeCell ref="JMA30:JMB30"/>
    <mergeCell ref="JMC30:JMD30"/>
    <mergeCell ref="JME30:JMF30"/>
    <mergeCell ref="JQW30:JQX30"/>
    <mergeCell ref="JQY30:JQZ30"/>
    <mergeCell ref="JRA30:JRB30"/>
    <mergeCell ref="JRC30:JRD30"/>
    <mergeCell ref="JRE30:JRF30"/>
    <mergeCell ref="JRG30:JRH30"/>
    <mergeCell ref="JQK30:JQL30"/>
    <mergeCell ref="JQM30:JQN30"/>
    <mergeCell ref="JQO30:JQP30"/>
    <mergeCell ref="JQQ30:JQR30"/>
    <mergeCell ref="JQS30:JQT30"/>
    <mergeCell ref="JQU30:JQV30"/>
    <mergeCell ref="JPY30:JPZ30"/>
    <mergeCell ref="JQA30:JQB30"/>
    <mergeCell ref="JQC30:JQD30"/>
    <mergeCell ref="JQE30:JQF30"/>
    <mergeCell ref="JQG30:JQH30"/>
    <mergeCell ref="JQI30:JQJ30"/>
    <mergeCell ref="JPM30:JPN30"/>
    <mergeCell ref="JPO30:JPP30"/>
    <mergeCell ref="JPQ30:JPR30"/>
    <mergeCell ref="JPS30:JPT30"/>
    <mergeCell ref="JPU30:JPV30"/>
    <mergeCell ref="JPW30:JPX30"/>
    <mergeCell ref="JPA30:JPB30"/>
    <mergeCell ref="JPC30:JPD30"/>
    <mergeCell ref="JPE30:JPF30"/>
    <mergeCell ref="JPG30:JPH30"/>
    <mergeCell ref="JPI30:JPJ30"/>
    <mergeCell ref="JPK30:JPL30"/>
    <mergeCell ref="JOO30:JOP30"/>
    <mergeCell ref="JOQ30:JOR30"/>
    <mergeCell ref="JOS30:JOT30"/>
    <mergeCell ref="JOU30:JOV30"/>
    <mergeCell ref="JOW30:JOX30"/>
    <mergeCell ref="JOY30:JOZ30"/>
    <mergeCell ref="JTQ30:JTR30"/>
    <mergeCell ref="JTS30:JTT30"/>
    <mergeCell ref="JTU30:JTV30"/>
    <mergeCell ref="JTW30:JTX30"/>
    <mergeCell ref="JTY30:JTZ30"/>
    <mergeCell ref="JUA30:JUB30"/>
    <mergeCell ref="JTE30:JTF30"/>
    <mergeCell ref="JTG30:JTH30"/>
    <mergeCell ref="JTI30:JTJ30"/>
    <mergeCell ref="JTK30:JTL30"/>
    <mergeCell ref="JTM30:JTN30"/>
    <mergeCell ref="JTO30:JTP30"/>
    <mergeCell ref="JSS30:JST30"/>
    <mergeCell ref="JSU30:JSV30"/>
    <mergeCell ref="JSW30:JSX30"/>
    <mergeCell ref="JSY30:JSZ30"/>
    <mergeCell ref="JTA30:JTB30"/>
    <mergeCell ref="JTC30:JTD30"/>
    <mergeCell ref="JSG30:JSH30"/>
    <mergeCell ref="JSI30:JSJ30"/>
    <mergeCell ref="JSK30:JSL30"/>
    <mergeCell ref="JSM30:JSN30"/>
    <mergeCell ref="JSO30:JSP30"/>
    <mergeCell ref="JSQ30:JSR30"/>
    <mergeCell ref="JRU30:JRV30"/>
    <mergeCell ref="JRW30:JRX30"/>
    <mergeCell ref="JRY30:JRZ30"/>
    <mergeCell ref="JSA30:JSB30"/>
    <mergeCell ref="JSC30:JSD30"/>
    <mergeCell ref="JSE30:JSF30"/>
    <mergeCell ref="JRI30:JRJ30"/>
    <mergeCell ref="JRK30:JRL30"/>
    <mergeCell ref="JRM30:JRN30"/>
    <mergeCell ref="JRO30:JRP30"/>
    <mergeCell ref="JRQ30:JRR30"/>
    <mergeCell ref="JRS30:JRT30"/>
    <mergeCell ref="JWK30:JWL30"/>
    <mergeCell ref="JWM30:JWN30"/>
    <mergeCell ref="JWO30:JWP30"/>
    <mergeCell ref="JWQ30:JWR30"/>
    <mergeCell ref="JWS30:JWT30"/>
    <mergeCell ref="JWU30:JWV30"/>
    <mergeCell ref="JVY30:JVZ30"/>
    <mergeCell ref="JWA30:JWB30"/>
    <mergeCell ref="JWC30:JWD30"/>
    <mergeCell ref="JWE30:JWF30"/>
    <mergeCell ref="JWG30:JWH30"/>
    <mergeCell ref="JWI30:JWJ30"/>
    <mergeCell ref="JVM30:JVN30"/>
    <mergeCell ref="JVO30:JVP30"/>
    <mergeCell ref="JVQ30:JVR30"/>
    <mergeCell ref="JVS30:JVT30"/>
    <mergeCell ref="JVU30:JVV30"/>
    <mergeCell ref="JVW30:JVX30"/>
    <mergeCell ref="JVA30:JVB30"/>
    <mergeCell ref="JVC30:JVD30"/>
    <mergeCell ref="JVE30:JVF30"/>
    <mergeCell ref="JVG30:JVH30"/>
    <mergeCell ref="JVI30:JVJ30"/>
    <mergeCell ref="JVK30:JVL30"/>
    <mergeCell ref="JUO30:JUP30"/>
    <mergeCell ref="JUQ30:JUR30"/>
    <mergeCell ref="JUS30:JUT30"/>
    <mergeCell ref="JUU30:JUV30"/>
    <mergeCell ref="JUW30:JUX30"/>
    <mergeCell ref="JUY30:JUZ30"/>
    <mergeCell ref="JUC30:JUD30"/>
    <mergeCell ref="JUE30:JUF30"/>
    <mergeCell ref="JUG30:JUH30"/>
    <mergeCell ref="JUI30:JUJ30"/>
    <mergeCell ref="JUK30:JUL30"/>
    <mergeCell ref="JUM30:JUN30"/>
    <mergeCell ref="JZE30:JZF30"/>
    <mergeCell ref="JZG30:JZH30"/>
    <mergeCell ref="JZI30:JZJ30"/>
    <mergeCell ref="JZK30:JZL30"/>
    <mergeCell ref="JZM30:JZN30"/>
    <mergeCell ref="JZO30:JZP30"/>
    <mergeCell ref="JYS30:JYT30"/>
    <mergeCell ref="JYU30:JYV30"/>
    <mergeCell ref="JYW30:JYX30"/>
    <mergeCell ref="JYY30:JYZ30"/>
    <mergeCell ref="JZA30:JZB30"/>
    <mergeCell ref="JZC30:JZD30"/>
    <mergeCell ref="JYG30:JYH30"/>
    <mergeCell ref="JYI30:JYJ30"/>
    <mergeCell ref="JYK30:JYL30"/>
    <mergeCell ref="JYM30:JYN30"/>
    <mergeCell ref="JYO30:JYP30"/>
    <mergeCell ref="JYQ30:JYR30"/>
    <mergeCell ref="JXU30:JXV30"/>
    <mergeCell ref="JXW30:JXX30"/>
    <mergeCell ref="JXY30:JXZ30"/>
    <mergeCell ref="JYA30:JYB30"/>
    <mergeCell ref="JYC30:JYD30"/>
    <mergeCell ref="JYE30:JYF30"/>
    <mergeCell ref="JXI30:JXJ30"/>
    <mergeCell ref="JXK30:JXL30"/>
    <mergeCell ref="JXM30:JXN30"/>
    <mergeCell ref="JXO30:JXP30"/>
    <mergeCell ref="JXQ30:JXR30"/>
    <mergeCell ref="JXS30:JXT30"/>
    <mergeCell ref="JWW30:JWX30"/>
    <mergeCell ref="JWY30:JWZ30"/>
    <mergeCell ref="JXA30:JXB30"/>
    <mergeCell ref="JXC30:JXD30"/>
    <mergeCell ref="JXE30:JXF30"/>
    <mergeCell ref="JXG30:JXH30"/>
    <mergeCell ref="KBY30:KBZ30"/>
    <mergeCell ref="KCA30:KCB30"/>
    <mergeCell ref="KCC30:KCD30"/>
    <mergeCell ref="KCE30:KCF30"/>
    <mergeCell ref="KCG30:KCH30"/>
    <mergeCell ref="KCI30:KCJ30"/>
    <mergeCell ref="KBM30:KBN30"/>
    <mergeCell ref="KBO30:KBP30"/>
    <mergeCell ref="KBQ30:KBR30"/>
    <mergeCell ref="KBS30:KBT30"/>
    <mergeCell ref="KBU30:KBV30"/>
    <mergeCell ref="KBW30:KBX30"/>
    <mergeCell ref="KBA30:KBB30"/>
    <mergeCell ref="KBC30:KBD30"/>
    <mergeCell ref="KBE30:KBF30"/>
    <mergeCell ref="KBG30:KBH30"/>
    <mergeCell ref="KBI30:KBJ30"/>
    <mergeCell ref="KBK30:KBL30"/>
    <mergeCell ref="KAO30:KAP30"/>
    <mergeCell ref="KAQ30:KAR30"/>
    <mergeCell ref="KAS30:KAT30"/>
    <mergeCell ref="KAU30:KAV30"/>
    <mergeCell ref="KAW30:KAX30"/>
    <mergeCell ref="KAY30:KAZ30"/>
    <mergeCell ref="KAC30:KAD30"/>
    <mergeCell ref="KAE30:KAF30"/>
    <mergeCell ref="KAG30:KAH30"/>
    <mergeCell ref="KAI30:KAJ30"/>
    <mergeCell ref="KAK30:KAL30"/>
    <mergeCell ref="KAM30:KAN30"/>
    <mergeCell ref="JZQ30:JZR30"/>
    <mergeCell ref="JZS30:JZT30"/>
    <mergeCell ref="JZU30:JZV30"/>
    <mergeCell ref="JZW30:JZX30"/>
    <mergeCell ref="JZY30:JZZ30"/>
    <mergeCell ref="KAA30:KAB30"/>
    <mergeCell ref="KES30:KET30"/>
    <mergeCell ref="KEU30:KEV30"/>
    <mergeCell ref="KEW30:KEX30"/>
    <mergeCell ref="KEY30:KEZ30"/>
    <mergeCell ref="KFA30:KFB30"/>
    <mergeCell ref="KFC30:KFD30"/>
    <mergeCell ref="KEG30:KEH30"/>
    <mergeCell ref="KEI30:KEJ30"/>
    <mergeCell ref="KEK30:KEL30"/>
    <mergeCell ref="KEM30:KEN30"/>
    <mergeCell ref="KEO30:KEP30"/>
    <mergeCell ref="KEQ30:KER30"/>
    <mergeCell ref="KDU30:KDV30"/>
    <mergeCell ref="KDW30:KDX30"/>
    <mergeCell ref="KDY30:KDZ30"/>
    <mergeCell ref="KEA30:KEB30"/>
    <mergeCell ref="KEC30:KED30"/>
    <mergeCell ref="KEE30:KEF30"/>
    <mergeCell ref="KDI30:KDJ30"/>
    <mergeCell ref="KDK30:KDL30"/>
    <mergeCell ref="KDM30:KDN30"/>
    <mergeCell ref="KDO30:KDP30"/>
    <mergeCell ref="KDQ30:KDR30"/>
    <mergeCell ref="KDS30:KDT30"/>
    <mergeCell ref="KCW30:KCX30"/>
    <mergeCell ref="KCY30:KCZ30"/>
    <mergeCell ref="KDA30:KDB30"/>
    <mergeCell ref="KDC30:KDD30"/>
    <mergeCell ref="KDE30:KDF30"/>
    <mergeCell ref="KDG30:KDH30"/>
    <mergeCell ref="KCK30:KCL30"/>
    <mergeCell ref="KCM30:KCN30"/>
    <mergeCell ref="KCO30:KCP30"/>
    <mergeCell ref="KCQ30:KCR30"/>
    <mergeCell ref="KCS30:KCT30"/>
    <mergeCell ref="KCU30:KCV30"/>
    <mergeCell ref="KHM30:KHN30"/>
    <mergeCell ref="KHO30:KHP30"/>
    <mergeCell ref="KHQ30:KHR30"/>
    <mergeCell ref="KHS30:KHT30"/>
    <mergeCell ref="KHU30:KHV30"/>
    <mergeCell ref="KHW30:KHX30"/>
    <mergeCell ref="KHA30:KHB30"/>
    <mergeCell ref="KHC30:KHD30"/>
    <mergeCell ref="KHE30:KHF30"/>
    <mergeCell ref="KHG30:KHH30"/>
    <mergeCell ref="KHI30:KHJ30"/>
    <mergeCell ref="KHK30:KHL30"/>
    <mergeCell ref="KGO30:KGP30"/>
    <mergeCell ref="KGQ30:KGR30"/>
    <mergeCell ref="KGS30:KGT30"/>
    <mergeCell ref="KGU30:KGV30"/>
    <mergeCell ref="KGW30:KGX30"/>
    <mergeCell ref="KGY30:KGZ30"/>
    <mergeCell ref="KGC30:KGD30"/>
    <mergeCell ref="KGE30:KGF30"/>
    <mergeCell ref="KGG30:KGH30"/>
    <mergeCell ref="KGI30:KGJ30"/>
    <mergeCell ref="KGK30:KGL30"/>
    <mergeCell ref="KGM30:KGN30"/>
    <mergeCell ref="KFQ30:KFR30"/>
    <mergeCell ref="KFS30:KFT30"/>
    <mergeCell ref="KFU30:KFV30"/>
    <mergeCell ref="KFW30:KFX30"/>
    <mergeCell ref="KFY30:KFZ30"/>
    <mergeCell ref="KGA30:KGB30"/>
    <mergeCell ref="KFE30:KFF30"/>
    <mergeCell ref="KFG30:KFH30"/>
    <mergeCell ref="KFI30:KFJ30"/>
    <mergeCell ref="KFK30:KFL30"/>
    <mergeCell ref="KFM30:KFN30"/>
    <mergeCell ref="KFO30:KFP30"/>
    <mergeCell ref="KKG30:KKH30"/>
    <mergeCell ref="KKI30:KKJ30"/>
    <mergeCell ref="KKK30:KKL30"/>
    <mergeCell ref="KKM30:KKN30"/>
    <mergeCell ref="KKO30:KKP30"/>
    <mergeCell ref="KKQ30:KKR30"/>
    <mergeCell ref="KJU30:KJV30"/>
    <mergeCell ref="KJW30:KJX30"/>
    <mergeCell ref="KJY30:KJZ30"/>
    <mergeCell ref="KKA30:KKB30"/>
    <mergeCell ref="KKC30:KKD30"/>
    <mergeCell ref="KKE30:KKF30"/>
    <mergeCell ref="KJI30:KJJ30"/>
    <mergeCell ref="KJK30:KJL30"/>
    <mergeCell ref="KJM30:KJN30"/>
    <mergeCell ref="KJO30:KJP30"/>
    <mergeCell ref="KJQ30:KJR30"/>
    <mergeCell ref="KJS30:KJT30"/>
    <mergeCell ref="KIW30:KIX30"/>
    <mergeCell ref="KIY30:KIZ30"/>
    <mergeCell ref="KJA30:KJB30"/>
    <mergeCell ref="KJC30:KJD30"/>
    <mergeCell ref="KJE30:KJF30"/>
    <mergeCell ref="KJG30:KJH30"/>
    <mergeCell ref="KIK30:KIL30"/>
    <mergeCell ref="KIM30:KIN30"/>
    <mergeCell ref="KIO30:KIP30"/>
    <mergeCell ref="KIQ30:KIR30"/>
    <mergeCell ref="KIS30:KIT30"/>
    <mergeCell ref="KIU30:KIV30"/>
    <mergeCell ref="KHY30:KHZ30"/>
    <mergeCell ref="KIA30:KIB30"/>
    <mergeCell ref="KIC30:KID30"/>
    <mergeCell ref="KIE30:KIF30"/>
    <mergeCell ref="KIG30:KIH30"/>
    <mergeCell ref="KII30:KIJ30"/>
    <mergeCell ref="KNA30:KNB30"/>
    <mergeCell ref="KNC30:KND30"/>
    <mergeCell ref="KNE30:KNF30"/>
    <mergeCell ref="KNG30:KNH30"/>
    <mergeCell ref="KNI30:KNJ30"/>
    <mergeCell ref="KNK30:KNL30"/>
    <mergeCell ref="KMO30:KMP30"/>
    <mergeCell ref="KMQ30:KMR30"/>
    <mergeCell ref="KMS30:KMT30"/>
    <mergeCell ref="KMU30:KMV30"/>
    <mergeCell ref="KMW30:KMX30"/>
    <mergeCell ref="KMY30:KMZ30"/>
    <mergeCell ref="KMC30:KMD30"/>
    <mergeCell ref="KME30:KMF30"/>
    <mergeCell ref="KMG30:KMH30"/>
    <mergeCell ref="KMI30:KMJ30"/>
    <mergeCell ref="KMK30:KML30"/>
    <mergeCell ref="KMM30:KMN30"/>
    <mergeCell ref="KLQ30:KLR30"/>
    <mergeCell ref="KLS30:KLT30"/>
    <mergeCell ref="KLU30:KLV30"/>
    <mergeCell ref="KLW30:KLX30"/>
    <mergeCell ref="KLY30:KLZ30"/>
    <mergeCell ref="KMA30:KMB30"/>
    <mergeCell ref="KLE30:KLF30"/>
    <mergeCell ref="KLG30:KLH30"/>
    <mergeCell ref="KLI30:KLJ30"/>
    <mergeCell ref="KLK30:KLL30"/>
    <mergeCell ref="KLM30:KLN30"/>
    <mergeCell ref="KLO30:KLP30"/>
    <mergeCell ref="KKS30:KKT30"/>
    <mergeCell ref="KKU30:KKV30"/>
    <mergeCell ref="KKW30:KKX30"/>
    <mergeCell ref="KKY30:KKZ30"/>
    <mergeCell ref="KLA30:KLB30"/>
    <mergeCell ref="KLC30:KLD30"/>
    <mergeCell ref="KPU30:KPV30"/>
    <mergeCell ref="KPW30:KPX30"/>
    <mergeCell ref="KPY30:KPZ30"/>
    <mergeCell ref="KQA30:KQB30"/>
    <mergeCell ref="KQC30:KQD30"/>
    <mergeCell ref="KQE30:KQF30"/>
    <mergeCell ref="KPI30:KPJ30"/>
    <mergeCell ref="KPK30:KPL30"/>
    <mergeCell ref="KPM30:KPN30"/>
    <mergeCell ref="KPO30:KPP30"/>
    <mergeCell ref="KPQ30:KPR30"/>
    <mergeCell ref="KPS30:KPT30"/>
    <mergeCell ref="KOW30:KOX30"/>
    <mergeCell ref="KOY30:KOZ30"/>
    <mergeCell ref="KPA30:KPB30"/>
    <mergeCell ref="KPC30:KPD30"/>
    <mergeCell ref="KPE30:KPF30"/>
    <mergeCell ref="KPG30:KPH30"/>
    <mergeCell ref="KOK30:KOL30"/>
    <mergeCell ref="KOM30:KON30"/>
    <mergeCell ref="KOO30:KOP30"/>
    <mergeCell ref="KOQ30:KOR30"/>
    <mergeCell ref="KOS30:KOT30"/>
    <mergeCell ref="KOU30:KOV30"/>
    <mergeCell ref="KNY30:KNZ30"/>
    <mergeCell ref="KOA30:KOB30"/>
    <mergeCell ref="KOC30:KOD30"/>
    <mergeCell ref="KOE30:KOF30"/>
    <mergeCell ref="KOG30:KOH30"/>
    <mergeCell ref="KOI30:KOJ30"/>
    <mergeCell ref="KNM30:KNN30"/>
    <mergeCell ref="KNO30:KNP30"/>
    <mergeCell ref="KNQ30:KNR30"/>
    <mergeCell ref="KNS30:KNT30"/>
    <mergeCell ref="KNU30:KNV30"/>
    <mergeCell ref="KNW30:KNX30"/>
    <mergeCell ref="KSO30:KSP30"/>
    <mergeCell ref="KSQ30:KSR30"/>
    <mergeCell ref="KSS30:KST30"/>
    <mergeCell ref="KSU30:KSV30"/>
    <mergeCell ref="KSW30:KSX30"/>
    <mergeCell ref="KSY30:KSZ30"/>
    <mergeCell ref="KSC30:KSD30"/>
    <mergeCell ref="KSE30:KSF30"/>
    <mergeCell ref="KSG30:KSH30"/>
    <mergeCell ref="KSI30:KSJ30"/>
    <mergeCell ref="KSK30:KSL30"/>
    <mergeCell ref="KSM30:KSN30"/>
    <mergeCell ref="KRQ30:KRR30"/>
    <mergeCell ref="KRS30:KRT30"/>
    <mergeCell ref="KRU30:KRV30"/>
    <mergeCell ref="KRW30:KRX30"/>
    <mergeCell ref="KRY30:KRZ30"/>
    <mergeCell ref="KSA30:KSB30"/>
    <mergeCell ref="KRE30:KRF30"/>
    <mergeCell ref="KRG30:KRH30"/>
    <mergeCell ref="KRI30:KRJ30"/>
    <mergeCell ref="KRK30:KRL30"/>
    <mergeCell ref="KRM30:KRN30"/>
    <mergeCell ref="KRO30:KRP30"/>
    <mergeCell ref="KQS30:KQT30"/>
    <mergeCell ref="KQU30:KQV30"/>
    <mergeCell ref="KQW30:KQX30"/>
    <mergeCell ref="KQY30:KQZ30"/>
    <mergeCell ref="KRA30:KRB30"/>
    <mergeCell ref="KRC30:KRD30"/>
    <mergeCell ref="KQG30:KQH30"/>
    <mergeCell ref="KQI30:KQJ30"/>
    <mergeCell ref="KQK30:KQL30"/>
    <mergeCell ref="KQM30:KQN30"/>
    <mergeCell ref="KQO30:KQP30"/>
    <mergeCell ref="KQQ30:KQR30"/>
    <mergeCell ref="KVI30:KVJ30"/>
    <mergeCell ref="KVK30:KVL30"/>
    <mergeCell ref="KVM30:KVN30"/>
    <mergeCell ref="KVO30:KVP30"/>
    <mergeCell ref="KVQ30:KVR30"/>
    <mergeCell ref="KVS30:KVT30"/>
    <mergeCell ref="KUW30:KUX30"/>
    <mergeCell ref="KUY30:KUZ30"/>
    <mergeCell ref="KVA30:KVB30"/>
    <mergeCell ref="KVC30:KVD30"/>
    <mergeCell ref="KVE30:KVF30"/>
    <mergeCell ref="KVG30:KVH30"/>
    <mergeCell ref="KUK30:KUL30"/>
    <mergeCell ref="KUM30:KUN30"/>
    <mergeCell ref="KUO30:KUP30"/>
    <mergeCell ref="KUQ30:KUR30"/>
    <mergeCell ref="KUS30:KUT30"/>
    <mergeCell ref="KUU30:KUV30"/>
    <mergeCell ref="KTY30:KTZ30"/>
    <mergeCell ref="KUA30:KUB30"/>
    <mergeCell ref="KUC30:KUD30"/>
    <mergeCell ref="KUE30:KUF30"/>
    <mergeCell ref="KUG30:KUH30"/>
    <mergeCell ref="KUI30:KUJ30"/>
    <mergeCell ref="KTM30:KTN30"/>
    <mergeCell ref="KTO30:KTP30"/>
    <mergeCell ref="KTQ30:KTR30"/>
    <mergeCell ref="KTS30:KTT30"/>
    <mergeCell ref="KTU30:KTV30"/>
    <mergeCell ref="KTW30:KTX30"/>
    <mergeCell ref="KTA30:KTB30"/>
    <mergeCell ref="KTC30:KTD30"/>
    <mergeCell ref="KTE30:KTF30"/>
    <mergeCell ref="KTG30:KTH30"/>
    <mergeCell ref="KTI30:KTJ30"/>
    <mergeCell ref="KTK30:KTL30"/>
    <mergeCell ref="KYC30:KYD30"/>
    <mergeCell ref="KYE30:KYF30"/>
    <mergeCell ref="KYG30:KYH30"/>
    <mergeCell ref="KYI30:KYJ30"/>
    <mergeCell ref="KYK30:KYL30"/>
    <mergeCell ref="KYM30:KYN30"/>
    <mergeCell ref="KXQ30:KXR30"/>
    <mergeCell ref="KXS30:KXT30"/>
    <mergeCell ref="KXU30:KXV30"/>
    <mergeCell ref="KXW30:KXX30"/>
    <mergeCell ref="KXY30:KXZ30"/>
    <mergeCell ref="KYA30:KYB30"/>
    <mergeCell ref="KXE30:KXF30"/>
    <mergeCell ref="KXG30:KXH30"/>
    <mergeCell ref="KXI30:KXJ30"/>
    <mergeCell ref="KXK30:KXL30"/>
    <mergeCell ref="KXM30:KXN30"/>
    <mergeCell ref="KXO30:KXP30"/>
    <mergeCell ref="KWS30:KWT30"/>
    <mergeCell ref="KWU30:KWV30"/>
    <mergeCell ref="KWW30:KWX30"/>
    <mergeCell ref="KWY30:KWZ30"/>
    <mergeCell ref="KXA30:KXB30"/>
    <mergeCell ref="KXC30:KXD30"/>
    <mergeCell ref="KWG30:KWH30"/>
    <mergeCell ref="KWI30:KWJ30"/>
    <mergeCell ref="KWK30:KWL30"/>
    <mergeCell ref="KWM30:KWN30"/>
    <mergeCell ref="KWO30:KWP30"/>
    <mergeCell ref="KWQ30:KWR30"/>
    <mergeCell ref="KVU30:KVV30"/>
    <mergeCell ref="KVW30:KVX30"/>
    <mergeCell ref="KVY30:KVZ30"/>
    <mergeCell ref="KWA30:KWB30"/>
    <mergeCell ref="KWC30:KWD30"/>
    <mergeCell ref="KWE30:KWF30"/>
    <mergeCell ref="LAW30:LAX30"/>
    <mergeCell ref="LAY30:LAZ30"/>
    <mergeCell ref="LBA30:LBB30"/>
    <mergeCell ref="LBC30:LBD30"/>
    <mergeCell ref="LBE30:LBF30"/>
    <mergeCell ref="LBG30:LBH30"/>
    <mergeCell ref="LAK30:LAL30"/>
    <mergeCell ref="LAM30:LAN30"/>
    <mergeCell ref="LAO30:LAP30"/>
    <mergeCell ref="LAQ30:LAR30"/>
    <mergeCell ref="LAS30:LAT30"/>
    <mergeCell ref="LAU30:LAV30"/>
    <mergeCell ref="KZY30:KZZ30"/>
    <mergeCell ref="LAA30:LAB30"/>
    <mergeCell ref="LAC30:LAD30"/>
    <mergeCell ref="LAE30:LAF30"/>
    <mergeCell ref="LAG30:LAH30"/>
    <mergeCell ref="LAI30:LAJ30"/>
    <mergeCell ref="KZM30:KZN30"/>
    <mergeCell ref="KZO30:KZP30"/>
    <mergeCell ref="KZQ30:KZR30"/>
    <mergeCell ref="KZS30:KZT30"/>
    <mergeCell ref="KZU30:KZV30"/>
    <mergeCell ref="KZW30:KZX30"/>
    <mergeCell ref="KZA30:KZB30"/>
    <mergeCell ref="KZC30:KZD30"/>
    <mergeCell ref="KZE30:KZF30"/>
    <mergeCell ref="KZG30:KZH30"/>
    <mergeCell ref="KZI30:KZJ30"/>
    <mergeCell ref="KZK30:KZL30"/>
    <mergeCell ref="KYO30:KYP30"/>
    <mergeCell ref="KYQ30:KYR30"/>
    <mergeCell ref="KYS30:KYT30"/>
    <mergeCell ref="KYU30:KYV30"/>
    <mergeCell ref="KYW30:KYX30"/>
    <mergeCell ref="KYY30:KYZ30"/>
    <mergeCell ref="LDQ30:LDR30"/>
    <mergeCell ref="LDS30:LDT30"/>
    <mergeCell ref="LDU30:LDV30"/>
    <mergeCell ref="LDW30:LDX30"/>
    <mergeCell ref="LDY30:LDZ30"/>
    <mergeCell ref="LEA30:LEB30"/>
    <mergeCell ref="LDE30:LDF30"/>
    <mergeCell ref="LDG30:LDH30"/>
    <mergeCell ref="LDI30:LDJ30"/>
    <mergeCell ref="LDK30:LDL30"/>
    <mergeCell ref="LDM30:LDN30"/>
    <mergeCell ref="LDO30:LDP30"/>
    <mergeCell ref="LCS30:LCT30"/>
    <mergeCell ref="LCU30:LCV30"/>
    <mergeCell ref="LCW30:LCX30"/>
    <mergeCell ref="LCY30:LCZ30"/>
    <mergeCell ref="LDA30:LDB30"/>
    <mergeCell ref="LDC30:LDD30"/>
    <mergeCell ref="LCG30:LCH30"/>
    <mergeCell ref="LCI30:LCJ30"/>
    <mergeCell ref="LCK30:LCL30"/>
    <mergeCell ref="LCM30:LCN30"/>
    <mergeCell ref="LCO30:LCP30"/>
    <mergeCell ref="LCQ30:LCR30"/>
    <mergeCell ref="LBU30:LBV30"/>
    <mergeCell ref="LBW30:LBX30"/>
    <mergeCell ref="LBY30:LBZ30"/>
    <mergeCell ref="LCA30:LCB30"/>
    <mergeCell ref="LCC30:LCD30"/>
    <mergeCell ref="LCE30:LCF30"/>
    <mergeCell ref="LBI30:LBJ30"/>
    <mergeCell ref="LBK30:LBL30"/>
    <mergeCell ref="LBM30:LBN30"/>
    <mergeCell ref="LBO30:LBP30"/>
    <mergeCell ref="LBQ30:LBR30"/>
    <mergeCell ref="LBS30:LBT30"/>
    <mergeCell ref="LGK30:LGL30"/>
    <mergeCell ref="LGM30:LGN30"/>
    <mergeCell ref="LGO30:LGP30"/>
    <mergeCell ref="LGQ30:LGR30"/>
    <mergeCell ref="LGS30:LGT30"/>
    <mergeCell ref="LGU30:LGV30"/>
    <mergeCell ref="LFY30:LFZ30"/>
    <mergeCell ref="LGA30:LGB30"/>
    <mergeCell ref="LGC30:LGD30"/>
    <mergeCell ref="LGE30:LGF30"/>
    <mergeCell ref="LGG30:LGH30"/>
    <mergeCell ref="LGI30:LGJ30"/>
    <mergeCell ref="LFM30:LFN30"/>
    <mergeCell ref="LFO30:LFP30"/>
    <mergeCell ref="LFQ30:LFR30"/>
    <mergeCell ref="LFS30:LFT30"/>
    <mergeCell ref="LFU30:LFV30"/>
    <mergeCell ref="LFW30:LFX30"/>
    <mergeCell ref="LFA30:LFB30"/>
    <mergeCell ref="LFC30:LFD30"/>
    <mergeCell ref="LFE30:LFF30"/>
    <mergeCell ref="LFG30:LFH30"/>
    <mergeCell ref="LFI30:LFJ30"/>
    <mergeCell ref="LFK30:LFL30"/>
    <mergeCell ref="LEO30:LEP30"/>
    <mergeCell ref="LEQ30:LER30"/>
    <mergeCell ref="LES30:LET30"/>
    <mergeCell ref="LEU30:LEV30"/>
    <mergeCell ref="LEW30:LEX30"/>
    <mergeCell ref="LEY30:LEZ30"/>
    <mergeCell ref="LEC30:LED30"/>
    <mergeCell ref="LEE30:LEF30"/>
    <mergeCell ref="LEG30:LEH30"/>
    <mergeCell ref="LEI30:LEJ30"/>
    <mergeCell ref="LEK30:LEL30"/>
    <mergeCell ref="LEM30:LEN30"/>
    <mergeCell ref="LJE30:LJF30"/>
    <mergeCell ref="LJG30:LJH30"/>
    <mergeCell ref="LJI30:LJJ30"/>
    <mergeCell ref="LJK30:LJL30"/>
    <mergeCell ref="LJM30:LJN30"/>
    <mergeCell ref="LJO30:LJP30"/>
    <mergeCell ref="LIS30:LIT30"/>
    <mergeCell ref="LIU30:LIV30"/>
    <mergeCell ref="LIW30:LIX30"/>
    <mergeCell ref="LIY30:LIZ30"/>
    <mergeCell ref="LJA30:LJB30"/>
    <mergeCell ref="LJC30:LJD30"/>
    <mergeCell ref="LIG30:LIH30"/>
    <mergeCell ref="LII30:LIJ30"/>
    <mergeCell ref="LIK30:LIL30"/>
    <mergeCell ref="LIM30:LIN30"/>
    <mergeCell ref="LIO30:LIP30"/>
    <mergeCell ref="LIQ30:LIR30"/>
    <mergeCell ref="LHU30:LHV30"/>
    <mergeCell ref="LHW30:LHX30"/>
    <mergeCell ref="LHY30:LHZ30"/>
    <mergeCell ref="LIA30:LIB30"/>
    <mergeCell ref="LIC30:LID30"/>
    <mergeCell ref="LIE30:LIF30"/>
    <mergeCell ref="LHI30:LHJ30"/>
    <mergeCell ref="LHK30:LHL30"/>
    <mergeCell ref="LHM30:LHN30"/>
    <mergeCell ref="LHO30:LHP30"/>
    <mergeCell ref="LHQ30:LHR30"/>
    <mergeCell ref="LHS30:LHT30"/>
    <mergeCell ref="LGW30:LGX30"/>
    <mergeCell ref="LGY30:LGZ30"/>
    <mergeCell ref="LHA30:LHB30"/>
    <mergeCell ref="LHC30:LHD30"/>
    <mergeCell ref="LHE30:LHF30"/>
    <mergeCell ref="LHG30:LHH30"/>
    <mergeCell ref="LLY30:LLZ30"/>
    <mergeCell ref="LMA30:LMB30"/>
    <mergeCell ref="LMC30:LMD30"/>
    <mergeCell ref="LME30:LMF30"/>
    <mergeCell ref="LMG30:LMH30"/>
    <mergeCell ref="LMI30:LMJ30"/>
    <mergeCell ref="LLM30:LLN30"/>
    <mergeCell ref="LLO30:LLP30"/>
    <mergeCell ref="LLQ30:LLR30"/>
    <mergeCell ref="LLS30:LLT30"/>
    <mergeCell ref="LLU30:LLV30"/>
    <mergeCell ref="LLW30:LLX30"/>
    <mergeCell ref="LLA30:LLB30"/>
    <mergeCell ref="LLC30:LLD30"/>
    <mergeCell ref="LLE30:LLF30"/>
    <mergeCell ref="LLG30:LLH30"/>
    <mergeCell ref="LLI30:LLJ30"/>
    <mergeCell ref="LLK30:LLL30"/>
    <mergeCell ref="LKO30:LKP30"/>
    <mergeCell ref="LKQ30:LKR30"/>
    <mergeCell ref="LKS30:LKT30"/>
    <mergeCell ref="LKU30:LKV30"/>
    <mergeCell ref="LKW30:LKX30"/>
    <mergeCell ref="LKY30:LKZ30"/>
    <mergeCell ref="LKC30:LKD30"/>
    <mergeCell ref="LKE30:LKF30"/>
    <mergeCell ref="LKG30:LKH30"/>
    <mergeCell ref="LKI30:LKJ30"/>
    <mergeCell ref="LKK30:LKL30"/>
    <mergeCell ref="LKM30:LKN30"/>
    <mergeCell ref="LJQ30:LJR30"/>
    <mergeCell ref="LJS30:LJT30"/>
    <mergeCell ref="LJU30:LJV30"/>
    <mergeCell ref="LJW30:LJX30"/>
    <mergeCell ref="LJY30:LJZ30"/>
    <mergeCell ref="LKA30:LKB30"/>
    <mergeCell ref="LOS30:LOT30"/>
    <mergeCell ref="LOU30:LOV30"/>
    <mergeCell ref="LOW30:LOX30"/>
    <mergeCell ref="LOY30:LOZ30"/>
    <mergeCell ref="LPA30:LPB30"/>
    <mergeCell ref="LPC30:LPD30"/>
    <mergeCell ref="LOG30:LOH30"/>
    <mergeCell ref="LOI30:LOJ30"/>
    <mergeCell ref="LOK30:LOL30"/>
    <mergeCell ref="LOM30:LON30"/>
    <mergeCell ref="LOO30:LOP30"/>
    <mergeCell ref="LOQ30:LOR30"/>
    <mergeCell ref="LNU30:LNV30"/>
    <mergeCell ref="LNW30:LNX30"/>
    <mergeCell ref="LNY30:LNZ30"/>
    <mergeCell ref="LOA30:LOB30"/>
    <mergeCell ref="LOC30:LOD30"/>
    <mergeCell ref="LOE30:LOF30"/>
    <mergeCell ref="LNI30:LNJ30"/>
    <mergeCell ref="LNK30:LNL30"/>
    <mergeCell ref="LNM30:LNN30"/>
    <mergeCell ref="LNO30:LNP30"/>
    <mergeCell ref="LNQ30:LNR30"/>
    <mergeCell ref="LNS30:LNT30"/>
    <mergeCell ref="LMW30:LMX30"/>
    <mergeCell ref="LMY30:LMZ30"/>
    <mergeCell ref="LNA30:LNB30"/>
    <mergeCell ref="LNC30:LND30"/>
    <mergeCell ref="LNE30:LNF30"/>
    <mergeCell ref="LNG30:LNH30"/>
    <mergeCell ref="LMK30:LML30"/>
    <mergeCell ref="LMM30:LMN30"/>
    <mergeCell ref="LMO30:LMP30"/>
    <mergeCell ref="LMQ30:LMR30"/>
    <mergeCell ref="LMS30:LMT30"/>
    <mergeCell ref="LMU30:LMV30"/>
    <mergeCell ref="LRM30:LRN30"/>
    <mergeCell ref="LRO30:LRP30"/>
    <mergeCell ref="LRQ30:LRR30"/>
    <mergeCell ref="LRS30:LRT30"/>
    <mergeCell ref="LRU30:LRV30"/>
    <mergeCell ref="LRW30:LRX30"/>
    <mergeCell ref="LRA30:LRB30"/>
    <mergeCell ref="LRC30:LRD30"/>
    <mergeCell ref="LRE30:LRF30"/>
    <mergeCell ref="LRG30:LRH30"/>
    <mergeCell ref="LRI30:LRJ30"/>
    <mergeCell ref="LRK30:LRL30"/>
    <mergeCell ref="LQO30:LQP30"/>
    <mergeCell ref="LQQ30:LQR30"/>
    <mergeCell ref="LQS30:LQT30"/>
    <mergeCell ref="LQU30:LQV30"/>
    <mergeCell ref="LQW30:LQX30"/>
    <mergeCell ref="LQY30:LQZ30"/>
    <mergeCell ref="LQC30:LQD30"/>
    <mergeCell ref="LQE30:LQF30"/>
    <mergeCell ref="LQG30:LQH30"/>
    <mergeCell ref="LQI30:LQJ30"/>
    <mergeCell ref="LQK30:LQL30"/>
    <mergeCell ref="LQM30:LQN30"/>
    <mergeCell ref="LPQ30:LPR30"/>
    <mergeCell ref="LPS30:LPT30"/>
    <mergeCell ref="LPU30:LPV30"/>
    <mergeCell ref="LPW30:LPX30"/>
    <mergeCell ref="LPY30:LPZ30"/>
    <mergeCell ref="LQA30:LQB30"/>
    <mergeCell ref="LPE30:LPF30"/>
    <mergeCell ref="LPG30:LPH30"/>
    <mergeCell ref="LPI30:LPJ30"/>
    <mergeCell ref="LPK30:LPL30"/>
    <mergeCell ref="LPM30:LPN30"/>
    <mergeCell ref="LPO30:LPP30"/>
    <mergeCell ref="LUG30:LUH30"/>
    <mergeCell ref="LUI30:LUJ30"/>
    <mergeCell ref="LUK30:LUL30"/>
    <mergeCell ref="LUM30:LUN30"/>
    <mergeCell ref="LUO30:LUP30"/>
    <mergeCell ref="LUQ30:LUR30"/>
    <mergeCell ref="LTU30:LTV30"/>
    <mergeCell ref="LTW30:LTX30"/>
    <mergeCell ref="LTY30:LTZ30"/>
    <mergeCell ref="LUA30:LUB30"/>
    <mergeCell ref="LUC30:LUD30"/>
    <mergeCell ref="LUE30:LUF30"/>
    <mergeCell ref="LTI30:LTJ30"/>
    <mergeCell ref="LTK30:LTL30"/>
    <mergeCell ref="LTM30:LTN30"/>
    <mergeCell ref="LTO30:LTP30"/>
    <mergeCell ref="LTQ30:LTR30"/>
    <mergeCell ref="LTS30:LTT30"/>
    <mergeCell ref="LSW30:LSX30"/>
    <mergeCell ref="LSY30:LSZ30"/>
    <mergeCell ref="LTA30:LTB30"/>
    <mergeCell ref="LTC30:LTD30"/>
    <mergeCell ref="LTE30:LTF30"/>
    <mergeCell ref="LTG30:LTH30"/>
    <mergeCell ref="LSK30:LSL30"/>
    <mergeCell ref="LSM30:LSN30"/>
    <mergeCell ref="LSO30:LSP30"/>
    <mergeCell ref="LSQ30:LSR30"/>
    <mergeCell ref="LSS30:LST30"/>
    <mergeCell ref="LSU30:LSV30"/>
    <mergeCell ref="LRY30:LRZ30"/>
    <mergeCell ref="LSA30:LSB30"/>
    <mergeCell ref="LSC30:LSD30"/>
    <mergeCell ref="LSE30:LSF30"/>
    <mergeCell ref="LSG30:LSH30"/>
    <mergeCell ref="LSI30:LSJ30"/>
    <mergeCell ref="LXA30:LXB30"/>
    <mergeCell ref="LXC30:LXD30"/>
    <mergeCell ref="LXE30:LXF30"/>
    <mergeCell ref="LXG30:LXH30"/>
    <mergeCell ref="LXI30:LXJ30"/>
    <mergeCell ref="LXK30:LXL30"/>
    <mergeCell ref="LWO30:LWP30"/>
    <mergeCell ref="LWQ30:LWR30"/>
    <mergeCell ref="LWS30:LWT30"/>
    <mergeCell ref="LWU30:LWV30"/>
    <mergeCell ref="LWW30:LWX30"/>
    <mergeCell ref="LWY30:LWZ30"/>
    <mergeCell ref="LWC30:LWD30"/>
    <mergeCell ref="LWE30:LWF30"/>
    <mergeCell ref="LWG30:LWH30"/>
    <mergeCell ref="LWI30:LWJ30"/>
    <mergeCell ref="LWK30:LWL30"/>
    <mergeCell ref="LWM30:LWN30"/>
    <mergeCell ref="LVQ30:LVR30"/>
    <mergeCell ref="LVS30:LVT30"/>
    <mergeCell ref="LVU30:LVV30"/>
    <mergeCell ref="LVW30:LVX30"/>
    <mergeCell ref="LVY30:LVZ30"/>
    <mergeCell ref="LWA30:LWB30"/>
    <mergeCell ref="LVE30:LVF30"/>
    <mergeCell ref="LVG30:LVH30"/>
    <mergeCell ref="LVI30:LVJ30"/>
    <mergeCell ref="LVK30:LVL30"/>
    <mergeCell ref="LVM30:LVN30"/>
    <mergeCell ref="LVO30:LVP30"/>
    <mergeCell ref="LUS30:LUT30"/>
    <mergeCell ref="LUU30:LUV30"/>
    <mergeCell ref="LUW30:LUX30"/>
    <mergeCell ref="LUY30:LUZ30"/>
    <mergeCell ref="LVA30:LVB30"/>
    <mergeCell ref="LVC30:LVD30"/>
    <mergeCell ref="LZU30:LZV30"/>
    <mergeCell ref="LZW30:LZX30"/>
    <mergeCell ref="LZY30:LZZ30"/>
    <mergeCell ref="MAA30:MAB30"/>
    <mergeCell ref="MAC30:MAD30"/>
    <mergeCell ref="MAE30:MAF30"/>
    <mergeCell ref="LZI30:LZJ30"/>
    <mergeCell ref="LZK30:LZL30"/>
    <mergeCell ref="LZM30:LZN30"/>
    <mergeCell ref="LZO30:LZP30"/>
    <mergeCell ref="LZQ30:LZR30"/>
    <mergeCell ref="LZS30:LZT30"/>
    <mergeCell ref="LYW30:LYX30"/>
    <mergeCell ref="LYY30:LYZ30"/>
    <mergeCell ref="LZA30:LZB30"/>
    <mergeCell ref="LZC30:LZD30"/>
    <mergeCell ref="LZE30:LZF30"/>
    <mergeCell ref="LZG30:LZH30"/>
    <mergeCell ref="LYK30:LYL30"/>
    <mergeCell ref="LYM30:LYN30"/>
    <mergeCell ref="LYO30:LYP30"/>
    <mergeCell ref="LYQ30:LYR30"/>
    <mergeCell ref="LYS30:LYT30"/>
    <mergeCell ref="LYU30:LYV30"/>
    <mergeCell ref="LXY30:LXZ30"/>
    <mergeCell ref="LYA30:LYB30"/>
    <mergeCell ref="LYC30:LYD30"/>
    <mergeCell ref="LYE30:LYF30"/>
    <mergeCell ref="LYG30:LYH30"/>
    <mergeCell ref="LYI30:LYJ30"/>
    <mergeCell ref="LXM30:LXN30"/>
    <mergeCell ref="LXO30:LXP30"/>
    <mergeCell ref="LXQ30:LXR30"/>
    <mergeCell ref="LXS30:LXT30"/>
    <mergeCell ref="LXU30:LXV30"/>
    <mergeCell ref="LXW30:LXX30"/>
    <mergeCell ref="MCO30:MCP30"/>
    <mergeCell ref="MCQ30:MCR30"/>
    <mergeCell ref="MCS30:MCT30"/>
    <mergeCell ref="MCU30:MCV30"/>
    <mergeCell ref="MCW30:MCX30"/>
    <mergeCell ref="MCY30:MCZ30"/>
    <mergeCell ref="MCC30:MCD30"/>
    <mergeCell ref="MCE30:MCF30"/>
    <mergeCell ref="MCG30:MCH30"/>
    <mergeCell ref="MCI30:MCJ30"/>
    <mergeCell ref="MCK30:MCL30"/>
    <mergeCell ref="MCM30:MCN30"/>
    <mergeCell ref="MBQ30:MBR30"/>
    <mergeCell ref="MBS30:MBT30"/>
    <mergeCell ref="MBU30:MBV30"/>
    <mergeCell ref="MBW30:MBX30"/>
    <mergeCell ref="MBY30:MBZ30"/>
    <mergeCell ref="MCA30:MCB30"/>
    <mergeCell ref="MBE30:MBF30"/>
    <mergeCell ref="MBG30:MBH30"/>
    <mergeCell ref="MBI30:MBJ30"/>
    <mergeCell ref="MBK30:MBL30"/>
    <mergeCell ref="MBM30:MBN30"/>
    <mergeCell ref="MBO30:MBP30"/>
    <mergeCell ref="MAS30:MAT30"/>
    <mergeCell ref="MAU30:MAV30"/>
    <mergeCell ref="MAW30:MAX30"/>
    <mergeCell ref="MAY30:MAZ30"/>
    <mergeCell ref="MBA30:MBB30"/>
    <mergeCell ref="MBC30:MBD30"/>
    <mergeCell ref="MAG30:MAH30"/>
    <mergeCell ref="MAI30:MAJ30"/>
    <mergeCell ref="MAK30:MAL30"/>
    <mergeCell ref="MAM30:MAN30"/>
    <mergeCell ref="MAO30:MAP30"/>
    <mergeCell ref="MAQ30:MAR30"/>
    <mergeCell ref="MFI30:MFJ30"/>
    <mergeCell ref="MFK30:MFL30"/>
    <mergeCell ref="MFM30:MFN30"/>
    <mergeCell ref="MFO30:MFP30"/>
    <mergeCell ref="MFQ30:MFR30"/>
    <mergeCell ref="MFS30:MFT30"/>
    <mergeCell ref="MEW30:MEX30"/>
    <mergeCell ref="MEY30:MEZ30"/>
    <mergeCell ref="MFA30:MFB30"/>
    <mergeCell ref="MFC30:MFD30"/>
    <mergeCell ref="MFE30:MFF30"/>
    <mergeCell ref="MFG30:MFH30"/>
    <mergeCell ref="MEK30:MEL30"/>
    <mergeCell ref="MEM30:MEN30"/>
    <mergeCell ref="MEO30:MEP30"/>
    <mergeCell ref="MEQ30:MER30"/>
    <mergeCell ref="MES30:MET30"/>
    <mergeCell ref="MEU30:MEV30"/>
    <mergeCell ref="MDY30:MDZ30"/>
    <mergeCell ref="MEA30:MEB30"/>
    <mergeCell ref="MEC30:MED30"/>
    <mergeCell ref="MEE30:MEF30"/>
    <mergeCell ref="MEG30:MEH30"/>
    <mergeCell ref="MEI30:MEJ30"/>
    <mergeCell ref="MDM30:MDN30"/>
    <mergeCell ref="MDO30:MDP30"/>
    <mergeCell ref="MDQ30:MDR30"/>
    <mergeCell ref="MDS30:MDT30"/>
    <mergeCell ref="MDU30:MDV30"/>
    <mergeCell ref="MDW30:MDX30"/>
    <mergeCell ref="MDA30:MDB30"/>
    <mergeCell ref="MDC30:MDD30"/>
    <mergeCell ref="MDE30:MDF30"/>
    <mergeCell ref="MDG30:MDH30"/>
    <mergeCell ref="MDI30:MDJ30"/>
    <mergeCell ref="MDK30:MDL30"/>
    <mergeCell ref="MIC30:MID30"/>
    <mergeCell ref="MIE30:MIF30"/>
    <mergeCell ref="MIG30:MIH30"/>
    <mergeCell ref="MII30:MIJ30"/>
    <mergeCell ref="MIK30:MIL30"/>
    <mergeCell ref="MIM30:MIN30"/>
    <mergeCell ref="MHQ30:MHR30"/>
    <mergeCell ref="MHS30:MHT30"/>
    <mergeCell ref="MHU30:MHV30"/>
    <mergeCell ref="MHW30:MHX30"/>
    <mergeCell ref="MHY30:MHZ30"/>
    <mergeCell ref="MIA30:MIB30"/>
    <mergeCell ref="MHE30:MHF30"/>
    <mergeCell ref="MHG30:MHH30"/>
    <mergeCell ref="MHI30:MHJ30"/>
    <mergeCell ref="MHK30:MHL30"/>
    <mergeCell ref="MHM30:MHN30"/>
    <mergeCell ref="MHO30:MHP30"/>
    <mergeCell ref="MGS30:MGT30"/>
    <mergeCell ref="MGU30:MGV30"/>
    <mergeCell ref="MGW30:MGX30"/>
    <mergeCell ref="MGY30:MGZ30"/>
    <mergeCell ref="MHA30:MHB30"/>
    <mergeCell ref="MHC30:MHD30"/>
    <mergeCell ref="MGG30:MGH30"/>
    <mergeCell ref="MGI30:MGJ30"/>
    <mergeCell ref="MGK30:MGL30"/>
    <mergeCell ref="MGM30:MGN30"/>
    <mergeCell ref="MGO30:MGP30"/>
    <mergeCell ref="MGQ30:MGR30"/>
    <mergeCell ref="MFU30:MFV30"/>
    <mergeCell ref="MFW30:MFX30"/>
    <mergeCell ref="MFY30:MFZ30"/>
    <mergeCell ref="MGA30:MGB30"/>
    <mergeCell ref="MGC30:MGD30"/>
    <mergeCell ref="MGE30:MGF30"/>
    <mergeCell ref="MKW30:MKX30"/>
    <mergeCell ref="MKY30:MKZ30"/>
    <mergeCell ref="MLA30:MLB30"/>
    <mergeCell ref="MLC30:MLD30"/>
    <mergeCell ref="MLE30:MLF30"/>
    <mergeCell ref="MLG30:MLH30"/>
    <mergeCell ref="MKK30:MKL30"/>
    <mergeCell ref="MKM30:MKN30"/>
    <mergeCell ref="MKO30:MKP30"/>
    <mergeCell ref="MKQ30:MKR30"/>
    <mergeCell ref="MKS30:MKT30"/>
    <mergeCell ref="MKU30:MKV30"/>
    <mergeCell ref="MJY30:MJZ30"/>
    <mergeCell ref="MKA30:MKB30"/>
    <mergeCell ref="MKC30:MKD30"/>
    <mergeCell ref="MKE30:MKF30"/>
    <mergeCell ref="MKG30:MKH30"/>
    <mergeCell ref="MKI30:MKJ30"/>
    <mergeCell ref="MJM30:MJN30"/>
    <mergeCell ref="MJO30:MJP30"/>
    <mergeCell ref="MJQ30:MJR30"/>
    <mergeCell ref="MJS30:MJT30"/>
    <mergeCell ref="MJU30:MJV30"/>
    <mergeCell ref="MJW30:MJX30"/>
    <mergeCell ref="MJA30:MJB30"/>
    <mergeCell ref="MJC30:MJD30"/>
    <mergeCell ref="MJE30:MJF30"/>
    <mergeCell ref="MJG30:MJH30"/>
    <mergeCell ref="MJI30:MJJ30"/>
    <mergeCell ref="MJK30:MJL30"/>
    <mergeCell ref="MIO30:MIP30"/>
    <mergeCell ref="MIQ30:MIR30"/>
    <mergeCell ref="MIS30:MIT30"/>
    <mergeCell ref="MIU30:MIV30"/>
    <mergeCell ref="MIW30:MIX30"/>
    <mergeCell ref="MIY30:MIZ30"/>
    <mergeCell ref="MNQ30:MNR30"/>
    <mergeCell ref="MNS30:MNT30"/>
    <mergeCell ref="MNU30:MNV30"/>
    <mergeCell ref="MNW30:MNX30"/>
    <mergeCell ref="MNY30:MNZ30"/>
    <mergeCell ref="MOA30:MOB30"/>
    <mergeCell ref="MNE30:MNF30"/>
    <mergeCell ref="MNG30:MNH30"/>
    <mergeCell ref="MNI30:MNJ30"/>
    <mergeCell ref="MNK30:MNL30"/>
    <mergeCell ref="MNM30:MNN30"/>
    <mergeCell ref="MNO30:MNP30"/>
    <mergeCell ref="MMS30:MMT30"/>
    <mergeCell ref="MMU30:MMV30"/>
    <mergeCell ref="MMW30:MMX30"/>
    <mergeCell ref="MMY30:MMZ30"/>
    <mergeCell ref="MNA30:MNB30"/>
    <mergeCell ref="MNC30:MND30"/>
    <mergeCell ref="MMG30:MMH30"/>
    <mergeCell ref="MMI30:MMJ30"/>
    <mergeCell ref="MMK30:MML30"/>
    <mergeCell ref="MMM30:MMN30"/>
    <mergeCell ref="MMO30:MMP30"/>
    <mergeCell ref="MMQ30:MMR30"/>
    <mergeCell ref="MLU30:MLV30"/>
    <mergeCell ref="MLW30:MLX30"/>
    <mergeCell ref="MLY30:MLZ30"/>
    <mergeCell ref="MMA30:MMB30"/>
    <mergeCell ref="MMC30:MMD30"/>
    <mergeCell ref="MME30:MMF30"/>
    <mergeCell ref="MLI30:MLJ30"/>
    <mergeCell ref="MLK30:MLL30"/>
    <mergeCell ref="MLM30:MLN30"/>
    <mergeCell ref="MLO30:MLP30"/>
    <mergeCell ref="MLQ30:MLR30"/>
    <mergeCell ref="MLS30:MLT30"/>
    <mergeCell ref="MQK30:MQL30"/>
    <mergeCell ref="MQM30:MQN30"/>
    <mergeCell ref="MQO30:MQP30"/>
    <mergeCell ref="MQQ30:MQR30"/>
    <mergeCell ref="MQS30:MQT30"/>
    <mergeCell ref="MQU30:MQV30"/>
    <mergeCell ref="MPY30:MPZ30"/>
    <mergeCell ref="MQA30:MQB30"/>
    <mergeCell ref="MQC30:MQD30"/>
    <mergeCell ref="MQE30:MQF30"/>
    <mergeCell ref="MQG30:MQH30"/>
    <mergeCell ref="MQI30:MQJ30"/>
    <mergeCell ref="MPM30:MPN30"/>
    <mergeCell ref="MPO30:MPP30"/>
    <mergeCell ref="MPQ30:MPR30"/>
    <mergeCell ref="MPS30:MPT30"/>
    <mergeCell ref="MPU30:MPV30"/>
    <mergeCell ref="MPW30:MPX30"/>
    <mergeCell ref="MPA30:MPB30"/>
    <mergeCell ref="MPC30:MPD30"/>
    <mergeCell ref="MPE30:MPF30"/>
    <mergeCell ref="MPG30:MPH30"/>
    <mergeCell ref="MPI30:MPJ30"/>
    <mergeCell ref="MPK30:MPL30"/>
    <mergeCell ref="MOO30:MOP30"/>
    <mergeCell ref="MOQ30:MOR30"/>
    <mergeCell ref="MOS30:MOT30"/>
    <mergeCell ref="MOU30:MOV30"/>
    <mergeCell ref="MOW30:MOX30"/>
    <mergeCell ref="MOY30:MOZ30"/>
    <mergeCell ref="MOC30:MOD30"/>
    <mergeCell ref="MOE30:MOF30"/>
    <mergeCell ref="MOG30:MOH30"/>
    <mergeCell ref="MOI30:MOJ30"/>
    <mergeCell ref="MOK30:MOL30"/>
    <mergeCell ref="MOM30:MON30"/>
    <mergeCell ref="MTE30:MTF30"/>
    <mergeCell ref="MTG30:MTH30"/>
    <mergeCell ref="MTI30:MTJ30"/>
    <mergeCell ref="MTK30:MTL30"/>
    <mergeCell ref="MTM30:MTN30"/>
    <mergeCell ref="MTO30:MTP30"/>
    <mergeCell ref="MSS30:MST30"/>
    <mergeCell ref="MSU30:MSV30"/>
    <mergeCell ref="MSW30:MSX30"/>
    <mergeCell ref="MSY30:MSZ30"/>
    <mergeCell ref="MTA30:MTB30"/>
    <mergeCell ref="MTC30:MTD30"/>
    <mergeCell ref="MSG30:MSH30"/>
    <mergeCell ref="MSI30:MSJ30"/>
    <mergeCell ref="MSK30:MSL30"/>
    <mergeCell ref="MSM30:MSN30"/>
    <mergeCell ref="MSO30:MSP30"/>
    <mergeCell ref="MSQ30:MSR30"/>
    <mergeCell ref="MRU30:MRV30"/>
    <mergeCell ref="MRW30:MRX30"/>
    <mergeCell ref="MRY30:MRZ30"/>
    <mergeCell ref="MSA30:MSB30"/>
    <mergeCell ref="MSC30:MSD30"/>
    <mergeCell ref="MSE30:MSF30"/>
    <mergeCell ref="MRI30:MRJ30"/>
    <mergeCell ref="MRK30:MRL30"/>
    <mergeCell ref="MRM30:MRN30"/>
    <mergeCell ref="MRO30:MRP30"/>
    <mergeCell ref="MRQ30:MRR30"/>
    <mergeCell ref="MRS30:MRT30"/>
    <mergeCell ref="MQW30:MQX30"/>
    <mergeCell ref="MQY30:MQZ30"/>
    <mergeCell ref="MRA30:MRB30"/>
    <mergeCell ref="MRC30:MRD30"/>
    <mergeCell ref="MRE30:MRF30"/>
    <mergeCell ref="MRG30:MRH30"/>
    <mergeCell ref="MVY30:MVZ30"/>
    <mergeCell ref="MWA30:MWB30"/>
    <mergeCell ref="MWC30:MWD30"/>
    <mergeCell ref="MWE30:MWF30"/>
    <mergeCell ref="MWG30:MWH30"/>
    <mergeCell ref="MWI30:MWJ30"/>
    <mergeCell ref="MVM30:MVN30"/>
    <mergeCell ref="MVO30:MVP30"/>
    <mergeCell ref="MVQ30:MVR30"/>
    <mergeCell ref="MVS30:MVT30"/>
    <mergeCell ref="MVU30:MVV30"/>
    <mergeCell ref="MVW30:MVX30"/>
    <mergeCell ref="MVA30:MVB30"/>
    <mergeCell ref="MVC30:MVD30"/>
    <mergeCell ref="MVE30:MVF30"/>
    <mergeCell ref="MVG30:MVH30"/>
    <mergeCell ref="MVI30:MVJ30"/>
    <mergeCell ref="MVK30:MVL30"/>
    <mergeCell ref="MUO30:MUP30"/>
    <mergeCell ref="MUQ30:MUR30"/>
    <mergeCell ref="MUS30:MUT30"/>
    <mergeCell ref="MUU30:MUV30"/>
    <mergeCell ref="MUW30:MUX30"/>
    <mergeCell ref="MUY30:MUZ30"/>
    <mergeCell ref="MUC30:MUD30"/>
    <mergeCell ref="MUE30:MUF30"/>
    <mergeCell ref="MUG30:MUH30"/>
    <mergeCell ref="MUI30:MUJ30"/>
    <mergeCell ref="MUK30:MUL30"/>
    <mergeCell ref="MUM30:MUN30"/>
    <mergeCell ref="MTQ30:MTR30"/>
    <mergeCell ref="MTS30:MTT30"/>
    <mergeCell ref="MTU30:MTV30"/>
    <mergeCell ref="MTW30:MTX30"/>
    <mergeCell ref="MTY30:MTZ30"/>
    <mergeCell ref="MUA30:MUB30"/>
    <mergeCell ref="MYS30:MYT30"/>
    <mergeCell ref="MYU30:MYV30"/>
    <mergeCell ref="MYW30:MYX30"/>
    <mergeCell ref="MYY30:MYZ30"/>
    <mergeCell ref="MZA30:MZB30"/>
    <mergeCell ref="MZC30:MZD30"/>
    <mergeCell ref="MYG30:MYH30"/>
    <mergeCell ref="MYI30:MYJ30"/>
    <mergeCell ref="MYK30:MYL30"/>
    <mergeCell ref="MYM30:MYN30"/>
    <mergeCell ref="MYO30:MYP30"/>
    <mergeCell ref="MYQ30:MYR30"/>
    <mergeCell ref="MXU30:MXV30"/>
    <mergeCell ref="MXW30:MXX30"/>
    <mergeCell ref="MXY30:MXZ30"/>
    <mergeCell ref="MYA30:MYB30"/>
    <mergeCell ref="MYC30:MYD30"/>
    <mergeCell ref="MYE30:MYF30"/>
    <mergeCell ref="MXI30:MXJ30"/>
    <mergeCell ref="MXK30:MXL30"/>
    <mergeCell ref="MXM30:MXN30"/>
    <mergeCell ref="MXO30:MXP30"/>
    <mergeCell ref="MXQ30:MXR30"/>
    <mergeCell ref="MXS30:MXT30"/>
    <mergeCell ref="MWW30:MWX30"/>
    <mergeCell ref="MWY30:MWZ30"/>
    <mergeCell ref="MXA30:MXB30"/>
    <mergeCell ref="MXC30:MXD30"/>
    <mergeCell ref="MXE30:MXF30"/>
    <mergeCell ref="MXG30:MXH30"/>
    <mergeCell ref="MWK30:MWL30"/>
    <mergeCell ref="MWM30:MWN30"/>
    <mergeCell ref="MWO30:MWP30"/>
    <mergeCell ref="MWQ30:MWR30"/>
    <mergeCell ref="MWS30:MWT30"/>
    <mergeCell ref="MWU30:MWV30"/>
    <mergeCell ref="NBM30:NBN30"/>
    <mergeCell ref="NBO30:NBP30"/>
    <mergeCell ref="NBQ30:NBR30"/>
    <mergeCell ref="NBS30:NBT30"/>
    <mergeCell ref="NBU30:NBV30"/>
    <mergeCell ref="NBW30:NBX30"/>
    <mergeCell ref="NBA30:NBB30"/>
    <mergeCell ref="NBC30:NBD30"/>
    <mergeCell ref="NBE30:NBF30"/>
    <mergeCell ref="NBG30:NBH30"/>
    <mergeCell ref="NBI30:NBJ30"/>
    <mergeCell ref="NBK30:NBL30"/>
    <mergeCell ref="NAO30:NAP30"/>
    <mergeCell ref="NAQ30:NAR30"/>
    <mergeCell ref="NAS30:NAT30"/>
    <mergeCell ref="NAU30:NAV30"/>
    <mergeCell ref="NAW30:NAX30"/>
    <mergeCell ref="NAY30:NAZ30"/>
    <mergeCell ref="NAC30:NAD30"/>
    <mergeCell ref="NAE30:NAF30"/>
    <mergeCell ref="NAG30:NAH30"/>
    <mergeCell ref="NAI30:NAJ30"/>
    <mergeCell ref="NAK30:NAL30"/>
    <mergeCell ref="NAM30:NAN30"/>
    <mergeCell ref="MZQ30:MZR30"/>
    <mergeCell ref="MZS30:MZT30"/>
    <mergeCell ref="MZU30:MZV30"/>
    <mergeCell ref="MZW30:MZX30"/>
    <mergeCell ref="MZY30:MZZ30"/>
    <mergeCell ref="NAA30:NAB30"/>
    <mergeCell ref="MZE30:MZF30"/>
    <mergeCell ref="MZG30:MZH30"/>
    <mergeCell ref="MZI30:MZJ30"/>
    <mergeCell ref="MZK30:MZL30"/>
    <mergeCell ref="MZM30:MZN30"/>
    <mergeCell ref="MZO30:MZP30"/>
    <mergeCell ref="NEG30:NEH30"/>
    <mergeCell ref="NEI30:NEJ30"/>
    <mergeCell ref="NEK30:NEL30"/>
    <mergeCell ref="NEM30:NEN30"/>
    <mergeCell ref="NEO30:NEP30"/>
    <mergeCell ref="NEQ30:NER30"/>
    <mergeCell ref="NDU30:NDV30"/>
    <mergeCell ref="NDW30:NDX30"/>
    <mergeCell ref="NDY30:NDZ30"/>
    <mergeCell ref="NEA30:NEB30"/>
    <mergeCell ref="NEC30:NED30"/>
    <mergeCell ref="NEE30:NEF30"/>
    <mergeCell ref="NDI30:NDJ30"/>
    <mergeCell ref="NDK30:NDL30"/>
    <mergeCell ref="NDM30:NDN30"/>
    <mergeCell ref="NDO30:NDP30"/>
    <mergeCell ref="NDQ30:NDR30"/>
    <mergeCell ref="NDS30:NDT30"/>
    <mergeCell ref="NCW30:NCX30"/>
    <mergeCell ref="NCY30:NCZ30"/>
    <mergeCell ref="NDA30:NDB30"/>
    <mergeCell ref="NDC30:NDD30"/>
    <mergeCell ref="NDE30:NDF30"/>
    <mergeCell ref="NDG30:NDH30"/>
    <mergeCell ref="NCK30:NCL30"/>
    <mergeCell ref="NCM30:NCN30"/>
    <mergeCell ref="NCO30:NCP30"/>
    <mergeCell ref="NCQ30:NCR30"/>
    <mergeCell ref="NCS30:NCT30"/>
    <mergeCell ref="NCU30:NCV30"/>
    <mergeCell ref="NBY30:NBZ30"/>
    <mergeCell ref="NCA30:NCB30"/>
    <mergeCell ref="NCC30:NCD30"/>
    <mergeCell ref="NCE30:NCF30"/>
    <mergeCell ref="NCG30:NCH30"/>
    <mergeCell ref="NCI30:NCJ30"/>
    <mergeCell ref="NHA30:NHB30"/>
    <mergeCell ref="NHC30:NHD30"/>
    <mergeCell ref="NHE30:NHF30"/>
    <mergeCell ref="NHG30:NHH30"/>
    <mergeCell ref="NHI30:NHJ30"/>
    <mergeCell ref="NHK30:NHL30"/>
    <mergeCell ref="NGO30:NGP30"/>
    <mergeCell ref="NGQ30:NGR30"/>
    <mergeCell ref="NGS30:NGT30"/>
    <mergeCell ref="NGU30:NGV30"/>
    <mergeCell ref="NGW30:NGX30"/>
    <mergeCell ref="NGY30:NGZ30"/>
    <mergeCell ref="NGC30:NGD30"/>
    <mergeCell ref="NGE30:NGF30"/>
    <mergeCell ref="NGG30:NGH30"/>
    <mergeCell ref="NGI30:NGJ30"/>
    <mergeCell ref="NGK30:NGL30"/>
    <mergeCell ref="NGM30:NGN30"/>
    <mergeCell ref="NFQ30:NFR30"/>
    <mergeCell ref="NFS30:NFT30"/>
    <mergeCell ref="NFU30:NFV30"/>
    <mergeCell ref="NFW30:NFX30"/>
    <mergeCell ref="NFY30:NFZ30"/>
    <mergeCell ref="NGA30:NGB30"/>
    <mergeCell ref="NFE30:NFF30"/>
    <mergeCell ref="NFG30:NFH30"/>
    <mergeCell ref="NFI30:NFJ30"/>
    <mergeCell ref="NFK30:NFL30"/>
    <mergeCell ref="NFM30:NFN30"/>
    <mergeCell ref="NFO30:NFP30"/>
    <mergeCell ref="NES30:NET30"/>
    <mergeCell ref="NEU30:NEV30"/>
    <mergeCell ref="NEW30:NEX30"/>
    <mergeCell ref="NEY30:NEZ30"/>
    <mergeCell ref="NFA30:NFB30"/>
    <mergeCell ref="NFC30:NFD30"/>
    <mergeCell ref="NJU30:NJV30"/>
    <mergeCell ref="NJW30:NJX30"/>
    <mergeCell ref="NJY30:NJZ30"/>
    <mergeCell ref="NKA30:NKB30"/>
    <mergeCell ref="NKC30:NKD30"/>
    <mergeCell ref="NKE30:NKF30"/>
    <mergeCell ref="NJI30:NJJ30"/>
    <mergeCell ref="NJK30:NJL30"/>
    <mergeCell ref="NJM30:NJN30"/>
    <mergeCell ref="NJO30:NJP30"/>
    <mergeCell ref="NJQ30:NJR30"/>
    <mergeCell ref="NJS30:NJT30"/>
    <mergeCell ref="NIW30:NIX30"/>
    <mergeCell ref="NIY30:NIZ30"/>
    <mergeCell ref="NJA30:NJB30"/>
    <mergeCell ref="NJC30:NJD30"/>
    <mergeCell ref="NJE30:NJF30"/>
    <mergeCell ref="NJG30:NJH30"/>
    <mergeCell ref="NIK30:NIL30"/>
    <mergeCell ref="NIM30:NIN30"/>
    <mergeCell ref="NIO30:NIP30"/>
    <mergeCell ref="NIQ30:NIR30"/>
    <mergeCell ref="NIS30:NIT30"/>
    <mergeCell ref="NIU30:NIV30"/>
    <mergeCell ref="NHY30:NHZ30"/>
    <mergeCell ref="NIA30:NIB30"/>
    <mergeCell ref="NIC30:NID30"/>
    <mergeCell ref="NIE30:NIF30"/>
    <mergeCell ref="NIG30:NIH30"/>
    <mergeCell ref="NII30:NIJ30"/>
    <mergeCell ref="NHM30:NHN30"/>
    <mergeCell ref="NHO30:NHP30"/>
    <mergeCell ref="NHQ30:NHR30"/>
    <mergeCell ref="NHS30:NHT30"/>
    <mergeCell ref="NHU30:NHV30"/>
    <mergeCell ref="NHW30:NHX30"/>
    <mergeCell ref="NMO30:NMP30"/>
    <mergeCell ref="NMQ30:NMR30"/>
    <mergeCell ref="NMS30:NMT30"/>
    <mergeCell ref="NMU30:NMV30"/>
    <mergeCell ref="NMW30:NMX30"/>
    <mergeCell ref="NMY30:NMZ30"/>
    <mergeCell ref="NMC30:NMD30"/>
    <mergeCell ref="NME30:NMF30"/>
    <mergeCell ref="NMG30:NMH30"/>
    <mergeCell ref="NMI30:NMJ30"/>
    <mergeCell ref="NMK30:NML30"/>
    <mergeCell ref="NMM30:NMN30"/>
    <mergeCell ref="NLQ30:NLR30"/>
    <mergeCell ref="NLS30:NLT30"/>
    <mergeCell ref="NLU30:NLV30"/>
    <mergeCell ref="NLW30:NLX30"/>
    <mergeCell ref="NLY30:NLZ30"/>
    <mergeCell ref="NMA30:NMB30"/>
    <mergeCell ref="NLE30:NLF30"/>
    <mergeCell ref="NLG30:NLH30"/>
    <mergeCell ref="NLI30:NLJ30"/>
    <mergeCell ref="NLK30:NLL30"/>
    <mergeCell ref="NLM30:NLN30"/>
    <mergeCell ref="NLO30:NLP30"/>
    <mergeCell ref="NKS30:NKT30"/>
    <mergeCell ref="NKU30:NKV30"/>
    <mergeCell ref="NKW30:NKX30"/>
    <mergeCell ref="NKY30:NKZ30"/>
    <mergeCell ref="NLA30:NLB30"/>
    <mergeCell ref="NLC30:NLD30"/>
    <mergeCell ref="NKG30:NKH30"/>
    <mergeCell ref="NKI30:NKJ30"/>
    <mergeCell ref="NKK30:NKL30"/>
    <mergeCell ref="NKM30:NKN30"/>
    <mergeCell ref="NKO30:NKP30"/>
    <mergeCell ref="NKQ30:NKR30"/>
    <mergeCell ref="NPI30:NPJ30"/>
    <mergeCell ref="NPK30:NPL30"/>
    <mergeCell ref="NPM30:NPN30"/>
    <mergeCell ref="NPO30:NPP30"/>
    <mergeCell ref="NPQ30:NPR30"/>
    <mergeCell ref="NPS30:NPT30"/>
    <mergeCell ref="NOW30:NOX30"/>
    <mergeCell ref="NOY30:NOZ30"/>
    <mergeCell ref="NPA30:NPB30"/>
    <mergeCell ref="NPC30:NPD30"/>
    <mergeCell ref="NPE30:NPF30"/>
    <mergeCell ref="NPG30:NPH30"/>
    <mergeCell ref="NOK30:NOL30"/>
    <mergeCell ref="NOM30:NON30"/>
    <mergeCell ref="NOO30:NOP30"/>
    <mergeCell ref="NOQ30:NOR30"/>
    <mergeCell ref="NOS30:NOT30"/>
    <mergeCell ref="NOU30:NOV30"/>
    <mergeCell ref="NNY30:NNZ30"/>
    <mergeCell ref="NOA30:NOB30"/>
    <mergeCell ref="NOC30:NOD30"/>
    <mergeCell ref="NOE30:NOF30"/>
    <mergeCell ref="NOG30:NOH30"/>
    <mergeCell ref="NOI30:NOJ30"/>
    <mergeCell ref="NNM30:NNN30"/>
    <mergeCell ref="NNO30:NNP30"/>
    <mergeCell ref="NNQ30:NNR30"/>
    <mergeCell ref="NNS30:NNT30"/>
    <mergeCell ref="NNU30:NNV30"/>
    <mergeCell ref="NNW30:NNX30"/>
    <mergeCell ref="NNA30:NNB30"/>
    <mergeCell ref="NNC30:NND30"/>
    <mergeCell ref="NNE30:NNF30"/>
    <mergeCell ref="NNG30:NNH30"/>
    <mergeCell ref="NNI30:NNJ30"/>
    <mergeCell ref="NNK30:NNL30"/>
    <mergeCell ref="NSC30:NSD30"/>
    <mergeCell ref="NSE30:NSF30"/>
    <mergeCell ref="NSG30:NSH30"/>
    <mergeCell ref="NSI30:NSJ30"/>
    <mergeCell ref="NSK30:NSL30"/>
    <mergeCell ref="NSM30:NSN30"/>
    <mergeCell ref="NRQ30:NRR30"/>
    <mergeCell ref="NRS30:NRT30"/>
    <mergeCell ref="NRU30:NRV30"/>
    <mergeCell ref="NRW30:NRX30"/>
    <mergeCell ref="NRY30:NRZ30"/>
    <mergeCell ref="NSA30:NSB30"/>
    <mergeCell ref="NRE30:NRF30"/>
    <mergeCell ref="NRG30:NRH30"/>
    <mergeCell ref="NRI30:NRJ30"/>
    <mergeCell ref="NRK30:NRL30"/>
    <mergeCell ref="NRM30:NRN30"/>
    <mergeCell ref="NRO30:NRP30"/>
    <mergeCell ref="NQS30:NQT30"/>
    <mergeCell ref="NQU30:NQV30"/>
    <mergeCell ref="NQW30:NQX30"/>
    <mergeCell ref="NQY30:NQZ30"/>
    <mergeCell ref="NRA30:NRB30"/>
    <mergeCell ref="NRC30:NRD30"/>
    <mergeCell ref="NQG30:NQH30"/>
    <mergeCell ref="NQI30:NQJ30"/>
    <mergeCell ref="NQK30:NQL30"/>
    <mergeCell ref="NQM30:NQN30"/>
    <mergeCell ref="NQO30:NQP30"/>
    <mergeCell ref="NQQ30:NQR30"/>
    <mergeCell ref="NPU30:NPV30"/>
    <mergeCell ref="NPW30:NPX30"/>
    <mergeCell ref="NPY30:NPZ30"/>
    <mergeCell ref="NQA30:NQB30"/>
    <mergeCell ref="NQC30:NQD30"/>
    <mergeCell ref="NQE30:NQF30"/>
    <mergeCell ref="NUW30:NUX30"/>
    <mergeCell ref="NUY30:NUZ30"/>
    <mergeCell ref="NVA30:NVB30"/>
    <mergeCell ref="NVC30:NVD30"/>
    <mergeCell ref="NVE30:NVF30"/>
    <mergeCell ref="NVG30:NVH30"/>
    <mergeCell ref="NUK30:NUL30"/>
    <mergeCell ref="NUM30:NUN30"/>
    <mergeCell ref="NUO30:NUP30"/>
    <mergeCell ref="NUQ30:NUR30"/>
    <mergeCell ref="NUS30:NUT30"/>
    <mergeCell ref="NUU30:NUV30"/>
    <mergeCell ref="NTY30:NTZ30"/>
    <mergeCell ref="NUA30:NUB30"/>
    <mergeCell ref="NUC30:NUD30"/>
    <mergeCell ref="NUE30:NUF30"/>
    <mergeCell ref="NUG30:NUH30"/>
    <mergeCell ref="NUI30:NUJ30"/>
    <mergeCell ref="NTM30:NTN30"/>
    <mergeCell ref="NTO30:NTP30"/>
    <mergeCell ref="NTQ30:NTR30"/>
    <mergeCell ref="NTS30:NTT30"/>
    <mergeCell ref="NTU30:NTV30"/>
    <mergeCell ref="NTW30:NTX30"/>
    <mergeCell ref="NTA30:NTB30"/>
    <mergeCell ref="NTC30:NTD30"/>
    <mergeCell ref="NTE30:NTF30"/>
    <mergeCell ref="NTG30:NTH30"/>
    <mergeCell ref="NTI30:NTJ30"/>
    <mergeCell ref="NTK30:NTL30"/>
    <mergeCell ref="NSO30:NSP30"/>
    <mergeCell ref="NSQ30:NSR30"/>
    <mergeCell ref="NSS30:NST30"/>
    <mergeCell ref="NSU30:NSV30"/>
    <mergeCell ref="NSW30:NSX30"/>
    <mergeCell ref="NSY30:NSZ30"/>
    <mergeCell ref="NXQ30:NXR30"/>
    <mergeCell ref="NXS30:NXT30"/>
    <mergeCell ref="NXU30:NXV30"/>
    <mergeCell ref="NXW30:NXX30"/>
    <mergeCell ref="NXY30:NXZ30"/>
    <mergeCell ref="NYA30:NYB30"/>
    <mergeCell ref="NXE30:NXF30"/>
    <mergeCell ref="NXG30:NXH30"/>
    <mergeCell ref="NXI30:NXJ30"/>
    <mergeCell ref="NXK30:NXL30"/>
    <mergeCell ref="NXM30:NXN30"/>
    <mergeCell ref="NXO30:NXP30"/>
    <mergeCell ref="NWS30:NWT30"/>
    <mergeCell ref="NWU30:NWV30"/>
    <mergeCell ref="NWW30:NWX30"/>
    <mergeCell ref="NWY30:NWZ30"/>
    <mergeCell ref="NXA30:NXB30"/>
    <mergeCell ref="NXC30:NXD30"/>
    <mergeCell ref="NWG30:NWH30"/>
    <mergeCell ref="NWI30:NWJ30"/>
    <mergeCell ref="NWK30:NWL30"/>
    <mergeCell ref="NWM30:NWN30"/>
    <mergeCell ref="NWO30:NWP30"/>
    <mergeCell ref="NWQ30:NWR30"/>
    <mergeCell ref="NVU30:NVV30"/>
    <mergeCell ref="NVW30:NVX30"/>
    <mergeCell ref="NVY30:NVZ30"/>
    <mergeCell ref="NWA30:NWB30"/>
    <mergeCell ref="NWC30:NWD30"/>
    <mergeCell ref="NWE30:NWF30"/>
    <mergeCell ref="NVI30:NVJ30"/>
    <mergeCell ref="NVK30:NVL30"/>
    <mergeCell ref="NVM30:NVN30"/>
    <mergeCell ref="NVO30:NVP30"/>
    <mergeCell ref="NVQ30:NVR30"/>
    <mergeCell ref="NVS30:NVT30"/>
    <mergeCell ref="OAK30:OAL30"/>
    <mergeCell ref="OAM30:OAN30"/>
    <mergeCell ref="OAO30:OAP30"/>
    <mergeCell ref="OAQ30:OAR30"/>
    <mergeCell ref="OAS30:OAT30"/>
    <mergeCell ref="OAU30:OAV30"/>
    <mergeCell ref="NZY30:NZZ30"/>
    <mergeCell ref="OAA30:OAB30"/>
    <mergeCell ref="OAC30:OAD30"/>
    <mergeCell ref="OAE30:OAF30"/>
    <mergeCell ref="OAG30:OAH30"/>
    <mergeCell ref="OAI30:OAJ30"/>
    <mergeCell ref="NZM30:NZN30"/>
    <mergeCell ref="NZO30:NZP30"/>
    <mergeCell ref="NZQ30:NZR30"/>
    <mergeCell ref="NZS30:NZT30"/>
    <mergeCell ref="NZU30:NZV30"/>
    <mergeCell ref="NZW30:NZX30"/>
    <mergeCell ref="NZA30:NZB30"/>
    <mergeCell ref="NZC30:NZD30"/>
    <mergeCell ref="NZE30:NZF30"/>
    <mergeCell ref="NZG30:NZH30"/>
    <mergeCell ref="NZI30:NZJ30"/>
    <mergeCell ref="NZK30:NZL30"/>
    <mergeCell ref="NYO30:NYP30"/>
    <mergeCell ref="NYQ30:NYR30"/>
    <mergeCell ref="NYS30:NYT30"/>
    <mergeCell ref="NYU30:NYV30"/>
    <mergeCell ref="NYW30:NYX30"/>
    <mergeCell ref="NYY30:NYZ30"/>
    <mergeCell ref="NYC30:NYD30"/>
    <mergeCell ref="NYE30:NYF30"/>
    <mergeCell ref="NYG30:NYH30"/>
    <mergeCell ref="NYI30:NYJ30"/>
    <mergeCell ref="NYK30:NYL30"/>
    <mergeCell ref="NYM30:NYN30"/>
    <mergeCell ref="ODE30:ODF30"/>
    <mergeCell ref="ODG30:ODH30"/>
    <mergeCell ref="ODI30:ODJ30"/>
    <mergeCell ref="ODK30:ODL30"/>
    <mergeCell ref="ODM30:ODN30"/>
    <mergeCell ref="ODO30:ODP30"/>
    <mergeCell ref="OCS30:OCT30"/>
    <mergeCell ref="OCU30:OCV30"/>
    <mergeCell ref="OCW30:OCX30"/>
    <mergeCell ref="OCY30:OCZ30"/>
    <mergeCell ref="ODA30:ODB30"/>
    <mergeCell ref="ODC30:ODD30"/>
    <mergeCell ref="OCG30:OCH30"/>
    <mergeCell ref="OCI30:OCJ30"/>
    <mergeCell ref="OCK30:OCL30"/>
    <mergeCell ref="OCM30:OCN30"/>
    <mergeCell ref="OCO30:OCP30"/>
    <mergeCell ref="OCQ30:OCR30"/>
    <mergeCell ref="OBU30:OBV30"/>
    <mergeCell ref="OBW30:OBX30"/>
    <mergeCell ref="OBY30:OBZ30"/>
    <mergeCell ref="OCA30:OCB30"/>
    <mergeCell ref="OCC30:OCD30"/>
    <mergeCell ref="OCE30:OCF30"/>
    <mergeCell ref="OBI30:OBJ30"/>
    <mergeCell ref="OBK30:OBL30"/>
    <mergeCell ref="OBM30:OBN30"/>
    <mergeCell ref="OBO30:OBP30"/>
    <mergeCell ref="OBQ30:OBR30"/>
    <mergeCell ref="OBS30:OBT30"/>
    <mergeCell ref="OAW30:OAX30"/>
    <mergeCell ref="OAY30:OAZ30"/>
    <mergeCell ref="OBA30:OBB30"/>
    <mergeCell ref="OBC30:OBD30"/>
    <mergeCell ref="OBE30:OBF30"/>
    <mergeCell ref="OBG30:OBH30"/>
    <mergeCell ref="OFY30:OFZ30"/>
    <mergeCell ref="OGA30:OGB30"/>
    <mergeCell ref="OGC30:OGD30"/>
    <mergeCell ref="OGE30:OGF30"/>
    <mergeCell ref="OGG30:OGH30"/>
    <mergeCell ref="OGI30:OGJ30"/>
    <mergeCell ref="OFM30:OFN30"/>
    <mergeCell ref="OFO30:OFP30"/>
    <mergeCell ref="OFQ30:OFR30"/>
    <mergeCell ref="OFS30:OFT30"/>
    <mergeCell ref="OFU30:OFV30"/>
    <mergeCell ref="OFW30:OFX30"/>
    <mergeCell ref="OFA30:OFB30"/>
    <mergeCell ref="OFC30:OFD30"/>
    <mergeCell ref="OFE30:OFF30"/>
    <mergeCell ref="OFG30:OFH30"/>
    <mergeCell ref="OFI30:OFJ30"/>
    <mergeCell ref="OFK30:OFL30"/>
    <mergeCell ref="OEO30:OEP30"/>
    <mergeCell ref="OEQ30:OER30"/>
    <mergeCell ref="OES30:OET30"/>
    <mergeCell ref="OEU30:OEV30"/>
    <mergeCell ref="OEW30:OEX30"/>
    <mergeCell ref="OEY30:OEZ30"/>
    <mergeCell ref="OEC30:OED30"/>
    <mergeCell ref="OEE30:OEF30"/>
    <mergeCell ref="OEG30:OEH30"/>
    <mergeCell ref="OEI30:OEJ30"/>
    <mergeCell ref="OEK30:OEL30"/>
    <mergeCell ref="OEM30:OEN30"/>
    <mergeCell ref="ODQ30:ODR30"/>
    <mergeCell ref="ODS30:ODT30"/>
    <mergeCell ref="ODU30:ODV30"/>
    <mergeCell ref="ODW30:ODX30"/>
    <mergeCell ref="ODY30:ODZ30"/>
    <mergeCell ref="OEA30:OEB30"/>
    <mergeCell ref="OIS30:OIT30"/>
    <mergeCell ref="OIU30:OIV30"/>
    <mergeCell ref="OIW30:OIX30"/>
    <mergeCell ref="OIY30:OIZ30"/>
    <mergeCell ref="OJA30:OJB30"/>
    <mergeCell ref="OJC30:OJD30"/>
    <mergeCell ref="OIG30:OIH30"/>
    <mergeCell ref="OII30:OIJ30"/>
    <mergeCell ref="OIK30:OIL30"/>
    <mergeCell ref="OIM30:OIN30"/>
    <mergeCell ref="OIO30:OIP30"/>
    <mergeCell ref="OIQ30:OIR30"/>
    <mergeCell ref="OHU30:OHV30"/>
    <mergeCell ref="OHW30:OHX30"/>
    <mergeCell ref="OHY30:OHZ30"/>
    <mergeCell ref="OIA30:OIB30"/>
    <mergeCell ref="OIC30:OID30"/>
    <mergeCell ref="OIE30:OIF30"/>
    <mergeCell ref="OHI30:OHJ30"/>
    <mergeCell ref="OHK30:OHL30"/>
    <mergeCell ref="OHM30:OHN30"/>
    <mergeCell ref="OHO30:OHP30"/>
    <mergeCell ref="OHQ30:OHR30"/>
    <mergeCell ref="OHS30:OHT30"/>
    <mergeCell ref="OGW30:OGX30"/>
    <mergeCell ref="OGY30:OGZ30"/>
    <mergeCell ref="OHA30:OHB30"/>
    <mergeCell ref="OHC30:OHD30"/>
    <mergeCell ref="OHE30:OHF30"/>
    <mergeCell ref="OHG30:OHH30"/>
    <mergeCell ref="OGK30:OGL30"/>
    <mergeCell ref="OGM30:OGN30"/>
    <mergeCell ref="OGO30:OGP30"/>
    <mergeCell ref="OGQ30:OGR30"/>
    <mergeCell ref="OGS30:OGT30"/>
    <mergeCell ref="OGU30:OGV30"/>
    <mergeCell ref="OLM30:OLN30"/>
    <mergeCell ref="OLO30:OLP30"/>
    <mergeCell ref="OLQ30:OLR30"/>
    <mergeCell ref="OLS30:OLT30"/>
    <mergeCell ref="OLU30:OLV30"/>
    <mergeCell ref="OLW30:OLX30"/>
    <mergeCell ref="OLA30:OLB30"/>
    <mergeCell ref="OLC30:OLD30"/>
    <mergeCell ref="OLE30:OLF30"/>
    <mergeCell ref="OLG30:OLH30"/>
    <mergeCell ref="OLI30:OLJ30"/>
    <mergeCell ref="OLK30:OLL30"/>
    <mergeCell ref="OKO30:OKP30"/>
    <mergeCell ref="OKQ30:OKR30"/>
    <mergeCell ref="OKS30:OKT30"/>
    <mergeCell ref="OKU30:OKV30"/>
    <mergeCell ref="OKW30:OKX30"/>
    <mergeCell ref="OKY30:OKZ30"/>
    <mergeCell ref="OKC30:OKD30"/>
    <mergeCell ref="OKE30:OKF30"/>
    <mergeCell ref="OKG30:OKH30"/>
    <mergeCell ref="OKI30:OKJ30"/>
    <mergeCell ref="OKK30:OKL30"/>
    <mergeCell ref="OKM30:OKN30"/>
    <mergeCell ref="OJQ30:OJR30"/>
    <mergeCell ref="OJS30:OJT30"/>
    <mergeCell ref="OJU30:OJV30"/>
    <mergeCell ref="OJW30:OJX30"/>
    <mergeCell ref="OJY30:OJZ30"/>
    <mergeCell ref="OKA30:OKB30"/>
    <mergeCell ref="OJE30:OJF30"/>
    <mergeCell ref="OJG30:OJH30"/>
    <mergeCell ref="OJI30:OJJ30"/>
    <mergeCell ref="OJK30:OJL30"/>
    <mergeCell ref="OJM30:OJN30"/>
    <mergeCell ref="OJO30:OJP30"/>
    <mergeCell ref="OOG30:OOH30"/>
    <mergeCell ref="OOI30:OOJ30"/>
    <mergeCell ref="OOK30:OOL30"/>
    <mergeCell ref="OOM30:OON30"/>
    <mergeCell ref="OOO30:OOP30"/>
    <mergeCell ref="OOQ30:OOR30"/>
    <mergeCell ref="ONU30:ONV30"/>
    <mergeCell ref="ONW30:ONX30"/>
    <mergeCell ref="ONY30:ONZ30"/>
    <mergeCell ref="OOA30:OOB30"/>
    <mergeCell ref="OOC30:OOD30"/>
    <mergeCell ref="OOE30:OOF30"/>
    <mergeCell ref="ONI30:ONJ30"/>
    <mergeCell ref="ONK30:ONL30"/>
    <mergeCell ref="ONM30:ONN30"/>
    <mergeCell ref="ONO30:ONP30"/>
    <mergeCell ref="ONQ30:ONR30"/>
    <mergeCell ref="ONS30:ONT30"/>
    <mergeCell ref="OMW30:OMX30"/>
    <mergeCell ref="OMY30:OMZ30"/>
    <mergeCell ref="ONA30:ONB30"/>
    <mergeCell ref="ONC30:OND30"/>
    <mergeCell ref="ONE30:ONF30"/>
    <mergeCell ref="ONG30:ONH30"/>
    <mergeCell ref="OMK30:OML30"/>
    <mergeCell ref="OMM30:OMN30"/>
    <mergeCell ref="OMO30:OMP30"/>
    <mergeCell ref="OMQ30:OMR30"/>
    <mergeCell ref="OMS30:OMT30"/>
    <mergeCell ref="OMU30:OMV30"/>
    <mergeCell ref="OLY30:OLZ30"/>
    <mergeCell ref="OMA30:OMB30"/>
    <mergeCell ref="OMC30:OMD30"/>
    <mergeCell ref="OME30:OMF30"/>
    <mergeCell ref="OMG30:OMH30"/>
    <mergeCell ref="OMI30:OMJ30"/>
    <mergeCell ref="ORA30:ORB30"/>
    <mergeCell ref="ORC30:ORD30"/>
    <mergeCell ref="ORE30:ORF30"/>
    <mergeCell ref="ORG30:ORH30"/>
    <mergeCell ref="ORI30:ORJ30"/>
    <mergeCell ref="ORK30:ORL30"/>
    <mergeCell ref="OQO30:OQP30"/>
    <mergeCell ref="OQQ30:OQR30"/>
    <mergeCell ref="OQS30:OQT30"/>
    <mergeCell ref="OQU30:OQV30"/>
    <mergeCell ref="OQW30:OQX30"/>
    <mergeCell ref="OQY30:OQZ30"/>
    <mergeCell ref="OQC30:OQD30"/>
    <mergeCell ref="OQE30:OQF30"/>
    <mergeCell ref="OQG30:OQH30"/>
    <mergeCell ref="OQI30:OQJ30"/>
    <mergeCell ref="OQK30:OQL30"/>
    <mergeCell ref="OQM30:OQN30"/>
    <mergeCell ref="OPQ30:OPR30"/>
    <mergeCell ref="OPS30:OPT30"/>
    <mergeCell ref="OPU30:OPV30"/>
    <mergeCell ref="OPW30:OPX30"/>
    <mergeCell ref="OPY30:OPZ30"/>
    <mergeCell ref="OQA30:OQB30"/>
    <mergeCell ref="OPE30:OPF30"/>
    <mergeCell ref="OPG30:OPH30"/>
    <mergeCell ref="OPI30:OPJ30"/>
    <mergeCell ref="OPK30:OPL30"/>
    <mergeCell ref="OPM30:OPN30"/>
    <mergeCell ref="OPO30:OPP30"/>
    <mergeCell ref="OOS30:OOT30"/>
    <mergeCell ref="OOU30:OOV30"/>
    <mergeCell ref="OOW30:OOX30"/>
    <mergeCell ref="OOY30:OOZ30"/>
    <mergeCell ref="OPA30:OPB30"/>
    <mergeCell ref="OPC30:OPD30"/>
    <mergeCell ref="OTU30:OTV30"/>
    <mergeCell ref="OTW30:OTX30"/>
    <mergeCell ref="OTY30:OTZ30"/>
    <mergeCell ref="OUA30:OUB30"/>
    <mergeCell ref="OUC30:OUD30"/>
    <mergeCell ref="OUE30:OUF30"/>
    <mergeCell ref="OTI30:OTJ30"/>
    <mergeCell ref="OTK30:OTL30"/>
    <mergeCell ref="OTM30:OTN30"/>
    <mergeCell ref="OTO30:OTP30"/>
    <mergeCell ref="OTQ30:OTR30"/>
    <mergeCell ref="OTS30:OTT30"/>
    <mergeCell ref="OSW30:OSX30"/>
    <mergeCell ref="OSY30:OSZ30"/>
    <mergeCell ref="OTA30:OTB30"/>
    <mergeCell ref="OTC30:OTD30"/>
    <mergeCell ref="OTE30:OTF30"/>
    <mergeCell ref="OTG30:OTH30"/>
    <mergeCell ref="OSK30:OSL30"/>
    <mergeCell ref="OSM30:OSN30"/>
    <mergeCell ref="OSO30:OSP30"/>
    <mergeCell ref="OSQ30:OSR30"/>
    <mergeCell ref="OSS30:OST30"/>
    <mergeCell ref="OSU30:OSV30"/>
    <mergeCell ref="ORY30:ORZ30"/>
    <mergeCell ref="OSA30:OSB30"/>
    <mergeCell ref="OSC30:OSD30"/>
    <mergeCell ref="OSE30:OSF30"/>
    <mergeCell ref="OSG30:OSH30"/>
    <mergeCell ref="OSI30:OSJ30"/>
    <mergeCell ref="ORM30:ORN30"/>
    <mergeCell ref="ORO30:ORP30"/>
    <mergeCell ref="ORQ30:ORR30"/>
    <mergeCell ref="ORS30:ORT30"/>
    <mergeCell ref="ORU30:ORV30"/>
    <mergeCell ref="ORW30:ORX30"/>
    <mergeCell ref="OWO30:OWP30"/>
    <mergeCell ref="OWQ30:OWR30"/>
    <mergeCell ref="OWS30:OWT30"/>
    <mergeCell ref="OWU30:OWV30"/>
    <mergeCell ref="OWW30:OWX30"/>
    <mergeCell ref="OWY30:OWZ30"/>
    <mergeCell ref="OWC30:OWD30"/>
    <mergeCell ref="OWE30:OWF30"/>
    <mergeCell ref="OWG30:OWH30"/>
    <mergeCell ref="OWI30:OWJ30"/>
    <mergeCell ref="OWK30:OWL30"/>
    <mergeCell ref="OWM30:OWN30"/>
    <mergeCell ref="OVQ30:OVR30"/>
    <mergeCell ref="OVS30:OVT30"/>
    <mergeCell ref="OVU30:OVV30"/>
    <mergeCell ref="OVW30:OVX30"/>
    <mergeCell ref="OVY30:OVZ30"/>
    <mergeCell ref="OWA30:OWB30"/>
    <mergeCell ref="OVE30:OVF30"/>
    <mergeCell ref="OVG30:OVH30"/>
    <mergeCell ref="OVI30:OVJ30"/>
    <mergeCell ref="OVK30:OVL30"/>
    <mergeCell ref="OVM30:OVN30"/>
    <mergeCell ref="OVO30:OVP30"/>
    <mergeCell ref="OUS30:OUT30"/>
    <mergeCell ref="OUU30:OUV30"/>
    <mergeCell ref="OUW30:OUX30"/>
    <mergeCell ref="OUY30:OUZ30"/>
    <mergeCell ref="OVA30:OVB30"/>
    <mergeCell ref="OVC30:OVD30"/>
    <mergeCell ref="OUG30:OUH30"/>
    <mergeCell ref="OUI30:OUJ30"/>
    <mergeCell ref="OUK30:OUL30"/>
    <mergeCell ref="OUM30:OUN30"/>
    <mergeCell ref="OUO30:OUP30"/>
    <mergeCell ref="OUQ30:OUR30"/>
    <mergeCell ref="OZI30:OZJ30"/>
    <mergeCell ref="OZK30:OZL30"/>
    <mergeCell ref="OZM30:OZN30"/>
    <mergeCell ref="OZO30:OZP30"/>
    <mergeCell ref="OZQ30:OZR30"/>
    <mergeCell ref="OZS30:OZT30"/>
    <mergeCell ref="OYW30:OYX30"/>
    <mergeCell ref="OYY30:OYZ30"/>
    <mergeCell ref="OZA30:OZB30"/>
    <mergeCell ref="OZC30:OZD30"/>
    <mergeCell ref="OZE30:OZF30"/>
    <mergeCell ref="OZG30:OZH30"/>
    <mergeCell ref="OYK30:OYL30"/>
    <mergeCell ref="OYM30:OYN30"/>
    <mergeCell ref="OYO30:OYP30"/>
    <mergeCell ref="OYQ30:OYR30"/>
    <mergeCell ref="OYS30:OYT30"/>
    <mergeCell ref="OYU30:OYV30"/>
    <mergeCell ref="OXY30:OXZ30"/>
    <mergeCell ref="OYA30:OYB30"/>
    <mergeCell ref="OYC30:OYD30"/>
    <mergeCell ref="OYE30:OYF30"/>
    <mergeCell ref="OYG30:OYH30"/>
    <mergeCell ref="OYI30:OYJ30"/>
    <mergeCell ref="OXM30:OXN30"/>
    <mergeCell ref="OXO30:OXP30"/>
    <mergeCell ref="OXQ30:OXR30"/>
    <mergeCell ref="OXS30:OXT30"/>
    <mergeCell ref="OXU30:OXV30"/>
    <mergeCell ref="OXW30:OXX30"/>
    <mergeCell ref="OXA30:OXB30"/>
    <mergeCell ref="OXC30:OXD30"/>
    <mergeCell ref="OXE30:OXF30"/>
    <mergeCell ref="OXG30:OXH30"/>
    <mergeCell ref="OXI30:OXJ30"/>
    <mergeCell ref="OXK30:OXL30"/>
    <mergeCell ref="PCC30:PCD30"/>
    <mergeCell ref="PCE30:PCF30"/>
    <mergeCell ref="PCG30:PCH30"/>
    <mergeCell ref="PCI30:PCJ30"/>
    <mergeCell ref="PCK30:PCL30"/>
    <mergeCell ref="PCM30:PCN30"/>
    <mergeCell ref="PBQ30:PBR30"/>
    <mergeCell ref="PBS30:PBT30"/>
    <mergeCell ref="PBU30:PBV30"/>
    <mergeCell ref="PBW30:PBX30"/>
    <mergeCell ref="PBY30:PBZ30"/>
    <mergeCell ref="PCA30:PCB30"/>
    <mergeCell ref="PBE30:PBF30"/>
    <mergeCell ref="PBG30:PBH30"/>
    <mergeCell ref="PBI30:PBJ30"/>
    <mergeCell ref="PBK30:PBL30"/>
    <mergeCell ref="PBM30:PBN30"/>
    <mergeCell ref="PBO30:PBP30"/>
    <mergeCell ref="PAS30:PAT30"/>
    <mergeCell ref="PAU30:PAV30"/>
    <mergeCell ref="PAW30:PAX30"/>
    <mergeCell ref="PAY30:PAZ30"/>
    <mergeCell ref="PBA30:PBB30"/>
    <mergeCell ref="PBC30:PBD30"/>
    <mergeCell ref="PAG30:PAH30"/>
    <mergeCell ref="PAI30:PAJ30"/>
    <mergeCell ref="PAK30:PAL30"/>
    <mergeCell ref="PAM30:PAN30"/>
    <mergeCell ref="PAO30:PAP30"/>
    <mergeCell ref="PAQ30:PAR30"/>
    <mergeCell ref="OZU30:OZV30"/>
    <mergeCell ref="OZW30:OZX30"/>
    <mergeCell ref="OZY30:OZZ30"/>
    <mergeCell ref="PAA30:PAB30"/>
    <mergeCell ref="PAC30:PAD30"/>
    <mergeCell ref="PAE30:PAF30"/>
    <mergeCell ref="PEW30:PEX30"/>
    <mergeCell ref="PEY30:PEZ30"/>
    <mergeCell ref="PFA30:PFB30"/>
    <mergeCell ref="PFC30:PFD30"/>
    <mergeCell ref="PFE30:PFF30"/>
    <mergeCell ref="PFG30:PFH30"/>
    <mergeCell ref="PEK30:PEL30"/>
    <mergeCell ref="PEM30:PEN30"/>
    <mergeCell ref="PEO30:PEP30"/>
    <mergeCell ref="PEQ30:PER30"/>
    <mergeCell ref="PES30:PET30"/>
    <mergeCell ref="PEU30:PEV30"/>
    <mergeCell ref="PDY30:PDZ30"/>
    <mergeCell ref="PEA30:PEB30"/>
    <mergeCell ref="PEC30:PED30"/>
    <mergeCell ref="PEE30:PEF30"/>
    <mergeCell ref="PEG30:PEH30"/>
    <mergeCell ref="PEI30:PEJ30"/>
    <mergeCell ref="PDM30:PDN30"/>
    <mergeCell ref="PDO30:PDP30"/>
    <mergeCell ref="PDQ30:PDR30"/>
    <mergeCell ref="PDS30:PDT30"/>
    <mergeCell ref="PDU30:PDV30"/>
    <mergeCell ref="PDW30:PDX30"/>
    <mergeCell ref="PDA30:PDB30"/>
    <mergeCell ref="PDC30:PDD30"/>
    <mergeCell ref="PDE30:PDF30"/>
    <mergeCell ref="PDG30:PDH30"/>
    <mergeCell ref="PDI30:PDJ30"/>
    <mergeCell ref="PDK30:PDL30"/>
    <mergeCell ref="PCO30:PCP30"/>
    <mergeCell ref="PCQ30:PCR30"/>
    <mergeCell ref="PCS30:PCT30"/>
    <mergeCell ref="PCU30:PCV30"/>
    <mergeCell ref="PCW30:PCX30"/>
    <mergeCell ref="PCY30:PCZ30"/>
    <mergeCell ref="PHQ30:PHR30"/>
    <mergeCell ref="PHS30:PHT30"/>
    <mergeCell ref="PHU30:PHV30"/>
    <mergeCell ref="PHW30:PHX30"/>
    <mergeCell ref="PHY30:PHZ30"/>
    <mergeCell ref="PIA30:PIB30"/>
    <mergeCell ref="PHE30:PHF30"/>
    <mergeCell ref="PHG30:PHH30"/>
    <mergeCell ref="PHI30:PHJ30"/>
    <mergeCell ref="PHK30:PHL30"/>
    <mergeCell ref="PHM30:PHN30"/>
    <mergeCell ref="PHO30:PHP30"/>
    <mergeCell ref="PGS30:PGT30"/>
    <mergeCell ref="PGU30:PGV30"/>
    <mergeCell ref="PGW30:PGX30"/>
    <mergeCell ref="PGY30:PGZ30"/>
    <mergeCell ref="PHA30:PHB30"/>
    <mergeCell ref="PHC30:PHD30"/>
    <mergeCell ref="PGG30:PGH30"/>
    <mergeCell ref="PGI30:PGJ30"/>
    <mergeCell ref="PGK30:PGL30"/>
    <mergeCell ref="PGM30:PGN30"/>
    <mergeCell ref="PGO30:PGP30"/>
    <mergeCell ref="PGQ30:PGR30"/>
    <mergeCell ref="PFU30:PFV30"/>
    <mergeCell ref="PFW30:PFX30"/>
    <mergeCell ref="PFY30:PFZ30"/>
    <mergeCell ref="PGA30:PGB30"/>
    <mergeCell ref="PGC30:PGD30"/>
    <mergeCell ref="PGE30:PGF30"/>
    <mergeCell ref="PFI30:PFJ30"/>
    <mergeCell ref="PFK30:PFL30"/>
    <mergeCell ref="PFM30:PFN30"/>
    <mergeCell ref="PFO30:PFP30"/>
    <mergeCell ref="PFQ30:PFR30"/>
    <mergeCell ref="PFS30:PFT30"/>
    <mergeCell ref="PKK30:PKL30"/>
    <mergeCell ref="PKM30:PKN30"/>
    <mergeCell ref="PKO30:PKP30"/>
    <mergeCell ref="PKQ30:PKR30"/>
    <mergeCell ref="PKS30:PKT30"/>
    <mergeCell ref="PKU30:PKV30"/>
    <mergeCell ref="PJY30:PJZ30"/>
    <mergeCell ref="PKA30:PKB30"/>
    <mergeCell ref="PKC30:PKD30"/>
    <mergeCell ref="PKE30:PKF30"/>
    <mergeCell ref="PKG30:PKH30"/>
    <mergeCell ref="PKI30:PKJ30"/>
    <mergeCell ref="PJM30:PJN30"/>
    <mergeCell ref="PJO30:PJP30"/>
    <mergeCell ref="PJQ30:PJR30"/>
    <mergeCell ref="PJS30:PJT30"/>
    <mergeCell ref="PJU30:PJV30"/>
    <mergeCell ref="PJW30:PJX30"/>
    <mergeCell ref="PJA30:PJB30"/>
    <mergeCell ref="PJC30:PJD30"/>
    <mergeCell ref="PJE30:PJF30"/>
    <mergeCell ref="PJG30:PJH30"/>
    <mergeCell ref="PJI30:PJJ30"/>
    <mergeCell ref="PJK30:PJL30"/>
    <mergeCell ref="PIO30:PIP30"/>
    <mergeCell ref="PIQ30:PIR30"/>
    <mergeCell ref="PIS30:PIT30"/>
    <mergeCell ref="PIU30:PIV30"/>
    <mergeCell ref="PIW30:PIX30"/>
    <mergeCell ref="PIY30:PIZ30"/>
    <mergeCell ref="PIC30:PID30"/>
    <mergeCell ref="PIE30:PIF30"/>
    <mergeCell ref="PIG30:PIH30"/>
    <mergeCell ref="PII30:PIJ30"/>
    <mergeCell ref="PIK30:PIL30"/>
    <mergeCell ref="PIM30:PIN30"/>
    <mergeCell ref="PNE30:PNF30"/>
    <mergeCell ref="PNG30:PNH30"/>
    <mergeCell ref="PNI30:PNJ30"/>
    <mergeCell ref="PNK30:PNL30"/>
    <mergeCell ref="PNM30:PNN30"/>
    <mergeCell ref="PNO30:PNP30"/>
    <mergeCell ref="PMS30:PMT30"/>
    <mergeCell ref="PMU30:PMV30"/>
    <mergeCell ref="PMW30:PMX30"/>
    <mergeCell ref="PMY30:PMZ30"/>
    <mergeCell ref="PNA30:PNB30"/>
    <mergeCell ref="PNC30:PND30"/>
    <mergeCell ref="PMG30:PMH30"/>
    <mergeCell ref="PMI30:PMJ30"/>
    <mergeCell ref="PMK30:PML30"/>
    <mergeCell ref="PMM30:PMN30"/>
    <mergeCell ref="PMO30:PMP30"/>
    <mergeCell ref="PMQ30:PMR30"/>
    <mergeCell ref="PLU30:PLV30"/>
    <mergeCell ref="PLW30:PLX30"/>
    <mergeCell ref="PLY30:PLZ30"/>
    <mergeCell ref="PMA30:PMB30"/>
    <mergeCell ref="PMC30:PMD30"/>
    <mergeCell ref="PME30:PMF30"/>
    <mergeCell ref="PLI30:PLJ30"/>
    <mergeCell ref="PLK30:PLL30"/>
    <mergeCell ref="PLM30:PLN30"/>
    <mergeCell ref="PLO30:PLP30"/>
    <mergeCell ref="PLQ30:PLR30"/>
    <mergeCell ref="PLS30:PLT30"/>
    <mergeCell ref="PKW30:PKX30"/>
    <mergeCell ref="PKY30:PKZ30"/>
    <mergeCell ref="PLA30:PLB30"/>
    <mergeCell ref="PLC30:PLD30"/>
    <mergeCell ref="PLE30:PLF30"/>
    <mergeCell ref="PLG30:PLH30"/>
    <mergeCell ref="PPY30:PPZ30"/>
    <mergeCell ref="PQA30:PQB30"/>
    <mergeCell ref="PQC30:PQD30"/>
    <mergeCell ref="PQE30:PQF30"/>
    <mergeCell ref="PQG30:PQH30"/>
    <mergeCell ref="PQI30:PQJ30"/>
    <mergeCell ref="PPM30:PPN30"/>
    <mergeCell ref="PPO30:PPP30"/>
    <mergeCell ref="PPQ30:PPR30"/>
    <mergeCell ref="PPS30:PPT30"/>
    <mergeCell ref="PPU30:PPV30"/>
    <mergeCell ref="PPW30:PPX30"/>
    <mergeCell ref="PPA30:PPB30"/>
    <mergeCell ref="PPC30:PPD30"/>
    <mergeCell ref="PPE30:PPF30"/>
    <mergeCell ref="PPG30:PPH30"/>
    <mergeCell ref="PPI30:PPJ30"/>
    <mergeCell ref="PPK30:PPL30"/>
    <mergeCell ref="POO30:POP30"/>
    <mergeCell ref="POQ30:POR30"/>
    <mergeCell ref="POS30:POT30"/>
    <mergeCell ref="POU30:POV30"/>
    <mergeCell ref="POW30:POX30"/>
    <mergeCell ref="POY30:POZ30"/>
    <mergeCell ref="POC30:POD30"/>
    <mergeCell ref="POE30:POF30"/>
    <mergeCell ref="POG30:POH30"/>
    <mergeCell ref="POI30:POJ30"/>
    <mergeCell ref="POK30:POL30"/>
    <mergeCell ref="POM30:PON30"/>
    <mergeCell ref="PNQ30:PNR30"/>
    <mergeCell ref="PNS30:PNT30"/>
    <mergeCell ref="PNU30:PNV30"/>
    <mergeCell ref="PNW30:PNX30"/>
    <mergeCell ref="PNY30:PNZ30"/>
    <mergeCell ref="POA30:POB30"/>
    <mergeCell ref="PSS30:PST30"/>
    <mergeCell ref="PSU30:PSV30"/>
    <mergeCell ref="PSW30:PSX30"/>
    <mergeCell ref="PSY30:PSZ30"/>
    <mergeCell ref="PTA30:PTB30"/>
    <mergeCell ref="PTC30:PTD30"/>
    <mergeCell ref="PSG30:PSH30"/>
    <mergeCell ref="PSI30:PSJ30"/>
    <mergeCell ref="PSK30:PSL30"/>
    <mergeCell ref="PSM30:PSN30"/>
    <mergeCell ref="PSO30:PSP30"/>
    <mergeCell ref="PSQ30:PSR30"/>
    <mergeCell ref="PRU30:PRV30"/>
    <mergeCell ref="PRW30:PRX30"/>
    <mergeCell ref="PRY30:PRZ30"/>
    <mergeCell ref="PSA30:PSB30"/>
    <mergeCell ref="PSC30:PSD30"/>
    <mergeCell ref="PSE30:PSF30"/>
    <mergeCell ref="PRI30:PRJ30"/>
    <mergeCell ref="PRK30:PRL30"/>
    <mergeCell ref="PRM30:PRN30"/>
    <mergeCell ref="PRO30:PRP30"/>
    <mergeCell ref="PRQ30:PRR30"/>
    <mergeCell ref="PRS30:PRT30"/>
    <mergeCell ref="PQW30:PQX30"/>
    <mergeCell ref="PQY30:PQZ30"/>
    <mergeCell ref="PRA30:PRB30"/>
    <mergeCell ref="PRC30:PRD30"/>
    <mergeCell ref="PRE30:PRF30"/>
    <mergeCell ref="PRG30:PRH30"/>
    <mergeCell ref="PQK30:PQL30"/>
    <mergeCell ref="PQM30:PQN30"/>
    <mergeCell ref="PQO30:PQP30"/>
    <mergeCell ref="PQQ30:PQR30"/>
    <mergeCell ref="PQS30:PQT30"/>
    <mergeCell ref="PQU30:PQV30"/>
    <mergeCell ref="PVM30:PVN30"/>
    <mergeCell ref="PVO30:PVP30"/>
    <mergeCell ref="PVQ30:PVR30"/>
    <mergeCell ref="PVS30:PVT30"/>
    <mergeCell ref="PVU30:PVV30"/>
    <mergeCell ref="PVW30:PVX30"/>
    <mergeCell ref="PVA30:PVB30"/>
    <mergeCell ref="PVC30:PVD30"/>
    <mergeCell ref="PVE30:PVF30"/>
    <mergeCell ref="PVG30:PVH30"/>
    <mergeCell ref="PVI30:PVJ30"/>
    <mergeCell ref="PVK30:PVL30"/>
    <mergeCell ref="PUO30:PUP30"/>
    <mergeCell ref="PUQ30:PUR30"/>
    <mergeCell ref="PUS30:PUT30"/>
    <mergeCell ref="PUU30:PUV30"/>
    <mergeCell ref="PUW30:PUX30"/>
    <mergeCell ref="PUY30:PUZ30"/>
    <mergeCell ref="PUC30:PUD30"/>
    <mergeCell ref="PUE30:PUF30"/>
    <mergeCell ref="PUG30:PUH30"/>
    <mergeCell ref="PUI30:PUJ30"/>
    <mergeCell ref="PUK30:PUL30"/>
    <mergeCell ref="PUM30:PUN30"/>
    <mergeCell ref="PTQ30:PTR30"/>
    <mergeCell ref="PTS30:PTT30"/>
    <mergeCell ref="PTU30:PTV30"/>
    <mergeCell ref="PTW30:PTX30"/>
    <mergeCell ref="PTY30:PTZ30"/>
    <mergeCell ref="PUA30:PUB30"/>
    <mergeCell ref="PTE30:PTF30"/>
    <mergeCell ref="PTG30:PTH30"/>
    <mergeCell ref="PTI30:PTJ30"/>
    <mergeCell ref="PTK30:PTL30"/>
    <mergeCell ref="PTM30:PTN30"/>
    <mergeCell ref="PTO30:PTP30"/>
    <mergeCell ref="PYG30:PYH30"/>
    <mergeCell ref="PYI30:PYJ30"/>
    <mergeCell ref="PYK30:PYL30"/>
    <mergeCell ref="PYM30:PYN30"/>
    <mergeCell ref="PYO30:PYP30"/>
    <mergeCell ref="PYQ30:PYR30"/>
    <mergeCell ref="PXU30:PXV30"/>
    <mergeCell ref="PXW30:PXX30"/>
    <mergeCell ref="PXY30:PXZ30"/>
    <mergeCell ref="PYA30:PYB30"/>
    <mergeCell ref="PYC30:PYD30"/>
    <mergeCell ref="PYE30:PYF30"/>
    <mergeCell ref="PXI30:PXJ30"/>
    <mergeCell ref="PXK30:PXL30"/>
    <mergeCell ref="PXM30:PXN30"/>
    <mergeCell ref="PXO30:PXP30"/>
    <mergeCell ref="PXQ30:PXR30"/>
    <mergeCell ref="PXS30:PXT30"/>
    <mergeCell ref="PWW30:PWX30"/>
    <mergeCell ref="PWY30:PWZ30"/>
    <mergeCell ref="PXA30:PXB30"/>
    <mergeCell ref="PXC30:PXD30"/>
    <mergeCell ref="PXE30:PXF30"/>
    <mergeCell ref="PXG30:PXH30"/>
    <mergeCell ref="PWK30:PWL30"/>
    <mergeCell ref="PWM30:PWN30"/>
    <mergeCell ref="PWO30:PWP30"/>
    <mergeCell ref="PWQ30:PWR30"/>
    <mergeCell ref="PWS30:PWT30"/>
    <mergeCell ref="PWU30:PWV30"/>
    <mergeCell ref="PVY30:PVZ30"/>
    <mergeCell ref="PWA30:PWB30"/>
    <mergeCell ref="PWC30:PWD30"/>
    <mergeCell ref="PWE30:PWF30"/>
    <mergeCell ref="PWG30:PWH30"/>
    <mergeCell ref="PWI30:PWJ30"/>
    <mergeCell ref="QBA30:QBB30"/>
    <mergeCell ref="QBC30:QBD30"/>
    <mergeCell ref="QBE30:QBF30"/>
    <mergeCell ref="QBG30:QBH30"/>
    <mergeCell ref="QBI30:QBJ30"/>
    <mergeCell ref="QBK30:QBL30"/>
    <mergeCell ref="QAO30:QAP30"/>
    <mergeCell ref="QAQ30:QAR30"/>
    <mergeCell ref="QAS30:QAT30"/>
    <mergeCell ref="QAU30:QAV30"/>
    <mergeCell ref="QAW30:QAX30"/>
    <mergeCell ref="QAY30:QAZ30"/>
    <mergeCell ref="QAC30:QAD30"/>
    <mergeCell ref="QAE30:QAF30"/>
    <mergeCell ref="QAG30:QAH30"/>
    <mergeCell ref="QAI30:QAJ30"/>
    <mergeCell ref="QAK30:QAL30"/>
    <mergeCell ref="QAM30:QAN30"/>
    <mergeCell ref="PZQ30:PZR30"/>
    <mergeCell ref="PZS30:PZT30"/>
    <mergeCell ref="PZU30:PZV30"/>
    <mergeCell ref="PZW30:PZX30"/>
    <mergeCell ref="PZY30:PZZ30"/>
    <mergeCell ref="QAA30:QAB30"/>
    <mergeCell ref="PZE30:PZF30"/>
    <mergeCell ref="PZG30:PZH30"/>
    <mergeCell ref="PZI30:PZJ30"/>
    <mergeCell ref="PZK30:PZL30"/>
    <mergeCell ref="PZM30:PZN30"/>
    <mergeCell ref="PZO30:PZP30"/>
    <mergeCell ref="PYS30:PYT30"/>
    <mergeCell ref="PYU30:PYV30"/>
    <mergeCell ref="PYW30:PYX30"/>
    <mergeCell ref="PYY30:PYZ30"/>
    <mergeCell ref="PZA30:PZB30"/>
    <mergeCell ref="PZC30:PZD30"/>
    <mergeCell ref="QDU30:QDV30"/>
    <mergeCell ref="QDW30:QDX30"/>
    <mergeCell ref="QDY30:QDZ30"/>
    <mergeCell ref="QEA30:QEB30"/>
    <mergeCell ref="QEC30:QED30"/>
    <mergeCell ref="QEE30:QEF30"/>
    <mergeCell ref="QDI30:QDJ30"/>
    <mergeCell ref="QDK30:QDL30"/>
    <mergeCell ref="QDM30:QDN30"/>
    <mergeCell ref="QDO30:QDP30"/>
    <mergeCell ref="QDQ30:QDR30"/>
    <mergeCell ref="QDS30:QDT30"/>
    <mergeCell ref="QCW30:QCX30"/>
    <mergeCell ref="QCY30:QCZ30"/>
    <mergeCell ref="QDA30:QDB30"/>
    <mergeCell ref="QDC30:QDD30"/>
    <mergeCell ref="QDE30:QDF30"/>
    <mergeCell ref="QDG30:QDH30"/>
    <mergeCell ref="QCK30:QCL30"/>
    <mergeCell ref="QCM30:QCN30"/>
    <mergeCell ref="QCO30:QCP30"/>
    <mergeCell ref="QCQ30:QCR30"/>
    <mergeCell ref="QCS30:QCT30"/>
    <mergeCell ref="QCU30:QCV30"/>
    <mergeCell ref="QBY30:QBZ30"/>
    <mergeCell ref="QCA30:QCB30"/>
    <mergeCell ref="QCC30:QCD30"/>
    <mergeCell ref="QCE30:QCF30"/>
    <mergeCell ref="QCG30:QCH30"/>
    <mergeCell ref="QCI30:QCJ30"/>
    <mergeCell ref="QBM30:QBN30"/>
    <mergeCell ref="QBO30:QBP30"/>
    <mergeCell ref="QBQ30:QBR30"/>
    <mergeCell ref="QBS30:QBT30"/>
    <mergeCell ref="QBU30:QBV30"/>
    <mergeCell ref="QBW30:QBX30"/>
    <mergeCell ref="QGO30:QGP30"/>
    <mergeCell ref="QGQ30:QGR30"/>
    <mergeCell ref="QGS30:QGT30"/>
    <mergeCell ref="QGU30:QGV30"/>
    <mergeCell ref="QGW30:QGX30"/>
    <mergeCell ref="QGY30:QGZ30"/>
    <mergeCell ref="QGC30:QGD30"/>
    <mergeCell ref="QGE30:QGF30"/>
    <mergeCell ref="QGG30:QGH30"/>
    <mergeCell ref="QGI30:QGJ30"/>
    <mergeCell ref="QGK30:QGL30"/>
    <mergeCell ref="QGM30:QGN30"/>
    <mergeCell ref="QFQ30:QFR30"/>
    <mergeCell ref="QFS30:QFT30"/>
    <mergeCell ref="QFU30:QFV30"/>
    <mergeCell ref="QFW30:QFX30"/>
    <mergeCell ref="QFY30:QFZ30"/>
    <mergeCell ref="QGA30:QGB30"/>
    <mergeCell ref="QFE30:QFF30"/>
    <mergeCell ref="QFG30:QFH30"/>
    <mergeCell ref="QFI30:QFJ30"/>
    <mergeCell ref="QFK30:QFL30"/>
    <mergeCell ref="QFM30:QFN30"/>
    <mergeCell ref="QFO30:QFP30"/>
    <mergeCell ref="QES30:QET30"/>
    <mergeCell ref="QEU30:QEV30"/>
    <mergeCell ref="QEW30:QEX30"/>
    <mergeCell ref="QEY30:QEZ30"/>
    <mergeCell ref="QFA30:QFB30"/>
    <mergeCell ref="QFC30:QFD30"/>
    <mergeCell ref="QEG30:QEH30"/>
    <mergeCell ref="QEI30:QEJ30"/>
    <mergeCell ref="QEK30:QEL30"/>
    <mergeCell ref="QEM30:QEN30"/>
    <mergeCell ref="QEO30:QEP30"/>
    <mergeCell ref="QEQ30:QER30"/>
    <mergeCell ref="QJI30:QJJ30"/>
    <mergeCell ref="QJK30:QJL30"/>
    <mergeCell ref="QJM30:QJN30"/>
    <mergeCell ref="QJO30:QJP30"/>
    <mergeCell ref="QJQ30:QJR30"/>
    <mergeCell ref="QJS30:QJT30"/>
    <mergeCell ref="QIW30:QIX30"/>
    <mergeCell ref="QIY30:QIZ30"/>
    <mergeCell ref="QJA30:QJB30"/>
    <mergeCell ref="QJC30:QJD30"/>
    <mergeCell ref="QJE30:QJF30"/>
    <mergeCell ref="QJG30:QJH30"/>
    <mergeCell ref="QIK30:QIL30"/>
    <mergeCell ref="QIM30:QIN30"/>
    <mergeCell ref="QIO30:QIP30"/>
    <mergeCell ref="QIQ30:QIR30"/>
    <mergeCell ref="QIS30:QIT30"/>
    <mergeCell ref="QIU30:QIV30"/>
    <mergeCell ref="QHY30:QHZ30"/>
    <mergeCell ref="QIA30:QIB30"/>
    <mergeCell ref="QIC30:QID30"/>
    <mergeCell ref="QIE30:QIF30"/>
    <mergeCell ref="QIG30:QIH30"/>
    <mergeCell ref="QII30:QIJ30"/>
    <mergeCell ref="QHM30:QHN30"/>
    <mergeCell ref="QHO30:QHP30"/>
    <mergeCell ref="QHQ30:QHR30"/>
    <mergeCell ref="QHS30:QHT30"/>
    <mergeCell ref="QHU30:QHV30"/>
    <mergeCell ref="QHW30:QHX30"/>
    <mergeCell ref="QHA30:QHB30"/>
    <mergeCell ref="QHC30:QHD30"/>
    <mergeCell ref="QHE30:QHF30"/>
    <mergeCell ref="QHG30:QHH30"/>
    <mergeCell ref="QHI30:QHJ30"/>
    <mergeCell ref="QHK30:QHL30"/>
    <mergeCell ref="QMC30:QMD30"/>
    <mergeCell ref="QME30:QMF30"/>
    <mergeCell ref="QMG30:QMH30"/>
    <mergeCell ref="QMI30:QMJ30"/>
    <mergeCell ref="QMK30:QML30"/>
    <mergeCell ref="QMM30:QMN30"/>
    <mergeCell ref="QLQ30:QLR30"/>
    <mergeCell ref="QLS30:QLT30"/>
    <mergeCell ref="QLU30:QLV30"/>
    <mergeCell ref="QLW30:QLX30"/>
    <mergeCell ref="QLY30:QLZ30"/>
    <mergeCell ref="QMA30:QMB30"/>
    <mergeCell ref="QLE30:QLF30"/>
    <mergeCell ref="QLG30:QLH30"/>
    <mergeCell ref="QLI30:QLJ30"/>
    <mergeCell ref="QLK30:QLL30"/>
    <mergeCell ref="QLM30:QLN30"/>
    <mergeCell ref="QLO30:QLP30"/>
    <mergeCell ref="QKS30:QKT30"/>
    <mergeCell ref="QKU30:QKV30"/>
    <mergeCell ref="QKW30:QKX30"/>
    <mergeCell ref="QKY30:QKZ30"/>
    <mergeCell ref="QLA30:QLB30"/>
    <mergeCell ref="QLC30:QLD30"/>
    <mergeCell ref="QKG30:QKH30"/>
    <mergeCell ref="QKI30:QKJ30"/>
    <mergeCell ref="QKK30:QKL30"/>
    <mergeCell ref="QKM30:QKN30"/>
    <mergeCell ref="QKO30:QKP30"/>
    <mergeCell ref="QKQ30:QKR30"/>
    <mergeCell ref="QJU30:QJV30"/>
    <mergeCell ref="QJW30:QJX30"/>
    <mergeCell ref="QJY30:QJZ30"/>
    <mergeCell ref="QKA30:QKB30"/>
    <mergeCell ref="QKC30:QKD30"/>
    <mergeCell ref="QKE30:QKF30"/>
    <mergeCell ref="QOW30:QOX30"/>
    <mergeCell ref="QOY30:QOZ30"/>
    <mergeCell ref="QPA30:QPB30"/>
    <mergeCell ref="QPC30:QPD30"/>
    <mergeCell ref="QPE30:QPF30"/>
    <mergeCell ref="QPG30:QPH30"/>
    <mergeCell ref="QOK30:QOL30"/>
    <mergeCell ref="QOM30:QON30"/>
    <mergeCell ref="QOO30:QOP30"/>
    <mergeCell ref="QOQ30:QOR30"/>
    <mergeCell ref="QOS30:QOT30"/>
    <mergeCell ref="QOU30:QOV30"/>
    <mergeCell ref="QNY30:QNZ30"/>
    <mergeCell ref="QOA30:QOB30"/>
    <mergeCell ref="QOC30:QOD30"/>
    <mergeCell ref="QOE30:QOF30"/>
    <mergeCell ref="QOG30:QOH30"/>
    <mergeCell ref="QOI30:QOJ30"/>
    <mergeCell ref="QNM30:QNN30"/>
    <mergeCell ref="QNO30:QNP30"/>
    <mergeCell ref="QNQ30:QNR30"/>
    <mergeCell ref="QNS30:QNT30"/>
    <mergeCell ref="QNU30:QNV30"/>
    <mergeCell ref="QNW30:QNX30"/>
    <mergeCell ref="QNA30:QNB30"/>
    <mergeCell ref="QNC30:QND30"/>
    <mergeCell ref="QNE30:QNF30"/>
    <mergeCell ref="QNG30:QNH30"/>
    <mergeCell ref="QNI30:QNJ30"/>
    <mergeCell ref="QNK30:QNL30"/>
    <mergeCell ref="QMO30:QMP30"/>
    <mergeCell ref="QMQ30:QMR30"/>
    <mergeCell ref="QMS30:QMT30"/>
    <mergeCell ref="QMU30:QMV30"/>
    <mergeCell ref="QMW30:QMX30"/>
    <mergeCell ref="QMY30:QMZ30"/>
    <mergeCell ref="QRQ30:QRR30"/>
    <mergeCell ref="QRS30:QRT30"/>
    <mergeCell ref="QRU30:QRV30"/>
    <mergeCell ref="QRW30:QRX30"/>
    <mergeCell ref="QRY30:QRZ30"/>
    <mergeCell ref="QSA30:QSB30"/>
    <mergeCell ref="QRE30:QRF30"/>
    <mergeCell ref="QRG30:QRH30"/>
    <mergeCell ref="QRI30:QRJ30"/>
    <mergeCell ref="QRK30:QRL30"/>
    <mergeCell ref="QRM30:QRN30"/>
    <mergeCell ref="QRO30:QRP30"/>
    <mergeCell ref="QQS30:QQT30"/>
    <mergeCell ref="QQU30:QQV30"/>
    <mergeCell ref="QQW30:QQX30"/>
    <mergeCell ref="QQY30:QQZ30"/>
    <mergeCell ref="QRA30:QRB30"/>
    <mergeCell ref="QRC30:QRD30"/>
    <mergeCell ref="QQG30:QQH30"/>
    <mergeCell ref="QQI30:QQJ30"/>
    <mergeCell ref="QQK30:QQL30"/>
    <mergeCell ref="QQM30:QQN30"/>
    <mergeCell ref="QQO30:QQP30"/>
    <mergeCell ref="QQQ30:QQR30"/>
    <mergeCell ref="QPU30:QPV30"/>
    <mergeCell ref="QPW30:QPX30"/>
    <mergeCell ref="QPY30:QPZ30"/>
    <mergeCell ref="QQA30:QQB30"/>
    <mergeCell ref="QQC30:QQD30"/>
    <mergeCell ref="QQE30:QQF30"/>
    <mergeCell ref="QPI30:QPJ30"/>
    <mergeCell ref="QPK30:QPL30"/>
    <mergeCell ref="QPM30:QPN30"/>
    <mergeCell ref="QPO30:QPP30"/>
    <mergeCell ref="QPQ30:QPR30"/>
    <mergeCell ref="QPS30:QPT30"/>
    <mergeCell ref="QUK30:QUL30"/>
    <mergeCell ref="QUM30:QUN30"/>
    <mergeCell ref="QUO30:QUP30"/>
    <mergeCell ref="QUQ30:QUR30"/>
    <mergeCell ref="QUS30:QUT30"/>
    <mergeCell ref="QUU30:QUV30"/>
    <mergeCell ref="QTY30:QTZ30"/>
    <mergeCell ref="QUA30:QUB30"/>
    <mergeCell ref="QUC30:QUD30"/>
    <mergeCell ref="QUE30:QUF30"/>
    <mergeCell ref="QUG30:QUH30"/>
    <mergeCell ref="QUI30:QUJ30"/>
    <mergeCell ref="QTM30:QTN30"/>
    <mergeCell ref="QTO30:QTP30"/>
    <mergeCell ref="QTQ30:QTR30"/>
    <mergeCell ref="QTS30:QTT30"/>
    <mergeCell ref="QTU30:QTV30"/>
    <mergeCell ref="QTW30:QTX30"/>
    <mergeCell ref="QTA30:QTB30"/>
    <mergeCell ref="QTC30:QTD30"/>
    <mergeCell ref="QTE30:QTF30"/>
    <mergeCell ref="QTG30:QTH30"/>
    <mergeCell ref="QTI30:QTJ30"/>
    <mergeCell ref="QTK30:QTL30"/>
    <mergeCell ref="QSO30:QSP30"/>
    <mergeCell ref="QSQ30:QSR30"/>
    <mergeCell ref="QSS30:QST30"/>
    <mergeCell ref="QSU30:QSV30"/>
    <mergeCell ref="QSW30:QSX30"/>
    <mergeCell ref="QSY30:QSZ30"/>
    <mergeCell ref="QSC30:QSD30"/>
    <mergeCell ref="QSE30:QSF30"/>
    <mergeCell ref="QSG30:QSH30"/>
    <mergeCell ref="QSI30:QSJ30"/>
    <mergeCell ref="QSK30:QSL30"/>
    <mergeCell ref="QSM30:QSN30"/>
    <mergeCell ref="QXE30:QXF30"/>
    <mergeCell ref="QXG30:QXH30"/>
    <mergeCell ref="QXI30:QXJ30"/>
    <mergeCell ref="QXK30:QXL30"/>
    <mergeCell ref="QXM30:QXN30"/>
    <mergeCell ref="QXO30:QXP30"/>
    <mergeCell ref="QWS30:QWT30"/>
    <mergeCell ref="QWU30:QWV30"/>
    <mergeCell ref="QWW30:QWX30"/>
    <mergeCell ref="QWY30:QWZ30"/>
    <mergeCell ref="QXA30:QXB30"/>
    <mergeCell ref="QXC30:QXD30"/>
    <mergeCell ref="QWG30:QWH30"/>
    <mergeCell ref="QWI30:QWJ30"/>
    <mergeCell ref="QWK30:QWL30"/>
    <mergeCell ref="QWM30:QWN30"/>
    <mergeCell ref="QWO30:QWP30"/>
    <mergeCell ref="QWQ30:QWR30"/>
    <mergeCell ref="QVU30:QVV30"/>
    <mergeCell ref="QVW30:QVX30"/>
    <mergeCell ref="QVY30:QVZ30"/>
    <mergeCell ref="QWA30:QWB30"/>
    <mergeCell ref="QWC30:QWD30"/>
    <mergeCell ref="QWE30:QWF30"/>
    <mergeCell ref="QVI30:QVJ30"/>
    <mergeCell ref="QVK30:QVL30"/>
    <mergeCell ref="QVM30:QVN30"/>
    <mergeCell ref="QVO30:QVP30"/>
    <mergeCell ref="QVQ30:QVR30"/>
    <mergeCell ref="QVS30:QVT30"/>
    <mergeCell ref="QUW30:QUX30"/>
    <mergeCell ref="QUY30:QUZ30"/>
    <mergeCell ref="QVA30:QVB30"/>
    <mergeCell ref="QVC30:QVD30"/>
    <mergeCell ref="QVE30:QVF30"/>
    <mergeCell ref="QVG30:QVH30"/>
    <mergeCell ref="QZY30:QZZ30"/>
    <mergeCell ref="RAA30:RAB30"/>
    <mergeCell ref="RAC30:RAD30"/>
    <mergeCell ref="RAE30:RAF30"/>
    <mergeCell ref="RAG30:RAH30"/>
    <mergeCell ref="RAI30:RAJ30"/>
    <mergeCell ref="QZM30:QZN30"/>
    <mergeCell ref="QZO30:QZP30"/>
    <mergeCell ref="QZQ30:QZR30"/>
    <mergeCell ref="QZS30:QZT30"/>
    <mergeCell ref="QZU30:QZV30"/>
    <mergeCell ref="QZW30:QZX30"/>
    <mergeCell ref="QZA30:QZB30"/>
    <mergeCell ref="QZC30:QZD30"/>
    <mergeCell ref="QZE30:QZF30"/>
    <mergeCell ref="QZG30:QZH30"/>
    <mergeCell ref="QZI30:QZJ30"/>
    <mergeCell ref="QZK30:QZL30"/>
    <mergeCell ref="QYO30:QYP30"/>
    <mergeCell ref="QYQ30:QYR30"/>
    <mergeCell ref="QYS30:QYT30"/>
    <mergeCell ref="QYU30:QYV30"/>
    <mergeCell ref="QYW30:QYX30"/>
    <mergeCell ref="QYY30:QYZ30"/>
    <mergeCell ref="QYC30:QYD30"/>
    <mergeCell ref="QYE30:QYF30"/>
    <mergeCell ref="QYG30:QYH30"/>
    <mergeCell ref="QYI30:QYJ30"/>
    <mergeCell ref="QYK30:QYL30"/>
    <mergeCell ref="QYM30:QYN30"/>
    <mergeCell ref="QXQ30:QXR30"/>
    <mergeCell ref="QXS30:QXT30"/>
    <mergeCell ref="QXU30:QXV30"/>
    <mergeCell ref="QXW30:QXX30"/>
    <mergeCell ref="QXY30:QXZ30"/>
    <mergeCell ref="QYA30:QYB30"/>
    <mergeCell ref="RCS30:RCT30"/>
    <mergeCell ref="RCU30:RCV30"/>
    <mergeCell ref="RCW30:RCX30"/>
    <mergeCell ref="RCY30:RCZ30"/>
    <mergeCell ref="RDA30:RDB30"/>
    <mergeCell ref="RDC30:RDD30"/>
    <mergeCell ref="RCG30:RCH30"/>
    <mergeCell ref="RCI30:RCJ30"/>
    <mergeCell ref="RCK30:RCL30"/>
    <mergeCell ref="RCM30:RCN30"/>
    <mergeCell ref="RCO30:RCP30"/>
    <mergeCell ref="RCQ30:RCR30"/>
    <mergeCell ref="RBU30:RBV30"/>
    <mergeCell ref="RBW30:RBX30"/>
    <mergeCell ref="RBY30:RBZ30"/>
    <mergeCell ref="RCA30:RCB30"/>
    <mergeCell ref="RCC30:RCD30"/>
    <mergeCell ref="RCE30:RCF30"/>
    <mergeCell ref="RBI30:RBJ30"/>
    <mergeCell ref="RBK30:RBL30"/>
    <mergeCell ref="RBM30:RBN30"/>
    <mergeCell ref="RBO30:RBP30"/>
    <mergeCell ref="RBQ30:RBR30"/>
    <mergeCell ref="RBS30:RBT30"/>
    <mergeCell ref="RAW30:RAX30"/>
    <mergeCell ref="RAY30:RAZ30"/>
    <mergeCell ref="RBA30:RBB30"/>
    <mergeCell ref="RBC30:RBD30"/>
    <mergeCell ref="RBE30:RBF30"/>
    <mergeCell ref="RBG30:RBH30"/>
    <mergeCell ref="RAK30:RAL30"/>
    <mergeCell ref="RAM30:RAN30"/>
    <mergeCell ref="RAO30:RAP30"/>
    <mergeCell ref="RAQ30:RAR30"/>
    <mergeCell ref="RAS30:RAT30"/>
    <mergeCell ref="RAU30:RAV30"/>
    <mergeCell ref="RFM30:RFN30"/>
    <mergeCell ref="RFO30:RFP30"/>
    <mergeCell ref="RFQ30:RFR30"/>
    <mergeCell ref="RFS30:RFT30"/>
    <mergeCell ref="RFU30:RFV30"/>
    <mergeCell ref="RFW30:RFX30"/>
    <mergeCell ref="RFA30:RFB30"/>
    <mergeCell ref="RFC30:RFD30"/>
    <mergeCell ref="RFE30:RFF30"/>
    <mergeCell ref="RFG30:RFH30"/>
    <mergeCell ref="RFI30:RFJ30"/>
    <mergeCell ref="RFK30:RFL30"/>
    <mergeCell ref="REO30:REP30"/>
    <mergeCell ref="REQ30:RER30"/>
    <mergeCell ref="RES30:RET30"/>
    <mergeCell ref="REU30:REV30"/>
    <mergeCell ref="REW30:REX30"/>
    <mergeCell ref="REY30:REZ30"/>
    <mergeCell ref="REC30:RED30"/>
    <mergeCell ref="REE30:REF30"/>
    <mergeCell ref="REG30:REH30"/>
    <mergeCell ref="REI30:REJ30"/>
    <mergeCell ref="REK30:REL30"/>
    <mergeCell ref="REM30:REN30"/>
    <mergeCell ref="RDQ30:RDR30"/>
    <mergeCell ref="RDS30:RDT30"/>
    <mergeCell ref="RDU30:RDV30"/>
    <mergeCell ref="RDW30:RDX30"/>
    <mergeCell ref="RDY30:RDZ30"/>
    <mergeCell ref="REA30:REB30"/>
    <mergeCell ref="RDE30:RDF30"/>
    <mergeCell ref="RDG30:RDH30"/>
    <mergeCell ref="RDI30:RDJ30"/>
    <mergeCell ref="RDK30:RDL30"/>
    <mergeCell ref="RDM30:RDN30"/>
    <mergeCell ref="RDO30:RDP30"/>
    <mergeCell ref="RIG30:RIH30"/>
    <mergeCell ref="RII30:RIJ30"/>
    <mergeCell ref="RIK30:RIL30"/>
    <mergeCell ref="RIM30:RIN30"/>
    <mergeCell ref="RIO30:RIP30"/>
    <mergeCell ref="RIQ30:RIR30"/>
    <mergeCell ref="RHU30:RHV30"/>
    <mergeCell ref="RHW30:RHX30"/>
    <mergeCell ref="RHY30:RHZ30"/>
    <mergeCell ref="RIA30:RIB30"/>
    <mergeCell ref="RIC30:RID30"/>
    <mergeCell ref="RIE30:RIF30"/>
    <mergeCell ref="RHI30:RHJ30"/>
    <mergeCell ref="RHK30:RHL30"/>
    <mergeCell ref="RHM30:RHN30"/>
    <mergeCell ref="RHO30:RHP30"/>
    <mergeCell ref="RHQ30:RHR30"/>
    <mergeCell ref="RHS30:RHT30"/>
    <mergeCell ref="RGW30:RGX30"/>
    <mergeCell ref="RGY30:RGZ30"/>
    <mergeCell ref="RHA30:RHB30"/>
    <mergeCell ref="RHC30:RHD30"/>
    <mergeCell ref="RHE30:RHF30"/>
    <mergeCell ref="RHG30:RHH30"/>
    <mergeCell ref="RGK30:RGL30"/>
    <mergeCell ref="RGM30:RGN30"/>
    <mergeCell ref="RGO30:RGP30"/>
    <mergeCell ref="RGQ30:RGR30"/>
    <mergeCell ref="RGS30:RGT30"/>
    <mergeCell ref="RGU30:RGV30"/>
    <mergeCell ref="RFY30:RFZ30"/>
    <mergeCell ref="RGA30:RGB30"/>
    <mergeCell ref="RGC30:RGD30"/>
    <mergeCell ref="RGE30:RGF30"/>
    <mergeCell ref="RGG30:RGH30"/>
    <mergeCell ref="RGI30:RGJ30"/>
    <mergeCell ref="RLA30:RLB30"/>
    <mergeCell ref="RLC30:RLD30"/>
    <mergeCell ref="RLE30:RLF30"/>
    <mergeCell ref="RLG30:RLH30"/>
    <mergeCell ref="RLI30:RLJ30"/>
    <mergeCell ref="RLK30:RLL30"/>
    <mergeCell ref="RKO30:RKP30"/>
    <mergeCell ref="RKQ30:RKR30"/>
    <mergeCell ref="RKS30:RKT30"/>
    <mergeCell ref="RKU30:RKV30"/>
    <mergeCell ref="RKW30:RKX30"/>
    <mergeCell ref="RKY30:RKZ30"/>
    <mergeCell ref="RKC30:RKD30"/>
    <mergeCell ref="RKE30:RKF30"/>
    <mergeCell ref="RKG30:RKH30"/>
    <mergeCell ref="RKI30:RKJ30"/>
    <mergeCell ref="RKK30:RKL30"/>
    <mergeCell ref="RKM30:RKN30"/>
    <mergeCell ref="RJQ30:RJR30"/>
    <mergeCell ref="RJS30:RJT30"/>
    <mergeCell ref="RJU30:RJV30"/>
    <mergeCell ref="RJW30:RJX30"/>
    <mergeCell ref="RJY30:RJZ30"/>
    <mergeCell ref="RKA30:RKB30"/>
    <mergeCell ref="RJE30:RJF30"/>
    <mergeCell ref="RJG30:RJH30"/>
    <mergeCell ref="RJI30:RJJ30"/>
    <mergeCell ref="RJK30:RJL30"/>
    <mergeCell ref="RJM30:RJN30"/>
    <mergeCell ref="RJO30:RJP30"/>
    <mergeCell ref="RIS30:RIT30"/>
    <mergeCell ref="RIU30:RIV30"/>
    <mergeCell ref="RIW30:RIX30"/>
    <mergeCell ref="RIY30:RIZ30"/>
    <mergeCell ref="RJA30:RJB30"/>
    <mergeCell ref="RJC30:RJD30"/>
    <mergeCell ref="RNU30:RNV30"/>
    <mergeCell ref="RNW30:RNX30"/>
    <mergeCell ref="RNY30:RNZ30"/>
    <mergeCell ref="ROA30:ROB30"/>
    <mergeCell ref="ROC30:ROD30"/>
    <mergeCell ref="ROE30:ROF30"/>
    <mergeCell ref="RNI30:RNJ30"/>
    <mergeCell ref="RNK30:RNL30"/>
    <mergeCell ref="RNM30:RNN30"/>
    <mergeCell ref="RNO30:RNP30"/>
    <mergeCell ref="RNQ30:RNR30"/>
    <mergeCell ref="RNS30:RNT30"/>
    <mergeCell ref="RMW30:RMX30"/>
    <mergeCell ref="RMY30:RMZ30"/>
    <mergeCell ref="RNA30:RNB30"/>
    <mergeCell ref="RNC30:RND30"/>
    <mergeCell ref="RNE30:RNF30"/>
    <mergeCell ref="RNG30:RNH30"/>
    <mergeCell ref="RMK30:RML30"/>
    <mergeCell ref="RMM30:RMN30"/>
    <mergeCell ref="RMO30:RMP30"/>
    <mergeCell ref="RMQ30:RMR30"/>
    <mergeCell ref="RMS30:RMT30"/>
    <mergeCell ref="RMU30:RMV30"/>
    <mergeCell ref="RLY30:RLZ30"/>
    <mergeCell ref="RMA30:RMB30"/>
    <mergeCell ref="RMC30:RMD30"/>
    <mergeCell ref="RME30:RMF30"/>
    <mergeCell ref="RMG30:RMH30"/>
    <mergeCell ref="RMI30:RMJ30"/>
    <mergeCell ref="RLM30:RLN30"/>
    <mergeCell ref="RLO30:RLP30"/>
    <mergeCell ref="RLQ30:RLR30"/>
    <mergeCell ref="RLS30:RLT30"/>
    <mergeCell ref="RLU30:RLV30"/>
    <mergeCell ref="RLW30:RLX30"/>
    <mergeCell ref="RQO30:RQP30"/>
    <mergeCell ref="RQQ30:RQR30"/>
    <mergeCell ref="RQS30:RQT30"/>
    <mergeCell ref="RQU30:RQV30"/>
    <mergeCell ref="RQW30:RQX30"/>
    <mergeCell ref="RQY30:RQZ30"/>
    <mergeCell ref="RQC30:RQD30"/>
    <mergeCell ref="RQE30:RQF30"/>
    <mergeCell ref="RQG30:RQH30"/>
    <mergeCell ref="RQI30:RQJ30"/>
    <mergeCell ref="RQK30:RQL30"/>
    <mergeCell ref="RQM30:RQN30"/>
    <mergeCell ref="RPQ30:RPR30"/>
    <mergeCell ref="RPS30:RPT30"/>
    <mergeCell ref="RPU30:RPV30"/>
    <mergeCell ref="RPW30:RPX30"/>
    <mergeCell ref="RPY30:RPZ30"/>
    <mergeCell ref="RQA30:RQB30"/>
    <mergeCell ref="RPE30:RPF30"/>
    <mergeCell ref="RPG30:RPH30"/>
    <mergeCell ref="RPI30:RPJ30"/>
    <mergeCell ref="RPK30:RPL30"/>
    <mergeCell ref="RPM30:RPN30"/>
    <mergeCell ref="RPO30:RPP30"/>
    <mergeCell ref="ROS30:ROT30"/>
    <mergeCell ref="ROU30:ROV30"/>
    <mergeCell ref="ROW30:ROX30"/>
    <mergeCell ref="ROY30:ROZ30"/>
    <mergeCell ref="RPA30:RPB30"/>
    <mergeCell ref="RPC30:RPD30"/>
    <mergeCell ref="ROG30:ROH30"/>
    <mergeCell ref="ROI30:ROJ30"/>
    <mergeCell ref="ROK30:ROL30"/>
    <mergeCell ref="ROM30:RON30"/>
    <mergeCell ref="ROO30:ROP30"/>
    <mergeCell ref="ROQ30:ROR30"/>
    <mergeCell ref="RTI30:RTJ30"/>
    <mergeCell ref="RTK30:RTL30"/>
    <mergeCell ref="RTM30:RTN30"/>
    <mergeCell ref="RTO30:RTP30"/>
    <mergeCell ref="RTQ30:RTR30"/>
    <mergeCell ref="RTS30:RTT30"/>
    <mergeCell ref="RSW30:RSX30"/>
    <mergeCell ref="RSY30:RSZ30"/>
    <mergeCell ref="RTA30:RTB30"/>
    <mergeCell ref="RTC30:RTD30"/>
    <mergeCell ref="RTE30:RTF30"/>
    <mergeCell ref="RTG30:RTH30"/>
    <mergeCell ref="RSK30:RSL30"/>
    <mergeCell ref="RSM30:RSN30"/>
    <mergeCell ref="RSO30:RSP30"/>
    <mergeCell ref="RSQ30:RSR30"/>
    <mergeCell ref="RSS30:RST30"/>
    <mergeCell ref="RSU30:RSV30"/>
    <mergeCell ref="RRY30:RRZ30"/>
    <mergeCell ref="RSA30:RSB30"/>
    <mergeCell ref="RSC30:RSD30"/>
    <mergeCell ref="RSE30:RSF30"/>
    <mergeCell ref="RSG30:RSH30"/>
    <mergeCell ref="RSI30:RSJ30"/>
    <mergeCell ref="RRM30:RRN30"/>
    <mergeCell ref="RRO30:RRP30"/>
    <mergeCell ref="RRQ30:RRR30"/>
    <mergeCell ref="RRS30:RRT30"/>
    <mergeCell ref="RRU30:RRV30"/>
    <mergeCell ref="RRW30:RRX30"/>
    <mergeCell ref="RRA30:RRB30"/>
    <mergeCell ref="RRC30:RRD30"/>
    <mergeCell ref="RRE30:RRF30"/>
    <mergeCell ref="RRG30:RRH30"/>
    <mergeCell ref="RRI30:RRJ30"/>
    <mergeCell ref="RRK30:RRL30"/>
    <mergeCell ref="RWC30:RWD30"/>
    <mergeCell ref="RWE30:RWF30"/>
    <mergeCell ref="RWG30:RWH30"/>
    <mergeCell ref="RWI30:RWJ30"/>
    <mergeCell ref="RWK30:RWL30"/>
    <mergeCell ref="RWM30:RWN30"/>
    <mergeCell ref="RVQ30:RVR30"/>
    <mergeCell ref="RVS30:RVT30"/>
    <mergeCell ref="RVU30:RVV30"/>
    <mergeCell ref="RVW30:RVX30"/>
    <mergeCell ref="RVY30:RVZ30"/>
    <mergeCell ref="RWA30:RWB30"/>
    <mergeCell ref="RVE30:RVF30"/>
    <mergeCell ref="RVG30:RVH30"/>
    <mergeCell ref="RVI30:RVJ30"/>
    <mergeCell ref="RVK30:RVL30"/>
    <mergeCell ref="RVM30:RVN30"/>
    <mergeCell ref="RVO30:RVP30"/>
    <mergeCell ref="RUS30:RUT30"/>
    <mergeCell ref="RUU30:RUV30"/>
    <mergeCell ref="RUW30:RUX30"/>
    <mergeCell ref="RUY30:RUZ30"/>
    <mergeCell ref="RVA30:RVB30"/>
    <mergeCell ref="RVC30:RVD30"/>
    <mergeCell ref="RUG30:RUH30"/>
    <mergeCell ref="RUI30:RUJ30"/>
    <mergeCell ref="RUK30:RUL30"/>
    <mergeCell ref="RUM30:RUN30"/>
    <mergeCell ref="RUO30:RUP30"/>
    <mergeCell ref="RUQ30:RUR30"/>
    <mergeCell ref="RTU30:RTV30"/>
    <mergeCell ref="RTW30:RTX30"/>
    <mergeCell ref="RTY30:RTZ30"/>
    <mergeCell ref="RUA30:RUB30"/>
    <mergeCell ref="RUC30:RUD30"/>
    <mergeCell ref="RUE30:RUF30"/>
    <mergeCell ref="RYW30:RYX30"/>
    <mergeCell ref="RYY30:RYZ30"/>
    <mergeCell ref="RZA30:RZB30"/>
    <mergeCell ref="RZC30:RZD30"/>
    <mergeCell ref="RZE30:RZF30"/>
    <mergeCell ref="RZG30:RZH30"/>
    <mergeCell ref="RYK30:RYL30"/>
    <mergeCell ref="RYM30:RYN30"/>
    <mergeCell ref="RYO30:RYP30"/>
    <mergeCell ref="RYQ30:RYR30"/>
    <mergeCell ref="RYS30:RYT30"/>
    <mergeCell ref="RYU30:RYV30"/>
    <mergeCell ref="RXY30:RXZ30"/>
    <mergeCell ref="RYA30:RYB30"/>
    <mergeCell ref="RYC30:RYD30"/>
    <mergeCell ref="RYE30:RYF30"/>
    <mergeCell ref="RYG30:RYH30"/>
    <mergeCell ref="RYI30:RYJ30"/>
    <mergeCell ref="RXM30:RXN30"/>
    <mergeCell ref="RXO30:RXP30"/>
    <mergeCell ref="RXQ30:RXR30"/>
    <mergeCell ref="RXS30:RXT30"/>
    <mergeCell ref="RXU30:RXV30"/>
    <mergeCell ref="RXW30:RXX30"/>
    <mergeCell ref="RXA30:RXB30"/>
    <mergeCell ref="RXC30:RXD30"/>
    <mergeCell ref="RXE30:RXF30"/>
    <mergeCell ref="RXG30:RXH30"/>
    <mergeCell ref="RXI30:RXJ30"/>
    <mergeCell ref="RXK30:RXL30"/>
    <mergeCell ref="RWO30:RWP30"/>
    <mergeCell ref="RWQ30:RWR30"/>
    <mergeCell ref="RWS30:RWT30"/>
    <mergeCell ref="RWU30:RWV30"/>
    <mergeCell ref="RWW30:RWX30"/>
    <mergeCell ref="RWY30:RWZ30"/>
    <mergeCell ref="SBQ30:SBR30"/>
    <mergeCell ref="SBS30:SBT30"/>
    <mergeCell ref="SBU30:SBV30"/>
    <mergeCell ref="SBW30:SBX30"/>
    <mergeCell ref="SBY30:SBZ30"/>
    <mergeCell ref="SCA30:SCB30"/>
    <mergeCell ref="SBE30:SBF30"/>
    <mergeCell ref="SBG30:SBH30"/>
    <mergeCell ref="SBI30:SBJ30"/>
    <mergeCell ref="SBK30:SBL30"/>
    <mergeCell ref="SBM30:SBN30"/>
    <mergeCell ref="SBO30:SBP30"/>
    <mergeCell ref="SAS30:SAT30"/>
    <mergeCell ref="SAU30:SAV30"/>
    <mergeCell ref="SAW30:SAX30"/>
    <mergeCell ref="SAY30:SAZ30"/>
    <mergeCell ref="SBA30:SBB30"/>
    <mergeCell ref="SBC30:SBD30"/>
    <mergeCell ref="SAG30:SAH30"/>
    <mergeCell ref="SAI30:SAJ30"/>
    <mergeCell ref="SAK30:SAL30"/>
    <mergeCell ref="SAM30:SAN30"/>
    <mergeCell ref="SAO30:SAP30"/>
    <mergeCell ref="SAQ30:SAR30"/>
    <mergeCell ref="RZU30:RZV30"/>
    <mergeCell ref="RZW30:RZX30"/>
    <mergeCell ref="RZY30:RZZ30"/>
    <mergeCell ref="SAA30:SAB30"/>
    <mergeCell ref="SAC30:SAD30"/>
    <mergeCell ref="SAE30:SAF30"/>
    <mergeCell ref="RZI30:RZJ30"/>
    <mergeCell ref="RZK30:RZL30"/>
    <mergeCell ref="RZM30:RZN30"/>
    <mergeCell ref="RZO30:RZP30"/>
    <mergeCell ref="RZQ30:RZR30"/>
    <mergeCell ref="RZS30:RZT30"/>
    <mergeCell ref="SEK30:SEL30"/>
    <mergeCell ref="SEM30:SEN30"/>
    <mergeCell ref="SEO30:SEP30"/>
    <mergeCell ref="SEQ30:SER30"/>
    <mergeCell ref="SES30:SET30"/>
    <mergeCell ref="SEU30:SEV30"/>
    <mergeCell ref="SDY30:SDZ30"/>
    <mergeCell ref="SEA30:SEB30"/>
    <mergeCell ref="SEC30:SED30"/>
    <mergeCell ref="SEE30:SEF30"/>
    <mergeCell ref="SEG30:SEH30"/>
    <mergeCell ref="SEI30:SEJ30"/>
    <mergeCell ref="SDM30:SDN30"/>
    <mergeCell ref="SDO30:SDP30"/>
    <mergeCell ref="SDQ30:SDR30"/>
    <mergeCell ref="SDS30:SDT30"/>
    <mergeCell ref="SDU30:SDV30"/>
    <mergeCell ref="SDW30:SDX30"/>
    <mergeCell ref="SDA30:SDB30"/>
    <mergeCell ref="SDC30:SDD30"/>
    <mergeCell ref="SDE30:SDF30"/>
    <mergeCell ref="SDG30:SDH30"/>
    <mergeCell ref="SDI30:SDJ30"/>
    <mergeCell ref="SDK30:SDL30"/>
    <mergeCell ref="SCO30:SCP30"/>
    <mergeCell ref="SCQ30:SCR30"/>
    <mergeCell ref="SCS30:SCT30"/>
    <mergeCell ref="SCU30:SCV30"/>
    <mergeCell ref="SCW30:SCX30"/>
    <mergeCell ref="SCY30:SCZ30"/>
    <mergeCell ref="SCC30:SCD30"/>
    <mergeCell ref="SCE30:SCF30"/>
    <mergeCell ref="SCG30:SCH30"/>
    <mergeCell ref="SCI30:SCJ30"/>
    <mergeCell ref="SCK30:SCL30"/>
    <mergeCell ref="SCM30:SCN30"/>
    <mergeCell ref="SHE30:SHF30"/>
    <mergeCell ref="SHG30:SHH30"/>
    <mergeCell ref="SHI30:SHJ30"/>
    <mergeCell ref="SHK30:SHL30"/>
    <mergeCell ref="SHM30:SHN30"/>
    <mergeCell ref="SHO30:SHP30"/>
    <mergeCell ref="SGS30:SGT30"/>
    <mergeCell ref="SGU30:SGV30"/>
    <mergeCell ref="SGW30:SGX30"/>
    <mergeCell ref="SGY30:SGZ30"/>
    <mergeCell ref="SHA30:SHB30"/>
    <mergeCell ref="SHC30:SHD30"/>
    <mergeCell ref="SGG30:SGH30"/>
    <mergeCell ref="SGI30:SGJ30"/>
    <mergeCell ref="SGK30:SGL30"/>
    <mergeCell ref="SGM30:SGN30"/>
    <mergeCell ref="SGO30:SGP30"/>
    <mergeCell ref="SGQ30:SGR30"/>
    <mergeCell ref="SFU30:SFV30"/>
    <mergeCell ref="SFW30:SFX30"/>
    <mergeCell ref="SFY30:SFZ30"/>
    <mergeCell ref="SGA30:SGB30"/>
    <mergeCell ref="SGC30:SGD30"/>
    <mergeCell ref="SGE30:SGF30"/>
    <mergeCell ref="SFI30:SFJ30"/>
    <mergeCell ref="SFK30:SFL30"/>
    <mergeCell ref="SFM30:SFN30"/>
    <mergeCell ref="SFO30:SFP30"/>
    <mergeCell ref="SFQ30:SFR30"/>
    <mergeCell ref="SFS30:SFT30"/>
    <mergeCell ref="SEW30:SEX30"/>
    <mergeCell ref="SEY30:SEZ30"/>
    <mergeCell ref="SFA30:SFB30"/>
    <mergeCell ref="SFC30:SFD30"/>
    <mergeCell ref="SFE30:SFF30"/>
    <mergeCell ref="SFG30:SFH30"/>
    <mergeCell ref="SJY30:SJZ30"/>
    <mergeCell ref="SKA30:SKB30"/>
    <mergeCell ref="SKC30:SKD30"/>
    <mergeCell ref="SKE30:SKF30"/>
    <mergeCell ref="SKG30:SKH30"/>
    <mergeCell ref="SKI30:SKJ30"/>
    <mergeCell ref="SJM30:SJN30"/>
    <mergeCell ref="SJO30:SJP30"/>
    <mergeCell ref="SJQ30:SJR30"/>
    <mergeCell ref="SJS30:SJT30"/>
    <mergeCell ref="SJU30:SJV30"/>
    <mergeCell ref="SJW30:SJX30"/>
    <mergeCell ref="SJA30:SJB30"/>
    <mergeCell ref="SJC30:SJD30"/>
    <mergeCell ref="SJE30:SJF30"/>
    <mergeCell ref="SJG30:SJH30"/>
    <mergeCell ref="SJI30:SJJ30"/>
    <mergeCell ref="SJK30:SJL30"/>
    <mergeCell ref="SIO30:SIP30"/>
    <mergeCell ref="SIQ30:SIR30"/>
    <mergeCell ref="SIS30:SIT30"/>
    <mergeCell ref="SIU30:SIV30"/>
    <mergeCell ref="SIW30:SIX30"/>
    <mergeCell ref="SIY30:SIZ30"/>
    <mergeCell ref="SIC30:SID30"/>
    <mergeCell ref="SIE30:SIF30"/>
    <mergeCell ref="SIG30:SIH30"/>
    <mergeCell ref="SII30:SIJ30"/>
    <mergeCell ref="SIK30:SIL30"/>
    <mergeCell ref="SIM30:SIN30"/>
    <mergeCell ref="SHQ30:SHR30"/>
    <mergeCell ref="SHS30:SHT30"/>
    <mergeCell ref="SHU30:SHV30"/>
    <mergeCell ref="SHW30:SHX30"/>
    <mergeCell ref="SHY30:SHZ30"/>
    <mergeCell ref="SIA30:SIB30"/>
    <mergeCell ref="SMS30:SMT30"/>
    <mergeCell ref="SMU30:SMV30"/>
    <mergeCell ref="SMW30:SMX30"/>
    <mergeCell ref="SMY30:SMZ30"/>
    <mergeCell ref="SNA30:SNB30"/>
    <mergeCell ref="SNC30:SND30"/>
    <mergeCell ref="SMG30:SMH30"/>
    <mergeCell ref="SMI30:SMJ30"/>
    <mergeCell ref="SMK30:SML30"/>
    <mergeCell ref="SMM30:SMN30"/>
    <mergeCell ref="SMO30:SMP30"/>
    <mergeCell ref="SMQ30:SMR30"/>
    <mergeCell ref="SLU30:SLV30"/>
    <mergeCell ref="SLW30:SLX30"/>
    <mergeCell ref="SLY30:SLZ30"/>
    <mergeCell ref="SMA30:SMB30"/>
    <mergeCell ref="SMC30:SMD30"/>
    <mergeCell ref="SME30:SMF30"/>
    <mergeCell ref="SLI30:SLJ30"/>
    <mergeCell ref="SLK30:SLL30"/>
    <mergeCell ref="SLM30:SLN30"/>
    <mergeCell ref="SLO30:SLP30"/>
    <mergeCell ref="SLQ30:SLR30"/>
    <mergeCell ref="SLS30:SLT30"/>
    <mergeCell ref="SKW30:SKX30"/>
    <mergeCell ref="SKY30:SKZ30"/>
    <mergeCell ref="SLA30:SLB30"/>
    <mergeCell ref="SLC30:SLD30"/>
    <mergeCell ref="SLE30:SLF30"/>
    <mergeCell ref="SLG30:SLH30"/>
    <mergeCell ref="SKK30:SKL30"/>
    <mergeCell ref="SKM30:SKN30"/>
    <mergeCell ref="SKO30:SKP30"/>
    <mergeCell ref="SKQ30:SKR30"/>
    <mergeCell ref="SKS30:SKT30"/>
    <mergeCell ref="SKU30:SKV30"/>
    <mergeCell ref="SPM30:SPN30"/>
    <mergeCell ref="SPO30:SPP30"/>
    <mergeCell ref="SPQ30:SPR30"/>
    <mergeCell ref="SPS30:SPT30"/>
    <mergeCell ref="SPU30:SPV30"/>
    <mergeCell ref="SPW30:SPX30"/>
    <mergeCell ref="SPA30:SPB30"/>
    <mergeCell ref="SPC30:SPD30"/>
    <mergeCell ref="SPE30:SPF30"/>
    <mergeCell ref="SPG30:SPH30"/>
    <mergeCell ref="SPI30:SPJ30"/>
    <mergeCell ref="SPK30:SPL30"/>
    <mergeCell ref="SOO30:SOP30"/>
    <mergeCell ref="SOQ30:SOR30"/>
    <mergeCell ref="SOS30:SOT30"/>
    <mergeCell ref="SOU30:SOV30"/>
    <mergeCell ref="SOW30:SOX30"/>
    <mergeCell ref="SOY30:SOZ30"/>
    <mergeCell ref="SOC30:SOD30"/>
    <mergeCell ref="SOE30:SOF30"/>
    <mergeCell ref="SOG30:SOH30"/>
    <mergeCell ref="SOI30:SOJ30"/>
    <mergeCell ref="SOK30:SOL30"/>
    <mergeCell ref="SOM30:SON30"/>
    <mergeCell ref="SNQ30:SNR30"/>
    <mergeCell ref="SNS30:SNT30"/>
    <mergeCell ref="SNU30:SNV30"/>
    <mergeCell ref="SNW30:SNX30"/>
    <mergeCell ref="SNY30:SNZ30"/>
    <mergeCell ref="SOA30:SOB30"/>
    <mergeCell ref="SNE30:SNF30"/>
    <mergeCell ref="SNG30:SNH30"/>
    <mergeCell ref="SNI30:SNJ30"/>
    <mergeCell ref="SNK30:SNL30"/>
    <mergeCell ref="SNM30:SNN30"/>
    <mergeCell ref="SNO30:SNP30"/>
    <mergeCell ref="SSG30:SSH30"/>
    <mergeCell ref="SSI30:SSJ30"/>
    <mergeCell ref="SSK30:SSL30"/>
    <mergeCell ref="SSM30:SSN30"/>
    <mergeCell ref="SSO30:SSP30"/>
    <mergeCell ref="SSQ30:SSR30"/>
    <mergeCell ref="SRU30:SRV30"/>
    <mergeCell ref="SRW30:SRX30"/>
    <mergeCell ref="SRY30:SRZ30"/>
    <mergeCell ref="SSA30:SSB30"/>
    <mergeCell ref="SSC30:SSD30"/>
    <mergeCell ref="SSE30:SSF30"/>
    <mergeCell ref="SRI30:SRJ30"/>
    <mergeCell ref="SRK30:SRL30"/>
    <mergeCell ref="SRM30:SRN30"/>
    <mergeCell ref="SRO30:SRP30"/>
    <mergeCell ref="SRQ30:SRR30"/>
    <mergeCell ref="SRS30:SRT30"/>
    <mergeCell ref="SQW30:SQX30"/>
    <mergeCell ref="SQY30:SQZ30"/>
    <mergeCell ref="SRA30:SRB30"/>
    <mergeCell ref="SRC30:SRD30"/>
    <mergeCell ref="SRE30:SRF30"/>
    <mergeCell ref="SRG30:SRH30"/>
    <mergeCell ref="SQK30:SQL30"/>
    <mergeCell ref="SQM30:SQN30"/>
    <mergeCell ref="SQO30:SQP30"/>
    <mergeCell ref="SQQ30:SQR30"/>
    <mergeCell ref="SQS30:SQT30"/>
    <mergeCell ref="SQU30:SQV30"/>
    <mergeCell ref="SPY30:SPZ30"/>
    <mergeCell ref="SQA30:SQB30"/>
    <mergeCell ref="SQC30:SQD30"/>
    <mergeCell ref="SQE30:SQF30"/>
    <mergeCell ref="SQG30:SQH30"/>
    <mergeCell ref="SQI30:SQJ30"/>
    <mergeCell ref="SVA30:SVB30"/>
    <mergeCell ref="SVC30:SVD30"/>
    <mergeCell ref="SVE30:SVF30"/>
    <mergeCell ref="SVG30:SVH30"/>
    <mergeCell ref="SVI30:SVJ30"/>
    <mergeCell ref="SVK30:SVL30"/>
    <mergeCell ref="SUO30:SUP30"/>
    <mergeCell ref="SUQ30:SUR30"/>
    <mergeCell ref="SUS30:SUT30"/>
    <mergeCell ref="SUU30:SUV30"/>
    <mergeCell ref="SUW30:SUX30"/>
    <mergeCell ref="SUY30:SUZ30"/>
    <mergeCell ref="SUC30:SUD30"/>
    <mergeCell ref="SUE30:SUF30"/>
    <mergeCell ref="SUG30:SUH30"/>
    <mergeCell ref="SUI30:SUJ30"/>
    <mergeCell ref="SUK30:SUL30"/>
    <mergeCell ref="SUM30:SUN30"/>
    <mergeCell ref="STQ30:STR30"/>
    <mergeCell ref="STS30:STT30"/>
    <mergeCell ref="STU30:STV30"/>
    <mergeCell ref="STW30:STX30"/>
    <mergeCell ref="STY30:STZ30"/>
    <mergeCell ref="SUA30:SUB30"/>
    <mergeCell ref="STE30:STF30"/>
    <mergeCell ref="STG30:STH30"/>
    <mergeCell ref="STI30:STJ30"/>
    <mergeCell ref="STK30:STL30"/>
    <mergeCell ref="STM30:STN30"/>
    <mergeCell ref="STO30:STP30"/>
    <mergeCell ref="SSS30:SST30"/>
    <mergeCell ref="SSU30:SSV30"/>
    <mergeCell ref="SSW30:SSX30"/>
    <mergeCell ref="SSY30:SSZ30"/>
    <mergeCell ref="STA30:STB30"/>
    <mergeCell ref="STC30:STD30"/>
    <mergeCell ref="SXU30:SXV30"/>
    <mergeCell ref="SXW30:SXX30"/>
    <mergeCell ref="SXY30:SXZ30"/>
    <mergeCell ref="SYA30:SYB30"/>
    <mergeCell ref="SYC30:SYD30"/>
    <mergeCell ref="SYE30:SYF30"/>
    <mergeCell ref="SXI30:SXJ30"/>
    <mergeCell ref="SXK30:SXL30"/>
    <mergeCell ref="SXM30:SXN30"/>
    <mergeCell ref="SXO30:SXP30"/>
    <mergeCell ref="SXQ30:SXR30"/>
    <mergeCell ref="SXS30:SXT30"/>
    <mergeCell ref="SWW30:SWX30"/>
    <mergeCell ref="SWY30:SWZ30"/>
    <mergeCell ref="SXA30:SXB30"/>
    <mergeCell ref="SXC30:SXD30"/>
    <mergeCell ref="SXE30:SXF30"/>
    <mergeCell ref="SXG30:SXH30"/>
    <mergeCell ref="SWK30:SWL30"/>
    <mergeCell ref="SWM30:SWN30"/>
    <mergeCell ref="SWO30:SWP30"/>
    <mergeCell ref="SWQ30:SWR30"/>
    <mergeCell ref="SWS30:SWT30"/>
    <mergeCell ref="SWU30:SWV30"/>
    <mergeCell ref="SVY30:SVZ30"/>
    <mergeCell ref="SWA30:SWB30"/>
    <mergeCell ref="SWC30:SWD30"/>
    <mergeCell ref="SWE30:SWF30"/>
    <mergeCell ref="SWG30:SWH30"/>
    <mergeCell ref="SWI30:SWJ30"/>
    <mergeCell ref="SVM30:SVN30"/>
    <mergeCell ref="SVO30:SVP30"/>
    <mergeCell ref="SVQ30:SVR30"/>
    <mergeCell ref="SVS30:SVT30"/>
    <mergeCell ref="SVU30:SVV30"/>
    <mergeCell ref="SVW30:SVX30"/>
    <mergeCell ref="TAO30:TAP30"/>
    <mergeCell ref="TAQ30:TAR30"/>
    <mergeCell ref="TAS30:TAT30"/>
    <mergeCell ref="TAU30:TAV30"/>
    <mergeCell ref="TAW30:TAX30"/>
    <mergeCell ref="TAY30:TAZ30"/>
    <mergeCell ref="TAC30:TAD30"/>
    <mergeCell ref="TAE30:TAF30"/>
    <mergeCell ref="TAG30:TAH30"/>
    <mergeCell ref="TAI30:TAJ30"/>
    <mergeCell ref="TAK30:TAL30"/>
    <mergeCell ref="TAM30:TAN30"/>
    <mergeCell ref="SZQ30:SZR30"/>
    <mergeCell ref="SZS30:SZT30"/>
    <mergeCell ref="SZU30:SZV30"/>
    <mergeCell ref="SZW30:SZX30"/>
    <mergeCell ref="SZY30:SZZ30"/>
    <mergeCell ref="TAA30:TAB30"/>
    <mergeCell ref="SZE30:SZF30"/>
    <mergeCell ref="SZG30:SZH30"/>
    <mergeCell ref="SZI30:SZJ30"/>
    <mergeCell ref="SZK30:SZL30"/>
    <mergeCell ref="SZM30:SZN30"/>
    <mergeCell ref="SZO30:SZP30"/>
    <mergeCell ref="SYS30:SYT30"/>
    <mergeCell ref="SYU30:SYV30"/>
    <mergeCell ref="SYW30:SYX30"/>
    <mergeCell ref="SYY30:SYZ30"/>
    <mergeCell ref="SZA30:SZB30"/>
    <mergeCell ref="SZC30:SZD30"/>
    <mergeCell ref="SYG30:SYH30"/>
    <mergeCell ref="SYI30:SYJ30"/>
    <mergeCell ref="SYK30:SYL30"/>
    <mergeCell ref="SYM30:SYN30"/>
    <mergeCell ref="SYO30:SYP30"/>
    <mergeCell ref="SYQ30:SYR30"/>
    <mergeCell ref="TDI30:TDJ30"/>
    <mergeCell ref="TDK30:TDL30"/>
    <mergeCell ref="TDM30:TDN30"/>
    <mergeCell ref="TDO30:TDP30"/>
    <mergeCell ref="TDQ30:TDR30"/>
    <mergeCell ref="TDS30:TDT30"/>
    <mergeCell ref="TCW30:TCX30"/>
    <mergeCell ref="TCY30:TCZ30"/>
    <mergeCell ref="TDA30:TDB30"/>
    <mergeCell ref="TDC30:TDD30"/>
    <mergeCell ref="TDE30:TDF30"/>
    <mergeCell ref="TDG30:TDH30"/>
    <mergeCell ref="TCK30:TCL30"/>
    <mergeCell ref="TCM30:TCN30"/>
    <mergeCell ref="TCO30:TCP30"/>
    <mergeCell ref="TCQ30:TCR30"/>
    <mergeCell ref="TCS30:TCT30"/>
    <mergeCell ref="TCU30:TCV30"/>
    <mergeCell ref="TBY30:TBZ30"/>
    <mergeCell ref="TCA30:TCB30"/>
    <mergeCell ref="TCC30:TCD30"/>
    <mergeCell ref="TCE30:TCF30"/>
    <mergeCell ref="TCG30:TCH30"/>
    <mergeCell ref="TCI30:TCJ30"/>
    <mergeCell ref="TBM30:TBN30"/>
    <mergeCell ref="TBO30:TBP30"/>
    <mergeCell ref="TBQ30:TBR30"/>
    <mergeCell ref="TBS30:TBT30"/>
    <mergeCell ref="TBU30:TBV30"/>
    <mergeCell ref="TBW30:TBX30"/>
    <mergeCell ref="TBA30:TBB30"/>
    <mergeCell ref="TBC30:TBD30"/>
    <mergeCell ref="TBE30:TBF30"/>
    <mergeCell ref="TBG30:TBH30"/>
    <mergeCell ref="TBI30:TBJ30"/>
    <mergeCell ref="TBK30:TBL30"/>
    <mergeCell ref="TGC30:TGD30"/>
    <mergeCell ref="TGE30:TGF30"/>
    <mergeCell ref="TGG30:TGH30"/>
    <mergeCell ref="TGI30:TGJ30"/>
    <mergeCell ref="TGK30:TGL30"/>
    <mergeCell ref="TGM30:TGN30"/>
    <mergeCell ref="TFQ30:TFR30"/>
    <mergeCell ref="TFS30:TFT30"/>
    <mergeCell ref="TFU30:TFV30"/>
    <mergeCell ref="TFW30:TFX30"/>
    <mergeCell ref="TFY30:TFZ30"/>
    <mergeCell ref="TGA30:TGB30"/>
    <mergeCell ref="TFE30:TFF30"/>
    <mergeCell ref="TFG30:TFH30"/>
    <mergeCell ref="TFI30:TFJ30"/>
    <mergeCell ref="TFK30:TFL30"/>
    <mergeCell ref="TFM30:TFN30"/>
    <mergeCell ref="TFO30:TFP30"/>
    <mergeCell ref="TES30:TET30"/>
    <mergeCell ref="TEU30:TEV30"/>
    <mergeCell ref="TEW30:TEX30"/>
    <mergeCell ref="TEY30:TEZ30"/>
    <mergeCell ref="TFA30:TFB30"/>
    <mergeCell ref="TFC30:TFD30"/>
    <mergeCell ref="TEG30:TEH30"/>
    <mergeCell ref="TEI30:TEJ30"/>
    <mergeCell ref="TEK30:TEL30"/>
    <mergeCell ref="TEM30:TEN30"/>
    <mergeCell ref="TEO30:TEP30"/>
    <mergeCell ref="TEQ30:TER30"/>
    <mergeCell ref="TDU30:TDV30"/>
    <mergeCell ref="TDW30:TDX30"/>
    <mergeCell ref="TDY30:TDZ30"/>
    <mergeCell ref="TEA30:TEB30"/>
    <mergeCell ref="TEC30:TED30"/>
    <mergeCell ref="TEE30:TEF30"/>
    <mergeCell ref="TIW30:TIX30"/>
    <mergeCell ref="TIY30:TIZ30"/>
    <mergeCell ref="TJA30:TJB30"/>
    <mergeCell ref="TJC30:TJD30"/>
    <mergeCell ref="TJE30:TJF30"/>
    <mergeCell ref="TJG30:TJH30"/>
    <mergeCell ref="TIK30:TIL30"/>
    <mergeCell ref="TIM30:TIN30"/>
    <mergeCell ref="TIO30:TIP30"/>
    <mergeCell ref="TIQ30:TIR30"/>
    <mergeCell ref="TIS30:TIT30"/>
    <mergeCell ref="TIU30:TIV30"/>
    <mergeCell ref="THY30:THZ30"/>
    <mergeCell ref="TIA30:TIB30"/>
    <mergeCell ref="TIC30:TID30"/>
    <mergeCell ref="TIE30:TIF30"/>
    <mergeCell ref="TIG30:TIH30"/>
    <mergeCell ref="TII30:TIJ30"/>
    <mergeCell ref="THM30:THN30"/>
    <mergeCell ref="THO30:THP30"/>
    <mergeCell ref="THQ30:THR30"/>
    <mergeCell ref="THS30:THT30"/>
    <mergeCell ref="THU30:THV30"/>
    <mergeCell ref="THW30:THX30"/>
    <mergeCell ref="THA30:THB30"/>
    <mergeCell ref="THC30:THD30"/>
    <mergeCell ref="THE30:THF30"/>
    <mergeCell ref="THG30:THH30"/>
    <mergeCell ref="THI30:THJ30"/>
    <mergeCell ref="THK30:THL30"/>
    <mergeCell ref="TGO30:TGP30"/>
    <mergeCell ref="TGQ30:TGR30"/>
    <mergeCell ref="TGS30:TGT30"/>
    <mergeCell ref="TGU30:TGV30"/>
    <mergeCell ref="TGW30:TGX30"/>
    <mergeCell ref="TGY30:TGZ30"/>
    <mergeCell ref="TLQ30:TLR30"/>
    <mergeCell ref="TLS30:TLT30"/>
    <mergeCell ref="TLU30:TLV30"/>
    <mergeCell ref="TLW30:TLX30"/>
    <mergeCell ref="TLY30:TLZ30"/>
    <mergeCell ref="TMA30:TMB30"/>
    <mergeCell ref="TLE30:TLF30"/>
    <mergeCell ref="TLG30:TLH30"/>
    <mergeCell ref="TLI30:TLJ30"/>
    <mergeCell ref="TLK30:TLL30"/>
    <mergeCell ref="TLM30:TLN30"/>
    <mergeCell ref="TLO30:TLP30"/>
    <mergeCell ref="TKS30:TKT30"/>
    <mergeCell ref="TKU30:TKV30"/>
    <mergeCell ref="TKW30:TKX30"/>
    <mergeCell ref="TKY30:TKZ30"/>
    <mergeCell ref="TLA30:TLB30"/>
    <mergeCell ref="TLC30:TLD30"/>
    <mergeCell ref="TKG30:TKH30"/>
    <mergeCell ref="TKI30:TKJ30"/>
    <mergeCell ref="TKK30:TKL30"/>
    <mergeCell ref="TKM30:TKN30"/>
    <mergeCell ref="TKO30:TKP30"/>
    <mergeCell ref="TKQ30:TKR30"/>
    <mergeCell ref="TJU30:TJV30"/>
    <mergeCell ref="TJW30:TJX30"/>
    <mergeCell ref="TJY30:TJZ30"/>
    <mergeCell ref="TKA30:TKB30"/>
    <mergeCell ref="TKC30:TKD30"/>
    <mergeCell ref="TKE30:TKF30"/>
    <mergeCell ref="TJI30:TJJ30"/>
    <mergeCell ref="TJK30:TJL30"/>
    <mergeCell ref="TJM30:TJN30"/>
    <mergeCell ref="TJO30:TJP30"/>
    <mergeCell ref="TJQ30:TJR30"/>
    <mergeCell ref="TJS30:TJT30"/>
    <mergeCell ref="TOK30:TOL30"/>
    <mergeCell ref="TOM30:TON30"/>
    <mergeCell ref="TOO30:TOP30"/>
    <mergeCell ref="TOQ30:TOR30"/>
    <mergeCell ref="TOS30:TOT30"/>
    <mergeCell ref="TOU30:TOV30"/>
    <mergeCell ref="TNY30:TNZ30"/>
    <mergeCell ref="TOA30:TOB30"/>
    <mergeCell ref="TOC30:TOD30"/>
    <mergeCell ref="TOE30:TOF30"/>
    <mergeCell ref="TOG30:TOH30"/>
    <mergeCell ref="TOI30:TOJ30"/>
    <mergeCell ref="TNM30:TNN30"/>
    <mergeCell ref="TNO30:TNP30"/>
    <mergeCell ref="TNQ30:TNR30"/>
    <mergeCell ref="TNS30:TNT30"/>
    <mergeCell ref="TNU30:TNV30"/>
    <mergeCell ref="TNW30:TNX30"/>
    <mergeCell ref="TNA30:TNB30"/>
    <mergeCell ref="TNC30:TND30"/>
    <mergeCell ref="TNE30:TNF30"/>
    <mergeCell ref="TNG30:TNH30"/>
    <mergeCell ref="TNI30:TNJ30"/>
    <mergeCell ref="TNK30:TNL30"/>
    <mergeCell ref="TMO30:TMP30"/>
    <mergeCell ref="TMQ30:TMR30"/>
    <mergeCell ref="TMS30:TMT30"/>
    <mergeCell ref="TMU30:TMV30"/>
    <mergeCell ref="TMW30:TMX30"/>
    <mergeCell ref="TMY30:TMZ30"/>
    <mergeCell ref="TMC30:TMD30"/>
    <mergeCell ref="TME30:TMF30"/>
    <mergeCell ref="TMG30:TMH30"/>
    <mergeCell ref="TMI30:TMJ30"/>
    <mergeCell ref="TMK30:TML30"/>
    <mergeCell ref="TMM30:TMN30"/>
    <mergeCell ref="TRE30:TRF30"/>
    <mergeCell ref="TRG30:TRH30"/>
    <mergeCell ref="TRI30:TRJ30"/>
    <mergeCell ref="TRK30:TRL30"/>
    <mergeCell ref="TRM30:TRN30"/>
    <mergeCell ref="TRO30:TRP30"/>
    <mergeCell ref="TQS30:TQT30"/>
    <mergeCell ref="TQU30:TQV30"/>
    <mergeCell ref="TQW30:TQX30"/>
    <mergeCell ref="TQY30:TQZ30"/>
    <mergeCell ref="TRA30:TRB30"/>
    <mergeCell ref="TRC30:TRD30"/>
    <mergeCell ref="TQG30:TQH30"/>
    <mergeCell ref="TQI30:TQJ30"/>
    <mergeCell ref="TQK30:TQL30"/>
    <mergeCell ref="TQM30:TQN30"/>
    <mergeCell ref="TQO30:TQP30"/>
    <mergeCell ref="TQQ30:TQR30"/>
    <mergeCell ref="TPU30:TPV30"/>
    <mergeCell ref="TPW30:TPX30"/>
    <mergeCell ref="TPY30:TPZ30"/>
    <mergeCell ref="TQA30:TQB30"/>
    <mergeCell ref="TQC30:TQD30"/>
    <mergeCell ref="TQE30:TQF30"/>
    <mergeCell ref="TPI30:TPJ30"/>
    <mergeCell ref="TPK30:TPL30"/>
    <mergeCell ref="TPM30:TPN30"/>
    <mergeCell ref="TPO30:TPP30"/>
    <mergeCell ref="TPQ30:TPR30"/>
    <mergeCell ref="TPS30:TPT30"/>
    <mergeCell ref="TOW30:TOX30"/>
    <mergeCell ref="TOY30:TOZ30"/>
    <mergeCell ref="TPA30:TPB30"/>
    <mergeCell ref="TPC30:TPD30"/>
    <mergeCell ref="TPE30:TPF30"/>
    <mergeCell ref="TPG30:TPH30"/>
    <mergeCell ref="TTY30:TTZ30"/>
    <mergeCell ref="TUA30:TUB30"/>
    <mergeCell ref="TUC30:TUD30"/>
    <mergeCell ref="TUE30:TUF30"/>
    <mergeCell ref="TUG30:TUH30"/>
    <mergeCell ref="TUI30:TUJ30"/>
    <mergeCell ref="TTM30:TTN30"/>
    <mergeCell ref="TTO30:TTP30"/>
    <mergeCell ref="TTQ30:TTR30"/>
    <mergeCell ref="TTS30:TTT30"/>
    <mergeCell ref="TTU30:TTV30"/>
    <mergeCell ref="TTW30:TTX30"/>
    <mergeCell ref="TTA30:TTB30"/>
    <mergeCell ref="TTC30:TTD30"/>
    <mergeCell ref="TTE30:TTF30"/>
    <mergeCell ref="TTG30:TTH30"/>
    <mergeCell ref="TTI30:TTJ30"/>
    <mergeCell ref="TTK30:TTL30"/>
    <mergeCell ref="TSO30:TSP30"/>
    <mergeCell ref="TSQ30:TSR30"/>
    <mergeCell ref="TSS30:TST30"/>
    <mergeCell ref="TSU30:TSV30"/>
    <mergeCell ref="TSW30:TSX30"/>
    <mergeCell ref="TSY30:TSZ30"/>
    <mergeCell ref="TSC30:TSD30"/>
    <mergeCell ref="TSE30:TSF30"/>
    <mergeCell ref="TSG30:TSH30"/>
    <mergeCell ref="TSI30:TSJ30"/>
    <mergeCell ref="TSK30:TSL30"/>
    <mergeCell ref="TSM30:TSN30"/>
    <mergeCell ref="TRQ30:TRR30"/>
    <mergeCell ref="TRS30:TRT30"/>
    <mergeCell ref="TRU30:TRV30"/>
    <mergeCell ref="TRW30:TRX30"/>
    <mergeCell ref="TRY30:TRZ30"/>
    <mergeCell ref="TSA30:TSB30"/>
    <mergeCell ref="TWS30:TWT30"/>
    <mergeCell ref="TWU30:TWV30"/>
    <mergeCell ref="TWW30:TWX30"/>
    <mergeCell ref="TWY30:TWZ30"/>
    <mergeCell ref="TXA30:TXB30"/>
    <mergeCell ref="TXC30:TXD30"/>
    <mergeCell ref="TWG30:TWH30"/>
    <mergeCell ref="TWI30:TWJ30"/>
    <mergeCell ref="TWK30:TWL30"/>
    <mergeCell ref="TWM30:TWN30"/>
    <mergeCell ref="TWO30:TWP30"/>
    <mergeCell ref="TWQ30:TWR30"/>
    <mergeCell ref="TVU30:TVV30"/>
    <mergeCell ref="TVW30:TVX30"/>
    <mergeCell ref="TVY30:TVZ30"/>
    <mergeCell ref="TWA30:TWB30"/>
    <mergeCell ref="TWC30:TWD30"/>
    <mergeCell ref="TWE30:TWF30"/>
    <mergeCell ref="TVI30:TVJ30"/>
    <mergeCell ref="TVK30:TVL30"/>
    <mergeCell ref="TVM30:TVN30"/>
    <mergeCell ref="TVO30:TVP30"/>
    <mergeCell ref="TVQ30:TVR30"/>
    <mergeCell ref="TVS30:TVT30"/>
    <mergeCell ref="TUW30:TUX30"/>
    <mergeCell ref="TUY30:TUZ30"/>
    <mergeCell ref="TVA30:TVB30"/>
    <mergeCell ref="TVC30:TVD30"/>
    <mergeCell ref="TVE30:TVF30"/>
    <mergeCell ref="TVG30:TVH30"/>
    <mergeCell ref="TUK30:TUL30"/>
    <mergeCell ref="TUM30:TUN30"/>
    <mergeCell ref="TUO30:TUP30"/>
    <mergeCell ref="TUQ30:TUR30"/>
    <mergeCell ref="TUS30:TUT30"/>
    <mergeCell ref="TUU30:TUV30"/>
    <mergeCell ref="TZM30:TZN30"/>
    <mergeCell ref="TZO30:TZP30"/>
    <mergeCell ref="TZQ30:TZR30"/>
    <mergeCell ref="TZS30:TZT30"/>
    <mergeCell ref="TZU30:TZV30"/>
    <mergeCell ref="TZW30:TZX30"/>
    <mergeCell ref="TZA30:TZB30"/>
    <mergeCell ref="TZC30:TZD30"/>
    <mergeCell ref="TZE30:TZF30"/>
    <mergeCell ref="TZG30:TZH30"/>
    <mergeCell ref="TZI30:TZJ30"/>
    <mergeCell ref="TZK30:TZL30"/>
    <mergeCell ref="TYO30:TYP30"/>
    <mergeCell ref="TYQ30:TYR30"/>
    <mergeCell ref="TYS30:TYT30"/>
    <mergeCell ref="TYU30:TYV30"/>
    <mergeCell ref="TYW30:TYX30"/>
    <mergeCell ref="TYY30:TYZ30"/>
    <mergeCell ref="TYC30:TYD30"/>
    <mergeCell ref="TYE30:TYF30"/>
    <mergeCell ref="TYG30:TYH30"/>
    <mergeCell ref="TYI30:TYJ30"/>
    <mergeCell ref="TYK30:TYL30"/>
    <mergeCell ref="TYM30:TYN30"/>
    <mergeCell ref="TXQ30:TXR30"/>
    <mergeCell ref="TXS30:TXT30"/>
    <mergeCell ref="TXU30:TXV30"/>
    <mergeCell ref="TXW30:TXX30"/>
    <mergeCell ref="TXY30:TXZ30"/>
    <mergeCell ref="TYA30:TYB30"/>
    <mergeCell ref="TXE30:TXF30"/>
    <mergeCell ref="TXG30:TXH30"/>
    <mergeCell ref="TXI30:TXJ30"/>
    <mergeCell ref="TXK30:TXL30"/>
    <mergeCell ref="TXM30:TXN30"/>
    <mergeCell ref="TXO30:TXP30"/>
    <mergeCell ref="UCG30:UCH30"/>
    <mergeCell ref="UCI30:UCJ30"/>
    <mergeCell ref="UCK30:UCL30"/>
    <mergeCell ref="UCM30:UCN30"/>
    <mergeCell ref="UCO30:UCP30"/>
    <mergeCell ref="UCQ30:UCR30"/>
    <mergeCell ref="UBU30:UBV30"/>
    <mergeCell ref="UBW30:UBX30"/>
    <mergeCell ref="UBY30:UBZ30"/>
    <mergeCell ref="UCA30:UCB30"/>
    <mergeCell ref="UCC30:UCD30"/>
    <mergeCell ref="UCE30:UCF30"/>
    <mergeCell ref="UBI30:UBJ30"/>
    <mergeCell ref="UBK30:UBL30"/>
    <mergeCell ref="UBM30:UBN30"/>
    <mergeCell ref="UBO30:UBP30"/>
    <mergeCell ref="UBQ30:UBR30"/>
    <mergeCell ref="UBS30:UBT30"/>
    <mergeCell ref="UAW30:UAX30"/>
    <mergeCell ref="UAY30:UAZ30"/>
    <mergeCell ref="UBA30:UBB30"/>
    <mergeCell ref="UBC30:UBD30"/>
    <mergeCell ref="UBE30:UBF30"/>
    <mergeCell ref="UBG30:UBH30"/>
    <mergeCell ref="UAK30:UAL30"/>
    <mergeCell ref="UAM30:UAN30"/>
    <mergeCell ref="UAO30:UAP30"/>
    <mergeCell ref="UAQ30:UAR30"/>
    <mergeCell ref="UAS30:UAT30"/>
    <mergeCell ref="UAU30:UAV30"/>
    <mergeCell ref="TZY30:TZZ30"/>
    <mergeCell ref="UAA30:UAB30"/>
    <mergeCell ref="UAC30:UAD30"/>
    <mergeCell ref="UAE30:UAF30"/>
    <mergeCell ref="UAG30:UAH30"/>
    <mergeCell ref="UAI30:UAJ30"/>
    <mergeCell ref="UFA30:UFB30"/>
    <mergeCell ref="UFC30:UFD30"/>
    <mergeCell ref="UFE30:UFF30"/>
    <mergeCell ref="UFG30:UFH30"/>
    <mergeCell ref="UFI30:UFJ30"/>
    <mergeCell ref="UFK30:UFL30"/>
    <mergeCell ref="UEO30:UEP30"/>
    <mergeCell ref="UEQ30:UER30"/>
    <mergeCell ref="UES30:UET30"/>
    <mergeCell ref="UEU30:UEV30"/>
    <mergeCell ref="UEW30:UEX30"/>
    <mergeCell ref="UEY30:UEZ30"/>
    <mergeCell ref="UEC30:UED30"/>
    <mergeCell ref="UEE30:UEF30"/>
    <mergeCell ref="UEG30:UEH30"/>
    <mergeCell ref="UEI30:UEJ30"/>
    <mergeCell ref="UEK30:UEL30"/>
    <mergeCell ref="UEM30:UEN30"/>
    <mergeCell ref="UDQ30:UDR30"/>
    <mergeCell ref="UDS30:UDT30"/>
    <mergeCell ref="UDU30:UDV30"/>
    <mergeCell ref="UDW30:UDX30"/>
    <mergeCell ref="UDY30:UDZ30"/>
    <mergeCell ref="UEA30:UEB30"/>
    <mergeCell ref="UDE30:UDF30"/>
    <mergeCell ref="UDG30:UDH30"/>
    <mergeCell ref="UDI30:UDJ30"/>
    <mergeCell ref="UDK30:UDL30"/>
    <mergeCell ref="UDM30:UDN30"/>
    <mergeCell ref="UDO30:UDP30"/>
    <mergeCell ref="UCS30:UCT30"/>
    <mergeCell ref="UCU30:UCV30"/>
    <mergeCell ref="UCW30:UCX30"/>
    <mergeCell ref="UCY30:UCZ30"/>
    <mergeCell ref="UDA30:UDB30"/>
    <mergeCell ref="UDC30:UDD30"/>
    <mergeCell ref="UHU30:UHV30"/>
    <mergeCell ref="UHW30:UHX30"/>
    <mergeCell ref="UHY30:UHZ30"/>
    <mergeCell ref="UIA30:UIB30"/>
    <mergeCell ref="UIC30:UID30"/>
    <mergeCell ref="UIE30:UIF30"/>
    <mergeCell ref="UHI30:UHJ30"/>
    <mergeCell ref="UHK30:UHL30"/>
    <mergeCell ref="UHM30:UHN30"/>
    <mergeCell ref="UHO30:UHP30"/>
    <mergeCell ref="UHQ30:UHR30"/>
    <mergeCell ref="UHS30:UHT30"/>
    <mergeCell ref="UGW30:UGX30"/>
    <mergeCell ref="UGY30:UGZ30"/>
    <mergeCell ref="UHA30:UHB30"/>
    <mergeCell ref="UHC30:UHD30"/>
    <mergeCell ref="UHE30:UHF30"/>
    <mergeCell ref="UHG30:UHH30"/>
    <mergeCell ref="UGK30:UGL30"/>
    <mergeCell ref="UGM30:UGN30"/>
    <mergeCell ref="UGO30:UGP30"/>
    <mergeCell ref="UGQ30:UGR30"/>
    <mergeCell ref="UGS30:UGT30"/>
    <mergeCell ref="UGU30:UGV30"/>
    <mergeCell ref="UFY30:UFZ30"/>
    <mergeCell ref="UGA30:UGB30"/>
    <mergeCell ref="UGC30:UGD30"/>
    <mergeCell ref="UGE30:UGF30"/>
    <mergeCell ref="UGG30:UGH30"/>
    <mergeCell ref="UGI30:UGJ30"/>
    <mergeCell ref="UFM30:UFN30"/>
    <mergeCell ref="UFO30:UFP30"/>
    <mergeCell ref="UFQ30:UFR30"/>
    <mergeCell ref="UFS30:UFT30"/>
    <mergeCell ref="UFU30:UFV30"/>
    <mergeCell ref="UFW30:UFX30"/>
    <mergeCell ref="UKO30:UKP30"/>
    <mergeCell ref="UKQ30:UKR30"/>
    <mergeCell ref="UKS30:UKT30"/>
    <mergeCell ref="UKU30:UKV30"/>
    <mergeCell ref="UKW30:UKX30"/>
    <mergeCell ref="UKY30:UKZ30"/>
    <mergeCell ref="UKC30:UKD30"/>
    <mergeCell ref="UKE30:UKF30"/>
    <mergeCell ref="UKG30:UKH30"/>
    <mergeCell ref="UKI30:UKJ30"/>
    <mergeCell ref="UKK30:UKL30"/>
    <mergeCell ref="UKM30:UKN30"/>
    <mergeCell ref="UJQ30:UJR30"/>
    <mergeCell ref="UJS30:UJT30"/>
    <mergeCell ref="UJU30:UJV30"/>
    <mergeCell ref="UJW30:UJX30"/>
    <mergeCell ref="UJY30:UJZ30"/>
    <mergeCell ref="UKA30:UKB30"/>
    <mergeCell ref="UJE30:UJF30"/>
    <mergeCell ref="UJG30:UJH30"/>
    <mergeCell ref="UJI30:UJJ30"/>
    <mergeCell ref="UJK30:UJL30"/>
    <mergeCell ref="UJM30:UJN30"/>
    <mergeCell ref="UJO30:UJP30"/>
    <mergeCell ref="UIS30:UIT30"/>
    <mergeCell ref="UIU30:UIV30"/>
    <mergeCell ref="UIW30:UIX30"/>
    <mergeCell ref="UIY30:UIZ30"/>
    <mergeCell ref="UJA30:UJB30"/>
    <mergeCell ref="UJC30:UJD30"/>
    <mergeCell ref="UIG30:UIH30"/>
    <mergeCell ref="UII30:UIJ30"/>
    <mergeCell ref="UIK30:UIL30"/>
    <mergeCell ref="UIM30:UIN30"/>
    <mergeCell ref="UIO30:UIP30"/>
    <mergeCell ref="UIQ30:UIR30"/>
    <mergeCell ref="UNI30:UNJ30"/>
    <mergeCell ref="UNK30:UNL30"/>
    <mergeCell ref="UNM30:UNN30"/>
    <mergeCell ref="UNO30:UNP30"/>
    <mergeCell ref="UNQ30:UNR30"/>
    <mergeCell ref="UNS30:UNT30"/>
    <mergeCell ref="UMW30:UMX30"/>
    <mergeCell ref="UMY30:UMZ30"/>
    <mergeCell ref="UNA30:UNB30"/>
    <mergeCell ref="UNC30:UND30"/>
    <mergeCell ref="UNE30:UNF30"/>
    <mergeCell ref="UNG30:UNH30"/>
    <mergeCell ref="UMK30:UML30"/>
    <mergeCell ref="UMM30:UMN30"/>
    <mergeCell ref="UMO30:UMP30"/>
    <mergeCell ref="UMQ30:UMR30"/>
    <mergeCell ref="UMS30:UMT30"/>
    <mergeCell ref="UMU30:UMV30"/>
    <mergeCell ref="ULY30:ULZ30"/>
    <mergeCell ref="UMA30:UMB30"/>
    <mergeCell ref="UMC30:UMD30"/>
    <mergeCell ref="UME30:UMF30"/>
    <mergeCell ref="UMG30:UMH30"/>
    <mergeCell ref="UMI30:UMJ30"/>
    <mergeCell ref="ULM30:ULN30"/>
    <mergeCell ref="ULO30:ULP30"/>
    <mergeCell ref="ULQ30:ULR30"/>
    <mergeCell ref="ULS30:ULT30"/>
    <mergeCell ref="ULU30:ULV30"/>
    <mergeCell ref="ULW30:ULX30"/>
    <mergeCell ref="ULA30:ULB30"/>
    <mergeCell ref="ULC30:ULD30"/>
    <mergeCell ref="ULE30:ULF30"/>
    <mergeCell ref="ULG30:ULH30"/>
    <mergeCell ref="ULI30:ULJ30"/>
    <mergeCell ref="ULK30:ULL30"/>
    <mergeCell ref="UQC30:UQD30"/>
    <mergeCell ref="UQE30:UQF30"/>
    <mergeCell ref="UQG30:UQH30"/>
    <mergeCell ref="UQI30:UQJ30"/>
    <mergeCell ref="UQK30:UQL30"/>
    <mergeCell ref="UQM30:UQN30"/>
    <mergeCell ref="UPQ30:UPR30"/>
    <mergeCell ref="UPS30:UPT30"/>
    <mergeCell ref="UPU30:UPV30"/>
    <mergeCell ref="UPW30:UPX30"/>
    <mergeCell ref="UPY30:UPZ30"/>
    <mergeCell ref="UQA30:UQB30"/>
    <mergeCell ref="UPE30:UPF30"/>
    <mergeCell ref="UPG30:UPH30"/>
    <mergeCell ref="UPI30:UPJ30"/>
    <mergeCell ref="UPK30:UPL30"/>
    <mergeCell ref="UPM30:UPN30"/>
    <mergeCell ref="UPO30:UPP30"/>
    <mergeCell ref="UOS30:UOT30"/>
    <mergeCell ref="UOU30:UOV30"/>
    <mergeCell ref="UOW30:UOX30"/>
    <mergeCell ref="UOY30:UOZ30"/>
    <mergeCell ref="UPA30:UPB30"/>
    <mergeCell ref="UPC30:UPD30"/>
    <mergeCell ref="UOG30:UOH30"/>
    <mergeCell ref="UOI30:UOJ30"/>
    <mergeCell ref="UOK30:UOL30"/>
    <mergeCell ref="UOM30:UON30"/>
    <mergeCell ref="UOO30:UOP30"/>
    <mergeCell ref="UOQ30:UOR30"/>
    <mergeCell ref="UNU30:UNV30"/>
    <mergeCell ref="UNW30:UNX30"/>
    <mergeCell ref="UNY30:UNZ30"/>
    <mergeCell ref="UOA30:UOB30"/>
    <mergeCell ref="UOC30:UOD30"/>
    <mergeCell ref="UOE30:UOF30"/>
    <mergeCell ref="USW30:USX30"/>
    <mergeCell ref="USY30:USZ30"/>
    <mergeCell ref="UTA30:UTB30"/>
    <mergeCell ref="UTC30:UTD30"/>
    <mergeCell ref="UTE30:UTF30"/>
    <mergeCell ref="UTG30:UTH30"/>
    <mergeCell ref="USK30:USL30"/>
    <mergeCell ref="USM30:USN30"/>
    <mergeCell ref="USO30:USP30"/>
    <mergeCell ref="USQ30:USR30"/>
    <mergeCell ref="USS30:UST30"/>
    <mergeCell ref="USU30:USV30"/>
    <mergeCell ref="URY30:URZ30"/>
    <mergeCell ref="USA30:USB30"/>
    <mergeCell ref="USC30:USD30"/>
    <mergeCell ref="USE30:USF30"/>
    <mergeCell ref="USG30:USH30"/>
    <mergeCell ref="USI30:USJ30"/>
    <mergeCell ref="URM30:URN30"/>
    <mergeCell ref="URO30:URP30"/>
    <mergeCell ref="URQ30:URR30"/>
    <mergeCell ref="URS30:URT30"/>
    <mergeCell ref="URU30:URV30"/>
    <mergeCell ref="URW30:URX30"/>
    <mergeCell ref="URA30:URB30"/>
    <mergeCell ref="URC30:URD30"/>
    <mergeCell ref="URE30:URF30"/>
    <mergeCell ref="URG30:URH30"/>
    <mergeCell ref="URI30:URJ30"/>
    <mergeCell ref="URK30:URL30"/>
    <mergeCell ref="UQO30:UQP30"/>
    <mergeCell ref="UQQ30:UQR30"/>
    <mergeCell ref="UQS30:UQT30"/>
    <mergeCell ref="UQU30:UQV30"/>
    <mergeCell ref="UQW30:UQX30"/>
    <mergeCell ref="UQY30:UQZ30"/>
    <mergeCell ref="UVQ30:UVR30"/>
    <mergeCell ref="UVS30:UVT30"/>
    <mergeCell ref="UVU30:UVV30"/>
    <mergeCell ref="UVW30:UVX30"/>
    <mergeCell ref="UVY30:UVZ30"/>
    <mergeCell ref="UWA30:UWB30"/>
    <mergeCell ref="UVE30:UVF30"/>
    <mergeCell ref="UVG30:UVH30"/>
    <mergeCell ref="UVI30:UVJ30"/>
    <mergeCell ref="UVK30:UVL30"/>
    <mergeCell ref="UVM30:UVN30"/>
    <mergeCell ref="UVO30:UVP30"/>
    <mergeCell ref="UUS30:UUT30"/>
    <mergeCell ref="UUU30:UUV30"/>
    <mergeCell ref="UUW30:UUX30"/>
    <mergeCell ref="UUY30:UUZ30"/>
    <mergeCell ref="UVA30:UVB30"/>
    <mergeCell ref="UVC30:UVD30"/>
    <mergeCell ref="UUG30:UUH30"/>
    <mergeCell ref="UUI30:UUJ30"/>
    <mergeCell ref="UUK30:UUL30"/>
    <mergeCell ref="UUM30:UUN30"/>
    <mergeCell ref="UUO30:UUP30"/>
    <mergeCell ref="UUQ30:UUR30"/>
    <mergeCell ref="UTU30:UTV30"/>
    <mergeCell ref="UTW30:UTX30"/>
    <mergeCell ref="UTY30:UTZ30"/>
    <mergeCell ref="UUA30:UUB30"/>
    <mergeCell ref="UUC30:UUD30"/>
    <mergeCell ref="UUE30:UUF30"/>
    <mergeCell ref="UTI30:UTJ30"/>
    <mergeCell ref="UTK30:UTL30"/>
    <mergeCell ref="UTM30:UTN30"/>
    <mergeCell ref="UTO30:UTP30"/>
    <mergeCell ref="UTQ30:UTR30"/>
    <mergeCell ref="UTS30:UTT30"/>
    <mergeCell ref="UYK30:UYL30"/>
    <mergeCell ref="UYM30:UYN30"/>
    <mergeCell ref="UYO30:UYP30"/>
    <mergeCell ref="UYQ30:UYR30"/>
    <mergeCell ref="UYS30:UYT30"/>
    <mergeCell ref="UYU30:UYV30"/>
    <mergeCell ref="UXY30:UXZ30"/>
    <mergeCell ref="UYA30:UYB30"/>
    <mergeCell ref="UYC30:UYD30"/>
    <mergeCell ref="UYE30:UYF30"/>
    <mergeCell ref="UYG30:UYH30"/>
    <mergeCell ref="UYI30:UYJ30"/>
    <mergeCell ref="UXM30:UXN30"/>
    <mergeCell ref="UXO30:UXP30"/>
    <mergeCell ref="UXQ30:UXR30"/>
    <mergeCell ref="UXS30:UXT30"/>
    <mergeCell ref="UXU30:UXV30"/>
    <mergeCell ref="UXW30:UXX30"/>
    <mergeCell ref="UXA30:UXB30"/>
    <mergeCell ref="UXC30:UXD30"/>
    <mergeCell ref="UXE30:UXF30"/>
    <mergeCell ref="UXG30:UXH30"/>
    <mergeCell ref="UXI30:UXJ30"/>
    <mergeCell ref="UXK30:UXL30"/>
    <mergeCell ref="UWO30:UWP30"/>
    <mergeCell ref="UWQ30:UWR30"/>
    <mergeCell ref="UWS30:UWT30"/>
    <mergeCell ref="UWU30:UWV30"/>
    <mergeCell ref="UWW30:UWX30"/>
    <mergeCell ref="UWY30:UWZ30"/>
    <mergeCell ref="UWC30:UWD30"/>
    <mergeCell ref="UWE30:UWF30"/>
    <mergeCell ref="UWG30:UWH30"/>
    <mergeCell ref="UWI30:UWJ30"/>
    <mergeCell ref="UWK30:UWL30"/>
    <mergeCell ref="UWM30:UWN30"/>
    <mergeCell ref="VBE30:VBF30"/>
    <mergeCell ref="VBG30:VBH30"/>
    <mergeCell ref="VBI30:VBJ30"/>
    <mergeCell ref="VBK30:VBL30"/>
    <mergeCell ref="VBM30:VBN30"/>
    <mergeCell ref="VBO30:VBP30"/>
    <mergeCell ref="VAS30:VAT30"/>
    <mergeCell ref="VAU30:VAV30"/>
    <mergeCell ref="VAW30:VAX30"/>
    <mergeCell ref="VAY30:VAZ30"/>
    <mergeCell ref="VBA30:VBB30"/>
    <mergeCell ref="VBC30:VBD30"/>
    <mergeCell ref="VAG30:VAH30"/>
    <mergeCell ref="VAI30:VAJ30"/>
    <mergeCell ref="VAK30:VAL30"/>
    <mergeCell ref="VAM30:VAN30"/>
    <mergeCell ref="VAO30:VAP30"/>
    <mergeCell ref="VAQ30:VAR30"/>
    <mergeCell ref="UZU30:UZV30"/>
    <mergeCell ref="UZW30:UZX30"/>
    <mergeCell ref="UZY30:UZZ30"/>
    <mergeCell ref="VAA30:VAB30"/>
    <mergeCell ref="VAC30:VAD30"/>
    <mergeCell ref="VAE30:VAF30"/>
    <mergeCell ref="UZI30:UZJ30"/>
    <mergeCell ref="UZK30:UZL30"/>
    <mergeCell ref="UZM30:UZN30"/>
    <mergeCell ref="UZO30:UZP30"/>
    <mergeCell ref="UZQ30:UZR30"/>
    <mergeCell ref="UZS30:UZT30"/>
    <mergeCell ref="UYW30:UYX30"/>
    <mergeCell ref="UYY30:UYZ30"/>
    <mergeCell ref="UZA30:UZB30"/>
    <mergeCell ref="UZC30:UZD30"/>
    <mergeCell ref="UZE30:UZF30"/>
    <mergeCell ref="UZG30:UZH30"/>
    <mergeCell ref="VDY30:VDZ30"/>
    <mergeCell ref="VEA30:VEB30"/>
    <mergeCell ref="VEC30:VED30"/>
    <mergeCell ref="VEE30:VEF30"/>
    <mergeCell ref="VEG30:VEH30"/>
    <mergeCell ref="VEI30:VEJ30"/>
    <mergeCell ref="VDM30:VDN30"/>
    <mergeCell ref="VDO30:VDP30"/>
    <mergeCell ref="VDQ30:VDR30"/>
    <mergeCell ref="VDS30:VDT30"/>
    <mergeCell ref="VDU30:VDV30"/>
    <mergeCell ref="VDW30:VDX30"/>
    <mergeCell ref="VDA30:VDB30"/>
    <mergeCell ref="VDC30:VDD30"/>
    <mergeCell ref="VDE30:VDF30"/>
    <mergeCell ref="VDG30:VDH30"/>
    <mergeCell ref="VDI30:VDJ30"/>
    <mergeCell ref="VDK30:VDL30"/>
    <mergeCell ref="VCO30:VCP30"/>
    <mergeCell ref="VCQ30:VCR30"/>
    <mergeCell ref="VCS30:VCT30"/>
    <mergeCell ref="VCU30:VCV30"/>
    <mergeCell ref="VCW30:VCX30"/>
    <mergeCell ref="VCY30:VCZ30"/>
    <mergeCell ref="VCC30:VCD30"/>
    <mergeCell ref="VCE30:VCF30"/>
    <mergeCell ref="VCG30:VCH30"/>
    <mergeCell ref="VCI30:VCJ30"/>
    <mergeCell ref="VCK30:VCL30"/>
    <mergeCell ref="VCM30:VCN30"/>
    <mergeCell ref="VBQ30:VBR30"/>
    <mergeCell ref="VBS30:VBT30"/>
    <mergeCell ref="VBU30:VBV30"/>
    <mergeCell ref="VBW30:VBX30"/>
    <mergeCell ref="VBY30:VBZ30"/>
    <mergeCell ref="VCA30:VCB30"/>
    <mergeCell ref="VGS30:VGT30"/>
    <mergeCell ref="VGU30:VGV30"/>
    <mergeCell ref="VGW30:VGX30"/>
    <mergeCell ref="VGY30:VGZ30"/>
    <mergeCell ref="VHA30:VHB30"/>
    <mergeCell ref="VHC30:VHD30"/>
    <mergeCell ref="VGG30:VGH30"/>
    <mergeCell ref="VGI30:VGJ30"/>
    <mergeCell ref="VGK30:VGL30"/>
    <mergeCell ref="VGM30:VGN30"/>
    <mergeCell ref="VGO30:VGP30"/>
    <mergeCell ref="VGQ30:VGR30"/>
    <mergeCell ref="VFU30:VFV30"/>
    <mergeCell ref="VFW30:VFX30"/>
    <mergeCell ref="VFY30:VFZ30"/>
    <mergeCell ref="VGA30:VGB30"/>
    <mergeCell ref="VGC30:VGD30"/>
    <mergeCell ref="VGE30:VGF30"/>
    <mergeCell ref="VFI30:VFJ30"/>
    <mergeCell ref="VFK30:VFL30"/>
    <mergeCell ref="VFM30:VFN30"/>
    <mergeCell ref="VFO30:VFP30"/>
    <mergeCell ref="VFQ30:VFR30"/>
    <mergeCell ref="VFS30:VFT30"/>
    <mergeCell ref="VEW30:VEX30"/>
    <mergeCell ref="VEY30:VEZ30"/>
    <mergeCell ref="VFA30:VFB30"/>
    <mergeCell ref="VFC30:VFD30"/>
    <mergeCell ref="VFE30:VFF30"/>
    <mergeCell ref="VFG30:VFH30"/>
    <mergeCell ref="VEK30:VEL30"/>
    <mergeCell ref="VEM30:VEN30"/>
    <mergeCell ref="VEO30:VEP30"/>
    <mergeCell ref="VEQ30:VER30"/>
    <mergeCell ref="VES30:VET30"/>
    <mergeCell ref="VEU30:VEV30"/>
    <mergeCell ref="VJM30:VJN30"/>
    <mergeCell ref="VJO30:VJP30"/>
    <mergeCell ref="VJQ30:VJR30"/>
    <mergeCell ref="VJS30:VJT30"/>
    <mergeCell ref="VJU30:VJV30"/>
    <mergeCell ref="VJW30:VJX30"/>
    <mergeCell ref="VJA30:VJB30"/>
    <mergeCell ref="VJC30:VJD30"/>
    <mergeCell ref="VJE30:VJF30"/>
    <mergeCell ref="VJG30:VJH30"/>
    <mergeCell ref="VJI30:VJJ30"/>
    <mergeCell ref="VJK30:VJL30"/>
    <mergeCell ref="VIO30:VIP30"/>
    <mergeCell ref="VIQ30:VIR30"/>
    <mergeCell ref="VIS30:VIT30"/>
    <mergeCell ref="VIU30:VIV30"/>
    <mergeCell ref="VIW30:VIX30"/>
    <mergeCell ref="VIY30:VIZ30"/>
    <mergeCell ref="VIC30:VID30"/>
    <mergeCell ref="VIE30:VIF30"/>
    <mergeCell ref="VIG30:VIH30"/>
    <mergeCell ref="VII30:VIJ30"/>
    <mergeCell ref="VIK30:VIL30"/>
    <mergeCell ref="VIM30:VIN30"/>
    <mergeCell ref="VHQ30:VHR30"/>
    <mergeCell ref="VHS30:VHT30"/>
    <mergeCell ref="VHU30:VHV30"/>
    <mergeCell ref="VHW30:VHX30"/>
    <mergeCell ref="VHY30:VHZ30"/>
    <mergeCell ref="VIA30:VIB30"/>
    <mergeCell ref="VHE30:VHF30"/>
    <mergeCell ref="VHG30:VHH30"/>
    <mergeCell ref="VHI30:VHJ30"/>
    <mergeCell ref="VHK30:VHL30"/>
    <mergeCell ref="VHM30:VHN30"/>
    <mergeCell ref="VHO30:VHP30"/>
    <mergeCell ref="VMG30:VMH30"/>
    <mergeCell ref="VMI30:VMJ30"/>
    <mergeCell ref="VMK30:VML30"/>
    <mergeCell ref="VMM30:VMN30"/>
    <mergeCell ref="VMO30:VMP30"/>
    <mergeCell ref="VMQ30:VMR30"/>
    <mergeCell ref="VLU30:VLV30"/>
    <mergeCell ref="VLW30:VLX30"/>
    <mergeCell ref="VLY30:VLZ30"/>
    <mergeCell ref="VMA30:VMB30"/>
    <mergeCell ref="VMC30:VMD30"/>
    <mergeCell ref="VME30:VMF30"/>
    <mergeCell ref="VLI30:VLJ30"/>
    <mergeCell ref="VLK30:VLL30"/>
    <mergeCell ref="VLM30:VLN30"/>
    <mergeCell ref="VLO30:VLP30"/>
    <mergeCell ref="VLQ30:VLR30"/>
    <mergeCell ref="VLS30:VLT30"/>
    <mergeCell ref="VKW30:VKX30"/>
    <mergeCell ref="VKY30:VKZ30"/>
    <mergeCell ref="VLA30:VLB30"/>
    <mergeCell ref="VLC30:VLD30"/>
    <mergeCell ref="VLE30:VLF30"/>
    <mergeCell ref="VLG30:VLH30"/>
    <mergeCell ref="VKK30:VKL30"/>
    <mergeCell ref="VKM30:VKN30"/>
    <mergeCell ref="VKO30:VKP30"/>
    <mergeCell ref="VKQ30:VKR30"/>
    <mergeCell ref="VKS30:VKT30"/>
    <mergeCell ref="VKU30:VKV30"/>
    <mergeCell ref="VJY30:VJZ30"/>
    <mergeCell ref="VKA30:VKB30"/>
    <mergeCell ref="VKC30:VKD30"/>
    <mergeCell ref="VKE30:VKF30"/>
    <mergeCell ref="VKG30:VKH30"/>
    <mergeCell ref="VKI30:VKJ30"/>
    <mergeCell ref="VPA30:VPB30"/>
    <mergeCell ref="VPC30:VPD30"/>
    <mergeCell ref="VPE30:VPF30"/>
    <mergeCell ref="VPG30:VPH30"/>
    <mergeCell ref="VPI30:VPJ30"/>
    <mergeCell ref="VPK30:VPL30"/>
    <mergeCell ref="VOO30:VOP30"/>
    <mergeCell ref="VOQ30:VOR30"/>
    <mergeCell ref="VOS30:VOT30"/>
    <mergeCell ref="VOU30:VOV30"/>
    <mergeCell ref="VOW30:VOX30"/>
    <mergeCell ref="VOY30:VOZ30"/>
    <mergeCell ref="VOC30:VOD30"/>
    <mergeCell ref="VOE30:VOF30"/>
    <mergeCell ref="VOG30:VOH30"/>
    <mergeCell ref="VOI30:VOJ30"/>
    <mergeCell ref="VOK30:VOL30"/>
    <mergeCell ref="VOM30:VON30"/>
    <mergeCell ref="VNQ30:VNR30"/>
    <mergeCell ref="VNS30:VNT30"/>
    <mergeCell ref="VNU30:VNV30"/>
    <mergeCell ref="VNW30:VNX30"/>
    <mergeCell ref="VNY30:VNZ30"/>
    <mergeCell ref="VOA30:VOB30"/>
    <mergeCell ref="VNE30:VNF30"/>
    <mergeCell ref="VNG30:VNH30"/>
    <mergeCell ref="VNI30:VNJ30"/>
    <mergeCell ref="VNK30:VNL30"/>
    <mergeCell ref="VNM30:VNN30"/>
    <mergeCell ref="VNO30:VNP30"/>
    <mergeCell ref="VMS30:VMT30"/>
    <mergeCell ref="VMU30:VMV30"/>
    <mergeCell ref="VMW30:VMX30"/>
    <mergeCell ref="VMY30:VMZ30"/>
    <mergeCell ref="VNA30:VNB30"/>
    <mergeCell ref="VNC30:VND30"/>
    <mergeCell ref="VRU30:VRV30"/>
    <mergeCell ref="VRW30:VRX30"/>
    <mergeCell ref="VRY30:VRZ30"/>
    <mergeCell ref="VSA30:VSB30"/>
    <mergeCell ref="VSC30:VSD30"/>
    <mergeCell ref="VSE30:VSF30"/>
    <mergeCell ref="VRI30:VRJ30"/>
    <mergeCell ref="VRK30:VRL30"/>
    <mergeCell ref="VRM30:VRN30"/>
    <mergeCell ref="VRO30:VRP30"/>
    <mergeCell ref="VRQ30:VRR30"/>
    <mergeCell ref="VRS30:VRT30"/>
    <mergeCell ref="VQW30:VQX30"/>
    <mergeCell ref="VQY30:VQZ30"/>
    <mergeCell ref="VRA30:VRB30"/>
    <mergeCell ref="VRC30:VRD30"/>
    <mergeCell ref="VRE30:VRF30"/>
    <mergeCell ref="VRG30:VRH30"/>
    <mergeCell ref="VQK30:VQL30"/>
    <mergeCell ref="VQM30:VQN30"/>
    <mergeCell ref="VQO30:VQP30"/>
    <mergeCell ref="VQQ30:VQR30"/>
    <mergeCell ref="VQS30:VQT30"/>
    <mergeCell ref="VQU30:VQV30"/>
    <mergeCell ref="VPY30:VPZ30"/>
    <mergeCell ref="VQA30:VQB30"/>
    <mergeCell ref="VQC30:VQD30"/>
    <mergeCell ref="VQE30:VQF30"/>
    <mergeCell ref="VQG30:VQH30"/>
    <mergeCell ref="VQI30:VQJ30"/>
    <mergeCell ref="VPM30:VPN30"/>
    <mergeCell ref="VPO30:VPP30"/>
    <mergeCell ref="VPQ30:VPR30"/>
    <mergeCell ref="VPS30:VPT30"/>
    <mergeCell ref="VPU30:VPV30"/>
    <mergeCell ref="VPW30:VPX30"/>
    <mergeCell ref="VUO30:VUP30"/>
    <mergeCell ref="VUQ30:VUR30"/>
    <mergeCell ref="VUS30:VUT30"/>
    <mergeCell ref="VUU30:VUV30"/>
    <mergeCell ref="VUW30:VUX30"/>
    <mergeCell ref="VUY30:VUZ30"/>
    <mergeCell ref="VUC30:VUD30"/>
    <mergeCell ref="VUE30:VUF30"/>
    <mergeCell ref="VUG30:VUH30"/>
    <mergeCell ref="VUI30:VUJ30"/>
    <mergeCell ref="VUK30:VUL30"/>
    <mergeCell ref="VUM30:VUN30"/>
    <mergeCell ref="VTQ30:VTR30"/>
    <mergeCell ref="VTS30:VTT30"/>
    <mergeCell ref="VTU30:VTV30"/>
    <mergeCell ref="VTW30:VTX30"/>
    <mergeCell ref="VTY30:VTZ30"/>
    <mergeCell ref="VUA30:VUB30"/>
    <mergeCell ref="VTE30:VTF30"/>
    <mergeCell ref="VTG30:VTH30"/>
    <mergeCell ref="VTI30:VTJ30"/>
    <mergeCell ref="VTK30:VTL30"/>
    <mergeCell ref="VTM30:VTN30"/>
    <mergeCell ref="VTO30:VTP30"/>
    <mergeCell ref="VSS30:VST30"/>
    <mergeCell ref="VSU30:VSV30"/>
    <mergeCell ref="VSW30:VSX30"/>
    <mergeCell ref="VSY30:VSZ30"/>
    <mergeCell ref="VTA30:VTB30"/>
    <mergeCell ref="VTC30:VTD30"/>
    <mergeCell ref="VSG30:VSH30"/>
    <mergeCell ref="VSI30:VSJ30"/>
    <mergeCell ref="VSK30:VSL30"/>
    <mergeCell ref="VSM30:VSN30"/>
    <mergeCell ref="VSO30:VSP30"/>
    <mergeCell ref="VSQ30:VSR30"/>
    <mergeCell ref="VXI30:VXJ30"/>
    <mergeCell ref="VXK30:VXL30"/>
    <mergeCell ref="VXM30:VXN30"/>
    <mergeCell ref="VXO30:VXP30"/>
    <mergeCell ref="VXQ30:VXR30"/>
    <mergeCell ref="VXS30:VXT30"/>
    <mergeCell ref="VWW30:VWX30"/>
    <mergeCell ref="VWY30:VWZ30"/>
    <mergeCell ref="VXA30:VXB30"/>
    <mergeCell ref="VXC30:VXD30"/>
    <mergeCell ref="VXE30:VXF30"/>
    <mergeCell ref="VXG30:VXH30"/>
    <mergeCell ref="VWK30:VWL30"/>
    <mergeCell ref="VWM30:VWN30"/>
    <mergeCell ref="VWO30:VWP30"/>
    <mergeCell ref="VWQ30:VWR30"/>
    <mergeCell ref="VWS30:VWT30"/>
    <mergeCell ref="VWU30:VWV30"/>
    <mergeCell ref="VVY30:VVZ30"/>
    <mergeCell ref="VWA30:VWB30"/>
    <mergeCell ref="VWC30:VWD30"/>
    <mergeCell ref="VWE30:VWF30"/>
    <mergeCell ref="VWG30:VWH30"/>
    <mergeCell ref="VWI30:VWJ30"/>
    <mergeCell ref="VVM30:VVN30"/>
    <mergeCell ref="VVO30:VVP30"/>
    <mergeCell ref="VVQ30:VVR30"/>
    <mergeCell ref="VVS30:VVT30"/>
    <mergeCell ref="VVU30:VVV30"/>
    <mergeCell ref="VVW30:VVX30"/>
    <mergeCell ref="VVA30:VVB30"/>
    <mergeCell ref="VVC30:VVD30"/>
    <mergeCell ref="VVE30:VVF30"/>
    <mergeCell ref="VVG30:VVH30"/>
    <mergeCell ref="VVI30:VVJ30"/>
    <mergeCell ref="VVK30:VVL30"/>
    <mergeCell ref="WAC30:WAD30"/>
    <mergeCell ref="WAE30:WAF30"/>
    <mergeCell ref="WAG30:WAH30"/>
    <mergeCell ref="WAI30:WAJ30"/>
    <mergeCell ref="WAK30:WAL30"/>
    <mergeCell ref="WAM30:WAN30"/>
    <mergeCell ref="VZQ30:VZR30"/>
    <mergeCell ref="VZS30:VZT30"/>
    <mergeCell ref="VZU30:VZV30"/>
    <mergeCell ref="VZW30:VZX30"/>
    <mergeCell ref="VZY30:VZZ30"/>
    <mergeCell ref="WAA30:WAB30"/>
    <mergeCell ref="VZE30:VZF30"/>
    <mergeCell ref="VZG30:VZH30"/>
    <mergeCell ref="VZI30:VZJ30"/>
    <mergeCell ref="VZK30:VZL30"/>
    <mergeCell ref="VZM30:VZN30"/>
    <mergeCell ref="VZO30:VZP30"/>
    <mergeCell ref="VYS30:VYT30"/>
    <mergeCell ref="VYU30:VYV30"/>
    <mergeCell ref="VYW30:VYX30"/>
    <mergeCell ref="VYY30:VYZ30"/>
    <mergeCell ref="VZA30:VZB30"/>
    <mergeCell ref="VZC30:VZD30"/>
    <mergeCell ref="VYG30:VYH30"/>
    <mergeCell ref="VYI30:VYJ30"/>
    <mergeCell ref="VYK30:VYL30"/>
    <mergeCell ref="VYM30:VYN30"/>
    <mergeCell ref="VYO30:VYP30"/>
    <mergeCell ref="VYQ30:VYR30"/>
    <mergeCell ref="VXU30:VXV30"/>
    <mergeCell ref="VXW30:VXX30"/>
    <mergeCell ref="VXY30:VXZ30"/>
    <mergeCell ref="VYA30:VYB30"/>
    <mergeCell ref="VYC30:VYD30"/>
    <mergeCell ref="VYE30:VYF30"/>
    <mergeCell ref="WCW30:WCX30"/>
    <mergeCell ref="WCY30:WCZ30"/>
    <mergeCell ref="WDA30:WDB30"/>
    <mergeCell ref="WDC30:WDD30"/>
    <mergeCell ref="WDE30:WDF30"/>
    <mergeCell ref="WDG30:WDH30"/>
    <mergeCell ref="WCK30:WCL30"/>
    <mergeCell ref="WCM30:WCN30"/>
    <mergeCell ref="WCO30:WCP30"/>
    <mergeCell ref="WCQ30:WCR30"/>
    <mergeCell ref="WCS30:WCT30"/>
    <mergeCell ref="WCU30:WCV30"/>
    <mergeCell ref="WBY30:WBZ30"/>
    <mergeCell ref="WCA30:WCB30"/>
    <mergeCell ref="WCC30:WCD30"/>
    <mergeCell ref="WCE30:WCF30"/>
    <mergeCell ref="WCG30:WCH30"/>
    <mergeCell ref="WCI30:WCJ30"/>
    <mergeCell ref="WBM30:WBN30"/>
    <mergeCell ref="WBO30:WBP30"/>
    <mergeCell ref="WBQ30:WBR30"/>
    <mergeCell ref="WBS30:WBT30"/>
    <mergeCell ref="WBU30:WBV30"/>
    <mergeCell ref="WBW30:WBX30"/>
    <mergeCell ref="WBA30:WBB30"/>
    <mergeCell ref="WBC30:WBD30"/>
    <mergeCell ref="WBE30:WBF30"/>
    <mergeCell ref="WBG30:WBH30"/>
    <mergeCell ref="WBI30:WBJ30"/>
    <mergeCell ref="WBK30:WBL30"/>
    <mergeCell ref="WAO30:WAP30"/>
    <mergeCell ref="WAQ30:WAR30"/>
    <mergeCell ref="WAS30:WAT30"/>
    <mergeCell ref="WAU30:WAV30"/>
    <mergeCell ref="WAW30:WAX30"/>
    <mergeCell ref="WAY30:WAZ30"/>
    <mergeCell ref="WFQ30:WFR30"/>
    <mergeCell ref="WFS30:WFT30"/>
    <mergeCell ref="WFU30:WFV30"/>
    <mergeCell ref="WFW30:WFX30"/>
    <mergeCell ref="WFY30:WFZ30"/>
    <mergeCell ref="WGA30:WGB30"/>
    <mergeCell ref="WFE30:WFF30"/>
    <mergeCell ref="WFG30:WFH30"/>
    <mergeCell ref="WFI30:WFJ30"/>
    <mergeCell ref="WFK30:WFL30"/>
    <mergeCell ref="WFM30:WFN30"/>
    <mergeCell ref="WFO30:WFP30"/>
    <mergeCell ref="WES30:WET30"/>
    <mergeCell ref="WEU30:WEV30"/>
    <mergeCell ref="WEW30:WEX30"/>
    <mergeCell ref="WEY30:WEZ30"/>
    <mergeCell ref="WFA30:WFB30"/>
    <mergeCell ref="WFC30:WFD30"/>
    <mergeCell ref="WEG30:WEH30"/>
    <mergeCell ref="WEI30:WEJ30"/>
    <mergeCell ref="WEK30:WEL30"/>
    <mergeCell ref="WEM30:WEN30"/>
    <mergeCell ref="WEO30:WEP30"/>
    <mergeCell ref="WEQ30:WER30"/>
    <mergeCell ref="WDU30:WDV30"/>
    <mergeCell ref="WDW30:WDX30"/>
    <mergeCell ref="WDY30:WDZ30"/>
    <mergeCell ref="WEA30:WEB30"/>
    <mergeCell ref="WEC30:WED30"/>
    <mergeCell ref="WEE30:WEF30"/>
    <mergeCell ref="WDI30:WDJ30"/>
    <mergeCell ref="WDK30:WDL30"/>
    <mergeCell ref="WDM30:WDN30"/>
    <mergeCell ref="WDO30:WDP30"/>
    <mergeCell ref="WDQ30:WDR30"/>
    <mergeCell ref="WDS30:WDT30"/>
    <mergeCell ref="WIK30:WIL30"/>
    <mergeCell ref="WIM30:WIN30"/>
    <mergeCell ref="WIO30:WIP30"/>
    <mergeCell ref="WIQ30:WIR30"/>
    <mergeCell ref="WIS30:WIT30"/>
    <mergeCell ref="WIU30:WIV30"/>
    <mergeCell ref="WHY30:WHZ30"/>
    <mergeCell ref="WIA30:WIB30"/>
    <mergeCell ref="WIC30:WID30"/>
    <mergeCell ref="WIE30:WIF30"/>
    <mergeCell ref="WIG30:WIH30"/>
    <mergeCell ref="WII30:WIJ30"/>
    <mergeCell ref="WHM30:WHN30"/>
    <mergeCell ref="WHO30:WHP30"/>
    <mergeCell ref="WHQ30:WHR30"/>
    <mergeCell ref="WHS30:WHT30"/>
    <mergeCell ref="WHU30:WHV30"/>
    <mergeCell ref="WHW30:WHX30"/>
    <mergeCell ref="WHA30:WHB30"/>
    <mergeCell ref="WHC30:WHD30"/>
    <mergeCell ref="WHE30:WHF30"/>
    <mergeCell ref="WHG30:WHH30"/>
    <mergeCell ref="WHI30:WHJ30"/>
    <mergeCell ref="WHK30:WHL30"/>
    <mergeCell ref="WGO30:WGP30"/>
    <mergeCell ref="WGQ30:WGR30"/>
    <mergeCell ref="WGS30:WGT30"/>
    <mergeCell ref="WGU30:WGV30"/>
    <mergeCell ref="WGW30:WGX30"/>
    <mergeCell ref="WGY30:WGZ30"/>
    <mergeCell ref="WGC30:WGD30"/>
    <mergeCell ref="WGE30:WGF30"/>
    <mergeCell ref="WGG30:WGH30"/>
    <mergeCell ref="WGI30:WGJ30"/>
    <mergeCell ref="WGK30:WGL30"/>
    <mergeCell ref="WGM30:WGN30"/>
    <mergeCell ref="WLE30:WLF30"/>
    <mergeCell ref="WLG30:WLH30"/>
    <mergeCell ref="WLI30:WLJ30"/>
    <mergeCell ref="WLK30:WLL30"/>
    <mergeCell ref="WLM30:WLN30"/>
    <mergeCell ref="WLO30:WLP30"/>
    <mergeCell ref="WKS30:WKT30"/>
    <mergeCell ref="WKU30:WKV30"/>
    <mergeCell ref="WKW30:WKX30"/>
    <mergeCell ref="WKY30:WKZ30"/>
    <mergeCell ref="WLA30:WLB30"/>
    <mergeCell ref="WLC30:WLD30"/>
    <mergeCell ref="WKG30:WKH30"/>
    <mergeCell ref="WKI30:WKJ30"/>
    <mergeCell ref="WKK30:WKL30"/>
    <mergeCell ref="WKM30:WKN30"/>
    <mergeCell ref="WKO30:WKP30"/>
    <mergeCell ref="WKQ30:WKR30"/>
    <mergeCell ref="WJU30:WJV30"/>
    <mergeCell ref="WJW30:WJX30"/>
    <mergeCell ref="WJY30:WJZ30"/>
    <mergeCell ref="WKA30:WKB30"/>
    <mergeCell ref="WKC30:WKD30"/>
    <mergeCell ref="WKE30:WKF30"/>
    <mergeCell ref="WJI30:WJJ30"/>
    <mergeCell ref="WJK30:WJL30"/>
    <mergeCell ref="WJM30:WJN30"/>
    <mergeCell ref="WJO30:WJP30"/>
    <mergeCell ref="WJQ30:WJR30"/>
    <mergeCell ref="WJS30:WJT30"/>
    <mergeCell ref="WIW30:WIX30"/>
    <mergeCell ref="WIY30:WIZ30"/>
    <mergeCell ref="WJA30:WJB30"/>
    <mergeCell ref="WJC30:WJD30"/>
    <mergeCell ref="WJE30:WJF30"/>
    <mergeCell ref="WJG30:WJH30"/>
    <mergeCell ref="WNY30:WNZ30"/>
    <mergeCell ref="WOA30:WOB30"/>
    <mergeCell ref="WOC30:WOD30"/>
    <mergeCell ref="WOE30:WOF30"/>
    <mergeCell ref="WOG30:WOH30"/>
    <mergeCell ref="WOI30:WOJ30"/>
    <mergeCell ref="WNM30:WNN30"/>
    <mergeCell ref="WNO30:WNP30"/>
    <mergeCell ref="WNQ30:WNR30"/>
    <mergeCell ref="WNS30:WNT30"/>
    <mergeCell ref="WNU30:WNV30"/>
    <mergeCell ref="WNW30:WNX30"/>
    <mergeCell ref="WNA30:WNB30"/>
    <mergeCell ref="WNC30:WND30"/>
    <mergeCell ref="WNE30:WNF30"/>
    <mergeCell ref="WNG30:WNH30"/>
    <mergeCell ref="WNI30:WNJ30"/>
    <mergeCell ref="WNK30:WNL30"/>
    <mergeCell ref="WMO30:WMP30"/>
    <mergeCell ref="WMQ30:WMR30"/>
    <mergeCell ref="WMS30:WMT30"/>
    <mergeCell ref="WMU30:WMV30"/>
    <mergeCell ref="WMW30:WMX30"/>
    <mergeCell ref="WMY30:WMZ30"/>
    <mergeCell ref="WMC30:WMD30"/>
    <mergeCell ref="WME30:WMF30"/>
    <mergeCell ref="WMG30:WMH30"/>
    <mergeCell ref="WMI30:WMJ30"/>
    <mergeCell ref="WMK30:WML30"/>
    <mergeCell ref="WMM30:WMN30"/>
    <mergeCell ref="WLQ30:WLR30"/>
    <mergeCell ref="WLS30:WLT30"/>
    <mergeCell ref="WLU30:WLV30"/>
    <mergeCell ref="WLW30:WLX30"/>
    <mergeCell ref="WLY30:WLZ30"/>
    <mergeCell ref="WMA30:WMB30"/>
    <mergeCell ref="WQS30:WQT30"/>
    <mergeCell ref="WQU30:WQV30"/>
    <mergeCell ref="WQW30:WQX30"/>
    <mergeCell ref="WQY30:WQZ30"/>
    <mergeCell ref="WRA30:WRB30"/>
    <mergeCell ref="WRC30:WRD30"/>
    <mergeCell ref="WQG30:WQH30"/>
    <mergeCell ref="WQI30:WQJ30"/>
    <mergeCell ref="WQK30:WQL30"/>
    <mergeCell ref="WQM30:WQN30"/>
    <mergeCell ref="WQO30:WQP30"/>
    <mergeCell ref="WQQ30:WQR30"/>
    <mergeCell ref="WPU30:WPV30"/>
    <mergeCell ref="WPW30:WPX30"/>
    <mergeCell ref="WPY30:WPZ30"/>
    <mergeCell ref="WQA30:WQB30"/>
    <mergeCell ref="WQC30:WQD30"/>
    <mergeCell ref="WQE30:WQF30"/>
    <mergeCell ref="WPI30:WPJ30"/>
    <mergeCell ref="WPK30:WPL30"/>
    <mergeCell ref="WPM30:WPN30"/>
    <mergeCell ref="WPO30:WPP30"/>
    <mergeCell ref="WPQ30:WPR30"/>
    <mergeCell ref="WPS30:WPT30"/>
    <mergeCell ref="WOW30:WOX30"/>
    <mergeCell ref="WOY30:WOZ30"/>
    <mergeCell ref="WPA30:WPB30"/>
    <mergeCell ref="WPC30:WPD30"/>
    <mergeCell ref="WPE30:WPF30"/>
    <mergeCell ref="WPG30:WPH30"/>
    <mergeCell ref="WOK30:WOL30"/>
    <mergeCell ref="WOM30:WON30"/>
    <mergeCell ref="WOO30:WOP30"/>
    <mergeCell ref="WOQ30:WOR30"/>
    <mergeCell ref="WOS30:WOT30"/>
    <mergeCell ref="WOU30:WOV30"/>
    <mergeCell ref="WTM30:WTN30"/>
    <mergeCell ref="WTO30:WTP30"/>
    <mergeCell ref="WTQ30:WTR30"/>
    <mergeCell ref="WTS30:WTT30"/>
    <mergeCell ref="WTU30:WTV30"/>
    <mergeCell ref="WTW30:WTX30"/>
    <mergeCell ref="WTA30:WTB30"/>
    <mergeCell ref="WTC30:WTD30"/>
    <mergeCell ref="WTE30:WTF30"/>
    <mergeCell ref="WTG30:WTH30"/>
    <mergeCell ref="WTI30:WTJ30"/>
    <mergeCell ref="WTK30:WTL30"/>
    <mergeCell ref="WSO30:WSP30"/>
    <mergeCell ref="WSQ30:WSR30"/>
    <mergeCell ref="WSS30:WST30"/>
    <mergeCell ref="WSU30:WSV30"/>
    <mergeCell ref="WSW30:WSX30"/>
    <mergeCell ref="WSY30:WSZ30"/>
    <mergeCell ref="WSC30:WSD30"/>
    <mergeCell ref="WSE30:WSF30"/>
    <mergeCell ref="WSG30:WSH30"/>
    <mergeCell ref="WSI30:WSJ30"/>
    <mergeCell ref="WSK30:WSL30"/>
    <mergeCell ref="WSM30:WSN30"/>
    <mergeCell ref="WRQ30:WRR30"/>
    <mergeCell ref="WRS30:WRT30"/>
    <mergeCell ref="WRU30:WRV30"/>
    <mergeCell ref="WRW30:WRX30"/>
    <mergeCell ref="WRY30:WRZ30"/>
    <mergeCell ref="WSA30:WSB30"/>
    <mergeCell ref="WRE30:WRF30"/>
    <mergeCell ref="WRG30:WRH30"/>
    <mergeCell ref="WRI30:WRJ30"/>
    <mergeCell ref="WRK30:WRL30"/>
    <mergeCell ref="WRM30:WRN30"/>
    <mergeCell ref="WRO30:WRP30"/>
    <mergeCell ref="WWG30:WWH30"/>
    <mergeCell ref="WWI30:WWJ30"/>
    <mergeCell ref="WWK30:WWL30"/>
    <mergeCell ref="WWM30:WWN30"/>
    <mergeCell ref="WWO30:WWP30"/>
    <mergeCell ref="WWQ30:WWR30"/>
    <mergeCell ref="WVU30:WVV30"/>
    <mergeCell ref="WVW30:WVX30"/>
    <mergeCell ref="WVY30:WVZ30"/>
    <mergeCell ref="WWA30:WWB30"/>
    <mergeCell ref="WWC30:WWD30"/>
    <mergeCell ref="WWE30:WWF30"/>
    <mergeCell ref="WVI30:WVJ30"/>
    <mergeCell ref="WVK30:WVL30"/>
    <mergeCell ref="WVM30:WVN30"/>
    <mergeCell ref="WVO30:WVP30"/>
    <mergeCell ref="WVQ30:WVR30"/>
    <mergeCell ref="WVS30:WVT30"/>
    <mergeCell ref="WUW30:WUX30"/>
    <mergeCell ref="WUY30:WUZ30"/>
    <mergeCell ref="WVA30:WVB30"/>
    <mergeCell ref="WVC30:WVD30"/>
    <mergeCell ref="WVE30:WVF30"/>
    <mergeCell ref="WVG30:WVH30"/>
    <mergeCell ref="WUK30:WUL30"/>
    <mergeCell ref="WUM30:WUN30"/>
    <mergeCell ref="WUO30:WUP30"/>
    <mergeCell ref="WUQ30:WUR30"/>
    <mergeCell ref="WUS30:WUT30"/>
    <mergeCell ref="WUU30:WUV30"/>
    <mergeCell ref="WTY30:WTZ30"/>
    <mergeCell ref="WUA30:WUB30"/>
    <mergeCell ref="WUC30:WUD30"/>
    <mergeCell ref="WUE30:WUF30"/>
    <mergeCell ref="WUG30:WUH30"/>
    <mergeCell ref="WUI30:WUJ30"/>
    <mergeCell ref="WZA30:WZB30"/>
    <mergeCell ref="WZC30:WZD30"/>
    <mergeCell ref="WZE30:WZF30"/>
    <mergeCell ref="WZG30:WZH30"/>
    <mergeCell ref="WZI30:WZJ30"/>
    <mergeCell ref="WZK30:WZL30"/>
    <mergeCell ref="WYO30:WYP30"/>
    <mergeCell ref="WYQ30:WYR30"/>
    <mergeCell ref="WYS30:WYT30"/>
    <mergeCell ref="WYU30:WYV30"/>
    <mergeCell ref="WYW30:WYX30"/>
    <mergeCell ref="WYY30:WYZ30"/>
    <mergeCell ref="WYC30:WYD30"/>
    <mergeCell ref="WYE30:WYF30"/>
    <mergeCell ref="WYG30:WYH30"/>
    <mergeCell ref="WYI30:WYJ30"/>
    <mergeCell ref="WYK30:WYL30"/>
    <mergeCell ref="WYM30:WYN30"/>
    <mergeCell ref="WXQ30:WXR30"/>
    <mergeCell ref="WXS30:WXT30"/>
    <mergeCell ref="WXU30:WXV30"/>
    <mergeCell ref="WXW30:WXX30"/>
    <mergeCell ref="WXY30:WXZ30"/>
    <mergeCell ref="WYA30:WYB30"/>
    <mergeCell ref="WXE30:WXF30"/>
    <mergeCell ref="WXG30:WXH30"/>
    <mergeCell ref="WXI30:WXJ30"/>
    <mergeCell ref="WXK30:WXL30"/>
    <mergeCell ref="WXM30:WXN30"/>
    <mergeCell ref="WXO30:WXP30"/>
    <mergeCell ref="WWS30:WWT30"/>
    <mergeCell ref="WWU30:WWV30"/>
    <mergeCell ref="WWW30:WWX30"/>
    <mergeCell ref="WWY30:WWZ30"/>
    <mergeCell ref="WXA30:WXB30"/>
    <mergeCell ref="WXC30:WXD30"/>
    <mergeCell ref="XBU30:XBV30"/>
    <mergeCell ref="XBW30:XBX30"/>
    <mergeCell ref="XBY30:XBZ30"/>
    <mergeCell ref="XCA30:XCB30"/>
    <mergeCell ref="XCC30:XCD30"/>
    <mergeCell ref="XCE30:XCF30"/>
    <mergeCell ref="XBI30:XBJ30"/>
    <mergeCell ref="XBK30:XBL30"/>
    <mergeCell ref="XBM30:XBN30"/>
    <mergeCell ref="XBO30:XBP30"/>
    <mergeCell ref="XBQ30:XBR30"/>
    <mergeCell ref="XBS30:XBT30"/>
    <mergeCell ref="XAW30:XAX30"/>
    <mergeCell ref="XAY30:XAZ30"/>
    <mergeCell ref="XBA30:XBB30"/>
    <mergeCell ref="XBC30:XBD30"/>
    <mergeCell ref="XBE30:XBF30"/>
    <mergeCell ref="XBG30:XBH30"/>
    <mergeCell ref="XAK30:XAL30"/>
    <mergeCell ref="XAM30:XAN30"/>
    <mergeCell ref="XAO30:XAP30"/>
    <mergeCell ref="XAQ30:XAR30"/>
    <mergeCell ref="XAS30:XAT30"/>
    <mergeCell ref="XAU30:XAV30"/>
    <mergeCell ref="WZY30:WZZ30"/>
    <mergeCell ref="XAA30:XAB30"/>
    <mergeCell ref="XAC30:XAD30"/>
    <mergeCell ref="XAE30:XAF30"/>
    <mergeCell ref="XAG30:XAH30"/>
    <mergeCell ref="XAI30:XAJ30"/>
    <mergeCell ref="WZM30:WZN30"/>
    <mergeCell ref="WZO30:WZP30"/>
    <mergeCell ref="WZQ30:WZR30"/>
    <mergeCell ref="WZS30:WZT30"/>
    <mergeCell ref="WZU30:WZV30"/>
    <mergeCell ref="WZW30:WZX30"/>
    <mergeCell ref="AO31:AP31"/>
    <mergeCell ref="AQ31:AR31"/>
    <mergeCell ref="AS31:AT31"/>
    <mergeCell ref="AU31:AV31"/>
    <mergeCell ref="AW31:AX31"/>
    <mergeCell ref="AY31:AZ31"/>
    <mergeCell ref="AC31:AD31"/>
    <mergeCell ref="AE31:AF31"/>
    <mergeCell ref="AG31:AH31"/>
    <mergeCell ref="AI31:AJ31"/>
    <mergeCell ref="AK31:AL31"/>
    <mergeCell ref="AM31:AN31"/>
    <mergeCell ref="Q31:R31"/>
    <mergeCell ref="S31:T31"/>
    <mergeCell ref="U31:V31"/>
    <mergeCell ref="W31:X31"/>
    <mergeCell ref="Y31:Z31"/>
    <mergeCell ref="AA31:AB31"/>
    <mergeCell ref="XFA30:XFB30"/>
    <mergeCell ref="XFC30:XFD30"/>
    <mergeCell ref="A31:B31"/>
    <mergeCell ref="C31:D31"/>
    <mergeCell ref="E31:F31"/>
    <mergeCell ref="G31:H31"/>
    <mergeCell ref="I31:J31"/>
    <mergeCell ref="K31:L31"/>
    <mergeCell ref="M31:N31"/>
    <mergeCell ref="O31:P31"/>
    <mergeCell ref="XEO30:XEP30"/>
    <mergeCell ref="XEQ30:XER30"/>
    <mergeCell ref="XES30:XET30"/>
    <mergeCell ref="XEU30:XEV30"/>
    <mergeCell ref="XEW30:XEX30"/>
    <mergeCell ref="XEY30:XEZ30"/>
    <mergeCell ref="XEC30:XED30"/>
    <mergeCell ref="XEE30:XEF30"/>
    <mergeCell ref="XEG30:XEH30"/>
    <mergeCell ref="XEI30:XEJ30"/>
    <mergeCell ref="XEK30:XEL30"/>
    <mergeCell ref="XEM30:XEN30"/>
    <mergeCell ref="XDQ30:XDR30"/>
    <mergeCell ref="XDS30:XDT30"/>
    <mergeCell ref="XDU30:XDV30"/>
    <mergeCell ref="XDW30:XDX30"/>
    <mergeCell ref="XDY30:XDZ30"/>
    <mergeCell ref="XEA30:XEB30"/>
    <mergeCell ref="XDE30:XDF30"/>
    <mergeCell ref="XDG30:XDH30"/>
    <mergeCell ref="XDI30:XDJ30"/>
    <mergeCell ref="XDK30:XDL30"/>
    <mergeCell ref="XDM30:XDN30"/>
    <mergeCell ref="XDO30:XDP30"/>
    <mergeCell ref="XCS30:XCT30"/>
    <mergeCell ref="XCU30:XCV30"/>
    <mergeCell ref="XCW30:XCX30"/>
    <mergeCell ref="XCY30:XCZ30"/>
    <mergeCell ref="XDA30:XDB30"/>
    <mergeCell ref="XDC30:XDD30"/>
    <mergeCell ref="XCG30:XCH30"/>
    <mergeCell ref="XCI30:XCJ30"/>
    <mergeCell ref="XCK30:XCL30"/>
    <mergeCell ref="XCM30:XCN30"/>
    <mergeCell ref="XCO30:XCP30"/>
    <mergeCell ref="XCQ30:XCR30"/>
    <mergeCell ref="DI31:DJ31"/>
    <mergeCell ref="DK31:DL31"/>
    <mergeCell ref="DM31:DN31"/>
    <mergeCell ref="DO31:DP31"/>
    <mergeCell ref="DQ31:DR31"/>
    <mergeCell ref="DS31:DT31"/>
    <mergeCell ref="CW31:CX31"/>
    <mergeCell ref="CY31:CZ31"/>
    <mergeCell ref="DA31:DB31"/>
    <mergeCell ref="DC31:DD31"/>
    <mergeCell ref="DE31:DF31"/>
    <mergeCell ref="DG31:DH31"/>
    <mergeCell ref="CK31:CL31"/>
    <mergeCell ref="CM31:CN31"/>
    <mergeCell ref="CO31:CP31"/>
    <mergeCell ref="CQ31:CR31"/>
    <mergeCell ref="CS31:CT31"/>
    <mergeCell ref="CU31:CV31"/>
    <mergeCell ref="BY31:BZ31"/>
    <mergeCell ref="CA31:CB31"/>
    <mergeCell ref="CC31:CD31"/>
    <mergeCell ref="CE31:CF31"/>
    <mergeCell ref="CG31:CH31"/>
    <mergeCell ref="CI31:CJ31"/>
    <mergeCell ref="BM31:BN31"/>
    <mergeCell ref="BO31:BP31"/>
    <mergeCell ref="BQ31:BR31"/>
    <mergeCell ref="BS31:BT31"/>
    <mergeCell ref="BU31:BV31"/>
    <mergeCell ref="BW31:BX31"/>
    <mergeCell ref="BA31:BB31"/>
    <mergeCell ref="BC31:BD31"/>
    <mergeCell ref="BE31:BF31"/>
    <mergeCell ref="BG31:BH31"/>
    <mergeCell ref="BI31:BJ31"/>
    <mergeCell ref="BK31:BL31"/>
    <mergeCell ref="GC31:GD31"/>
    <mergeCell ref="GE31:GF31"/>
    <mergeCell ref="GG31:GH31"/>
    <mergeCell ref="GI31:GJ31"/>
    <mergeCell ref="GK31:GL31"/>
    <mergeCell ref="GM31:GN31"/>
    <mergeCell ref="FQ31:FR31"/>
    <mergeCell ref="FS31:FT31"/>
    <mergeCell ref="FU31:FV31"/>
    <mergeCell ref="FW31:FX31"/>
    <mergeCell ref="FY31:FZ31"/>
    <mergeCell ref="GA31:GB31"/>
    <mergeCell ref="FE31:FF31"/>
    <mergeCell ref="FG31:FH31"/>
    <mergeCell ref="FI31:FJ31"/>
    <mergeCell ref="FK31:FL31"/>
    <mergeCell ref="FM31:FN31"/>
    <mergeCell ref="FO31:FP31"/>
    <mergeCell ref="ES31:ET31"/>
    <mergeCell ref="EU31:EV31"/>
    <mergeCell ref="EW31:EX31"/>
    <mergeCell ref="EY31:EZ31"/>
    <mergeCell ref="FA31:FB31"/>
    <mergeCell ref="FC31:FD31"/>
    <mergeCell ref="EG31:EH31"/>
    <mergeCell ref="EI31:EJ31"/>
    <mergeCell ref="EK31:EL31"/>
    <mergeCell ref="EM31:EN31"/>
    <mergeCell ref="EO31:EP31"/>
    <mergeCell ref="EQ31:ER31"/>
    <mergeCell ref="DU31:DV31"/>
    <mergeCell ref="DW31:DX31"/>
    <mergeCell ref="DY31:DZ31"/>
    <mergeCell ref="EA31:EB31"/>
    <mergeCell ref="EC31:ED31"/>
    <mergeCell ref="EE31:EF31"/>
    <mergeCell ref="IW31:IX31"/>
    <mergeCell ref="IY31:IZ31"/>
    <mergeCell ref="JA31:JB31"/>
    <mergeCell ref="JC31:JD31"/>
    <mergeCell ref="JE31:JF31"/>
    <mergeCell ref="JG31:JH31"/>
    <mergeCell ref="IK31:IL31"/>
    <mergeCell ref="IM31:IN31"/>
    <mergeCell ref="IO31:IP31"/>
    <mergeCell ref="IQ31:IR31"/>
    <mergeCell ref="IS31:IT31"/>
    <mergeCell ref="IU31:IV31"/>
    <mergeCell ref="HY31:HZ31"/>
    <mergeCell ref="IA31:IB31"/>
    <mergeCell ref="IC31:ID31"/>
    <mergeCell ref="IE31:IF31"/>
    <mergeCell ref="IG31:IH31"/>
    <mergeCell ref="II31:IJ31"/>
    <mergeCell ref="HM31:HN31"/>
    <mergeCell ref="HO31:HP31"/>
    <mergeCell ref="HQ31:HR31"/>
    <mergeCell ref="HS31:HT31"/>
    <mergeCell ref="HU31:HV31"/>
    <mergeCell ref="HW31:HX31"/>
    <mergeCell ref="HA31:HB31"/>
    <mergeCell ref="HC31:HD31"/>
    <mergeCell ref="HE31:HF31"/>
    <mergeCell ref="HG31:HH31"/>
    <mergeCell ref="HI31:HJ31"/>
    <mergeCell ref="HK31:HL31"/>
    <mergeCell ref="GO31:GP31"/>
    <mergeCell ref="GQ31:GR31"/>
    <mergeCell ref="GS31:GT31"/>
    <mergeCell ref="GU31:GV31"/>
    <mergeCell ref="GW31:GX31"/>
    <mergeCell ref="GY31:GZ31"/>
    <mergeCell ref="LQ31:LR31"/>
    <mergeCell ref="LS31:LT31"/>
    <mergeCell ref="LU31:LV31"/>
    <mergeCell ref="LW31:LX31"/>
    <mergeCell ref="LY31:LZ31"/>
    <mergeCell ref="MA31:MB31"/>
    <mergeCell ref="LE31:LF31"/>
    <mergeCell ref="LG31:LH31"/>
    <mergeCell ref="LI31:LJ31"/>
    <mergeCell ref="LK31:LL31"/>
    <mergeCell ref="LM31:LN31"/>
    <mergeCell ref="LO31:LP31"/>
    <mergeCell ref="KS31:KT31"/>
    <mergeCell ref="KU31:KV31"/>
    <mergeCell ref="KW31:KX31"/>
    <mergeCell ref="KY31:KZ31"/>
    <mergeCell ref="LA31:LB31"/>
    <mergeCell ref="LC31:LD31"/>
    <mergeCell ref="KG31:KH31"/>
    <mergeCell ref="KI31:KJ31"/>
    <mergeCell ref="KK31:KL31"/>
    <mergeCell ref="KM31:KN31"/>
    <mergeCell ref="KO31:KP31"/>
    <mergeCell ref="KQ31:KR31"/>
    <mergeCell ref="JU31:JV31"/>
    <mergeCell ref="JW31:JX31"/>
    <mergeCell ref="JY31:JZ31"/>
    <mergeCell ref="KA31:KB31"/>
    <mergeCell ref="KC31:KD31"/>
    <mergeCell ref="KE31:KF31"/>
    <mergeCell ref="JI31:JJ31"/>
    <mergeCell ref="JK31:JL31"/>
    <mergeCell ref="JM31:JN31"/>
    <mergeCell ref="JO31:JP31"/>
    <mergeCell ref="JQ31:JR31"/>
    <mergeCell ref="JS31:JT31"/>
    <mergeCell ref="OK31:OL31"/>
    <mergeCell ref="OM31:ON31"/>
    <mergeCell ref="OO31:OP31"/>
    <mergeCell ref="OQ31:OR31"/>
    <mergeCell ref="OS31:OT31"/>
    <mergeCell ref="OU31:OV31"/>
    <mergeCell ref="NY31:NZ31"/>
    <mergeCell ref="OA31:OB31"/>
    <mergeCell ref="OC31:OD31"/>
    <mergeCell ref="OE31:OF31"/>
    <mergeCell ref="OG31:OH31"/>
    <mergeCell ref="OI31:OJ31"/>
    <mergeCell ref="NM31:NN31"/>
    <mergeCell ref="NO31:NP31"/>
    <mergeCell ref="NQ31:NR31"/>
    <mergeCell ref="NS31:NT31"/>
    <mergeCell ref="NU31:NV31"/>
    <mergeCell ref="NW31:NX31"/>
    <mergeCell ref="NA31:NB31"/>
    <mergeCell ref="NC31:ND31"/>
    <mergeCell ref="NE31:NF31"/>
    <mergeCell ref="NG31:NH31"/>
    <mergeCell ref="NI31:NJ31"/>
    <mergeCell ref="NK31:NL31"/>
    <mergeCell ref="MO31:MP31"/>
    <mergeCell ref="MQ31:MR31"/>
    <mergeCell ref="MS31:MT31"/>
    <mergeCell ref="MU31:MV31"/>
    <mergeCell ref="MW31:MX31"/>
    <mergeCell ref="MY31:MZ31"/>
    <mergeCell ref="MC31:MD31"/>
    <mergeCell ref="ME31:MF31"/>
    <mergeCell ref="MG31:MH31"/>
    <mergeCell ref="MI31:MJ31"/>
    <mergeCell ref="MK31:ML31"/>
    <mergeCell ref="MM31:MN31"/>
    <mergeCell ref="RE31:RF31"/>
    <mergeCell ref="RG31:RH31"/>
    <mergeCell ref="RI31:RJ31"/>
    <mergeCell ref="RK31:RL31"/>
    <mergeCell ref="RM31:RN31"/>
    <mergeCell ref="RO31:RP31"/>
    <mergeCell ref="QS31:QT31"/>
    <mergeCell ref="QU31:QV31"/>
    <mergeCell ref="QW31:QX31"/>
    <mergeCell ref="QY31:QZ31"/>
    <mergeCell ref="RA31:RB31"/>
    <mergeCell ref="RC31:RD31"/>
    <mergeCell ref="QG31:QH31"/>
    <mergeCell ref="QI31:QJ31"/>
    <mergeCell ref="QK31:QL31"/>
    <mergeCell ref="QM31:QN31"/>
    <mergeCell ref="QO31:QP31"/>
    <mergeCell ref="QQ31:QR31"/>
    <mergeCell ref="PU31:PV31"/>
    <mergeCell ref="PW31:PX31"/>
    <mergeCell ref="PY31:PZ31"/>
    <mergeCell ref="QA31:QB31"/>
    <mergeCell ref="QC31:QD31"/>
    <mergeCell ref="QE31:QF31"/>
    <mergeCell ref="PI31:PJ31"/>
    <mergeCell ref="PK31:PL31"/>
    <mergeCell ref="PM31:PN31"/>
    <mergeCell ref="PO31:PP31"/>
    <mergeCell ref="PQ31:PR31"/>
    <mergeCell ref="PS31:PT31"/>
    <mergeCell ref="OW31:OX31"/>
    <mergeCell ref="OY31:OZ31"/>
    <mergeCell ref="PA31:PB31"/>
    <mergeCell ref="PC31:PD31"/>
    <mergeCell ref="PE31:PF31"/>
    <mergeCell ref="PG31:PH31"/>
    <mergeCell ref="TY31:TZ31"/>
    <mergeCell ref="UA31:UB31"/>
    <mergeCell ref="UC31:UD31"/>
    <mergeCell ref="UE31:UF31"/>
    <mergeCell ref="UG31:UH31"/>
    <mergeCell ref="UI31:UJ31"/>
    <mergeCell ref="TM31:TN31"/>
    <mergeCell ref="TO31:TP31"/>
    <mergeCell ref="TQ31:TR31"/>
    <mergeCell ref="TS31:TT31"/>
    <mergeCell ref="TU31:TV31"/>
    <mergeCell ref="TW31:TX31"/>
    <mergeCell ref="TA31:TB31"/>
    <mergeCell ref="TC31:TD31"/>
    <mergeCell ref="TE31:TF31"/>
    <mergeCell ref="TG31:TH31"/>
    <mergeCell ref="TI31:TJ31"/>
    <mergeCell ref="TK31:TL31"/>
    <mergeCell ref="SO31:SP31"/>
    <mergeCell ref="SQ31:SR31"/>
    <mergeCell ref="SS31:ST31"/>
    <mergeCell ref="SU31:SV31"/>
    <mergeCell ref="SW31:SX31"/>
    <mergeCell ref="SY31:SZ31"/>
    <mergeCell ref="SC31:SD31"/>
    <mergeCell ref="SE31:SF31"/>
    <mergeCell ref="SG31:SH31"/>
    <mergeCell ref="SI31:SJ31"/>
    <mergeCell ref="SK31:SL31"/>
    <mergeCell ref="SM31:SN31"/>
    <mergeCell ref="RQ31:RR31"/>
    <mergeCell ref="RS31:RT31"/>
    <mergeCell ref="RU31:RV31"/>
    <mergeCell ref="RW31:RX31"/>
    <mergeCell ref="RY31:RZ31"/>
    <mergeCell ref="SA31:SB31"/>
    <mergeCell ref="WS31:WT31"/>
    <mergeCell ref="WU31:WV31"/>
    <mergeCell ref="WW31:WX31"/>
    <mergeCell ref="WY31:WZ31"/>
    <mergeCell ref="XA31:XB31"/>
    <mergeCell ref="XC31:XD31"/>
    <mergeCell ref="WG31:WH31"/>
    <mergeCell ref="WI31:WJ31"/>
    <mergeCell ref="WK31:WL31"/>
    <mergeCell ref="WM31:WN31"/>
    <mergeCell ref="WO31:WP31"/>
    <mergeCell ref="WQ31:WR31"/>
    <mergeCell ref="VU31:VV31"/>
    <mergeCell ref="VW31:VX31"/>
    <mergeCell ref="VY31:VZ31"/>
    <mergeCell ref="WA31:WB31"/>
    <mergeCell ref="WC31:WD31"/>
    <mergeCell ref="WE31:WF31"/>
    <mergeCell ref="VI31:VJ31"/>
    <mergeCell ref="VK31:VL31"/>
    <mergeCell ref="VM31:VN31"/>
    <mergeCell ref="VO31:VP31"/>
    <mergeCell ref="VQ31:VR31"/>
    <mergeCell ref="VS31:VT31"/>
    <mergeCell ref="UW31:UX31"/>
    <mergeCell ref="UY31:UZ31"/>
    <mergeCell ref="VA31:VB31"/>
    <mergeCell ref="VC31:VD31"/>
    <mergeCell ref="VE31:VF31"/>
    <mergeCell ref="VG31:VH31"/>
    <mergeCell ref="UK31:UL31"/>
    <mergeCell ref="UM31:UN31"/>
    <mergeCell ref="UO31:UP31"/>
    <mergeCell ref="UQ31:UR31"/>
    <mergeCell ref="US31:UT31"/>
    <mergeCell ref="UU31:UV31"/>
    <mergeCell ref="ZM31:ZN31"/>
    <mergeCell ref="ZO31:ZP31"/>
    <mergeCell ref="ZQ31:ZR31"/>
    <mergeCell ref="ZS31:ZT31"/>
    <mergeCell ref="ZU31:ZV31"/>
    <mergeCell ref="ZW31:ZX31"/>
    <mergeCell ref="ZA31:ZB31"/>
    <mergeCell ref="ZC31:ZD31"/>
    <mergeCell ref="ZE31:ZF31"/>
    <mergeCell ref="ZG31:ZH31"/>
    <mergeCell ref="ZI31:ZJ31"/>
    <mergeCell ref="ZK31:ZL31"/>
    <mergeCell ref="YO31:YP31"/>
    <mergeCell ref="YQ31:YR31"/>
    <mergeCell ref="YS31:YT31"/>
    <mergeCell ref="YU31:YV31"/>
    <mergeCell ref="YW31:YX31"/>
    <mergeCell ref="YY31:YZ31"/>
    <mergeCell ref="YC31:YD31"/>
    <mergeCell ref="YE31:YF31"/>
    <mergeCell ref="YG31:YH31"/>
    <mergeCell ref="YI31:YJ31"/>
    <mergeCell ref="YK31:YL31"/>
    <mergeCell ref="YM31:YN31"/>
    <mergeCell ref="XQ31:XR31"/>
    <mergeCell ref="XS31:XT31"/>
    <mergeCell ref="XU31:XV31"/>
    <mergeCell ref="XW31:XX31"/>
    <mergeCell ref="XY31:XZ31"/>
    <mergeCell ref="YA31:YB31"/>
    <mergeCell ref="XE31:XF31"/>
    <mergeCell ref="XG31:XH31"/>
    <mergeCell ref="XI31:XJ31"/>
    <mergeCell ref="XK31:XL31"/>
    <mergeCell ref="XM31:XN31"/>
    <mergeCell ref="XO31:XP31"/>
    <mergeCell ref="ACG31:ACH31"/>
    <mergeCell ref="ACI31:ACJ31"/>
    <mergeCell ref="ACK31:ACL31"/>
    <mergeCell ref="ACM31:ACN31"/>
    <mergeCell ref="ACO31:ACP31"/>
    <mergeCell ref="ACQ31:ACR31"/>
    <mergeCell ref="ABU31:ABV31"/>
    <mergeCell ref="ABW31:ABX31"/>
    <mergeCell ref="ABY31:ABZ31"/>
    <mergeCell ref="ACA31:ACB31"/>
    <mergeCell ref="ACC31:ACD31"/>
    <mergeCell ref="ACE31:ACF31"/>
    <mergeCell ref="ABI31:ABJ31"/>
    <mergeCell ref="ABK31:ABL31"/>
    <mergeCell ref="ABM31:ABN31"/>
    <mergeCell ref="ABO31:ABP31"/>
    <mergeCell ref="ABQ31:ABR31"/>
    <mergeCell ref="ABS31:ABT31"/>
    <mergeCell ref="AAW31:AAX31"/>
    <mergeCell ref="AAY31:AAZ31"/>
    <mergeCell ref="ABA31:ABB31"/>
    <mergeCell ref="ABC31:ABD31"/>
    <mergeCell ref="ABE31:ABF31"/>
    <mergeCell ref="ABG31:ABH31"/>
    <mergeCell ref="AAK31:AAL31"/>
    <mergeCell ref="AAM31:AAN31"/>
    <mergeCell ref="AAO31:AAP31"/>
    <mergeCell ref="AAQ31:AAR31"/>
    <mergeCell ref="AAS31:AAT31"/>
    <mergeCell ref="AAU31:AAV31"/>
    <mergeCell ref="ZY31:ZZ31"/>
    <mergeCell ref="AAA31:AAB31"/>
    <mergeCell ref="AAC31:AAD31"/>
    <mergeCell ref="AAE31:AAF31"/>
    <mergeCell ref="AAG31:AAH31"/>
    <mergeCell ref="AAI31:AAJ31"/>
    <mergeCell ref="AFA31:AFB31"/>
    <mergeCell ref="AFC31:AFD31"/>
    <mergeCell ref="AFE31:AFF31"/>
    <mergeCell ref="AFG31:AFH31"/>
    <mergeCell ref="AFI31:AFJ31"/>
    <mergeCell ref="AFK31:AFL31"/>
    <mergeCell ref="AEO31:AEP31"/>
    <mergeCell ref="AEQ31:AER31"/>
    <mergeCell ref="AES31:AET31"/>
    <mergeCell ref="AEU31:AEV31"/>
    <mergeCell ref="AEW31:AEX31"/>
    <mergeCell ref="AEY31:AEZ31"/>
    <mergeCell ref="AEC31:AED31"/>
    <mergeCell ref="AEE31:AEF31"/>
    <mergeCell ref="AEG31:AEH31"/>
    <mergeCell ref="AEI31:AEJ31"/>
    <mergeCell ref="AEK31:AEL31"/>
    <mergeCell ref="AEM31:AEN31"/>
    <mergeCell ref="ADQ31:ADR31"/>
    <mergeCell ref="ADS31:ADT31"/>
    <mergeCell ref="ADU31:ADV31"/>
    <mergeCell ref="ADW31:ADX31"/>
    <mergeCell ref="ADY31:ADZ31"/>
    <mergeCell ref="AEA31:AEB31"/>
    <mergeCell ref="ADE31:ADF31"/>
    <mergeCell ref="ADG31:ADH31"/>
    <mergeCell ref="ADI31:ADJ31"/>
    <mergeCell ref="ADK31:ADL31"/>
    <mergeCell ref="ADM31:ADN31"/>
    <mergeCell ref="ADO31:ADP31"/>
    <mergeCell ref="ACS31:ACT31"/>
    <mergeCell ref="ACU31:ACV31"/>
    <mergeCell ref="ACW31:ACX31"/>
    <mergeCell ref="ACY31:ACZ31"/>
    <mergeCell ref="ADA31:ADB31"/>
    <mergeCell ref="ADC31:ADD31"/>
    <mergeCell ref="AHU31:AHV31"/>
    <mergeCell ref="AHW31:AHX31"/>
    <mergeCell ref="AHY31:AHZ31"/>
    <mergeCell ref="AIA31:AIB31"/>
    <mergeCell ref="AIC31:AID31"/>
    <mergeCell ref="AIE31:AIF31"/>
    <mergeCell ref="AHI31:AHJ31"/>
    <mergeCell ref="AHK31:AHL31"/>
    <mergeCell ref="AHM31:AHN31"/>
    <mergeCell ref="AHO31:AHP31"/>
    <mergeCell ref="AHQ31:AHR31"/>
    <mergeCell ref="AHS31:AHT31"/>
    <mergeCell ref="AGW31:AGX31"/>
    <mergeCell ref="AGY31:AGZ31"/>
    <mergeCell ref="AHA31:AHB31"/>
    <mergeCell ref="AHC31:AHD31"/>
    <mergeCell ref="AHE31:AHF31"/>
    <mergeCell ref="AHG31:AHH31"/>
    <mergeCell ref="AGK31:AGL31"/>
    <mergeCell ref="AGM31:AGN31"/>
    <mergeCell ref="AGO31:AGP31"/>
    <mergeCell ref="AGQ31:AGR31"/>
    <mergeCell ref="AGS31:AGT31"/>
    <mergeCell ref="AGU31:AGV31"/>
    <mergeCell ref="AFY31:AFZ31"/>
    <mergeCell ref="AGA31:AGB31"/>
    <mergeCell ref="AGC31:AGD31"/>
    <mergeCell ref="AGE31:AGF31"/>
    <mergeCell ref="AGG31:AGH31"/>
    <mergeCell ref="AGI31:AGJ31"/>
    <mergeCell ref="AFM31:AFN31"/>
    <mergeCell ref="AFO31:AFP31"/>
    <mergeCell ref="AFQ31:AFR31"/>
    <mergeCell ref="AFS31:AFT31"/>
    <mergeCell ref="AFU31:AFV31"/>
    <mergeCell ref="AFW31:AFX31"/>
    <mergeCell ref="AKO31:AKP31"/>
    <mergeCell ref="AKQ31:AKR31"/>
    <mergeCell ref="AKS31:AKT31"/>
    <mergeCell ref="AKU31:AKV31"/>
    <mergeCell ref="AKW31:AKX31"/>
    <mergeCell ref="AKY31:AKZ31"/>
    <mergeCell ref="AKC31:AKD31"/>
    <mergeCell ref="AKE31:AKF31"/>
    <mergeCell ref="AKG31:AKH31"/>
    <mergeCell ref="AKI31:AKJ31"/>
    <mergeCell ref="AKK31:AKL31"/>
    <mergeCell ref="AKM31:AKN31"/>
    <mergeCell ref="AJQ31:AJR31"/>
    <mergeCell ref="AJS31:AJT31"/>
    <mergeCell ref="AJU31:AJV31"/>
    <mergeCell ref="AJW31:AJX31"/>
    <mergeCell ref="AJY31:AJZ31"/>
    <mergeCell ref="AKA31:AKB31"/>
    <mergeCell ref="AJE31:AJF31"/>
    <mergeCell ref="AJG31:AJH31"/>
    <mergeCell ref="AJI31:AJJ31"/>
    <mergeCell ref="AJK31:AJL31"/>
    <mergeCell ref="AJM31:AJN31"/>
    <mergeCell ref="AJO31:AJP31"/>
    <mergeCell ref="AIS31:AIT31"/>
    <mergeCell ref="AIU31:AIV31"/>
    <mergeCell ref="AIW31:AIX31"/>
    <mergeCell ref="AIY31:AIZ31"/>
    <mergeCell ref="AJA31:AJB31"/>
    <mergeCell ref="AJC31:AJD31"/>
    <mergeCell ref="AIG31:AIH31"/>
    <mergeCell ref="AII31:AIJ31"/>
    <mergeCell ref="AIK31:AIL31"/>
    <mergeCell ref="AIM31:AIN31"/>
    <mergeCell ref="AIO31:AIP31"/>
    <mergeCell ref="AIQ31:AIR31"/>
    <mergeCell ref="ANI31:ANJ31"/>
    <mergeCell ref="ANK31:ANL31"/>
    <mergeCell ref="ANM31:ANN31"/>
    <mergeCell ref="ANO31:ANP31"/>
    <mergeCell ref="ANQ31:ANR31"/>
    <mergeCell ref="ANS31:ANT31"/>
    <mergeCell ref="AMW31:AMX31"/>
    <mergeCell ref="AMY31:AMZ31"/>
    <mergeCell ref="ANA31:ANB31"/>
    <mergeCell ref="ANC31:AND31"/>
    <mergeCell ref="ANE31:ANF31"/>
    <mergeCell ref="ANG31:ANH31"/>
    <mergeCell ref="AMK31:AML31"/>
    <mergeCell ref="AMM31:AMN31"/>
    <mergeCell ref="AMO31:AMP31"/>
    <mergeCell ref="AMQ31:AMR31"/>
    <mergeCell ref="AMS31:AMT31"/>
    <mergeCell ref="AMU31:AMV31"/>
    <mergeCell ref="ALY31:ALZ31"/>
    <mergeCell ref="AMA31:AMB31"/>
    <mergeCell ref="AMC31:AMD31"/>
    <mergeCell ref="AME31:AMF31"/>
    <mergeCell ref="AMG31:AMH31"/>
    <mergeCell ref="AMI31:AMJ31"/>
    <mergeCell ref="ALM31:ALN31"/>
    <mergeCell ref="ALO31:ALP31"/>
    <mergeCell ref="ALQ31:ALR31"/>
    <mergeCell ref="ALS31:ALT31"/>
    <mergeCell ref="ALU31:ALV31"/>
    <mergeCell ref="ALW31:ALX31"/>
    <mergeCell ref="ALA31:ALB31"/>
    <mergeCell ref="ALC31:ALD31"/>
    <mergeCell ref="ALE31:ALF31"/>
    <mergeCell ref="ALG31:ALH31"/>
    <mergeCell ref="ALI31:ALJ31"/>
    <mergeCell ref="ALK31:ALL31"/>
    <mergeCell ref="AQC31:AQD31"/>
    <mergeCell ref="AQE31:AQF31"/>
    <mergeCell ref="AQG31:AQH31"/>
    <mergeCell ref="AQI31:AQJ31"/>
    <mergeCell ref="AQK31:AQL31"/>
    <mergeCell ref="AQM31:AQN31"/>
    <mergeCell ref="APQ31:APR31"/>
    <mergeCell ref="APS31:APT31"/>
    <mergeCell ref="APU31:APV31"/>
    <mergeCell ref="APW31:APX31"/>
    <mergeCell ref="APY31:APZ31"/>
    <mergeCell ref="AQA31:AQB31"/>
    <mergeCell ref="APE31:APF31"/>
    <mergeCell ref="APG31:APH31"/>
    <mergeCell ref="API31:APJ31"/>
    <mergeCell ref="APK31:APL31"/>
    <mergeCell ref="APM31:APN31"/>
    <mergeCell ref="APO31:APP31"/>
    <mergeCell ref="AOS31:AOT31"/>
    <mergeCell ref="AOU31:AOV31"/>
    <mergeCell ref="AOW31:AOX31"/>
    <mergeCell ref="AOY31:AOZ31"/>
    <mergeCell ref="APA31:APB31"/>
    <mergeCell ref="APC31:APD31"/>
    <mergeCell ref="AOG31:AOH31"/>
    <mergeCell ref="AOI31:AOJ31"/>
    <mergeCell ref="AOK31:AOL31"/>
    <mergeCell ref="AOM31:AON31"/>
    <mergeCell ref="AOO31:AOP31"/>
    <mergeCell ref="AOQ31:AOR31"/>
    <mergeCell ref="ANU31:ANV31"/>
    <mergeCell ref="ANW31:ANX31"/>
    <mergeCell ref="ANY31:ANZ31"/>
    <mergeCell ref="AOA31:AOB31"/>
    <mergeCell ref="AOC31:AOD31"/>
    <mergeCell ref="AOE31:AOF31"/>
    <mergeCell ref="ASW31:ASX31"/>
    <mergeCell ref="ASY31:ASZ31"/>
    <mergeCell ref="ATA31:ATB31"/>
    <mergeCell ref="ATC31:ATD31"/>
    <mergeCell ref="ATE31:ATF31"/>
    <mergeCell ref="ATG31:ATH31"/>
    <mergeCell ref="ASK31:ASL31"/>
    <mergeCell ref="ASM31:ASN31"/>
    <mergeCell ref="ASO31:ASP31"/>
    <mergeCell ref="ASQ31:ASR31"/>
    <mergeCell ref="ASS31:AST31"/>
    <mergeCell ref="ASU31:ASV31"/>
    <mergeCell ref="ARY31:ARZ31"/>
    <mergeCell ref="ASA31:ASB31"/>
    <mergeCell ref="ASC31:ASD31"/>
    <mergeCell ref="ASE31:ASF31"/>
    <mergeCell ref="ASG31:ASH31"/>
    <mergeCell ref="ASI31:ASJ31"/>
    <mergeCell ref="ARM31:ARN31"/>
    <mergeCell ref="ARO31:ARP31"/>
    <mergeCell ref="ARQ31:ARR31"/>
    <mergeCell ref="ARS31:ART31"/>
    <mergeCell ref="ARU31:ARV31"/>
    <mergeCell ref="ARW31:ARX31"/>
    <mergeCell ref="ARA31:ARB31"/>
    <mergeCell ref="ARC31:ARD31"/>
    <mergeCell ref="ARE31:ARF31"/>
    <mergeCell ref="ARG31:ARH31"/>
    <mergeCell ref="ARI31:ARJ31"/>
    <mergeCell ref="ARK31:ARL31"/>
    <mergeCell ref="AQO31:AQP31"/>
    <mergeCell ref="AQQ31:AQR31"/>
    <mergeCell ref="AQS31:AQT31"/>
    <mergeCell ref="AQU31:AQV31"/>
    <mergeCell ref="AQW31:AQX31"/>
    <mergeCell ref="AQY31:AQZ31"/>
    <mergeCell ref="AVQ31:AVR31"/>
    <mergeCell ref="AVS31:AVT31"/>
    <mergeCell ref="AVU31:AVV31"/>
    <mergeCell ref="AVW31:AVX31"/>
    <mergeCell ref="AVY31:AVZ31"/>
    <mergeCell ref="AWA31:AWB31"/>
    <mergeCell ref="AVE31:AVF31"/>
    <mergeCell ref="AVG31:AVH31"/>
    <mergeCell ref="AVI31:AVJ31"/>
    <mergeCell ref="AVK31:AVL31"/>
    <mergeCell ref="AVM31:AVN31"/>
    <mergeCell ref="AVO31:AVP31"/>
    <mergeCell ref="AUS31:AUT31"/>
    <mergeCell ref="AUU31:AUV31"/>
    <mergeCell ref="AUW31:AUX31"/>
    <mergeCell ref="AUY31:AUZ31"/>
    <mergeCell ref="AVA31:AVB31"/>
    <mergeCell ref="AVC31:AVD31"/>
    <mergeCell ref="AUG31:AUH31"/>
    <mergeCell ref="AUI31:AUJ31"/>
    <mergeCell ref="AUK31:AUL31"/>
    <mergeCell ref="AUM31:AUN31"/>
    <mergeCell ref="AUO31:AUP31"/>
    <mergeCell ref="AUQ31:AUR31"/>
    <mergeCell ref="ATU31:ATV31"/>
    <mergeCell ref="ATW31:ATX31"/>
    <mergeCell ref="ATY31:ATZ31"/>
    <mergeCell ref="AUA31:AUB31"/>
    <mergeCell ref="AUC31:AUD31"/>
    <mergeCell ref="AUE31:AUF31"/>
    <mergeCell ref="ATI31:ATJ31"/>
    <mergeCell ref="ATK31:ATL31"/>
    <mergeCell ref="ATM31:ATN31"/>
    <mergeCell ref="ATO31:ATP31"/>
    <mergeCell ref="ATQ31:ATR31"/>
    <mergeCell ref="ATS31:ATT31"/>
    <mergeCell ref="AYK31:AYL31"/>
    <mergeCell ref="AYM31:AYN31"/>
    <mergeCell ref="AYO31:AYP31"/>
    <mergeCell ref="AYQ31:AYR31"/>
    <mergeCell ref="AYS31:AYT31"/>
    <mergeCell ref="AYU31:AYV31"/>
    <mergeCell ref="AXY31:AXZ31"/>
    <mergeCell ref="AYA31:AYB31"/>
    <mergeCell ref="AYC31:AYD31"/>
    <mergeCell ref="AYE31:AYF31"/>
    <mergeCell ref="AYG31:AYH31"/>
    <mergeCell ref="AYI31:AYJ31"/>
    <mergeCell ref="AXM31:AXN31"/>
    <mergeCell ref="AXO31:AXP31"/>
    <mergeCell ref="AXQ31:AXR31"/>
    <mergeCell ref="AXS31:AXT31"/>
    <mergeCell ref="AXU31:AXV31"/>
    <mergeCell ref="AXW31:AXX31"/>
    <mergeCell ref="AXA31:AXB31"/>
    <mergeCell ref="AXC31:AXD31"/>
    <mergeCell ref="AXE31:AXF31"/>
    <mergeCell ref="AXG31:AXH31"/>
    <mergeCell ref="AXI31:AXJ31"/>
    <mergeCell ref="AXK31:AXL31"/>
    <mergeCell ref="AWO31:AWP31"/>
    <mergeCell ref="AWQ31:AWR31"/>
    <mergeCell ref="AWS31:AWT31"/>
    <mergeCell ref="AWU31:AWV31"/>
    <mergeCell ref="AWW31:AWX31"/>
    <mergeCell ref="AWY31:AWZ31"/>
    <mergeCell ref="AWC31:AWD31"/>
    <mergeCell ref="AWE31:AWF31"/>
    <mergeCell ref="AWG31:AWH31"/>
    <mergeCell ref="AWI31:AWJ31"/>
    <mergeCell ref="AWK31:AWL31"/>
    <mergeCell ref="AWM31:AWN31"/>
    <mergeCell ref="BBE31:BBF31"/>
    <mergeCell ref="BBG31:BBH31"/>
    <mergeCell ref="BBI31:BBJ31"/>
    <mergeCell ref="BBK31:BBL31"/>
    <mergeCell ref="BBM31:BBN31"/>
    <mergeCell ref="BBO31:BBP31"/>
    <mergeCell ref="BAS31:BAT31"/>
    <mergeCell ref="BAU31:BAV31"/>
    <mergeCell ref="BAW31:BAX31"/>
    <mergeCell ref="BAY31:BAZ31"/>
    <mergeCell ref="BBA31:BBB31"/>
    <mergeCell ref="BBC31:BBD31"/>
    <mergeCell ref="BAG31:BAH31"/>
    <mergeCell ref="BAI31:BAJ31"/>
    <mergeCell ref="BAK31:BAL31"/>
    <mergeCell ref="BAM31:BAN31"/>
    <mergeCell ref="BAO31:BAP31"/>
    <mergeCell ref="BAQ31:BAR31"/>
    <mergeCell ref="AZU31:AZV31"/>
    <mergeCell ref="AZW31:AZX31"/>
    <mergeCell ref="AZY31:AZZ31"/>
    <mergeCell ref="BAA31:BAB31"/>
    <mergeCell ref="BAC31:BAD31"/>
    <mergeCell ref="BAE31:BAF31"/>
    <mergeCell ref="AZI31:AZJ31"/>
    <mergeCell ref="AZK31:AZL31"/>
    <mergeCell ref="AZM31:AZN31"/>
    <mergeCell ref="AZO31:AZP31"/>
    <mergeCell ref="AZQ31:AZR31"/>
    <mergeCell ref="AZS31:AZT31"/>
    <mergeCell ref="AYW31:AYX31"/>
    <mergeCell ref="AYY31:AYZ31"/>
    <mergeCell ref="AZA31:AZB31"/>
    <mergeCell ref="AZC31:AZD31"/>
    <mergeCell ref="AZE31:AZF31"/>
    <mergeCell ref="AZG31:AZH31"/>
    <mergeCell ref="BDY31:BDZ31"/>
    <mergeCell ref="BEA31:BEB31"/>
    <mergeCell ref="BEC31:BED31"/>
    <mergeCell ref="BEE31:BEF31"/>
    <mergeCell ref="BEG31:BEH31"/>
    <mergeCell ref="BEI31:BEJ31"/>
    <mergeCell ref="BDM31:BDN31"/>
    <mergeCell ref="BDO31:BDP31"/>
    <mergeCell ref="BDQ31:BDR31"/>
    <mergeCell ref="BDS31:BDT31"/>
    <mergeCell ref="BDU31:BDV31"/>
    <mergeCell ref="BDW31:BDX31"/>
    <mergeCell ref="BDA31:BDB31"/>
    <mergeCell ref="BDC31:BDD31"/>
    <mergeCell ref="BDE31:BDF31"/>
    <mergeCell ref="BDG31:BDH31"/>
    <mergeCell ref="BDI31:BDJ31"/>
    <mergeCell ref="BDK31:BDL31"/>
    <mergeCell ref="BCO31:BCP31"/>
    <mergeCell ref="BCQ31:BCR31"/>
    <mergeCell ref="BCS31:BCT31"/>
    <mergeCell ref="BCU31:BCV31"/>
    <mergeCell ref="BCW31:BCX31"/>
    <mergeCell ref="BCY31:BCZ31"/>
    <mergeCell ref="BCC31:BCD31"/>
    <mergeCell ref="BCE31:BCF31"/>
    <mergeCell ref="BCG31:BCH31"/>
    <mergeCell ref="BCI31:BCJ31"/>
    <mergeCell ref="BCK31:BCL31"/>
    <mergeCell ref="BCM31:BCN31"/>
    <mergeCell ref="BBQ31:BBR31"/>
    <mergeCell ref="BBS31:BBT31"/>
    <mergeCell ref="BBU31:BBV31"/>
    <mergeCell ref="BBW31:BBX31"/>
    <mergeCell ref="BBY31:BBZ31"/>
    <mergeCell ref="BCA31:BCB31"/>
    <mergeCell ref="BGS31:BGT31"/>
    <mergeCell ref="BGU31:BGV31"/>
    <mergeCell ref="BGW31:BGX31"/>
    <mergeCell ref="BGY31:BGZ31"/>
    <mergeCell ref="BHA31:BHB31"/>
    <mergeCell ref="BHC31:BHD31"/>
    <mergeCell ref="BGG31:BGH31"/>
    <mergeCell ref="BGI31:BGJ31"/>
    <mergeCell ref="BGK31:BGL31"/>
    <mergeCell ref="BGM31:BGN31"/>
    <mergeCell ref="BGO31:BGP31"/>
    <mergeCell ref="BGQ31:BGR31"/>
    <mergeCell ref="BFU31:BFV31"/>
    <mergeCell ref="BFW31:BFX31"/>
    <mergeCell ref="BFY31:BFZ31"/>
    <mergeCell ref="BGA31:BGB31"/>
    <mergeCell ref="BGC31:BGD31"/>
    <mergeCell ref="BGE31:BGF31"/>
    <mergeCell ref="BFI31:BFJ31"/>
    <mergeCell ref="BFK31:BFL31"/>
    <mergeCell ref="BFM31:BFN31"/>
    <mergeCell ref="BFO31:BFP31"/>
    <mergeCell ref="BFQ31:BFR31"/>
    <mergeCell ref="BFS31:BFT31"/>
    <mergeCell ref="BEW31:BEX31"/>
    <mergeCell ref="BEY31:BEZ31"/>
    <mergeCell ref="BFA31:BFB31"/>
    <mergeCell ref="BFC31:BFD31"/>
    <mergeCell ref="BFE31:BFF31"/>
    <mergeCell ref="BFG31:BFH31"/>
    <mergeCell ref="BEK31:BEL31"/>
    <mergeCell ref="BEM31:BEN31"/>
    <mergeCell ref="BEO31:BEP31"/>
    <mergeCell ref="BEQ31:BER31"/>
    <mergeCell ref="BES31:BET31"/>
    <mergeCell ref="BEU31:BEV31"/>
    <mergeCell ref="BJM31:BJN31"/>
    <mergeCell ref="BJO31:BJP31"/>
    <mergeCell ref="BJQ31:BJR31"/>
    <mergeCell ref="BJS31:BJT31"/>
    <mergeCell ref="BJU31:BJV31"/>
    <mergeCell ref="BJW31:BJX31"/>
    <mergeCell ref="BJA31:BJB31"/>
    <mergeCell ref="BJC31:BJD31"/>
    <mergeCell ref="BJE31:BJF31"/>
    <mergeCell ref="BJG31:BJH31"/>
    <mergeCell ref="BJI31:BJJ31"/>
    <mergeCell ref="BJK31:BJL31"/>
    <mergeCell ref="BIO31:BIP31"/>
    <mergeCell ref="BIQ31:BIR31"/>
    <mergeCell ref="BIS31:BIT31"/>
    <mergeCell ref="BIU31:BIV31"/>
    <mergeCell ref="BIW31:BIX31"/>
    <mergeCell ref="BIY31:BIZ31"/>
    <mergeCell ref="BIC31:BID31"/>
    <mergeCell ref="BIE31:BIF31"/>
    <mergeCell ref="BIG31:BIH31"/>
    <mergeCell ref="BII31:BIJ31"/>
    <mergeCell ref="BIK31:BIL31"/>
    <mergeCell ref="BIM31:BIN31"/>
    <mergeCell ref="BHQ31:BHR31"/>
    <mergeCell ref="BHS31:BHT31"/>
    <mergeCell ref="BHU31:BHV31"/>
    <mergeCell ref="BHW31:BHX31"/>
    <mergeCell ref="BHY31:BHZ31"/>
    <mergeCell ref="BIA31:BIB31"/>
    <mergeCell ref="BHE31:BHF31"/>
    <mergeCell ref="BHG31:BHH31"/>
    <mergeCell ref="BHI31:BHJ31"/>
    <mergeCell ref="BHK31:BHL31"/>
    <mergeCell ref="BHM31:BHN31"/>
    <mergeCell ref="BHO31:BHP31"/>
    <mergeCell ref="BMG31:BMH31"/>
    <mergeCell ref="BMI31:BMJ31"/>
    <mergeCell ref="BMK31:BML31"/>
    <mergeCell ref="BMM31:BMN31"/>
    <mergeCell ref="BMO31:BMP31"/>
    <mergeCell ref="BMQ31:BMR31"/>
    <mergeCell ref="BLU31:BLV31"/>
    <mergeCell ref="BLW31:BLX31"/>
    <mergeCell ref="BLY31:BLZ31"/>
    <mergeCell ref="BMA31:BMB31"/>
    <mergeCell ref="BMC31:BMD31"/>
    <mergeCell ref="BME31:BMF31"/>
    <mergeCell ref="BLI31:BLJ31"/>
    <mergeCell ref="BLK31:BLL31"/>
    <mergeCell ref="BLM31:BLN31"/>
    <mergeCell ref="BLO31:BLP31"/>
    <mergeCell ref="BLQ31:BLR31"/>
    <mergeCell ref="BLS31:BLT31"/>
    <mergeCell ref="BKW31:BKX31"/>
    <mergeCell ref="BKY31:BKZ31"/>
    <mergeCell ref="BLA31:BLB31"/>
    <mergeCell ref="BLC31:BLD31"/>
    <mergeCell ref="BLE31:BLF31"/>
    <mergeCell ref="BLG31:BLH31"/>
    <mergeCell ref="BKK31:BKL31"/>
    <mergeCell ref="BKM31:BKN31"/>
    <mergeCell ref="BKO31:BKP31"/>
    <mergeCell ref="BKQ31:BKR31"/>
    <mergeCell ref="BKS31:BKT31"/>
    <mergeCell ref="BKU31:BKV31"/>
    <mergeCell ref="BJY31:BJZ31"/>
    <mergeCell ref="BKA31:BKB31"/>
    <mergeCell ref="BKC31:BKD31"/>
    <mergeCell ref="BKE31:BKF31"/>
    <mergeCell ref="BKG31:BKH31"/>
    <mergeCell ref="BKI31:BKJ31"/>
    <mergeCell ref="BPA31:BPB31"/>
    <mergeCell ref="BPC31:BPD31"/>
    <mergeCell ref="BPE31:BPF31"/>
    <mergeCell ref="BPG31:BPH31"/>
    <mergeCell ref="BPI31:BPJ31"/>
    <mergeCell ref="BPK31:BPL31"/>
    <mergeCell ref="BOO31:BOP31"/>
    <mergeCell ref="BOQ31:BOR31"/>
    <mergeCell ref="BOS31:BOT31"/>
    <mergeCell ref="BOU31:BOV31"/>
    <mergeCell ref="BOW31:BOX31"/>
    <mergeCell ref="BOY31:BOZ31"/>
    <mergeCell ref="BOC31:BOD31"/>
    <mergeCell ref="BOE31:BOF31"/>
    <mergeCell ref="BOG31:BOH31"/>
    <mergeCell ref="BOI31:BOJ31"/>
    <mergeCell ref="BOK31:BOL31"/>
    <mergeCell ref="BOM31:BON31"/>
    <mergeCell ref="BNQ31:BNR31"/>
    <mergeCell ref="BNS31:BNT31"/>
    <mergeCell ref="BNU31:BNV31"/>
    <mergeCell ref="BNW31:BNX31"/>
    <mergeCell ref="BNY31:BNZ31"/>
    <mergeCell ref="BOA31:BOB31"/>
    <mergeCell ref="BNE31:BNF31"/>
    <mergeCell ref="BNG31:BNH31"/>
    <mergeCell ref="BNI31:BNJ31"/>
    <mergeCell ref="BNK31:BNL31"/>
    <mergeCell ref="BNM31:BNN31"/>
    <mergeCell ref="BNO31:BNP31"/>
    <mergeCell ref="BMS31:BMT31"/>
    <mergeCell ref="BMU31:BMV31"/>
    <mergeCell ref="BMW31:BMX31"/>
    <mergeCell ref="BMY31:BMZ31"/>
    <mergeCell ref="BNA31:BNB31"/>
    <mergeCell ref="BNC31:BND31"/>
    <mergeCell ref="BRU31:BRV31"/>
    <mergeCell ref="BRW31:BRX31"/>
    <mergeCell ref="BRY31:BRZ31"/>
    <mergeCell ref="BSA31:BSB31"/>
    <mergeCell ref="BSC31:BSD31"/>
    <mergeCell ref="BSE31:BSF31"/>
    <mergeCell ref="BRI31:BRJ31"/>
    <mergeCell ref="BRK31:BRL31"/>
    <mergeCell ref="BRM31:BRN31"/>
    <mergeCell ref="BRO31:BRP31"/>
    <mergeCell ref="BRQ31:BRR31"/>
    <mergeCell ref="BRS31:BRT31"/>
    <mergeCell ref="BQW31:BQX31"/>
    <mergeCell ref="BQY31:BQZ31"/>
    <mergeCell ref="BRA31:BRB31"/>
    <mergeCell ref="BRC31:BRD31"/>
    <mergeCell ref="BRE31:BRF31"/>
    <mergeCell ref="BRG31:BRH31"/>
    <mergeCell ref="BQK31:BQL31"/>
    <mergeCell ref="BQM31:BQN31"/>
    <mergeCell ref="BQO31:BQP31"/>
    <mergeCell ref="BQQ31:BQR31"/>
    <mergeCell ref="BQS31:BQT31"/>
    <mergeCell ref="BQU31:BQV31"/>
    <mergeCell ref="BPY31:BPZ31"/>
    <mergeCell ref="BQA31:BQB31"/>
    <mergeCell ref="BQC31:BQD31"/>
    <mergeCell ref="BQE31:BQF31"/>
    <mergeCell ref="BQG31:BQH31"/>
    <mergeCell ref="BQI31:BQJ31"/>
    <mergeCell ref="BPM31:BPN31"/>
    <mergeCell ref="BPO31:BPP31"/>
    <mergeCell ref="BPQ31:BPR31"/>
    <mergeCell ref="BPS31:BPT31"/>
    <mergeCell ref="BPU31:BPV31"/>
    <mergeCell ref="BPW31:BPX31"/>
    <mergeCell ref="BUO31:BUP31"/>
    <mergeCell ref="BUQ31:BUR31"/>
    <mergeCell ref="BUS31:BUT31"/>
    <mergeCell ref="BUU31:BUV31"/>
    <mergeCell ref="BUW31:BUX31"/>
    <mergeCell ref="BUY31:BUZ31"/>
    <mergeCell ref="BUC31:BUD31"/>
    <mergeCell ref="BUE31:BUF31"/>
    <mergeCell ref="BUG31:BUH31"/>
    <mergeCell ref="BUI31:BUJ31"/>
    <mergeCell ref="BUK31:BUL31"/>
    <mergeCell ref="BUM31:BUN31"/>
    <mergeCell ref="BTQ31:BTR31"/>
    <mergeCell ref="BTS31:BTT31"/>
    <mergeCell ref="BTU31:BTV31"/>
    <mergeCell ref="BTW31:BTX31"/>
    <mergeCell ref="BTY31:BTZ31"/>
    <mergeCell ref="BUA31:BUB31"/>
    <mergeCell ref="BTE31:BTF31"/>
    <mergeCell ref="BTG31:BTH31"/>
    <mergeCell ref="BTI31:BTJ31"/>
    <mergeCell ref="BTK31:BTL31"/>
    <mergeCell ref="BTM31:BTN31"/>
    <mergeCell ref="BTO31:BTP31"/>
    <mergeCell ref="BSS31:BST31"/>
    <mergeCell ref="BSU31:BSV31"/>
    <mergeCell ref="BSW31:BSX31"/>
    <mergeCell ref="BSY31:BSZ31"/>
    <mergeCell ref="BTA31:BTB31"/>
    <mergeCell ref="BTC31:BTD31"/>
    <mergeCell ref="BSG31:BSH31"/>
    <mergeCell ref="BSI31:BSJ31"/>
    <mergeCell ref="BSK31:BSL31"/>
    <mergeCell ref="BSM31:BSN31"/>
    <mergeCell ref="BSO31:BSP31"/>
    <mergeCell ref="BSQ31:BSR31"/>
    <mergeCell ref="BXI31:BXJ31"/>
    <mergeCell ref="BXK31:BXL31"/>
    <mergeCell ref="BXM31:BXN31"/>
    <mergeCell ref="BXO31:BXP31"/>
    <mergeCell ref="BXQ31:BXR31"/>
    <mergeCell ref="BXS31:BXT31"/>
    <mergeCell ref="BWW31:BWX31"/>
    <mergeCell ref="BWY31:BWZ31"/>
    <mergeCell ref="BXA31:BXB31"/>
    <mergeCell ref="BXC31:BXD31"/>
    <mergeCell ref="BXE31:BXF31"/>
    <mergeCell ref="BXG31:BXH31"/>
    <mergeCell ref="BWK31:BWL31"/>
    <mergeCell ref="BWM31:BWN31"/>
    <mergeCell ref="BWO31:BWP31"/>
    <mergeCell ref="BWQ31:BWR31"/>
    <mergeCell ref="BWS31:BWT31"/>
    <mergeCell ref="BWU31:BWV31"/>
    <mergeCell ref="BVY31:BVZ31"/>
    <mergeCell ref="BWA31:BWB31"/>
    <mergeCell ref="BWC31:BWD31"/>
    <mergeCell ref="BWE31:BWF31"/>
    <mergeCell ref="BWG31:BWH31"/>
    <mergeCell ref="BWI31:BWJ31"/>
    <mergeCell ref="BVM31:BVN31"/>
    <mergeCell ref="BVO31:BVP31"/>
    <mergeCell ref="BVQ31:BVR31"/>
    <mergeCell ref="BVS31:BVT31"/>
    <mergeCell ref="BVU31:BVV31"/>
    <mergeCell ref="BVW31:BVX31"/>
    <mergeCell ref="BVA31:BVB31"/>
    <mergeCell ref="BVC31:BVD31"/>
    <mergeCell ref="BVE31:BVF31"/>
    <mergeCell ref="BVG31:BVH31"/>
    <mergeCell ref="BVI31:BVJ31"/>
    <mergeCell ref="BVK31:BVL31"/>
    <mergeCell ref="CAC31:CAD31"/>
    <mergeCell ref="CAE31:CAF31"/>
    <mergeCell ref="CAG31:CAH31"/>
    <mergeCell ref="CAI31:CAJ31"/>
    <mergeCell ref="CAK31:CAL31"/>
    <mergeCell ref="CAM31:CAN31"/>
    <mergeCell ref="BZQ31:BZR31"/>
    <mergeCell ref="BZS31:BZT31"/>
    <mergeCell ref="BZU31:BZV31"/>
    <mergeCell ref="BZW31:BZX31"/>
    <mergeCell ref="BZY31:BZZ31"/>
    <mergeCell ref="CAA31:CAB31"/>
    <mergeCell ref="BZE31:BZF31"/>
    <mergeCell ref="BZG31:BZH31"/>
    <mergeCell ref="BZI31:BZJ31"/>
    <mergeCell ref="BZK31:BZL31"/>
    <mergeCell ref="BZM31:BZN31"/>
    <mergeCell ref="BZO31:BZP31"/>
    <mergeCell ref="BYS31:BYT31"/>
    <mergeCell ref="BYU31:BYV31"/>
    <mergeCell ref="BYW31:BYX31"/>
    <mergeCell ref="BYY31:BYZ31"/>
    <mergeCell ref="BZA31:BZB31"/>
    <mergeCell ref="BZC31:BZD31"/>
    <mergeCell ref="BYG31:BYH31"/>
    <mergeCell ref="BYI31:BYJ31"/>
    <mergeCell ref="BYK31:BYL31"/>
    <mergeCell ref="BYM31:BYN31"/>
    <mergeCell ref="BYO31:BYP31"/>
    <mergeCell ref="BYQ31:BYR31"/>
    <mergeCell ref="BXU31:BXV31"/>
    <mergeCell ref="BXW31:BXX31"/>
    <mergeCell ref="BXY31:BXZ31"/>
    <mergeCell ref="BYA31:BYB31"/>
    <mergeCell ref="BYC31:BYD31"/>
    <mergeCell ref="BYE31:BYF31"/>
    <mergeCell ref="CCW31:CCX31"/>
    <mergeCell ref="CCY31:CCZ31"/>
    <mergeCell ref="CDA31:CDB31"/>
    <mergeCell ref="CDC31:CDD31"/>
    <mergeCell ref="CDE31:CDF31"/>
    <mergeCell ref="CDG31:CDH31"/>
    <mergeCell ref="CCK31:CCL31"/>
    <mergeCell ref="CCM31:CCN31"/>
    <mergeCell ref="CCO31:CCP31"/>
    <mergeCell ref="CCQ31:CCR31"/>
    <mergeCell ref="CCS31:CCT31"/>
    <mergeCell ref="CCU31:CCV31"/>
    <mergeCell ref="CBY31:CBZ31"/>
    <mergeCell ref="CCA31:CCB31"/>
    <mergeCell ref="CCC31:CCD31"/>
    <mergeCell ref="CCE31:CCF31"/>
    <mergeCell ref="CCG31:CCH31"/>
    <mergeCell ref="CCI31:CCJ31"/>
    <mergeCell ref="CBM31:CBN31"/>
    <mergeCell ref="CBO31:CBP31"/>
    <mergeCell ref="CBQ31:CBR31"/>
    <mergeCell ref="CBS31:CBT31"/>
    <mergeCell ref="CBU31:CBV31"/>
    <mergeCell ref="CBW31:CBX31"/>
    <mergeCell ref="CBA31:CBB31"/>
    <mergeCell ref="CBC31:CBD31"/>
    <mergeCell ref="CBE31:CBF31"/>
    <mergeCell ref="CBG31:CBH31"/>
    <mergeCell ref="CBI31:CBJ31"/>
    <mergeCell ref="CBK31:CBL31"/>
    <mergeCell ref="CAO31:CAP31"/>
    <mergeCell ref="CAQ31:CAR31"/>
    <mergeCell ref="CAS31:CAT31"/>
    <mergeCell ref="CAU31:CAV31"/>
    <mergeCell ref="CAW31:CAX31"/>
    <mergeCell ref="CAY31:CAZ31"/>
    <mergeCell ref="CFQ31:CFR31"/>
    <mergeCell ref="CFS31:CFT31"/>
    <mergeCell ref="CFU31:CFV31"/>
    <mergeCell ref="CFW31:CFX31"/>
    <mergeCell ref="CFY31:CFZ31"/>
    <mergeCell ref="CGA31:CGB31"/>
    <mergeCell ref="CFE31:CFF31"/>
    <mergeCell ref="CFG31:CFH31"/>
    <mergeCell ref="CFI31:CFJ31"/>
    <mergeCell ref="CFK31:CFL31"/>
    <mergeCell ref="CFM31:CFN31"/>
    <mergeCell ref="CFO31:CFP31"/>
    <mergeCell ref="CES31:CET31"/>
    <mergeCell ref="CEU31:CEV31"/>
    <mergeCell ref="CEW31:CEX31"/>
    <mergeCell ref="CEY31:CEZ31"/>
    <mergeCell ref="CFA31:CFB31"/>
    <mergeCell ref="CFC31:CFD31"/>
    <mergeCell ref="CEG31:CEH31"/>
    <mergeCell ref="CEI31:CEJ31"/>
    <mergeCell ref="CEK31:CEL31"/>
    <mergeCell ref="CEM31:CEN31"/>
    <mergeCell ref="CEO31:CEP31"/>
    <mergeCell ref="CEQ31:CER31"/>
    <mergeCell ref="CDU31:CDV31"/>
    <mergeCell ref="CDW31:CDX31"/>
    <mergeCell ref="CDY31:CDZ31"/>
    <mergeCell ref="CEA31:CEB31"/>
    <mergeCell ref="CEC31:CED31"/>
    <mergeCell ref="CEE31:CEF31"/>
    <mergeCell ref="CDI31:CDJ31"/>
    <mergeCell ref="CDK31:CDL31"/>
    <mergeCell ref="CDM31:CDN31"/>
    <mergeCell ref="CDO31:CDP31"/>
    <mergeCell ref="CDQ31:CDR31"/>
    <mergeCell ref="CDS31:CDT31"/>
    <mergeCell ref="CIK31:CIL31"/>
    <mergeCell ref="CIM31:CIN31"/>
    <mergeCell ref="CIO31:CIP31"/>
    <mergeCell ref="CIQ31:CIR31"/>
    <mergeCell ref="CIS31:CIT31"/>
    <mergeCell ref="CIU31:CIV31"/>
    <mergeCell ref="CHY31:CHZ31"/>
    <mergeCell ref="CIA31:CIB31"/>
    <mergeCell ref="CIC31:CID31"/>
    <mergeCell ref="CIE31:CIF31"/>
    <mergeCell ref="CIG31:CIH31"/>
    <mergeCell ref="CII31:CIJ31"/>
    <mergeCell ref="CHM31:CHN31"/>
    <mergeCell ref="CHO31:CHP31"/>
    <mergeCell ref="CHQ31:CHR31"/>
    <mergeCell ref="CHS31:CHT31"/>
    <mergeCell ref="CHU31:CHV31"/>
    <mergeCell ref="CHW31:CHX31"/>
    <mergeCell ref="CHA31:CHB31"/>
    <mergeCell ref="CHC31:CHD31"/>
    <mergeCell ref="CHE31:CHF31"/>
    <mergeCell ref="CHG31:CHH31"/>
    <mergeCell ref="CHI31:CHJ31"/>
    <mergeCell ref="CHK31:CHL31"/>
    <mergeCell ref="CGO31:CGP31"/>
    <mergeCell ref="CGQ31:CGR31"/>
    <mergeCell ref="CGS31:CGT31"/>
    <mergeCell ref="CGU31:CGV31"/>
    <mergeCell ref="CGW31:CGX31"/>
    <mergeCell ref="CGY31:CGZ31"/>
    <mergeCell ref="CGC31:CGD31"/>
    <mergeCell ref="CGE31:CGF31"/>
    <mergeCell ref="CGG31:CGH31"/>
    <mergeCell ref="CGI31:CGJ31"/>
    <mergeCell ref="CGK31:CGL31"/>
    <mergeCell ref="CGM31:CGN31"/>
    <mergeCell ref="CLE31:CLF31"/>
    <mergeCell ref="CLG31:CLH31"/>
    <mergeCell ref="CLI31:CLJ31"/>
    <mergeCell ref="CLK31:CLL31"/>
    <mergeCell ref="CLM31:CLN31"/>
    <mergeCell ref="CLO31:CLP31"/>
    <mergeCell ref="CKS31:CKT31"/>
    <mergeCell ref="CKU31:CKV31"/>
    <mergeCell ref="CKW31:CKX31"/>
    <mergeCell ref="CKY31:CKZ31"/>
    <mergeCell ref="CLA31:CLB31"/>
    <mergeCell ref="CLC31:CLD31"/>
    <mergeCell ref="CKG31:CKH31"/>
    <mergeCell ref="CKI31:CKJ31"/>
    <mergeCell ref="CKK31:CKL31"/>
    <mergeCell ref="CKM31:CKN31"/>
    <mergeCell ref="CKO31:CKP31"/>
    <mergeCell ref="CKQ31:CKR31"/>
    <mergeCell ref="CJU31:CJV31"/>
    <mergeCell ref="CJW31:CJX31"/>
    <mergeCell ref="CJY31:CJZ31"/>
    <mergeCell ref="CKA31:CKB31"/>
    <mergeCell ref="CKC31:CKD31"/>
    <mergeCell ref="CKE31:CKF31"/>
    <mergeCell ref="CJI31:CJJ31"/>
    <mergeCell ref="CJK31:CJL31"/>
    <mergeCell ref="CJM31:CJN31"/>
    <mergeCell ref="CJO31:CJP31"/>
    <mergeCell ref="CJQ31:CJR31"/>
    <mergeCell ref="CJS31:CJT31"/>
    <mergeCell ref="CIW31:CIX31"/>
    <mergeCell ref="CIY31:CIZ31"/>
    <mergeCell ref="CJA31:CJB31"/>
    <mergeCell ref="CJC31:CJD31"/>
    <mergeCell ref="CJE31:CJF31"/>
    <mergeCell ref="CJG31:CJH31"/>
    <mergeCell ref="CNY31:CNZ31"/>
    <mergeCell ref="COA31:COB31"/>
    <mergeCell ref="COC31:COD31"/>
    <mergeCell ref="COE31:COF31"/>
    <mergeCell ref="COG31:COH31"/>
    <mergeCell ref="COI31:COJ31"/>
    <mergeCell ref="CNM31:CNN31"/>
    <mergeCell ref="CNO31:CNP31"/>
    <mergeCell ref="CNQ31:CNR31"/>
    <mergeCell ref="CNS31:CNT31"/>
    <mergeCell ref="CNU31:CNV31"/>
    <mergeCell ref="CNW31:CNX31"/>
    <mergeCell ref="CNA31:CNB31"/>
    <mergeCell ref="CNC31:CND31"/>
    <mergeCell ref="CNE31:CNF31"/>
    <mergeCell ref="CNG31:CNH31"/>
    <mergeCell ref="CNI31:CNJ31"/>
    <mergeCell ref="CNK31:CNL31"/>
    <mergeCell ref="CMO31:CMP31"/>
    <mergeCell ref="CMQ31:CMR31"/>
    <mergeCell ref="CMS31:CMT31"/>
    <mergeCell ref="CMU31:CMV31"/>
    <mergeCell ref="CMW31:CMX31"/>
    <mergeCell ref="CMY31:CMZ31"/>
    <mergeCell ref="CMC31:CMD31"/>
    <mergeCell ref="CME31:CMF31"/>
    <mergeCell ref="CMG31:CMH31"/>
    <mergeCell ref="CMI31:CMJ31"/>
    <mergeCell ref="CMK31:CML31"/>
    <mergeCell ref="CMM31:CMN31"/>
    <mergeCell ref="CLQ31:CLR31"/>
    <mergeCell ref="CLS31:CLT31"/>
    <mergeCell ref="CLU31:CLV31"/>
    <mergeCell ref="CLW31:CLX31"/>
    <mergeCell ref="CLY31:CLZ31"/>
    <mergeCell ref="CMA31:CMB31"/>
    <mergeCell ref="CQS31:CQT31"/>
    <mergeCell ref="CQU31:CQV31"/>
    <mergeCell ref="CQW31:CQX31"/>
    <mergeCell ref="CQY31:CQZ31"/>
    <mergeCell ref="CRA31:CRB31"/>
    <mergeCell ref="CRC31:CRD31"/>
    <mergeCell ref="CQG31:CQH31"/>
    <mergeCell ref="CQI31:CQJ31"/>
    <mergeCell ref="CQK31:CQL31"/>
    <mergeCell ref="CQM31:CQN31"/>
    <mergeCell ref="CQO31:CQP31"/>
    <mergeCell ref="CQQ31:CQR31"/>
    <mergeCell ref="CPU31:CPV31"/>
    <mergeCell ref="CPW31:CPX31"/>
    <mergeCell ref="CPY31:CPZ31"/>
    <mergeCell ref="CQA31:CQB31"/>
    <mergeCell ref="CQC31:CQD31"/>
    <mergeCell ref="CQE31:CQF31"/>
    <mergeCell ref="CPI31:CPJ31"/>
    <mergeCell ref="CPK31:CPL31"/>
    <mergeCell ref="CPM31:CPN31"/>
    <mergeCell ref="CPO31:CPP31"/>
    <mergeCell ref="CPQ31:CPR31"/>
    <mergeCell ref="CPS31:CPT31"/>
    <mergeCell ref="COW31:COX31"/>
    <mergeCell ref="COY31:COZ31"/>
    <mergeCell ref="CPA31:CPB31"/>
    <mergeCell ref="CPC31:CPD31"/>
    <mergeCell ref="CPE31:CPF31"/>
    <mergeCell ref="CPG31:CPH31"/>
    <mergeCell ref="COK31:COL31"/>
    <mergeCell ref="COM31:CON31"/>
    <mergeCell ref="COO31:COP31"/>
    <mergeCell ref="COQ31:COR31"/>
    <mergeCell ref="COS31:COT31"/>
    <mergeCell ref="COU31:COV31"/>
    <mergeCell ref="CTM31:CTN31"/>
    <mergeCell ref="CTO31:CTP31"/>
    <mergeCell ref="CTQ31:CTR31"/>
    <mergeCell ref="CTS31:CTT31"/>
    <mergeCell ref="CTU31:CTV31"/>
    <mergeCell ref="CTW31:CTX31"/>
    <mergeCell ref="CTA31:CTB31"/>
    <mergeCell ref="CTC31:CTD31"/>
    <mergeCell ref="CTE31:CTF31"/>
    <mergeCell ref="CTG31:CTH31"/>
    <mergeCell ref="CTI31:CTJ31"/>
    <mergeCell ref="CTK31:CTL31"/>
    <mergeCell ref="CSO31:CSP31"/>
    <mergeCell ref="CSQ31:CSR31"/>
    <mergeCell ref="CSS31:CST31"/>
    <mergeCell ref="CSU31:CSV31"/>
    <mergeCell ref="CSW31:CSX31"/>
    <mergeCell ref="CSY31:CSZ31"/>
    <mergeCell ref="CSC31:CSD31"/>
    <mergeCell ref="CSE31:CSF31"/>
    <mergeCell ref="CSG31:CSH31"/>
    <mergeCell ref="CSI31:CSJ31"/>
    <mergeCell ref="CSK31:CSL31"/>
    <mergeCell ref="CSM31:CSN31"/>
    <mergeCell ref="CRQ31:CRR31"/>
    <mergeCell ref="CRS31:CRT31"/>
    <mergeCell ref="CRU31:CRV31"/>
    <mergeCell ref="CRW31:CRX31"/>
    <mergeCell ref="CRY31:CRZ31"/>
    <mergeCell ref="CSA31:CSB31"/>
    <mergeCell ref="CRE31:CRF31"/>
    <mergeCell ref="CRG31:CRH31"/>
    <mergeCell ref="CRI31:CRJ31"/>
    <mergeCell ref="CRK31:CRL31"/>
    <mergeCell ref="CRM31:CRN31"/>
    <mergeCell ref="CRO31:CRP31"/>
    <mergeCell ref="CWG31:CWH31"/>
    <mergeCell ref="CWI31:CWJ31"/>
    <mergeCell ref="CWK31:CWL31"/>
    <mergeCell ref="CWM31:CWN31"/>
    <mergeCell ref="CWO31:CWP31"/>
    <mergeCell ref="CWQ31:CWR31"/>
    <mergeCell ref="CVU31:CVV31"/>
    <mergeCell ref="CVW31:CVX31"/>
    <mergeCell ref="CVY31:CVZ31"/>
    <mergeCell ref="CWA31:CWB31"/>
    <mergeCell ref="CWC31:CWD31"/>
    <mergeCell ref="CWE31:CWF31"/>
    <mergeCell ref="CVI31:CVJ31"/>
    <mergeCell ref="CVK31:CVL31"/>
    <mergeCell ref="CVM31:CVN31"/>
    <mergeCell ref="CVO31:CVP31"/>
    <mergeCell ref="CVQ31:CVR31"/>
    <mergeCell ref="CVS31:CVT31"/>
    <mergeCell ref="CUW31:CUX31"/>
    <mergeCell ref="CUY31:CUZ31"/>
    <mergeCell ref="CVA31:CVB31"/>
    <mergeCell ref="CVC31:CVD31"/>
    <mergeCell ref="CVE31:CVF31"/>
    <mergeCell ref="CVG31:CVH31"/>
    <mergeCell ref="CUK31:CUL31"/>
    <mergeCell ref="CUM31:CUN31"/>
    <mergeCell ref="CUO31:CUP31"/>
    <mergeCell ref="CUQ31:CUR31"/>
    <mergeCell ref="CUS31:CUT31"/>
    <mergeCell ref="CUU31:CUV31"/>
    <mergeCell ref="CTY31:CTZ31"/>
    <mergeCell ref="CUA31:CUB31"/>
    <mergeCell ref="CUC31:CUD31"/>
    <mergeCell ref="CUE31:CUF31"/>
    <mergeCell ref="CUG31:CUH31"/>
    <mergeCell ref="CUI31:CUJ31"/>
    <mergeCell ref="CZA31:CZB31"/>
    <mergeCell ref="CZC31:CZD31"/>
    <mergeCell ref="CZE31:CZF31"/>
    <mergeCell ref="CZG31:CZH31"/>
    <mergeCell ref="CZI31:CZJ31"/>
    <mergeCell ref="CZK31:CZL31"/>
    <mergeCell ref="CYO31:CYP31"/>
    <mergeCell ref="CYQ31:CYR31"/>
    <mergeCell ref="CYS31:CYT31"/>
    <mergeCell ref="CYU31:CYV31"/>
    <mergeCell ref="CYW31:CYX31"/>
    <mergeCell ref="CYY31:CYZ31"/>
    <mergeCell ref="CYC31:CYD31"/>
    <mergeCell ref="CYE31:CYF31"/>
    <mergeCell ref="CYG31:CYH31"/>
    <mergeCell ref="CYI31:CYJ31"/>
    <mergeCell ref="CYK31:CYL31"/>
    <mergeCell ref="CYM31:CYN31"/>
    <mergeCell ref="CXQ31:CXR31"/>
    <mergeCell ref="CXS31:CXT31"/>
    <mergeCell ref="CXU31:CXV31"/>
    <mergeCell ref="CXW31:CXX31"/>
    <mergeCell ref="CXY31:CXZ31"/>
    <mergeCell ref="CYA31:CYB31"/>
    <mergeCell ref="CXE31:CXF31"/>
    <mergeCell ref="CXG31:CXH31"/>
    <mergeCell ref="CXI31:CXJ31"/>
    <mergeCell ref="CXK31:CXL31"/>
    <mergeCell ref="CXM31:CXN31"/>
    <mergeCell ref="CXO31:CXP31"/>
    <mergeCell ref="CWS31:CWT31"/>
    <mergeCell ref="CWU31:CWV31"/>
    <mergeCell ref="CWW31:CWX31"/>
    <mergeCell ref="CWY31:CWZ31"/>
    <mergeCell ref="CXA31:CXB31"/>
    <mergeCell ref="CXC31:CXD31"/>
    <mergeCell ref="DBU31:DBV31"/>
    <mergeCell ref="DBW31:DBX31"/>
    <mergeCell ref="DBY31:DBZ31"/>
    <mergeCell ref="DCA31:DCB31"/>
    <mergeCell ref="DCC31:DCD31"/>
    <mergeCell ref="DCE31:DCF31"/>
    <mergeCell ref="DBI31:DBJ31"/>
    <mergeCell ref="DBK31:DBL31"/>
    <mergeCell ref="DBM31:DBN31"/>
    <mergeCell ref="DBO31:DBP31"/>
    <mergeCell ref="DBQ31:DBR31"/>
    <mergeCell ref="DBS31:DBT31"/>
    <mergeCell ref="DAW31:DAX31"/>
    <mergeCell ref="DAY31:DAZ31"/>
    <mergeCell ref="DBA31:DBB31"/>
    <mergeCell ref="DBC31:DBD31"/>
    <mergeCell ref="DBE31:DBF31"/>
    <mergeCell ref="DBG31:DBH31"/>
    <mergeCell ref="DAK31:DAL31"/>
    <mergeCell ref="DAM31:DAN31"/>
    <mergeCell ref="DAO31:DAP31"/>
    <mergeCell ref="DAQ31:DAR31"/>
    <mergeCell ref="DAS31:DAT31"/>
    <mergeCell ref="DAU31:DAV31"/>
    <mergeCell ref="CZY31:CZZ31"/>
    <mergeCell ref="DAA31:DAB31"/>
    <mergeCell ref="DAC31:DAD31"/>
    <mergeCell ref="DAE31:DAF31"/>
    <mergeCell ref="DAG31:DAH31"/>
    <mergeCell ref="DAI31:DAJ31"/>
    <mergeCell ref="CZM31:CZN31"/>
    <mergeCell ref="CZO31:CZP31"/>
    <mergeCell ref="CZQ31:CZR31"/>
    <mergeCell ref="CZS31:CZT31"/>
    <mergeCell ref="CZU31:CZV31"/>
    <mergeCell ref="CZW31:CZX31"/>
    <mergeCell ref="DEO31:DEP31"/>
    <mergeCell ref="DEQ31:DER31"/>
    <mergeCell ref="DES31:DET31"/>
    <mergeCell ref="DEU31:DEV31"/>
    <mergeCell ref="DEW31:DEX31"/>
    <mergeCell ref="DEY31:DEZ31"/>
    <mergeCell ref="DEC31:DED31"/>
    <mergeCell ref="DEE31:DEF31"/>
    <mergeCell ref="DEG31:DEH31"/>
    <mergeCell ref="DEI31:DEJ31"/>
    <mergeCell ref="DEK31:DEL31"/>
    <mergeCell ref="DEM31:DEN31"/>
    <mergeCell ref="DDQ31:DDR31"/>
    <mergeCell ref="DDS31:DDT31"/>
    <mergeCell ref="DDU31:DDV31"/>
    <mergeCell ref="DDW31:DDX31"/>
    <mergeCell ref="DDY31:DDZ31"/>
    <mergeCell ref="DEA31:DEB31"/>
    <mergeCell ref="DDE31:DDF31"/>
    <mergeCell ref="DDG31:DDH31"/>
    <mergeCell ref="DDI31:DDJ31"/>
    <mergeCell ref="DDK31:DDL31"/>
    <mergeCell ref="DDM31:DDN31"/>
    <mergeCell ref="DDO31:DDP31"/>
    <mergeCell ref="DCS31:DCT31"/>
    <mergeCell ref="DCU31:DCV31"/>
    <mergeCell ref="DCW31:DCX31"/>
    <mergeCell ref="DCY31:DCZ31"/>
    <mergeCell ref="DDA31:DDB31"/>
    <mergeCell ref="DDC31:DDD31"/>
    <mergeCell ref="DCG31:DCH31"/>
    <mergeCell ref="DCI31:DCJ31"/>
    <mergeCell ref="DCK31:DCL31"/>
    <mergeCell ref="DCM31:DCN31"/>
    <mergeCell ref="DCO31:DCP31"/>
    <mergeCell ref="DCQ31:DCR31"/>
    <mergeCell ref="DHI31:DHJ31"/>
    <mergeCell ref="DHK31:DHL31"/>
    <mergeCell ref="DHM31:DHN31"/>
    <mergeCell ref="DHO31:DHP31"/>
    <mergeCell ref="DHQ31:DHR31"/>
    <mergeCell ref="DHS31:DHT31"/>
    <mergeCell ref="DGW31:DGX31"/>
    <mergeCell ref="DGY31:DGZ31"/>
    <mergeCell ref="DHA31:DHB31"/>
    <mergeCell ref="DHC31:DHD31"/>
    <mergeCell ref="DHE31:DHF31"/>
    <mergeCell ref="DHG31:DHH31"/>
    <mergeCell ref="DGK31:DGL31"/>
    <mergeCell ref="DGM31:DGN31"/>
    <mergeCell ref="DGO31:DGP31"/>
    <mergeCell ref="DGQ31:DGR31"/>
    <mergeCell ref="DGS31:DGT31"/>
    <mergeCell ref="DGU31:DGV31"/>
    <mergeCell ref="DFY31:DFZ31"/>
    <mergeCell ref="DGA31:DGB31"/>
    <mergeCell ref="DGC31:DGD31"/>
    <mergeCell ref="DGE31:DGF31"/>
    <mergeCell ref="DGG31:DGH31"/>
    <mergeCell ref="DGI31:DGJ31"/>
    <mergeCell ref="DFM31:DFN31"/>
    <mergeCell ref="DFO31:DFP31"/>
    <mergeCell ref="DFQ31:DFR31"/>
    <mergeCell ref="DFS31:DFT31"/>
    <mergeCell ref="DFU31:DFV31"/>
    <mergeCell ref="DFW31:DFX31"/>
    <mergeCell ref="DFA31:DFB31"/>
    <mergeCell ref="DFC31:DFD31"/>
    <mergeCell ref="DFE31:DFF31"/>
    <mergeCell ref="DFG31:DFH31"/>
    <mergeCell ref="DFI31:DFJ31"/>
    <mergeCell ref="DFK31:DFL31"/>
    <mergeCell ref="DKC31:DKD31"/>
    <mergeCell ref="DKE31:DKF31"/>
    <mergeCell ref="DKG31:DKH31"/>
    <mergeCell ref="DKI31:DKJ31"/>
    <mergeCell ref="DKK31:DKL31"/>
    <mergeCell ref="DKM31:DKN31"/>
    <mergeCell ref="DJQ31:DJR31"/>
    <mergeCell ref="DJS31:DJT31"/>
    <mergeCell ref="DJU31:DJV31"/>
    <mergeCell ref="DJW31:DJX31"/>
    <mergeCell ref="DJY31:DJZ31"/>
    <mergeCell ref="DKA31:DKB31"/>
    <mergeCell ref="DJE31:DJF31"/>
    <mergeCell ref="DJG31:DJH31"/>
    <mergeCell ref="DJI31:DJJ31"/>
    <mergeCell ref="DJK31:DJL31"/>
    <mergeCell ref="DJM31:DJN31"/>
    <mergeCell ref="DJO31:DJP31"/>
    <mergeCell ref="DIS31:DIT31"/>
    <mergeCell ref="DIU31:DIV31"/>
    <mergeCell ref="DIW31:DIX31"/>
    <mergeCell ref="DIY31:DIZ31"/>
    <mergeCell ref="DJA31:DJB31"/>
    <mergeCell ref="DJC31:DJD31"/>
    <mergeCell ref="DIG31:DIH31"/>
    <mergeCell ref="DII31:DIJ31"/>
    <mergeCell ref="DIK31:DIL31"/>
    <mergeCell ref="DIM31:DIN31"/>
    <mergeCell ref="DIO31:DIP31"/>
    <mergeCell ref="DIQ31:DIR31"/>
    <mergeCell ref="DHU31:DHV31"/>
    <mergeCell ref="DHW31:DHX31"/>
    <mergeCell ref="DHY31:DHZ31"/>
    <mergeCell ref="DIA31:DIB31"/>
    <mergeCell ref="DIC31:DID31"/>
    <mergeCell ref="DIE31:DIF31"/>
    <mergeCell ref="DMW31:DMX31"/>
    <mergeCell ref="DMY31:DMZ31"/>
    <mergeCell ref="DNA31:DNB31"/>
    <mergeCell ref="DNC31:DND31"/>
    <mergeCell ref="DNE31:DNF31"/>
    <mergeCell ref="DNG31:DNH31"/>
    <mergeCell ref="DMK31:DML31"/>
    <mergeCell ref="DMM31:DMN31"/>
    <mergeCell ref="DMO31:DMP31"/>
    <mergeCell ref="DMQ31:DMR31"/>
    <mergeCell ref="DMS31:DMT31"/>
    <mergeCell ref="DMU31:DMV31"/>
    <mergeCell ref="DLY31:DLZ31"/>
    <mergeCell ref="DMA31:DMB31"/>
    <mergeCell ref="DMC31:DMD31"/>
    <mergeCell ref="DME31:DMF31"/>
    <mergeCell ref="DMG31:DMH31"/>
    <mergeCell ref="DMI31:DMJ31"/>
    <mergeCell ref="DLM31:DLN31"/>
    <mergeCell ref="DLO31:DLP31"/>
    <mergeCell ref="DLQ31:DLR31"/>
    <mergeCell ref="DLS31:DLT31"/>
    <mergeCell ref="DLU31:DLV31"/>
    <mergeCell ref="DLW31:DLX31"/>
    <mergeCell ref="DLA31:DLB31"/>
    <mergeCell ref="DLC31:DLD31"/>
    <mergeCell ref="DLE31:DLF31"/>
    <mergeCell ref="DLG31:DLH31"/>
    <mergeCell ref="DLI31:DLJ31"/>
    <mergeCell ref="DLK31:DLL31"/>
    <mergeCell ref="DKO31:DKP31"/>
    <mergeCell ref="DKQ31:DKR31"/>
    <mergeCell ref="DKS31:DKT31"/>
    <mergeCell ref="DKU31:DKV31"/>
    <mergeCell ref="DKW31:DKX31"/>
    <mergeCell ref="DKY31:DKZ31"/>
    <mergeCell ref="DPQ31:DPR31"/>
    <mergeCell ref="DPS31:DPT31"/>
    <mergeCell ref="DPU31:DPV31"/>
    <mergeCell ref="DPW31:DPX31"/>
    <mergeCell ref="DPY31:DPZ31"/>
    <mergeCell ref="DQA31:DQB31"/>
    <mergeCell ref="DPE31:DPF31"/>
    <mergeCell ref="DPG31:DPH31"/>
    <mergeCell ref="DPI31:DPJ31"/>
    <mergeCell ref="DPK31:DPL31"/>
    <mergeCell ref="DPM31:DPN31"/>
    <mergeCell ref="DPO31:DPP31"/>
    <mergeCell ref="DOS31:DOT31"/>
    <mergeCell ref="DOU31:DOV31"/>
    <mergeCell ref="DOW31:DOX31"/>
    <mergeCell ref="DOY31:DOZ31"/>
    <mergeCell ref="DPA31:DPB31"/>
    <mergeCell ref="DPC31:DPD31"/>
    <mergeCell ref="DOG31:DOH31"/>
    <mergeCell ref="DOI31:DOJ31"/>
    <mergeCell ref="DOK31:DOL31"/>
    <mergeCell ref="DOM31:DON31"/>
    <mergeCell ref="DOO31:DOP31"/>
    <mergeCell ref="DOQ31:DOR31"/>
    <mergeCell ref="DNU31:DNV31"/>
    <mergeCell ref="DNW31:DNX31"/>
    <mergeCell ref="DNY31:DNZ31"/>
    <mergeCell ref="DOA31:DOB31"/>
    <mergeCell ref="DOC31:DOD31"/>
    <mergeCell ref="DOE31:DOF31"/>
    <mergeCell ref="DNI31:DNJ31"/>
    <mergeCell ref="DNK31:DNL31"/>
    <mergeCell ref="DNM31:DNN31"/>
    <mergeCell ref="DNO31:DNP31"/>
    <mergeCell ref="DNQ31:DNR31"/>
    <mergeCell ref="DNS31:DNT31"/>
    <mergeCell ref="DSK31:DSL31"/>
    <mergeCell ref="DSM31:DSN31"/>
    <mergeCell ref="DSO31:DSP31"/>
    <mergeCell ref="DSQ31:DSR31"/>
    <mergeCell ref="DSS31:DST31"/>
    <mergeCell ref="DSU31:DSV31"/>
    <mergeCell ref="DRY31:DRZ31"/>
    <mergeCell ref="DSA31:DSB31"/>
    <mergeCell ref="DSC31:DSD31"/>
    <mergeCell ref="DSE31:DSF31"/>
    <mergeCell ref="DSG31:DSH31"/>
    <mergeCell ref="DSI31:DSJ31"/>
    <mergeCell ref="DRM31:DRN31"/>
    <mergeCell ref="DRO31:DRP31"/>
    <mergeCell ref="DRQ31:DRR31"/>
    <mergeCell ref="DRS31:DRT31"/>
    <mergeCell ref="DRU31:DRV31"/>
    <mergeCell ref="DRW31:DRX31"/>
    <mergeCell ref="DRA31:DRB31"/>
    <mergeCell ref="DRC31:DRD31"/>
    <mergeCell ref="DRE31:DRF31"/>
    <mergeCell ref="DRG31:DRH31"/>
    <mergeCell ref="DRI31:DRJ31"/>
    <mergeCell ref="DRK31:DRL31"/>
    <mergeCell ref="DQO31:DQP31"/>
    <mergeCell ref="DQQ31:DQR31"/>
    <mergeCell ref="DQS31:DQT31"/>
    <mergeCell ref="DQU31:DQV31"/>
    <mergeCell ref="DQW31:DQX31"/>
    <mergeCell ref="DQY31:DQZ31"/>
    <mergeCell ref="DQC31:DQD31"/>
    <mergeCell ref="DQE31:DQF31"/>
    <mergeCell ref="DQG31:DQH31"/>
    <mergeCell ref="DQI31:DQJ31"/>
    <mergeCell ref="DQK31:DQL31"/>
    <mergeCell ref="DQM31:DQN31"/>
    <mergeCell ref="DVE31:DVF31"/>
    <mergeCell ref="DVG31:DVH31"/>
    <mergeCell ref="DVI31:DVJ31"/>
    <mergeCell ref="DVK31:DVL31"/>
    <mergeCell ref="DVM31:DVN31"/>
    <mergeCell ref="DVO31:DVP31"/>
    <mergeCell ref="DUS31:DUT31"/>
    <mergeCell ref="DUU31:DUV31"/>
    <mergeCell ref="DUW31:DUX31"/>
    <mergeCell ref="DUY31:DUZ31"/>
    <mergeCell ref="DVA31:DVB31"/>
    <mergeCell ref="DVC31:DVD31"/>
    <mergeCell ref="DUG31:DUH31"/>
    <mergeCell ref="DUI31:DUJ31"/>
    <mergeCell ref="DUK31:DUL31"/>
    <mergeCell ref="DUM31:DUN31"/>
    <mergeCell ref="DUO31:DUP31"/>
    <mergeCell ref="DUQ31:DUR31"/>
    <mergeCell ref="DTU31:DTV31"/>
    <mergeCell ref="DTW31:DTX31"/>
    <mergeCell ref="DTY31:DTZ31"/>
    <mergeCell ref="DUA31:DUB31"/>
    <mergeCell ref="DUC31:DUD31"/>
    <mergeCell ref="DUE31:DUF31"/>
    <mergeCell ref="DTI31:DTJ31"/>
    <mergeCell ref="DTK31:DTL31"/>
    <mergeCell ref="DTM31:DTN31"/>
    <mergeCell ref="DTO31:DTP31"/>
    <mergeCell ref="DTQ31:DTR31"/>
    <mergeCell ref="DTS31:DTT31"/>
    <mergeCell ref="DSW31:DSX31"/>
    <mergeCell ref="DSY31:DSZ31"/>
    <mergeCell ref="DTA31:DTB31"/>
    <mergeCell ref="DTC31:DTD31"/>
    <mergeCell ref="DTE31:DTF31"/>
    <mergeCell ref="DTG31:DTH31"/>
    <mergeCell ref="DXY31:DXZ31"/>
    <mergeCell ref="DYA31:DYB31"/>
    <mergeCell ref="DYC31:DYD31"/>
    <mergeCell ref="DYE31:DYF31"/>
    <mergeCell ref="DYG31:DYH31"/>
    <mergeCell ref="DYI31:DYJ31"/>
    <mergeCell ref="DXM31:DXN31"/>
    <mergeCell ref="DXO31:DXP31"/>
    <mergeCell ref="DXQ31:DXR31"/>
    <mergeCell ref="DXS31:DXT31"/>
    <mergeCell ref="DXU31:DXV31"/>
    <mergeCell ref="DXW31:DXX31"/>
    <mergeCell ref="DXA31:DXB31"/>
    <mergeCell ref="DXC31:DXD31"/>
    <mergeCell ref="DXE31:DXF31"/>
    <mergeCell ref="DXG31:DXH31"/>
    <mergeCell ref="DXI31:DXJ31"/>
    <mergeCell ref="DXK31:DXL31"/>
    <mergeCell ref="DWO31:DWP31"/>
    <mergeCell ref="DWQ31:DWR31"/>
    <mergeCell ref="DWS31:DWT31"/>
    <mergeCell ref="DWU31:DWV31"/>
    <mergeCell ref="DWW31:DWX31"/>
    <mergeCell ref="DWY31:DWZ31"/>
    <mergeCell ref="DWC31:DWD31"/>
    <mergeCell ref="DWE31:DWF31"/>
    <mergeCell ref="DWG31:DWH31"/>
    <mergeCell ref="DWI31:DWJ31"/>
    <mergeCell ref="DWK31:DWL31"/>
    <mergeCell ref="DWM31:DWN31"/>
    <mergeCell ref="DVQ31:DVR31"/>
    <mergeCell ref="DVS31:DVT31"/>
    <mergeCell ref="DVU31:DVV31"/>
    <mergeCell ref="DVW31:DVX31"/>
    <mergeCell ref="DVY31:DVZ31"/>
    <mergeCell ref="DWA31:DWB31"/>
    <mergeCell ref="EAS31:EAT31"/>
    <mergeCell ref="EAU31:EAV31"/>
    <mergeCell ref="EAW31:EAX31"/>
    <mergeCell ref="EAY31:EAZ31"/>
    <mergeCell ref="EBA31:EBB31"/>
    <mergeCell ref="EBC31:EBD31"/>
    <mergeCell ref="EAG31:EAH31"/>
    <mergeCell ref="EAI31:EAJ31"/>
    <mergeCell ref="EAK31:EAL31"/>
    <mergeCell ref="EAM31:EAN31"/>
    <mergeCell ref="EAO31:EAP31"/>
    <mergeCell ref="EAQ31:EAR31"/>
    <mergeCell ref="DZU31:DZV31"/>
    <mergeCell ref="DZW31:DZX31"/>
    <mergeCell ref="DZY31:DZZ31"/>
    <mergeCell ref="EAA31:EAB31"/>
    <mergeCell ref="EAC31:EAD31"/>
    <mergeCell ref="EAE31:EAF31"/>
    <mergeCell ref="DZI31:DZJ31"/>
    <mergeCell ref="DZK31:DZL31"/>
    <mergeCell ref="DZM31:DZN31"/>
    <mergeCell ref="DZO31:DZP31"/>
    <mergeCell ref="DZQ31:DZR31"/>
    <mergeCell ref="DZS31:DZT31"/>
    <mergeCell ref="DYW31:DYX31"/>
    <mergeCell ref="DYY31:DYZ31"/>
    <mergeCell ref="DZA31:DZB31"/>
    <mergeCell ref="DZC31:DZD31"/>
    <mergeCell ref="DZE31:DZF31"/>
    <mergeCell ref="DZG31:DZH31"/>
    <mergeCell ref="DYK31:DYL31"/>
    <mergeCell ref="DYM31:DYN31"/>
    <mergeCell ref="DYO31:DYP31"/>
    <mergeCell ref="DYQ31:DYR31"/>
    <mergeCell ref="DYS31:DYT31"/>
    <mergeCell ref="DYU31:DYV31"/>
    <mergeCell ref="EDM31:EDN31"/>
    <mergeCell ref="EDO31:EDP31"/>
    <mergeCell ref="EDQ31:EDR31"/>
    <mergeCell ref="EDS31:EDT31"/>
    <mergeCell ref="EDU31:EDV31"/>
    <mergeCell ref="EDW31:EDX31"/>
    <mergeCell ref="EDA31:EDB31"/>
    <mergeCell ref="EDC31:EDD31"/>
    <mergeCell ref="EDE31:EDF31"/>
    <mergeCell ref="EDG31:EDH31"/>
    <mergeCell ref="EDI31:EDJ31"/>
    <mergeCell ref="EDK31:EDL31"/>
    <mergeCell ref="ECO31:ECP31"/>
    <mergeCell ref="ECQ31:ECR31"/>
    <mergeCell ref="ECS31:ECT31"/>
    <mergeCell ref="ECU31:ECV31"/>
    <mergeCell ref="ECW31:ECX31"/>
    <mergeCell ref="ECY31:ECZ31"/>
    <mergeCell ref="ECC31:ECD31"/>
    <mergeCell ref="ECE31:ECF31"/>
    <mergeCell ref="ECG31:ECH31"/>
    <mergeCell ref="ECI31:ECJ31"/>
    <mergeCell ref="ECK31:ECL31"/>
    <mergeCell ref="ECM31:ECN31"/>
    <mergeCell ref="EBQ31:EBR31"/>
    <mergeCell ref="EBS31:EBT31"/>
    <mergeCell ref="EBU31:EBV31"/>
    <mergeCell ref="EBW31:EBX31"/>
    <mergeCell ref="EBY31:EBZ31"/>
    <mergeCell ref="ECA31:ECB31"/>
    <mergeCell ref="EBE31:EBF31"/>
    <mergeCell ref="EBG31:EBH31"/>
    <mergeCell ref="EBI31:EBJ31"/>
    <mergeCell ref="EBK31:EBL31"/>
    <mergeCell ref="EBM31:EBN31"/>
    <mergeCell ref="EBO31:EBP31"/>
    <mergeCell ref="EGG31:EGH31"/>
    <mergeCell ref="EGI31:EGJ31"/>
    <mergeCell ref="EGK31:EGL31"/>
    <mergeCell ref="EGM31:EGN31"/>
    <mergeCell ref="EGO31:EGP31"/>
    <mergeCell ref="EGQ31:EGR31"/>
    <mergeCell ref="EFU31:EFV31"/>
    <mergeCell ref="EFW31:EFX31"/>
    <mergeCell ref="EFY31:EFZ31"/>
    <mergeCell ref="EGA31:EGB31"/>
    <mergeCell ref="EGC31:EGD31"/>
    <mergeCell ref="EGE31:EGF31"/>
    <mergeCell ref="EFI31:EFJ31"/>
    <mergeCell ref="EFK31:EFL31"/>
    <mergeCell ref="EFM31:EFN31"/>
    <mergeCell ref="EFO31:EFP31"/>
    <mergeCell ref="EFQ31:EFR31"/>
    <mergeCell ref="EFS31:EFT31"/>
    <mergeCell ref="EEW31:EEX31"/>
    <mergeCell ref="EEY31:EEZ31"/>
    <mergeCell ref="EFA31:EFB31"/>
    <mergeCell ref="EFC31:EFD31"/>
    <mergeCell ref="EFE31:EFF31"/>
    <mergeCell ref="EFG31:EFH31"/>
    <mergeCell ref="EEK31:EEL31"/>
    <mergeCell ref="EEM31:EEN31"/>
    <mergeCell ref="EEO31:EEP31"/>
    <mergeCell ref="EEQ31:EER31"/>
    <mergeCell ref="EES31:EET31"/>
    <mergeCell ref="EEU31:EEV31"/>
    <mergeCell ref="EDY31:EDZ31"/>
    <mergeCell ref="EEA31:EEB31"/>
    <mergeCell ref="EEC31:EED31"/>
    <mergeCell ref="EEE31:EEF31"/>
    <mergeCell ref="EEG31:EEH31"/>
    <mergeCell ref="EEI31:EEJ31"/>
    <mergeCell ref="EJA31:EJB31"/>
    <mergeCell ref="EJC31:EJD31"/>
    <mergeCell ref="EJE31:EJF31"/>
    <mergeCell ref="EJG31:EJH31"/>
    <mergeCell ref="EJI31:EJJ31"/>
    <mergeCell ref="EJK31:EJL31"/>
    <mergeCell ref="EIO31:EIP31"/>
    <mergeCell ref="EIQ31:EIR31"/>
    <mergeCell ref="EIS31:EIT31"/>
    <mergeCell ref="EIU31:EIV31"/>
    <mergeCell ref="EIW31:EIX31"/>
    <mergeCell ref="EIY31:EIZ31"/>
    <mergeCell ref="EIC31:EID31"/>
    <mergeCell ref="EIE31:EIF31"/>
    <mergeCell ref="EIG31:EIH31"/>
    <mergeCell ref="EII31:EIJ31"/>
    <mergeCell ref="EIK31:EIL31"/>
    <mergeCell ref="EIM31:EIN31"/>
    <mergeCell ref="EHQ31:EHR31"/>
    <mergeCell ref="EHS31:EHT31"/>
    <mergeCell ref="EHU31:EHV31"/>
    <mergeCell ref="EHW31:EHX31"/>
    <mergeCell ref="EHY31:EHZ31"/>
    <mergeCell ref="EIA31:EIB31"/>
    <mergeCell ref="EHE31:EHF31"/>
    <mergeCell ref="EHG31:EHH31"/>
    <mergeCell ref="EHI31:EHJ31"/>
    <mergeCell ref="EHK31:EHL31"/>
    <mergeCell ref="EHM31:EHN31"/>
    <mergeCell ref="EHO31:EHP31"/>
    <mergeCell ref="EGS31:EGT31"/>
    <mergeCell ref="EGU31:EGV31"/>
    <mergeCell ref="EGW31:EGX31"/>
    <mergeCell ref="EGY31:EGZ31"/>
    <mergeCell ref="EHA31:EHB31"/>
    <mergeCell ref="EHC31:EHD31"/>
    <mergeCell ref="ELU31:ELV31"/>
    <mergeCell ref="ELW31:ELX31"/>
    <mergeCell ref="ELY31:ELZ31"/>
    <mergeCell ref="EMA31:EMB31"/>
    <mergeCell ref="EMC31:EMD31"/>
    <mergeCell ref="EME31:EMF31"/>
    <mergeCell ref="ELI31:ELJ31"/>
    <mergeCell ref="ELK31:ELL31"/>
    <mergeCell ref="ELM31:ELN31"/>
    <mergeCell ref="ELO31:ELP31"/>
    <mergeCell ref="ELQ31:ELR31"/>
    <mergeCell ref="ELS31:ELT31"/>
    <mergeCell ref="EKW31:EKX31"/>
    <mergeCell ref="EKY31:EKZ31"/>
    <mergeCell ref="ELA31:ELB31"/>
    <mergeCell ref="ELC31:ELD31"/>
    <mergeCell ref="ELE31:ELF31"/>
    <mergeCell ref="ELG31:ELH31"/>
    <mergeCell ref="EKK31:EKL31"/>
    <mergeCell ref="EKM31:EKN31"/>
    <mergeCell ref="EKO31:EKP31"/>
    <mergeCell ref="EKQ31:EKR31"/>
    <mergeCell ref="EKS31:EKT31"/>
    <mergeCell ref="EKU31:EKV31"/>
    <mergeCell ref="EJY31:EJZ31"/>
    <mergeCell ref="EKA31:EKB31"/>
    <mergeCell ref="EKC31:EKD31"/>
    <mergeCell ref="EKE31:EKF31"/>
    <mergeCell ref="EKG31:EKH31"/>
    <mergeCell ref="EKI31:EKJ31"/>
    <mergeCell ref="EJM31:EJN31"/>
    <mergeCell ref="EJO31:EJP31"/>
    <mergeCell ref="EJQ31:EJR31"/>
    <mergeCell ref="EJS31:EJT31"/>
    <mergeCell ref="EJU31:EJV31"/>
    <mergeCell ref="EJW31:EJX31"/>
    <mergeCell ref="EOO31:EOP31"/>
    <mergeCell ref="EOQ31:EOR31"/>
    <mergeCell ref="EOS31:EOT31"/>
    <mergeCell ref="EOU31:EOV31"/>
    <mergeCell ref="EOW31:EOX31"/>
    <mergeCell ref="EOY31:EOZ31"/>
    <mergeCell ref="EOC31:EOD31"/>
    <mergeCell ref="EOE31:EOF31"/>
    <mergeCell ref="EOG31:EOH31"/>
    <mergeCell ref="EOI31:EOJ31"/>
    <mergeCell ref="EOK31:EOL31"/>
    <mergeCell ref="EOM31:EON31"/>
    <mergeCell ref="ENQ31:ENR31"/>
    <mergeCell ref="ENS31:ENT31"/>
    <mergeCell ref="ENU31:ENV31"/>
    <mergeCell ref="ENW31:ENX31"/>
    <mergeCell ref="ENY31:ENZ31"/>
    <mergeCell ref="EOA31:EOB31"/>
    <mergeCell ref="ENE31:ENF31"/>
    <mergeCell ref="ENG31:ENH31"/>
    <mergeCell ref="ENI31:ENJ31"/>
    <mergeCell ref="ENK31:ENL31"/>
    <mergeCell ref="ENM31:ENN31"/>
    <mergeCell ref="ENO31:ENP31"/>
    <mergeCell ref="EMS31:EMT31"/>
    <mergeCell ref="EMU31:EMV31"/>
    <mergeCell ref="EMW31:EMX31"/>
    <mergeCell ref="EMY31:EMZ31"/>
    <mergeCell ref="ENA31:ENB31"/>
    <mergeCell ref="ENC31:END31"/>
    <mergeCell ref="EMG31:EMH31"/>
    <mergeCell ref="EMI31:EMJ31"/>
    <mergeCell ref="EMK31:EML31"/>
    <mergeCell ref="EMM31:EMN31"/>
    <mergeCell ref="EMO31:EMP31"/>
    <mergeCell ref="EMQ31:EMR31"/>
    <mergeCell ref="ERI31:ERJ31"/>
    <mergeCell ref="ERK31:ERL31"/>
    <mergeCell ref="ERM31:ERN31"/>
    <mergeCell ref="ERO31:ERP31"/>
    <mergeCell ref="ERQ31:ERR31"/>
    <mergeCell ref="ERS31:ERT31"/>
    <mergeCell ref="EQW31:EQX31"/>
    <mergeCell ref="EQY31:EQZ31"/>
    <mergeCell ref="ERA31:ERB31"/>
    <mergeCell ref="ERC31:ERD31"/>
    <mergeCell ref="ERE31:ERF31"/>
    <mergeCell ref="ERG31:ERH31"/>
    <mergeCell ref="EQK31:EQL31"/>
    <mergeCell ref="EQM31:EQN31"/>
    <mergeCell ref="EQO31:EQP31"/>
    <mergeCell ref="EQQ31:EQR31"/>
    <mergeCell ref="EQS31:EQT31"/>
    <mergeCell ref="EQU31:EQV31"/>
    <mergeCell ref="EPY31:EPZ31"/>
    <mergeCell ref="EQA31:EQB31"/>
    <mergeCell ref="EQC31:EQD31"/>
    <mergeCell ref="EQE31:EQF31"/>
    <mergeCell ref="EQG31:EQH31"/>
    <mergeCell ref="EQI31:EQJ31"/>
    <mergeCell ref="EPM31:EPN31"/>
    <mergeCell ref="EPO31:EPP31"/>
    <mergeCell ref="EPQ31:EPR31"/>
    <mergeCell ref="EPS31:EPT31"/>
    <mergeCell ref="EPU31:EPV31"/>
    <mergeCell ref="EPW31:EPX31"/>
    <mergeCell ref="EPA31:EPB31"/>
    <mergeCell ref="EPC31:EPD31"/>
    <mergeCell ref="EPE31:EPF31"/>
    <mergeCell ref="EPG31:EPH31"/>
    <mergeCell ref="EPI31:EPJ31"/>
    <mergeCell ref="EPK31:EPL31"/>
    <mergeCell ref="EUC31:EUD31"/>
    <mergeCell ref="EUE31:EUF31"/>
    <mergeCell ref="EUG31:EUH31"/>
    <mergeCell ref="EUI31:EUJ31"/>
    <mergeCell ref="EUK31:EUL31"/>
    <mergeCell ref="EUM31:EUN31"/>
    <mergeCell ref="ETQ31:ETR31"/>
    <mergeCell ref="ETS31:ETT31"/>
    <mergeCell ref="ETU31:ETV31"/>
    <mergeCell ref="ETW31:ETX31"/>
    <mergeCell ref="ETY31:ETZ31"/>
    <mergeCell ref="EUA31:EUB31"/>
    <mergeCell ref="ETE31:ETF31"/>
    <mergeCell ref="ETG31:ETH31"/>
    <mergeCell ref="ETI31:ETJ31"/>
    <mergeCell ref="ETK31:ETL31"/>
    <mergeCell ref="ETM31:ETN31"/>
    <mergeCell ref="ETO31:ETP31"/>
    <mergeCell ref="ESS31:EST31"/>
    <mergeCell ref="ESU31:ESV31"/>
    <mergeCell ref="ESW31:ESX31"/>
    <mergeCell ref="ESY31:ESZ31"/>
    <mergeCell ref="ETA31:ETB31"/>
    <mergeCell ref="ETC31:ETD31"/>
    <mergeCell ref="ESG31:ESH31"/>
    <mergeCell ref="ESI31:ESJ31"/>
    <mergeCell ref="ESK31:ESL31"/>
    <mergeCell ref="ESM31:ESN31"/>
    <mergeCell ref="ESO31:ESP31"/>
    <mergeCell ref="ESQ31:ESR31"/>
    <mergeCell ref="ERU31:ERV31"/>
    <mergeCell ref="ERW31:ERX31"/>
    <mergeCell ref="ERY31:ERZ31"/>
    <mergeCell ref="ESA31:ESB31"/>
    <mergeCell ref="ESC31:ESD31"/>
    <mergeCell ref="ESE31:ESF31"/>
    <mergeCell ref="EWW31:EWX31"/>
    <mergeCell ref="EWY31:EWZ31"/>
    <mergeCell ref="EXA31:EXB31"/>
    <mergeCell ref="EXC31:EXD31"/>
    <mergeCell ref="EXE31:EXF31"/>
    <mergeCell ref="EXG31:EXH31"/>
    <mergeCell ref="EWK31:EWL31"/>
    <mergeCell ref="EWM31:EWN31"/>
    <mergeCell ref="EWO31:EWP31"/>
    <mergeCell ref="EWQ31:EWR31"/>
    <mergeCell ref="EWS31:EWT31"/>
    <mergeCell ref="EWU31:EWV31"/>
    <mergeCell ref="EVY31:EVZ31"/>
    <mergeCell ref="EWA31:EWB31"/>
    <mergeCell ref="EWC31:EWD31"/>
    <mergeCell ref="EWE31:EWF31"/>
    <mergeCell ref="EWG31:EWH31"/>
    <mergeCell ref="EWI31:EWJ31"/>
    <mergeCell ref="EVM31:EVN31"/>
    <mergeCell ref="EVO31:EVP31"/>
    <mergeCell ref="EVQ31:EVR31"/>
    <mergeCell ref="EVS31:EVT31"/>
    <mergeCell ref="EVU31:EVV31"/>
    <mergeCell ref="EVW31:EVX31"/>
    <mergeCell ref="EVA31:EVB31"/>
    <mergeCell ref="EVC31:EVD31"/>
    <mergeCell ref="EVE31:EVF31"/>
    <mergeCell ref="EVG31:EVH31"/>
    <mergeCell ref="EVI31:EVJ31"/>
    <mergeCell ref="EVK31:EVL31"/>
    <mergeCell ref="EUO31:EUP31"/>
    <mergeCell ref="EUQ31:EUR31"/>
    <mergeCell ref="EUS31:EUT31"/>
    <mergeCell ref="EUU31:EUV31"/>
    <mergeCell ref="EUW31:EUX31"/>
    <mergeCell ref="EUY31:EUZ31"/>
    <mergeCell ref="EZQ31:EZR31"/>
    <mergeCell ref="EZS31:EZT31"/>
    <mergeCell ref="EZU31:EZV31"/>
    <mergeCell ref="EZW31:EZX31"/>
    <mergeCell ref="EZY31:EZZ31"/>
    <mergeCell ref="FAA31:FAB31"/>
    <mergeCell ref="EZE31:EZF31"/>
    <mergeCell ref="EZG31:EZH31"/>
    <mergeCell ref="EZI31:EZJ31"/>
    <mergeCell ref="EZK31:EZL31"/>
    <mergeCell ref="EZM31:EZN31"/>
    <mergeCell ref="EZO31:EZP31"/>
    <mergeCell ref="EYS31:EYT31"/>
    <mergeCell ref="EYU31:EYV31"/>
    <mergeCell ref="EYW31:EYX31"/>
    <mergeCell ref="EYY31:EYZ31"/>
    <mergeCell ref="EZA31:EZB31"/>
    <mergeCell ref="EZC31:EZD31"/>
    <mergeCell ref="EYG31:EYH31"/>
    <mergeCell ref="EYI31:EYJ31"/>
    <mergeCell ref="EYK31:EYL31"/>
    <mergeCell ref="EYM31:EYN31"/>
    <mergeCell ref="EYO31:EYP31"/>
    <mergeCell ref="EYQ31:EYR31"/>
    <mergeCell ref="EXU31:EXV31"/>
    <mergeCell ref="EXW31:EXX31"/>
    <mergeCell ref="EXY31:EXZ31"/>
    <mergeCell ref="EYA31:EYB31"/>
    <mergeCell ref="EYC31:EYD31"/>
    <mergeCell ref="EYE31:EYF31"/>
    <mergeCell ref="EXI31:EXJ31"/>
    <mergeCell ref="EXK31:EXL31"/>
    <mergeCell ref="EXM31:EXN31"/>
    <mergeCell ref="EXO31:EXP31"/>
    <mergeCell ref="EXQ31:EXR31"/>
    <mergeCell ref="EXS31:EXT31"/>
    <mergeCell ref="FCK31:FCL31"/>
    <mergeCell ref="FCM31:FCN31"/>
    <mergeCell ref="FCO31:FCP31"/>
    <mergeCell ref="FCQ31:FCR31"/>
    <mergeCell ref="FCS31:FCT31"/>
    <mergeCell ref="FCU31:FCV31"/>
    <mergeCell ref="FBY31:FBZ31"/>
    <mergeCell ref="FCA31:FCB31"/>
    <mergeCell ref="FCC31:FCD31"/>
    <mergeCell ref="FCE31:FCF31"/>
    <mergeCell ref="FCG31:FCH31"/>
    <mergeCell ref="FCI31:FCJ31"/>
    <mergeCell ref="FBM31:FBN31"/>
    <mergeCell ref="FBO31:FBP31"/>
    <mergeCell ref="FBQ31:FBR31"/>
    <mergeCell ref="FBS31:FBT31"/>
    <mergeCell ref="FBU31:FBV31"/>
    <mergeCell ref="FBW31:FBX31"/>
    <mergeCell ref="FBA31:FBB31"/>
    <mergeCell ref="FBC31:FBD31"/>
    <mergeCell ref="FBE31:FBF31"/>
    <mergeCell ref="FBG31:FBH31"/>
    <mergeCell ref="FBI31:FBJ31"/>
    <mergeCell ref="FBK31:FBL31"/>
    <mergeCell ref="FAO31:FAP31"/>
    <mergeCell ref="FAQ31:FAR31"/>
    <mergeCell ref="FAS31:FAT31"/>
    <mergeCell ref="FAU31:FAV31"/>
    <mergeCell ref="FAW31:FAX31"/>
    <mergeCell ref="FAY31:FAZ31"/>
    <mergeCell ref="FAC31:FAD31"/>
    <mergeCell ref="FAE31:FAF31"/>
    <mergeCell ref="FAG31:FAH31"/>
    <mergeCell ref="FAI31:FAJ31"/>
    <mergeCell ref="FAK31:FAL31"/>
    <mergeCell ref="FAM31:FAN31"/>
    <mergeCell ref="FFE31:FFF31"/>
    <mergeCell ref="FFG31:FFH31"/>
    <mergeCell ref="FFI31:FFJ31"/>
    <mergeCell ref="FFK31:FFL31"/>
    <mergeCell ref="FFM31:FFN31"/>
    <mergeCell ref="FFO31:FFP31"/>
    <mergeCell ref="FES31:FET31"/>
    <mergeCell ref="FEU31:FEV31"/>
    <mergeCell ref="FEW31:FEX31"/>
    <mergeCell ref="FEY31:FEZ31"/>
    <mergeCell ref="FFA31:FFB31"/>
    <mergeCell ref="FFC31:FFD31"/>
    <mergeCell ref="FEG31:FEH31"/>
    <mergeCell ref="FEI31:FEJ31"/>
    <mergeCell ref="FEK31:FEL31"/>
    <mergeCell ref="FEM31:FEN31"/>
    <mergeCell ref="FEO31:FEP31"/>
    <mergeCell ref="FEQ31:FER31"/>
    <mergeCell ref="FDU31:FDV31"/>
    <mergeCell ref="FDW31:FDX31"/>
    <mergeCell ref="FDY31:FDZ31"/>
    <mergeCell ref="FEA31:FEB31"/>
    <mergeCell ref="FEC31:FED31"/>
    <mergeCell ref="FEE31:FEF31"/>
    <mergeCell ref="FDI31:FDJ31"/>
    <mergeCell ref="FDK31:FDL31"/>
    <mergeCell ref="FDM31:FDN31"/>
    <mergeCell ref="FDO31:FDP31"/>
    <mergeCell ref="FDQ31:FDR31"/>
    <mergeCell ref="FDS31:FDT31"/>
    <mergeCell ref="FCW31:FCX31"/>
    <mergeCell ref="FCY31:FCZ31"/>
    <mergeCell ref="FDA31:FDB31"/>
    <mergeCell ref="FDC31:FDD31"/>
    <mergeCell ref="FDE31:FDF31"/>
    <mergeCell ref="FDG31:FDH31"/>
    <mergeCell ref="FHY31:FHZ31"/>
    <mergeCell ref="FIA31:FIB31"/>
    <mergeCell ref="FIC31:FID31"/>
    <mergeCell ref="FIE31:FIF31"/>
    <mergeCell ref="FIG31:FIH31"/>
    <mergeCell ref="FII31:FIJ31"/>
    <mergeCell ref="FHM31:FHN31"/>
    <mergeCell ref="FHO31:FHP31"/>
    <mergeCell ref="FHQ31:FHR31"/>
    <mergeCell ref="FHS31:FHT31"/>
    <mergeCell ref="FHU31:FHV31"/>
    <mergeCell ref="FHW31:FHX31"/>
    <mergeCell ref="FHA31:FHB31"/>
    <mergeCell ref="FHC31:FHD31"/>
    <mergeCell ref="FHE31:FHF31"/>
    <mergeCell ref="FHG31:FHH31"/>
    <mergeCell ref="FHI31:FHJ31"/>
    <mergeCell ref="FHK31:FHL31"/>
    <mergeCell ref="FGO31:FGP31"/>
    <mergeCell ref="FGQ31:FGR31"/>
    <mergeCell ref="FGS31:FGT31"/>
    <mergeCell ref="FGU31:FGV31"/>
    <mergeCell ref="FGW31:FGX31"/>
    <mergeCell ref="FGY31:FGZ31"/>
    <mergeCell ref="FGC31:FGD31"/>
    <mergeCell ref="FGE31:FGF31"/>
    <mergeCell ref="FGG31:FGH31"/>
    <mergeCell ref="FGI31:FGJ31"/>
    <mergeCell ref="FGK31:FGL31"/>
    <mergeCell ref="FGM31:FGN31"/>
    <mergeCell ref="FFQ31:FFR31"/>
    <mergeCell ref="FFS31:FFT31"/>
    <mergeCell ref="FFU31:FFV31"/>
    <mergeCell ref="FFW31:FFX31"/>
    <mergeCell ref="FFY31:FFZ31"/>
    <mergeCell ref="FGA31:FGB31"/>
    <mergeCell ref="FKS31:FKT31"/>
    <mergeCell ref="FKU31:FKV31"/>
    <mergeCell ref="FKW31:FKX31"/>
    <mergeCell ref="FKY31:FKZ31"/>
    <mergeCell ref="FLA31:FLB31"/>
    <mergeCell ref="FLC31:FLD31"/>
    <mergeCell ref="FKG31:FKH31"/>
    <mergeCell ref="FKI31:FKJ31"/>
    <mergeCell ref="FKK31:FKL31"/>
    <mergeCell ref="FKM31:FKN31"/>
    <mergeCell ref="FKO31:FKP31"/>
    <mergeCell ref="FKQ31:FKR31"/>
    <mergeCell ref="FJU31:FJV31"/>
    <mergeCell ref="FJW31:FJX31"/>
    <mergeCell ref="FJY31:FJZ31"/>
    <mergeCell ref="FKA31:FKB31"/>
    <mergeCell ref="FKC31:FKD31"/>
    <mergeCell ref="FKE31:FKF31"/>
    <mergeCell ref="FJI31:FJJ31"/>
    <mergeCell ref="FJK31:FJL31"/>
    <mergeCell ref="FJM31:FJN31"/>
    <mergeCell ref="FJO31:FJP31"/>
    <mergeCell ref="FJQ31:FJR31"/>
    <mergeCell ref="FJS31:FJT31"/>
    <mergeCell ref="FIW31:FIX31"/>
    <mergeCell ref="FIY31:FIZ31"/>
    <mergeCell ref="FJA31:FJB31"/>
    <mergeCell ref="FJC31:FJD31"/>
    <mergeCell ref="FJE31:FJF31"/>
    <mergeCell ref="FJG31:FJH31"/>
    <mergeCell ref="FIK31:FIL31"/>
    <mergeCell ref="FIM31:FIN31"/>
    <mergeCell ref="FIO31:FIP31"/>
    <mergeCell ref="FIQ31:FIR31"/>
    <mergeCell ref="FIS31:FIT31"/>
    <mergeCell ref="FIU31:FIV31"/>
    <mergeCell ref="FNM31:FNN31"/>
    <mergeCell ref="FNO31:FNP31"/>
    <mergeCell ref="FNQ31:FNR31"/>
    <mergeCell ref="FNS31:FNT31"/>
    <mergeCell ref="FNU31:FNV31"/>
    <mergeCell ref="FNW31:FNX31"/>
    <mergeCell ref="FNA31:FNB31"/>
    <mergeCell ref="FNC31:FND31"/>
    <mergeCell ref="FNE31:FNF31"/>
    <mergeCell ref="FNG31:FNH31"/>
    <mergeCell ref="FNI31:FNJ31"/>
    <mergeCell ref="FNK31:FNL31"/>
    <mergeCell ref="FMO31:FMP31"/>
    <mergeCell ref="FMQ31:FMR31"/>
    <mergeCell ref="FMS31:FMT31"/>
    <mergeCell ref="FMU31:FMV31"/>
    <mergeCell ref="FMW31:FMX31"/>
    <mergeCell ref="FMY31:FMZ31"/>
    <mergeCell ref="FMC31:FMD31"/>
    <mergeCell ref="FME31:FMF31"/>
    <mergeCell ref="FMG31:FMH31"/>
    <mergeCell ref="FMI31:FMJ31"/>
    <mergeCell ref="FMK31:FML31"/>
    <mergeCell ref="FMM31:FMN31"/>
    <mergeCell ref="FLQ31:FLR31"/>
    <mergeCell ref="FLS31:FLT31"/>
    <mergeCell ref="FLU31:FLV31"/>
    <mergeCell ref="FLW31:FLX31"/>
    <mergeCell ref="FLY31:FLZ31"/>
    <mergeCell ref="FMA31:FMB31"/>
    <mergeCell ref="FLE31:FLF31"/>
    <mergeCell ref="FLG31:FLH31"/>
    <mergeCell ref="FLI31:FLJ31"/>
    <mergeCell ref="FLK31:FLL31"/>
    <mergeCell ref="FLM31:FLN31"/>
    <mergeCell ref="FLO31:FLP31"/>
    <mergeCell ref="FQG31:FQH31"/>
    <mergeCell ref="FQI31:FQJ31"/>
    <mergeCell ref="FQK31:FQL31"/>
    <mergeCell ref="FQM31:FQN31"/>
    <mergeCell ref="FQO31:FQP31"/>
    <mergeCell ref="FQQ31:FQR31"/>
    <mergeCell ref="FPU31:FPV31"/>
    <mergeCell ref="FPW31:FPX31"/>
    <mergeCell ref="FPY31:FPZ31"/>
    <mergeCell ref="FQA31:FQB31"/>
    <mergeCell ref="FQC31:FQD31"/>
    <mergeCell ref="FQE31:FQF31"/>
    <mergeCell ref="FPI31:FPJ31"/>
    <mergeCell ref="FPK31:FPL31"/>
    <mergeCell ref="FPM31:FPN31"/>
    <mergeCell ref="FPO31:FPP31"/>
    <mergeCell ref="FPQ31:FPR31"/>
    <mergeCell ref="FPS31:FPT31"/>
    <mergeCell ref="FOW31:FOX31"/>
    <mergeCell ref="FOY31:FOZ31"/>
    <mergeCell ref="FPA31:FPB31"/>
    <mergeCell ref="FPC31:FPD31"/>
    <mergeCell ref="FPE31:FPF31"/>
    <mergeCell ref="FPG31:FPH31"/>
    <mergeCell ref="FOK31:FOL31"/>
    <mergeCell ref="FOM31:FON31"/>
    <mergeCell ref="FOO31:FOP31"/>
    <mergeCell ref="FOQ31:FOR31"/>
    <mergeCell ref="FOS31:FOT31"/>
    <mergeCell ref="FOU31:FOV31"/>
    <mergeCell ref="FNY31:FNZ31"/>
    <mergeCell ref="FOA31:FOB31"/>
    <mergeCell ref="FOC31:FOD31"/>
    <mergeCell ref="FOE31:FOF31"/>
    <mergeCell ref="FOG31:FOH31"/>
    <mergeCell ref="FOI31:FOJ31"/>
    <mergeCell ref="FTA31:FTB31"/>
    <mergeCell ref="FTC31:FTD31"/>
    <mergeCell ref="FTE31:FTF31"/>
    <mergeCell ref="FTG31:FTH31"/>
    <mergeCell ref="FTI31:FTJ31"/>
    <mergeCell ref="FTK31:FTL31"/>
    <mergeCell ref="FSO31:FSP31"/>
    <mergeCell ref="FSQ31:FSR31"/>
    <mergeCell ref="FSS31:FST31"/>
    <mergeCell ref="FSU31:FSV31"/>
    <mergeCell ref="FSW31:FSX31"/>
    <mergeCell ref="FSY31:FSZ31"/>
    <mergeCell ref="FSC31:FSD31"/>
    <mergeCell ref="FSE31:FSF31"/>
    <mergeCell ref="FSG31:FSH31"/>
    <mergeCell ref="FSI31:FSJ31"/>
    <mergeCell ref="FSK31:FSL31"/>
    <mergeCell ref="FSM31:FSN31"/>
    <mergeCell ref="FRQ31:FRR31"/>
    <mergeCell ref="FRS31:FRT31"/>
    <mergeCell ref="FRU31:FRV31"/>
    <mergeCell ref="FRW31:FRX31"/>
    <mergeCell ref="FRY31:FRZ31"/>
    <mergeCell ref="FSA31:FSB31"/>
    <mergeCell ref="FRE31:FRF31"/>
    <mergeCell ref="FRG31:FRH31"/>
    <mergeCell ref="FRI31:FRJ31"/>
    <mergeCell ref="FRK31:FRL31"/>
    <mergeCell ref="FRM31:FRN31"/>
    <mergeCell ref="FRO31:FRP31"/>
    <mergeCell ref="FQS31:FQT31"/>
    <mergeCell ref="FQU31:FQV31"/>
    <mergeCell ref="FQW31:FQX31"/>
    <mergeCell ref="FQY31:FQZ31"/>
    <mergeCell ref="FRA31:FRB31"/>
    <mergeCell ref="FRC31:FRD31"/>
    <mergeCell ref="FVU31:FVV31"/>
    <mergeCell ref="FVW31:FVX31"/>
    <mergeCell ref="FVY31:FVZ31"/>
    <mergeCell ref="FWA31:FWB31"/>
    <mergeCell ref="FWC31:FWD31"/>
    <mergeCell ref="FWE31:FWF31"/>
    <mergeCell ref="FVI31:FVJ31"/>
    <mergeCell ref="FVK31:FVL31"/>
    <mergeCell ref="FVM31:FVN31"/>
    <mergeCell ref="FVO31:FVP31"/>
    <mergeCell ref="FVQ31:FVR31"/>
    <mergeCell ref="FVS31:FVT31"/>
    <mergeCell ref="FUW31:FUX31"/>
    <mergeCell ref="FUY31:FUZ31"/>
    <mergeCell ref="FVA31:FVB31"/>
    <mergeCell ref="FVC31:FVD31"/>
    <mergeCell ref="FVE31:FVF31"/>
    <mergeCell ref="FVG31:FVH31"/>
    <mergeCell ref="FUK31:FUL31"/>
    <mergeCell ref="FUM31:FUN31"/>
    <mergeCell ref="FUO31:FUP31"/>
    <mergeCell ref="FUQ31:FUR31"/>
    <mergeCell ref="FUS31:FUT31"/>
    <mergeCell ref="FUU31:FUV31"/>
    <mergeCell ref="FTY31:FTZ31"/>
    <mergeCell ref="FUA31:FUB31"/>
    <mergeCell ref="FUC31:FUD31"/>
    <mergeCell ref="FUE31:FUF31"/>
    <mergeCell ref="FUG31:FUH31"/>
    <mergeCell ref="FUI31:FUJ31"/>
    <mergeCell ref="FTM31:FTN31"/>
    <mergeCell ref="FTO31:FTP31"/>
    <mergeCell ref="FTQ31:FTR31"/>
    <mergeCell ref="FTS31:FTT31"/>
    <mergeCell ref="FTU31:FTV31"/>
    <mergeCell ref="FTW31:FTX31"/>
    <mergeCell ref="FYO31:FYP31"/>
    <mergeCell ref="FYQ31:FYR31"/>
    <mergeCell ref="FYS31:FYT31"/>
    <mergeCell ref="FYU31:FYV31"/>
    <mergeCell ref="FYW31:FYX31"/>
    <mergeCell ref="FYY31:FYZ31"/>
    <mergeCell ref="FYC31:FYD31"/>
    <mergeCell ref="FYE31:FYF31"/>
    <mergeCell ref="FYG31:FYH31"/>
    <mergeCell ref="FYI31:FYJ31"/>
    <mergeCell ref="FYK31:FYL31"/>
    <mergeCell ref="FYM31:FYN31"/>
    <mergeCell ref="FXQ31:FXR31"/>
    <mergeCell ref="FXS31:FXT31"/>
    <mergeCell ref="FXU31:FXV31"/>
    <mergeCell ref="FXW31:FXX31"/>
    <mergeCell ref="FXY31:FXZ31"/>
    <mergeCell ref="FYA31:FYB31"/>
    <mergeCell ref="FXE31:FXF31"/>
    <mergeCell ref="FXG31:FXH31"/>
    <mergeCell ref="FXI31:FXJ31"/>
    <mergeCell ref="FXK31:FXL31"/>
    <mergeCell ref="FXM31:FXN31"/>
    <mergeCell ref="FXO31:FXP31"/>
    <mergeCell ref="FWS31:FWT31"/>
    <mergeCell ref="FWU31:FWV31"/>
    <mergeCell ref="FWW31:FWX31"/>
    <mergeCell ref="FWY31:FWZ31"/>
    <mergeCell ref="FXA31:FXB31"/>
    <mergeCell ref="FXC31:FXD31"/>
    <mergeCell ref="FWG31:FWH31"/>
    <mergeCell ref="FWI31:FWJ31"/>
    <mergeCell ref="FWK31:FWL31"/>
    <mergeCell ref="FWM31:FWN31"/>
    <mergeCell ref="FWO31:FWP31"/>
    <mergeCell ref="FWQ31:FWR31"/>
    <mergeCell ref="GBI31:GBJ31"/>
    <mergeCell ref="GBK31:GBL31"/>
    <mergeCell ref="GBM31:GBN31"/>
    <mergeCell ref="GBO31:GBP31"/>
    <mergeCell ref="GBQ31:GBR31"/>
    <mergeCell ref="GBS31:GBT31"/>
    <mergeCell ref="GAW31:GAX31"/>
    <mergeCell ref="GAY31:GAZ31"/>
    <mergeCell ref="GBA31:GBB31"/>
    <mergeCell ref="GBC31:GBD31"/>
    <mergeCell ref="GBE31:GBF31"/>
    <mergeCell ref="GBG31:GBH31"/>
    <mergeCell ref="GAK31:GAL31"/>
    <mergeCell ref="GAM31:GAN31"/>
    <mergeCell ref="GAO31:GAP31"/>
    <mergeCell ref="GAQ31:GAR31"/>
    <mergeCell ref="GAS31:GAT31"/>
    <mergeCell ref="GAU31:GAV31"/>
    <mergeCell ref="FZY31:FZZ31"/>
    <mergeCell ref="GAA31:GAB31"/>
    <mergeCell ref="GAC31:GAD31"/>
    <mergeCell ref="GAE31:GAF31"/>
    <mergeCell ref="GAG31:GAH31"/>
    <mergeCell ref="GAI31:GAJ31"/>
    <mergeCell ref="FZM31:FZN31"/>
    <mergeCell ref="FZO31:FZP31"/>
    <mergeCell ref="FZQ31:FZR31"/>
    <mergeCell ref="FZS31:FZT31"/>
    <mergeCell ref="FZU31:FZV31"/>
    <mergeCell ref="FZW31:FZX31"/>
    <mergeCell ref="FZA31:FZB31"/>
    <mergeCell ref="FZC31:FZD31"/>
    <mergeCell ref="FZE31:FZF31"/>
    <mergeCell ref="FZG31:FZH31"/>
    <mergeCell ref="FZI31:FZJ31"/>
    <mergeCell ref="FZK31:FZL31"/>
    <mergeCell ref="GEC31:GED31"/>
    <mergeCell ref="GEE31:GEF31"/>
    <mergeCell ref="GEG31:GEH31"/>
    <mergeCell ref="GEI31:GEJ31"/>
    <mergeCell ref="GEK31:GEL31"/>
    <mergeCell ref="GEM31:GEN31"/>
    <mergeCell ref="GDQ31:GDR31"/>
    <mergeCell ref="GDS31:GDT31"/>
    <mergeCell ref="GDU31:GDV31"/>
    <mergeCell ref="GDW31:GDX31"/>
    <mergeCell ref="GDY31:GDZ31"/>
    <mergeCell ref="GEA31:GEB31"/>
    <mergeCell ref="GDE31:GDF31"/>
    <mergeCell ref="GDG31:GDH31"/>
    <mergeCell ref="GDI31:GDJ31"/>
    <mergeCell ref="GDK31:GDL31"/>
    <mergeCell ref="GDM31:GDN31"/>
    <mergeCell ref="GDO31:GDP31"/>
    <mergeCell ref="GCS31:GCT31"/>
    <mergeCell ref="GCU31:GCV31"/>
    <mergeCell ref="GCW31:GCX31"/>
    <mergeCell ref="GCY31:GCZ31"/>
    <mergeCell ref="GDA31:GDB31"/>
    <mergeCell ref="GDC31:GDD31"/>
    <mergeCell ref="GCG31:GCH31"/>
    <mergeCell ref="GCI31:GCJ31"/>
    <mergeCell ref="GCK31:GCL31"/>
    <mergeCell ref="GCM31:GCN31"/>
    <mergeCell ref="GCO31:GCP31"/>
    <mergeCell ref="GCQ31:GCR31"/>
    <mergeCell ref="GBU31:GBV31"/>
    <mergeCell ref="GBW31:GBX31"/>
    <mergeCell ref="GBY31:GBZ31"/>
    <mergeCell ref="GCA31:GCB31"/>
    <mergeCell ref="GCC31:GCD31"/>
    <mergeCell ref="GCE31:GCF31"/>
    <mergeCell ref="GGW31:GGX31"/>
    <mergeCell ref="GGY31:GGZ31"/>
    <mergeCell ref="GHA31:GHB31"/>
    <mergeCell ref="GHC31:GHD31"/>
    <mergeCell ref="GHE31:GHF31"/>
    <mergeCell ref="GHG31:GHH31"/>
    <mergeCell ref="GGK31:GGL31"/>
    <mergeCell ref="GGM31:GGN31"/>
    <mergeCell ref="GGO31:GGP31"/>
    <mergeCell ref="GGQ31:GGR31"/>
    <mergeCell ref="GGS31:GGT31"/>
    <mergeCell ref="GGU31:GGV31"/>
    <mergeCell ref="GFY31:GFZ31"/>
    <mergeCell ref="GGA31:GGB31"/>
    <mergeCell ref="GGC31:GGD31"/>
    <mergeCell ref="GGE31:GGF31"/>
    <mergeCell ref="GGG31:GGH31"/>
    <mergeCell ref="GGI31:GGJ31"/>
    <mergeCell ref="GFM31:GFN31"/>
    <mergeCell ref="GFO31:GFP31"/>
    <mergeCell ref="GFQ31:GFR31"/>
    <mergeCell ref="GFS31:GFT31"/>
    <mergeCell ref="GFU31:GFV31"/>
    <mergeCell ref="GFW31:GFX31"/>
    <mergeCell ref="GFA31:GFB31"/>
    <mergeCell ref="GFC31:GFD31"/>
    <mergeCell ref="GFE31:GFF31"/>
    <mergeCell ref="GFG31:GFH31"/>
    <mergeCell ref="GFI31:GFJ31"/>
    <mergeCell ref="GFK31:GFL31"/>
    <mergeCell ref="GEO31:GEP31"/>
    <mergeCell ref="GEQ31:GER31"/>
    <mergeCell ref="GES31:GET31"/>
    <mergeCell ref="GEU31:GEV31"/>
    <mergeCell ref="GEW31:GEX31"/>
    <mergeCell ref="GEY31:GEZ31"/>
    <mergeCell ref="GJQ31:GJR31"/>
    <mergeCell ref="GJS31:GJT31"/>
    <mergeCell ref="GJU31:GJV31"/>
    <mergeCell ref="GJW31:GJX31"/>
    <mergeCell ref="GJY31:GJZ31"/>
    <mergeCell ref="GKA31:GKB31"/>
    <mergeCell ref="GJE31:GJF31"/>
    <mergeCell ref="GJG31:GJH31"/>
    <mergeCell ref="GJI31:GJJ31"/>
    <mergeCell ref="GJK31:GJL31"/>
    <mergeCell ref="GJM31:GJN31"/>
    <mergeCell ref="GJO31:GJP31"/>
    <mergeCell ref="GIS31:GIT31"/>
    <mergeCell ref="GIU31:GIV31"/>
    <mergeCell ref="GIW31:GIX31"/>
    <mergeCell ref="GIY31:GIZ31"/>
    <mergeCell ref="GJA31:GJB31"/>
    <mergeCell ref="GJC31:GJD31"/>
    <mergeCell ref="GIG31:GIH31"/>
    <mergeCell ref="GII31:GIJ31"/>
    <mergeCell ref="GIK31:GIL31"/>
    <mergeCell ref="GIM31:GIN31"/>
    <mergeCell ref="GIO31:GIP31"/>
    <mergeCell ref="GIQ31:GIR31"/>
    <mergeCell ref="GHU31:GHV31"/>
    <mergeCell ref="GHW31:GHX31"/>
    <mergeCell ref="GHY31:GHZ31"/>
    <mergeCell ref="GIA31:GIB31"/>
    <mergeCell ref="GIC31:GID31"/>
    <mergeCell ref="GIE31:GIF31"/>
    <mergeCell ref="GHI31:GHJ31"/>
    <mergeCell ref="GHK31:GHL31"/>
    <mergeCell ref="GHM31:GHN31"/>
    <mergeCell ref="GHO31:GHP31"/>
    <mergeCell ref="GHQ31:GHR31"/>
    <mergeCell ref="GHS31:GHT31"/>
    <mergeCell ref="GMK31:GML31"/>
    <mergeCell ref="GMM31:GMN31"/>
    <mergeCell ref="GMO31:GMP31"/>
    <mergeCell ref="GMQ31:GMR31"/>
    <mergeCell ref="GMS31:GMT31"/>
    <mergeCell ref="GMU31:GMV31"/>
    <mergeCell ref="GLY31:GLZ31"/>
    <mergeCell ref="GMA31:GMB31"/>
    <mergeCell ref="GMC31:GMD31"/>
    <mergeCell ref="GME31:GMF31"/>
    <mergeCell ref="GMG31:GMH31"/>
    <mergeCell ref="GMI31:GMJ31"/>
    <mergeCell ref="GLM31:GLN31"/>
    <mergeCell ref="GLO31:GLP31"/>
    <mergeCell ref="GLQ31:GLR31"/>
    <mergeCell ref="GLS31:GLT31"/>
    <mergeCell ref="GLU31:GLV31"/>
    <mergeCell ref="GLW31:GLX31"/>
    <mergeCell ref="GLA31:GLB31"/>
    <mergeCell ref="GLC31:GLD31"/>
    <mergeCell ref="GLE31:GLF31"/>
    <mergeCell ref="GLG31:GLH31"/>
    <mergeCell ref="GLI31:GLJ31"/>
    <mergeCell ref="GLK31:GLL31"/>
    <mergeCell ref="GKO31:GKP31"/>
    <mergeCell ref="GKQ31:GKR31"/>
    <mergeCell ref="GKS31:GKT31"/>
    <mergeCell ref="GKU31:GKV31"/>
    <mergeCell ref="GKW31:GKX31"/>
    <mergeCell ref="GKY31:GKZ31"/>
    <mergeCell ref="GKC31:GKD31"/>
    <mergeCell ref="GKE31:GKF31"/>
    <mergeCell ref="GKG31:GKH31"/>
    <mergeCell ref="GKI31:GKJ31"/>
    <mergeCell ref="GKK31:GKL31"/>
    <mergeCell ref="GKM31:GKN31"/>
    <mergeCell ref="GPE31:GPF31"/>
    <mergeCell ref="GPG31:GPH31"/>
    <mergeCell ref="GPI31:GPJ31"/>
    <mergeCell ref="GPK31:GPL31"/>
    <mergeCell ref="GPM31:GPN31"/>
    <mergeCell ref="GPO31:GPP31"/>
    <mergeCell ref="GOS31:GOT31"/>
    <mergeCell ref="GOU31:GOV31"/>
    <mergeCell ref="GOW31:GOX31"/>
    <mergeCell ref="GOY31:GOZ31"/>
    <mergeCell ref="GPA31:GPB31"/>
    <mergeCell ref="GPC31:GPD31"/>
    <mergeCell ref="GOG31:GOH31"/>
    <mergeCell ref="GOI31:GOJ31"/>
    <mergeCell ref="GOK31:GOL31"/>
    <mergeCell ref="GOM31:GON31"/>
    <mergeCell ref="GOO31:GOP31"/>
    <mergeCell ref="GOQ31:GOR31"/>
    <mergeCell ref="GNU31:GNV31"/>
    <mergeCell ref="GNW31:GNX31"/>
    <mergeCell ref="GNY31:GNZ31"/>
    <mergeCell ref="GOA31:GOB31"/>
    <mergeCell ref="GOC31:GOD31"/>
    <mergeCell ref="GOE31:GOF31"/>
    <mergeCell ref="GNI31:GNJ31"/>
    <mergeCell ref="GNK31:GNL31"/>
    <mergeCell ref="GNM31:GNN31"/>
    <mergeCell ref="GNO31:GNP31"/>
    <mergeCell ref="GNQ31:GNR31"/>
    <mergeCell ref="GNS31:GNT31"/>
    <mergeCell ref="GMW31:GMX31"/>
    <mergeCell ref="GMY31:GMZ31"/>
    <mergeCell ref="GNA31:GNB31"/>
    <mergeCell ref="GNC31:GND31"/>
    <mergeCell ref="GNE31:GNF31"/>
    <mergeCell ref="GNG31:GNH31"/>
    <mergeCell ref="GRY31:GRZ31"/>
    <mergeCell ref="GSA31:GSB31"/>
    <mergeCell ref="GSC31:GSD31"/>
    <mergeCell ref="GSE31:GSF31"/>
    <mergeCell ref="GSG31:GSH31"/>
    <mergeCell ref="GSI31:GSJ31"/>
    <mergeCell ref="GRM31:GRN31"/>
    <mergeCell ref="GRO31:GRP31"/>
    <mergeCell ref="GRQ31:GRR31"/>
    <mergeCell ref="GRS31:GRT31"/>
    <mergeCell ref="GRU31:GRV31"/>
    <mergeCell ref="GRW31:GRX31"/>
    <mergeCell ref="GRA31:GRB31"/>
    <mergeCell ref="GRC31:GRD31"/>
    <mergeCell ref="GRE31:GRF31"/>
    <mergeCell ref="GRG31:GRH31"/>
    <mergeCell ref="GRI31:GRJ31"/>
    <mergeCell ref="GRK31:GRL31"/>
    <mergeCell ref="GQO31:GQP31"/>
    <mergeCell ref="GQQ31:GQR31"/>
    <mergeCell ref="GQS31:GQT31"/>
    <mergeCell ref="GQU31:GQV31"/>
    <mergeCell ref="GQW31:GQX31"/>
    <mergeCell ref="GQY31:GQZ31"/>
    <mergeCell ref="GQC31:GQD31"/>
    <mergeCell ref="GQE31:GQF31"/>
    <mergeCell ref="GQG31:GQH31"/>
    <mergeCell ref="GQI31:GQJ31"/>
    <mergeCell ref="GQK31:GQL31"/>
    <mergeCell ref="GQM31:GQN31"/>
    <mergeCell ref="GPQ31:GPR31"/>
    <mergeCell ref="GPS31:GPT31"/>
    <mergeCell ref="GPU31:GPV31"/>
    <mergeCell ref="GPW31:GPX31"/>
    <mergeCell ref="GPY31:GPZ31"/>
    <mergeCell ref="GQA31:GQB31"/>
    <mergeCell ref="GUS31:GUT31"/>
    <mergeCell ref="GUU31:GUV31"/>
    <mergeCell ref="GUW31:GUX31"/>
    <mergeCell ref="GUY31:GUZ31"/>
    <mergeCell ref="GVA31:GVB31"/>
    <mergeCell ref="GVC31:GVD31"/>
    <mergeCell ref="GUG31:GUH31"/>
    <mergeCell ref="GUI31:GUJ31"/>
    <mergeCell ref="GUK31:GUL31"/>
    <mergeCell ref="GUM31:GUN31"/>
    <mergeCell ref="GUO31:GUP31"/>
    <mergeCell ref="GUQ31:GUR31"/>
    <mergeCell ref="GTU31:GTV31"/>
    <mergeCell ref="GTW31:GTX31"/>
    <mergeCell ref="GTY31:GTZ31"/>
    <mergeCell ref="GUA31:GUB31"/>
    <mergeCell ref="GUC31:GUD31"/>
    <mergeCell ref="GUE31:GUF31"/>
    <mergeCell ref="GTI31:GTJ31"/>
    <mergeCell ref="GTK31:GTL31"/>
    <mergeCell ref="GTM31:GTN31"/>
    <mergeCell ref="GTO31:GTP31"/>
    <mergeCell ref="GTQ31:GTR31"/>
    <mergeCell ref="GTS31:GTT31"/>
    <mergeCell ref="GSW31:GSX31"/>
    <mergeCell ref="GSY31:GSZ31"/>
    <mergeCell ref="GTA31:GTB31"/>
    <mergeCell ref="GTC31:GTD31"/>
    <mergeCell ref="GTE31:GTF31"/>
    <mergeCell ref="GTG31:GTH31"/>
    <mergeCell ref="GSK31:GSL31"/>
    <mergeCell ref="GSM31:GSN31"/>
    <mergeCell ref="GSO31:GSP31"/>
    <mergeCell ref="GSQ31:GSR31"/>
    <mergeCell ref="GSS31:GST31"/>
    <mergeCell ref="GSU31:GSV31"/>
    <mergeCell ref="GXM31:GXN31"/>
    <mergeCell ref="GXO31:GXP31"/>
    <mergeCell ref="GXQ31:GXR31"/>
    <mergeCell ref="GXS31:GXT31"/>
    <mergeCell ref="GXU31:GXV31"/>
    <mergeCell ref="GXW31:GXX31"/>
    <mergeCell ref="GXA31:GXB31"/>
    <mergeCell ref="GXC31:GXD31"/>
    <mergeCell ref="GXE31:GXF31"/>
    <mergeCell ref="GXG31:GXH31"/>
    <mergeCell ref="GXI31:GXJ31"/>
    <mergeCell ref="GXK31:GXL31"/>
    <mergeCell ref="GWO31:GWP31"/>
    <mergeCell ref="GWQ31:GWR31"/>
    <mergeCell ref="GWS31:GWT31"/>
    <mergeCell ref="GWU31:GWV31"/>
    <mergeCell ref="GWW31:GWX31"/>
    <mergeCell ref="GWY31:GWZ31"/>
    <mergeCell ref="GWC31:GWD31"/>
    <mergeCell ref="GWE31:GWF31"/>
    <mergeCell ref="GWG31:GWH31"/>
    <mergeCell ref="GWI31:GWJ31"/>
    <mergeCell ref="GWK31:GWL31"/>
    <mergeCell ref="GWM31:GWN31"/>
    <mergeCell ref="GVQ31:GVR31"/>
    <mergeCell ref="GVS31:GVT31"/>
    <mergeCell ref="GVU31:GVV31"/>
    <mergeCell ref="GVW31:GVX31"/>
    <mergeCell ref="GVY31:GVZ31"/>
    <mergeCell ref="GWA31:GWB31"/>
    <mergeCell ref="GVE31:GVF31"/>
    <mergeCell ref="GVG31:GVH31"/>
    <mergeCell ref="GVI31:GVJ31"/>
    <mergeCell ref="GVK31:GVL31"/>
    <mergeCell ref="GVM31:GVN31"/>
    <mergeCell ref="GVO31:GVP31"/>
    <mergeCell ref="HAG31:HAH31"/>
    <mergeCell ref="HAI31:HAJ31"/>
    <mergeCell ref="HAK31:HAL31"/>
    <mergeCell ref="HAM31:HAN31"/>
    <mergeCell ref="HAO31:HAP31"/>
    <mergeCell ref="HAQ31:HAR31"/>
    <mergeCell ref="GZU31:GZV31"/>
    <mergeCell ref="GZW31:GZX31"/>
    <mergeCell ref="GZY31:GZZ31"/>
    <mergeCell ref="HAA31:HAB31"/>
    <mergeCell ref="HAC31:HAD31"/>
    <mergeCell ref="HAE31:HAF31"/>
    <mergeCell ref="GZI31:GZJ31"/>
    <mergeCell ref="GZK31:GZL31"/>
    <mergeCell ref="GZM31:GZN31"/>
    <mergeCell ref="GZO31:GZP31"/>
    <mergeCell ref="GZQ31:GZR31"/>
    <mergeCell ref="GZS31:GZT31"/>
    <mergeCell ref="GYW31:GYX31"/>
    <mergeCell ref="GYY31:GYZ31"/>
    <mergeCell ref="GZA31:GZB31"/>
    <mergeCell ref="GZC31:GZD31"/>
    <mergeCell ref="GZE31:GZF31"/>
    <mergeCell ref="GZG31:GZH31"/>
    <mergeCell ref="GYK31:GYL31"/>
    <mergeCell ref="GYM31:GYN31"/>
    <mergeCell ref="GYO31:GYP31"/>
    <mergeCell ref="GYQ31:GYR31"/>
    <mergeCell ref="GYS31:GYT31"/>
    <mergeCell ref="GYU31:GYV31"/>
    <mergeCell ref="GXY31:GXZ31"/>
    <mergeCell ref="GYA31:GYB31"/>
    <mergeCell ref="GYC31:GYD31"/>
    <mergeCell ref="GYE31:GYF31"/>
    <mergeCell ref="GYG31:GYH31"/>
    <mergeCell ref="GYI31:GYJ31"/>
    <mergeCell ref="HDA31:HDB31"/>
    <mergeCell ref="HDC31:HDD31"/>
    <mergeCell ref="HDE31:HDF31"/>
    <mergeCell ref="HDG31:HDH31"/>
    <mergeCell ref="HDI31:HDJ31"/>
    <mergeCell ref="HDK31:HDL31"/>
    <mergeCell ref="HCO31:HCP31"/>
    <mergeCell ref="HCQ31:HCR31"/>
    <mergeCell ref="HCS31:HCT31"/>
    <mergeCell ref="HCU31:HCV31"/>
    <mergeCell ref="HCW31:HCX31"/>
    <mergeCell ref="HCY31:HCZ31"/>
    <mergeCell ref="HCC31:HCD31"/>
    <mergeCell ref="HCE31:HCF31"/>
    <mergeCell ref="HCG31:HCH31"/>
    <mergeCell ref="HCI31:HCJ31"/>
    <mergeCell ref="HCK31:HCL31"/>
    <mergeCell ref="HCM31:HCN31"/>
    <mergeCell ref="HBQ31:HBR31"/>
    <mergeCell ref="HBS31:HBT31"/>
    <mergeCell ref="HBU31:HBV31"/>
    <mergeCell ref="HBW31:HBX31"/>
    <mergeCell ref="HBY31:HBZ31"/>
    <mergeCell ref="HCA31:HCB31"/>
    <mergeCell ref="HBE31:HBF31"/>
    <mergeCell ref="HBG31:HBH31"/>
    <mergeCell ref="HBI31:HBJ31"/>
    <mergeCell ref="HBK31:HBL31"/>
    <mergeCell ref="HBM31:HBN31"/>
    <mergeCell ref="HBO31:HBP31"/>
    <mergeCell ref="HAS31:HAT31"/>
    <mergeCell ref="HAU31:HAV31"/>
    <mergeCell ref="HAW31:HAX31"/>
    <mergeCell ref="HAY31:HAZ31"/>
    <mergeCell ref="HBA31:HBB31"/>
    <mergeCell ref="HBC31:HBD31"/>
    <mergeCell ref="HFU31:HFV31"/>
    <mergeCell ref="HFW31:HFX31"/>
    <mergeCell ref="HFY31:HFZ31"/>
    <mergeCell ref="HGA31:HGB31"/>
    <mergeCell ref="HGC31:HGD31"/>
    <mergeCell ref="HGE31:HGF31"/>
    <mergeCell ref="HFI31:HFJ31"/>
    <mergeCell ref="HFK31:HFL31"/>
    <mergeCell ref="HFM31:HFN31"/>
    <mergeCell ref="HFO31:HFP31"/>
    <mergeCell ref="HFQ31:HFR31"/>
    <mergeCell ref="HFS31:HFT31"/>
    <mergeCell ref="HEW31:HEX31"/>
    <mergeCell ref="HEY31:HEZ31"/>
    <mergeCell ref="HFA31:HFB31"/>
    <mergeCell ref="HFC31:HFD31"/>
    <mergeCell ref="HFE31:HFF31"/>
    <mergeCell ref="HFG31:HFH31"/>
    <mergeCell ref="HEK31:HEL31"/>
    <mergeCell ref="HEM31:HEN31"/>
    <mergeCell ref="HEO31:HEP31"/>
    <mergeCell ref="HEQ31:HER31"/>
    <mergeCell ref="HES31:HET31"/>
    <mergeCell ref="HEU31:HEV31"/>
    <mergeCell ref="HDY31:HDZ31"/>
    <mergeCell ref="HEA31:HEB31"/>
    <mergeCell ref="HEC31:HED31"/>
    <mergeCell ref="HEE31:HEF31"/>
    <mergeCell ref="HEG31:HEH31"/>
    <mergeCell ref="HEI31:HEJ31"/>
    <mergeCell ref="HDM31:HDN31"/>
    <mergeCell ref="HDO31:HDP31"/>
    <mergeCell ref="HDQ31:HDR31"/>
    <mergeCell ref="HDS31:HDT31"/>
    <mergeCell ref="HDU31:HDV31"/>
    <mergeCell ref="HDW31:HDX31"/>
    <mergeCell ref="HIO31:HIP31"/>
    <mergeCell ref="HIQ31:HIR31"/>
    <mergeCell ref="HIS31:HIT31"/>
    <mergeCell ref="HIU31:HIV31"/>
    <mergeCell ref="HIW31:HIX31"/>
    <mergeCell ref="HIY31:HIZ31"/>
    <mergeCell ref="HIC31:HID31"/>
    <mergeCell ref="HIE31:HIF31"/>
    <mergeCell ref="HIG31:HIH31"/>
    <mergeCell ref="HII31:HIJ31"/>
    <mergeCell ref="HIK31:HIL31"/>
    <mergeCell ref="HIM31:HIN31"/>
    <mergeCell ref="HHQ31:HHR31"/>
    <mergeCell ref="HHS31:HHT31"/>
    <mergeCell ref="HHU31:HHV31"/>
    <mergeCell ref="HHW31:HHX31"/>
    <mergeCell ref="HHY31:HHZ31"/>
    <mergeCell ref="HIA31:HIB31"/>
    <mergeCell ref="HHE31:HHF31"/>
    <mergeCell ref="HHG31:HHH31"/>
    <mergeCell ref="HHI31:HHJ31"/>
    <mergeCell ref="HHK31:HHL31"/>
    <mergeCell ref="HHM31:HHN31"/>
    <mergeCell ref="HHO31:HHP31"/>
    <mergeCell ref="HGS31:HGT31"/>
    <mergeCell ref="HGU31:HGV31"/>
    <mergeCell ref="HGW31:HGX31"/>
    <mergeCell ref="HGY31:HGZ31"/>
    <mergeCell ref="HHA31:HHB31"/>
    <mergeCell ref="HHC31:HHD31"/>
    <mergeCell ref="HGG31:HGH31"/>
    <mergeCell ref="HGI31:HGJ31"/>
    <mergeCell ref="HGK31:HGL31"/>
    <mergeCell ref="HGM31:HGN31"/>
    <mergeCell ref="HGO31:HGP31"/>
    <mergeCell ref="HGQ31:HGR31"/>
    <mergeCell ref="HLI31:HLJ31"/>
    <mergeCell ref="HLK31:HLL31"/>
    <mergeCell ref="HLM31:HLN31"/>
    <mergeCell ref="HLO31:HLP31"/>
    <mergeCell ref="HLQ31:HLR31"/>
    <mergeCell ref="HLS31:HLT31"/>
    <mergeCell ref="HKW31:HKX31"/>
    <mergeCell ref="HKY31:HKZ31"/>
    <mergeCell ref="HLA31:HLB31"/>
    <mergeCell ref="HLC31:HLD31"/>
    <mergeCell ref="HLE31:HLF31"/>
    <mergeCell ref="HLG31:HLH31"/>
    <mergeCell ref="HKK31:HKL31"/>
    <mergeCell ref="HKM31:HKN31"/>
    <mergeCell ref="HKO31:HKP31"/>
    <mergeCell ref="HKQ31:HKR31"/>
    <mergeCell ref="HKS31:HKT31"/>
    <mergeCell ref="HKU31:HKV31"/>
    <mergeCell ref="HJY31:HJZ31"/>
    <mergeCell ref="HKA31:HKB31"/>
    <mergeCell ref="HKC31:HKD31"/>
    <mergeCell ref="HKE31:HKF31"/>
    <mergeCell ref="HKG31:HKH31"/>
    <mergeCell ref="HKI31:HKJ31"/>
    <mergeCell ref="HJM31:HJN31"/>
    <mergeCell ref="HJO31:HJP31"/>
    <mergeCell ref="HJQ31:HJR31"/>
    <mergeCell ref="HJS31:HJT31"/>
    <mergeCell ref="HJU31:HJV31"/>
    <mergeCell ref="HJW31:HJX31"/>
    <mergeCell ref="HJA31:HJB31"/>
    <mergeCell ref="HJC31:HJD31"/>
    <mergeCell ref="HJE31:HJF31"/>
    <mergeCell ref="HJG31:HJH31"/>
    <mergeCell ref="HJI31:HJJ31"/>
    <mergeCell ref="HJK31:HJL31"/>
    <mergeCell ref="HOC31:HOD31"/>
    <mergeCell ref="HOE31:HOF31"/>
    <mergeCell ref="HOG31:HOH31"/>
    <mergeCell ref="HOI31:HOJ31"/>
    <mergeCell ref="HOK31:HOL31"/>
    <mergeCell ref="HOM31:HON31"/>
    <mergeCell ref="HNQ31:HNR31"/>
    <mergeCell ref="HNS31:HNT31"/>
    <mergeCell ref="HNU31:HNV31"/>
    <mergeCell ref="HNW31:HNX31"/>
    <mergeCell ref="HNY31:HNZ31"/>
    <mergeCell ref="HOA31:HOB31"/>
    <mergeCell ref="HNE31:HNF31"/>
    <mergeCell ref="HNG31:HNH31"/>
    <mergeCell ref="HNI31:HNJ31"/>
    <mergeCell ref="HNK31:HNL31"/>
    <mergeCell ref="HNM31:HNN31"/>
    <mergeCell ref="HNO31:HNP31"/>
    <mergeCell ref="HMS31:HMT31"/>
    <mergeCell ref="HMU31:HMV31"/>
    <mergeCell ref="HMW31:HMX31"/>
    <mergeCell ref="HMY31:HMZ31"/>
    <mergeCell ref="HNA31:HNB31"/>
    <mergeCell ref="HNC31:HND31"/>
    <mergeCell ref="HMG31:HMH31"/>
    <mergeCell ref="HMI31:HMJ31"/>
    <mergeCell ref="HMK31:HML31"/>
    <mergeCell ref="HMM31:HMN31"/>
    <mergeCell ref="HMO31:HMP31"/>
    <mergeCell ref="HMQ31:HMR31"/>
    <mergeCell ref="HLU31:HLV31"/>
    <mergeCell ref="HLW31:HLX31"/>
    <mergeCell ref="HLY31:HLZ31"/>
    <mergeCell ref="HMA31:HMB31"/>
    <mergeCell ref="HMC31:HMD31"/>
    <mergeCell ref="HME31:HMF31"/>
    <mergeCell ref="HQW31:HQX31"/>
    <mergeCell ref="HQY31:HQZ31"/>
    <mergeCell ref="HRA31:HRB31"/>
    <mergeCell ref="HRC31:HRD31"/>
    <mergeCell ref="HRE31:HRF31"/>
    <mergeCell ref="HRG31:HRH31"/>
    <mergeCell ref="HQK31:HQL31"/>
    <mergeCell ref="HQM31:HQN31"/>
    <mergeCell ref="HQO31:HQP31"/>
    <mergeCell ref="HQQ31:HQR31"/>
    <mergeCell ref="HQS31:HQT31"/>
    <mergeCell ref="HQU31:HQV31"/>
    <mergeCell ref="HPY31:HPZ31"/>
    <mergeCell ref="HQA31:HQB31"/>
    <mergeCell ref="HQC31:HQD31"/>
    <mergeCell ref="HQE31:HQF31"/>
    <mergeCell ref="HQG31:HQH31"/>
    <mergeCell ref="HQI31:HQJ31"/>
    <mergeCell ref="HPM31:HPN31"/>
    <mergeCell ref="HPO31:HPP31"/>
    <mergeCell ref="HPQ31:HPR31"/>
    <mergeCell ref="HPS31:HPT31"/>
    <mergeCell ref="HPU31:HPV31"/>
    <mergeCell ref="HPW31:HPX31"/>
    <mergeCell ref="HPA31:HPB31"/>
    <mergeCell ref="HPC31:HPD31"/>
    <mergeCell ref="HPE31:HPF31"/>
    <mergeCell ref="HPG31:HPH31"/>
    <mergeCell ref="HPI31:HPJ31"/>
    <mergeCell ref="HPK31:HPL31"/>
    <mergeCell ref="HOO31:HOP31"/>
    <mergeCell ref="HOQ31:HOR31"/>
    <mergeCell ref="HOS31:HOT31"/>
    <mergeCell ref="HOU31:HOV31"/>
    <mergeCell ref="HOW31:HOX31"/>
    <mergeCell ref="HOY31:HOZ31"/>
    <mergeCell ref="HTQ31:HTR31"/>
    <mergeCell ref="HTS31:HTT31"/>
    <mergeCell ref="HTU31:HTV31"/>
    <mergeCell ref="HTW31:HTX31"/>
    <mergeCell ref="HTY31:HTZ31"/>
    <mergeCell ref="HUA31:HUB31"/>
    <mergeCell ref="HTE31:HTF31"/>
    <mergeCell ref="HTG31:HTH31"/>
    <mergeCell ref="HTI31:HTJ31"/>
    <mergeCell ref="HTK31:HTL31"/>
    <mergeCell ref="HTM31:HTN31"/>
    <mergeCell ref="HTO31:HTP31"/>
    <mergeCell ref="HSS31:HST31"/>
    <mergeCell ref="HSU31:HSV31"/>
    <mergeCell ref="HSW31:HSX31"/>
    <mergeCell ref="HSY31:HSZ31"/>
    <mergeCell ref="HTA31:HTB31"/>
    <mergeCell ref="HTC31:HTD31"/>
    <mergeCell ref="HSG31:HSH31"/>
    <mergeCell ref="HSI31:HSJ31"/>
    <mergeCell ref="HSK31:HSL31"/>
    <mergeCell ref="HSM31:HSN31"/>
    <mergeCell ref="HSO31:HSP31"/>
    <mergeCell ref="HSQ31:HSR31"/>
    <mergeCell ref="HRU31:HRV31"/>
    <mergeCell ref="HRW31:HRX31"/>
    <mergeCell ref="HRY31:HRZ31"/>
    <mergeCell ref="HSA31:HSB31"/>
    <mergeCell ref="HSC31:HSD31"/>
    <mergeCell ref="HSE31:HSF31"/>
    <mergeCell ref="HRI31:HRJ31"/>
    <mergeCell ref="HRK31:HRL31"/>
    <mergeCell ref="HRM31:HRN31"/>
    <mergeCell ref="HRO31:HRP31"/>
    <mergeCell ref="HRQ31:HRR31"/>
    <mergeCell ref="HRS31:HRT31"/>
    <mergeCell ref="HWK31:HWL31"/>
    <mergeCell ref="HWM31:HWN31"/>
    <mergeCell ref="HWO31:HWP31"/>
    <mergeCell ref="HWQ31:HWR31"/>
    <mergeCell ref="HWS31:HWT31"/>
    <mergeCell ref="HWU31:HWV31"/>
    <mergeCell ref="HVY31:HVZ31"/>
    <mergeCell ref="HWA31:HWB31"/>
    <mergeCell ref="HWC31:HWD31"/>
    <mergeCell ref="HWE31:HWF31"/>
    <mergeCell ref="HWG31:HWH31"/>
    <mergeCell ref="HWI31:HWJ31"/>
    <mergeCell ref="HVM31:HVN31"/>
    <mergeCell ref="HVO31:HVP31"/>
    <mergeCell ref="HVQ31:HVR31"/>
    <mergeCell ref="HVS31:HVT31"/>
    <mergeCell ref="HVU31:HVV31"/>
    <mergeCell ref="HVW31:HVX31"/>
    <mergeCell ref="HVA31:HVB31"/>
    <mergeCell ref="HVC31:HVD31"/>
    <mergeCell ref="HVE31:HVF31"/>
    <mergeCell ref="HVG31:HVH31"/>
    <mergeCell ref="HVI31:HVJ31"/>
    <mergeCell ref="HVK31:HVL31"/>
    <mergeCell ref="HUO31:HUP31"/>
    <mergeCell ref="HUQ31:HUR31"/>
    <mergeCell ref="HUS31:HUT31"/>
    <mergeCell ref="HUU31:HUV31"/>
    <mergeCell ref="HUW31:HUX31"/>
    <mergeCell ref="HUY31:HUZ31"/>
    <mergeCell ref="HUC31:HUD31"/>
    <mergeCell ref="HUE31:HUF31"/>
    <mergeCell ref="HUG31:HUH31"/>
    <mergeCell ref="HUI31:HUJ31"/>
    <mergeCell ref="HUK31:HUL31"/>
    <mergeCell ref="HUM31:HUN31"/>
    <mergeCell ref="HZE31:HZF31"/>
    <mergeCell ref="HZG31:HZH31"/>
    <mergeCell ref="HZI31:HZJ31"/>
    <mergeCell ref="HZK31:HZL31"/>
    <mergeCell ref="HZM31:HZN31"/>
    <mergeCell ref="HZO31:HZP31"/>
    <mergeCell ref="HYS31:HYT31"/>
    <mergeCell ref="HYU31:HYV31"/>
    <mergeCell ref="HYW31:HYX31"/>
    <mergeCell ref="HYY31:HYZ31"/>
    <mergeCell ref="HZA31:HZB31"/>
    <mergeCell ref="HZC31:HZD31"/>
    <mergeCell ref="HYG31:HYH31"/>
    <mergeCell ref="HYI31:HYJ31"/>
    <mergeCell ref="HYK31:HYL31"/>
    <mergeCell ref="HYM31:HYN31"/>
    <mergeCell ref="HYO31:HYP31"/>
    <mergeCell ref="HYQ31:HYR31"/>
    <mergeCell ref="HXU31:HXV31"/>
    <mergeCell ref="HXW31:HXX31"/>
    <mergeCell ref="HXY31:HXZ31"/>
    <mergeCell ref="HYA31:HYB31"/>
    <mergeCell ref="HYC31:HYD31"/>
    <mergeCell ref="HYE31:HYF31"/>
    <mergeCell ref="HXI31:HXJ31"/>
    <mergeCell ref="HXK31:HXL31"/>
    <mergeCell ref="HXM31:HXN31"/>
    <mergeCell ref="HXO31:HXP31"/>
    <mergeCell ref="HXQ31:HXR31"/>
    <mergeCell ref="HXS31:HXT31"/>
    <mergeCell ref="HWW31:HWX31"/>
    <mergeCell ref="HWY31:HWZ31"/>
    <mergeCell ref="HXA31:HXB31"/>
    <mergeCell ref="HXC31:HXD31"/>
    <mergeCell ref="HXE31:HXF31"/>
    <mergeCell ref="HXG31:HXH31"/>
    <mergeCell ref="IBY31:IBZ31"/>
    <mergeCell ref="ICA31:ICB31"/>
    <mergeCell ref="ICC31:ICD31"/>
    <mergeCell ref="ICE31:ICF31"/>
    <mergeCell ref="ICG31:ICH31"/>
    <mergeCell ref="ICI31:ICJ31"/>
    <mergeCell ref="IBM31:IBN31"/>
    <mergeCell ref="IBO31:IBP31"/>
    <mergeCell ref="IBQ31:IBR31"/>
    <mergeCell ref="IBS31:IBT31"/>
    <mergeCell ref="IBU31:IBV31"/>
    <mergeCell ref="IBW31:IBX31"/>
    <mergeCell ref="IBA31:IBB31"/>
    <mergeCell ref="IBC31:IBD31"/>
    <mergeCell ref="IBE31:IBF31"/>
    <mergeCell ref="IBG31:IBH31"/>
    <mergeCell ref="IBI31:IBJ31"/>
    <mergeCell ref="IBK31:IBL31"/>
    <mergeCell ref="IAO31:IAP31"/>
    <mergeCell ref="IAQ31:IAR31"/>
    <mergeCell ref="IAS31:IAT31"/>
    <mergeCell ref="IAU31:IAV31"/>
    <mergeCell ref="IAW31:IAX31"/>
    <mergeCell ref="IAY31:IAZ31"/>
    <mergeCell ref="IAC31:IAD31"/>
    <mergeCell ref="IAE31:IAF31"/>
    <mergeCell ref="IAG31:IAH31"/>
    <mergeCell ref="IAI31:IAJ31"/>
    <mergeCell ref="IAK31:IAL31"/>
    <mergeCell ref="IAM31:IAN31"/>
    <mergeCell ref="HZQ31:HZR31"/>
    <mergeCell ref="HZS31:HZT31"/>
    <mergeCell ref="HZU31:HZV31"/>
    <mergeCell ref="HZW31:HZX31"/>
    <mergeCell ref="HZY31:HZZ31"/>
    <mergeCell ref="IAA31:IAB31"/>
    <mergeCell ref="IES31:IET31"/>
    <mergeCell ref="IEU31:IEV31"/>
    <mergeCell ref="IEW31:IEX31"/>
    <mergeCell ref="IEY31:IEZ31"/>
    <mergeCell ref="IFA31:IFB31"/>
    <mergeCell ref="IFC31:IFD31"/>
    <mergeCell ref="IEG31:IEH31"/>
    <mergeCell ref="IEI31:IEJ31"/>
    <mergeCell ref="IEK31:IEL31"/>
    <mergeCell ref="IEM31:IEN31"/>
    <mergeCell ref="IEO31:IEP31"/>
    <mergeCell ref="IEQ31:IER31"/>
    <mergeCell ref="IDU31:IDV31"/>
    <mergeCell ref="IDW31:IDX31"/>
    <mergeCell ref="IDY31:IDZ31"/>
    <mergeCell ref="IEA31:IEB31"/>
    <mergeCell ref="IEC31:IED31"/>
    <mergeCell ref="IEE31:IEF31"/>
    <mergeCell ref="IDI31:IDJ31"/>
    <mergeCell ref="IDK31:IDL31"/>
    <mergeCell ref="IDM31:IDN31"/>
    <mergeCell ref="IDO31:IDP31"/>
    <mergeCell ref="IDQ31:IDR31"/>
    <mergeCell ref="IDS31:IDT31"/>
    <mergeCell ref="ICW31:ICX31"/>
    <mergeCell ref="ICY31:ICZ31"/>
    <mergeCell ref="IDA31:IDB31"/>
    <mergeCell ref="IDC31:IDD31"/>
    <mergeCell ref="IDE31:IDF31"/>
    <mergeCell ref="IDG31:IDH31"/>
    <mergeCell ref="ICK31:ICL31"/>
    <mergeCell ref="ICM31:ICN31"/>
    <mergeCell ref="ICO31:ICP31"/>
    <mergeCell ref="ICQ31:ICR31"/>
    <mergeCell ref="ICS31:ICT31"/>
    <mergeCell ref="ICU31:ICV31"/>
    <mergeCell ref="IHM31:IHN31"/>
    <mergeCell ref="IHO31:IHP31"/>
    <mergeCell ref="IHQ31:IHR31"/>
    <mergeCell ref="IHS31:IHT31"/>
    <mergeCell ref="IHU31:IHV31"/>
    <mergeCell ref="IHW31:IHX31"/>
    <mergeCell ref="IHA31:IHB31"/>
    <mergeCell ref="IHC31:IHD31"/>
    <mergeCell ref="IHE31:IHF31"/>
    <mergeCell ref="IHG31:IHH31"/>
    <mergeCell ref="IHI31:IHJ31"/>
    <mergeCell ref="IHK31:IHL31"/>
    <mergeCell ref="IGO31:IGP31"/>
    <mergeCell ref="IGQ31:IGR31"/>
    <mergeCell ref="IGS31:IGT31"/>
    <mergeCell ref="IGU31:IGV31"/>
    <mergeCell ref="IGW31:IGX31"/>
    <mergeCell ref="IGY31:IGZ31"/>
    <mergeCell ref="IGC31:IGD31"/>
    <mergeCell ref="IGE31:IGF31"/>
    <mergeCell ref="IGG31:IGH31"/>
    <mergeCell ref="IGI31:IGJ31"/>
    <mergeCell ref="IGK31:IGL31"/>
    <mergeCell ref="IGM31:IGN31"/>
    <mergeCell ref="IFQ31:IFR31"/>
    <mergeCell ref="IFS31:IFT31"/>
    <mergeCell ref="IFU31:IFV31"/>
    <mergeCell ref="IFW31:IFX31"/>
    <mergeCell ref="IFY31:IFZ31"/>
    <mergeCell ref="IGA31:IGB31"/>
    <mergeCell ref="IFE31:IFF31"/>
    <mergeCell ref="IFG31:IFH31"/>
    <mergeCell ref="IFI31:IFJ31"/>
    <mergeCell ref="IFK31:IFL31"/>
    <mergeCell ref="IFM31:IFN31"/>
    <mergeCell ref="IFO31:IFP31"/>
    <mergeCell ref="IKG31:IKH31"/>
    <mergeCell ref="IKI31:IKJ31"/>
    <mergeCell ref="IKK31:IKL31"/>
    <mergeCell ref="IKM31:IKN31"/>
    <mergeCell ref="IKO31:IKP31"/>
    <mergeCell ref="IKQ31:IKR31"/>
    <mergeCell ref="IJU31:IJV31"/>
    <mergeCell ref="IJW31:IJX31"/>
    <mergeCell ref="IJY31:IJZ31"/>
    <mergeCell ref="IKA31:IKB31"/>
    <mergeCell ref="IKC31:IKD31"/>
    <mergeCell ref="IKE31:IKF31"/>
    <mergeCell ref="IJI31:IJJ31"/>
    <mergeCell ref="IJK31:IJL31"/>
    <mergeCell ref="IJM31:IJN31"/>
    <mergeCell ref="IJO31:IJP31"/>
    <mergeCell ref="IJQ31:IJR31"/>
    <mergeCell ref="IJS31:IJT31"/>
    <mergeCell ref="IIW31:IIX31"/>
    <mergeCell ref="IIY31:IIZ31"/>
    <mergeCell ref="IJA31:IJB31"/>
    <mergeCell ref="IJC31:IJD31"/>
    <mergeCell ref="IJE31:IJF31"/>
    <mergeCell ref="IJG31:IJH31"/>
    <mergeCell ref="IIK31:IIL31"/>
    <mergeCell ref="IIM31:IIN31"/>
    <mergeCell ref="IIO31:IIP31"/>
    <mergeCell ref="IIQ31:IIR31"/>
    <mergeCell ref="IIS31:IIT31"/>
    <mergeCell ref="IIU31:IIV31"/>
    <mergeCell ref="IHY31:IHZ31"/>
    <mergeCell ref="IIA31:IIB31"/>
    <mergeCell ref="IIC31:IID31"/>
    <mergeCell ref="IIE31:IIF31"/>
    <mergeCell ref="IIG31:IIH31"/>
    <mergeCell ref="III31:IIJ31"/>
    <mergeCell ref="INA31:INB31"/>
    <mergeCell ref="INC31:IND31"/>
    <mergeCell ref="INE31:INF31"/>
    <mergeCell ref="ING31:INH31"/>
    <mergeCell ref="INI31:INJ31"/>
    <mergeCell ref="INK31:INL31"/>
    <mergeCell ref="IMO31:IMP31"/>
    <mergeCell ref="IMQ31:IMR31"/>
    <mergeCell ref="IMS31:IMT31"/>
    <mergeCell ref="IMU31:IMV31"/>
    <mergeCell ref="IMW31:IMX31"/>
    <mergeCell ref="IMY31:IMZ31"/>
    <mergeCell ref="IMC31:IMD31"/>
    <mergeCell ref="IME31:IMF31"/>
    <mergeCell ref="IMG31:IMH31"/>
    <mergeCell ref="IMI31:IMJ31"/>
    <mergeCell ref="IMK31:IML31"/>
    <mergeCell ref="IMM31:IMN31"/>
    <mergeCell ref="ILQ31:ILR31"/>
    <mergeCell ref="ILS31:ILT31"/>
    <mergeCell ref="ILU31:ILV31"/>
    <mergeCell ref="ILW31:ILX31"/>
    <mergeCell ref="ILY31:ILZ31"/>
    <mergeCell ref="IMA31:IMB31"/>
    <mergeCell ref="ILE31:ILF31"/>
    <mergeCell ref="ILG31:ILH31"/>
    <mergeCell ref="ILI31:ILJ31"/>
    <mergeCell ref="ILK31:ILL31"/>
    <mergeCell ref="ILM31:ILN31"/>
    <mergeCell ref="ILO31:ILP31"/>
    <mergeCell ref="IKS31:IKT31"/>
    <mergeCell ref="IKU31:IKV31"/>
    <mergeCell ref="IKW31:IKX31"/>
    <mergeCell ref="IKY31:IKZ31"/>
    <mergeCell ref="ILA31:ILB31"/>
    <mergeCell ref="ILC31:ILD31"/>
    <mergeCell ref="IPU31:IPV31"/>
    <mergeCell ref="IPW31:IPX31"/>
    <mergeCell ref="IPY31:IPZ31"/>
    <mergeCell ref="IQA31:IQB31"/>
    <mergeCell ref="IQC31:IQD31"/>
    <mergeCell ref="IQE31:IQF31"/>
    <mergeCell ref="IPI31:IPJ31"/>
    <mergeCell ref="IPK31:IPL31"/>
    <mergeCell ref="IPM31:IPN31"/>
    <mergeCell ref="IPO31:IPP31"/>
    <mergeCell ref="IPQ31:IPR31"/>
    <mergeCell ref="IPS31:IPT31"/>
    <mergeCell ref="IOW31:IOX31"/>
    <mergeCell ref="IOY31:IOZ31"/>
    <mergeCell ref="IPA31:IPB31"/>
    <mergeCell ref="IPC31:IPD31"/>
    <mergeCell ref="IPE31:IPF31"/>
    <mergeCell ref="IPG31:IPH31"/>
    <mergeCell ref="IOK31:IOL31"/>
    <mergeCell ref="IOM31:ION31"/>
    <mergeCell ref="IOO31:IOP31"/>
    <mergeCell ref="IOQ31:IOR31"/>
    <mergeCell ref="IOS31:IOT31"/>
    <mergeCell ref="IOU31:IOV31"/>
    <mergeCell ref="INY31:INZ31"/>
    <mergeCell ref="IOA31:IOB31"/>
    <mergeCell ref="IOC31:IOD31"/>
    <mergeCell ref="IOE31:IOF31"/>
    <mergeCell ref="IOG31:IOH31"/>
    <mergeCell ref="IOI31:IOJ31"/>
    <mergeCell ref="INM31:INN31"/>
    <mergeCell ref="INO31:INP31"/>
    <mergeCell ref="INQ31:INR31"/>
    <mergeCell ref="INS31:INT31"/>
    <mergeCell ref="INU31:INV31"/>
    <mergeCell ref="INW31:INX31"/>
    <mergeCell ref="ISO31:ISP31"/>
    <mergeCell ref="ISQ31:ISR31"/>
    <mergeCell ref="ISS31:IST31"/>
    <mergeCell ref="ISU31:ISV31"/>
    <mergeCell ref="ISW31:ISX31"/>
    <mergeCell ref="ISY31:ISZ31"/>
    <mergeCell ref="ISC31:ISD31"/>
    <mergeCell ref="ISE31:ISF31"/>
    <mergeCell ref="ISG31:ISH31"/>
    <mergeCell ref="ISI31:ISJ31"/>
    <mergeCell ref="ISK31:ISL31"/>
    <mergeCell ref="ISM31:ISN31"/>
    <mergeCell ref="IRQ31:IRR31"/>
    <mergeCell ref="IRS31:IRT31"/>
    <mergeCell ref="IRU31:IRV31"/>
    <mergeCell ref="IRW31:IRX31"/>
    <mergeCell ref="IRY31:IRZ31"/>
    <mergeCell ref="ISA31:ISB31"/>
    <mergeCell ref="IRE31:IRF31"/>
    <mergeCell ref="IRG31:IRH31"/>
    <mergeCell ref="IRI31:IRJ31"/>
    <mergeCell ref="IRK31:IRL31"/>
    <mergeCell ref="IRM31:IRN31"/>
    <mergeCell ref="IRO31:IRP31"/>
    <mergeCell ref="IQS31:IQT31"/>
    <mergeCell ref="IQU31:IQV31"/>
    <mergeCell ref="IQW31:IQX31"/>
    <mergeCell ref="IQY31:IQZ31"/>
    <mergeCell ref="IRA31:IRB31"/>
    <mergeCell ref="IRC31:IRD31"/>
    <mergeCell ref="IQG31:IQH31"/>
    <mergeCell ref="IQI31:IQJ31"/>
    <mergeCell ref="IQK31:IQL31"/>
    <mergeCell ref="IQM31:IQN31"/>
    <mergeCell ref="IQO31:IQP31"/>
    <mergeCell ref="IQQ31:IQR31"/>
    <mergeCell ref="IVI31:IVJ31"/>
    <mergeCell ref="IVK31:IVL31"/>
    <mergeCell ref="IVM31:IVN31"/>
    <mergeCell ref="IVO31:IVP31"/>
    <mergeCell ref="IVQ31:IVR31"/>
    <mergeCell ref="IVS31:IVT31"/>
    <mergeCell ref="IUW31:IUX31"/>
    <mergeCell ref="IUY31:IUZ31"/>
    <mergeCell ref="IVA31:IVB31"/>
    <mergeCell ref="IVC31:IVD31"/>
    <mergeCell ref="IVE31:IVF31"/>
    <mergeCell ref="IVG31:IVH31"/>
    <mergeCell ref="IUK31:IUL31"/>
    <mergeCell ref="IUM31:IUN31"/>
    <mergeCell ref="IUO31:IUP31"/>
    <mergeCell ref="IUQ31:IUR31"/>
    <mergeCell ref="IUS31:IUT31"/>
    <mergeCell ref="IUU31:IUV31"/>
    <mergeCell ref="ITY31:ITZ31"/>
    <mergeCell ref="IUA31:IUB31"/>
    <mergeCell ref="IUC31:IUD31"/>
    <mergeCell ref="IUE31:IUF31"/>
    <mergeCell ref="IUG31:IUH31"/>
    <mergeCell ref="IUI31:IUJ31"/>
    <mergeCell ref="ITM31:ITN31"/>
    <mergeCell ref="ITO31:ITP31"/>
    <mergeCell ref="ITQ31:ITR31"/>
    <mergeCell ref="ITS31:ITT31"/>
    <mergeCell ref="ITU31:ITV31"/>
    <mergeCell ref="ITW31:ITX31"/>
    <mergeCell ref="ITA31:ITB31"/>
    <mergeCell ref="ITC31:ITD31"/>
    <mergeCell ref="ITE31:ITF31"/>
    <mergeCell ref="ITG31:ITH31"/>
    <mergeCell ref="ITI31:ITJ31"/>
    <mergeCell ref="ITK31:ITL31"/>
    <mergeCell ref="IYC31:IYD31"/>
    <mergeCell ref="IYE31:IYF31"/>
    <mergeCell ref="IYG31:IYH31"/>
    <mergeCell ref="IYI31:IYJ31"/>
    <mergeCell ref="IYK31:IYL31"/>
    <mergeCell ref="IYM31:IYN31"/>
    <mergeCell ref="IXQ31:IXR31"/>
    <mergeCell ref="IXS31:IXT31"/>
    <mergeCell ref="IXU31:IXV31"/>
    <mergeCell ref="IXW31:IXX31"/>
    <mergeCell ref="IXY31:IXZ31"/>
    <mergeCell ref="IYA31:IYB31"/>
    <mergeCell ref="IXE31:IXF31"/>
    <mergeCell ref="IXG31:IXH31"/>
    <mergeCell ref="IXI31:IXJ31"/>
    <mergeCell ref="IXK31:IXL31"/>
    <mergeCell ref="IXM31:IXN31"/>
    <mergeCell ref="IXO31:IXP31"/>
    <mergeCell ref="IWS31:IWT31"/>
    <mergeCell ref="IWU31:IWV31"/>
    <mergeCell ref="IWW31:IWX31"/>
    <mergeCell ref="IWY31:IWZ31"/>
    <mergeCell ref="IXA31:IXB31"/>
    <mergeCell ref="IXC31:IXD31"/>
    <mergeCell ref="IWG31:IWH31"/>
    <mergeCell ref="IWI31:IWJ31"/>
    <mergeCell ref="IWK31:IWL31"/>
    <mergeCell ref="IWM31:IWN31"/>
    <mergeCell ref="IWO31:IWP31"/>
    <mergeCell ref="IWQ31:IWR31"/>
    <mergeCell ref="IVU31:IVV31"/>
    <mergeCell ref="IVW31:IVX31"/>
    <mergeCell ref="IVY31:IVZ31"/>
    <mergeCell ref="IWA31:IWB31"/>
    <mergeCell ref="IWC31:IWD31"/>
    <mergeCell ref="IWE31:IWF31"/>
    <mergeCell ref="JAW31:JAX31"/>
    <mergeCell ref="JAY31:JAZ31"/>
    <mergeCell ref="JBA31:JBB31"/>
    <mergeCell ref="JBC31:JBD31"/>
    <mergeCell ref="JBE31:JBF31"/>
    <mergeCell ref="JBG31:JBH31"/>
    <mergeCell ref="JAK31:JAL31"/>
    <mergeCell ref="JAM31:JAN31"/>
    <mergeCell ref="JAO31:JAP31"/>
    <mergeCell ref="JAQ31:JAR31"/>
    <mergeCell ref="JAS31:JAT31"/>
    <mergeCell ref="JAU31:JAV31"/>
    <mergeCell ref="IZY31:IZZ31"/>
    <mergeCell ref="JAA31:JAB31"/>
    <mergeCell ref="JAC31:JAD31"/>
    <mergeCell ref="JAE31:JAF31"/>
    <mergeCell ref="JAG31:JAH31"/>
    <mergeCell ref="JAI31:JAJ31"/>
    <mergeCell ref="IZM31:IZN31"/>
    <mergeCell ref="IZO31:IZP31"/>
    <mergeCell ref="IZQ31:IZR31"/>
    <mergeCell ref="IZS31:IZT31"/>
    <mergeCell ref="IZU31:IZV31"/>
    <mergeCell ref="IZW31:IZX31"/>
    <mergeCell ref="IZA31:IZB31"/>
    <mergeCell ref="IZC31:IZD31"/>
    <mergeCell ref="IZE31:IZF31"/>
    <mergeCell ref="IZG31:IZH31"/>
    <mergeCell ref="IZI31:IZJ31"/>
    <mergeCell ref="IZK31:IZL31"/>
    <mergeCell ref="IYO31:IYP31"/>
    <mergeCell ref="IYQ31:IYR31"/>
    <mergeCell ref="IYS31:IYT31"/>
    <mergeCell ref="IYU31:IYV31"/>
    <mergeCell ref="IYW31:IYX31"/>
    <mergeCell ref="IYY31:IYZ31"/>
    <mergeCell ref="JDQ31:JDR31"/>
    <mergeCell ref="JDS31:JDT31"/>
    <mergeCell ref="JDU31:JDV31"/>
    <mergeCell ref="JDW31:JDX31"/>
    <mergeCell ref="JDY31:JDZ31"/>
    <mergeCell ref="JEA31:JEB31"/>
    <mergeCell ref="JDE31:JDF31"/>
    <mergeCell ref="JDG31:JDH31"/>
    <mergeCell ref="JDI31:JDJ31"/>
    <mergeCell ref="JDK31:JDL31"/>
    <mergeCell ref="JDM31:JDN31"/>
    <mergeCell ref="JDO31:JDP31"/>
    <mergeCell ref="JCS31:JCT31"/>
    <mergeCell ref="JCU31:JCV31"/>
    <mergeCell ref="JCW31:JCX31"/>
    <mergeCell ref="JCY31:JCZ31"/>
    <mergeCell ref="JDA31:JDB31"/>
    <mergeCell ref="JDC31:JDD31"/>
    <mergeCell ref="JCG31:JCH31"/>
    <mergeCell ref="JCI31:JCJ31"/>
    <mergeCell ref="JCK31:JCL31"/>
    <mergeCell ref="JCM31:JCN31"/>
    <mergeCell ref="JCO31:JCP31"/>
    <mergeCell ref="JCQ31:JCR31"/>
    <mergeCell ref="JBU31:JBV31"/>
    <mergeCell ref="JBW31:JBX31"/>
    <mergeCell ref="JBY31:JBZ31"/>
    <mergeCell ref="JCA31:JCB31"/>
    <mergeCell ref="JCC31:JCD31"/>
    <mergeCell ref="JCE31:JCF31"/>
    <mergeCell ref="JBI31:JBJ31"/>
    <mergeCell ref="JBK31:JBL31"/>
    <mergeCell ref="JBM31:JBN31"/>
    <mergeCell ref="JBO31:JBP31"/>
    <mergeCell ref="JBQ31:JBR31"/>
    <mergeCell ref="JBS31:JBT31"/>
    <mergeCell ref="JGK31:JGL31"/>
    <mergeCell ref="JGM31:JGN31"/>
    <mergeCell ref="JGO31:JGP31"/>
    <mergeCell ref="JGQ31:JGR31"/>
    <mergeCell ref="JGS31:JGT31"/>
    <mergeCell ref="JGU31:JGV31"/>
    <mergeCell ref="JFY31:JFZ31"/>
    <mergeCell ref="JGA31:JGB31"/>
    <mergeCell ref="JGC31:JGD31"/>
    <mergeCell ref="JGE31:JGF31"/>
    <mergeCell ref="JGG31:JGH31"/>
    <mergeCell ref="JGI31:JGJ31"/>
    <mergeCell ref="JFM31:JFN31"/>
    <mergeCell ref="JFO31:JFP31"/>
    <mergeCell ref="JFQ31:JFR31"/>
    <mergeCell ref="JFS31:JFT31"/>
    <mergeCell ref="JFU31:JFV31"/>
    <mergeCell ref="JFW31:JFX31"/>
    <mergeCell ref="JFA31:JFB31"/>
    <mergeCell ref="JFC31:JFD31"/>
    <mergeCell ref="JFE31:JFF31"/>
    <mergeCell ref="JFG31:JFH31"/>
    <mergeCell ref="JFI31:JFJ31"/>
    <mergeCell ref="JFK31:JFL31"/>
    <mergeCell ref="JEO31:JEP31"/>
    <mergeCell ref="JEQ31:JER31"/>
    <mergeCell ref="JES31:JET31"/>
    <mergeCell ref="JEU31:JEV31"/>
    <mergeCell ref="JEW31:JEX31"/>
    <mergeCell ref="JEY31:JEZ31"/>
    <mergeCell ref="JEC31:JED31"/>
    <mergeCell ref="JEE31:JEF31"/>
    <mergeCell ref="JEG31:JEH31"/>
    <mergeCell ref="JEI31:JEJ31"/>
    <mergeCell ref="JEK31:JEL31"/>
    <mergeCell ref="JEM31:JEN31"/>
    <mergeCell ref="JJE31:JJF31"/>
    <mergeCell ref="JJG31:JJH31"/>
    <mergeCell ref="JJI31:JJJ31"/>
    <mergeCell ref="JJK31:JJL31"/>
    <mergeCell ref="JJM31:JJN31"/>
    <mergeCell ref="JJO31:JJP31"/>
    <mergeCell ref="JIS31:JIT31"/>
    <mergeCell ref="JIU31:JIV31"/>
    <mergeCell ref="JIW31:JIX31"/>
    <mergeCell ref="JIY31:JIZ31"/>
    <mergeCell ref="JJA31:JJB31"/>
    <mergeCell ref="JJC31:JJD31"/>
    <mergeCell ref="JIG31:JIH31"/>
    <mergeCell ref="JII31:JIJ31"/>
    <mergeCell ref="JIK31:JIL31"/>
    <mergeCell ref="JIM31:JIN31"/>
    <mergeCell ref="JIO31:JIP31"/>
    <mergeCell ref="JIQ31:JIR31"/>
    <mergeCell ref="JHU31:JHV31"/>
    <mergeCell ref="JHW31:JHX31"/>
    <mergeCell ref="JHY31:JHZ31"/>
    <mergeCell ref="JIA31:JIB31"/>
    <mergeCell ref="JIC31:JID31"/>
    <mergeCell ref="JIE31:JIF31"/>
    <mergeCell ref="JHI31:JHJ31"/>
    <mergeCell ref="JHK31:JHL31"/>
    <mergeCell ref="JHM31:JHN31"/>
    <mergeCell ref="JHO31:JHP31"/>
    <mergeCell ref="JHQ31:JHR31"/>
    <mergeCell ref="JHS31:JHT31"/>
    <mergeCell ref="JGW31:JGX31"/>
    <mergeCell ref="JGY31:JGZ31"/>
    <mergeCell ref="JHA31:JHB31"/>
    <mergeCell ref="JHC31:JHD31"/>
    <mergeCell ref="JHE31:JHF31"/>
    <mergeCell ref="JHG31:JHH31"/>
    <mergeCell ref="JLY31:JLZ31"/>
    <mergeCell ref="JMA31:JMB31"/>
    <mergeCell ref="JMC31:JMD31"/>
    <mergeCell ref="JME31:JMF31"/>
    <mergeCell ref="JMG31:JMH31"/>
    <mergeCell ref="JMI31:JMJ31"/>
    <mergeCell ref="JLM31:JLN31"/>
    <mergeCell ref="JLO31:JLP31"/>
    <mergeCell ref="JLQ31:JLR31"/>
    <mergeCell ref="JLS31:JLT31"/>
    <mergeCell ref="JLU31:JLV31"/>
    <mergeCell ref="JLW31:JLX31"/>
    <mergeCell ref="JLA31:JLB31"/>
    <mergeCell ref="JLC31:JLD31"/>
    <mergeCell ref="JLE31:JLF31"/>
    <mergeCell ref="JLG31:JLH31"/>
    <mergeCell ref="JLI31:JLJ31"/>
    <mergeCell ref="JLK31:JLL31"/>
    <mergeCell ref="JKO31:JKP31"/>
    <mergeCell ref="JKQ31:JKR31"/>
    <mergeCell ref="JKS31:JKT31"/>
    <mergeCell ref="JKU31:JKV31"/>
    <mergeCell ref="JKW31:JKX31"/>
    <mergeCell ref="JKY31:JKZ31"/>
    <mergeCell ref="JKC31:JKD31"/>
    <mergeCell ref="JKE31:JKF31"/>
    <mergeCell ref="JKG31:JKH31"/>
    <mergeCell ref="JKI31:JKJ31"/>
    <mergeCell ref="JKK31:JKL31"/>
    <mergeCell ref="JKM31:JKN31"/>
    <mergeCell ref="JJQ31:JJR31"/>
    <mergeCell ref="JJS31:JJT31"/>
    <mergeCell ref="JJU31:JJV31"/>
    <mergeCell ref="JJW31:JJX31"/>
    <mergeCell ref="JJY31:JJZ31"/>
    <mergeCell ref="JKA31:JKB31"/>
    <mergeCell ref="JOS31:JOT31"/>
    <mergeCell ref="JOU31:JOV31"/>
    <mergeCell ref="JOW31:JOX31"/>
    <mergeCell ref="JOY31:JOZ31"/>
    <mergeCell ref="JPA31:JPB31"/>
    <mergeCell ref="JPC31:JPD31"/>
    <mergeCell ref="JOG31:JOH31"/>
    <mergeCell ref="JOI31:JOJ31"/>
    <mergeCell ref="JOK31:JOL31"/>
    <mergeCell ref="JOM31:JON31"/>
    <mergeCell ref="JOO31:JOP31"/>
    <mergeCell ref="JOQ31:JOR31"/>
    <mergeCell ref="JNU31:JNV31"/>
    <mergeCell ref="JNW31:JNX31"/>
    <mergeCell ref="JNY31:JNZ31"/>
    <mergeCell ref="JOA31:JOB31"/>
    <mergeCell ref="JOC31:JOD31"/>
    <mergeCell ref="JOE31:JOF31"/>
    <mergeCell ref="JNI31:JNJ31"/>
    <mergeCell ref="JNK31:JNL31"/>
    <mergeCell ref="JNM31:JNN31"/>
    <mergeCell ref="JNO31:JNP31"/>
    <mergeCell ref="JNQ31:JNR31"/>
    <mergeCell ref="JNS31:JNT31"/>
    <mergeCell ref="JMW31:JMX31"/>
    <mergeCell ref="JMY31:JMZ31"/>
    <mergeCell ref="JNA31:JNB31"/>
    <mergeCell ref="JNC31:JND31"/>
    <mergeCell ref="JNE31:JNF31"/>
    <mergeCell ref="JNG31:JNH31"/>
    <mergeCell ref="JMK31:JML31"/>
    <mergeCell ref="JMM31:JMN31"/>
    <mergeCell ref="JMO31:JMP31"/>
    <mergeCell ref="JMQ31:JMR31"/>
    <mergeCell ref="JMS31:JMT31"/>
    <mergeCell ref="JMU31:JMV31"/>
    <mergeCell ref="JRM31:JRN31"/>
    <mergeCell ref="JRO31:JRP31"/>
    <mergeCell ref="JRQ31:JRR31"/>
    <mergeCell ref="JRS31:JRT31"/>
    <mergeCell ref="JRU31:JRV31"/>
    <mergeCell ref="JRW31:JRX31"/>
    <mergeCell ref="JRA31:JRB31"/>
    <mergeCell ref="JRC31:JRD31"/>
    <mergeCell ref="JRE31:JRF31"/>
    <mergeCell ref="JRG31:JRH31"/>
    <mergeCell ref="JRI31:JRJ31"/>
    <mergeCell ref="JRK31:JRL31"/>
    <mergeCell ref="JQO31:JQP31"/>
    <mergeCell ref="JQQ31:JQR31"/>
    <mergeCell ref="JQS31:JQT31"/>
    <mergeCell ref="JQU31:JQV31"/>
    <mergeCell ref="JQW31:JQX31"/>
    <mergeCell ref="JQY31:JQZ31"/>
    <mergeCell ref="JQC31:JQD31"/>
    <mergeCell ref="JQE31:JQF31"/>
    <mergeCell ref="JQG31:JQH31"/>
    <mergeCell ref="JQI31:JQJ31"/>
    <mergeCell ref="JQK31:JQL31"/>
    <mergeCell ref="JQM31:JQN31"/>
    <mergeCell ref="JPQ31:JPR31"/>
    <mergeCell ref="JPS31:JPT31"/>
    <mergeCell ref="JPU31:JPV31"/>
    <mergeCell ref="JPW31:JPX31"/>
    <mergeCell ref="JPY31:JPZ31"/>
    <mergeCell ref="JQA31:JQB31"/>
    <mergeCell ref="JPE31:JPF31"/>
    <mergeCell ref="JPG31:JPH31"/>
    <mergeCell ref="JPI31:JPJ31"/>
    <mergeCell ref="JPK31:JPL31"/>
    <mergeCell ref="JPM31:JPN31"/>
    <mergeCell ref="JPO31:JPP31"/>
    <mergeCell ref="JUG31:JUH31"/>
    <mergeCell ref="JUI31:JUJ31"/>
    <mergeCell ref="JUK31:JUL31"/>
    <mergeCell ref="JUM31:JUN31"/>
    <mergeCell ref="JUO31:JUP31"/>
    <mergeCell ref="JUQ31:JUR31"/>
    <mergeCell ref="JTU31:JTV31"/>
    <mergeCell ref="JTW31:JTX31"/>
    <mergeCell ref="JTY31:JTZ31"/>
    <mergeCell ref="JUA31:JUB31"/>
    <mergeCell ref="JUC31:JUD31"/>
    <mergeCell ref="JUE31:JUF31"/>
    <mergeCell ref="JTI31:JTJ31"/>
    <mergeCell ref="JTK31:JTL31"/>
    <mergeCell ref="JTM31:JTN31"/>
    <mergeCell ref="JTO31:JTP31"/>
    <mergeCell ref="JTQ31:JTR31"/>
    <mergeCell ref="JTS31:JTT31"/>
    <mergeCell ref="JSW31:JSX31"/>
    <mergeCell ref="JSY31:JSZ31"/>
    <mergeCell ref="JTA31:JTB31"/>
    <mergeCell ref="JTC31:JTD31"/>
    <mergeCell ref="JTE31:JTF31"/>
    <mergeCell ref="JTG31:JTH31"/>
    <mergeCell ref="JSK31:JSL31"/>
    <mergeCell ref="JSM31:JSN31"/>
    <mergeCell ref="JSO31:JSP31"/>
    <mergeCell ref="JSQ31:JSR31"/>
    <mergeCell ref="JSS31:JST31"/>
    <mergeCell ref="JSU31:JSV31"/>
    <mergeCell ref="JRY31:JRZ31"/>
    <mergeCell ref="JSA31:JSB31"/>
    <mergeCell ref="JSC31:JSD31"/>
    <mergeCell ref="JSE31:JSF31"/>
    <mergeCell ref="JSG31:JSH31"/>
    <mergeCell ref="JSI31:JSJ31"/>
    <mergeCell ref="JXA31:JXB31"/>
    <mergeCell ref="JXC31:JXD31"/>
    <mergeCell ref="JXE31:JXF31"/>
    <mergeCell ref="JXG31:JXH31"/>
    <mergeCell ref="JXI31:JXJ31"/>
    <mergeCell ref="JXK31:JXL31"/>
    <mergeCell ref="JWO31:JWP31"/>
    <mergeCell ref="JWQ31:JWR31"/>
    <mergeCell ref="JWS31:JWT31"/>
    <mergeCell ref="JWU31:JWV31"/>
    <mergeCell ref="JWW31:JWX31"/>
    <mergeCell ref="JWY31:JWZ31"/>
    <mergeCell ref="JWC31:JWD31"/>
    <mergeCell ref="JWE31:JWF31"/>
    <mergeCell ref="JWG31:JWH31"/>
    <mergeCell ref="JWI31:JWJ31"/>
    <mergeCell ref="JWK31:JWL31"/>
    <mergeCell ref="JWM31:JWN31"/>
    <mergeCell ref="JVQ31:JVR31"/>
    <mergeCell ref="JVS31:JVT31"/>
    <mergeCell ref="JVU31:JVV31"/>
    <mergeCell ref="JVW31:JVX31"/>
    <mergeCell ref="JVY31:JVZ31"/>
    <mergeCell ref="JWA31:JWB31"/>
    <mergeCell ref="JVE31:JVF31"/>
    <mergeCell ref="JVG31:JVH31"/>
    <mergeCell ref="JVI31:JVJ31"/>
    <mergeCell ref="JVK31:JVL31"/>
    <mergeCell ref="JVM31:JVN31"/>
    <mergeCell ref="JVO31:JVP31"/>
    <mergeCell ref="JUS31:JUT31"/>
    <mergeCell ref="JUU31:JUV31"/>
    <mergeCell ref="JUW31:JUX31"/>
    <mergeCell ref="JUY31:JUZ31"/>
    <mergeCell ref="JVA31:JVB31"/>
    <mergeCell ref="JVC31:JVD31"/>
    <mergeCell ref="JZU31:JZV31"/>
    <mergeCell ref="JZW31:JZX31"/>
    <mergeCell ref="JZY31:JZZ31"/>
    <mergeCell ref="KAA31:KAB31"/>
    <mergeCell ref="KAC31:KAD31"/>
    <mergeCell ref="KAE31:KAF31"/>
    <mergeCell ref="JZI31:JZJ31"/>
    <mergeCell ref="JZK31:JZL31"/>
    <mergeCell ref="JZM31:JZN31"/>
    <mergeCell ref="JZO31:JZP31"/>
    <mergeCell ref="JZQ31:JZR31"/>
    <mergeCell ref="JZS31:JZT31"/>
    <mergeCell ref="JYW31:JYX31"/>
    <mergeCell ref="JYY31:JYZ31"/>
    <mergeCell ref="JZA31:JZB31"/>
    <mergeCell ref="JZC31:JZD31"/>
    <mergeCell ref="JZE31:JZF31"/>
    <mergeCell ref="JZG31:JZH31"/>
    <mergeCell ref="JYK31:JYL31"/>
    <mergeCell ref="JYM31:JYN31"/>
    <mergeCell ref="JYO31:JYP31"/>
    <mergeCell ref="JYQ31:JYR31"/>
    <mergeCell ref="JYS31:JYT31"/>
    <mergeCell ref="JYU31:JYV31"/>
    <mergeCell ref="JXY31:JXZ31"/>
    <mergeCell ref="JYA31:JYB31"/>
    <mergeCell ref="JYC31:JYD31"/>
    <mergeCell ref="JYE31:JYF31"/>
    <mergeCell ref="JYG31:JYH31"/>
    <mergeCell ref="JYI31:JYJ31"/>
    <mergeCell ref="JXM31:JXN31"/>
    <mergeCell ref="JXO31:JXP31"/>
    <mergeCell ref="JXQ31:JXR31"/>
    <mergeCell ref="JXS31:JXT31"/>
    <mergeCell ref="JXU31:JXV31"/>
    <mergeCell ref="JXW31:JXX31"/>
    <mergeCell ref="KCO31:KCP31"/>
    <mergeCell ref="KCQ31:KCR31"/>
    <mergeCell ref="KCS31:KCT31"/>
    <mergeCell ref="KCU31:KCV31"/>
    <mergeCell ref="KCW31:KCX31"/>
    <mergeCell ref="KCY31:KCZ31"/>
    <mergeCell ref="KCC31:KCD31"/>
    <mergeCell ref="KCE31:KCF31"/>
    <mergeCell ref="KCG31:KCH31"/>
    <mergeCell ref="KCI31:KCJ31"/>
    <mergeCell ref="KCK31:KCL31"/>
    <mergeCell ref="KCM31:KCN31"/>
    <mergeCell ref="KBQ31:KBR31"/>
    <mergeCell ref="KBS31:KBT31"/>
    <mergeCell ref="KBU31:KBV31"/>
    <mergeCell ref="KBW31:KBX31"/>
    <mergeCell ref="KBY31:KBZ31"/>
    <mergeCell ref="KCA31:KCB31"/>
    <mergeCell ref="KBE31:KBF31"/>
    <mergeCell ref="KBG31:KBH31"/>
    <mergeCell ref="KBI31:KBJ31"/>
    <mergeCell ref="KBK31:KBL31"/>
    <mergeCell ref="KBM31:KBN31"/>
    <mergeCell ref="KBO31:KBP31"/>
    <mergeCell ref="KAS31:KAT31"/>
    <mergeCell ref="KAU31:KAV31"/>
    <mergeCell ref="KAW31:KAX31"/>
    <mergeCell ref="KAY31:KAZ31"/>
    <mergeCell ref="KBA31:KBB31"/>
    <mergeCell ref="KBC31:KBD31"/>
    <mergeCell ref="KAG31:KAH31"/>
    <mergeCell ref="KAI31:KAJ31"/>
    <mergeCell ref="KAK31:KAL31"/>
    <mergeCell ref="KAM31:KAN31"/>
    <mergeCell ref="KAO31:KAP31"/>
    <mergeCell ref="KAQ31:KAR31"/>
    <mergeCell ref="KFI31:KFJ31"/>
    <mergeCell ref="KFK31:KFL31"/>
    <mergeCell ref="KFM31:KFN31"/>
    <mergeCell ref="KFO31:KFP31"/>
    <mergeCell ref="KFQ31:KFR31"/>
    <mergeCell ref="KFS31:KFT31"/>
    <mergeCell ref="KEW31:KEX31"/>
    <mergeCell ref="KEY31:KEZ31"/>
    <mergeCell ref="KFA31:KFB31"/>
    <mergeCell ref="KFC31:KFD31"/>
    <mergeCell ref="KFE31:KFF31"/>
    <mergeCell ref="KFG31:KFH31"/>
    <mergeCell ref="KEK31:KEL31"/>
    <mergeCell ref="KEM31:KEN31"/>
    <mergeCell ref="KEO31:KEP31"/>
    <mergeCell ref="KEQ31:KER31"/>
    <mergeCell ref="KES31:KET31"/>
    <mergeCell ref="KEU31:KEV31"/>
    <mergeCell ref="KDY31:KDZ31"/>
    <mergeCell ref="KEA31:KEB31"/>
    <mergeCell ref="KEC31:KED31"/>
    <mergeCell ref="KEE31:KEF31"/>
    <mergeCell ref="KEG31:KEH31"/>
    <mergeCell ref="KEI31:KEJ31"/>
    <mergeCell ref="KDM31:KDN31"/>
    <mergeCell ref="KDO31:KDP31"/>
    <mergeCell ref="KDQ31:KDR31"/>
    <mergeCell ref="KDS31:KDT31"/>
    <mergeCell ref="KDU31:KDV31"/>
    <mergeCell ref="KDW31:KDX31"/>
    <mergeCell ref="KDA31:KDB31"/>
    <mergeCell ref="KDC31:KDD31"/>
    <mergeCell ref="KDE31:KDF31"/>
    <mergeCell ref="KDG31:KDH31"/>
    <mergeCell ref="KDI31:KDJ31"/>
    <mergeCell ref="KDK31:KDL31"/>
    <mergeCell ref="KIC31:KID31"/>
    <mergeCell ref="KIE31:KIF31"/>
    <mergeCell ref="KIG31:KIH31"/>
    <mergeCell ref="KII31:KIJ31"/>
    <mergeCell ref="KIK31:KIL31"/>
    <mergeCell ref="KIM31:KIN31"/>
    <mergeCell ref="KHQ31:KHR31"/>
    <mergeCell ref="KHS31:KHT31"/>
    <mergeCell ref="KHU31:KHV31"/>
    <mergeCell ref="KHW31:KHX31"/>
    <mergeCell ref="KHY31:KHZ31"/>
    <mergeCell ref="KIA31:KIB31"/>
    <mergeCell ref="KHE31:KHF31"/>
    <mergeCell ref="KHG31:KHH31"/>
    <mergeCell ref="KHI31:KHJ31"/>
    <mergeCell ref="KHK31:KHL31"/>
    <mergeCell ref="KHM31:KHN31"/>
    <mergeCell ref="KHO31:KHP31"/>
    <mergeCell ref="KGS31:KGT31"/>
    <mergeCell ref="KGU31:KGV31"/>
    <mergeCell ref="KGW31:KGX31"/>
    <mergeCell ref="KGY31:KGZ31"/>
    <mergeCell ref="KHA31:KHB31"/>
    <mergeCell ref="KHC31:KHD31"/>
    <mergeCell ref="KGG31:KGH31"/>
    <mergeCell ref="KGI31:KGJ31"/>
    <mergeCell ref="KGK31:KGL31"/>
    <mergeCell ref="KGM31:KGN31"/>
    <mergeCell ref="KGO31:KGP31"/>
    <mergeCell ref="KGQ31:KGR31"/>
    <mergeCell ref="KFU31:KFV31"/>
    <mergeCell ref="KFW31:KFX31"/>
    <mergeCell ref="KFY31:KFZ31"/>
    <mergeCell ref="KGA31:KGB31"/>
    <mergeCell ref="KGC31:KGD31"/>
    <mergeCell ref="KGE31:KGF31"/>
    <mergeCell ref="KKW31:KKX31"/>
    <mergeCell ref="KKY31:KKZ31"/>
    <mergeCell ref="KLA31:KLB31"/>
    <mergeCell ref="KLC31:KLD31"/>
    <mergeCell ref="KLE31:KLF31"/>
    <mergeCell ref="KLG31:KLH31"/>
    <mergeCell ref="KKK31:KKL31"/>
    <mergeCell ref="KKM31:KKN31"/>
    <mergeCell ref="KKO31:KKP31"/>
    <mergeCell ref="KKQ31:KKR31"/>
    <mergeCell ref="KKS31:KKT31"/>
    <mergeCell ref="KKU31:KKV31"/>
    <mergeCell ref="KJY31:KJZ31"/>
    <mergeCell ref="KKA31:KKB31"/>
    <mergeCell ref="KKC31:KKD31"/>
    <mergeCell ref="KKE31:KKF31"/>
    <mergeCell ref="KKG31:KKH31"/>
    <mergeCell ref="KKI31:KKJ31"/>
    <mergeCell ref="KJM31:KJN31"/>
    <mergeCell ref="KJO31:KJP31"/>
    <mergeCell ref="KJQ31:KJR31"/>
    <mergeCell ref="KJS31:KJT31"/>
    <mergeCell ref="KJU31:KJV31"/>
    <mergeCell ref="KJW31:KJX31"/>
    <mergeCell ref="KJA31:KJB31"/>
    <mergeCell ref="KJC31:KJD31"/>
    <mergeCell ref="KJE31:KJF31"/>
    <mergeCell ref="KJG31:KJH31"/>
    <mergeCell ref="KJI31:KJJ31"/>
    <mergeCell ref="KJK31:KJL31"/>
    <mergeCell ref="KIO31:KIP31"/>
    <mergeCell ref="KIQ31:KIR31"/>
    <mergeCell ref="KIS31:KIT31"/>
    <mergeCell ref="KIU31:KIV31"/>
    <mergeCell ref="KIW31:KIX31"/>
    <mergeCell ref="KIY31:KIZ31"/>
    <mergeCell ref="KNQ31:KNR31"/>
    <mergeCell ref="KNS31:KNT31"/>
    <mergeCell ref="KNU31:KNV31"/>
    <mergeCell ref="KNW31:KNX31"/>
    <mergeCell ref="KNY31:KNZ31"/>
    <mergeCell ref="KOA31:KOB31"/>
    <mergeCell ref="KNE31:KNF31"/>
    <mergeCell ref="KNG31:KNH31"/>
    <mergeCell ref="KNI31:KNJ31"/>
    <mergeCell ref="KNK31:KNL31"/>
    <mergeCell ref="KNM31:KNN31"/>
    <mergeCell ref="KNO31:KNP31"/>
    <mergeCell ref="KMS31:KMT31"/>
    <mergeCell ref="KMU31:KMV31"/>
    <mergeCell ref="KMW31:KMX31"/>
    <mergeCell ref="KMY31:KMZ31"/>
    <mergeCell ref="KNA31:KNB31"/>
    <mergeCell ref="KNC31:KND31"/>
    <mergeCell ref="KMG31:KMH31"/>
    <mergeCell ref="KMI31:KMJ31"/>
    <mergeCell ref="KMK31:KML31"/>
    <mergeCell ref="KMM31:KMN31"/>
    <mergeCell ref="KMO31:KMP31"/>
    <mergeCell ref="KMQ31:KMR31"/>
    <mergeCell ref="KLU31:KLV31"/>
    <mergeCell ref="KLW31:KLX31"/>
    <mergeCell ref="KLY31:KLZ31"/>
    <mergeCell ref="KMA31:KMB31"/>
    <mergeCell ref="KMC31:KMD31"/>
    <mergeCell ref="KME31:KMF31"/>
    <mergeCell ref="KLI31:KLJ31"/>
    <mergeCell ref="KLK31:KLL31"/>
    <mergeCell ref="KLM31:KLN31"/>
    <mergeCell ref="KLO31:KLP31"/>
    <mergeCell ref="KLQ31:KLR31"/>
    <mergeCell ref="KLS31:KLT31"/>
    <mergeCell ref="KQK31:KQL31"/>
    <mergeCell ref="KQM31:KQN31"/>
    <mergeCell ref="KQO31:KQP31"/>
    <mergeCell ref="KQQ31:KQR31"/>
    <mergeCell ref="KQS31:KQT31"/>
    <mergeCell ref="KQU31:KQV31"/>
    <mergeCell ref="KPY31:KPZ31"/>
    <mergeCell ref="KQA31:KQB31"/>
    <mergeCell ref="KQC31:KQD31"/>
    <mergeCell ref="KQE31:KQF31"/>
    <mergeCell ref="KQG31:KQH31"/>
    <mergeCell ref="KQI31:KQJ31"/>
    <mergeCell ref="KPM31:KPN31"/>
    <mergeCell ref="KPO31:KPP31"/>
    <mergeCell ref="KPQ31:KPR31"/>
    <mergeCell ref="KPS31:KPT31"/>
    <mergeCell ref="KPU31:KPV31"/>
    <mergeCell ref="KPW31:KPX31"/>
    <mergeCell ref="KPA31:KPB31"/>
    <mergeCell ref="KPC31:KPD31"/>
    <mergeCell ref="KPE31:KPF31"/>
    <mergeCell ref="KPG31:KPH31"/>
    <mergeCell ref="KPI31:KPJ31"/>
    <mergeCell ref="KPK31:KPL31"/>
    <mergeCell ref="KOO31:KOP31"/>
    <mergeCell ref="KOQ31:KOR31"/>
    <mergeCell ref="KOS31:KOT31"/>
    <mergeCell ref="KOU31:KOV31"/>
    <mergeCell ref="KOW31:KOX31"/>
    <mergeCell ref="KOY31:KOZ31"/>
    <mergeCell ref="KOC31:KOD31"/>
    <mergeCell ref="KOE31:KOF31"/>
    <mergeCell ref="KOG31:KOH31"/>
    <mergeCell ref="KOI31:KOJ31"/>
    <mergeCell ref="KOK31:KOL31"/>
    <mergeCell ref="KOM31:KON31"/>
    <mergeCell ref="KTE31:KTF31"/>
    <mergeCell ref="KTG31:KTH31"/>
    <mergeCell ref="KTI31:KTJ31"/>
    <mergeCell ref="KTK31:KTL31"/>
    <mergeCell ref="KTM31:KTN31"/>
    <mergeCell ref="KTO31:KTP31"/>
    <mergeCell ref="KSS31:KST31"/>
    <mergeCell ref="KSU31:KSV31"/>
    <mergeCell ref="KSW31:KSX31"/>
    <mergeCell ref="KSY31:KSZ31"/>
    <mergeCell ref="KTA31:KTB31"/>
    <mergeCell ref="KTC31:KTD31"/>
    <mergeCell ref="KSG31:KSH31"/>
    <mergeCell ref="KSI31:KSJ31"/>
    <mergeCell ref="KSK31:KSL31"/>
    <mergeCell ref="KSM31:KSN31"/>
    <mergeCell ref="KSO31:KSP31"/>
    <mergeCell ref="KSQ31:KSR31"/>
    <mergeCell ref="KRU31:KRV31"/>
    <mergeCell ref="KRW31:KRX31"/>
    <mergeCell ref="KRY31:KRZ31"/>
    <mergeCell ref="KSA31:KSB31"/>
    <mergeCell ref="KSC31:KSD31"/>
    <mergeCell ref="KSE31:KSF31"/>
    <mergeCell ref="KRI31:KRJ31"/>
    <mergeCell ref="KRK31:KRL31"/>
    <mergeCell ref="KRM31:KRN31"/>
    <mergeCell ref="KRO31:KRP31"/>
    <mergeCell ref="KRQ31:KRR31"/>
    <mergeCell ref="KRS31:KRT31"/>
    <mergeCell ref="KQW31:KQX31"/>
    <mergeCell ref="KQY31:KQZ31"/>
    <mergeCell ref="KRA31:KRB31"/>
    <mergeCell ref="KRC31:KRD31"/>
    <mergeCell ref="KRE31:KRF31"/>
    <mergeCell ref="KRG31:KRH31"/>
    <mergeCell ref="KVY31:KVZ31"/>
    <mergeCell ref="KWA31:KWB31"/>
    <mergeCell ref="KWC31:KWD31"/>
    <mergeCell ref="KWE31:KWF31"/>
    <mergeCell ref="KWG31:KWH31"/>
    <mergeCell ref="KWI31:KWJ31"/>
    <mergeCell ref="KVM31:KVN31"/>
    <mergeCell ref="KVO31:KVP31"/>
    <mergeCell ref="KVQ31:KVR31"/>
    <mergeCell ref="KVS31:KVT31"/>
    <mergeCell ref="KVU31:KVV31"/>
    <mergeCell ref="KVW31:KVX31"/>
    <mergeCell ref="KVA31:KVB31"/>
    <mergeCell ref="KVC31:KVD31"/>
    <mergeCell ref="KVE31:KVF31"/>
    <mergeCell ref="KVG31:KVH31"/>
    <mergeCell ref="KVI31:KVJ31"/>
    <mergeCell ref="KVK31:KVL31"/>
    <mergeCell ref="KUO31:KUP31"/>
    <mergeCell ref="KUQ31:KUR31"/>
    <mergeCell ref="KUS31:KUT31"/>
    <mergeCell ref="KUU31:KUV31"/>
    <mergeCell ref="KUW31:KUX31"/>
    <mergeCell ref="KUY31:KUZ31"/>
    <mergeCell ref="KUC31:KUD31"/>
    <mergeCell ref="KUE31:KUF31"/>
    <mergeCell ref="KUG31:KUH31"/>
    <mergeCell ref="KUI31:KUJ31"/>
    <mergeCell ref="KUK31:KUL31"/>
    <mergeCell ref="KUM31:KUN31"/>
    <mergeCell ref="KTQ31:KTR31"/>
    <mergeCell ref="KTS31:KTT31"/>
    <mergeCell ref="KTU31:KTV31"/>
    <mergeCell ref="KTW31:KTX31"/>
    <mergeCell ref="KTY31:KTZ31"/>
    <mergeCell ref="KUA31:KUB31"/>
    <mergeCell ref="KYS31:KYT31"/>
    <mergeCell ref="KYU31:KYV31"/>
    <mergeCell ref="KYW31:KYX31"/>
    <mergeCell ref="KYY31:KYZ31"/>
    <mergeCell ref="KZA31:KZB31"/>
    <mergeCell ref="KZC31:KZD31"/>
    <mergeCell ref="KYG31:KYH31"/>
    <mergeCell ref="KYI31:KYJ31"/>
    <mergeCell ref="KYK31:KYL31"/>
    <mergeCell ref="KYM31:KYN31"/>
    <mergeCell ref="KYO31:KYP31"/>
    <mergeCell ref="KYQ31:KYR31"/>
    <mergeCell ref="KXU31:KXV31"/>
    <mergeCell ref="KXW31:KXX31"/>
    <mergeCell ref="KXY31:KXZ31"/>
    <mergeCell ref="KYA31:KYB31"/>
    <mergeCell ref="KYC31:KYD31"/>
    <mergeCell ref="KYE31:KYF31"/>
    <mergeCell ref="KXI31:KXJ31"/>
    <mergeCell ref="KXK31:KXL31"/>
    <mergeCell ref="KXM31:KXN31"/>
    <mergeCell ref="KXO31:KXP31"/>
    <mergeCell ref="KXQ31:KXR31"/>
    <mergeCell ref="KXS31:KXT31"/>
    <mergeCell ref="KWW31:KWX31"/>
    <mergeCell ref="KWY31:KWZ31"/>
    <mergeCell ref="KXA31:KXB31"/>
    <mergeCell ref="KXC31:KXD31"/>
    <mergeCell ref="KXE31:KXF31"/>
    <mergeCell ref="KXG31:KXH31"/>
    <mergeCell ref="KWK31:KWL31"/>
    <mergeCell ref="KWM31:KWN31"/>
    <mergeCell ref="KWO31:KWP31"/>
    <mergeCell ref="KWQ31:KWR31"/>
    <mergeCell ref="KWS31:KWT31"/>
    <mergeCell ref="KWU31:KWV31"/>
    <mergeCell ref="LBM31:LBN31"/>
    <mergeCell ref="LBO31:LBP31"/>
    <mergeCell ref="LBQ31:LBR31"/>
    <mergeCell ref="LBS31:LBT31"/>
    <mergeCell ref="LBU31:LBV31"/>
    <mergeCell ref="LBW31:LBX31"/>
    <mergeCell ref="LBA31:LBB31"/>
    <mergeCell ref="LBC31:LBD31"/>
    <mergeCell ref="LBE31:LBF31"/>
    <mergeCell ref="LBG31:LBH31"/>
    <mergeCell ref="LBI31:LBJ31"/>
    <mergeCell ref="LBK31:LBL31"/>
    <mergeCell ref="LAO31:LAP31"/>
    <mergeCell ref="LAQ31:LAR31"/>
    <mergeCell ref="LAS31:LAT31"/>
    <mergeCell ref="LAU31:LAV31"/>
    <mergeCell ref="LAW31:LAX31"/>
    <mergeCell ref="LAY31:LAZ31"/>
    <mergeCell ref="LAC31:LAD31"/>
    <mergeCell ref="LAE31:LAF31"/>
    <mergeCell ref="LAG31:LAH31"/>
    <mergeCell ref="LAI31:LAJ31"/>
    <mergeCell ref="LAK31:LAL31"/>
    <mergeCell ref="LAM31:LAN31"/>
    <mergeCell ref="KZQ31:KZR31"/>
    <mergeCell ref="KZS31:KZT31"/>
    <mergeCell ref="KZU31:KZV31"/>
    <mergeCell ref="KZW31:KZX31"/>
    <mergeCell ref="KZY31:KZZ31"/>
    <mergeCell ref="LAA31:LAB31"/>
    <mergeCell ref="KZE31:KZF31"/>
    <mergeCell ref="KZG31:KZH31"/>
    <mergeCell ref="KZI31:KZJ31"/>
    <mergeCell ref="KZK31:KZL31"/>
    <mergeCell ref="KZM31:KZN31"/>
    <mergeCell ref="KZO31:KZP31"/>
    <mergeCell ref="LEG31:LEH31"/>
    <mergeCell ref="LEI31:LEJ31"/>
    <mergeCell ref="LEK31:LEL31"/>
    <mergeCell ref="LEM31:LEN31"/>
    <mergeCell ref="LEO31:LEP31"/>
    <mergeCell ref="LEQ31:LER31"/>
    <mergeCell ref="LDU31:LDV31"/>
    <mergeCell ref="LDW31:LDX31"/>
    <mergeCell ref="LDY31:LDZ31"/>
    <mergeCell ref="LEA31:LEB31"/>
    <mergeCell ref="LEC31:LED31"/>
    <mergeCell ref="LEE31:LEF31"/>
    <mergeCell ref="LDI31:LDJ31"/>
    <mergeCell ref="LDK31:LDL31"/>
    <mergeCell ref="LDM31:LDN31"/>
    <mergeCell ref="LDO31:LDP31"/>
    <mergeCell ref="LDQ31:LDR31"/>
    <mergeCell ref="LDS31:LDT31"/>
    <mergeCell ref="LCW31:LCX31"/>
    <mergeCell ref="LCY31:LCZ31"/>
    <mergeCell ref="LDA31:LDB31"/>
    <mergeCell ref="LDC31:LDD31"/>
    <mergeCell ref="LDE31:LDF31"/>
    <mergeCell ref="LDG31:LDH31"/>
    <mergeCell ref="LCK31:LCL31"/>
    <mergeCell ref="LCM31:LCN31"/>
    <mergeCell ref="LCO31:LCP31"/>
    <mergeCell ref="LCQ31:LCR31"/>
    <mergeCell ref="LCS31:LCT31"/>
    <mergeCell ref="LCU31:LCV31"/>
    <mergeCell ref="LBY31:LBZ31"/>
    <mergeCell ref="LCA31:LCB31"/>
    <mergeCell ref="LCC31:LCD31"/>
    <mergeCell ref="LCE31:LCF31"/>
    <mergeCell ref="LCG31:LCH31"/>
    <mergeCell ref="LCI31:LCJ31"/>
    <mergeCell ref="LHA31:LHB31"/>
    <mergeCell ref="LHC31:LHD31"/>
    <mergeCell ref="LHE31:LHF31"/>
    <mergeCell ref="LHG31:LHH31"/>
    <mergeCell ref="LHI31:LHJ31"/>
    <mergeCell ref="LHK31:LHL31"/>
    <mergeCell ref="LGO31:LGP31"/>
    <mergeCell ref="LGQ31:LGR31"/>
    <mergeCell ref="LGS31:LGT31"/>
    <mergeCell ref="LGU31:LGV31"/>
    <mergeCell ref="LGW31:LGX31"/>
    <mergeCell ref="LGY31:LGZ31"/>
    <mergeCell ref="LGC31:LGD31"/>
    <mergeCell ref="LGE31:LGF31"/>
    <mergeCell ref="LGG31:LGH31"/>
    <mergeCell ref="LGI31:LGJ31"/>
    <mergeCell ref="LGK31:LGL31"/>
    <mergeCell ref="LGM31:LGN31"/>
    <mergeCell ref="LFQ31:LFR31"/>
    <mergeCell ref="LFS31:LFT31"/>
    <mergeCell ref="LFU31:LFV31"/>
    <mergeCell ref="LFW31:LFX31"/>
    <mergeCell ref="LFY31:LFZ31"/>
    <mergeCell ref="LGA31:LGB31"/>
    <mergeCell ref="LFE31:LFF31"/>
    <mergeCell ref="LFG31:LFH31"/>
    <mergeCell ref="LFI31:LFJ31"/>
    <mergeCell ref="LFK31:LFL31"/>
    <mergeCell ref="LFM31:LFN31"/>
    <mergeCell ref="LFO31:LFP31"/>
    <mergeCell ref="LES31:LET31"/>
    <mergeCell ref="LEU31:LEV31"/>
    <mergeCell ref="LEW31:LEX31"/>
    <mergeCell ref="LEY31:LEZ31"/>
    <mergeCell ref="LFA31:LFB31"/>
    <mergeCell ref="LFC31:LFD31"/>
    <mergeCell ref="LJU31:LJV31"/>
    <mergeCell ref="LJW31:LJX31"/>
    <mergeCell ref="LJY31:LJZ31"/>
    <mergeCell ref="LKA31:LKB31"/>
    <mergeCell ref="LKC31:LKD31"/>
    <mergeCell ref="LKE31:LKF31"/>
    <mergeCell ref="LJI31:LJJ31"/>
    <mergeCell ref="LJK31:LJL31"/>
    <mergeCell ref="LJM31:LJN31"/>
    <mergeCell ref="LJO31:LJP31"/>
    <mergeCell ref="LJQ31:LJR31"/>
    <mergeCell ref="LJS31:LJT31"/>
    <mergeCell ref="LIW31:LIX31"/>
    <mergeCell ref="LIY31:LIZ31"/>
    <mergeCell ref="LJA31:LJB31"/>
    <mergeCell ref="LJC31:LJD31"/>
    <mergeCell ref="LJE31:LJF31"/>
    <mergeCell ref="LJG31:LJH31"/>
    <mergeCell ref="LIK31:LIL31"/>
    <mergeCell ref="LIM31:LIN31"/>
    <mergeCell ref="LIO31:LIP31"/>
    <mergeCell ref="LIQ31:LIR31"/>
    <mergeCell ref="LIS31:LIT31"/>
    <mergeCell ref="LIU31:LIV31"/>
    <mergeCell ref="LHY31:LHZ31"/>
    <mergeCell ref="LIA31:LIB31"/>
    <mergeCell ref="LIC31:LID31"/>
    <mergeCell ref="LIE31:LIF31"/>
    <mergeCell ref="LIG31:LIH31"/>
    <mergeCell ref="LII31:LIJ31"/>
    <mergeCell ref="LHM31:LHN31"/>
    <mergeCell ref="LHO31:LHP31"/>
    <mergeCell ref="LHQ31:LHR31"/>
    <mergeCell ref="LHS31:LHT31"/>
    <mergeCell ref="LHU31:LHV31"/>
    <mergeCell ref="LHW31:LHX31"/>
    <mergeCell ref="LMO31:LMP31"/>
    <mergeCell ref="LMQ31:LMR31"/>
    <mergeCell ref="LMS31:LMT31"/>
    <mergeCell ref="LMU31:LMV31"/>
    <mergeCell ref="LMW31:LMX31"/>
    <mergeCell ref="LMY31:LMZ31"/>
    <mergeCell ref="LMC31:LMD31"/>
    <mergeCell ref="LME31:LMF31"/>
    <mergeCell ref="LMG31:LMH31"/>
    <mergeCell ref="LMI31:LMJ31"/>
    <mergeCell ref="LMK31:LML31"/>
    <mergeCell ref="LMM31:LMN31"/>
    <mergeCell ref="LLQ31:LLR31"/>
    <mergeCell ref="LLS31:LLT31"/>
    <mergeCell ref="LLU31:LLV31"/>
    <mergeCell ref="LLW31:LLX31"/>
    <mergeCell ref="LLY31:LLZ31"/>
    <mergeCell ref="LMA31:LMB31"/>
    <mergeCell ref="LLE31:LLF31"/>
    <mergeCell ref="LLG31:LLH31"/>
    <mergeCell ref="LLI31:LLJ31"/>
    <mergeCell ref="LLK31:LLL31"/>
    <mergeCell ref="LLM31:LLN31"/>
    <mergeCell ref="LLO31:LLP31"/>
    <mergeCell ref="LKS31:LKT31"/>
    <mergeCell ref="LKU31:LKV31"/>
    <mergeCell ref="LKW31:LKX31"/>
    <mergeCell ref="LKY31:LKZ31"/>
    <mergeCell ref="LLA31:LLB31"/>
    <mergeCell ref="LLC31:LLD31"/>
    <mergeCell ref="LKG31:LKH31"/>
    <mergeCell ref="LKI31:LKJ31"/>
    <mergeCell ref="LKK31:LKL31"/>
    <mergeCell ref="LKM31:LKN31"/>
    <mergeCell ref="LKO31:LKP31"/>
    <mergeCell ref="LKQ31:LKR31"/>
    <mergeCell ref="LPI31:LPJ31"/>
    <mergeCell ref="LPK31:LPL31"/>
    <mergeCell ref="LPM31:LPN31"/>
    <mergeCell ref="LPO31:LPP31"/>
    <mergeCell ref="LPQ31:LPR31"/>
    <mergeCell ref="LPS31:LPT31"/>
    <mergeCell ref="LOW31:LOX31"/>
    <mergeCell ref="LOY31:LOZ31"/>
    <mergeCell ref="LPA31:LPB31"/>
    <mergeCell ref="LPC31:LPD31"/>
    <mergeCell ref="LPE31:LPF31"/>
    <mergeCell ref="LPG31:LPH31"/>
    <mergeCell ref="LOK31:LOL31"/>
    <mergeCell ref="LOM31:LON31"/>
    <mergeCell ref="LOO31:LOP31"/>
    <mergeCell ref="LOQ31:LOR31"/>
    <mergeCell ref="LOS31:LOT31"/>
    <mergeCell ref="LOU31:LOV31"/>
    <mergeCell ref="LNY31:LNZ31"/>
    <mergeCell ref="LOA31:LOB31"/>
    <mergeCell ref="LOC31:LOD31"/>
    <mergeCell ref="LOE31:LOF31"/>
    <mergeCell ref="LOG31:LOH31"/>
    <mergeCell ref="LOI31:LOJ31"/>
    <mergeCell ref="LNM31:LNN31"/>
    <mergeCell ref="LNO31:LNP31"/>
    <mergeCell ref="LNQ31:LNR31"/>
    <mergeCell ref="LNS31:LNT31"/>
    <mergeCell ref="LNU31:LNV31"/>
    <mergeCell ref="LNW31:LNX31"/>
    <mergeCell ref="LNA31:LNB31"/>
    <mergeCell ref="LNC31:LND31"/>
    <mergeCell ref="LNE31:LNF31"/>
    <mergeCell ref="LNG31:LNH31"/>
    <mergeCell ref="LNI31:LNJ31"/>
    <mergeCell ref="LNK31:LNL31"/>
    <mergeCell ref="LSC31:LSD31"/>
    <mergeCell ref="LSE31:LSF31"/>
    <mergeCell ref="LSG31:LSH31"/>
    <mergeCell ref="LSI31:LSJ31"/>
    <mergeCell ref="LSK31:LSL31"/>
    <mergeCell ref="LSM31:LSN31"/>
    <mergeCell ref="LRQ31:LRR31"/>
    <mergeCell ref="LRS31:LRT31"/>
    <mergeCell ref="LRU31:LRV31"/>
    <mergeCell ref="LRW31:LRX31"/>
    <mergeCell ref="LRY31:LRZ31"/>
    <mergeCell ref="LSA31:LSB31"/>
    <mergeCell ref="LRE31:LRF31"/>
    <mergeCell ref="LRG31:LRH31"/>
    <mergeCell ref="LRI31:LRJ31"/>
    <mergeCell ref="LRK31:LRL31"/>
    <mergeCell ref="LRM31:LRN31"/>
    <mergeCell ref="LRO31:LRP31"/>
    <mergeCell ref="LQS31:LQT31"/>
    <mergeCell ref="LQU31:LQV31"/>
    <mergeCell ref="LQW31:LQX31"/>
    <mergeCell ref="LQY31:LQZ31"/>
    <mergeCell ref="LRA31:LRB31"/>
    <mergeCell ref="LRC31:LRD31"/>
    <mergeCell ref="LQG31:LQH31"/>
    <mergeCell ref="LQI31:LQJ31"/>
    <mergeCell ref="LQK31:LQL31"/>
    <mergeCell ref="LQM31:LQN31"/>
    <mergeCell ref="LQO31:LQP31"/>
    <mergeCell ref="LQQ31:LQR31"/>
    <mergeCell ref="LPU31:LPV31"/>
    <mergeCell ref="LPW31:LPX31"/>
    <mergeCell ref="LPY31:LPZ31"/>
    <mergeCell ref="LQA31:LQB31"/>
    <mergeCell ref="LQC31:LQD31"/>
    <mergeCell ref="LQE31:LQF31"/>
    <mergeCell ref="LUW31:LUX31"/>
    <mergeCell ref="LUY31:LUZ31"/>
    <mergeCell ref="LVA31:LVB31"/>
    <mergeCell ref="LVC31:LVD31"/>
    <mergeCell ref="LVE31:LVF31"/>
    <mergeCell ref="LVG31:LVH31"/>
    <mergeCell ref="LUK31:LUL31"/>
    <mergeCell ref="LUM31:LUN31"/>
    <mergeCell ref="LUO31:LUP31"/>
    <mergeCell ref="LUQ31:LUR31"/>
    <mergeCell ref="LUS31:LUT31"/>
    <mergeCell ref="LUU31:LUV31"/>
    <mergeCell ref="LTY31:LTZ31"/>
    <mergeCell ref="LUA31:LUB31"/>
    <mergeCell ref="LUC31:LUD31"/>
    <mergeCell ref="LUE31:LUF31"/>
    <mergeCell ref="LUG31:LUH31"/>
    <mergeCell ref="LUI31:LUJ31"/>
    <mergeCell ref="LTM31:LTN31"/>
    <mergeCell ref="LTO31:LTP31"/>
    <mergeCell ref="LTQ31:LTR31"/>
    <mergeCell ref="LTS31:LTT31"/>
    <mergeCell ref="LTU31:LTV31"/>
    <mergeCell ref="LTW31:LTX31"/>
    <mergeCell ref="LTA31:LTB31"/>
    <mergeCell ref="LTC31:LTD31"/>
    <mergeCell ref="LTE31:LTF31"/>
    <mergeCell ref="LTG31:LTH31"/>
    <mergeCell ref="LTI31:LTJ31"/>
    <mergeCell ref="LTK31:LTL31"/>
    <mergeCell ref="LSO31:LSP31"/>
    <mergeCell ref="LSQ31:LSR31"/>
    <mergeCell ref="LSS31:LST31"/>
    <mergeCell ref="LSU31:LSV31"/>
    <mergeCell ref="LSW31:LSX31"/>
    <mergeCell ref="LSY31:LSZ31"/>
    <mergeCell ref="LXQ31:LXR31"/>
    <mergeCell ref="LXS31:LXT31"/>
    <mergeCell ref="LXU31:LXV31"/>
    <mergeCell ref="LXW31:LXX31"/>
    <mergeCell ref="LXY31:LXZ31"/>
    <mergeCell ref="LYA31:LYB31"/>
    <mergeCell ref="LXE31:LXF31"/>
    <mergeCell ref="LXG31:LXH31"/>
    <mergeCell ref="LXI31:LXJ31"/>
    <mergeCell ref="LXK31:LXL31"/>
    <mergeCell ref="LXM31:LXN31"/>
    <mergeCell ref="LXO31:LXP31"/>
    <mergeCell ref="LWS31:LWT31"/>
    <mergeCell ref="LWU31:LWV31"/>
    <mergeCell ref="LWW31:LWX31"/>
    <mergeCell ref="LWY31:LWZ31"/>
    <mergeCell ref="LXA31:LXB31"/>
    <mergeCell ref="LXC31:LXD31"/>
    <mergeCell ref="LWG31:LWH31"/>
    <mergeCell ref="LWI31:LWJ31"/>
    <mergeCell ref="LWK31:LWL31"/>
    <mergeCell ref="LWM31:LWN31"/>
    <mergeCell ref="LWO31:LWP31"/>
    <mergeCell ref="LWQ31:LWR31"/>
    <mergeCell ref="LVU31:LVV31"/>
    <mergeCell ref="LVW31:LVX31"/>
    <mergeCell ref="LVY31:LVZ31"/>
    <mergeCell ref="LWA31:LWB31"/>
    <mergeCell ref="LWC31:LWD31"/>
    <mergeCell ref="LWE31:LWF31"/>
    <mergeCell ref="LVI31:LVJ31"/>
    <mergeCell ref="LVK31:LVL31"/>
    <mergeCell ref="LVM31:LVN31"/>
    <mergeCell ref="LVO31:LVP31"/>
    <mergeCell ref="LVQ31:LVR31"/>
    <mergeCell ref="LVS31:LVT31"/>
    <mergeCell ref="MAK31:MAL31"/>
    <mergeCell ref="MAM31:MAN31"/>
    <mergeCell ref="MAO31:MAP31"/>
    <mergeCell ref="MAQ31:MAR31"/>
    <mergeCell ref="MAS31:MAT31"/>
    <mergeCell ref="MAU31:MAV31"/>
    <mergeCell ref="LZY31:LZZ31"/>
    <mergeCell ref="MAA31:MAB31"/>
    <mergeCell ref="MAC31:MAD31"/>
    <mergeCell ref="MAE31:MAF31"/>
    <mergeCell ref="MAG31:MAH31"/>
    <mergeCell ref="MAI31:MAJ31"/>
    <mergeCell ref="LZM31:LZN31"/>
    <mergeCell ref="LZO31:LZP31"/>
    <mergeCell ref="LZQ31:LZR31"/>
    <mergeCell ref="LZS31:LZT31"/>
    <mergeCell ref="LZU31:LZV31"/>
    <mergeCell ref="LZW31:LZX31"/>
    <mergeCell ref="LZA31:LZB31"/>
    <mergeCell ref="LZC31:LZD31"/>
    <mergeCell ref="LZE31:LZF31"/>
    <mergeCell ref="LZG31:LZH31"/>
    <mergeCell ref="LZI31:LZJ31"/>
    <mergeCell ref="LZK31:LZL31"/>
    <mergeCell ref="LYO31:LYP31"/>
    <mergeCell ref="LYQ31:LYR31"/>
    <mergeCell ref="LYS31:LYT31"/>
    <mergeCell ref="LYU31:LYV31"/>
    <mergeCell ref="LYW31:LYX31"/>
    <mergeCell ref="LYY31:LYZ31"/>
    <mergeCell ref="LYC31:LYD31"/>
    <mergeCell ref="LYE31:LYF31"/>
    <mergeCell ref="LYG31:LYH31"/>
    <mergeCell ref="LYI31:LYJ31"/>
    <mergeCell ref="LYK31:LYL31"/>
    <mergeCell ref="LYM31:LYN31"/>
    <mergeCell ref="MDE31:MDF31"/>
    <mergeCell ref="MDG31:MDH31"/>
    <mergeCell ref="MDI31:MDJ31"/>
    <mergeCell ref="MDK31:MDL31"/>
    <mergeCell ref="MDM31:MDN31"/>
    <mergeCell ref="MDO31:MDP31"/>
    <mergeCell ref="MCS31:MCT31"/>
    <mergeCell ref="MCU31:MCV31"/>
    <mergeCell ref="MCW31:MCX31"/>
    <mergeCell ref="MCY31:MCZ31"/>
    <mergeCell ref="MDA31:MDB31"/>
    <mergeCell ref="MDC31:MDD31"/>
    <mergeCell ref="MCG31:MCH31"/>
    <mergeCell ref="MCI31:MCJ31"/>
    <mergeCell ref="MCK31:MCL31"/>
    <mergeCell ref="MCM31:MCN31"/>
    <mergeCell ref="MCO31:MCP31"/>
    <mergeCell ref="MCQ31:MCR31"/>
    <mergeCell ref="MBU31:MBV31"/>
    <mergeCell ref="MBW31:MBX31"/>
    <mergeCell ref="MBY31:MBZ31"/>
    <mergeCell ref="MCA31:MCB31"/>
    <mergeCell ref="MCC31:MCD31"/>
    <mergeCell ref="MCE31:MCF31"/>
    <mergeCell ref="MBI31:MBJ31"/>
    <mergeCell ref="MBK31:MBL31"/>
    <mergeCell ref="MBM31:MBN31"/>
    <mergeCell ref="MBO31:MBP31"/>
    <mergeCell ref="MBQ31:MBR31"/>
    <mergeCell ref="MBS31:MBT31"/>
    <mergeCell ref="MAW31:MAX31"/>
    <mergeCell ref="MAY31:MAZ31"/>
    <mergeCell ref="MBA31:MBB31"/>
    <mergeCell ref="MBC31:MBD31"/>
    <mergeCell ref="MBE31:MBF31"/>
    <mergeCell ref="MBG31:MBH31"/>
    <mergeCell ref="MFY31:MFZ31"/>
    <mergeCell ref="MGA31:MGB31"/>
    <mergeCell ref="MGC31:MGD31"/>
    <mergeCell ref="MGE31:MGF31"/>
    <mergeCell ref="MGG31:MGH31"/>
    <mergeCell ref="MGI31:MGJ31"/>
    <mergeCell ref="MFM31:MFN31"/>
    <mergeCell ref="MFO31:MFP31"/>
    <mergeCell ref="MFQ31:MFR31"/>
    <mergeCell ref="MFS31:MFT31"/>
    <mergeCell ref="MFU31:MFV31"/>
    <mergeCell ref="MFW31:MFX31"/>
    <mergeCell ref="MFA31:MFB31"/>
    <mergeCell ref="MFC31:MFD31"/>
    <mergeCell ref="MFE31:MFF31"/>
    <mergeCell ref="MFG31:MFH31"/>
    <mergeCell ref="MFI31:MFJ31"/>
    <mergeCell ref="MFK31:MFL31"/>
    <mergeCell ref="MEO31:MEP31"/>
    <mergeCell ref="MEQ31:MER31"/>
    <mergeCell ref="MES31:MET31"/>
    <mergeCell ref="MEU31:MEV31"/>
    <mergeCell ref="MEW31:MEX31"/>
    <mergeCell ref="MEY31:MEZ31"/>
    <mergeCell ref="MEC31:MED31"/>
    <mergeCell ref="MEE31:MEF31"/>
    <mergeCell ref="MEG31:MEH31"/>
    <mergeCell ref="MEI31:MEJ31"/>
    <mergeCell ref="MEK31:MEL31"/>
    <mergeCell ref="MEM31:MEN31"/>
    <mergeCell ref="MDQ31:MDR31"/>
    <mergeCell ref="MDS31:MDT31"/>
    <mergeCell ref="MDU31:MDV31"/>
    <mergeCell ref="MDW31:MDX31"/>
    <mergeCell ref="MDY31:MDZ31"/>
    <mergeCell ref="MEA31:MEB31"/>
    <mergeCell ref="MIS31:MIT31"/>
    <mergeCell ref="MIU31:MIV31"/>
    <mergeCell ref="MIW31:MIX31"/>
    <mergeCell ref="MIY31:MIZ31"/>
    <mergeCell ref="MJA31:MJB31"/>
    <mergeCell ref="MJC31:MJD31"/>
    <mergeCell ref="MIG31:MIH31"/>
    <mergeCell ref="MII31:MIJ31"/>
    <mergeCell ref="MIK31:MIL31"/>
    <mergeCell ref="MIM31:MIN31"/>
    <mergeCell ref="MIO31:MIP31"/>
    <mergeCell ref="MIQ31:MIR31"/>
    <mergeCell ref="MHU31:MHV31"/>
    <mergeCell ref="MHW31:MHX31"/>
    <mergeCell ref="MHY31:MHZ31"/>
    <mergeCell ref="MIA31:MIB31"/>
    <mergeCell ref="MIC31:MID31"/>
    <mergeCell ref="MIE31:MIF31"/>
    <mergeCell ref="MHI31:MHJ31"/>
    <mergeCell ref="MHK31:MHL31"/>
    <mergeCell ref="MHM31:MHN31"/>
    <mergeCell ref="MHO31:MHP31"/>
    <mergeCell ref="MHQ31:MHR31"/>
    <mergeCell ref="MHS31:MHT31"/>
    <mergeCell ref="MGW31:MGX31"/>
    <mergeCell ref="MGY31:MGZ31"/>
    <mergeCell ref="MHA31:MHB31"/>
    <mergeCell ref="MHC31:MHD31"/>
    <mergeCell ref="MHE31:MHF31"/>
    <mergeCell ref="MHG31:MHH31"/>
    <mergeCell ref="MGK31:MGL31"/>
    <mergeCell ref="MGM31:MGN31"/>
    <mergeCell ref="MGO31:MGP31"/>
    <mergeCell ref="MGQ31:MGR31"/>
    <mergeCell ref="MGS31:MGT31"/>
    <mergeCell ref="MGU31:MGV31"/>
    <mergeCell ref="MLM31:MLN31"/>
    <mergeCell ref="MLO31:MLP31"/>
    <mergeCell ref="MLQ31:MLR31"/>
    <mergeCell ref="MLS31:MLT31"/>
    <mergeCell ref="MLU31:MLV31"/>
    <mergeCell ref="MLW31:MLX31"/>
    <mergeCell ref="MLA31:MLB31"/>
    <mergeCell ref="MLC31:MLD31"/>
    <mergeCell ref="MLE31:MLF31"/>
    <mergeCell ref="MLG31:MLH31"/>
    <mergeCell ref="MLI31:MLJ31"/>
    <mergeCell ref="MLK31:MLL31"/>
    <mergeCell ref="MKO31:MKP31"/>
    <mergeCell ref="MKQ31:MKR31"/>
    <mergeCell ref="MKS31:MKT31"/>
    <mergeCell ref="MKU31:MKV31"/>
    <mergeCell ref="MKW31:MKX31"/>
    <mergeCell ref="MKY31:MKZ31"/>
    <mergeCell ref="MKC31:MKD31"/>
    <mergeCell ref="MKE31:MKF31"/>
    <mergeCell ref="MKG31:MKH31"/>
    <mergeCell ref="MKI31:MKJ31"/>
    <mergeCell ref="MKK31:MKL31"/>
    <mergeCell ref="MKM31:MKN31"/>
    <mergeCell ref="MJQ31:MJR31"/>
    <mergeCell ref="MJS31:MJT31"/>
    <mergeCell ref="MJU31:MJV31"/>
    <mergeCell ref="MJW31:MJX31"/>
    <mergeCell ref="MJY31:MJZ31"/>
    <mergeCell ref="MKA31:MKB31"/>
    <mergeCell ref="MJE31:MJF31"/>
    <mergeCell ref="MJG31:MJH31"/>
    <mergeCell ref="MJI31:MJJ31"/>
    <mergeCell ref="MJK31:MJL31"/>
    <mergeCell ref="MJM31:MJN31"/>
    <mergeCell ref="MJO31:MJP31"/>
    <mergeCell ref="MOG31:MOH31"/>
    <mergeCell ref="MOI31:MOJ31"/>
    <mergeCell ref="MOK31:MOL31"/>
    <mergeCell ref="MOM31:MON31"/>
    <mergeCell ref="MOO31:MOP31"/>
    <mergeCell ref="MOQ31:MOR31"/>
    <mergeCell ref="MNU31:MNV31"/>
    <mergeCell ref="MNW31:MNX31"/>
    <mergeCell ref="MNY31:MNZ31"/>
    <mergeCell ref="MOA31:MOB31"/>
    <mergeCell ref="MOC31:MOD31"/>
    <mergeCell ref="MOE31:MOF31"/>
    <mergeCell ref="MNI31:MNJ31"/>
    <mergeCell ref="MNK31:MNL31"/>
    <mergeCell ref="MNM31:MNN31"/>
    <mergeCell ref="MNO31:MNP31"/>
    <mergeCell ref="MNQ31:MNR31"/>
    <mergeCell ref="MNS31:MNT31"/>
    <mergeCell ref="MMW31:MMX31"/>
    <mergeCell ref="MMY31:MMZ31"/>
    <mergeCell ref="MNA31:MNB31"/>
    <mergeCell ref="MNC31:MND31"/>
    <mergeCell ref="MNE31:MNF31"/>
    <mergeCell ref="MNG31:MNH31"/>
    <mergeCell ref="MMK31:MML31"/>
    <mergeCell ref="MMM31:MMN31"/>
    <mergeCell ref="MMO31:MMP31"/>
    <mergeCell ref="MMQ31:MMR31"/>
    <mergeCell ref="MMS31:MMT31"/>
    <mergeCell ref="MMU31:MMV31"/>
    <mergeCell ref="MLY31:MLZ31"/>
    <mergeCell ref="MMA31:MMB31"/>
    <mergeCell ref="MMC31:MMD31"/>
    <mergeCell ref="MME31:MMF31"/>
    <mergeCell ref="MMG31:MMH31"/>
    <mergeCell ref="MMI31:MMJ31"/>
    <mergeCell ref="MRA31:MRB31"/>
    <mergeCell ref="MRC31:MRD31"/>
    <mergeCell ref="MRE31:MRF31"/>
    <mergeCell ref="MRG31:MRH31"/>
    <mergeCell ref="MRI31:MRJ31"/>
    <mergeCell ref="MRK31:MRL31"/>
    <mergeCell ref="MQO31:MQP31"/>
    <mergeCell ref="MQQ31:MQR31"/>
    <mergeCell ref="MQS31:MQT31"/>
    <mergeCell ref="MQU31:MQV31"/>
    <mergeCell ref="MQW31:MQX31"/>
    <mergeCell ref="MQY31:MQZ31"/>
    <mergeCell ref="MQC31:MQD31"/>
    <mergeCell ref="MQE31:MQF31"/>
    <mergeCell ref="MQG31:MQH31"/>
    <mergeCell ref="MQI31:MQJ31"/>
    <mergeCell ref="MQK31:MQL31"/>
    <mergeCell ref="MQM31:MQN31"/>
    <mergeCell ref="MPQ31:MPR31"/>
    <mergeCell ref="MPS31:MPT31"/>
    <mergeCell ref="MPU31:MPV31"/>
    <mergeCell ref="MPW31:MPX31"/>
    <mergeCell ref="MPY31:MPZ31"/>
    <mergeCell ref="MQA31:MQB31"/>
    <mergeCell ref="MPE31:MPF31"/>
    <mergeCell ref="MPG31:MPH31"/>
    <mergeCell ref="MPI31:MPJ31"/>
    <mergeCell ref="MPK31:MPL31"/>
    <mergeCell ref="MPM31:MPN31"/>
    <mergeCell ref="MPO31:MPP31"/>
    <mergeCell ref="MOS31:MOT31"/>
    <mergeCell ref="MOU31:MOV31"/>
    <mergeCell ref="MOW31:MOX31"/>
    <mergeCell ref="MOY31:MOZ31"/>
    <mergeCell ref="MPA31:MPB31"/>
    <mergeCell ref="MPC31:MPD31"/>
    <mergeCell ref="MTU31:MTV31"/>
    <mergeCell ref="MTW31:MTX31"/>
    <mergeCell ref="MTY31:MTZ31"/>
    <mergeCell ref="MUA31:MUB31"/>
    <mergeCell ref="MUC31:MUD31"/>
    <mergeCell ref="MUE31:MUF31"/>
    <mergeCell ref="MTI31:MTJ31"/>
    <mergeCell ref="MTK31:MTL31"/>
    <mergeCell ref="MTM31:MTN31"/>
    <mergeCell ref="MTO31:MTP31"/>
    <mergeCell ref="MTQ31:MTR31"/>
    <mergeCell ref="MTS31:MTT31"/>
    <mergeCell ref="MSW31:MSX31"/>
    <mergeCell ref="MSY31:MSZ31"/>
    <mergeCell ref="MTA31:MTB31"/>
    <mergeCell ref="MTC31:MTD31"/>
    <mergeCell ref="MTE31:MTF31"/>
    <mergeCell ref="MTG31:MTH31"/>
    <mergeCell ref="MSK31:MSL31"/>
    <mergeCell ref="MSM31:MSN31"/>
    <mergeCell ref="MSO31:MSP31"/>
    <mergeCell ref="MSQ31:MSR31"/>
    <mergeCell ref="MSS31:MST31"/>
    <mergeCell ref="MSU31:MSV31"/>
    <mergeCell ref="MRY31:MRZ31"/>
    <mergeCell ref="MSA31:MSB31"/>
    <mergeCell ref="MSC31:MSD31"/>
    <mergeCell ref="MSE31:MSF31"/>
    <mergeCell ref="MSG31:MSH31"/>
    <mergeCell ref="MSI31:MSJ31"/>
    <mergeCell ref="MRM31:MRN31"/>
    <mergeCell ref="MRO31:MRP31"/>
    <mergeCell ref="MRQ31:MRR31"/>
    <mergeCell ref="MRS31:MRT31"/>
    <mergeCell ref="MRU31:MRV31"/>
    <mergeCell ref="MRW31:MRX31"/>
    <mergeCell ref="MWO31:MWP31"/>
    <mergeCell ref="MWQ31:MWR31"/>
    <mergeCell ref="MWS31:MWT31"/>
    <mergeCell ref="MWU31:MWV31"/>
    <mergeCell ref="MWW31:MWX31"/>
    <mergeCell ref="MWY31:MWZ31"/>
    <mergeCell ref="MWC31:MWD31"/>
    <mergeCell ref="MWE31:MWF31"/>
    <mergeCell ref="MWG31:MWH31"/>
    <mergeCell ref="MWI31:MWJ31"/>
    <mergeCell ref="MWK31:MWL31"/>
    <mergeCell ref="MWM31:MWN31"/>
    <mergeCell ref="MVQ31:MVR31"/>
    <mergeCell ref="MVS31:MVT31"/>
    <mergeCell ref="MVU31:MVV31"/>
    <mergeCell ref="MVW31:MVX31"/>
    <mergeCell ref="MVY31:MVZ31"/>
    <mergeCell ref="MWA31:MWB31"/>
    <mergeCell ref="MVE31:MVF31"/>
    <mergeCell ref="MVG31:MVH31"/>
    <mergeCell ref="MVI31:MVJ31"/>
    <mergeCell ref="MVK31:MVL31"/>
    <mergeCell ref="MVM31:MVN31"/>
    <mergeCell ref="MVO31:MVP31"/>
    <mergeCell ref="MUS31:MUT31"/>
    <mergeCell ref="MUU31:MUV31"/>
    <mergeCell ref="MUW31:MUX31"/>
    <mergeCell ref="MUY31:MUZ31"/>
    <mergeCell ref="MVA31:MVB31"/>
    <mergeCell ref="MVC31:MVD31"/>
    <mergeCell ref="MUG31:MUH31"/>
    <mergeCell ref="MUI31:MUJ31"/>
    <mergeCell ref="MUK31:MUL31"/>
    <mergeCell ref="MUM31:MUN31"/>
    <mergeCell ref="MUO31:MUP31"/>
    <mergeCell ref="MUQ31:MUR31"/>
    <mergeCell ref="MZI31:MZJ31"/>
    <mergeCell ref="MZK31:MZL31"/>
    <mergeCell ref="MZM31:MZN31"/>
    <mergeCell ref="MZO31:MZP31"/>
    <mergeCell ref="MZQ31:MZR31"/>
    <mergeCell ref="MZS31:MZT31"/>
    <mergeCell ref="MYW31:MYX31"/>
    <mergeCell ref="MYY31:MYZ31"/>
    <mergeCell ref="MZA31:MZB31"/>
    <mergeCell ref="MZC31:MZD31"/>
    <mergeCell ref="MZE31:MZF31"/>
    <mergeCell ref="MZG31:MZH31"/>
    <mergeCell ref="MYK31:MYL31"/>
    <mergeCell ref="MYM31:MYN31"/>
    <mergeCell ref="MYO31:MYP31"/>
    <mergeCell ref="MYQ31:MYR31"/>
    <mergeCell ref="MYS31:MYT31"/>
    <mergeCell ref="MYU31:MYV31"/>
    <mergeCell ref="MXY31:MXZ31"/>
    <mergeCell ref="MYA31:MYB31"/>
    <mergeCell ref="MYC31:MYD31"/>
    <mergeCell ref="MYE31:MYF31"/>
    <mergeCell ref="MYG31:MYH31"/>
    <mergeCell ref="MYI31:MYJ31"/>
    <mergeCell ref="MXM31:MXN31"/>
    <mergeCell ref="MXO31:MXP31"/>
    <mergeCell ref="MXQ31:MXR31"/>
    <mergeCell ref="MXS31:MXT31"/>
    <mergeCell ref="MXU31:MXV31"/>
    <mergeCell ref="MXW31:MXX31"/>
    <mergeCell ref="MXA31:MXB31"/>
    <mergeCell ref="MXC31:MXD31"/>
    <mergeCell ref="MXE31:MXF31"/>
    <mergeCell ref="MXG31:MXH31"/>
    <mergeCell ref="MXI31:MXJ31"/>
    <mergeCell ref="MXK31:MXL31"/>
    <mergeCell ref="NCC31:NCD31"/>
    <mergeCell ref="NCE31:NCF31"/>
    <mergeCell ref="NCG31:NCH31"/>
    <mergeCell ref="NCI31:NCJ31"/>
    <mergeCell ref="NCK31:NCL31"/>
    <mergeCell ref="NCM31:NCN31"/>
    <mergeCell ref="NBQ31:NBR31"/>
    <mergeCell ref="NBS31:NBT31"/>
    <mergeCell ref="NBU31:NBV31"/>
    <mergeCell ref="NBW31:NBX31"/>
    <mergeCell ref="NBY31:NBZ31"/>
    <mergeCell ref="NCA31:NCB31"/>
    <mergeCell ref="NBE31:NBF31"/>
    <mergeCell ref="NBG31:NBH31"/>
    <mergeCell ref="NBI31:NBJ31"/>
    <mergeCell ref="NBK31:NBL31"/>
    <mergeCell ref="NBM31:NBN31"/>
    <mergeCell ref="NBO31:NBP31"/>
    <mergeCell ref="NAS31:NAT31"/>
    <mergeCell ref="NAU31:NAV31"/>
    <mergeCell ref="NAW31:NAX31"/>
    <mergeCell ref="NAY31:NAZ31"/>
    <mergeCell ref="NBA31:NBB31"/>
    <mergeCell ref="NBC31:NBD31"/>
    <mergeCell ref="NAG31:NAH31"/>
    <mergeCell ref="NAI31:NAJ31"/>
    <mergeCell ref="NAK31:NAL31"/>
    <mergeCell ref="NAM31:NAN31"/>
    <mergeCell ref="NAO31:NAP31"/>
    <mergeCell ref="NAQ31:NAR31"/>
    <mergeCell ref="MZU31:MZV31"/>
    <mergeCell ref="MZW31:MZX31"/>
    <mergeCell ref="MZY31:MZZ31"/>
    <mergeCell ref="NAA31:NAB31"/>
    <mergeCell ref="NAC31:NAD31"/>
    <mergeCell ref="NAE31:NAF31"/>
    <mergeCell ref="NEW31:NEX31"/>
    <mergeCell ref="NEY31:NEZ31"/>
    <mergeCell ref="NFA31:NFB31"/>
    <mergeCell ref="NFC31:NFD31"/>
    <mergeCell ref="NFE31:NFF31"/>
    <mergeCell ref="NFG31:NFH31"/>
    <mergeCell ref="NEK31:NEL31"/>
    <mergeCell ref="NEM31:NEN31"/>
    <mergeCell ref="NEO31:NEP31"/>
    <mergeCell ref="NEQ31:NER31"/>
    <mergeCell ref="NES31:NET31"/>
    <mergeCell ref="NEU31:NEV31"/>
    <mergeCell ref="NDY31:NDZ31"/>
    <mergeCell ref="NEA31:NEB31"/>
    <mergeCell ref="NEC31:NED31"/>
    <mergeCell ref="NEE31:NEF31"/>
    <mergeCell ref="NEG31:NEH31"/>
    <mergeCell ref="NEI31:NEJ31"/>
    <mergeCell ref="NDM31:NDN31"/>
    <mergeCell ref="NDO31:NDP31"/>
    <mergeCell ref="NDQ31:NDR31"/>
    <mergeCell ref="NDS31:NDT31"/>
    <mergeCell ref="NDU31:NDV31"/>
    <mergeCell ref="NDW31:NDX31"/>
    <mergeCell ref="NDA31:NDB31"/>
    <mergeCell ref="NDC31:NDD31"/>
    <mergeCell ref="NDE31:NDF31"/>
    <mergeCell ref="NDG31:NDH31"/>
    <mergeCell ref="NDI31:NDJ31"/>
    <mergeCell ref="NDK31:NDL31"/>
    <mergeCell ref="NCO31:NCP31"/>
    <mergeCell ref="NCQ31:NCR31"/>
    <mergeCell ref="NCS31:NCT31"/>
    <mergeCell ref="NCU31:NCV31"/>
    <mergeCell ref="NCW31:NCX31"/>
    <mergeCell ref="NCY31:NCZ31"/>
    <mergeCell ref="NHQ31:NHR31"/>
    <mergeCell ref="NHS31:NHT31"/>
    <mergeCell ref="NHU31:NHV31"/>
    <mergeCell ref="NHW31:NHX31"/>
    <mergeCell ref="NHY31:NHZ31"/>
    <mergeCell ref="NIA31:NIB31"/>
    <mergeCell ref="NHE31:NHF31"/>
    <mergeCell ref="NHG31:NHH31"/>
    <mergeCell ref="NHI31:NHJ31"/>
    <mergeCell ref="NHK31:NHL31"/>
    <mergeCell ref="NHM31:NHN31"/>
    <mergeCell ref="NHO31:NHP31"/>
    <mergeCell ref="NGS31:NGT31"/>
    <mergeCell ref="NGU31:NGV31"/>
    <mergeCell ref="NGW31:NGX31"/>
    <mergeCell ref="NGY31:NGZ31"/>
    <mergeCell ref="NHA31:NHB31"/>
    <mergeCell ref="NHC31:NHD31"/>
    <mergeCell ref="NGG31:NGH31"/>
    <mergeCell ref="NGI31:NGJ31"/>
    <mergeCell ref="NGK31:NGL31"/>
    <mergeCell ref="NGM31:NGN31"/>
    <mergeCell ref="NGO31:NGP31"/>
    <mergeCell ref="NGQ31:NGR31"/>
    <mergeCell ref="NFU31:NFV31"/>
    <mergeCell ref="NFW31:NFX31"/>
    <mergeCell ref="NFY31:NFZ31"/>
    <mergeCell ref="NGA31:NGB31"/>
    <mergeCell ref="NGC31:NGD31"/>
    <mergeCell ref="NGE31:NGF31"/>
    <mergeCell ref="NFI31:NFJ31"/>
    <mergeCell ref="NFK31:NFL31"/>
    <mergeCell ref="NFM31:NFN31"/>
    <mergeCell ref="NFO31:NFP31"/>
    <mergeCell ref="NFQ31:NFR31"/>
    <mergeCell ref="NFS31:NFT31"/>
    <mergeCell ref="NKK31:NKL31"/>
    <mergeCell ref="NKM31:NKN31"/>
    <mergeCell ref="NKO31:NKP31"/>
    <mergeCell ref="NKQ31:NKR31"/>
    <mergeCell ref="NKS31:NKT31"/>
    <mergeCell ref="NKU31:NKV31"/>
    <mergeCell ref="NJY31:NJZ31"/>
    <mergeCell ref="NKA31:NKB31"/>
    <mergeCell ref="NKC31:NKD31"/>
    <mergeCell ref="NKE31:NKF31"/>
    <mergeCell ref="NKG31:NKH31"/>
    <mergeCell ref="NKI31:NKJ31"/>
    <mergeCell ref="NJM31:NJN31"/>
    <mergeCell ref="NJO31:NJP31"/>
    <mergeCell ref="NJQ31:NJR31"/>
    <mergeCell ref="NJS31:NJT31"/>
    <mergeCell ref="NJU31:NJV31"/>
    <mergeCell ref="NJW31:NJX31"/>
    <mergeCell ref="NJA31:NJB31"/>
    <mergeCell ref="NJC31:NJD31"/>
    <mergeCell ref="NJE31:NJF31"/>
    <mergeCell ref="NJG31:NJH31"/>
    <mergeCell ref="NJI31:NJJ31"/>
    <mergeCell ref="NJK31:NJL31"/>
    <mergeCell ref="NIO31:NIP31"/>
    <mergeCell ref="NIQ31:NIR31"/>
    <mergeCell ref="NIS31:NIT31"/>
    <mergeCell ref="NIU31:NIV31"/>
    <mergeCell ref="NIW31:NIX31"/>
    <mergeCell ref="NIY31:NIZ31"/>
    <mergeCell ref="NIC31:NID31"/>
    <mergeCell ref="NIE31:NIF31"/>
    <mergeCell ref="NIG31:NIH31"/>
    <mergeCell ref="NII31:NIJ31"/>
    <mergeCell ref="NIK31:NIL31"/>
    <mergeCell ref="NIM31:NIN31"/>
    <mergeCell ref="NNE31:NNF31"/>
    <mergeCell ref="NNG31:NNH31"/>
    <mergeCell ref="NNI31:NNJ31"/>
    <mergeCell ref="NNK31:NNL31"/>
    <mergeCell ref="NNM31:NNN31"/>
    <mergeCell ref="NNO31:NNP31"/>
    <mergeCell ref="NMS31:NMT31"/>
    <mergeCell ref="NMU31:NMV31"/>
    <mergeCell ref="NMW31:NMX31"/>
    <mergeCell ref="NMY31:NMZ31"/>
    <mergeCell ref="NNA31:NNB31"/>
    <mergeCell ref="NNC31:NND31"/>
    <mergeCell ref="NMG31:NMH31"/>
    <mergeCell ref="NMI31:NMJ31"/>
    <mergeCell ref="NMK31:NML31"/>
    <mergeCell ref="NMM31:NMN31"/>
    <mergeCell ref="NMO31:NMP31"/>
    <mergeCell ref="NMQ31:NMR31"/>
    <mergeCell ref="NLU31:NLV31"/>
    <mergeCell ref="NLW31:NLX31"/>
    <mergeCell ref="NLY31:NLZ31"/>
    <mergeCell ref="NMA31:NMB31"/>
    <mergeCell ref="NMC31:NMD31"/>
    <mergeCell ref="NME31:NMF31"/>
    <mergeCell ref="NLI31:NLJ31"/>
    <mergeCell ref="NLK31:NLL31"/>
    <mergeCell ref="NLM31:NLN31"/>
    <mergeCell ref="NLO31:NLP31"/>
    <mergeCell ref="NLQ31:NLR31"/>
    <mergeCell ref="NLS31:NLT31"/>
    <mergeCell ref="NKW31:NKX31"/>
    <mergeCell ref="NKY31:NKZ31"/>
    <mergeCell ref="NLA31:NLB31"/>
    <mergeCell ref="NLC31:NLD31"/>
    <mergeCell ref="NLE31:NLF31"/>
    <mergeCell ref="NLG31:NLH31"/>
    <mergeCell ref="NPY31:NPZ31"/>
    <mergeCell ref="NQA31:NQB31"/>
    <mergeCell ref="NQC31:NQD31"/>
    <mergeCell ref="NQE31:NQF31"/>
    <mergeCell ref="NQG31:NQH31"/>
    <mergeCell ref="NQI31:NQJ31"/>
    <mergeCell ref="NPM31:NPN31"/>
    <mergeCell ref="NPO31:NPP31"/>
    <mergeCell ref="NPQ31:NPR31"/>
    <mergeCell ref="NPS31:NPT31"/>
    <mergeCell ref="NPU31:NPV31"/>
    <mergeCell ref="NPW31:NPX31"/>
    <mergeCell ref="NPA31:NPB31"/>
    <mergeCell ref="NPC31:NPD31"/>
    <mergeCell ref="NPE31:NPF31"/>
    <mergeCell ref="NPG31:NPH31"/>
    <mergeCell ref="NPI31:NPJ31"/>
    <mergeCell ref="NPK31:NPL31"/>
    <mergeCell ref="NOO31:NOP31"/>
    <mergeCell ref="NOQ31:NOR31"/>
    <mergeCell ref="NOS31:NOT31"/>
    <mergeCell ref="NOU31:NOV31"/>
    <mergeCell ref="NOW31:NOX31"/>
    <mergeCell ref="NOY31:NOZ31"/>
    <mergeCell ref="NOC31:NOD31"/>
    <mergeCell ref="NOE31:NOF31"/>
    <mergeCell ref="NOG31:NOH31"/>
    <mergeCell ref="NOI31:NOJ31"/>
    <mergeCell ref="NOK31:NOL31"/>
    <mergeCell ref="NOM31:NON31"/>
    <mergeCell ref="NNQ31:NNR31"/>
    <mergeCell ref="NNS31:NNT31"/>
    <mergeCell ref="NNU31:NNV31"/>
    <mergeCell ref="NNW31:NNX31"/>
    <mergeCell ref="NNY31:NNZ31"/>
    <mergeCell ref="NOA31:NOB31"/>
    <mergeCell ref="NSS31:NST31"/>
    <mergeCell ref="NSU31:NSV31"/>
    <mergeCell ref="NSW31:NSX31"/>
    <mergeCell ref="NSY31:NSZ31"/>
    <mergeCell ref="NTA31:NTB31"/>
    <mergeCell ref="NTC31:NTD31"/>
    <mergeCell ref="NSG31:NSH31"/>
    <mergeCell ref="NSI31:NSJ31"/>
    <mergeCell ref="NSK31:NSL31"/>
    <mergeCell ref="NSM31:NSN31"/>
    <mergeCell ref="NSO31:NSP31"/>
    <mergeCell ref="NSQ31:NSR31"/>
    <mergeCell ref="NRU31:NRV31"/>
    <mergeCell ref="NRW31:NRX31"/>
    <mergeCell ref="NRY31:NRZ31"/>
    <mergeCell ref="NSA31:NSB31"/>
    <mergeCell ref="NSC31:NSD31"/>
    <mergeCell ref="NSE31:NSF31"/>
    <mergeCell ref="NRI31:NRJ31"/>
    <mergeCell ref="NRK31:NRL31"/>
    <mergeCell ref="NRM31:NRN31"/>
    <mergeCell ref="NRO31:NRP31"/>
    <mergeCell ref="NRQ31:NRR31"/>
    <mergeCell ref="NRS31:NRT31"/>
    <mergeCell ref="NQW31:NQX31"/>
    <mergeCell ref="NQY31:NQZ31"/>
    <mergeCell ref="NRA31:NRB31"/>
    <mergeCell ref="NRC31:NRD31"/>
    <mergeCell ref="NRE31:NRF31"/>
    <mergeCell ref="NRG31:NRH31"/>
    <mergeCell ref="NQK31:NQL31"/>
    <mergeCell ref="NQM31:NQN31"/>
    <mergeCell ref="NQO31:NQP31"/>
    <mergeCell ref="NQQ31:NQR31"/>
    <mergeCell ref="NQS31:NQT31"/>
    <mergeCell ref="NQU31:NQV31"/>
    <mergeCell ref="NVM31:NVN31"/>
    <mergeCell ref="NVO31:NVP31"/>
    <mergeCell ref="NVQ31:NVR31"/>
    <mergeCell ref="NVS31:NVT31"/>
    <mergeCell ref="NVU31:NVV31"/>
    <mergeCell ref="NVW31:NVX31"/>
    <mergeCell ref="NVA31:NVB31"/>
    <mergeCell ref="NVC31:NVD31"/>
    <mergeCell ref="NVE31:NVF31"/>
    <mergeCell ref="NVG31:NVH31"/>
    <mergeCell ref="NVI31:NVJ31"/>
    <mergeCell ref="NVK31:NVL31"/>
    <mergeCell ref="NUO31:NUP31"/>
    <mergeCell ref="NUQ31:NUR31"/>
    <mergeCell ref="NUS31:NUT31"/>
    <mergeCell ref="NUU31:NUV31"/>
    <mergeCell ref="NUW31:NUX31"/>
    <mergeCell ref="NUY31:NUZ31"/>
    <mergeCell ref="NUC31:NUD31"/>
    <mergeCell ref="NUE31:NUF31"/>
    <mergeCell ref="NUG31:NUH31"/>
    <mergeCell ref="NUI31:NUJ31"/>
    <mergeCell ref="NUK31:NUL31"/>
    <mergeCell ref="NUM31:NUN31"/>
    <mergeCell ref="NTQ31:NTR31"/>
    <mergeCell ref="NTS31:NTT31"/>
    <mergeCell ref="NTU31:NTV31"/>
    <mergeCell ref="NTW31:NTX31"/>
    <mergeCell ref="NTY31:NTZ31"/>
    <mergeCell ref="NUA31:NUB31"/>
    <mergeCell ref="NTE31:NTF31"/>
    <mergeCell ref="NTG31:NTH31"/>
    <mergeCell ref="NTI31:NTJ31"/>
    <mergeCell ref="NTK31:NTL31"/>
    <mergeCell ref="NTM31:NTN31"/>
    <mergeCell ref="NTO31:NTP31"/>
    <mergeCell ref="NYG31:NYH31"/>
    <mergeCell ref="NYI31:NYJ31"/>
    <mergeCell ref="NYK31:NYL31"/>
    <mergeCell ref="NYM31:NYN31"/>
    <mergeCell ref="NYO31:NYP31"/>
    <mergeCell ref="NYQ31:NYR31"/>
    <mergeCell ref="NXU31:NXV31"/>
    <mergeCell ref="NXW31:NXX31"/>
    <mergeCell ref="NXY31:NXZ31"/>
    <mergeCell ref="NYA31:NYB31"/>
    <mergeCell ref="NYC31:NYD31"/>
    <mergeCell ref="NYE31:NYF31"/>
    <mergeCell ref="NXI31:NXJ31"/>
    <mergeCell ref="NXK31:NXL31"/>
    <mergeCell ref="NXM31:NXN31"/>
    <mergeCell ref="NXO31:NXP31"/>
    <mergeCell ref="NXQ31:NXR31"/>
    <mergeCell ref="NXS31:NXT31"/>
    <mergeCell ref="NWW31:NWX31"/>
    <mergeCell ref="NWY31:NWZ31"/>
    <mergeCell ref="NXA31:NXB31"/>
    <mergeCell ref="NXC31:NXD31"/>
    <mergeCell ref="NXE31:NXF31"/>
    <mergeCell ref="NXG31:NXH31"/>
    <mergeCell ref="NWK31:NWL31"/>
    <mergeCell ref="NWM31:NWN31"/>
    <mergeCell ref="NWO31:NWP31"/>
    <mergeCell ref="NWQ31:NWR31"/>
    <mergeCell ref="NWS31:NWT31"/>
    <mergeCell ref="NWU31:NWV31"/>
    <mergeCell ref="NVY31:NVZ31"/>
    <mergeCell ref="NWA31:NWB31"/>
    <mergeCell ref="NWC31:NWD31"/>
    <mergeCell ref="NWE31:NWF31"/>
    <mergeCell ref="NWG31:NWH31"/>
    <mergeCell ref="NWI31:NWJ31"/>
    <mergeCell ref="OBA31:OBB31"/>
    <mergeCell ref="OBC31:OBD31"/>
    <mergeCell ref="OBE31:OBF31"/>
    <mergeCell ref="OBG31:OBH31"/>
    <mergeCell ref="OBI31:OBJ31"/>
    <mergeCell ref="OBK31:OBL31"/>
    <mergeCell ref="OAO31:OAP31"/>
    <mergeCell ref="OAQ31:OAR31"/>
    <mergeCell ref="OAS31:OAT31"/>
    <mergeCell ref="OAU31:OAV31"/>
    <mergeCell ref="OAW31:OAX31"/>
    <mergeCell ref="OAY31:OAZ31"/>
    <mergeCell ref="OAC31:OAD31"/>
    <mergeCell ref="OAE31:OAF31"/>
    <mergeCell ref="OAG31:OAH31"/>
    <mergeCell ref="OAI31:OAJ31"/>
    <mergeCell ref="OAK31:OAL31"/>
    <mergeCell ref="OAM31:OAN31"/>
    <mergeCell ref="NZQ31:NZR31"/>
    <mergeCell ref="NZS31:NZT31"/>
    <mergeCell ref="NZU31:NZV31"/>
    <mergeCell ref="NZW31:NZX31"/>
    <mergeCell ref="NZY31:NZZ31"/>
    <mergeCell ref="OAA31:OAB31"/>
    <mergeCell ref="NZE31:NZF31"/>
    <mergeCell ref="NZG31:NZH31"/>
    <mergeCell ref="NZI31:NZJ31"/>
    <mergeCell ref="NZK31:NZL31"/>
    <mergeCell ref="NZM31:NZN31"/>
    <mergeCell ref="NZO31:NZP31"/>
    <mergeCell ref="NYS31:NYT31"/>
    <mergeCell ref="NYU31:NYV31"/>
    <mergeCell ref="NYW31:NYX31"/>
    <mergeCell ref="NYY31:NYZ31"/>
    <mergeCell ref="NZA31:NZB31"/>
    <mergeCell ref="NZC31:NZD31"/>
    <mergeCell ref="ODU31:ODV31"/>
    <mergeCell ref="ODW31:ODX31"/>
    <mergeCell ref="ODY31:ODZ31"/>
    <mergeCell ref="OEA31:OEB31"/>
    <mergeCell ref="OEC31:OED31"/>
    <mergeCell ref="OEE31:OEF31"/>
    <mergeCell ref="ODI31:ODJ31"/>
    <mergeCell ref="ODK31:ODL31"/>
    <mergeCell ref="ODM31:ODN31"/>
    <mergeCell ref="ODO31:ODP31"/>
    <mergeCell ref="ODQ31:ODR31"/>
    <mergeCell ref="ODS31:ODT31"/>
    <mergeCell ref="OCW31:OCX31"/>
    <mergeCell ref="OCY31:OCZ31"/>
    <mergeCell ref="ODA31:ODB31"/>
    <mergeCell ref="ODC31:ODD31"/>
    <mergeCell ref="ODE31:ODF31"/>
    <mergeCell ref="ODG31:ODH31"/>
    <mergeCell ref="OCK31:OCL31"/>
    <mergeCell ref="OCM31:OCN31"/>
    <mergeCell ref="OCO31:OCP31"/>
    <mergeCell ref="OCQ31:OCR31"/>
    <mergeCell ref="OCS31:OCT31"/>
    <mergeCell ref="OCU31:OCV31"/>
    <mergeCell ref="OBY31:OBZ31"/>
    <mergeCell ref="OCA31:OCB31"/>
    <mergeCell ref="OCC31:OCD31"/>
    <mergeCell ref="OCE31:OCF31"/>
    <mergeCell ref="OCG31:OCH31"/>
    <mergeCell ref="OCI31:OCJ31"/>
    <mergeCell ref="OBM31:OBN31"/>
    <mergeCell ref="OBO31:OBP31"/>
    <mergeCell ref="OBQ31:OBR31"/>
    <mergeCell ref="OBS31:OBT31"/>
    <mergeCell ref="OBU31:OBV31"/>
    <mergeCell ref="OBW31:OBX31"/>
    <mergeCell ref="OGO31:OGP31"/>
    <mergeCell ref="OGQ31:OGR31"/>
    <mergeCell ref="OGS31:OGT31"/>
    <mergeCell ref="OGU31:OGV31"/>
    <mergeCell ref="OGW31:OGX31"/>
    <mergeCell ref="OGY31:OGZ31"/>
    <mergeCell ref="OGC31:OGD31"/>
    <mergeCell ref="OGE31:OGF31"/>
    <mergeCell ref="OGG31:OGH31"/>
    <mergeCell ref="OGI31:OGJ31"/>
    <mergeCell ref="OGK31:OGL31"/>
    <mergeCell ref="OGM31:OGN31"/>
    <mergeCell ref="OFQ31:OFR31"/>
    <mergeCell ref="OFS31:OFT31"/>
    <mergeCell ref="OFU31:OFV31"/>
    <mergeCell ref="OFW31:OFX31"/>
    <mergeCell ref="OFY31:OFZ31"/>
    <mergeCell ref="OGA31:OGB31"/>
    <mergeCell ref="OFE31:OFF31"/>
    <mergeCell ref="OFG31:OFH31"/>
    <mergeCell ref="OFI31:OFJ31"/>
    <mergeCell ref="OFK31:OFL31"/>
    <mergeCell ref="OFM31:OFN31"/>
    <mergeCell ref="OFO31:OFP31"/>
    <mergeCell ref="OES31:OET31"/>
    <mergeCell ref="OEU31:OEV31"/>
    <mergeCell ref="OEW31:OEX31"/>
    <mergeCell ref="OEY31:OEZ31"/>
    <mergeCell ref="OFA31:OFB31"/>
    <mergeCell ref="OFC31:OFD31"/>
    <mergeCell ref="OEG31:OEH31"/>
    <mergeCell ref="OEI31:OEJ31"/>
    <mergeCell ref="OEK31:OEL31"/>
    <mergeCell ref="OEM31:OEN31"/>
    <mergeCell ref="OEO31:OEP31"/>
    <mergeCell ref="OEQ31:OER31"/>
    <mergeCell ref="OJI31:OJJ31"/>
    <mergeCell ref="OJK31:OJL31"/>
    <mergeCell ref="OJM31:OJN31"/>
    <mergeCell ref="OJO31:OJP31"/>
    <mergeCell ref="OJQ31:OJR31"/>
    <mergeCell ref="OJS31:OJT31"/>
    <mergeCell ref="OIW31:OIX31"/>
    <mergeCell ref="OIY31:OIZ31"/>
    <mergeCell ref="OJA31:OJB31"/>
    <mergeCell ref="OJC31:OJD31"/>
    <mergeCell ref="OJE31:OJF31"/>
    <mergeCell ref="OJG31:OJH31"/>
    <mergeCell ref="OIK31:OIL31"/>
    <mergeCell ref="OIM31:OIN31"/>
    <mergeCell ref="OIO31:OIP31"/>
    <mergeCell ref="OIQ31:OIR31"/>
    <mergeCell ref="OIS31:OIT31"/>
    <mergeCell ref="OIU31:OIV31"/>
    <mergeCell ref="OHY31:OHZ31"/>
    <mergeCell ref="OIA31:OIB31"/>
    <mergeCell ref="OIC31:OID31"/>
    <mergeCell ref="OIE31:OIF31"/>
    <mergeCell ref="OIG31:OIH31"/>
    <mergeCell ref="OII31:OIJ31"/>
    <mergeCell ref="OHM31:OHN31"/>
    <mergeCell ref="OHO31:OHP31"/>
    <mergeCell ref="OHQ31:OHR31"/>
    <mergeCell ref="OHS31:OHT31"/>
    <mergeCell ref="OHU31:OHV31"/>
    <mergeCell ref="OHW31:OHX31"/>
    <mergeCell ref="OHA31:OHB31"/>
    <mergeCell ref="OHC31:OHD31"/>
    <mergeCell ref="OHE31:OHF31"/>
    <mergeCell ref="OHG31:OHH31"/>
    <mergeCell ref="OHI31:OHJ31"/>
    <mergeCell ref="OHK31:OHL31"/>
    <mergeCell ref="OMC31:OMD31"/>
    <mergeCell ref="OME31:OMF31"/>
    <mergeCell ref="OMG31:OMH31"/>
    <mergeCell ref="OMI31:OMJ31"/>
    <mergeCell ref="OMK31:OML31"/>
    <mergeCell ref="OMM31:OMN31"/>
    <mergeCell ref="OLQ31:OLR31"/>
    <mergeCell ref="OLS31:OLT31"/>
    <mergeCell ref="OLU31:OLV31"/>
    <mergeCell ref="OLW31:OLX31"/>
    <mergeCell ref="OLY31:OLZ31"/>
    <mergeCell ref="OMA31:OMB31"/>
    <mergeCell ref="OLE31:OLF31"/>
    <mergeCell ref="OLG31:OLH31"/>
    <mergeCell ref="OLI31:OLJ31"/>
    <mergeCell ref="OLK31:OLL31"/>
    <mergeCell ref="OLM31:OLN31"/>
    <mergeCell ref="OLO31:OLP31"/>
    <mergeCell ref="OKS31:OKT31"/>
    <mergeCell ref="OKU31:OKV31"/>
    <mergeCell ref="OKW31:OKX31"/>
    <mergeCell ref="OKY31:OKZ31"/>
    <mergeCell ref="OLA31:OLB31"/>
    <mergeCell ref="OLC31:OLD31"/>
    <mergeCell ref="OKG31:OKH31"/>
    <mergeCell ref="OKI31:OKJ31"/>
    <mergeCell ref="OKK31:OKL31"/>
    <mergeCell ref="OKM31:OKN31"/>
    <mergeCell ref="OKO31:OKP31"/>
    <mergeCell ref="OKQ31:OKR31"/>
    <mergeCell ref="OJU31:OJV31"/>
    <mergeCell ref="OJW31:OJX31"/>
    <mergeCell ref="OJY31:OJZ31"/>
    <mergeCell ref="OKA31:OKB31"/>
    <mergeCell ref="OKC31:OKD31"/>
    <mergeCell ref="OKE31:OKF31"/>
    <mergeCell ref="OOW31:OOX31"/>
    <mergeCell ref="OOY31:OOZ31"/>
    <mergeCell ref="OPA31:OPB31"/>
    <mergeCell ref="OPC31:OPD31"/>
    <mergeCell ref="OPE31:OPF31"/>
    <mergeCell ref="OPG31:OPH31"/>
    <mergeCell ref="OOK31:OOL31"/>
    <mergeCell ref="OOM31:OON31"/>
    <mergeCell ref="OOO31:OOP31"/>
    <mergeCell ref="OOQ31:OOR31"/>
    <mergeCell ref="OOS31:OOT31"/>
    <mergeCell ref="OOU31:OOV31"/>
    <mergeCell ref="ONY31:ONZ31"/>
    <mergeCell ref="OOA31:OOB31"/>
    <mergeCell ref="OOC31:OOD31"/>
    <mergeCell ref="OOE31:OOF31"/>
    <mergeCell ref="OOG31:OOH31"/>
    <mergeCell ref="OOI31:OOJ31"/>
    <mergeCell ref="ONM31:ONN31"/>
    <mergeCell ref="ONO31:ONP31"/>
    <mergeCell ref="ONQ31:ONR31"/>
    <mergeCell ref="ONS31:ONT31"/>
    <mergeCell ref="ONU31:ONV31"/>
    <mergeCell ref="ONW31:ONX31"/>
    <mergeCell ref="ONA31:ONB31"/>
    <mergeCell ref="ONC31:OND31"/>
    <mergeCell ref="ONE31:ONF31"/>
    <mergeCell ref="ONG31:ONH31"/>
    <mergeCell ref="ONI31:ONJ31"/>
    <mergeCell ref="ONK31:ONL31"/>
    <mergeCell ref="OMO31:OMP31"/>
    <mergeCell ref="OMQ31:OMR31"/>
    <mergeCell ref="OMS31:OMT31"/>
    <mergeCell ref="OMU31:OMV31"/>
    <mergeCell ref="OMW31:OMX31"/>
    <mergeCell ref="OMY31:OMZ31"/>
    <mergeCell ref="ORQ31:ORR31"/>
    <mergeCell ref="ORS31:ORT31"/>
    <mergeCell ref="ORU31:ORV31"/>
    <mergeCell ref="ORW31:ORX31"/>
    <mergeCell ref="ORY31:ORZ31"/>
    <mergeCell ref="OSA31:OSB31"/>
    <mergeCell ref="ORE31:ORF31"/>
    <mergeCell ref="ORG31:ORH31"/>
    <mergeCell ref="ORI31:ORJ31"/>
    <mergeCell ref="ORK31:ORL31"/>
    <mergeCell ref="ORM31:ORN31"/>
    <mergeCell ref="ORO31:ORP31"/>
    <mergeCell ref="OQS31:OQT31"/>
    <mergeCell ref="OQU31:OQV31"/>
    <mergeCell ref="OQW31:OQX31"/>
    <mergeCell ref="OQY31:OQZ31"/>
    <mergeCell ref="ORA31:ORB31"/>
    <mergeCell ref="ORC31:ORD31"/>
    <mergeCell ref="OQG31:OQH31"/>
    <mergeCell ref="OQI31:OQJ31"/>
    <mergeCell ref="OQK31:OQL31"/>
    <mergeCell ref="OQM31:OQN31"/>
    <mergeCell ref="OQO31:OQP31"/>
    <mergeCell ref="OQQ31:OQR31"/>
    <mergeCell ref="OPU31:OPV31"/>
    <mergeCell ref="OPW31:OPX31"/>
    <mergeCell ref="OPY31:OPZ31"/>
    <mergeCell ref="OQA31:OQB31"/>
    <mergeCell ref="OQC31:OQD31"/>
    <mergeCell ref="OQE31:OQF31"/>
    <mergeCell ref="OPI31:OPJ31"/>
    <mergeCell ref="OPK31:OPL31"/>
    <mergeCell ref="OPM31:OPN31"/>
    <mergeCell ref="OPO31:OPP31"/>
    <mergeCell ref="OPQ31:OPR31"/>
    <mergeCell ref="OPS31:OPT31"/>
    <mergeCell ref="OUK31:OUL31"/>
    <mergeCell ref="OUM31:OUN31"/>
    <mergeCell ref="OUO31:OUP31"/>
    <mergeCell ref="OUQ31:OUR31"/>
    <mergeCell ref="OUS31:OUT31"/>
    <mergeCell ref="OUU31:OUV31"/>
    <mergeCell ref="OTY31:OTZ31"/>
    <mergeCell ref="OUA31:OUB31"/>
    <mergeCell ref="OUC31:OUD31"/>
    <mergeCell ref="OUE31:OUF31"/>
    <mergeCell ref="OUG31:OUH31"/>
    <mergeCell ref="OUI31:OUJ31"/>
    <mergeCell ref="OTM31:OTN31"/>
    <mergeCell ref="OTO31:OTP31"/>
    <mergeCell ref="OTQ31:OTR31"/>
    <mergeCell ref="OTS31:OTT31"/>
    <mergeCell ref="OTU31:OTV31"/>
    <mergeCell ref="OTW31:OTX31"/>
    <mergeCell ref="OTA31:OTB31"/>
    <mergeCell ref="OTC31:OTD31"/>
    <mergeCell ref="OTE31:OTF31"/>
    <mergeCell ref="OTG31:OTH31"/>
    <mergeCell ref="OTI31:OTJ31"/>
    <mergeCell ref="OTK31:OTL31"/>
    <mergeCell ref="OSO31:OSP31"/>
    <mergeCell ref="OSQ31:OSR31"/>
    <mergeCell ref="OSS31:OST31"/>
    <mergeCell ref="OSU31:OSV31"/>
    <mergeCell ref="OSW31:OSX31"/>
    <mergeCell ref="OSY31:OSZ31"/>
    <mergeCell ref="OSC31:OSD31"/>
    <mergeCell ref="OSE31:OSF31"/>
    <mergeCell ref="OSG31:OSH31"/>
    <mergeCell ref="OSI31:OSJ31"/>
    <mergeCell ref="OSK31:OSL31"/>
    <mergeCell ref="OSM31:OSN31"/>
    <mergeCell ref="OXE31:OXF31"/>
    <mergeCell ref="OXG31:OXH31"/>
    <mergeCell ref="OXI31:OXJ31"/>
    <mergeCell ref="OXK31:OXL31"/>
    <mergeCell ref="OXM31:OXN31"/>
    <mergeCell ref="OXO31:OXP31"/>
    <mergeCell ref="OWS31:OWT31"/>
    <mergeCell ref="OWU31:OWV31"/>
    <mergeCell ref="OWW31:OWX31"/>
    <mergeCell ref="OWY31:OWZ31"/>
    <mergeCell ref="OXA31:OXB31"/>
    <mergeCell ref="OXC31:OXD31"/>
    <mergeCell ref="OWG31:OWH31"/>
    <mergeCell ref="OWI31:OWJ31"/>
    <mergeCell ref="OWK31:OWL31"/>
    <mergeCell ref="OWM31:OWN31"/>
    <mergeCell ref="OWO31:OWP31"/>
    <mergeCell ref="OWQ31:OWR31"/>
    <mergeCell ref="OVU31:OVV31"/>
    <mergeCell ref="OVW31:OVX31"/>
    <mergeCell ref="OVY31:OVZ31"/>
    <mergeCell ref="OWA31:OWB31"/>
    <mergeCell ref="OWC31:OWD31"/>
    <mergeCell ref="OWE31:OWF31"/>
    <mergeCell ref="OVI31:OVJ31"/>
    <mergeCell ref="OVK31:OVL31"/>
    <mergeCell ref="OVM31:OVN31"/>
    <mergeCell ref="OVO31:OVP31"/>
    <mergeCell ref="OVQ31:OVR31"/>
    <mergeCell ref="OVS31:OVT31"/>
    <mergeCell ref="OUW31:OUX31"/>
    <mergeCell ref="OUY31:OUZ31"/>
    <mergeCell ref="OVA31:OVB31"/>
    <mergeCell ref="OVC31:OVD31"/>
    <mergeCell ref="OVE31:OVF31"/>
    <mergeCell ref="OVG31:OVH31"/>
    <mergeCell ref="OZY31:OZZ31"/>
    <mergeCell ref="PAA31:PAB31"/>
    <mergeCell ref="PAC31:PAD31"/>
    <mergeCell ref="PAE31:PAF31"/>
    <mergeCell ref="PAG31:PAH31"/>
    <mergeCell ref="PAI31:PAJ31"/>
    <mergeCell ref="OZM31:OZN31"/>
    <mergeCell ref="OZO31:OZP31"/>
    <mergeCell ref="OZQ31:OZR31"/>
    <mergeCell ref="OZS31:OZT31"/>
    <mergeCell ref="OZU31:OZV31"/>
    <mergeCell ref="OZW31:OZX31"/>
    <mergeCell ref="OZA31:OZB31"/>
    <mergeCell ref="OZC31:OZD31"/>
    <mergeCell ref="OZE31:OZF31"/>
    <mergeCell ref="OZG31:OZH31"/>
    <mergeCell ref="OZI31:OZJ31"/>
    <mergeCell ref="OZK31:OZL31"/>
    <mergeCell ref="OYO31:OYP31"/>
    <mergeCell ref="OYQ31:OYR31"/>
    <mergeCell ref="OYS31:OYT31"/>
    <mergeCell ref="OYU31:OYV31"/>
    <mergeCell ref="OYW31:OYX31"/>
    <mergeCell ref="OYY31:OYZ31"/>
    <mergeCell ref="OYC31:OYD31"/>
    <mergeCell ref="OYE31:OYF31"/>
    <mergeCell ref="OYG31:OYH31"/>
    <mergeCell ref="OYI31:OYJ31"/>
    <mergeCell ref="OYK31:OYL31"/>
    <mergeCell ref="OYM31:OYN31"/>
    <mergeCell ref="OXQ31:OXR31"/>
    <mergeCell ref="OXS31:OXT31"/>
    <mergeCell ref="OXU31:OXV31"/>
    <mergeCell ref="OXW31:OXX31"/>
    <mergeCell ref="OXY31:OXZ31"/>
    <mergeCell ref="OYA31:OYB31"/>
    <mergeCell ref="PCS31:PCT31"/>
    <mergeCell ref="PCU31:PCV31"/>
    <mergeCell ref="PCW31:PCX31"/>
    <mergeCell ref="PCY31:PCZ31"/>
    <mergeCell ref="PDA31:PDB31"/>
    <mergeCell ref="PDC31:PDD31"/>
    <mergeCell ref="PCG31:PCH31"/>
    <mergeCell ref="PCI31:PCJ31"/>
    <mergeCell ref="PCK31:PCL31"/>
    <mergeCell ref="PCM31:PCN31"/>
    <mergeCell ref="PCO31:PCP31"/>
    <mergeCell ref="PCQ31:PCR31"/>
    <mergeCell ref="PBU31:PBV31"/>
    <mergeCell ref="PBW31:PBX31"/>
    <mergeCell ref="PBY31:PBZ31"/>
    <mergeCell ref="PCA31:PCB31"/>
    <mergeCell ref="PCC31:PCD31"/>
    <mergeCell ref="PCE31:PCF31"/>
    <mergeCell ref="PBI31:PBJ31"/>
    <mergeCell ref="PBK31:PBL31"/>
    <mergeCell ref="PBM31:PBN31"/>
    <mergeCell ref="PBO31:PBP31"/>
    <mergeCell ref="PBQ31:PBR31"/>
    <mergeCell ref="PBS31:PBT31"/>
    <mergeCell ref="PAW31:PAX31"/>
    <mergeCell ref="PAY31:PAZ31"/>
    <mergeCell ref="PBA31:PBB31"/>
    <mergeCell ref="PBC31:PBD31"/>
    <mergeCell ref="PBE31:PBF31"/>
    <mergeCell ref="PBG31:PBH31"/>
    <mergeCell ref="PAK31:PAL31"/>
    <mergeCell ref="PAM31:PAN31"/>
    <mergeCell ref="PAO31:PAP31"/>
    <mergeCell ref="PAQ31:PAR31"/>
    <mergeCell ref="PAS31:PAT31"/>
    <mergeCell ref="PAU31:PAV31"/>
    <mergeCell ref="PFM31:PFN31"/>
    <mergeCell ref="PFO31:PFP31"/>
    <mergeCell ref="PFQ31:PFR31"/>
    <mergeCell ref="PFS31:PFT31"/>
    <mergeCell ref="PFU31:PFV31"/>
    <mergeCell ref="PFW31:PFX31"/>
    <mergeCell ref="PFA31:PFB31"/>
    <mergeCell ref="PFC31:PFD31"/>
    <mergeCell ref="PFE31:PFF31"/>
    <mergeCell ref="PFG31:PFH31"/>
    <mergeCell ref="PFI31:PFJ31"/>
    <mergeCell ref="PFK31:PFL31"/>
    <mergeCell ref="PEO31:PEP31"/>
    <mergeCell ref="PEQ31:PER31"/>
    <mergeCell ref="PES31:PET31"/>
    <mergeCell ref="PEU31:PEV31"/>
    <mergeCell ref="PEW31:PEX31"/>
    <mergeCell ref="PEY31:PEZ31"/>
    <mergeCell ref="PEC31:PED31"/>
    <mergeCell ref="PEE31:PEF31"/>
    <mergeCell ref="PEG31:PEH31"/>
    <mergeCell ref="PEI31:PEJ31"/>
    <mergeCell ref="PEK31:PEL31"/>
    <mergeCell ref="PEM31:PEN31"/>
    <mergeCell ref="PDQ31:PDR31"/>
    <mergeCell ref="PDS31:PDT31"/>
    <mergeCell ref="PDU31:PDV31"/>
    <mergeCell ref="PDW31:PDX31"/>
    <mergeCell ref="PDY31:PDZ31"/>
    <mergeCell ref="PEA31:PEB31"/>
    <mergeCell ref="PDE31:PDF31"/>
    <mergeCell ref="PDG31:PDH31"/>
    <mergeCell ref="PDI31:PDJ31"/>
    <mergeCell ref="PDK31:PDL31"/>
    <mergeCell ref="PDM31:PDN31"/>
    <mergeCell ref="PDO31:PDP31"/>
    <mergeCell ref="PIG31:PIH31"/>
    <mergeCell ref="PII31:PIJ31"/>
    <mergeCell ref="PIK31:PIL31"/>
    <mergeCell ref="PIM31:PIN31"/>
    <mergeCell ref="PIO31:PIP31"/>
    <mergeCell ref="PIQ31:PIR31"/>
    <mergeCell ref="PHU31:PHV31"/>
    <mergeCell ref="PHW31:PHX31"/>
    <mergeCell ref="PHY31:PHZ31"/>
    <mergeCell ref="PIA31:PIB31"/>
    <mergeCell ref="PIC31:PID31"/>
    <mergeCell ref="PIE31:PIF31"/>
    <mergeCell ref="PHI31:PHJ31"/>
    <mergeCell ref="PHK31:PHL31"/>
    <mergeCell ref="PHM31:PHN31"/>
    <mergeCell ref="PHO31:PHP31"/>
    <mergeCell ref="PHQ31:PHR31"/>
    <mergeCell ref="PHS31:PHT31"/>
    <mergeCell ref="PGW31:PGX31"/>
    <mergeCell ref="PGY31:PGZ31"/>
    <mergeCell ref="PHA31:PHB31"/>
    <mergeCell ref="PHC31:PHD31"/>
    <mergeCell ref="PHE31:PHF31"/>
    <mergeCell ref="PHG31:PHH31"/>
    <mergeCell ref="PGK31:PGL31"/>
    <mergeCell ref="PGM31:PGN31"/>
    <mergeCell ref="PGO31:PGP31"/>
    <mergeCell ref="PGQ31:PGR31"/>
    <mergeCell ref="PGS31:PGT31"/>
    <mergeCell ref="PGU31:PGV31"/>
    <mergeCell ref="PFY31:PFZ31"/>
    <mergeCell ref="PGA31:PGB31"/>
    <mergeCell ref="PGC31:PGD31"/>
    <mergeCell ref="PGE31:PGF31"/>
    <mergeCell ref="PGG31:PGH31"/>
    <mergeCell ref="PGI31:PGJ31"/>
    <mergeCell ref="PLA31:PLB31"/>
    <mergeCell ref="PLC31:PLD31"/>
    <mergeCell ref="PLE31:PLF31"/>
    <mergeCell ref="PLG31:PLH31"/>
    <mergeCell ref="PLI31:PLJ31"/>
    <mergeCell ref="PLK31:PLL31"/>
    <mergeCell ref="PKO31:PKP31"/>
    <mergeCell ref="PKQ31:PKR31"/>
    <mergeCell ref="PKS31:PKT31"/>
    <mergeCell ref="PKU31:PKV31"/>
    <mergeCell ref="PKW31:PKX31"/>
    <mergeCell ref="PKY31:PKZ31"/>
    <mergeCell ref="PKC31:PKD31"/>
    <mergeCell ref="PKE31:PKF31"/>
    <mergeCell ref="PKG31:PKH31"/>
    <mergeCell ref="PKI31:PKJ31"/>
    <mergeCell ref="PKK31:PKL31"/>
    <mergeCell ref="PKM31:PKN31"/>
    <mergeCell ref="PJQ31:PJR31"/>
    <mergeCell ref="PJS31:PJT31"/>
    <mergeCell ref="PJU31:PJV31"/>
    <mergeCell ref="PJW31:PJX31"/>
    <mergeCell ref="PJY31:PJZ31"/>
    <mergeCell ref="PKA31:PKB31"/>
    <mergeCell ref="PJE31:PJF31"/>
    <mergeCell ref="PJG31:PJH31"/>
    <mergeCell ref="PJI31:PJJ31"/>
    <mergeCell ref="PJK31:PJL31"/>
    <mergeCell ref="PJM31:PJN31"/>
    <mergeCell ref="PJO31:PJP31"/>
    <mergeCell ref="PIS31:PIT31"/>
    <mergeCell ref="PIU31:PIV31"/>
    <mergeCell ref="PIW31:PIX31"/>
    <mergeCell ref="PIY31:PIZ31"/>
    <mergeCell ref="PJA31:PJB31"/>
    <mergeCell ref="PJC31:PJD31"/>
    <mergeCell ref="PNU31:PNV31"/>
    <mergeCell ref="PNW31:PNX31"/>
    <mergeCell ref="PNY31:PNZ31"/>
    <mergeCell ref="POA31:POB31"/>
    <mergeCell ref="POC31:POD31"/>
    <mergeCell ref="POE31:POF31"/>
    <mergeCell ref="PNI31:PNJ31"/>
    <mergeCell ref="PNK31:PNL31"/>
    <mergeCell ref="PNM31:PNN31"/>
    <mergeCell ref="PNO31:PNP31"/>
    <mergeCell ref="PNQ31:PNR31"/>
    <mergeCell ref="PNS31:PNT31"/>
    <mergeCell ref="PMW31:PMX31"/>
    <mergeCell ref="PMY31:PMZ31"/>
    <mergeCell ref="PNA31:PNB31"/>
    <mergeCell ref="PNC31:PND31"/>
    <mergeCell ref="PNE31:PNF31"/>
    <mergeCell ref="PNG31:PNH31"/>
    <mergeCell ref="PMK31:PML31"/>
    <mergeCell ref="PMM31:PMN31"/>
    <mergeCell ref="PMO31:PMP31"/>
    <mergeCell ref="PMQ31:PMR31"/>
    <mergeCell ref="PMS31:PMT31"/>
    <mergeCell ref="PMU31:PMV31"/>
    <mergeCell ref="PLY31:PLZ31"/>
    <mergeCell ref="PMA31:PMB31"/>
    <mergeCell ref="PMC31:PMD31"/>
    <mergeCell ref="PME31:PMF31"/>
    <mergeCell ref="PMG31:PMH31"/>
    <mergeCell ref="PMI31:PMJ31"/>
    <mergeCell ref="PLM31:PLN31"/>
    <mergeCell ref="PLO31:PLP31"/>
    <mergeCell ref="PLQ31:PLR31"/>
    <mergeCell ref="PLS31:PLT31"/>
    <mergeCell ref="PLU31:PLV31"/>
    <mergeCell ref="PLW31:PLX31"/>
    <mergeCell ref="PQO31:PQP31"/>
    <mergeCell ref="PQQ31:PQR31"/>
    <mergeCell ref="PQS31:PQT31"/>
    <mergeCell ref="PQU31:PQV31"/>
    <mergeCell ref="PQW31:PQX31"/>
    <mergeCell ref="PQY31:PQZ31"/>
    <mergeCell ref="PQC31:PQD31"/>
    <mergeCell ref="PQE31:PQF31"/>
    <mergeCell ref="PQG31:PQH31"/>
    <mergeCell ref="PQI31:PQJ31"/>
    <mergeCell ref="PQK31:PQL31"/>
    <mergeCell ref="PQM31:PQN31"/>
    <mergeCell ref="PPQ31:PPR31"/>
    <mergeCell ref="PPS31:PPT31"/>
    <mergeCell ref="PPU31:PPV31"/>
    <mergeCell ref="PPW31:PPX31"/>
    <mergeCell ref="PPY31:PPZ31"/>
    <mergeCell ref="PQA31:PQB31"/>
    <mergeCell ref="PPE31:PPF31"/>
    <mergeCell ref="PPG31:PPH31"/>
    <mergeCell ref="PPI31:PPJ31"/>
    <mergeCell ref="PPK31:PPL31"/>
    <mergeCell ref="PPM31:PPN31"/>
    <mergeCell ref="PPO31:PPP31"/>
    <mergeCell ref="POS31:POT31"/>
    <mergeCell ref="POU31:POV31"/>
    <mergeCell ref="POW31:POX31"/>
    <mergeCell ref="POY31:POZ31"/>
    <mergeCell ref="PPA31:PPB31"/>
    <mergeCell ref="PPC31:PPD31"/>
    <mergeCell ref="POG31:POH31"/>
    <mergeCell ref="POI31:POJ31"/>
    <mergeCell ref="POK31:POL31"/>
    <mergeCell ref="POM31:PON31"/>
    <mergeCell ref="POO31:POP31"/>
    <mergeCell ref="POQ31:POR31"/>
    <mergeCell ref="PTI31:PTJ31"/>
    <mergeCell ref="PTK31:PTL31"/>
    <mergeCell ref="PTM31:PTN31"/>
    <mergeCell ref="PTO31:PTP31"/>
    <mergeCell ref="PTQ31:PTR31"/>
    <mergeCell ref="PTS31:PTT31"/>
    <mergeCell ref="PSW31:PSX31"/>
    <mergeCell ref="PSY31:PSZ31"/>
    <mergeCell ref="PTA31:PTB31"/>
    <mergeCell ref="PTC31:PTD31"/>
    <mergeCell ref="PTE31:PTF31"/>
    <mergeCell ref="PTG31:PTH31"/>
    <mergeCell ref="PSK31:PSL31"/>
    <mergeCell ref="PSM31:PSN31"/>
    <mergeCell ref="PSO31:PSP31"/>
    <mergeCell ref="PSQ31:PSR31"/>
    <mergeCell ref="PSS31:PST31"/>
    <mergeCell ref="PSU31:PSV31"/>
    <mergeCell ref="PRY31:PRZ31"/>
    <mergeCell ref="PSA31:PSB31"/>
    <mergeCell ref="PSC31:PSD31"/>
    <mergeCell ref="PSE31:PSF31"/>
    <mergeCell ref="PSG31:PSH31"/>
    <mergeCell ref="PSI31:PSJ31"/>
    <mergeCell ref="PRM31:PRN31"/>
    <mergeCell ref="PRO31:PRP31"/>
    <mergeCell ref="PRQ31:PRR31"/>
    <mergeCell ref="PRS31:PRT31"/>
    <mergeCell ref="PRU31:PRV31"/>
    <mergeCell ref="PRW31:PRX31"/>
    <mergeCell ref="PRA31:PRB31"/>
    <mergeCell ref="PRC31:PRD31"/>
    <mergeCell ref="PRE31:PRF31"/>
    <mergeCell ref="PRG31:PRH31"/>
    <mergeCell ref="PRI31:PRJ31"/>
    <mergeCell ref="PRK31:PRL31"/>
    <mergeCell ref="PWC31:PWD31"/>
    <mergeCell ref="PWE31:PWF31"/>
    <mergeCell ref="PWG31:PWH31"/>
    <mergeCell ref="PWI31:PWJ31"/>
    <mergeCell ref="PWK31:PWL31"/>
    <mergeCell ref="PWM31:PWN31"/>
    <mergeCell ref="PVQ31:PVR31"/>
    <mergeCell ref="PVS31:PVT31"/>
    <mergeCell ref="PVU31:PVV31"/>
    <mergeCell ref="PVW31:PVX31"/>
    <mergeCell ref="PVY31:PVZ31"/>
    <mergeCell ref="PWA31:PWB31"/>
    <mergeCell ref="PVE31:PVF31"/>
    <mergeCell ref="PVG31:PVH31"/>
    <mergeCell ref="PVI31:PVJ31"/>
    <mergeCell ref="PVK31:PVL31"/>
    <mergeCell ref="PVM31:PVN31"/>
    <mergeCell ref="PVO31:PVP31"/>
    <mergeCell ref="PUS31:PUT31"/>
    <mergeCell ref="PUU31:PUV31"/>
    <mergeCell ref="PUW31:PUX31"/>
    <mergeCell ref="PUY31:PUZ31"/>
    <mergeCell ref="PVA31:PVB31"/>
    <mergeCell ref="PVC31:PVD31"/>
    <mergeCell ref="PUG31:PUH31"/>
    <mergeCell ref="PUI31:PUJ31"/>
    <mergeCell ref="PUK31:PUL31"/>
    <mergeCell ref="PUM31:PUN31"/>
    <mergeCell ref="PUO31:PUP31"/>
    <mergeCell ref="PUQ31:PUR31"/>
    <mergeCell ref="PTU31:PTV31"/>
    <mergeCell ref="PTW31:PTX31"/>
    <mergeCell ref="PTY31:PTZ31"/>
    <mergeCell ref="PUA31:PUB31"/>
    <mergeCell ref="PUC31:PUD31"/>
    <mergeCell ref="PUE31:PUF31"/>
    <mergeCell ref="PYW31:PYX31"/>
    <mergeCell ref="PYY31:PYZ31"/>
    <mergeCell ref="PZA31:PZB31"/>
    <mergeCell ref="PZC31:PZD31"/>
    <mergeCell ref="PZE31:PZF31"/>
    <mergeCell ref="PZG31:PZH31"/>
    <mergeCell ref="PYK31:PYL31"/>
    <mergeCell ref="PYM31:PYN31"/>
    <mergeCell ref="PYO31:PYP31"/>
    <mergeCell ref="PYQ31:PYR31"/>
    <mergeCell ref="PYS31:PYT31"/>
    <mergeCell ref="PYU31:PYV31"/>
    <mergeCell ref="PXY31:PXZ31"/>
    <mergeCell ref="PYA31:PYB31"/>
    <mergeCell ref="PYC31:PYD31"/>
    <mergeCell ref="PYE31:PYF31"/>
    <mergeCell ref="PYG31:PYH31"/>
    <mergeCell ref="PYI31:PYJ31"/>
    <mergeCell ref="PXM31:PXN31"/>
    <mergeCell ref="PXO31:PXP31"/>
    <mergeCell ref="PXQ31:PXR31"/>
    <mergeCell ref="PXS31:PXT31"/>
    <mergeCell ref="PXU31:PXV31"/>
    <mergeCell ref="PXW31:PXX31"/>
    <mergeCell ref="PXA31:PXB31"/>
    <mergeCell ref="PXC31:PXD31"/>
    <mergeCell ref="PXE31:PXF31"/>
    <mergeCell ref="PXG31:PXH31"/>
    <mergeCell ref="PXI31:PXJ31"/>
    <mergeCell ref="PXK31:PXL31"/>
    <mergeCell ref="PWO31:PWP31"/>
    <mergeCell ref="PWQ31:PWR31"/>
    <mergeCell ref="PWS31:PWT31"/>
    <mergeCell ref="PWU31:PWV31"/>
    <mergeCell ref="PWW31:PWX31"/>
    <mergeCell ref="PWY31:PWZ31"/>
    <mergeCell ref="QBQ31:QBR31"/>
    <mergeCell ref="QBS31:QBT31"/>
    <mergeCell ref="QBU31:QBV31"/>
    <mergeCell ref="QBW31:QBX31"/>
    <mergeCell ref="QBY31:QBZ31"/>
    <mergeCell ref="QCA31:QCB31"/>
    <mergeCell ref="QBE31:QBF31"/>
    <mergeCell ref="QBG31:QBH31"/>
    <mergeCell ref="QBI31:QBJ31"/>
    <mergeCell ref="QBK31:QBL31"/>
    <mergeCell ref="QBM31:QBN31"/>
    <mergeCell ref="QBO31:QBP31"/>
    <mergeCell ref="QAS31:QAT31"/>
    <mergeCell ref="QAU31:QAV31"/>
    <mergeCell ref="QAW31:QAX31"/>
    <mergeCell ref="QAY31:QAZ31"/>
    <mergeCell ref="QBA31:QBB31"/>
    <mergeCell ref="QBC31:QBD31"/>
    <mergeCell ref="QAG31:QAH31"/>
    <mergeCell ref="QAI31:QAJ31"/>
    <mergeCell ref="QAK31:QAL31"/>
    <mergeCell ref="QAM31:QAN31"/>
    <mergeCell ref="QAO31:QAP31"/>
    <mergeCell ref="QAQ31:QAR31"/>
    <mergeCell ref="PZU31:PZV31"/>
    <mergeCell ref="PZW31:PZX31"/>
    <mergeCell ref="PZY31:PZZ31"/>
    <mergeCell ref="QAA31:QAB31"/>
    <mergeCell ref="QAC31:QAD31"/>
    <mergeCell ref="QAE31:QAF31"/>
    <mergeCell ref="PZI31:PZJ31"/>
    <mergeCell ref="PZK31:PZL31"/>
    <mergeCell ref="PZM31:PZN31"/>
    <mergeCell ref="PZO31:PZP31"/>
    <mergeCell ref="PZQ31:PZR31"/>
    <mergeCell ref="PZS31:PZT31"/>
    <mergeCell ref="QEK31:QEL31"/>
    <mergeCell ref="QEM31:QEN31"/>
    <mergeCell ref="QEO31:QEP31"/>
    <mergeCell ref="QEQ31:QER31"/>
    <mergeCell ref="QES31:QET31"/>
    <mergeCell ref="QEU31:QEV31"/>
    <mergeCell ref="QDY31:QDZ31"/>
    <mergeCell ref="QEA31:QEB31"/>
    <mergeCell ref="QEC31:QED31"/>
    <mergeCell ref="QEE31:QEF31"/>
    <mergeCell ref="QEG31:QEH31"/>
    <mergeCell ref="QEI31:QEJ31"/>
    <mergeCell ref="QDM31:QDN31"/>
    <mergeCell ref="QDO31:QDP31"/>
    <mergeCell ref="QDQ31:QDR31"/>
    <mergeCell ref="QDS31:QDT31"/>
    <mergeCell ref="QDU31:QDV31"/>
    <mergeCell ref="QDW31:QDX31"/>
    <mergeCell ref="QDA31:QDB31"/>
    <mergeCell ref="QDC31:QDD31"/>
    <mergeCell ref="QDE31:QDF31"/>
    <mergeCell ref="QDG31:QDH31"/>
    <mergeCell ref="QDI31:QDJ31"/>
    <mergeCell ref="QDK31:QDL31"/>
    <mergeCell ref="QCO31:QCP31"/>
    <mergeCell ref="QCQ31:QCR31"/>
    <mergeCell ref="QCS31:QCT31"/>
    <mergeCell ref="QCU31:QCV31"/>
    <mergeCell ref="QCW31:QCX31"/>
    <mergeCell ref="QCY31:QCZ31"/>
    <mergeCell ref="QCC31:QCD31"/>
    <mergeCell ref="QCE31:QCF31"/>
    <mergeCell ref="QCG31:QCH31"/>
    <mergeCell ref="QCI31:QCJ31"/>
    <mergeCell ref="QCK31:QCL31"/>
    <mergeCell ref="QCM31:QCN31"/>
    <mergeCell ref="QHE31:QHF31"/>
    <mergeCell ref="QHG31:QHH31"/>
    <mergeCell ref="QHI31:QHJ31"/>
    <mergeCell ref="QHK31:QHL31"/>
    <mergeCell ref="QHM31:QHN31"/>
    <mergeCell ref="QHO31:QHP31"/>
    <mergeCell ref="QGS31:QGT31"/>
    <mergeCell ref="QGU31:QGV31"/>
    <mergeCell ref="QGW31:QGX31"/>
    <mergeCell ref="QGY31:QGZ31"/>
    <mergeCell ref="QHA31:QHB31"/>
    <mergeCell ref="QHC31:QHD31"/>
    <mergeCell ref="QGG31:QGH31"/>
    <mergeCell ref="QGI31:QGJ31"/>
    <mergeCell ref="QGK31:QGL31"/>
    <mergeCell ref="QGM31:QGN31"/>
    <mergeCell ref="QGO31:QGP31"/>
    <mergeCell ref="QGQ31:QGR31"/>
    <mergeCell ref="QFU31:QFV31"/>
    <mergeCell ref="QFW31:QFX31"/>
    <mergeCell ref="QFY31:QFZ31"/>
    <mergeCell ref="QGA31:QGB31"/>
    <mergeCell ref="QGC31:QGD31"/>
    <mergeCell ref="QGE31:QGF31"/>
    <mergeCell ref="QFI31:QFJ31"/>
    <mergeCell ref="QFK31:QFL31"/>
    <mergeCell ref="QFM31:QFN31"/>
    <mergeCell ref="QFO31:QFP31"/>
    <mergeCell ref="QFQ31:QFR31"/>
    <mergeCell ref="QFS31:QFT31"/>
    <mergeCell ref="QEW31:QEX31"/>
    <mergeCell ref="QEY31:QEZ31"/>
    <mergeCell ref="QFA31:QFB31"/>
    <mergeCell ref="QFC31:QFD31"/>
    <mergeCell ref="QFE31:QFF31"/>
    <mergeCell ref="QFG31:QFH31"/>
    <mergeCell ref="QJY31:QJZ31"/>
    <mergeCell ref="QKA31:QKB31"/>
    <mergeCell ref="QKC31:QKD31"/>
    <mergeCell ref="QKE31:QKF31"/>
    <mergeCell ref="QKG31:QKH31"/>
    <mergeCell ref="QKI31:QKJ31"/>
    <mergeCell ref="QJM31:QJN31"/>
    <mergeCell ref="QJO31:QJP31"/>
    <mergeCell ref="QJQ31:QJR31"/>
    <mergeCell ref="QJS31:QJT31"/>
    <mergeCell ref="QJU31:QJV31"/>
    <mergeCell ref="QJW31:QJX31"/>
    <mergeCell ref="QJA31:QJB31"/>
    <mergeCell ref="QJC31:QJD31"/>
    <mergeCell ref="QJE31:QJF31"/>
    <mergeCell ref="QJG31:QJH31"/>
    <mergeCell ref="QJI31:QJJ31"/>
    <mergeCell ref="QJK31:QJL31"/>
    <mergeCell ref="QIO31:QIP31"/>
    <mergeCell ref="QIQ31:QIR31"/>
    <mergeCell ref="QIS31:QIT31"/>
    <mergeCell ref="QIU31:QIV31"/>
    <mergeCell ref="QIW31:QIX31"/>
    <mergeCell ref="QIY31:QIZ31"/>
    <mergeCell ref="QIC31:QID31"/>
    <mergeCell ref="QIE31:QIF31"/>
    <mergeCell ref="QIG31:QIH31"/>
    <mergeCell ref="QII31:QIJ31"/>
    <mergeCell ref="QIK31:QIL31"/>
    <mergeCell ref="QIM31:QIN31"/>
    <mergeCell ref="QHQ31:QHR31"/>
    <mergeCell ref="QHS31:QHT31"/>
    <mergeCell ref="QHU31:QHV31"/>
    <mergeCell ref="QHW31:QHX31"/>
    <mergeCell ref="QHY31:QHZ31"/>
    <mergeCell ref="QIA31:QIB31"/>
    <mergeCell ref="QMS31:QMT31"/>
    <mergeCell ref="QMU31:QMV31"/>
    <mergeCell ref="QMW31:QMX31"/>
    <mergeCell ref="QMY31:QMZ31"/>
    <mergeCell ref="QNA31:QNB31"/>
    <mergeCell ref="QNC31:QND31"/>
    <mergeCell ref="QMG31:QMH31"/>
    <mergeCell ref="QMI31:QMJ31"/>
    <mergeCell ref="QMK31:QML31"/>
    <mergeCell ref="QMM31:QMN31"/>
    <mergeCell ref="QMO31:QMP31"/>
    <mergeCell ref="QMQ31:QMR31"/>
    <mergeCell ref="QLU31:QLV31"/>
    <mergeCell ref="QLW31:QLX31"/>
    <mergeCell ref="QLY31:QLZ31"/>
    <mergeCell ref="QMA31:QMB31"/>
    <mergeCell ref="QMC31:QMD31"/>
    <mergeCell ref="QME31:QMF31"/>
    <mergeCell ref="QLI31:QLJ31"/>
    <mergeCell ref="QLK31:QLL31"/>
    <mergeCell ref="QLM31:QLN31"/>
    <mergeCell ref="QLO31:QLP31"/>
    <mergeCell ref="QLQ31:QLR31"/>
    <mergeCell ref="QLS31:QLT31"/>
    <mergeCell ref="QKW31:QKX31"/>
    <mergeCell ref="QKY31:QKZ31"/>
    <mergeCell ref="QLA31:QLB31"/>
    <mergeCell ref="QLC31:QLD31"/>
    <mergeCell ref="QLE31:QLF31"/>
    <mergeCell ref="QLG31:QLH31"/>
    <mergeCell ref="QKK31:QKL31"/>
    <mergeCell ref="QKM31:QKN31"/>
    <mergeCell ref="QKO31:QKP31"/>
    <mergeCell ref="QKQ31:QKR31"/>
    <mergeCell ref="QKS31:QKT31"/>
    <mergeCell ref="QKU31:QKV31"/>
    <mergeCell ref="QPM31:QPN31"/>
    <mergeCell ref="QPO31:QPP31"/>
    <mergeCell ref="QPQ31:QPR31"/>
    <mergeCell ref="QPS31:QPT31"/>
    <mergeCell ref="QPU31:QPV31"/>
    <mergeCell ref="QPW31:QPX31"/>
    <mergeCell ref="QPA31:QPB31"/>
    <mergeCell ref="QPC31:QPD31"/>
    <mergeCell ref="QPE31:QPF31"/>
    <mergeCell ref="QPG31:QPH31"/>
    <mergeCell ref="QPI31:QPJ31"/>
    <mergeCell ref="QPK31:QPL31"/>
    <mergeCell ref="QOO31:QOP31"/>
    <mergeCell ref="QOQ31:QOR31"/>
    <mergeCell ref="QOS31:QOT31"/>
    <mergeCell ref="QOU31:QOV31"/>
    <mergeCell ref="QOW31:QOX31"/>
    <mergeCell ref="QOY31:QOZ31"/>
    <mergeCell ref="QOC31:QOD31"/>
    <mergeCell ref="QOE31:QOF31"/>
    <mergeCell ref="QOG31:QOH31"/>
    <mergeCell ref="QOI31:QOJ31"/>
    <mergeCell ref="QOK31:QOL31"/>
    <mergeCell ref="QOM31:QON31"/>
    <mergeCell ref="QNQ31:QNR31"/>
    <mergeCell ref="QNS31:QNT31"/>
    <mergeCell ref="QNU31:QNV31"/>
    <mergeCell ref="QNW31:QNX31"/>
    <mergeCell ref="QNY31:QNZ31"/>
    <mergeCell ref="QOA31:QOB31"/>
    <mergeCell ref="QNE31:QNF31"/>
    <mergeCell ref="QNG31:QNH31"/>
    <mergeCell ref="QNI31:QNJ31"/>
    <mergeCell ref="QNK31:QNL31"/>
    <mergeCell ref="QNM31:QNN31"/>
    <mergeCell ref="QNO31:QNP31"/>
    <mergeCell ref="QSG31:QSH31"/>
    <mergeCell ref="QSI31:QSJ31"/>
    <mergeCell ref="QSK31:QSL31"/>
    <mergeCell ref="QSM31:QSN31"/>
    <mergeCell ref="QSO31:QSP31"/>
    <mergeCell ref="QSQ31:QSR31"/>
    <mergeCell ref="QRU31:QRV31"/>
    <mergeCell ref="QRW31:QRX31"/>
    <mergeCell ref="QRY31:QRZ31"/>
    <mergeCell ref="QSA31:QSB31"/>
    <mergeCell ref="QSC31:QSD31"/>
    <mergeCell ref="QSE31:QSF31"/>
    <mergeCell ref="QRI31:QRJ31"/>
    <mergeCell ref="QRK31:QRL31"/>
    <mergeCell ref="QRM31:QRN31"/>
    <mergeCell ref="QRO31:QRP31"/>
    <mergeCell ref="QRQ31:QRR31"/>
    <mergeCell ref="QRS31:QRT31"/>
    <mergeCell ref="QQW31:QQX31"/>
    <mergeCell ref="QQY31:QQZ31"/>
    <mergeCell ref="QRA31:QRB31"/>
    <mergeCell ref="QRC31:QRD31"/>
    <mergeCell ref="QRE31:QRF31"/>
    <mergeCell ref="QRG31:QRH31"/>
    <mergeCell ref="QQK31:QQL31"/>
    <mergeCell ref="QQM31:QQN31"/>
    <mergeCell ref="QQO31:QQP31"/>
    <mergeCell ref="QQQ31:QQR31"/>
    <mergeCell ref="QQS31:QQT31"/>
    <mergeCell ref="QQU31:QQV31"/>
    <mergeCell ref="QPY31:QPZ31"/>
    <mergeCell ref="QQA31:QQB31"/>
    <mergeCell ref="QQC31:QQD31"/>
    <mergeCell ref="QQE31:QQF31"/>
    <mergeCell ref="QQG31:QQH31"/>
    <mergeCell ref="QQI31:QQJ31"/>
    <mergeCell ref="QVA31:QVB31"/>
    <mergeCell ref="QVC31:QVD31"/>
    <mergeCell ref="QVE31:QVF31"/>
    <mergeCell ref="QVG31:QVH31"/>
    <mergeCell ref="QVI31:QVJ31"/>
    <mergeCell ref="QVK31:QVL31"/>
    <mergeCell ref="QUO31:QUP31"/>
    <mergeCell ref="QUQ31:QUR31"/>
    <mergeCell ref="QUS31:QUT31"/>
    <mergeCell ref="QUU31:QUV31"/>
    <mergeCell ref="QUW31:QUX31"/>
    <mergeCell ref="QUY31:QUZ31"/>
    <mergeCell ref="QUC31:QUD31"/>
    <mergeCell ref="QUE31:QUF31"/>
    <mergeCell ref="QUG31:QUH31"/>
    <mergeCell ref="QUI31:QUJ31"/>
    <mergeCell ref="QUK31:QUL31"/>
    <mergeCell ref="QUM31:QUN31"/>
    <mergeCell ref="QTQ31:QTR31"/>
    <mergeCell ref="QTS31:QTT31"/>
    <mergeCell ref="QTU31:QTV31"/>
    <mergeCell ref="QTW31:QTX31"/>
    <mergeCell ref="QTY31:QTZ31"/>
    <mergeCell ref="QUA31:QUB31"/>
    <mergeCell ref="QTE31:QTF31"/>
    <mergeCell ref="QTG31:QTH31"/>
    <mergeCell ref="QTI31:QTJ31"/>
    <mergeCell ref="QTK31:QTL31"/>
    <mergeCell ref="QTM31:QTN31"/>
    <mergeCell ref="QTO31:QTP31"/>
    <mergeCell ref="QSS31:QST31"/>
    <mergeCell ref="QSU31:QSV31"/>
    <mergeCell ref="QSW31:QSX31"/>
    <mergeCell ref="QSY31:QSZ31"/>
    <mergeCell ref="QTA31:QTB31"/>
    <mergeCell ref="QTC31:QTD31"/>
    <mergeCell ref="QXU31:QXV31"/>
    <mergeCell ref="QXW31:QXX31"/>
    <mergeCell ref="QXY31:QXZ31"/>
    <mergeCell ref="QYA31:QYB31"/>
    <mergeCell ref="QYC31:QYD31"/>
    <mergeCell ref="QYE31:QYF31"/>
    <mergeCell ref="QXI31:QXJ31"/>
    <mergeCell ref="QXK31:QXL31"/>
    <mergeCell ref="QXM31:QXN31"/>
    <mergeCell ref="QXO31:QXP31"/>
    <mergeCell ref="QXQ31:QXR31"/>
    <mergeCell ref="QXS31:QXT31"/>
    <mergeCell ref="QWW31:QWX31"/>
    <mergeCell ref="QWY31:QWZ31"/>
    <mergeCell ref="QXA31:QXB31"/>
    <mergeCell ref="QXC31:QXD31"/>
    <mergeCell ref="QXE31:QXF31"/>
    <mergeCell ref="QXG31:QXH31"/>
    <mergeCell ref="QWK31:QWL31"/>
    <mergeCell ref="QWM31:QWN31"/>
    <mergeCell ref="QWO31:QWP31"/>
    <mergeCell ref="QWQ31:QWR31"/>
    <mergeCell ref="QWS31:QWT31"/>
    <mergeCell ref="QWU31:QWV31"/>
    <mergeCell ref="QVY31:QVZ31"/>
    <mergeCell ref="QWA31:QWB31"/>
    <mergeCell ref="QWC31:QWD31"/>
    <mergeCell ref="QWE31:QWF31"/>
    <mergeCell ref="QWG31:QWH31"/>
    <mergeCell ref="QWI31:QWJ31"/>
    <mergeCell ref="QVM31:QVN31"/>
    <mergeCell ref="QVO31:QVP31"/>
    <mergeCell ref="QVQ31:QVR31"/>
    <mergeCell ref="QVS31:QVT31"/>
    <mergeCell ref="QVU31:QVV31"/>
    <mergeCell ref="QVW31:QVX31"/>
    <mergeCell ref="RAO31:RAP31"/>
    <mergeCell ref="RAQ31:RAR31"/>
    <mergeCell ref="RAS31:RAT31"/>
    <mergeCell ref="RAU31:RAV31"/>
    <mergeCell ref="RAW31:RAX31"/>
    <mergeCell ref="RAY31:RAZ31"/>
    <mergeCell ref="RAC31:RAD31"/>
    <mergeCell ref="RAE31:RAF31"/>
    <mergeCell ref="RAG31:RAH31"/>
    <mergeCell ref="RAI31:RAJ31"/>
    <mergeCell ref="RAK31:RAL31"/>
    <mergeCell ref="RAM31:RAN31"/>
    <mergeCell ref="QZQ31:QZR31"/>
    <mergeCell ref="QZS31:QZT31"/>
    <mergeCell ref="QZU31:QZV31"/>
    <mergeCell ref="QZW31:QZX31"/>
    <mergeCell ref="QZY31:QZZ31"/>
    <mergeCell ref="RAA31:RAB31"/>
    <mergeCell ref="QZE31:QZF31"/>
    <mergeCell ref="QZG31:QZH31"/>
    <mergeCell ref="QZI31:QZJ31"/>
    <mergeCell ref="QZK31:QZL31"/>
    <mergeCell ref="QZM31:QZN31"/>
    <mergeCell ref="QZO31:QZP31"/>
    <mergeCell ref="QYS31:QYT31"/>
    <mergeCell ref="QYU31:QYV31"/>
    <mergeCell ref="QYW31:QYX31"/>
    <mergeCell ref="QYY31:QYZ31"/>
    <mergeCell ref="QZA31:QZB31"/>
    <mergeCell ref="QZC31:QZD31"/>
    <mergeCell ref="QYG31:QYH31"/>
    <mergeCell ref="QYI31:QYJ31"/>
    <mergeCell ref="QYK31:QYL31"/>
    <mergeCell ref="QYM31:QYN31"/>
    <mergeCell ref="QYO31:QYP31"/>
    <mergeCell ref="QYQ31:QYR31"/>
    <mergeCell ref="RDI31:RDJ31"/>
    <mergeCell ref="RDK31:RDL31"/>
    <mergeCell ref="RDM31:RDN31"/>
    <mergeCell ref="RDO31:RDP31"/>
    <mergeCell ref="RDQ31:RDR31"/>
    <mergeCell ref="RDS31:RDT31"/>
    <mergeCell ref="RCW31:RCX31"/>
    <mergeCell ref="RCY31:RCZ31"/>
    <mergeCell ref="RDA31:RDB31"/>
    <mergeCell ref="RDC31:RDD31"/>
    <mergeCell ref="RDE31:RDF31"/>
    <mergeCell ref="RDG31:RDH31"/>
    <mergeCell ref="RCK31:RCL31"/>
    <mergeCell ref="RCM31:RCN31"/>
    <mergeCell ref="RCO31:RCP31"/>
    <mergeCell ref="RCQ31:RCR31"/>
    <mergeCell ref="RCS31:RCT31"/>
    <mergeCell ref="RCU31:RCV31"/>
    <mergeCell ref="RBY31:RBZ31"/>
    <mergeCell ref="RCA31:RCB31"/>
    <mergeCell ref="RCC31:RCD31"/>
    <mergeCell ref="RCE31:RCF31"/>
    <mergeCell ref="RCG31:RCH31"/>
    <mergeCell ref="RCI31:RCJ31"/>
    <mergeCell ref="RBM31:RBN31"/>
    <mergeCell ref="RBO31:RBP31"/>
    <mergeCell ref="RBQ31:RBR31"/>
    <mergeCell ref="RBS31:RBT31"/>
    <mergeCell ref="RBU31:RBV31"/>
    <mergeCell ref="RBW31:RBX31"/>
    <mergeCell ref="RBA31:RBB31"/>
    <mergeCell ref="RBC31:RBD31"/>
    <mergeCell ref="RBE31:RBF31"/>
    <mergeCell ref="RBG31:RBH31"/>
    <mergeCell ref="RBI31:RBJ31"/>
    <mergeCell ref="RBK31:RBL31"/>
    <mergeCell ref="RGC31:RGD31"/>
    <mergeCell ref="RGE31:RGF31"/>
    <mergeCell ref="RGG31:RGH31"/>
    <mergeCell ref="RGI31:RGJ31"/>
    <mergeCell ref="RGK31:RGL31"/>
    <mergeCell ref="RGM31:RGN31"/>
    <mergeCell ref="RFQ31:RFR31"/>
    <mergeCell ref="RFS31:RFT31"/>
    <mergeCell ref="RFU31:RFV31"/>
    <mergeCell ref="RFW31:RFX31"/>
    <mergeCell ref="RFY31:RFZ31"/>
    <mergeCell ref="RGA31:RGB31"/>
    <mergeCell ref="RFE31:RFF31"/>
    <mergeCell ref="RFG31:RFH31"/>
    <mergeCell ref="RFI31:RFJ31"/>
    <mergeCell ref="RFK31:RFL31"/>
    <mergeCell ref="RFM31:RFN31"/>
    <mergeCell ref="RFO31:RFP31"/>
    <mergeCell ref="RES31:RET31"/>
    <mergeCell ref="REU31:REV31"/>
    <mergeCell ref="REW31:REX31"/>
    <mergeCell ref="REY31:REZ31"/>
    <mergeCell ref="RFA31:RFB31"/>
    <mergeCell ref="RFC31:RFD31"/>
    <mergeCell ref="REG31:REH31"/>
    <mergeCell ref="REI31:REJ31"/>
    <mergeCell ref="REK31:REL31"/>
    <mergeCell ref="REM31:REN31"/>
    <mergeCell ref="REO31:REP31"/>
    <mergeCell ref="REQ31:RER31"/>
    <mergeCell ref="RDU31:RDV31"/>
    <mergeCell ref="RDW31:RDX31"/>
    <mergeCell ref="RDY31:RDZ31"/>
    <mergeCell ref="REA31:REB31"/>
    <mergeCell ref="REC31:RED31"/>
    <mergeCell ref="REE31:REF31"/>
    <mergeCell ref="RIW31:RIX31"/>
    <mergeCell ref="RIY31:RIZ31"/>
    <mergeCell ref="RJA31:RJB31"/>
    <mergeCell ref="RJC31:RJD31"/>
    <mergeCell ref="RJE31:RJF31"/>
    <mergeCell ref="RJG31:RJH31"/>
    <mergeCell ref="RIK31:RIL31"/>
    <mergeCell ref="RIM31:RIN31"/>
    <mergeCell ref="RIO31:RIP31"/>
    <mergeCell ref="RIQ31:RIR31"/>
    <mergeCell ref="RIS31:RIT31"/>
    <mergeCell ref="RIU31:RIV31"/>
    <mergeCell ref="RHY31:RHZ31"/>
    <mergeCell ref="RIA31:RIB31"/>
    <mergeCell ref="RIC31:RID31"/>
    <mergeCell ref="RIE31:RIF31"/>
    <mergeCell ref="RIG31:RIH31"/>
    <mergeCell ref="RII31:RIJ31"/>
    <mergeCell ref="RHM31:RHN31"/>
    <mergeCell ref="RHO31:RHP31"/>
    <mergeCell ref="RHQ31:RHR31"/>
    <mergeCell ref="RHS31:RHT31"/>
    <mergeCell ref="RHU31:RHV31"/>
    <mergeCell ref="RHW31:RHX31"/>
    <mergeCell ref="RHA31:RHB31"/>
    <mergeCell ref="RHC31:RHD31"/>
    <mergeCell ref="RHE31:RHF31"/>
    <mergeCell ref="RHG31:RHH31"/>
    <mergeCell ref="RHI31:RHJ31"/>
    <mergeCell ref="RHK31:RHL31"/>
    <mergeCell ref="RGO31:RGP31"/>
    <mergeCell ref="RGQ31:RGR31"/>
    <mergeCell ref="RGS31:RGT31"/>
    <mergeCell ref="RGU31:RGV31"/>
    <mergeCell ref="RGW31:RGX31"/>
    <mergeCell ref="RGY31:RGZ31"/>
    <mergeCell ref="RLQ31:RLR31"/>
    <mergeCell ref="RLS31:RLT31"/>
    <mergeCell ref="RLU31:RLV31"/>
    <mergeCell ref="RLW31:RLX31"/>
    <mergeCell ref="RLY31:RLZ31"/>
    <mergeCell ref="RMA31:RMB31"/>
    <mergeCell ref="RLE31:RLF31"/>
    <mergeCell ref="RLG31:RLH31"/>
    <mergeCell ref="RLI31:RLJ31"/>
    <mergeCell ref="RLK31:RLL31"/>
    <mergeCell ref="RLM31:RLN31"/>
    <mergeCell ref="RLO31:RLP31"/>
    <mergeCell ref="RKS31:RKT31"/>
    <mergeCell ref="RKU31:RKV31"/>
    <mergeCell ref="RKW31:RKX31"/>
    <mergeCell ref="RKY31:RKZ31"/>
    <mergeCell ref="RLA31:RLB31"/>
    <mergeCell ref="RLC31:RLD31"/>
    <mergeCell ref="RKG31:RKH31"/>
    <mergeCell ref="RKI31:RKJ31"/>
    <mergeCell ref="RKK31:RKL31"/>
    <mergeCell ref="RKM31:RKN31"/>
    <mergeCell ref="RKO31:RKP31"/>
    <mergeCell ref="RKQ31:RKR31"/>
    <mergeCell ref="RJU31:RJV31"/>
    <mergeCell ref="RJW31:RJX31"/>
    <mergeCell ref="RJY31:RJZ31"/>
    <mergeCell ref="RKA31:RKB31"/>
    <mergeCell ref="RKC31:RKD31"/>
    <mergeCell ref="RKE31:RKF31"/>
    <mergeCell ref="RJI31:RJJ31"/>
    <mergeCell ref="RJK31:RJL31"/>
    <mergeCell ref="RJM31:RJN31"/>
    <mergeCell ref="RJO31:RJP31"/>
    <mergeCell ref="RJQ31:RJR31"/>
    <mergeCell ref="RJS31:RJT31"/>
    <mergeCell ref="ROK31:ROL31"/>
    <mergeCell ref="ROM31:RON31"/>
    <mergeCell ref="ROO31:ROP31"/>
    <mergeCell ref="ROQ31:ROR31"/>
    <mergeCell ref="ROS31:ROT31"/>
    <mergeCell ref="ROU31:ROV31"/>
    <mergeCell ref="RNY31:RNZ31"/>
    <mergeCell ref="ROA31:ROB31"/>
    <mergeCell ref="ROC31:ROD31"/>
    <mergeCell ref="ROE31:ROF31"/>
    <mergeCell ref="ROG31:ROH31"/>
    <mergeCell ref="ROI31:ROJ31"/>
    <mergeCell ref="RNM31:RNN31"/>
    <mergeCell ref="RNO31:RNP31"/>
    <mergeCell ref="RNQ31:RNR31"/>
    <mergeCell ref="RNS31:RNT31"/>
    <mergeCell ref="RNU31:RNV31"/>
    <mergeCell ref="RNW31:RNX31"/>
    <mergeCell ref="RNA31:RNB31"/>
    <mergeCell ref="RNC31:RND31"/>
    <mergeCell ref="RNE31:RNF31"/>
    <mergeCell ref="RNG31:RNH31"/>
    <mergeCell ref="RNI31:RNJ31"/>
    <mergeCell ref="RNK31:RNL31"/>
    <mergeCell ref="RMO31:RMP31"/>
    <mergeCell ref="RMQ31:RMR31"/>
    <mergeCell ref="RMS31:RMT31"/>
    <mergeCell ref="RMU31:RMV31"/>
    <mergeCell ref="RMW31:RMX31"/>
    <mergeCell ref="RMY31:RMZ31"/>
    <mergeCell ref="RMC31:RMD31"/>
    <mergeCell ref="RME31:RMF31"/>
    <mergeCell ref="RMG31:RMH31"/>
    <mergeCell ref="RMI31:RMJ31"/>
    <mergeCell ref="RMK31:RML31"/>
    <mergeCell ref="RMM31:RMN31"/>
    <mergeCell ref="RRE31:RRF31"/>
    <mergeCell ref="RRG31:RRH31"/>
    <mergeCell ref="RRI31:RRJ31"/>
    <mergeCell ref="RRK31:RRL31"/>
    <mergeCell ref="RRM31:RRN31"/>
    <mergeCell ref="RRO31:RRP31"/>
    <mergeCell ref="RQS31:RQT31"/>
    <mergeCell ref="RQU31:RQV31"/>
    <mergeCell ref="RQW31:RQX31"/>
    <mergeCell ref="RQY31:RQZ31"/>
    <mergeCell ref="RRA31:RRB31"/>
    <mergeCell ref="RRC31:RRD31"/>
    <mergeCell ref="RQG31:RQH31"/>
    <mergeCell ref="RQI31:RQJ31"/>
    <mergeCell ref="RQK31:RQL31"/>
    <mergeCell ref="RQM31:RQN31"/>
    <mergeCell ref="RQO31:RQP31"/>
    <mergeCell ref="RQQ31:RQR31"/>
    <mergeCell ref="RPU31:RPV31"/>
    <mergeCell ref="RPW31:RPX31"/>
    <mergeCell ref="RPY31:RPZ31"/>
    <mergeCell ref="RQA31:RQB31"/>
    <mergeCell ref="RQC31:RQD31"/>
    <mergeCell ref="RQE31:RQF31"/>
    <mergeCell ref="RPI31:RPJ31"/>
    <mergeCell ref="RPK31:RPL31"/>
    <mergeCell ref="RPM31:RPN31"/>
    <mergeCell ref="RPO31:RPP31"/>
    <mergeCell ref="RPQ31:RPR31"/>
    <mergeCell ref="RPS31:RPT31"/>
    <mergeCell ref="ROW31:ROX31"/>
    <mergeCell ref="ROY31:ROZ31"/>
    <mergeCell ref="RPA31:RPB31"/>
    <mergeCell ref="RPC31:RPD31"/>
    <mergeCell ref="RPE31:RPF31"/>
    <mergeCell ref="RPG31:RPH31"/>
    <mergeCell ref="RTY31:RTZ31"/>
    <mergeCell ref="RUA31:RUB31"/>
    <mergeCell ref="RUC31:RUD31"/>
    <mergeCell ref="RUE31:RUF31"/>
    <mergeCell ref="RUG31:RUH31"/>
    <mergeCell ref="RUI31:RUJ31"/>
    <mergeCell ref="RTM31:RTN31"/>
    <mergeCell ref="RTO31:RTP31"/>
    <mergeCell ref="RTQ31:RTR31"/>
    <mergeCell ref="RTS31:RTT31"/>
    <mergeCell ref="RTU31:RTV31"/>
    <mergeCell ref="RTW31:RTX31"/>
    <mergeCell ref="RTA31:RTB31"/>
    <mergeCell ref="RTC31:RTD31"/>
    <mergeCell ref="RTE31:RTF31"/>
    <mergeCell ref="RTG31:RTH31"/>
    <mergeCell ref="RTI31:RTJ31"/>
    <mergeCell ref="RTK31:RTL31"/>
    <mergeCell ref="RSO31:RSP31"/>
    <mergeCell ref="RSQ31:RSR31"/>
    <mergeCell ref="RSS31:RST31"/>
    <mergeCell ref="RSU31:RSV31"/>
    <mergeCell ref="RSW31:RSX31"/>
    <mergeCell ref="RSY31:RSZ31"/>
    <mergeCell ref="RSC31:RSD31"/>
    <mergeCell ref="RSE31:RSF31"/>
    <mergeCell ref="RSG31:RSH31"/>
    <mergeCell ref="RSI31:RSJ31"/>
    <mergeCell ref="RSK31:RSL31"/>
    <mergeCell ref="RSM31:RSN31"/>
    <mergeCell ref="RRQ31:RRR31"/>
    <mergeCell ref="RRS31:RRT31"/>
    <mergeCell ref="RRU31:RRV31"/>
    <mergeCell ref="RRW31:RRX31"/>
    <mergeCell ref="RRY31:RRZ31"/>
    <mergeCell ref="RSA31:RSB31"/>
    <mergeCell ref="RWS31:RWT31"/>
    <mergeCell ref="RWU31:RWV31"/>
    <mergeCell ref="RWW31:RWX31"/>
    <mergeCell ref="RWY31:RWZ31"/>
    <mergeCell ref="RXA31:RXB31"/>
    <mergeCell ref="RXC31:RXD31"/>
    <mergeCell ref="RWG31:RWH31"/>
    <mergeCell ref="RWI31:RWJ31"/>
    <mergeCell ref="RWK31:RWL31"/>
    <mergeCell ref="RWM31:RWN31"/>
    <mergeCell ref="RWO31:RWP31"/>
    <mergeCell ref="RWQ31:RWR31"/>
    <mergeCell ref="RVU31:RVV31"/>
    <mergeCell ref="RVW31:RVX31"/>
    <mergeCell ref="RVY31:RVZ31"/>
    <mergeCell ref="RWA31:RWB31"/>
    <mergeCell ref="RWC31:RWD31"/>
    <mergeCell ref="RWE31:RWF31"/>
    <mergeCell ref="RVI31:RVJ31"/>
    <mergeCell ref="RVK31:RVL31"/>
    <mergeCell ref="RVM31:RVN31"/>
    <mergeCell ref="RVO31:RVP31"/>
    <mergeCell ref="RVQ31:RVR31"/>
    <mergeCell ref="RVS31:RVT31"/>
    <mergeCell ref="RUW31:RUX31"/>
    <mergeCell ref="RUY31:RUZ31"/>
    <mergeCell ref="RVA31:RVB31"/>
    <mergeCell ref="RVC31:RVD31"/>
    <mergeCell ref="RVE31:RVF31"/>
    <mergeCell ref="RVG31:RVH31"/>
    <mergeCell ref="RUK31:RUL31"/>
    <mergeCell ref="RUM31:RUN31"/>
    <mergeCell ref="RUO31:RUP31"/>
    <mergeCell ref="RUQ31:RUR31"/>
    <mergeCell ref="RUS31:RUT31"/>
    <mergeCell ref="RUU31:RUV31"/>
    <mergeCell ref="RZM31:RZN31"/>
    <mergeCell ref="RZO31:RZP31"/>
    <mergeCell ref="RZQ31:RZR31"/>
    <mergeCell ref="RZS31:RZT31"/>
    <mergeCell ref="RZU31:RZV31"/>
    <mergeCell ref="RZW31:RZX31"/>
    <mergeCell ref="RZA31:RZB31"/>
    <mergeCell ref="RZC31:RZD31"/>
    <mergeCell ref="RZE31:RZF31"/>
    <mergeCell ref="RZG31:RZH31"/>
    <mergeCell ref="RZI31:RZJ31"/>
    <mergeCell ref="RZK31:RZL31"/>
    <mergeCell ref="RYO31:RYP31"/>
    <mergeCell ref="RYQ31:RYR31"/>
    <mergeCell ref="RYS31:RYT31"/>
    <mergeCell ref="RYU31:RYV31"/>
    <mergeCell ref="RYW31:RYX31"/>
    <mergeCell ref="RYY31:RYZ31"/>
    <mergeCell ref="RYC31:RYD31"/>
    <mergeCell ref="RYE31:RYF31"/>
    <mergeCell ref="RYG31:RYH31"/>
    <mergeCell ref="RYI31:RYJ31"/>
    <mergeCell ref="RYK31:RYL31"/>
    <mergeCell ref="RYM31:RYN31"/>
    <mergeCell ref="RXQ31:RXR31"/>
    <mergeCell ref="RXS31:RXT31"/>
    <mergeCell ref="RXU31:RXV31"/>
    <mergeCell ref="RXW31:RXX31"/>
    <mergeCell ref="RXY31:RXZ31"/>
    <mergeCell ref="RYA31:RYB31"/>
    <mergeCell ref="RXE31:RXF31"/>
    <mergeCell ref="RXG31:RXH31"/>
    <mergeCell ref="RXI31:RXJ31"/>
    <mergeCell ref="RXK31:RXL31"/>
    <mergeCell ref="RXM31:RXN31"/>
    <mergeCell ref="RXO31:RXP31"/>
    <mergeCell ref="SCG31:SCH31"/>
    <mergeCell ref="SCI31:SCJ31"/>
    <mergeCell ref="SCK31:SCL31"/>
    <mergeCell ref="SCM31:SCN31"/>
    <mergeCell ref="SCO31:SCP31"/>
    <mergeCell ref="SCQ31:SCR31"/>
    <mergeCell ref="SBU31:SBV31"/>
    <mergeCell ref="SBW31:SBX31"/>
    <mergeCell ref="SBY31:SBZ31"/>
    <mergeCell ref="SCA31:SCB31"/>
    <mergeCell ref="SCC31:SCD31"/>
    <mergeCell ref="SCE31:SCF31"/>
    <mergeCell ref="SBI31:SBJ31"/>
    <mergeCell ref="SBK31:SBL31"/>
    <mergeCell ref="SBM31:SBN31"/>
    <mergeCell ref="SBO31:SBP31"/>
    <mergeCell ref="SBQ31:SBR31"/>
    <mergeCell ref="SBS31:SBT31"/>
    <mergeCell ref="SAW31:SAX31"/>
    <mergeCell ref="SAY31:SAZ31"/>
    <mergeCell ref="SBA31:SBB31"/>
    <mergeCell ref="SBC31:SBD31"/>
    <mergeCell ref="SBE31:SBF31"/>
    <mergeCell ref="SBG31:SBH31"/>
    <mergeCell ref="SAK31:SAL31"/>
    <mergeCell ref="SAM31:SAN31"/>
    <mergeCell ref="SAO31:SAP31"/>
    <mergeCell ref="SAQ31:SAR31"/>
    <mergeCell ref="SAS31:SAT31"/>
    <mergeCell ref="SAU31:SAV31"/>
    <mergeCell ref="RZY31:RZZ31"/>
    <mergeCell ref="SAA31:SAB31"/>
    <mergeCell ref="SAC31:SAD31"/>
    <mergeCell ref="SAE31:SAF31"/>
    <mergeCell ref="SAG31:SAH31"/>
    <mergeCell ref="SAI31:SAJ31"/>
    <mergeCell ref="SFA31:SFB31"/>
    <mergeCell ref="SFC31:SFD31"/>
    <mergeCell ref="SFE31:SFF31"/>
    <mergeCell ref="SFG31:SFH31"/>
    <mergeCell ref="SFI31:SFJ31"/>
    <mergeCell ref="SFK31:SFL31"/>
    <mergeCell ref="SEO31:SEP31"/>
    <mergeCell ref="SEQ31:SER31"/>
    <mergeCell ref="SES31:SET31"/>
    <mergeCell ref="SEU31:SEV31"/>
    <mergeCell ref="SEW31:SEX31"/>
    <mergeCell ref="SEY31:SEZ31"/>
    <mergeCell ref="SEC31:SED31"/>
    <mergeCell ref="SEE31:SEF31"/>
    <mergeCell ref="SEG31:SEH31"/>
    <mergeCell ref="SEI31:SEJ31"/>
    <mergeCell ref="SEK31:SEL31"/>
    <mergeCell ref="SEM31:SEN31"/>
    <mergeCell ref="SDQ31:SDR31"/>
    <mergeCell ref="SDS31:SDT31"/>
    <mergeCell ref="SDU31:SDV31"/>
    <mergeCell ref="SDW31:SDX31"/>
    <mergeCell ref="SDY31:SDZ31"/>
    <mergeCell ref="SEA31:SEB31"/>
    <mergeCell ref="SDE31:SDF31"/>
    <mergeCell ref="SDG31:SDH31"/>
    <mergeCell ref="SDI31:SDJ31"/>
    <mergeCell ref="SDK31:SDL31"/>
    <mergeCell ref="SDM31:SDN31"/>
    <mergeCell ref="SDO31:SDP31"/>
    <mergeCell ref="SCS31:SCT31"/>
    <mergeCell ref="SCU31:SCV31"/>
    <mergeCell ref="SCW31:SCX31"/>
    <mergeCell ref="SCY31:SCZ31"/>
    <mergeCell ref="SDA31:SDB31"/>
    <mergeCell ref="SDC31:SDD31"/>
    <mergeCell ref="SHU31:SHV31"/>
    <mergeCell ref="SHW31:SHX31"/>
    <mergeCell ref="SHY31:SHZ31"/>
    <mergeCell ref="SIA31:SIB31"/>
    <mergeCell ref="SIC31:SID31"/>
    <mergeCell ref="SIE31:SIF31"/>
    <mergeCell ref="SHI31:SHJ31"/>
    <mergeCell ref="SHK31:SHL31"/>
    <mergeCell ref="SHM31:SHN31"/>
    <mergeCell ref="SHO31:SHP31"/>
    <mergeCell ref="SHQ31:SHR31"/>
    <mergeCell ref="SHS31:SHT31"/>
    <mergeCell ref="SGW31:SGX31"/>
    <mergeCell ref="SGY31:SGZ31"/>
    <mergeCell ref="SHA31:SHB31"/>
    <mergeCell ref="SHC31:SHD31"/>
    <mergeCell ref="SHE31:SHF31"/>
    <mergeCell ref="SHG31:SHH31"/>
    <mergeCell ref="SGK31:SGL31"/>
    <mergeCell ref="SGM31:SGN31"/>
    <mergeCell ref="SGO31:SGP31"/>
    <mergeCell ref="SGQ31:SGR31"/>
    <mergeCell ref="SGS31:SGT31"/>
    <mergeCell ref="SGU31:SGV31"/>
    <mergeCell ref="SFY31:SFZ31"/>
    <mergeCell ref="SGA31:SGB31"/>
    <mergeCell ref="SGC31:SGD31"/>
    <mergeCell ref="SGE31:SGF31"/>
    <mergeCell ref="SGG31:SGH31"/>
    <mergeCell ref="SGI31:SGJ31"/>
    <mergeCell ref="SFM31:SFN31"/>
    <mergeCell ref="SFO31:SFP31"/>
    <mergeCell ref="SFQ31:SFR31"/>
    <mergeCell ref="SFS31:SFT31"/>
    <mergeCell ref="SFU31:SFV31"/>
    <mergeCell ref="SFW31:SFX31"/>
    <mergeCell ref="SKO31:SKP31"/>
    <mergeCell ref="SKQ31:SKR31"/>
    <mergeCell ref="SKS31:SKT31"/>
    <mergeCell ref="SKU31:SKV31"/>
    <mergeCell ref="SKW31:SKX31"/>
    <mergeCell ref="SKY31:SKZ31"/>
    <mergeCell ref="SKC31:SKD31"/>
    <mergeCell ref="SKE31:SKF31"/>
    <mergeCell ref="SKG31:SKH31"/>
    <mergeCell ref="SKI31:SKJ31"/>
    <mergeCell ref="SKK31:SKL31"/>
    <mergeCell ref="SKM31:SKN31"/>
    <mergeCell ref="SJQ31:SJR31"/>
    <mergeCell ref="SJS31:SJT31"/>
    <mergeCell ref="SJU31:SJV31"/>
    <mergeCell ref="SJW31:SJX31"/>
    <mergeCell ref="SJY31:SJZ31"/>
    <mergeCell ref="SKA31:SKB31"/>
    <mergeCell ref="SJE31:SJF31"/>
    <mergeCell ref="SJG31:SJH31"/>
    <mergeCell ref="SJI31:SJJ31"/>
    <mergeCell ref="SJK31:SJL31"/>
    <mergeCell ref="SJM31:SJN31"/>
    <mergeCell ref="SJO31:SJP31"/>
    <mergeCell ref="SIS31:SIT31"/>
    <mergeCell ref="SIU31:SIV31"/>
    <mergeCell ref="SIW31:SIX31"/>
    <mergeCell ref="SIY31:SIZ31"/>
    <mergeCell ref="SJA31:SJB31"/>
    <mergeCell ref="SJC31:SJD31"/>
    <mergeCell ref="SIG31:SIH31"/>
    <mergeCell ref="SII31:SIJ31"/>
    <mergeCell ref="SIK31:SIL31"/>
    <mergeCell ref="SIM31:SIN31"/>
    <mergeCell ref="SIO31:SIP31"/>
    <mergeCell ref="SIQ31:SIR31"/>
    <mergeCell ref="SNI31:SNJ31"/>
    <mergeCell ref="SNK31:SNL31"/>
    <mergeCell ref="SNM31:SNN31"/>
    <mergeCell ref="SNO31:SNP31"/>
    <mergeCell ref="SNQ31:SNR31"/>
    <mergeCell ref="SNS31:SNT31"/>
    <mergeCell ref="SMW31:SMX31"/>
    <mergeCell ref="SMY31:SMZ31"/>
    <mergeCell ref="SNA31:SNB31"/>
    <mergeCell ref="SNC31:SND31"/>
    <mergeCell ref="SNE31:SNF31"/>
    <mergeCell ref="SNG31:SNH31"/>
    <mergeCell ref="SMK31:SML31"/>
    <mergeCell ref="SMM31:SMN31"/>
    <mergeCell ref="SMO31:SMP31"/>
    <mergeCell ref="SMQ31:SMR31"/>
    <mergeCell ref="SMS31:SMT31"/>
    <mergeCell ref="SMU31:SMV31"/>
    <mergeCell ref="SLY31:SLZ31"/>
    <mergeCell ref="SMA31:SMB31"/>
    <mergeCell ref="SMC31:SMD31"/>
    <mergeCell ref="SME31:SMF31"/>
    <mergeCell ref="SMG31:SMH31"/>
    <mergeCell ref="SMI31:SMJ31"/>
    <mergeCell ref="SLM31:SLN31"/>
    <mergeCell ref="SLO31:SLP31"/>
    <mergeCell ref="SLQ31:SLR31"/>
    <mergeCell ref="SLS31:SLT31"/>
    <mergeCell ref="SLU31:SLV31"/>
    <mergeCell ref="SLW31:SLX31"/>
    <mergeCell ref="SLA31:SLB31"/>
    <mergeCell ref="SLC31:SLD31"/>
    <mergeCell ref="SLE31:SLF31"/>
    <mergeCell ref="SLG31:SLH31"/>
    <mergeCell ref="SLI31:SLJ31"/>
    <mergeCell ref="SLK31:SLL31"/>
    <mergeCell ref="SQC31:SQD31"/>
    <mergeCell ref="SQE31:SQF31"/>
    <mergeCell ref="SQG31:SQH31"/>
    <mergeCell ref="SQI31:SQJ31"/>
    <mergeCell ref="SQK31:SQL31"/>
    <mergeCell ref="SQM31:SQN31"/>
    <mergeCell ref="SPQ31:SPR31"/>
    <mergeCell ref="SPS31:SPT31"/>
    <mergeCell ref="SPU31:SPV31"/>
    <mergeCell ref="SPW31:SPX31"/>
    <mergeCell ref="SPY31:SPZ31"/>
    <mergeCell ref="SQA31:SQB31"/>
    <mergeCell ref="SPE31:SPF31"/>
    <mergeCell ref="SPG31:SPH31"/>
    <mergeCell ref="SPI31:SPJ31"/>
    <mergeCell ref="SPK31:SPL31"/>
    <mergeCell ref="SPM31:SPN31"/>
    <mergeCell ref="SPO31:SPP31"/>
    <mergeCell ref="SOS31:SOT31"/>
    <mergeCell ref="SOU31:SOV31"/>
    <mergeCell ref="SOW31:SOX31"/>
    <mergeCell ref="SOY31:SOZ31"/>
    <mergeCell ref="SPA31:SPB31"/>
    <mergeCell ref="SPC31:SPD31"/>
    <mergeCell ref="SOG31:SOH31"/>
    <mergeCell ref="SOI31:SOJ31"/>
    <mergeCell ref="SOK31:SOL31"/>
    <mergeCell ref="SOM31:SON31"/>
    <mergeCell ref="SOO31:SOP31"/>
    <mergeCell ref="SOQ31:SOR31"/>
    <mergeCell ref="SNU31:SNV31"/>
    <mergeCell ref="SNW31:SNX31"/>
    <mergeCell ref="SNY31:SNZ31"/>
    <mergeCell ref="SOA31:SOB31"/>
    <mergeCell ref="SOC31:SOD31"/>
    <mergeCell ref="SOE31:SOF31"/>
    <mergeCell ref="SSW31:SSX31"/>
    <mergeCell ref="SSY31:SSZ31"/>
    <mergeCell ref="STA31:STB31"/>
    <mergeCell ref="STC31:STD31"/>
    <mergeCell ref="STE31:STF31"/>
    <mergeCell ref="STG31:STH31"/>
    <mergeCell ref="SSK31:SSL31"/>
    <mergeCell ref="SSM31:SSN31"/>
    <mergeCell ref="SSO31:SSP31"/>
    <mergeCell ref="SSQ31:SSR31"/>
    <mergeCell ref="SSS31:SST31"/>
    <mergeCell ref="SSU31:SSV31"/>
    <mergeCell ref="SRY31:SRZ31"/>
    <mergeCell ref="SSA31:SSB31"/>
    <mergeCell ref="SSC31:SSD31"/>
    <mergeCell ref="SSE31:SSF31"/>
    <mergeCell ref="SSG31:SSH31"/>
    <mergeCell ref="SSI31:SSJ31"/>
    <mergeCell ref="SRM31:SRN31"/>
    <mergeCell ref="SRO31:SRP31"/>
    <mergeCell ref="SRQ31:SRR31"/>
    <mergeCell ref="SRS31:SRT31"/>
    <mergeCell ref="SRU31:SRV31"/>
    <mergeCell ref="SRW31:SRX31"/>
    <mergeCell ref="SRA31:SRB31"/>
    <mergeCell ref="SRC31:SRD31"/>
    <mergeCell ref="SRE31:SRF31"/>
    <mergeCell ref="SRG31:SRH31"/>
    <mergeCell ref="SRI31:SRJ31"/>
    <mergeCell ref="SRK31:SRL31"/>
    <mergeCell ref="SQO31:SQP31"/>
    <mergeCell ref="SQQ31:SQR31"/>
    <mergeCell ref="SQS31:SQT31"/>
    <mergeCell ref="SQU31:SQV31"/>
    <mergeCell ref="SQW31:SQX31"/>
    <mergeCell ref="SQY31:SQZ31"/>
    <mergeCell ref="SVQ31:SVR31"/>
    <mergeCell ref="SVS31:SVT31"/>
    <mergeCell ref="SVU31:SVV31"/>
    <mergeCell ref="SVW31:SVX31"/>
    <mergeCell ref="SVY31:SVZ31"/>
    <mergeCell ref="SWA31:SWB31"/>
    <mergeCell ref="SVE31:SVF31"/>
    <mergeCell ref="SVG31:SVH31"/>
    <mergeCell ref="SVI31:SVJ31"/>
    <mergeCell ref="SVK31:SVL31"/>
    <mergeCell ref="SVM31:SVN31"/>
    <mergeCell ref="SVO31:SVP31"/>
    <mergeCell ref="SUS31:SUT31"/>
    <mergeCell ref="SUU31:SUV31"/>
    <mergeCell ref="SUW31:SUX31"/>
    <mergeCell ref="SUY31:SUZ31"/>
    <mergeCell ref="SVA31:SVB31"/>
    <mergeCell ref="SVC31:SVD31"/>
    <mergeCell ref="SUG31:SUH31"/>
    <mergeCell ref="SUI31:SUJ31"/>
    <mergeCell ref="SUK31:SUL31"/>
    <mergeCell ref="SUM31:SUN31"/>
    <mergeCell ref="SUO31:SUP31"/>
    <mergeCell ref="SUQ31:SUR31"/>
    <mergeCell ref="STU31:STV31"/>
    <mergeCell ref="STW31:STX31"/>
    <mergeCell ref="STY31:STZ31"/>
    <mergeCell ref="SUA31:SUB31"/>
    <mergeCell ref="SUC31:SUD31"/>
    <mergeCell ref="SUE31:SUF31"/>
    <mergeCell ref="STI31:STJ31"/>
    <mergeCell ref="STK31:STL31"/>
    <mergeCell ref="STM31:STN31"/>
    <mergeCell ref="STO31:STP31"/>
    <mergeCell ref="STQ31:STR31"/>
    <mergeCell ref="STS31:STT31"/>
    <mergeCell ref="SYK31:SYL31"/>
    <mergeCell ref="SYM31:SYN31"/>
    <mergeCell ref="SYO31:SYP31"/>
    <mergeCell ref="SYQ31:SYR31"/>
    <mergeCell ref="SYS31:SYT31"/>
    <mergeCell ref="SYU31:SYV31"/>
    <mergeCell ref="SXY31:SXZ31"/>
    <mergeCell ref="SYA31:SYB31"/>
    <mergeCell ref="SYC31:SYD31"/>
    <mergeCell ref="SYE31:SYF31"/>
    <mergeCell ref="SYG31:SYH31"/>
    <mergeCell ref="SYI31:SYJ31"/>
    <mergeCell ref="SXM31:SXN31"/>
    <mergeCell ref="SXO31:SXP31"/>
    <mergeCell ref="SXQ31:SXR31"/>
    <mergeCell ref="SXS31:SXT31"/>
    <mergeCell ref="SXU31:SXV31"/>
    <mergeCell ref="SXW31:SXX31"/>
    <mergeCell ref="SXA31:SXB31"/>
    <mergeCell ref="SXC31:SXD31"/>
    <mergeCell ref="SXE31:SXF31"/>
    <mergeCell ref="SXG31:SXH31"/>
    <mergeCell ref="SXI31:SXJ31"/>
    <mergeCell ref="SXK31:SXL31"/>
    <mergeCell ref="SWO31:SWP31"/>
    <mergeCell ref="SWQ31:SWR31"/>
    <mergeCell ref="SWS31:SWT31"/>
    <mergeCell ref="SWU31:SWV31"/>
    <mergeCell ref="SWW31:SWX31"/>
    <mergeCell ref="SWY31:SWZ31"/>
    <mergeCell ref="SWC31:SWD31"/>
    <mergeCell ref="SWE31:SWF31"/>
    <mergeCell ref="SWG31:SWH31"/>
    <mergeCell ref="SWI31:SWJ31"/>
    <mergeCell ref="SWK31:SWL31"/>
    <mergeCell ref="SWM31:SWN31"/>
    <mergeCell ref="TBE31:TBF31"/>
    <mergeCell ref="TBG31:TBH31"/>
    <mergeCell ref="TBI31:TBJ31"/>
    <mergeCell ref="TBK31:TBL31"/>
    <mergeCell ref="TBM31:TBN31"/>
    <mergeCell ref="TBO31:TBP31"/>
    <mergeCell ref="TAS31:TAT31"/>
    <mergeCell ref="TAU31:TAV31"/>
    <mergeCell ref="TAW31:TAX31"/>
    <mergeCell ref="TAY31:TAZ31"/>
    <mergeCell ref="TBA31:TBB31"/>
    <mergeCell ref="TBC31:TBD31"/>
    <mergeCell ref="TAG31:TAH31"/>
    <mergeCell ref="TAI31:TAJ31"/>
    <mergeCell ref="TAK31:TAL31"/>
    <mergeCell ref="TAM31:TAN31"/>
    <mergeCell ref="TAO31:TAP31"/>
    <mergeCell ref="TAQ31:TAR31"/>
    <mergeCell ref="SZU31:SZV31"/>
    <mergeCell ref="SZW31:SZX31"/>
    <mergeCell ref="SZY31:SZZ31"/>
    <mergeCell ref="TAA31:TAB31"/>
    <mergeCell ref="TAC31:TAD31"/>
    <mergeCell ref="TAE31:TAF31"/>
    <mergeCell ref="SZI31:SZJ31"/>
    <mergeCell ref="SZK31:SZL31"/>
    <mergeCell ref="SZM31:SZN31"/>
    <mergeCell ref="SZO31:SZP31"/>
    <mergeCell ref="SZQ31:SZR31"/>
    <mergeCell ref="SZS31:SZT31"/>
    <mergeCell ref="SYW31:SYX31"/>
    <mergeCell ref="SYY31:SYZ31"/>
    <mergeCell ref="SZA31:SZB31"/>
    <mergeCell ref="SZC31:SZD31"/>
    <mergeCell ref="SZE31:SZF31"/>
    <mergeCell ref="SZG31:SZH31"/>
    <mergeCell ref="TDY31:TDZ31"/>
    <mergeCell ref="TEA31:TEB31"/>
    <mergeCell ref="TEC31:TED31"/>
    <mergeCell ref="TEE31:TEF31"/>
    <mergeCell ref="TEG31:TEH31"/>
    <mergeCell ref="TEI31:TEJ31"/>
    <mergeCell ref="TDM31:TDN31"/>
    <mergeCell ref="TDO31:TDP31"/>
    <mergeCell ref="TDQ31:TDR31"/>
    <mergeCell ref="TDS31:TDT31"/>
    <mergeCell ref="TDU31:TDV31"/>
    <mergeCell ref="TDW31:TDX31"/>
    <mergeCell ref="TDA31:TDB31"/>
    <mergeCell ref="TDC31:TDD31"/>
    <mergeCell ref="TDE31:TDF31"/>
    <mergeCell ref="TDG31:TDH31"/>
    <mergeCell ref="TDI31:TDJ31"/>
    <mergeCell ref="TDK31:TDL31"/>
    <mergeCell ref="TCO31:TCP31"/>
    <mergeCell ref="TCQ31:TCR31"/>
    <mergeCell ref="TCS31:TCT31"/>
    <mergeCell ref="TCU31:TCV31"/>
    <mergeCell ref="TCW31:TCX31"/>
    <mergeCell ref="TCY31:TCZ31"/>
    <mergeCell ref="TCC31:TCD31"/>
    <mergeCell ref="TCE31:TCF31"/>
    <mergeCell ref="TCG31:TCH31"/>
    <mergeCell ref="TCI31:TCJ31"/>
    <mergeCell ref="TCK31:TCL31"/>
    <mergeCell ref="TCM31:TCN31"/>
    <mergeCell ref="TBQ31:TBR31"/>
    <mergeCell ref="TBS31:TBT31"/>
    <mergeCell ref="TBU31:TBV31"/>
    <mergeCell ref="TBW31:TBX31"/>
    <mergeCell ref="TBY31:TBZ31"/>
    <mergeCell ref="TCA31:TCB31"/>
    <mergeCell ref="TGS31:TGT31"/>
    <mergeCell ref="TGU31:TGV31"/>
    <mergeCell ref="TGW31:TGX31"/>
    <mergeCell ref="TGY31:TGZ31"/>
    <mergeCell ref="THA31:THB31"/>
    <mergeCell ref="THC31:THD31"/>
    <mergeCell ref="TGG31:TGH31"/>
    <mergeCell ref="TGI31:TGJ31"/>
    <mergeCell ref="TGK31:TGL31"/>
    <mergeCell ref="TGM31:TGN31"/>
    <mergeCell ref="TGO31:TGP31"/>
    <mergeCell ref="TGQ31:TGR31"/>
    <mergeCell ref="TFU31:TFV31"/>
    <mergeCell ref="TFW31:TFX31"/>
    <mergeCell ref="TFY31:TFZ31"/>
    <mergeCell ref="TGA31:TGB31"/>
    <mergeCell ref="TGC31:TGD31"/>
    <mergeCell ref="TGE31:TGF31"/>
    <mergeCell ref="TFI31:TFJ31"/>
    <mergeCell ref="TFK31:TFL31"/>
    <mergeCell ref="TFM31:TFN31"/>
    <mergeCell ref="TFO31:TFP31"/>
    <mergeCell ref="TFQ31:TFR31"/>
    <mergeCell ref="TFS31:TFT31"/>
    <mergeCell ref="TEW31:TEX31"/>
    <mergeCell ref="TEY31:TEZ31"/>
    <mergeCell ref="TFA31:TFB31"/>
    <mergeCell ref="TFC31:TFD31"/>
    <mergeCell ref="TFE31:TFF31"/>
    <mergeCell ref="TFG31:TFH31"/>
    <mergeCell ref="TEK31:TEL31"/>
    <mergeCell ref="TEM31:TEN31"/>
    <mergeCell ref="TEO31:TEP31"/>
    <mergeCell ref="TEQ31:TER31"/>
    <mergeCell ref="TES31:TET31"/>
    <mergeCell ref="TEU31:TEV31"/>
    <mergeCell ref="TJM31:TJN31"/>
    <mergeCell ref="TJO31:TJP31"/>
    <mergeCell ref="TJQ31:TJR31"/>
    <mergeCell ref="TJS31:TJT31"/>
    <mergeCell ref="TJU31:TJV31"/>
    <mergeCell ref="TJW31:TJX31"/>
    <mergeCell ref="TJA31:TJB31"/>
    <mergeCell ref="TJC31:TJD31"/>
    <mergeCell ref="TJE31:TJF31"/>
    <mergeCell ref="TJG31:TJH31"/>
    <mergeCell ref="TJI31:TJJ31"/>
    <mergeCell ref="TJK31:TJL31"/>
    <mergeCell ref="TIO31:TIP31"/>
    <mergeCell ref="TIQ31:TIR31"/>
    <mergeCell ref="TIS31:TIT31"/>
    <mergeCell ref="TIU31:TIV31"/>
    <mergeCell ref="TIW31:TIX31"/>
    <mergeCell ref="TIY31:TIZ31"/>
    <mergeCell ref="TIC31:TID31"/>
    <mergeCell ref="TIE31:TIF31"/>
    <mergeCell ref="TIG31:TIH31"/>
    <mergeCell ref="TII31:TIJ31"/>
    <mergeCell ref="TIK31:TIL31"/>
    <mergeCell ref="TIM31:TIN31"/>
    <mergeCell ref="THQ31:THR31"/>
    <mergeCell ref="THS31:THT31"/>
    <mergeCell ref="THU31:THV31"/>
    <mergeCell ref="THW31:THX31"/>
    <mergeCell ref="THY31:THZ31"/>
    <mergeCell ref="TIA31:TIB31"/>
    <mergeCell ref="THE31:THF31"/>
    <mergeCell ref="THG31:THH31"/>
    <mergeCell ref="THI31:THJ31"/>
    <mergeCell ref="THK31:THL31"/>
    <mergeCell ref="THM31:THN31"/>
    <mergeCell ref="THO31:THP31"/>
    <mergeCell ref="TMG31:TMH31"/>
    <mergeCell ref="TMI31:TMJ31"/>
    <mergeCell ref="TMK31:TML31"/>
    <mergeCell ref="TMM31:TMN31"/>
    <mergeCell ref="TMO31:TMP31"/>
    <mergeCell ref="TMQ31:TMR31"/>
    <mergeCell ref="TLU31:TLV31"/>
    <mergeCell ref="TLW31:TLX31"/>
    <mergeCell ref="TLY31:TLZ31"/>
    <mergeCell ref="TMA31:TMB31"/>
    <mergeCell ref="TMC31:TMD31"/>
    <mergeCell ref="TME31:TMF31"/>
    <mergeCell ref="TLI31:TLJ31"/>
    <mergeCell ref="TLK31:TLL31"/>
    <mergeCell ref="TLM31:TLN31"/>
    <mergeCell ref="TLO31:TLP31"/>
    <mergeCell ref="TLQ31:TLR31"/>
    <mergeCell ref="TLS31:TLT31"/>
    <mergeCell ref="TKW31:TKX31"/>
    <mergeCell ref="TKY31:TKZ31"/>
    <mergeCell ref="TLA31:TLB31"/>
    <mergeCell ref="TLC31:TLD31"/>
    <mergeCell ref="TLE31:TLF31"/>
    <mergeCell ref="TLG31:TLH31"/>
    <mergeCell ref="TKK31:TKL31"/>
    <mergeCell ref="TKM31:TKN31"/>
    <mergeCell ref="TKO31:TKP31"/>
    <mergeCell ref="TKQ31:TKR31"/>
    <mergeCell ref="TKS31:TKT31"/>
    <mergeCell ref="TKU31:TKV31"/>
    <mergeCell ref="TJY31:TJZ31"/>
    <mergeCell ref="TKA31:TKB31"/>
    <mergeCell ref="TKC31:TKD31"/>
    <mergeCell ref="TKE31:TKF31"/>
    <mergeCell ref="TKG31:TKH31"/>
    <mergeCell ref="TKI31:TKJ31"/>
    <mergeCell ref="TPA31:TPB31"/>
    <mergeCell ref="TPC31:TPD31"/>
    <mergeCell ref="TPE31:TPF31"/>
    <mergeCell ref="TPG31:TPH31"/>
    <mergeCell ref="TPI31:TPJ31"/>
    <mergeCell ref="TPK31:TPL31"/>
    <mergeCell ref="TOO31:TOP31"/>
    <mergeCell ref="TOQ31:TOR31"/>
    <mergeCell ref="TOS31:TOT31"/>
    <mergeCell ref="TOU31:TOV31"/>
    <mergeCell ref="TOW31:TOX31"/>
    <mergeCell ref="TOY31:TOZ31"/>
    <mergeCell ref="TOC31:TOD31"/>
    <mergeCell ref="TOE31:TOF31"/>
    <mergeCell ref="TOG31:TOH31"/>
    <mergeCell ref="TOI31:TOJ31"/>
    <mergeCell ref="TOK31:TOL31"/>
    <mergeCell ref="TOM31:TON31"/>
    <mergeCell ref="TNQ31:TNR31"/>
    <mergeCell ref="TNS31:TNT31"/>
    <mergeCell ref="TNU31:TNV31"/>
    <mergeCell ref="TNW31:TNX31"/>
    <mergeCell ref="TNY31:TNZ31"/>
    <mergeCell ref="TOA31:TOB31"/>
    <mergeCell ref="TNE31:TNF31"/>
    <mergeCell ref="TNG31:TNH31"/>
    <mergeCell ref="TNI31:TNJ31"/>
    <mergeCell ref="TNK31:TNL31"/>
    <mergeCell ref="TNM31:TNN31"/>
    <mergeCell ref="TNO31:TNP31"/>
    <mergeCell ref="TMS31:TMT31"/>
    <mergeCell ref="TMU31:TMV31"/>
    <mergeCell ref="TMW31:TMX31"/>
    <mergeCell ref="TMY31:TMZ31"/>
    <mergeCell ref="TNA31:TNB31"/>
    <mergeCell ref="TNC31:TND31"/>
    <mergeCell ref="TRU31:TRV31"/>
    <mergeCell ref="TRW31:TRX31"/>
    <mergeCell ref="TRY31:TRZ31"/>
    <mergeCell ref="TSA31:TSB31"/>
    <mergeCell ref="TSC31:TSD31"/>
    <mergeCell ref="TSE31:TSF31"/>
    <mergeCell ref="TRI31:TRJ31"/>
    <mergeCell ref="TRK31:TRL31"/>
    <mergeCell ref="TRM31:TRN31"/>
    <mergeCell ref="TRO31:TRP31"/>
    <mergeCell ref="TRQ31:TRR31"/>
    <mergeCell ref="TRS31:TRT31"/>
    <mergeCell ref="TQW31:TQX31"/>
    <mergeCell ref="TQY31:TQZ31"/>
    <mergeCell ref="TRA31:TRB31"/>
    <mergeCell ref="TRC31:TRD31"/>
    <mergeCell ref="TRE31:TRF31"/>
    <mergeCell ref="TRG31:TRH31"/>
    <mergeCell ref="TQK31:TQL31"/>
    <mergeCell ref="TQM31:TQN31"/>
    <mergeCell ref="TQO31:TQP31"/>
    <mergeCell ref="TQQ31:TQR31"/>
    <mergeCell ref="TQS31:TQT31"/>
    <mergeCell ref="TQU31:TQV31"/>
    <mergeCell ref="TPY31:TPZ31"/>
    <mergeCell ref="TQA31:TQB31"/>
    <mergeCell ref="TQC31:TQD31"/>
    <mergeCell ref="TQE31:TQF31"/>
    <mergeCell ref="TQG31:TQH31"/>
    <mergeCell ref="TQI31:TQJ31"/>
    <mergeCell ref="TPM31:TPN31"/>
    <mergeCell ref="TPO31:TPP31"/>
    <mergeCell ref="TPQ31:TPR31"/>
    <mergeCell ref="TPS31:TPT31"/>
    <mergeCell ref="TPU31:TPV31"/>
    <mergeCell ref="TPW31:TPX31"/>
    <mergeCell ref="TUO31:TUP31"/>
    <mergeCell ref="TUQ31:TUR31"/>
    <mergeCell ref="TUS31:TUT31"/>
    <mergeCell ref="TUU31:TUV31"/>
    <mergeCell ref="TUW31:TUX31"/>
    <mergeCell ref="TUY31:TUZ31"/>
    <mergeCell ref="TUC31:TUD31"/>
    <mergeCell ref="TUE31:TUF31"/>
    <mergeCell ref="TUG31:TUH31"/>
    <mergeCell ref="TUI31:TUJ31"/>
    <mergeCell ref="TUK31:TUL31"/>
    <mergeCell ref="TUM31:TUN31"/>
    <mergeCell ref="TTQ31:TTR31"/>
    <mergeCell ref="TTS31:TTT31"/>
    <mergeCell ref="TTU31:TTV31"/>
    <mergeCell ref="TTW31:TTX31"/>
    <mergeCell ref="TTY31:TTZ31"/>
    <mergeCell ref="TUA31:TUB31"/>
    <mergeCell ref="TTE31:TTF31"/>
    <mergeCell ref="TTG31:TTH31"/>
    <mergeCell ref="TTI31:TTJ31"/>
    <mergeCell ref="TTK31:TTL31"/>
    <mergeCell ref="TTM31:TTN31"/>
    <mergeCell ref="TTO31:TTP31"/>
    <mergeCell ref="TSS31:TST31"/>
    <mergeCell ref="TSU31:TSV31"/>
    <mergeCell ref="TSW31:TSX31"/>
    <mergeCell ref="TSY31:TSZ31"/>
    <mergeCell ref="TTA31:TTB31"/>
    <mergeCell ref="TTC31:TTD31"/>
    <mergeCell ref="TSG31:TSH31"/>
    <mergeCell ref="TSI31:TSJ31"/>
    <mergeCell ref="TSK31:TSL31"/>
    <mergeCell ref="TSM31:TSN31"/>
    <mergeCell ref="TSO31:TSP31"/>
    <mergeCell ref="TSQ31:TSR31"/>
    <mergeCell ref="TXI31:TXJ31"/>
    <mergeCell ref="TXK31:TXL31"/>
    <mergeCell ref="TXM31:TXN31"/>
    <mergeCell ref="TXO31:TXP31"/>
    <mergeCell ref="TXQ31:TXR31"/>
    <mergeCell ref="TXS31:TXT31"/>
    <mergeCell ref="TWW31:TWX31"/>
    <mergeCell ref="TWY31:TWZ31"/>
    <mergeCell ref="TXA31:TXB31"/>
    <mergeCell ref="TXC31:TXD31"/>
    <mergeCell ref="TXE31:TXF31"/>
    <mergeCell ref="TXG31:TXH31"/>
    <mergeCell ref="TWK31:TWL31"/>
    <mergeCell ref="TWM31:TWN31"/>
    <mergeCell ref="TWO31:TWP31"/>
    <mergeCell ref="TWQ31:TWR31"/>
    <mergeCell ref="TWS31:TWT31"/>
    <mergeCell ref="TWU31:TWV31"/>
    <mergeCell ref="TVY31:TVZ31"/>
    <mergeCell ref="TWA31:TWB31"/>
    <mergeCell ref="TWC31:TWD31"/>
    <mergeCell ref="TWE31:TWF31"/>
    <mergeCell ref="TWG31:TWH31"/>
    <mergeCell ref="TWI31:TWJ31"/>
    <mergeCell ref="TVM31:TVN31"/>
    <mergeCell ref="TVO31:TVP31"/>
    <mergeCell ref="TVQ31:TVR31"/>
    <mergeCell ref="TVS31:TVT31"/>
    <mergeCell ref="TVU31:TVV31"/>
    <mergeCell ref="TVW31:TVX31"/>
    <mergeCell ref="TVA31:TVB31"/>
    <mergeCell ref="TVC31:TVD31"/>
    <mergeCell ref="TVE31:TVF31"/>
    <mergeCell ref="TVG31:TVH31"/>
    <mergeCell ref="TVI31:TVJ31"/>
    <mergeCell ref="TVK31:TVL31"/>
    <mergeCell ref="UAC31:UAD31"/>
    <mergeCell ref="UAE31:UAF31"/>
    <mergeCell ref="UAG31:UAH31"/>
    <mergeCell ref="UAI31:UAJ31"/>
    <mergeCell ref="UAK31:UAL31"/>
    <mergeCell ref="UAM31:UAN31"/>
    <mergeCell ref="TZQ31:TZR31"/>
    <mergeCell ref="TZS31:TZT31"/>
    <mergeCell ref="TZU31:TZV31"/>
    <mergeCell ref="TZW31:TZX31"/>
    <mergeCell ref="TZY31:TZZ31"/>
    <mergeCell ref="UAA31:UAB31"/>
    <mergeCell ref="TZE31:TZF31"/>
    <mergeCell ref="TZG31:TZH31"/>
    <mergeCell ref="TZI31:TZJ31"/>
    <mergeCell ref="TZK31:TZL31"/>
    <mergeCell ref="TZM31:TZN31"/>
    <mergeCell ref="TZO31:TZP31"/>
    <mergeCell ref="TYS31:TYT31"/>
    <mergeCell ref="TYU31:TYV31"/>
    <mergeCell ref="TYW31:TYX31"/>
    <mergeCell ref="TYY31:TYZ31"/>
    <mergeCell ref="TZA31:TZB31"/>
    <mergeCell ref="TZC31:TZD31"/>
    <mergeCell ref="TYG31:TYH31"/>
    <mergeCell ref="TYI31:TYJ31"/>
    <mergeCell ref="TYK31:TYL31"/>
    <mergeCell ref="TYM31:TYN31"/>
    <mergeCell ref="TYO31:TYP31"/>
    <mergeCell ref="TYQ31:TYR31"/>
    <mergeCell ref="TXU31:TXV31"/>
    <mergeCell ref="TXW31:TXX31"/>
    <mergeCell ref="TXY31:TXZ31"/>
    <mergeCell ref="TYA31:TYB31"/>
    <mergeCell ref="TYC31:TYD31"/>
    <mergeCell ref="TYE31:TYF31"/>
    <mergeCell ref="UCW31:UCX31"/>
    <mergeCell ref="UCY31:UCZ31"/>
    <mergeCell ref="UDA31:UDB31"/>
    <mergeCell ref="UDC31:UDD31"/>
    <mergeCell ref="UDE31:UDF31"/>
    <mergeCell ref="UDG31:UDH31"/>
    <mergeCell ref="UCK31:UCL31"/>
    <mergeCell ref="UCM31:UCN31"/>
    <mergeCell ref="UCO31:UCP31"/>
    <mergeCell ref="UCQ31:UCR31"/>
    <mergeCell ref="UCS31:UCT31"/>
    <mergeCell ref="UCU31:UCV31"/>
    <mergeCell ref="UBY31:UBZ31"/>
    <mergeCell ref="UCA31:UCB31"/>
    <mergeCell ref="UCC31:UCD31"/>
    <mergeCell ref="UCE31:UCF31"/>
    <mergeCell ref="UCG31:UCH31"/>
    <mergeCell ref="UCI31:UCJ31"/>
    <mergeCell ref="UBM31:UBN31"/>
    <mergeCell ref="UBO31:UBP31"/>
    <mergeCell ref="UBQ31:UBR31"/>
    <mergeCell ref="UBS31:UBT31"/>
    <mergeCell ref="UBU31:UBV31"/>
    <mergeCell ref="UBW31:UBX31"/>
    <mergeCell ref="UBA31:UBB31"/>
    <mergeCell ref="UBC31:UBD31"/>
    <mergeCell ref="UBE31:UBF31"/>
    <mergeCell ref="UBG31:UBH31"/>
    <mergeCell ref="UBI31:UBJ31"/>
    <mergeCell ref="UBK31:UBL31"/>
    <mergeCell ref="UAO31:UAP31"/>
    <mergeCell ref="UAQ31:UAR31"/>
    <mergeCell ref="UAS31:UAT31"/>
    <mergeCell ref="UAU31:UAV31"/>
    <mergeCell ref="UAW31:UAX31"/>
    <mergeCell ref="UAY31:UAZ31"/>
    <mergeCell ref="UFQ31:UFR31"/>
    <mergeCell ref="UFS31:UFT31"/>
    <mergeCell ref="UFU31:UFV31"/>
    <mergeCell ref="UFW31:UFX31"/>
    <mergeCell ref="UFY31:UFZ31"/>
    <mergeCell ref="UGA31:UGB31"/>
    <mergeCell ref="UFE31:UFF31"/>
    <mergeCell ref="UFG31:UFH31"/>
    <mergeCell ref="UFI31:UFJ31"/>
    <mergeCell ref="UFK31:UFL31"/>
    <mergeCell ref="UFM31:UFN31"/>
    <mergeCell ref="UFO31:UFP31"/>
    <mergeCell ref="UES31:UET31"/>
    <mergeCell ref="UEU31:UEV31"/>
    <mergeCell ref="UEW31:UEX31"/>
    <mergeCell ref="UEY31:UEZ31"/>
    <mergeCell ref="UFA31:UFB31"/>
    <mergeCell ref="UFC31:UFD31"/>
    <mergeCell ref="UEG31:UEH31"/>
    <mergeCell ref="UEI31:UEJ31"/>
    <mergeCell ref="UEK31:UEL31"/>
    <mergeCell ref="UEM31:UEN31"/>
    <mergeCell ref="UEO31:UEP31"/>
    <mergeCell ref="UEQ31:UER31"/>
    <mergeCell ref="UDU31:UDV31"/>
    <mergeCell ref="UDW31:UDX31"/>
    <mergeCell ref="UDY31:UDZ31"/>
    <mergeCell ref="UEA31:UEB31"/>
    <mergeCell ref="UEC31:UED31"/>
    <mergeCell ref="UEE31:UEF31"/>
    <mergeCell ref="UDI31:UDJ31"/>
    <mergeCell ref="UDK31:UDL31"/>
    <mergeCell ref="UDM31:UDN31"/>
    <mergeCell ref="UDO31:UDP31"/>
    <mergeCell ref="UDQ31:UDR31"/>
    <mergeCell ref="UDS31:UDT31"/>
    <mergeCell ref="UIK31:UIL31"/>
    <mergeCell ref="UIM31:UIN31"/>
    <mergeCell ref="UIO31:UIP31"/>
    <mergeCell ref="UIQ31:UIR31"/>
    <mergeCell ref="UIS31:UIT31"/>
    <mergeCell ref="UIU31:UIV31"/>
    <mergeCell ref="UHY31:UHZ31"/>
    <mergeCell ref="UIA31:UIB31"/>
    <mergeCell ref="UIC31:UID31"/>
    <mergeCell ref="UIE31:UIF31"/>
    <mergeCell ref="UIG31:UIH31"/>
    <mergeCell ref="UII31:UIJ31"/>
    <mergeCell ref="UHM31:UHN31"/>
    <mergeCell ref="UHO31:UHP31"/>
    <mergeCell ref="UHQ31:UHR31"/>
    <mergeCell ref="UHS31:UHT31"/>
    <mergeCell ref="UHU31:UHV31"/>
    <mergeCell ref="UHW31:UHX31"/>
    <mergeCell ref="UHA31:UHB31"/>
    <mergeCell ref="UHC31:UHD31"/>
    <mergeCell ref="UHE31:UHF31"/>
    <mergeCell ref="UHG31:UHH31"/>
    <mergeCell ref="UHI31:UHJ31"/>
    <mergeCell ref="UHK31:UHL31"/>
    <mergeCell ref="UGO31:UGP31"/>
    <mergeCell ref="UGQ31:UGR31"/>
    <mergeCell ref="UGS31:UGT31"/>
    <mergeCell ref="UGU31:UGV31"/>
    <mergeCell ref="UGW31:UGX31"/>
    <mergeCell ref="UGY31:UGZ31"/>
    <mergeCell ref="UGC31:UGD31"/>
    <mergeCell ref="UGE31:UGF31"/>
    <mergeCell ref="UGG31:UGH31"/>
    <mergeCell ref="UGI31:UGJ31"/>
    <mergeCell ref="UGK31:UGL31"/>
    <mergeCell ref="UGM31:UGN31"/>
    <mergeCell ref="ULE31:ULF31"/>
    <mergeCell ref="ULG31:ULH31"/>
    <mergeCell ref="ULI31:ULJ31"/>
    <mergeCell ref="ULK31:ULL31"/>
    <mergeCell ref="ULM31:ULN31"/>
    <mergeCell ref="ULO31:ULP31"/>
    <mergeCell ref="UKS31:UKT31"/>
    <mergeCell ref="UKU31:UKV31"/>
    <mergeCell ref="UKW31:UKX31"/>
    <mergeCell ref="UKY31:UKZ31"/>
    <mergeCell ref="ULA31:ULB31"/>
    <mergeCell ref="ULC31:ULD31"/>
    <mergeCell ref="UKG31:UKH31"/>
    <mergeCell ref="UKI31:UKJ31"/>
    <mergeCell ref="UKK31:UKL31"/>
    <mergeCell ref="UKM31:UKN31"/>
    <mergeCell ref="UKO31:UKP31"/>
    <mergeCell ref="UKQ31:UKR31"/>
    <mergeCell ref="UJU31:UJV31"/>
    <mergeCell ref="UJW31:UJX31"/>
    <mergeCell ref="UJY31:UJZ31"/>
    <mergeCell ref="UKA31:UKB31"/>
    <mergeCell ref="UKC31:UKD31"/>
    <mergeCell ref="UKE31:UKF31"/>
    <mergeCell ref="UJI31:UJJ31"/>
    <mergeCell ref="UJK31:UJL31"/>
    <mergeCell ref="UJM31:UJN31"/>
    <mergeCell ref="UJO31:UJP31"/>
    <mergeCell ref="UJQ31:UJR31"/>
    <mergeCell ref="UJS31:UJT31"/>
    <mergeCell ref="UIW31:UIX31"/>
    <mergeCell ref="UIY31:UIZ31"/>
    <mergeCell ref="UJA31:UJB31"/>
    <mergeCell ref="UJC31:UJD31"/>
    <mergeCell ref="UJE31:UJF31"/>
    <mergeCell ref="UJG31:UJH31"/>
    <mergeCell ref="UNY31:UNZ31"/>
    <mergeCell ref="UOA31:UOB31"/>
    <mergeCell ref="UOC31:UOD31"/>
    <mergeCell ref="UOE31:UOF31"/>
    <mergeCell ref="UOG31:UOH31"/>
    <mergeCell ref="UOI31:UOJ31"/>
    <mergeCell ref="UNM31:UNN31"/>
    <mergeCell ref="UNO31:UNP31"/>
    <mergeCell ref="UNQ31:UNR31"/>
    <mergeCell ref="UNS31:UNT31"/>
    <mergeCell ref="UNU31:UNV31"/>
    <mergeCell ref="UNW31:UNX31"/>
    <mergeCell ref="UNA31:UNB31"/>
    <mergeCell ref="UNC31:UND31"/>
    <mergeCell ref="UNE31:UNF31"/>
    <mergeCell ref="UNG31:UNH31"/>
    <mergeCell ref="UNI31:UNJ31"/>
    <mergeCell ref="UNK31:UNL31"/>
    <mergeCell ref="UMO31:UMP31"/>
    <mergeCell ref="UMQ31:UMR31"/>
    <mergeCell ref="UMS31:UMT31"/>
    <mergeCell ref="UMU31:UMV31"/>
    <mergeCell ref="UMW31:UMX31"/>
    <mergeCell ref="UMY31:UMZ31"/>
    <mergeCell ref="UMC31:UMD31"/>
    <mergeCell ref="UME31:UMF31"/>
    <mergeCell ref="UMG31:UMH31"/>
    <mergeCell ref="UMI31:UMJ31"/>
    <mergeCell ref="UMK31:UML31"/>
    <mergeCell ref="UMM31:UMN31"/>
    <mergeCell ref="ULQ31:ULR31"/>
    <mergeCell ref="ULS31:ULT31"/>
    <mergeCell ref="ULU31:ULV31"/>
    <mergeCell ref="ULW31:ULX31"/>
    <mergeCell ref="ULY31:ULZ31"/>
    <mergeCell ref="UMA31:UMB31"/>
    <mergeCell ref="UQS31:UQT31"/>
    <mergeCell ref="UQU31:UQV31"/>
    <mergeCell ref="UQW31:UQX31"/>
    <mergeCell ref="UQY31:UQZ31"/>
    <mergeCell ref="URA31:URB31"/>
    <mergeCell ref="URC31:URD31"/>
    <mergeCell ref="UQG31:UQH31"/>
    <mergeCell ref="UQI31:UQJ31"/>
    <mergeCell ref="UQK31:UQL31"/>
    <mergeCell ref="UQM31:UQN31"/>
    <mergeCell ref="UQO31:UQP31"/>
    <mergeCell ref="UQQ31:UQR31"/>
    <mergeCell ref="UPU31:UPV31"/>
    <mergeCell ref="UPW31:UPX31"/>
    <mergeCell ref="UPY31:UPZ31"/>
    <mergeCell ref="UQA31:UQB31"/>
    <mergeCell ref="UQC31:UQD31"/>
    <mergeCell ref="UQE31:UQF31"/>
    <mergeCell ref="UPI31:UPJ31"/>
    <mergeCell ref="UPK31:UPL31"/>
    <mergeCell ref="UPM31:UPN31"/>
    <mergeCell ref="UPO31:UPP31"/>
    <mergeCell ref="UPQ31:UPR31"/>
    <mergeCell ref="UPS31:UPT31"/>
    <mergeCell ref="UOW31:UOX31"/>
    <mergeCell ref="UOY31:UOZ31"/>
    <mergeCell ref="UPA31:UPB31"/>
    <mergeCell ref="UPC31:UPD31"/>
    <mergeCell ref="UPE31:UPF31"/>
    <mergeCell ref="UPG31:UPH31"/>
    <mergeCell ref="UOK31:UOL31"/>
    <mergeCell ref="UOM31:UON31"/>
    <mergeCell ref="UOO31:UOP31"/>
    <mergeCell ref="UOQ31:UOR31"/>
    <mergeCell ref="UOS31:UOT31"/>
    <mergeCell ref="UOU31:UOV31"/>
    <mergeCell ref="UTM31:UTN31"/>
    <mergeCell ref="UTO31:UTP31"/>
    <mergeCell ref="UTQ31:UTR31"/>
    <mergeCell ref="UTS31:UTT31"/>
    <mergeCell ref="UTU31:UTV31"/>
    <mergeCell ref="UTW31:UTX31"/>
    <mergeCell ref="UTA31:UTB31"/>
    <mergeCell ref="UTC31:UTD31"/>
    <mergeCell ref="UTE31:UTF31"/>
    <mergeCell ref="UTG31:UTH31"/>
    <mergeCell ref="UTI31:UTJ31"/>
    <mergeCell ref="UTK31:UTL31"/>
    <mergeCell ref="USO31:USP31"/>
    <mergeCell ref="USQ31:USR31"/>
    <mergeCell ref="USS31:UST31"/>
    <mergeCell ref="USU31:USV31"/>
    <mergeCell ref="USW31:USX31"/>
    <mergeCell ref="USY31:USZ31"/>
    <mergeCell ref="USC31:USD31"/>
    <mergeCell ref="USE31:USF31"/>
    <mergeCell ref="USG31:USH31"/>
    <mergeCell ref="USI31:USJ31"/>
    <mergeCell ref="USK31:USL31"/>
    <mergeCell ref="USM31:USN31"/>
    <mergeCell ref="URQ31:URR31"/>
    <mergeCell ref="URS31:URT31"/>
    <mergeCell ref="URU31:URV31"/>
    <mergeCell ref="URW31:URX31"/>
    <mergeCell ref="URY31:URZ31"/>
    <mergeCell ref="USA31:USB31"/>
    <mergeCell ref="URE31:URF31"/>
    <mergeCell ref="URG31:URH31"/>
    <mergeCell ref="URI31:URJ31"/>
    <mergeCell ref="URK31:URL31"/>
    <mergeCell ref="URM31:URN31"/>
    <mergeCell ref="URO31:URP31"/>
    <mergeCell ref="UWG31:UWH31"/>
    <mergeCell ref="UWI31:UWJ31"/>
    <mergeCell ref="UWK31:UWL31"/>
    <mergeCell ref="UWM31:UWN31"/>
    <mergeCell ref="UWO31:UWP31"/>
    <mergeCell ref="UWQ31:UWR31"/>
    <mergeCell ref="UVU31:UVV31"/>
    <mergeCell ref="UVW31:UVX31"/>
    <mergeCell ref="UVY31:UVZ31"/>
    <mergeCell ref="UWA31:UWB31"/>
    <mergeCell ref="UWC31:UWD31"/>
    <mergeCell ref="UWE31:UWF31"/>
    <mergeCell ref="UVI31:UVJ31"/>
    <mergeCell ref="UVK31:UVL31"/>
    <mergeCell ref="UVM31:UVN31"/>
    <mergeCell ref="UVO31:UVP31"/>
    <mergeCell ref="UVQ31:UVR31"/>
    <mergeCell ref="UVS31:UVT31"/>
    <mergeCell ref="UUW31:UUX31"/>
    <mergeCell ref="UUY31:UUZ31"/>
    <mergeCell ref="UVA31:UVB31"/>
    <mergeCell ref="UVC31:UVD31"/>
    <mergeCell ref="UVE31:UVF31"/>
    <mergeCell ref="UVG31:UVH31"/>
    <mergeCell ref="UUK31:UUL31"/>
    <mergeCell ref="UUM31:UUN31"/>
    <mergeCell ref="UUO31:UUP31"/>
    <mergeCell ref="UUQ31:UUR31"/>
    <mergeCell ref="UUS31:UUT31"/>
    <mergeCell ref="UUU31:UUV31"/>
    <mergeCell ref="UTY31:UTZ31"/>
    <mergeCell ref="UUA31:UUB31"/>
    <mergeCell ref="UUC31:UUD31"/>
    <mergeCell ref="UUE31:UUF31"/>
    <mergeCell ref="UUG31:UUH31"/>
    <mergeCell ref="UUI31:UUJ31"/>
    <mergeCell ref="UZA31:UZB31"/>
    <mergeCell ref="UZC31:UZD31"/>
    <mergeCell ref="UZE31:UZF31"/>
    <mergeCell ref="UZG31:UZH31"/>
    <mergeCell ref="UZI31:UZJ31"/>
    <mergeCell ref="UZK31:UZL31"/>
    <mergeCell ref="UYO31:UYP31"/>
    <mergeCell ref="UYQ31:UYR31"/>
    <mergeCell ref="UYS31:UYT31"/>
    <mergeCell ref="UYU31:UYV31"/>
    <mergeCell ref="UYW31:UYX31"/>
    <mergeCell ref="UYY31:UYZ31"/>
    <mergeCell ref="UYC31:UYD31"/>
    <mergeCell ref="UYE31:UYF31"/>
    <mergeCell ref="UYG31:UYH31"/>
    <mergeCell ref="UYI31:UYJ31"/>
    <mergeCell ref="UYK31:UYL31"/>
    <mergeCell ref="UYM31:UYN31"/>
    <mergeCell ref="UXQ31:UXR31"/>
    <mergeCell ref="UXS31:UXT31"/>
    <mergeCell ref="UXU31:UXV31"/>
    <mergeCell ref="UXW31:UXX31"/>
    <mergeCell ref="UXY31:UXZ31"/>
    <mergeCell ref="UYA31:UYB31"/>
    <mergeCell ref="UXE31:UXF31"/>
    <mergeCell ref="UXG31:UXH31"/>
    <mergeCell ref="UXI31:UXJ31"/>
    <mergeCell ref="UXK31:UXL31"/>
    <mergeCell ref="UXM31:UXN31"/>
    <mergeCell ref="UXO31:UXP31"/>
    <mergeCell ref="UWS31:UWT31"/>
    <mergeCell ref="UWU31:UWV31"/>
    <mergeCell ref="UWW31:UWX31"/>
    <mergeCell ref="UWY31:UWZ31"/>
    <mergeCell ref="UXA31:UXB31"/>
    <mergeCell ref="UXC31:UXD31"/>
    <mergeCell ref="VBU31:VBV31"/>
    <mergeCell ref="VBW31:VBX31"/>
    <mergeCell ref="VBY31:VBZ31"/>
    <mergeCell ref="VCA31:VCB31"/>
    <mergeCell ref="VCC31:VCD31"/>
    <mergeCell ref="VCE31:VCF31"/>
    <mergeCell ref="VBI31:VBJ31"/>
    <mergeCell ref="VBK31:VBL31"/>
    <mergeCell ref="VBM31:VBN31"/>
    <mergeCell ref="VBO31:VBP31"/>
    <mergeCell ref="VBQ31:VBR31"/>
    <mergeCell ref="VBS31:VBT31"/>
    <mergeCell ref="VAW31:VAX31"/>
    <mergeCell ref="VAY31:VAZ31"/>
    <mergeCell ref="VBA31:VBB31"/>
    <mergeCell ref="VBC31:VBD31"/>
    <mergeCell ref="VBE31:VBF31"/>
    <mergeCell ref="VBG31:VBH31"/>
    <mergeCell ref="VAK31:VAL31"/>
    <mergeCell ref="VAM31:VAN31"/>
    <mergeCell ref="VAO31:VAP31"/>
    <mergeCell ref="VAQ31:VAR31"/>
    <mergeCell ref="VAS31:VAT31"/>
    <mergeCell ref="VAU31:VAV31"/>
    <mergeCell ref="UZY31:UZZ31"/>
    <mergeCell ref="VAA31:VAB31"/>
    <mergeCell ref="VAC31:VAD31"/>
    <mergeCell ref="VAE31:VAF31"/>
    <mergeCell ref="VAG31:VAH31"/>
    <mergeCell ref="VAI31:VAJ31"/>
    <mergeCell ref="UZM31:UZN31"/>
    <mergeCell ref="UZO31:UZP31"/>
    <mergeCell ref="UZQ31:UZR31"/>
    <mergeCell ref="UZS31:UZT31"/>
    <mergeCell ref="UZU31:UZV31"/>
    <mergeCell ref="UZW31:UZX31"/>
    <mergeCell ref="VEO31:VEP31"/>
    <mergeCell ref="VEQ31:VER31"/>
    <mergeCell ref="VES31:VET31"/>
    <mergeCell ref="VEU31:VEV31"/>
    <mergeCell ref="VEW31:VEX31"/>
    <mergeCell ref="VEY31:VEZ31"/>
    <mergeCell ref="VEC31:VED31"/>
    <mergeCell ref="VEE31:VEF31"/>
    <mergeCell ref="VEG31:VEH31"/>
    <mergeCell ref="VEI31:VEJ31"/>
    <mergeCell ref="VEK31:VEL31"/>
    <mergeCell ref="VEM31:VEN31"/>
    <mergeCell ref="VDQ31:VDR31"/>
    <mergeCell ref="VDS31:VDT31"/>
    <mergeCell ref="VDU31:VDV31"/>
    <mergeCell ref="VDW31:VDX31"/>
    <mergeCell ref="VDY31:VDZ31"/>
    <mergeCell ref="VEA31:VEB31"/>
    <mergeCell ref="VDE31:VDF31"/>
    <mergeCell ref="VDG31:VDH31"/>
    <mergeCell ref="VDI31:VDJ31"/>
    <mergeCell ref="VDK31:VDL31"/>
    <mergeCell ref="VDM31:VDN31"/>
    <mergeCell ref="VDO31:VDP31"/>
    <mergeCell ref="VCS31:VCT31"/>
    <mergeCell ref="VCU31:VCV31"/>
    <mergeCell ref="VCW31:VCX31"/>
    <mergeCell ref="VCY31:VCZ31"/>
    <mergeCell ref="VDA31:VDB31"/>
    <mergeCell ref="VDC31:VDD31"/>
    <mergeCell ref="VCG31:VCH31"/>
    <mergeCell ref="VCI31:VCJ31"/>
    <mergeCell ref="VCK31:VCL31"/>
    <mergeCell ref="VCM31:VCN31"/>
    <mergeCell ref="VCO31:VCP31"/>
    <mergeCell ref="VCQ31:VCR31"/>
    <mergeCell ref="VHI31:VHJ31"/>
    <mergeCell ref="VHK31:VHL31"/>
    <mergeCell ref="VHM31:VHN31"/>
    <mergeCell ref="VHO31:VHP31"/>
    <mergeCell ref="VHQ31:VHR31"/>
    <mergeCell ref="VHS31:VHT31"/>
    <mergeCell ref="VGW31:VGX31"/>
    <mergeCell ref="VGY31:VGZ31"/>
    <mergeCell ref="VHA31:VHB31"/>
    <mergeCell ref="VHC31:VHD31"/>
    <mergeCell ref="VHE31:VHF31"/>
    <mergeCell ref="VHG31:VHH31"/>
    <mergeCell ref="VGK31:VGL31"/>
    <mergeCell ref="VGM31:VGN31"/>
    <mergeCell ref="VGO31:VGP31"/>
    <mergeCell ref="VGQ31:VGR31"/>
    <mergeCell ref="VGS31:VGT31"/>
    <mergeCell ref="VGU31:VGV31"/>
    <mergeCell ref="VFY31:VFZ31"/>
    <mergeCell ref="VGA31:VGB31"/>
    <mergeCell ref="VGC31:VGD31"/>
    <mergeCell ref="VGE31:VGF31"/>
    <mergeCell ref="VGG31:VGH31"/>
    <mergeCell ref="VGI31:VGJ31"/>
    <mergeCell ref="VFM31:VFN31"/>
    <mergeCell ref="VFO31:VFP31"/>
    <mergeCell ref="VFQ31:VFR31"/>
    <mergeCell ref="VFS31:VFT31"/>
    <mergeCell ref="VFU31:VFV31"/>
    <mergeCell ref="VFW31:VFX31"/>
    <mergeCell ref="VFA31:VFB31"/>
    <mergeCell ref="VFC31:VFD31"/>
    <mergeCell ref="VFE31:VFF31"/>
    <mergeCell ref="VFG31:VFH31"/>
    <mergeCell ref="VFI31:VFJ31"/>
    <mergeCell ref="VFK31:VFL31"/>
    <mergeCell ref="VKC31:VKD31"/>
    <mergeCell ref="VKE31:VKF31"/>
    <mergeCell ref="VKG31:VKH31"/>
    <mergeCell ref="VKI31:VKJ31"/>
    <mergeCell ref="VKK31:VKL31"/>
    <mergeCell ref="VKM31:VKN31"/>
    <mergeCell ref="VJQ31:VJR31"/>
    <mergeCell ref="VJS31:VJT31"/>
    <mergeCell ref="VJU31:VJV31"/>
    <mergeCell ref="VJW31:VJX31"/>
    <mergeCell ref="VJY31:VJZ31"/>
    <mergeCell ref="VKA31:VKB31"/>
    <mergeCell ref="VJE31:VJF31"/>
    <mergeCell ref="VJG31:VJH31"/>
    <mergeCell ref="VJI31:VJJ31"/>
    <mergeCell ref="VJK31:VJL31"/>
    <mergeCell ref="VJM31:VJN31"/>
    <mergeCell ref="VJO31:VJP31"/>
    <mergeCell ref="VIS31:VIT31"/>
    <mergeCell ref="VIU31:VIV31"/>
    <mergeCell ref="VIW31:VIX31"/>
    <mergeCell ref="VIY31:VIZ31"/>
    <mergeCell ref="VJA31:VJB31"/>
    <mergeCell ref="VJC31:VJD31"/>
    <mergeCell ref="VIG31:VIH31"/>
    <mergeCell ref="VII31:VIJ31"/>
    <mergeCell ref="VIK31:VIL31"/>
    <mergeCell ref="VIM31:VIN31"/>
    <mergeCell ref="VIO31:VIP31"/>
    <mergeCell ref="VIQ31:VIR31"/>
    <mergeCell ref="VHU31:VHV31"/>
    <mergeCell ref="VHW31:VHX31"/>
    <mergeCell ref="VHY31:VHZ31"/>
    <mergeCell ref="VIA31:VIB31"/>
    <mergeCell ref="VIC31:VID31"/>
    <mergeCell ref="VIE31:VIF31"/>
    <mergeCell ref="VMW31:VMX31"/>
    <mergeCell ref="VMY31:VMZ31"/>
    <mergeCell ref="VNA31:VNB31"/>
    <mergeCell ref="VNC31:VND31"/>
    <mergeCell ref="VNE31:VNF31"/>
    <mergeCell ref="VNG31:VNH31"/>
    <mergeCell ref="VMK31:VML31"/>
    <mergeCell ref="VMM31:VMN31"/>
    <mergeCell ref="VMO31:VMP31"/>
    <mergeCell ref="VMQ31:VMR31"/>
    <mergeCell ref="VMS31:VMT31"/>
    <mergeCell ref="VMU31:VMV31"/>
    <mergeCell ref="VLY31:VLZ31"/>
    <mergeCell ref="VMA31:VMB31"/>
    <mergeCell ref="VMC31:VMD31"/>
    <mergeCell ref="VME31:VMF31"/>
    <mergeCell ref="VMG31:VMH31"/>
    <mergeCell ref="VMI31:VMJ31"/>
    <mergeCell ref="VLM31:VLN31"/>
    <mergeCell ref="VLO31:VLP31"/>
    <mergeCell ref="VLQ31:VLR31"/>
    <mergeCell ref="VLS31:VLT31"/>
    <mergeCell ref="VLU31:VLV31"/>
    <mergeCell ref="VLW31:VLX31"/>
    <mergeCell ref="VLA31:VLB31"/>
    <mergeCell ref="VLC31:VLD31"/>
    <mergeCell ref="VLE31:VLF31"/>
    <mergeCell ref="VLG31:VLH31"/>
    <mergeCell ref="VLI31:VLJ31"/>
    <mergeCell ref="VLK31:VLL31"/>
    <mergeCell ref="VKO31:VKP31"/>
    <mergeCell ref="VKQ31:VKR31"/>
    <mergeCell ref="VKS31:VKT31"/>
    <mergeCell ref="VKU31:VKV31"/>
    <mergeCell ref="VKW31:VKX31"/>
    <mergeCell ref="VKY31:VKZ31"/>
    <mergeCell ref="VPQ31:VPR31"/>
    <mergeCell ref="VPS31:VPT31"/>
    <mergeCell ref="VPU31:VPV31"/>
    <mergeCell ref="VPW31:VPX31"/>
    <mergeCell ref="VPY31:VPZ31"/>
    <mergeCell ref="VQA31:VQB31"/>
    <mergeCell ref="VPE31:VPF31"/>
    <mergeCell ref="VPG31:VPH31"/>
    <mergeCell ref="VPI31:VPJ31"/>
    <mergeCell ref="VPK31:VPL31"/>
    <mergeCell ref="VPM31:VPN31"/>
    <mergeCell ref="VPO31:VPP31"/>
    <mergeCell ref="VOS31:VOT31"/>
    <mergeCell ref="VOU31:VOV31"/>
    <mergeCell ref="VOW31:VOX31"/>
    <mergeCell ref="VOY31:VOZ31"/>
    <mergeCell ref="VPA31:VPB31"/>
    <mergeCell ref="VPC31:VPD31"/>
    <mergeCell ref="VOG31:VOH31"/>
    <mergeCell ref="VOI31:VOJ31"/>
    <mergeCell ref="VOK31:VOL31"/>
    <mergeCell ref="VOM31:VON31"/>
    <mergeCell ref="VOO31:VOP31"/>
    <mergeCell ref="VOQ31:VOR31"/>
    <mergeCell ref="VNU31:VNV31"/>
    <mergeCell ref="VNW31:VNX31"/>
    <mergeCell ref="VNY31:VNZ31"/>
    <mergeCell ref="VOA31:VOB31"/>
    <mergeCell ref="VOC31:VOD31"/>
    <mergeCell ref="VOE31:VOF31"/>
    <mergeCell ref="VNI31:VNJ31"/>
    <mergeCell ref="VNK31:VNL31"/>
    <mergeCell ref="VNM31:VNN31"/>
    <mergeCell ref="VNO31:VNP31"/>
    <mergeCell ref="VNQ31:VNR31"/>
    <mergeCell ref="VNS31:VNT31"/>
    <mergeCell ref="VSK31:VSL31"/>
    <mergeCell ref="VSM31:VSN31"/>
    <mergeCell ref="VSO31:VSP31"/>
    <mergeCell ref="VSQ31:VSR31"/>
    <mergeCell ref="VSS31:VST31"/>
    <mergeCell ref="VSU31:VSV31"/>
    <mergeCell ref="VRY31:VRZ31"/>
    <mergeCell ref="VSA31:VSB31"/>
    <mergeCell ref="VSC31:VSD31"/>
    <mergeCell ref="VSE31:VSF31"/>
    <mergeCell ref="VSG31:VSH31"/>
    <mergeCell ref="VSI31:VSJ31"/>
    <mergeCell ref="VRM31:VRN31"/>
    <mergeCell ref="VRO31:VRP31"/>
    <mergeCell ref="VRQ31:VRR31"/>
    <mergeCell ref="VRS31:VRT31"/>
    <mergeCell ref="VRU31:VRV31"/>
    <mergeCell ref="VRW31:VRX31"/>
    <mergeCell ref="VRA31:VRB31"/>
    <mergeCell ref="VRC31:VRD31"/>
    <mergeCell ref="VRE31:VRF31"/>
    <mergeCell ref="VRG31:VRH31"/>
    <mergeCell ref="VRI31:VRJ31"/>
    <mergeCell ref="VRK31:VRL31"/>
    <mergeCell ref="VQO31:VQP31"/>
    <mergeCell ref="VQQ31:VQR31"/>
    <mergeCell ref="VQS31:VQT31"/>
    <mergeCell ref="VQU31:VQV31"/>
    <mergeCell ref="VQW31:VQX31"/>
    <mergeCell ref="VQY31:VQZ31"/>
    <mergeCell ref="VQC31:VQD31"/>
    <mergeCell ref="VQE31:VQF31"/>
    <mergeCell ref="VQG31:VQH31"/>
    <mergeCell ref="VQI31:VQJ31"/>
    <mergeCell ref="VQK31:VQL31"/>
    <mergeCell ref="VQM31:VQN31"/>
    <mergeCell ref="VVE31:VVF31"/>
    <mergeCell ref="VVG31:VVH31"/>
    <mergeCell ref="VVI31:VVJ31"/>
    <mergeCell ref="VVK31:VVL31"/>
    <mergeCell ref="VVM31:VVN31"/>
    <mergeCell ref="VVO31:VVP31"/>
    <mergeCell ref="VUS31:VUT31"/>
    <mergeCell ref="VUU31:VUV31"/>
    <mergeCell ref="VUW31:VUX31"/>
    <mergeCell ref="VUY31:VUZ31"/>
    <mergeCell ref="VVA31:VVB31"/>
    <mergeCell ref="VVC31:VVD31"/>
    <mergeCell ref="VUG31:VUH31"/>
    <mergeCell ref="VUI31:VUJ31"/>
    <mergeCell ref="VUK31:VUL31"/>
    <mergeCell ref="VUM31:VUN31"/>
    <mergeCell ref="VUO31:VUP31"/>
    <mergeCell ref="VUQ31:VUR31"/>
    <mergeCell ref="VTU31:VTV31"/>
    <mergeCell ref="VTW31:VTX31"/>
    <mergeCell ref="VTY31:VTZ31"/>
    <mergeCell ref="VUA31:VUB31"/>
    <mergeCell ref="VUC31:VUD31"/>
    <mergeCell ref="VUE31:VUF31"/>
    <mergeCell ref="VTI31:VTJ31"/>
    <mergeCell ref="VTK31:VTL31"/>
    <mergeCell ref="VTM31:VTN31"/>
    <mergeCell ref="VTO31:VTP31"/>
    <mergeCell ref="VTQ31:VTR31"/>
    <mergeCell ref="VTS31:VTT31"/>
    <mergeCell ref="VSW31:VSX31"/>
    <mergeCell ref="VSY31:VSZ31"/>
    <mergeCell ref="VTA31:VTB31"/>
    <mergeCell ref="VTC31:VTD31"/>
    <mergeCell ref="VTE31:VTF31"/>
    <mergeCell ref="VTG31:VTH31"/>
    <mergeCell ref="VXY31:VXZ31"/>
    <mergeCell ref="VYA31:VYB31"/>
    <mergeCell ref="VYC31:VYD31"/>
    <mergeCell ref="VYE31:VYF31"/>
    <mergeCell ref="VYG31:VYH31"/>
    <mergeCell ref="VYI31:VYJ31"/>
    <mergeCell ref="VXM31:VXN31"/>
    <mergeCell ref="VXO31:VXP31"/>
    <mergeCell ref="VXQ31:VXR31"/>
    <mergeCell ref="VXS31:VXT31"/>
    <mergeCell ref="VXU31:VXV31"/>
    <mergeCell ref="VXW31:VXX31"/>
    <mergeCell ref="VXA31:VXB31"/>
    <mergeCell ref="VXC31:VXD31"/>
    <mergeCell ref="VXE31:VXF31"/>
    <mergeCell ref="VXG31:VXH31"/>
    <mergeCell ref="VXI31:VXJ31"/>
    <mergeCell ref="VXK31:VXL31"/>
    <mergeCell ref="VWO31:VWP31"/>
    <mergeCell ref="VWQ31:VWR31"/>
    <mergeCell ref="VWS31:VWT31"/>
    <mergeCell ref="VWU31:VWV31"/>
    <mergeCell ref="VWW31:VWX31"/>
    <mergeCell ref="VWY31:VWZ31"/>
    <mergeCell ref="VWC31:VWD31"/>
    <mergeCell ref="VWE31:VWF31"/>
    <mergeCell ref="VWG31:VWH31"/>
    <mergeCell ref="VWI31:VWJ31"/>
    <mergeCell ref="VWK31:VWL31"/>
    <mergeCell ref="VWM31:VWN31"/>
    <mergeCell ref="VVQ31:VVR31"/>
    <mergeCell ref="VVS31:VVT31"/>
    <mergeCell ref="VVU31:VVV31"/>
    <mergeCell ref="VVW31:VVX31"/>
    <mergeCell ref="VVY31:VVZ31"/>
    <mergeCell ref="VWA31:VWB31"/>
    <mergeCell ref="WAS31:WAT31"/>
    <mergeCell ref="WAU31:WAV31"/>
    <mergeCell ref="WAW31:WAX31"/>
    <mergeCell ref="WAY31:WAZ31"/>
    <mergeCell ref="WBA31:WBB31"/>
    <mergeCell ref="WBC31:WBD31"/>
    <mergeCell ref="WAG31:WAH31"/>
    <mergeCell ref="WAI31:WAJ31"/>
    <mergeCell ref="WAK31:WAL31"/>
    <mergeCell ref="WAM31:WAN31"/>
    <mergeCell ref="WAO31:WAP31"/>
    <mergeCell ref="WAQ31:WAR31"/>
    <mergeCell ref="VZU31:VZV31"/>
    <mergeCell ref="VZW31:VZX31"/>
    <mergeCell ref="VZY31:VZZ31"/>
    <mergeCell ref="WAA31:WAB31"/>
    <mergeCell ref="WAC31:WAD31"/>
    <mergeCell ref="WAE31:WAF31"/>
    <mergeCell ref="VZI31:VZJ31"/>
    <mergeCell ref="VZK31:VZL31"/>
    <mergeCell ref="VZM31:VZN31"/>
    <mergeCell ref="VZO31:VZP31"/>
    <mergeCell ref="VZQ31:VZR31"/>
    <mergeCell ref="VZS31:VZT31"/>
    <mergeCell ref="VYW31:VYX31"/>
    <mergeCell ref="VYY31:VYZ31"/>
    <mergeCell ref="VZA31:VZB31"/>
    <mergeCell ref="VZC31:VZD31"/>
    <mergeCell ref="VZE31:VZF31"/>
    <mergeCell ref="VZG31:VZH31"/>
    <mergeCell ref="VYK31:VYL31"/>
    <mergeCell ref="VYM31:VYN31"/>
    <mergeCell ref="VYO31:VYP31"/>
    <mergeCell ref="VYQ31:VYR31"/>
    <mergeCell ref="VYS31:VYT31"/>
    <mergeCell ref="VYU31:VYV31"/>
    <mergeCell ref="WDM31:WDN31"/>
    <mergeCell ref="WDO31:WDP31"/>
    <mergeCell ref="WDQ31:WDR31"/>
    <mergeCell ref="WDS31:WDT31"/>
    <mergeCell ref="WDU31:WDV31"/>
    <mergeCell ref="WDW31:WDX31"/>
    <mergeCell ref="WDA31:WDB31"/>
    <mergeCell ref="WDC31:WDD31"/>
    <mergeCell ref="WDE31:WDF31"/>
    <mergeCell ref="WDG31:WDH31"/>
    <mergeCell ref="WDI31:WDJ31"/>
    <mergeCell ref="WDK31:WDL31"/>
    <mergeCell ref="WCO31:WCP31"/>
    <mergeCell ref="WCQ31:WCR31"/>
    <mergeCell ref="WCS31:WCT31"/>
    <mergeCell ref="WCU31:WCV31"/>
    <mergeCell ref="WCW31:WCX31"/>
    <mergeCell ref="WCY31:WCZ31"/>
    <mergeCell ref="WCC31:WCD31"/>
    <mergeCell ref="WCE31:WCF31"/>
    <mergeCell ref="WCG31:WCH31"/>
    <mergeCell ref="WCI31:WCJ31"/>
    <mergeCell ref="WCK31:WCL31"/>
    <mergeCell ref="WCM31:WCN31"/>
    <mergeCell ref="WBQ31:WBR31"/>
    <mergeCell ref="WBS31:WBT31"/>
    <mergeCell ref="WBU31:WBV31"/>
    <mergeCell ref="WBW31:WBX31"/>
    <mergeCell ref="WBY31:WBZ31"/>
    <mergeCell ref="WCA31:WCB31"/>
    <mergeCell ref="WBE31:WBF31"/>
    <mergeCell ref="WBG31:WBH31"/>
    <mergeCell ref="WBI31:WBJ31"/>
    <mergeCell ref="WBK31:WBL31"/>
    <mergeCell ref="WBM31:WBN31"/>
    <mergeCell ref="WBO31:WBP31"/>
    <mergeCell ref="WGG31:WGH31"/>
    <mergeCell ref="WGI31:WGJ31"/>
    <mergeCell ref="WGK31:WGL31"/>
    <mergeCell ref="WGM31:WGN31"/>
    <mergeCell ref="WGO31:WGP31"/>
    <mergeCell ref="WGQ31:WGR31"/>
    <mergeCell ref="WFU31:WFV31"/>
    <mergeCell ref="WFW31:WFX31"/>
    <mergeCell ref="WFY31:WFZ31"/>
    <mergeCell ref="WGA31:WGB31"/>
    <mergeCell ref="WGC31:WGD31"/>
    <mergeCell ref="WGE31:WGF31"/>
    <mergeCell ref="WFI31:WFJ31"/>
    <mergeCell ref="WFK31:WFL31"/>
    <mergeCell ref="WFM31:WFN31"/>
    <mergeCell ref="WFO31:WFP31"/>
    <mergeCell ref="WFQ31:WFR31"/>
    <mergeCell ref="WFS31:WFT31"/>
    <mergeCell ref="WEW31:WEX31"/>
    <mergeCell ref="WEY31:WEZ31"/>
    <mergeCell ref="WFA31:WFB31"/>
    <mergeCell ref="WFC31:WFD31"/>
    <mergeCell ref="WFE31:WFF31"/>
    <mergeCell ref="WFG31:WFH31"/>
    <mergeCell ref="WEK31:WEL31"/>
    <mergeCell ref="WEM31:WEN31"/>
    <mergeCell ref="WEO31:WEP31"/>
    <mergeCell ref="WEQ31:WER31"/>
    <mergeCell ref="WES31:WET31"/>
    <mergeCell ref="WEU31:WEV31"/>
    <mergeCell ref="WDY31:WDZ31"/>
    <mergeCell ref="WEA31:WEB31"/>
    <mergeCell ref="WEC31:WED31"/>
    <mergeCell ref="WEE31:WEF31"/>
    <mergeCell ref="WEG31:WEH31"/>
    <mergeCell ref="WEI31:WEJ31"/>
    <mergeCell ref="WJA31:WJB31"/>
    <mergeCell ref="WJC31:WJD31"/>
    <mergeCell ref="WJE31:WJF31"/>
    <mergeCell ref="WJG31:WJH31"/>
    <mergeCell ref="WJI31:WJJ31"/>
    <mergeCell ref="WJK31:WJL31"/>
    <mergeCell ref="WIO31:WIP31"/>
    <mergeCell ref="WIQ31:WIR31"/>
    <mergeCell ref="WIS31:WIT31"/>
    <mergeCell ref="WIU31:WIV31"/>
    <mergeCell ref="WIW31:WIX31"/>
    <mergeCell ref="WIY31:WIZ31"/>
    <mergeCell ref="WIC31:WID31"/>
    <mergeCell ref="WIE31:WIF31"/>
    <mergeCell ref="WIG31:WIH31"/>
    <mergeCell ref="WII31:WIJ31"/>
    <mergeCell ref="WIK31:WIL31"/>
    <mergeCell ref="WIM31:WIN31"/>
    <mergeCell ref="WHQ31:WHR31"/>
    <mergeCell ref="WHS31:WHT31"/>
    <mergeCell ref="WHU31:WHV31"/>
    <mergeCell ref="WHW31:WHX31"/>
    <mergeCell ref="WHY31:WHZ31"/>
    <mergeCell ref="WIA31:WIB31"/>
    <mergeCell ref="WHE31:WHF31"/>
    <mergeCell ref="WHG31:WHH31"/>
    <mergeCell ref="WHI31:WHJ31"/>
    <mergeCell ref="WHK31:WHL31"/>
    <mergeCell ref="WHM31:WHN31"/>
    <mergeCell ref="WHO31:WHP31"/>
    <mergeCell ref="WGS31:WGT31"/>
    <mergeCell ref="WGU31:WGV31"/>
    <mergeCell ref="WGW31:WGX31"/>
    <mergeCell ref="WGY31:WGZ31"/>
    <mergeCell ref="WHA31:WHB31"/>
    <mergeCell ref="WHC31:WHD31"/>
    <mergeCell ref="WLU31:WLV31"/>
    <mergeCell ref="WLW31:WLX31"/>
    <mergeCell ref="WLY31:WLZ31"/>
    <mergeCell ref="WMA31:WMB31"/>
    <mergeCell ref="WMC31:WMD31"/>
    <mergeCell ref="WME31:WMF31"/>
    <mergeCell ref="WLI31:WLJ31"/>
    <mergeCell ref="WLK31:WLL31"/>
    <mergeCell ref="WLM31:WLN31"/>
    <mergeCell ref="WLO31:WLP31"/>
    <mergeCell ref="WLQ31:WLR31"/>
    <mergeCell ref="WLS31:WLT31"/>
    <mergeCell ref="WKW31:WKX31"/>
    <mergeCell ref="WKY31:WKZ31"/>
    <mergeCell ref="WLA31:WLB31"/>
    <mergeCell ref="WLC31:WLD31"/>
    <mergeCell ref="WLE31:WLF31"/>
    <mergeCell ref="WLG31:WLH31"/>
    <mergeCell ref="WKK31:WKL31"/>
    <mergeCell ref="WKM31:WKN31"/>
    <mergeCell ref="WKO31:WKP31"/>
    <mergeCell ref="WKQ31:WKR31"/>
    <mergeCell ref="WKS31:WKT31"/>
    <mergeCell ref="WKU31:WKV31"/>
    <mergeCell ref="WJY31:WJZ31"/>
    <mergeCell ref="WKA31:WKB31"/>
    <mergeCell ref="WKC31:WKD31"/>
    <mergeCell ref="WKE31:WKF31"/>
    <mergeCell ref="WKG31:WKH31"/>
    <mergeCell ref="WKI31:WKJ31"/>
    <mergeCell ref="WJM31:WJN31"/>
    <mergeCell ref="WJO31:WJP31"/>
    <mergeCell ref="WJQ31:WJR31"/>
    <mergeCell ref="WJS31:WJT31"/>
    <mergeCell ref="WJU31:WJV31"/>
    <mergeCell ref="WJW31:WJX31"/>
    <mergeCell ref="WOO31:WOP31"/>
    <mergeCell ref="WOQ31:WOR31"/>
    <mergeCell ref="WOS31:WOT31"/>
    <mergeCell ref="WOU31:WOV31"/>
    <mergeCell ref="WOW31:WOX31"/>
    <mergeCell ref="WOY31:WOZ31"/>
    <mergeCell ref="WOC31:WOD31"/>
    <mergeCell ref="WOE31:WOF31"/>
    <mergeCell ref="WOG31:WOH31"/>
    <mergeCell ref="WOI31:WOJ31"/>
    <mergeCell ref="WOK31:WOL31"/>
    <mergeCell ref="WOM31:WON31"/>
    <mergeCell ref="WNQ31:WNR31"/>
    <mergeCell ref="WNS31:WNT31"/>
    <mergeCell ref="WNU31:WNV31"/>
    <mergeCell ref="WNW31:WNX31"/>
    <mergeCell ref="WNY31:WNZ31"/>
    <mergeCell ref="WOA31:WOB31"/>
    <mergeCell ref="WNE31:WNF31"/>
    <mergeCell ref="WNG31:WNH31"/>
    <mergeCell ref="WNI31:WNJ31"/>
    <mergeCell ref="WNK31:WNL31"/>
    <mergeCell ref="WNM31:WNN31"/>
    <mergeCell ref="WNO31:WNP31"/>
    <mergeCell ref="WMS31:WMT31"/>
    <mergeCell ref="WMU31:WMV31"/>
    <mergeCell ref="WMW31:WMX31"/>
    <mergeCell ref="WMY31:WMZ31"/>
    <mergeCell ref="WNA31:WNB31"/>
    <mergeCell ref="WNC31:WND31"/>
    <mergeCell ref="WMG31:WMH31"/>
    <mergeCell ref="WMI31:WMJ31"/>
    <mergeCell ref="WMK31:WML31"/>
    <mergeCell ref="WMM31:WMN31"/>
    <mergeCell ref="WMO31:WMP31"/>
    <mergeCell ref="WMQ31:WMR31"/>
    <mergeCell ref="WRI31:WRJ31"/>
    <mergeCell ref="WRK31:WRL31"/>
    <mergeCell ref="WRM31:WRN31"/>
    <mergeCell ref="WRO31:WRP31"/>
    <mergeCell ref="WRQ31:WRR31"/>
    <mergeCell ref="WRS31:WRT31"/>
    <mergeCell ref="WQW31:WQX31"/>
    <mergeCell ref="WQY31:WQZ31"/>
    <mergeCell ref="WRA31:WRB31"/>
    <mergeCell ref="WRC31:WRD31"/>
    <mergeCell ref="WRE31:WRF31"/>
    <mergeCell ref="WRG31:WRH31"/>
    <mergeCell ref="WQK31:WQL31"/>
    <mergeCell ref="WQM31:WQN31"/>
    <mergeCell ref="WQO31:WQP31"/>
    <mergeCell ref="WQQ31:WQR31"/>
    <mergeCell ref="WQS31:WQT31"/>
    <mergeCell ref="WQU31:WQV31"/>
    <mergeCell ref="WPY31:WPZ31"/>
    <mergeCell ref="WQA31:WQB31"/>
    <mergeCell ref="WQC31:WQD31"/>
    <mergeCell ref="WQE31:WQF31"/>
    <mergeCell ref="WQG31:WQH31"/>
    <mergeCell ref="WQI31:WQJ31"/>
    <mergeCell ref="WPM31:WPN31"/>
    <mergeCell ref="WPO31:WPP31"/>
    <mergeCell ref="WPQ31:WPR31"/>
    <mergeCell ref="WPS31:WPT31"/>
    <mergeCell ref="WPU31:WPV31"/>
    <mergeCell ref="WPW31:WPX31"/>
    <mergeCell ref="WPA31:WPB31"/>
    <mergeCell ref="WPC31:WPD31"/>
    <mergeCell ref="WPE31:WPF31"/>
    <mergeCell ref="WPG31:WPH31"/>
    <mergeCell ref="WPI31:WPJ31"/>
    <mergeCell ref="WPK31:WPL31"/>
    <mergeCell ref="WUC31:WUD31"/>
    <mergeCell ref="WUE31:WUF31"/>
    <mergeCell ref="WUG31:WUH31"/>
    <mergeCell ref="WUI31:WUJ31"/>
    <mergeCell ref="WUK31:WUL31"/>
    <mergeCell ref="WUM31:WUN31"/>
    <mergeCell ref="WTQ31:WTR31"/>
    <mergeCell ref="WTS31:WTT31"/>
    <mergeCell ref="WTU31:WTV31"/>
    <mergeCell ref="WTW31:WTX31"/>
    <mergeCell ref="WTY31:WTZ31"/>
    <mergeCell ref="WUA31:WUB31"/>
    <mergeCell ref="WTE31:WTF31"/>
    <mergeCell ref="WTG31:WTH31"/>
    <mergeCell ref="WTI31:WTJ31"/>
    <mergeCell ref="WTK31:WTL31"/>
    <mergeCell ref="WTM31:WTN31"/>
    <mergeCell ref="WTO31:WTP31"/>
    <mergeCell ref="WSS31:WST31"/>
    <mergeCell ref="WSU31:WSV31"/>
    <mergeCell ref="WSW31:WSX31"/>
    <mergeCell ref="WSY31:WSZ31"/>
    <mergeCell ref="WTA31:WTB31"/>
    <mergeCell ref="WTC31:WTD31"/>
    <mergeCell ref="WSG31:WSH31"/>
    <mergeCell ref="WSI31:WSJ31"/>
    <mergeCell ref="WSK31:WSL31"/>
    <mergeCell ref="WSM31:WSN31"/>
    <mergeCell ref="WSO31:WSP31"/>
    <mergeCell ref="WSQ31:WSR31"/>
    <mergeCell ref="WRU31:WRV31"/>
    <mergeCell ref="WRW31:WRX31"/>
    <mergeCell ref="WRY31:WRZ31"/>
    <mergeCell ref="WSA31:WSB31"/>
    <mergeCell ref="WSC31:WSD31"/>
    <mergeCell ref="WSE31:WSF31"/>
    <mergeCell ref="WWW31:WWX31"/>
    <mergeCell ref="WWY31:WWZ31"/>
    <mergeCell ref="WXA31:WXB31"/>
    <mergeCell ref="WXC31:WXD31"/>
    <mergeCell ref="WXE31:WXF31"/>
    <mergeCell ref="WXG31:WXH31"/>
    <mergeCell ref="WWK31:WWL31"/>
    <mergeCell ref="WWM31:WWN31"/>
    <mergeCell ref="WWO31:WWP31"/>
    <mergeCell ref="WWQ31:WWR31"/>
    <mergeCell ref="WWS31:WWT31"/>
    <mergeCell ref="WWU31:WWV31"/>
    <mergeCell ref="WVY31:WVZ31"/>
    <mergeCell ref="WWA31:WWB31"/>
    <mergeCell ref="WWC31:WWD31"/>
    <mergeCell ref="WWE31:WWF31"/>
    <mergeCell ref="WWG31:WWH31"/>
    <mergeCell ref="WWI31:WWJ31"/>
    <mergeCell ref="WVM31:WVN31"/>
    <mergeCell ref="WVO31:WVP31"/>
    <mergeCell ref="WVQ31:WVR31"/>
    <mergeCell ref="WVS31:WVT31"/>
    <mergeCell ref="WVU31:WVV31"/>
    <mergeCell ref="WVW31:WVX31"/>
    <mergeCell ref="WVA31:WVB31"/>
    <mergeCell ref="WVC31:WVD31"/>
    <mergeCell ref="WVE31:WVF31"/>
    <mergeCell ref="WVG31:WVH31"/>
    <mergeCell ref="WVI31:WVJ31"/>
    <mergeCell ref="WVK31:WVL31"/>
    <mergeCell ref="WUO31:WUP31"/>
    <mergeCell ref="WUQ31:WUR31"/>
    <mergeCell ref="WUS31:WUT31"/>
    <mergeCell ref="WUU31:WUV31"/>
    <mergeCell ref="WUW31:WUX31"/>
    <mergeCell ref="WUY31:WUZ31"/>
    <mergeCell ref="WZS31:WZT31"/>
    <mergeCell ref="WZU31:WZV31"/>
    <mergeCell ref="WZW31:WZX31"/>
    <mergeCell ref="WZY31:WZZ31"/>
    <mergeCell ref="XAA31:XAB31"/>
    <mergeCell ref="WZE31:WZF31"/>
    <mergeCell ref="WZG31:WZH31"/>
    <mergeCell ref="WZI31:WZJ31"/>
    <mergeCell ref="WZK31:WZL31"/>
    <mergeCell ref="WZM31:WZN31"/>
    <mergeCell ref="WZO31:WZP31"/>
    <mergeCell ref="WYS31:WYT31"/>
    <mergeCell ref="WYU31:WYV31"/>
    <mergeCell ref="WYW31:WYX31"/>
    <mergeCell ref="WYY31:WYZ31"/>
    <mergeCell ref="WZA31:WZB31"/>
    <mergeCell ref="WZC31:WZD31"/>
    <mergeCell ref="WYG31:WYH31"/>
    <mergeCell ref="WYI31:WYJ31"/>
    <mergeCell ref="WYK31:WYL31"/>
    <mergeCell ref="WYM31:WYN31"/>
    <mergeCell ref="WYO31:WYP31"/>
    <mergeCell ref="WYQ31:WYR31"/>
    <mergeCell ref="WXU31:WXV31"/>
    <mergeCell ref="WXW31:WXX31"/>
    <mergeCell ref="WXY31:WXZ31"/>
    <mergeCell ref="WYA31:WYB31"/>
    <mergeCell ref="WYC31:WYD31"/>
    <mergeCell ref="WYE31:WYF31"/>
    <mergeCell ref="WXI31:WXJ31"/>
    <mergeCell ref="WXK31:WXL31"/>
    <mergeCell ref="WXM31:WXN31"/>
    <mergeCell ref="WXO31:WXP31"/>
    <mergeCell ref="WXQ31:WXR31"/>
    <mergeCell ref="WXS31:WXT31"/>
    <mergeCell ref="XEY31:XEZ31"/>
    <mergeCell ref="XFA31:XFB31"/>
    <mergeCell ref="XFC31:XFD31"/>
    <mergeCell ref="XEG31:XEH31"/>
    <mergeCell ref="XEI31:XEJ31"/>
    <mergeCell ref="XEK31:XEL31"/>
    <mergeCell ref="XEM31:XEN31"/>
    <mergeCell ref="XEO31:XEP31"/>
    <mergeCell ref="XEQ31:XER31"/>
    <mergeCell ref="XDU31:XDV31"/>
    <mergeCell ref="XDW31:XDX31"/>
    <mergeCell ref="XDY31:XDZ31"/>
    <mergeCell ref="XEA31:XEB31"/>
    <mergeCell ref="XEC31:XED31"/>
    <mergeCell ref="XEE31:XEF31"/>
    <mergeCell ref="XDI31:XDJ31"/>
    <mergeCell ref="XDK31:XDL31"/>
    <mergeCell ref="XDM31:XDN31"/>
    <mergeCell ref="XDO31:XDP31"/>
    <mergeCell ref="XDQ31:XDR31"/>
    <mergeCell ref="XDS31:XDT31"/>
    <mergeCell ref="XCW31:XCX31"/>
    <mergeCell ref="XCY31:XCZ31"/>
    <mergeCell ref="XDA31:XDB31"/>
    <mergeCell ref="XDC31:XDD31"/>
    <mergeCell ref="XDE31:XDF31"/>
    <mergeCell ref="XDG31:XDH31"/>
    <mergeCell ref="XCK31:XCL31"/>
    <mergeCell ref="XCM31:XCN31"/>
    <mergeCell ref="XCO31:XCP31"/>
    <mergeCell ref="XCQ31:XCR31"/>
    <mergeCell ref="XCS31:XCT31"/>
    <mergeCell ref="XCU31:XCV31"/>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M32:N32"/>
    <mergeCell ref="O32:P32"/>
    <mergeCell ref="Q32:R32"/>
    <mergeCell ref="S32:T32"/>
    <mergeCell ref="U32:V32"/>
    <mergeCell ref="W32:X32"/>
    <mergeCell ref="A32:B32"/>
    <mergeCell ref="C32:D32"/>
    <mergeCell ref="E32:F32"/>
    <mergeCell ref="G32:H32"/>
    <mergeCell ref="I32:J32"/>
    <mergeCell ref="K32:L32"/>
    <mergeCell ref="XES31:XET31"/>
    <mergeCell ref="XEU31:XEV31"/>
    <mergeCell ref="XEW31:XEX31"/>
    <mergeCell ref="XBY31:XBZ31"/>
    <mergeCell ref="XCA31:XCB31"/>
    <mergeCell ref="XCC31:XCD31"/>
    <mergeCell ref="XCE31:XCF31"/>
    <mergeCell ref="XCG31:XCH31"/>
    <mergeCell ref="XCI31:XCJ31"/>
    <mergeCell ref="XBM31:XBN31"/>
    <mergeCell ref="XBO31:XBP31"/>
    <mergeCell ref="XBQ31:XBR31"/>
    <mergeCell ref="XBS31:XBT31"/>
    <mergeCell ref="XBU31:XBV31"/>
    <mergeCell ref="XBW31:XBX31"/>
    <mergeCell ref="XBA31:XBB31"/>
    <mergeCell ref="XBC31:XBD31"/>
    <mergeCell ref="XBE31:XBF31"/>
    <mergeCell ref="XBG31:XBH31"/>
    <mergeCell ref="XBI31:XBJ31"/>
    <mergeCell ref="XBK31:XBL31"/>
    <mergeCell ref="XAO31:XAP31"/>
    <mergeCell ref="XAQ31:XAR31"/>
    <mergeCell ref="XAS31:XAT31"/>
    <mergeCell ref="XAU31:XAV31"/>
    <mergeCell ref="XAW31:XAX31"/>
    <mergeCell ref="XAY31:XAZ31"/>
    <mergeCell ref="XAC31:XAD31"/>
    <mergeCell ref="XAE31:XAF31"/>
    <mergeCell ref="XAG31:XAH31"/>
    <mergeCell ref="XAI31:XAJ31"/>
    <mergeCell ref="XAK31:XAL31"/>
    <mergeCell ref="XAM31:XAN31"/>
    <mergeCell ref="WZQ31:WZR31"/>
    <mergeCell ref="DQ32:DR32"/>
    <mergeCell ref="DS32:DT32"/>
    <mergeCell ref="DU32:DV32"/>
    <mergeCell ref="DW32:DX32"/>
    <mergeCell ref="DY32:DZ32"/>
    <mergeCell ref="EA32:EB32"/>
    <mergeCell ref="DE32:DF32"/>
    <mergeCell ref="DG32:DH32"/>
    <mergeCell ref="DI32:DJ32"/>
    <mergeCell ref="DK32:DL32"/>
    <mergeCell ref="DM32:DN32"/>
    <mergeCell ref="DO32:DP32"/>
    <mergeCell ref="CS32:CT32"/>
    <mergeCell ref="CU32:CV32"/>
    <mergeCell ref="CW32:CX32"/>
    <mergeCell ref="CY32:CZ32"/>
    <mergeCell ref="DA32:DB32"/>
    <mergeCell ref="DC32:DD32"/>
    <mergeCell ref="CG32:CH32"/>
    <mergeCell ref="CI32:CJ32"/>
    <mergeCell ref="CK32:CL32"/>
    <mergeCell ref="CM32:CN32"/>
    <mergeCell ref="CO32:CP32"/>
    <mergeCell ref="CQ32:CR32"/>
    <mergeCell ref="BU32:BV32"/>
    <mergeCell ref="BW32:BX32"/>
    <mergeCell ref="BY32:BZ32"/>
    <mergeCell ref="CA32:CB32"/>
    <mergeCell ref="CC32:CD32"/>
    <mergeCell ref="CE32:CF32"/>
    <mergeCell ref="BI32:BJ32"/>
    <mergeCell ref="BK32:BL32"/>
    <mergeCell ref="BM32:BN32"/>
    <mergeCell ref="BO32:BP32"/>
    <mergeCell ref="BQ32:BR32"/>
    <mergeCell ref="BS32:BT32"/>
    <mergeCell ref="GK32:GL32"/>
    <mergeCell ref="GM32:GN32"/>
    <mergeCell ref="GO32:GP32"/>
    <mergeCell ref="GQ32:GR32"/>
    <mergeCell ref="GS32:GT32"/>
    <mergeCell ref="GU32:GV32"/>
    <mergeCell ref="FY32:FZ32"/>
    <mergeCell ref="GA32:GB32"/>
    <mergeCell ref="GC32:GD32"/>
    <mergeCell ref="GE32:GF32"/>
    <mergeCell ref="GG32:GH32"/>
    <mergeCell ref="GI32:GJ32"/>
    <mergeCell ref="FM32:FN32"/>
    <mergeCell ref="FO32:FP32"/>
    <mergeCell ref="FQ32:FR32"/>
    <mergeCell ref="FS32:FT32"/>
    <mergeCell ref="FU32:FV32"/>
    <mergeCell ref="FW32:FX32"/>
    <mergeCell ref="FA32:FB32"/>
    <mergeCell ref="FC32:FD32"/>
    <mergeCell ref="FE32:FF32"/>
    <mergeCell ref="FG32:FH32"/>
    <mergeCell ref="FI32:FJ32"/>
    <mergeCell ref="FK32:FL32"/>
    <mergeCell ref="EO32:EP32"/>
    <mergeCell ref="EQ32:ER32"/>
    <mergeCell ref="ES32:ET32"/>
    <mergeCell ref="EU32:EV32"/>
    <mergeCell ref="EW32:EX32"/>
    <mergeCell ref="EY32:EZ32"/>
    <mergeCell ref="EC32:ED32"/>
    <mergeCell ref="EE32:EF32"/>
    <mergeCell ref="EG32:EH32"/>
    <mergeCell ref="EI32:EJ32"/>
    <mergeCell ref="EK32:EL32"/>
    <mergeCell ref="EM32:EN32"/>
    <mergeCell ref="JE32:JF32"/>
    <mergeCell ref="JG32:JH32"/>
    <mergeCell ref="JI32:JJ32"/>
    <mergeCell ref="JK32:JL32"/>
    <mergeCell ref="JM32:JN32"/>
    <mergeCell ref="JO32:JP32"/>
    <mergeCell ref="IS32:IT32"/>
    <mergeCell ref="IU32:IV32"/>
    <mergeCell ref="IW32:IX32"/>
    <mergeCell ref="IY32:IZ32"/>
    <mergeCell ref="JA32:JB32"/>
    <mergeCell ref="JC32:JD32"/>
    <mergeCell ref="IG32:IH32"/>
    <mergeCell ref="II32:IJ32"/>
    <mergeCell ref="IK32:IL32"/>
    <mergeCell ref="IM32:IN32"/>
    <mergeCell ref="IO32:IP32"/>
    <mergeCell ref="IQ32:IR32"/>
    <mergeCell ref="HU32:HV32"/>
    <mergeCell ref="HW32:HX32"/>
    <mergeCell ref="HY32:HZ32"/>
    <mergeCell ref="IA32:IB32"/>
    <mergeCell ref="IC32:ID32"/>
    <mergeCell ref="IE32:IF32"/>
    <mergeCell ref="HI32:HJ32"/>
    <mergeCell ref="HK32:HL32"/>
    <mergeCell ref="HM32:HN32"/>
    <mergeCell ref="HO32:HP32"/>
    <mergeCell ref="HQ32:HR32"/>
    <mergeCell ref="HS32:HT32"/>
    <mergeCell ref="GW32:GX32"/>
    <mergeCell ref="GY32:GZ32"/>
    <mergeCell ref="HA32:HB32"/>
    <mergeCell ref="HC32:HD32"/>
    <mergeCell ref="HE32:HF32"/>
    <mergeCell ref="HG32:HH32"/>
    <mergeCell ref="LY32:LZ32"/>
    <mergeCell ref="MA32:MB32"/>
    <mergeCell ref="MC32:MD32"/>
    <mergeCell ref="ME32:MF32"/>
    <mergeCell ref="MG32:MH32"/>
    <mergeCell ref="MI32:MJ32"/>
    <mergeCell ref="LM32:LN32"/>
    <mergeCell ref="LO32:LP32"/>
    <mergeCell ref="LQ32:LR32"/>
    <mergeCell ref="LS32:LT32"/>
    <mergeCell ref="LU32:LV32"/>
    <mergeCell ref="LW32:LX32"/>
    <mergeCell ref="LA32:LB32"/>
    <mergeCell ref="LC32:LD32"/>
    <mergeCell ref="LE32:LF32"/>
    <mergeCell ref="LG32:LH32"/>
    <mergeCell ref="LI32:LJ32"/>
    <mergeCell ref="LK32:LL32"/>
    <mergeCell ref="KO32:KP32"/>
    <mergeCell ref="KQ32:KR32"/>
    <mergeCell ref="KS32:KT32"/>
    <mergeCell ref="KU32:KV32"/>
    <mergeCell ref="KW32:KX32"/>
    <mergeCell ref="KY32:KZ32"/>
    <mergeCell ref="KC32:KD32"/>
    <mergeCell ref="KE32:KF32"/>
    <mergeCell ref="KG32:KH32"/>
    <mergeCell ref="KI32:KJ32"/>
    <mergeCell ref="KK32:KL32"/>
    <mergeCell ref="KM32:KN32"/>
    <mergeCell ref="JQ32:JR32"/>
    <mergeCell ref="JS32:JT32"/>
    <mergeCell ref="JU32:JV32"/>
    <mergeCell ref="JW32:JX32"/>
    <mergeCell ref="JY32:JZ32"/>
    <mergeCell ref="KA32:KB32"/>
    <mergeCell ref="OS32:OT32"/>
    <mergeCell ref="OU32:OV32"/>
    <mergeCell ref="OW32:OX32"/>
    <mergeCell ref="OY32:OZ32"/>
    <mergeCell ref="PA32:PB32"/>
    <mergeCell ref="PC32:PD32"/>
    <mergeCell ref="OG32:OH32"/>
    <mergeCell ref="OI32:OJ32"/>
    <mergeCell ref="OK32:OL32"/>
    <mergeCell ref="OM32:ON32"/>
    <mergeCell ref="OO32:OP32"/>
    <mergeCell ref="OQ32:OR32"/>
    <mergeCell ref="NU32:NV32"/>
    <mergeCell ref="NW32:NX32"/>
    <mergeCell ref="NY32:NZ32"/>
    <mergeCell ref="OA32:OB32"/>
    <mergeCell ref="OC32:OD32"/>
    <mergeCell ref="OE32:OF32"/>
    <mergeCell ref="NI32:NJ32"/>
    <mergeCell ref="NK32:NL32"/>
    <mergeCell ref="NM32:NN32"/>
    <mergeCell ref="NO32:NP32"/>
    <mergeCell ref="NQ32:NR32"/>
    <mergeCell ref="NS32:NT32"/>
    <mergeCell ref="MW32:MX32"/>
    <mergeCell ref="MY32:MZ32"/>
    <mergeCell ref="NA32:NB32"/>
    <mergeCell ref="NC32:ND32"/>
    <mergeCell ref="NE32:NF32"/>
    <mergeCell ref="NG32:NH32"/>
    <mergeCell ref="MK32:ML32"/>
    <mergeCell ref="MM32:MN32"/>
    <mergeCell ref="MO32:MP32"/>
    <mergeCell ref="MQ32:MR32"/>
    <mergeCell ref="MS32:MT32"/>
    <mergeCell ref="MU32:MV32"/>
    <mergeCell ref="RM32:RN32"/>
    <mergeCell ref="RO32:RP32"/>
    <mergeCell ref="RQ32:RR32"/>
    <mergeCell ref="RS32:RT32"/>
    <mergeCell ref="RU32:RV32"/>
    <mergeCell ref="RW32:RX32"/>
    <mergeCell ref="RA32:RB32"/>
    <mergeCell ref="RC32:RD32"/>
    <mergeCell ref="RE32:RF32"/>
    <mergeCell ref="RG32:RH32"/>
    <mergeCell ref="RI32:RJ32"/>
    <mergeCell ref="RK32:RL32"/>
    <mergeCell ref="QO32:QP32"/>
    <mergeCell ref="QQ32:QR32"/>
    <mergeCell ref="QS32:QT32"/>
    <mergeCell ref="QU32:QV32"/>
    <mergeCell ref="QW32:QX32"/>
    <mergeCell ref="QY32:QZ32"/>
    <mergeCell ref="QC32:QD32"/>
    <mergeCell ref="QE32:QF32"/>
    <mergeCell ref="QG32:QH32"/>
    <mergeCell ref="QI32:QJ32"/>
    <mergeCell ref="QK32:QL32"/>
    <mergeCell ref="QM32:QN32"/>
    <mergeCell ref="PQ32:PR32"/>
    <mergeCell ref="PS32:PT32"/>
    <mergeCell ref="PU32:PV32"/>
    <mergeCell ref="PW32:PX32"/>
    <mergeCell ref="PY32:PZ32"/>
    <mergeCell ref="QA32:QB32"/>
    <mergeCell ref="PE32:PF32"/>
    <mergeCell ref="PG32:PH32"/>
    <mergeCell ref="PI32:PJ32"/>
    <mergeCell ref="PK32:PL32"/>
    <mergeCell ref="PM32:PN32"/>
    <mergeCell ref="PO32:PP32"/>
    <mergeCell ref="UG32:UH32"/>
    <mergeCell ref="UI32:UJ32"/>
    <mergeCell ref="UK32:UL32"/>
    <mergeCell ref="UM32:UN32"/>
    <mergeCell ref="UO32:UP32"/>
    <mergeCell ref="UQ32:UR32"/>
    <mergeCell ref="TU32:TV32"/>
    <mergeCell ref="TW32:TX32"/>
    <mergeCell ref="TY32:TZ32"/>
    <mergeCell ref="UA32:UB32"/>
    <mergeCell ref="UC32:UD32"/>
    <mergeCell ref="UE32:UF32"/>
    <mergeCell ref="TI32:TJ32"/>
    <mergeCell ref="TK32:TL32"/>
    <mergeCell ref="TM32:TN32"/>
    <mergeCell ref="TO32:TP32"/>
    <mergeCell ref="TQ32:TR32"/>
    <mergeCell ref="TS32:TT32"/>
    <mergeCell ref="SW32:SX32"/>
    <mergeCell ref="SY32:SZ32"/>
    <mergeCell ref="TA32:TB32"/>
    <mergeCell ref="TC32:TD32"/>
    <mergeCell ref="TE32:TF32"/>
    <mergeCell ref="TG32:TH32"/>
    <mergeCell ref="SK32:SL32"/>
    <mergeCell ref="SM32:SN32"/>
    <mergeCell ref="SO32:SP32"/>
    <mergeCell ref="SQ32:SR32"/>
    <mergeCell ref="SS32:ST32"/>
    <mergeCell ref="SU32:SV32"/>
    <mergeCell ref="RY32:RZ32"/>
    <mergeCell ref="SA32:SB32"/>
    <mergeCell ref="SC32:SD32"/>
    <mergeCell ref="SE32:SF32"/>
    <mergeCell ref="SG32:SH32"/>
    <mergeCell ref="SI32:SJ32"/>
    <mergeCell ref="XA32:XB32"/>
    <mergeCell ref="XC32:XD32"/>
    <mergeCell ref="XE32:XF32"/>
    <mergeCell ref="XG32:XH32"/>
    <mergeCell ref="XI32:XJ32"/>
    <mergeCell ref="XK32:XL32"/>
    <mergeCell ref="WO32:WP32"/>
    <mergeCell ref="WQ32:WR32"/>
    <mergeCell ref="WS32:WT32"/>
    <mergeCell ref="WU32:WV32"/>
    <mergeCell ref="WW32:WX32"/>
    <mergeCell ref="WY32:WZ32"/>
    <mergeCell ref="WC32:WD32"/>
    <mergeCell ref="WE32:WF32"/>
    <mergeCell ref="WG32:WH32"/>
    <mergeCell ref="WI32:WJ32"/>
    <mergeCell ref="WK32:WL32"/>
    <mergeCell ref="WM32:WN32"/>
    <mergeCell ref="VQ32:VR32"/>
    <mergeCell ref="VS32:VT32"/>
    <mergeCell ref="VU32:VV32"/>
    <mergeCell ref="VW32:VX32"/>
    <mergeCell ref="VY32:VZ32"/>
    <mergeCell ref="WA32:WB32"/>
    <mergeCell ref="VE32:VF32"/>
    <mergeCell ref="VG32:VH32"/>
    <mergeCell ref="VI32:VJ32"/>
    <mergeCell ref="VK32:VL32"/>
    <mergeCell ref="VM32:VN32"/>
    <mergeCell ref="VO32:VP32"/>
    <mergeCell ref="US32:UT32"/>
    <mergeCell ref="UU32:UV32"/>
    <mergeCell ref="UW32:UX32"/>
    <mergeCell ref="UY32:UZ32"/>
    <mergeCell ref="VA32:VB32"/>
    <mergeCell ref="VC32:VD32"/>
    <mergeCell ref="ZU32:ZV32"/>
    <mergeCell ref="ZW32:ZX32"/>
    <mergeCell ref="ZY32:ZZ32"/>
    <mergeCell ref="AAA32:AAB32"/>
    <mergeCell ref="AAC32:AAD32"/>
    <mergeCell ref="AAE32:AAF32"/>
    <mergeCell ref="ZI32:ZJ32"/>
    <mergeCell ref="ZK32:ZL32"/>
    <mergeCell ref="ZM32:ZN32"/>
    <mergeCell ref="ZO32:ZP32"/>
    <mergeCell ref="ZQ32:ZR32"/>
    <mergeCell ref="ZS32:ZT32"/>
    <mergeCell ref="YW32:YX32"/>
    <mergeCell ref="YY32:YZ32"/>
    <mergeCell ref="ZA32:ZB32"/>
    <mergeCell ref="ZC32:ZD32"/>
    <mergeCell ref="ZE32:ZF32"/>
    <mergeCell ref="ZG32:ZH32"/>
    <mergeCell ref="YK32:YL32"/>
    <mergeCell ref="YM32:YN32"/>
    <mergeCell ref="YO32:YP32"/>
    <mergeCell ref="YQ32:YR32"/>
    <mergeCell ref="YS32:YT32"/>
    <mergeCell ref="YU32:YV32"/>
    <mergeCell ref="XY32:XZ32"/>
    <mergeCell ref="YA32:YB32"/>
    <mergeCell ref="YC32:YD32"/>
    <mergeCell ref="YE32:YF32"/>
    <mergeCell ref="YG32:YH32"/>
    <mergeCell ref="YI32:YJ32"/>
    <mergeCell ref="XM32:XN32"/>
    <mergeCell ref="XO32:XP32"/>
    <mergeCell ref="XQ32:XR32"/>
    <mergeCell ref="XS32:XT32"/>
    <mergeCell ref="XU32:XV32"/>
    <mergeCell ref="XW32:XX32"/>
    <mergeCell ref="ACO32:ACP32"/>
    <mergeCell ref="ACQ32:ACR32"/>
    <mergeCell ref="ACS32:ACT32"/>
    <mergeCell ref="ACU32:ACV32"/>
    <mergeCell ref="ACW32:ACX32"/>
    <mergeCell ref="ACY32:ACZ32"/>
    <mergeCell ref="ACC32:ACD32"/>
    <mergeCell ref="ACE32:ACF32"/>
    <mergeCell ref="ACG32:ACH32"/>
    <mergeCell ref="ACI32:ACJ32"/>
    <mergeCell ref="ACK32:ACL32"/>
    <mergeCell ref="ACM32:ACN32"/>
    <mergeCell ref="ABQ32:ABR32"/>
    <mergeCell ref="ABS32:ABT32"/>
    <mergeCell ref="ABU32:ABV32"/>
    <mergeCell ref="ABW32:ABX32"/>
    <mergeCell ref="ABY32:ABZ32"/>
    <mergeCell ref="ACA32:ACB32"/>
    <mergeCell ref="ABE32:ABF32"/>
    <mergeCell ref="ABG32:ABH32"/>
    <mergeCell ref="ABI32:ABJ32"/>
    <mergeCell ref="ABK32:ABL32"/>
    <mergeCell ref="ABM32:ABN32"/>
    <mergeCell ref="ABO32:ABP32"/>
    <mergeCell ref="AAS32:AAT32"/>
    <mergeCell ref="AAU32:AAV32"/>
    <mergeCell ref="AAW32:AAX32"/>
    <mergeCell ref="AAY32:AAZ32"/>
    <mergeCell ref="ABA32:ABB32"/>
    <mergeCell ref="ABC32:ABD32"/>
    <mergeCell ref="AAG32:AAH32"/>
    <mergeCell ref="AAI32:AAJ32"/>
    <mergeCell ref="AAK32:AAL32"/>
    <mergeCell ref="AAM32:AAN32"/>
    <mergeCell ref="AAO32:AAP32"/>
    <mergeCell ref="AAQ32:AAR32"/>
    <mergeCell ref="AFI32:AFJ32"/>
    <mergeCell ref="AFK32:AFL32"/>
    <mergeCell ref="AFM32:AFN32"/>
    <mergeCell ref="AFO32:AFP32"/>
    <mergeCell ref="AFQ32:AFR32"/>
    <mergeCell ref="AFS32:AFT32"/>
    <mergeCell ref="AEW32:AEX32"/>
    <mergeCell ref="AEY32:AEZ32"/>
    <mergeCell ref="AFA32:AFB32"/>
    <mergeCell ref="AFC32:AFD32"/>
    <mergeCell ref="AFE32:AFF32"/>
    <mergeCell ref="AFG32:AFH32"/>
    <mergeCell ref="AEK32:AEL32"/>
    <mergeCell ref="AEM32:AEN32"/>
    <mergeCell ref="AEO32:AEP32"/>
    <mergeCell ref="AEQ32:AER32"/>
    <mergeCell ref="AES32:AET32"/>
    <mergeCell ref="AEU32:AEV32"/>
    <mergeCell ref="ADY32:ADZ32"/>
    <mergeCell ref="AEA32:AEB32"/>
    <mergeCell ref="AEC32:AED32"/>
    <mergeCell ref="AEE32:AEF32"/>
    <mergeCell ref="AEG32:AEH32"/>
    <mergeCell ref="AEI32:AEJ32"/>
    <mergeCell ref="ADM32:ADN32"/>
    <mergeCell ref="ADO32:ADP32"/>
    <mergeCell ref="ADQ32:ADR32"/>
    <mergeCell ref="ADS32:ADT32"/>
    <mergeCell ref="ADU32:ADV32"/>
    <mergeCell ref="ADW32:ADX32"/>
    <mergeCell ref="ADA32:ADB32"/>
    <mergeCell ref="ADC32:ADD32"/>
    <mergeCell ref="ADE32:ADF32"/>
    <mergeCell ref="ADG32:ADH32"/>
    <mergeCell ref="ADI32:ADJ32"/>
    <mergeCell ref="ADK32:ADL32"/>
    <mergeCell ref="AIC32:AID32"/>
    <mergeCell ref="AIE32:AIF32"/>
    <mergeCell ref="AIG32:AIH32"/>
    <mergeCell ref="AII32:AIJ32"/>
    <mergeCell ref="AIK32:AIL32"/>
    <mergeCell ref="AIM32:AIN32"/>
    <mergeCell ref="AHQ32:AHR32"/>
    <mergeCell ref="AHS32:AHT32"/>
    <mergeCell ref="AHU32:AHV32"/>
    <mergeCell ref="AHW32:AHX32"/>
    <mergeCell ref="AHY32:AHZ32"/>
    <mergeCell ref="AIA32:AIB32"/>
    <mergeCell ref="AHE32:AHF32"/>
    <mergeCell ref="AHG32:AHH32"/>
    <mergeCell ref="AHI32:AHJ32"/>
    <mergeCell ref="AHK32:AHL32"/>
    <mergeCell ref="AHM32:AHN32"/>
    <mergeCell ref="AHO32:AHP32"/>
    <mergeCell ref="AGS32:AGT32"/>
    <mergeCell ref="AGU32:AGV32"/>
    <mergeCell ref="AGW32:AGX32"/>
    <mergeCell ref="AGY32:AGZ32"/>
    <mergeCell ref="AHA32:AHB32"/>
    <mergeCell ref="AHC32:AHD32"/>
    <mergeCell ref="AGG32:AGH32"/>
    <mergeCell ref="AGI32:AGJ32"/>
    <mergeCell ref="AGK32:AGL32"/>
    <mergeCell ref="AGM32:AGN32"/>
    <mergeCell ref="AGO32:AGP32"/>
    <mergeCell ref="AGQ32:AGR32"/>
    <mergeCell ref="AFU32:AFV32"/>
    <mergeCell ref="AFW32:AFX32"/>
    <mergeCell ref="AFY32:AFZ32"/>
    <mergeCell ref="AGA32:AGB32"/>
    <mergeCell ref="AGC32:AGD32"/>
    <mergeCell ref="AGE32:AGF32"/>
    <mergeCell ref="AKW32:AKX32"/>
    <mergeCell ref="AKY32:AKZ32"/>
    <mergeCell ref="ALA32:ALB32"/>
    <mergeCell ref="ALC32:ALD32"/>
    <mergeCell ref="ALE32:ALF32"/>
    <mergeCell ref="ALG32:ALH32"/>
    <mergeCell ref="AKK32:AKL32"/>
    <mergeCell ref="AKM32:AKN32"/>
    <mergeCell ref="AKO32:AKP32"/>
    <mergeCell ref="AKQ32:AKR32"/>
    <mergeCell ref="AKS32:AKT32"/>
    <mergeCell ref="AKU32:AKV32"/>
    <mergeCell ref="AJY32:AJZ32"/>
    <mergeCell ref="AKA32:AKB32"/>
    <mergeCell ref="AKC32:AKD32"/>
    <mergeCell ref="AKE32:AKF32"/>
    <mergeCell ref="AKG32:AKH32"/>
    <mergeCell ref="AKI32:AKJ32"/>
    <mergeCell ref="AJM32:AJN32"/>
    <mergeCell ref="AJO32:AJP32"/>
    <mergeCell ref="AJQ32:AJR32"/>
    <mergeCell ref="AJS32:AJT32"/>
    <mergeCell ref="AJU32:AJV32"/>
    <mergeCell ref="AJW32:AJX32"/>
    <mergeCell ref="AJA32:AJB32"/>
    <mergeCell ref="AJC32:AJD32"/>
    <mergeCell ref="AJE32:AJF32"/>
    <mergeCell ref="AJG32:AJH32"/>
    <mergeCell ref="AJI32:AJJ32"/>
    <mergeCell ref="AJK32:AJL32"/>
    <mergeCell ref="AIO32:AIP32"/>
    <mergeCell ref="AIQ32:AIR32"/>
    <mergeCell ref="AIS32:AIT32"/>
    <mergeCell ref="AIU32:AIV32"/>
    <mergeCell ref="AIW32:AIX32"/>
    <mergeCell ref="AIY32:AIZ32"/>
    <mergeCell ref="ANQ32:ANR32"/>
    <mergeCell ref="ANS32:ANT32"/>
    <mergeCell ref="ANU32:ANV32"/>
    <mergeCell ref="ANW32:ANX32"/>
    <mergeCell ref="ANY32:ANZ32"/>
    <mergeCell ref="AOA32:AOB32"/>
    <mergeCell ref="ANE32:ANF32"/>
    <mergeCell ref="ANG32:ANH32"/>
    <mergeCell ref="ANI32:ANJ32"/>
    <mergeCell ref="ANK32:ANL32"/>
    <mergeCell ref="ANM32:ANN32"/>
    <mergeCell ref="ANO32:ANP32"/>
    <mergeCell ref="AMS32:AMT32"/>
    <mergeCell ref="AMU32:AMV32"/>
    <mergeCell ref="AMW32:AMX32"/>
    <mergeCell ref="AMY32:AMZ32"/>
    <mergeCell ref="ANA32:ANB32"/>
    <mergeCell ref="ANC32:AND32"/>
    <mergeCell ref="AMG32:AMH32"/>
    <mergeCell ref="AMI32:AMJ32"/>
    <mergeCell ref="AMK32:AML32"/>
    <mergeCell ref="AMM32:AMN32"/>
    <mergeCell ref="AMO32:AMP32"/>
    <mergeCell ref="AMQ32:AMR32"/>
    <mergeCell ref="ALU32:ALV32"/>
    <mergeCell ref="ALW32:ALX32"/>
    <mergeCell ref="ALY32:ALZ32"/>
    <mergeCell ref="AMA32:AMB32"/>
    <mergeCell ref="AMC32:AMD32"/>
    <mergeCell ref="AME32:AMF32"/>
    <mergeCell ref="ALI32:ALJ32"/>
    <mergeCell ref="ALK32:ALL32"/>
    <mergeCell ref="ALM32:ALN32"/>
    <mergeCell ref="ALO32:ALP32"/>
    <mergeCell ref="ALQ32:ALR32"/>
    <mergeCell ref="ALS32:ALT32"/>
    <mergeCell ref="AQK32:AQL32"/>
    <mergeCell ref="AQM32:AQN32"/>
    <mergeCell ref="AQO32:AQP32"/>
    <mergeCell ref="AQQ32:AQR32"/>
    <mergeCell ref="AQS32:AQT32"/>
    <mergeCell ref="AQU32:AQV32"/>
    <mergeCell ref="APY32:APZ32"/>
    <mergeCell ref="AQA32:AQB32"/>
    <mergeCell ref="AQC32:AQD32"/>
    <mergeCell ref="AQE32:AQF32"/>
    <mergeCell ref="AQG32:AQH32"/>
    <mergeCell ref="AQI32:AQJ32"/>
    <mergeCell ref="APM32:APN32"/>
    <mergeCell ref="APO32:APP32"/>
    <mergeCell ref="APQ32:APR32"/>
    <mergeCell ref="APS32:APT32"/>
    <mergeCell ref="APU32:APV32"/>
    <mergeCell ref="APW32:APX32"/>
    <mergeCell ref="APA32:APB32"/>
    <mergeCell ref="APC32:APD32"/>
    <mergeCell ref="APE32:APF32"/>
    <mergeCell ref="APG32:APH32"/>
    <mergeCell ref="API32:APJ32"/>
    <mergeCell ref="APK32:APL32"/>
    <mergeCell ref="AOO32:AOP32"/>
    <mergeCell ref="AOQ32:AOR32"/>
    <mergeCell ref="AOS32:AOT32"/>
    <mergeCell ref="AOU32:AOV32"/>
    <mergeCell ref="AOW32:AOX32"/>
    <mergeCell ref="AOY32:AOZ32"/>
    <mergeCell ref="AOC32:AOD32"/>
    <mergeCell ref="AOE32:AOF32"/>
    <mergeCell ref="AOG32:AOH32"/>
    <mergeCell ref="AOI32:AOJ32"/>
    <mergeCell ref="AOK32:AOL32"/>
    <mergeCell ref="AOM32:AON32"/>
    <mergeCell ref="ATE32:ATF32"/>
    <mergeCell ref="ATG32:ATH32"/>
    <mergeCell ref="ATI32:ATJ32"/>
    <mergeCell ref="ATK32:ATL32"/>
    <mergeCell ref="ATM32:ATN32"/>
    <mergeCell ref="ATO32:ATP32"/>
    <mergeCell ref="ASS32:AST32"/>
    <mergeCell ref="ASU32:ASV32"/>
    <mergeCell ref="ASW32:ASX32"/>
    <mergeCell ref="ASY32:ASZ32"/>
    <mergeCell ref="ATA32:ATB32"/>
    <mergeCell ref="ATC32:ATD32"/>
    <mergeCell ref="ASG32:ASH32"/>
    <mergeCell ref="ASI32:ASJ32"/>
    <mergeCell ref="ASK32:ASL32"/>
    <mergeCell ref="ASM32:ASN32"/>
    <mergeCell ref="ASO32:ASP32"/>
    <mergeCell ref="ASQ32:ASR32"/>
    <mergeCell ref="ARU32:ARV32"/>
    <mergeCell ref="ARW32:ARX32"/>
    <mergeCell ref="ARY32:ARZ32"/>
    <mergeCell ref="ASA32:ASB32"/>
    <mergeCell ref="ASC32:ASD32"/>
    <mergeCell ref="ASE32:ASF32"/>
    <mergeCell ref="ARI32:ARJ32"/>
    <mergeCell ref="ARK32:ARL32"/>
    <mergeCell ref="ARM32:ARN32"/>
    <mergeCell ref="ARO32:ARP32"/>
    <mergeCell ref="ARQ32:ARR32"/>
    <mergeCell ref="ARS32:ART32"/>
    <mergeCell ref="AQW32:AQX32"/>
    <mergeCell ref="AQY32:AQZ32"/>
    <mergeCell ref="ARA32:ARB32"/>
    <mergeCell ref="ARC32:ARD32"/>
    <mergeCell ref="ARE32:ARF32"/>
    <mergeCell ref="ARG32:ARH32"/>
    <mergeCell ref="AVY32:AVZ32"/>
    <mergeCell ref="AWA32:AWB32"/>
    <mergeCell ref="AWC32:AWD32"/>
    <mergeCell ref="AWE32:AWF32"/>
    <mergeCell ref="AWG32:AWH32"/>
    <mergeCell ref="AWI32:AWJ32"/>
    <mergeCell ref="AVM32:AVN32"/>
    <mergeCell ref="AVO32:AVP32"/>
    <mergeCell ref="AVQ32:AVR32"/>
    <mergeCell ref="AVS32:AVT32"/>
    <mergeCell ref="AVU32:AVV32"/>
    <mergeCell ref="AVW32:AVX32"/>
    <mergeCell ref="AVA32:AVB32"/>
    <mergeCell ref="AVC32:AVD32"/>
    <mergeCell ref="AVE32:AVF32"/>
    <mergeCell ref="AVG32:AVH32"/>
    <mergeCell ref="AVI32:AVJ32"/>
    <mergeCell ref="AVK32:AVL32"/>
    <mergeCell ref="AUO32:AUP32"/>
    <mergeCell ref="AUQ32:AUR32"/>
    <mergeCell ref="AUS32:AUT32"/>
    <mergeCell ref="AUU32:AUV32"/>
    <mergeCell ref="AUW32:AUX32"/>
    <mergeCell ref="AUY32:AUZ32"/>
    <mergeCell ref="AUC32:AUD32"/>
    <mergeCell ref="AUE32:AUF32"/>
    <mergeCell ref="AUG32:AUH32"/>
    <mergeCell ref="AUI32:AUJ32"/>
    <mergeCell ref="AUK32:AUL32"/>
    <mergeCell ref="AUM32:AUN32"/>
    <mergeCell ref="ATQ32:ATR32"/>
    <mergeCell ref="ATS32:ATT32"/>
    <mergeCell ref="ATU32:ATV32"/>
    <mergeCell ref="ATW32:ATX32"/>
    <mergeCell ref="ATY32:ATZ32"/>
    <mergeCell ref="AUA32:AUB32"/>
    <mergeCell ref="AYS32:AYT32"/>
    <mergeCell ref="AYU32:AYV32"/>
    <mergeCell ref="AYW32:AYX32"/>
    <mergeCell ref="AYY32:AYZ32"/>
    <mergeCell ref="AZA32:AZB32"/>
    <mergeCell ref="AZC32:AZD32"/>
    <mergeCell ref="AYG32:AYH32"/>
    <mergeCell ref="AYI32:AYJ32"/>
    <mergeCell ref="AYK32:AYL32"/>
    <mergeCell ref="AYM32:AYN32"/>
    <mergeCell ref="AYO32:AYP32"/>
    <mergeCell ref="AYQ32:AYR32"/>
    <mergeCell ref="AXU32:AXV32"/>
    <mergeCell ref="AXW32:AXX32"/>
    <mergeCell ref="AXY32:AXZ32"/>
    <mergeCell ref="AYA32:AYB32"/>
    <mergeCell ref="AYC32:AYD32"/>
    <mergeCell ref="AYE32:AYF32"/>
    <mergeCell ref="AXI32:AXJ32"/>
    <mergeCell ref="AXK32:AXL32"/>
    <mergeCell ref="AXM32:AXN32"/>
    <mergeCell ref="AXO32:AXP32"/>
    <mergeCell ref="AXQ32:AXR32"/>
    <mergeCell ref="AXS32:AXT32"/>
    <mergeCell ref="AWW32:AWX32"/>
    <mergeCell ref="AWY32:AWZ32"/>
    <mergeCell ref="AXA32:AXB32"/>
    <mergeCell ref="AXC32:AXD32"/>
    <mergeCell ref="AXE32:AXF32"/>
    <mergeCell ref="AXG32:AXH32"/>
    <mergeCell ref="AWK32:AWL32"/>
    <mergeCell ref="AWM32:AWN32"/>
    <mergeCell ref="AWO32:AWP32"/>
    <mergeCell ref="AWQ32:AWR32"/>
    <mergeCell ref="AWS32:AWT32"/>
    <mergeCell ref="AWU32:AWV32"/>
    <mergeCell ref="BBM32:BBN32"/>
    <mergeCell ref="BBO32:BBP32"/>
    <mergeCell ref="BBQ32:BBR32"/>
    <mergeCell ref="BBS32:BBT32"/>
    <mergeCell ref="BBU32:BBV32"/>
    <mergeCell ref="BBW32:BBX32"/>
    <mergeCell ref="BBA32:BBB32"/>
    <mergeCell ref="BBC32:BBD32"/>
    <mergeCell ref="BBE32:BBF32"/>
    <mergeCell ref="BBG32:BBH32"/>
    <mergeCell ref="BBI32:BBJ32"/>
    <mergeCell ref="BBK32:BBL32"/>
    <mergeCell ref="BAO32:BAP32"/>
    <mergeCell ref="BAQ32:BAR32"/>
    <mergeCell ref="BAS32:BAT32"/>
    <mergeCell ref="BAU32:BAV32"/>
    <mergeCell ref="BAW32:BAX32"/>
    <mergeCell ref="BAY32:BAZ32"/>
    <mergeCell ref="BAC32:BAD32"/>
    <mergeCell ref="BAE32:BAF32"/>
    <mergeCell ref="BAG32:BAH32"/>
    <mergeCell ref="BAI32:BAJ32"/>
    <mergeCell ref="BAK32:BAL32"/>
    <mergeCell ref="BAM32:BAN32"/>
    <mergeCell ref="AZQ32:AZR32"/>
    <mergeCell ref="AZS32:AZT32"/>
    <mergeCell ref="AZU32:AZV32"/>
    <mergeCell ref="AZW32:AZX32"/>
    <mergeCell ref="AZY32:AZZ32"/>
    <mergeCell ref="BAA32:BAB32"/>
    <mergeCell ref="AZE32:AZF32"/>
    <mergeCell ref="AZG32:AZH32"/>
    <mergeCell ref="AZI32:AZJ32"/>
    <mergeCell ref="AZK32:AZL32"/>
    <mergeCell ref="AZM32:AZN32"/>
    <mergeCell ref="AZO32:AZP32"/>
    <mergeCell ref="BEG32:BEH32"/>
    <mergeCell ref="BEI32:BEJ32"/>
    <mergeCell ref="BEK32:BEL32"/>
    <mergeCell ref="BEM32:BEN32"/>
    <mergeCell ref="BEO32:BEP32"/>
    <mergeCell ref="BEQ32:BER32"/>
    <mergeCell ref="BDU32:BDV32"/>
    <mergeCell ref="BDW32:BDX32"/>
    <mergeCell ref="BDY32:BDZ32"/>
    <mergeCell ref="BEA32:BEB32"/>
    <mergeCell ref="BEC32:BED32"/>
    <mergeCell ref="BEE32:BEF32"/>
    <mergeCell ref="BDI32:BDJ32"/>
    <mergeCell ref="BDK32:BDL32"/>
    <mergeCell ref="BDM32:BDN32"/>
    <mergeCell ref="BDO32:BDP32"/>
    <mergeCell ref="BDQ32:BDR32"/>
    <mergeCell ref="BDS32:BDT32"/>
    <mergeCell ref="BCW32:BCX32"/>
    <mergeCell ref="BCY32:BCZ32"/>
    <mergeCell ref="BDA32:BDB32"/>
    <mergeCell ref="BDC32:BDD32"/>
    <mergeCell ref="BDE32:BDF32"/>
    <mergeCell ref="BDG32:BDH32"/>
    <mergeCell ref="BCK32:BCL32"/>
    <mergeCell ref="BCM32:BCN32"/>
    <mergeCell ref="BCO32:BCP32"/>
    <mergeCell ref="BCQ32:BCR32"/>
    <mergeCell ref="BCS32:BCT32"/>
    <mergeCell ref="BCU32:BCV32"/>
    <mergeCell ref="BBY32:BBZ32"/>
    <mergeCell ref="BCA32:BCB32"/>
    <mergeCell ref="BCC32:BCD32"/>
    <mergeCell ref="BCE32:BCF32"/>
    <mergeCell ref="BCG32:BCH32"/>
    <mergeCell ref="BCI32:BCJ32"/>
    <mergeCell ref="BHA32:BHB32"/>
    <mergeCell ref="BHC32:BHD32"/>
    <mergeCell ref="BHE32:BHF32"/>
    <mergeCell ref="BHG32:BHH32"/>
    <mergeCell ref="BHI32:BHJ32"/>
    <mergeCell ref="BHK32:BHL32"/>
    <mergeCell ref="BGO32:BGP32"/>
    <mergeCell ref="BGQ32:BGR32"/>
    <mergeCell ref="BGS32:BGT32"/>
    <mergeCell ref="BGU32:BGV32"/>
    <mergeCell ref="BGW32:BGX32"/>
    <mergeCell ref="BGY32:BGZ32"/>
    <mergeCell ref="BGC32:BGD32"/>
    <mergeCell ref="BGE32:BGF32"/>
    <mergeCell ref="BGG32:BGH32"/>
    <mergeCell ref="BGI32:BGJ32"/>
    <mergeCell ref="BGK32:BGL32"/>
    <mergeCell ref="BGM32:BGN32"/>
    <mergeCell ref="BFQ32:BFR32"/>
    <mergeCell ref="BFS32:BFT32"/>
    <mergeCell ref="BFU32:BFV32"/>
    <mergeCell ref="BFW32:BFX32"/>
    <mergeCell ref="BFY32:BFZ32"/>
    <mergeCell ref="BGA32:BGB32"/>
    <mergeCell ref="BFE32:BFF32"/>
    <mergeCell ref="BFG32:BFH32"/>
    <mergeCell ref="BFI32:BFJ32"/>
    <mergeCell ref="BFK32:BFL32"/>
    <mergeCell ref="BFM32:BFN32"/>
    <mergeCell ref="BFO32:BFP32"/>
    <mergeCell ref="BES32:BET32"/>
    <mergeCell ref="BEU32:BEV32"/>
    <mergeCell ref="BEW32:BEX32"/>
    <mergeCell ref="BEY32:BEZ32"/>
    <mergeCell ref="BFA32:BFB32"/>
    <mergeCell ref="BFC32:BFD32"/>
    <mergeCell ref="BJU32:BJV32"/>
    <mergeCell ref="BJW32:BJX32"/>
    <mergeCell ref="BJY32:BJZ32"/>
    <mergeCell ref="BKA32:BKB32"/>
    <mergeCell ref="BKC32:BKD32"/>
    <mergeCell ref="BKE32:BKF32"/>
    <mergeCell ref="BJI32:BJJ32"/>
    <mergeCell ref="BJK32:BJL32"/>
    <mergeCell ref="BJM32:BJN32"/>
    <mergeCell ref="BJO32:BJP32"/>
    <mergeCell ref="BJQ32:BJR32"/>
    <mergeCell ref="BJS32:BJT32"/>
    <mergeCell ref="BIW32:BIX32"/>
    <mergeCell ref="BIY32:BIZ32"/>
    <mergeCell ref="BJA32:BJB32"/>
    <mergeCell ref="BJC32:BJD32"/>
    <mergeCell ref="BJE32:BJF32"/>
    <mergeCell ref="BJG32:BJH32"/>
    <mergeCell ref="BIK32:BIL32"/>
    <mergeCell ref="BIM32:BIN32"/>
    <mergeCell ref="BIO32:BIP32"/>
    <mergeCell ref="BIQ32:BIR32"/>
    <mergeCell ref="BIS32:BIT32"/>
    <mergeCell ref="BIU32:BIV32"/>
    <mergeCell ref="BHY32:BHZ32"/>
    <mergeCell ref="BIA32:BIB32"/>
    <mergeCell ref="BIC32:BID32"/>
    <mergeCell ref="BIE32:BIF32"/>
    <mergeCell ref="BIG32:BIH32"/>
    <mergeCell ref="BII32:BIJ32"/>
    <mergeCell ref="BHM32:BHN32"/>
    <mergeCell ref="BHO32:BHP32"/>
    <mergeCell ref="BHQ32:BHR32"/>
    <mergeCell ref="BHS32:BHT32"/>
    <mergeCell ref="BHU32:BHV32"/>
    <mergeCell ref="BHW32:BHX32"/>
    <mergeCell ref="BMO32:BMP32"/>
    <mergeCell ref="BMQ32:BMR32"/>
    <mergeCell ref="BMS32:BMT32"/>
    <mergeCell ref="BMU32:BMV32"/>
    <mergeCell ref="BMW32:BMX32"/>
    <mergeCell ref="BMY32:BMZ32"/>
    <mergeCell ref="BMC32:BMD32"/>
    <mergeCell ref="BME32:BMF32"/>
    <mergeCell ref="BMG32:BMH32"/>
    <mergeCell ref="BMI32:BMJ32"/>
    <mergeCell ref="BMK32:BML32"/>
    <mergeCell ref="BMM32:BMN32"/>
    <mergeCell ref="BLQ32:BLR32"/>
    <mergeCell ref="BLS32:BLT32"/>
    <mergeCell ref="BLU32:BLV32"/>
    <mergeCell ref="BLW32:BLX32"/>
    <mergeCell ref="BLY32:BLZ32"/>
    <mergeCell ref="BMA32:BMB32"/>
    <mergeCell ref="BLE32:BLF32"/>
    <mergeCell ref="BLG32:BLH32"/>
    <mergeCell ref="BLI32:BLJ32"/>
    <mergeCell ref="BLK32:BLL32"/>
    <mergeCell ref="BLM32:BLN32"/>
    <mergeCell ref="BLO32:BLP32"/>
    <mergeCell ref="BKS32:BKT32"/>
    <mergeCell ref="BKU32:BKV32"/>
    <mergeCell ref="BKW32:BKX32"/>
    <mergeCell ref="BKY32:BKZ32"/>
    <mergeCell ref="BLA32:BLB32"/>
    <mergeCell ref="BLC32:BLD32"/>
    <mergeCell ref="BKG32:BKH32"/>
    <mergeCell ref="BKI32:BKJ32"/>
    <mergeCell ref="BKK32:BKL32"/>
    <mergeCell ref="BKM32:BKN32"/>
    <mergeCell ref="BKO32:BKP32"/>
    <mergeCell ref="BKQ32:BKR32"/>
    <mergeCell ref="BPI32:BPJ32"/>
    <mergeCell ref="BPK32:BPL32"/>
    <mergeCell ref="BPM32:BPN32"/>
    <mergeCell ref="BPO32:BPP32"/>
    <mergeCell ref="BPQ32:BPR32"/>
    <mergeCell ref="BPS32:BPT32"/>
    <mergeCell ref="BOW32:BOX32"/>
    <mergeCell ref="BOY32:BOZ32"/>
    <mergeCell ref="BPA32:BPB32"/>
    <mergeCell ref="BPC32:BPD32"/>
    <mergeCell ref="BPE32:BPF32"/>
    <mergeCell ref="BPG32:BPH32"/>
    <mergeCell ref="BOK32:BOL32"/>
    <mergeCell ref="BOM32:BON32"/>
    <mergeCell ref="BOO32:BOP32"/>
    <mergeCell ref="BOQ32:BOR32"/>
    <mergeCell ref="BOS32:BOT32"/>
    <mergeCell ref="BOU32:BOV32"/>
    <mergeCell ref="BNY32:BNZ32"/>
    <mergeCell ref="BOA32:BOB32"/>
    <mergeCell ref="BOC32:BOD32"/>
    <mergeCell ref="BOE32:BOF32"/>
    <mergeCell ref="BOG32:BOH32"/>
    <mergeCell ref="BOI32:BOJ32"/>
    <mergeCell ref="BNM32:BNN32"/>
    <mergeCell ref="BNO32:BNP32"/>
    <mergeCell ref="BNQ32:BNR32"/>
    <mergeCell ref="BNS32:BNT32"/>
    <mergeCell ref="BNU32:BNV32"/>
    <mergeCell ref="BNW32:BNX32"/>
    <mergeCell ref="BNA32:BNB32"/>
    <mergeCell ref="BNC32:BND32"/>
    <mergeCell ref="BNE32:BNF32"/>
    <mergeCell ref="BNG32:BNH32"/>
    <mergeCell ref="BNI32:BNJ32"/>
    <mergeCell ref="BNK32:BNL32"/>
    <mergeCell ref="BSC32:BSD32"/>
    <mergeCell ref="BSE32:BSF32"/>
    <mergeCell ref="BSG32:BSH32"/>
    <mergeCell ref="BSI32:BSJ32"/>
    <mergeCell ref="BSK32:BSL32"/>
    <mergeCell ref="BSM32:BSN32"/>
    <mergeCell ref="BRQ32:BRR32"/>
    <mergeCell ref="BRS32:BRT32"/>
    <mergeCell ref="BRU32:BRV32"/>
    <mergeCell ref="BRW32:BRX32"/>
    <mergeCell ref="BRY32:BRZ32"/>
    <mergeCell ref="BSA32:BSB32"/>
    <mergeCell ref="BRE32:BRF32"/>
    <mergeCell ref="BRG32:BRH32"/>
    <mergeCell ref="BRI32:BRJ32"/>
    <mergeCell ref="BRK32:BRL32"/>
    <mergeCell ref="BRM32:BRN32"/>
    <mergeCell ref="BRO32:BRP32"/>
    <mergeCell ref="BQS32:BQT32"/>
    <mergeCell ref="BQU32:BQV32"/>
    <mergeCell ref="BQW32:BQX32"/>
    <mergeCell ref="BQY32:BQZ32"/>
    <mergeCell ref="BRA32:BRB32"/>
    <mergeCell ref="BRC32:BRD32"/>
    <mergeCell ref="BQG32:BQH32"/>
    <mergeCell ref="BQI32:BQJ32"/>
    <mergeCell ref="BQK32:BQL32"/>
    <mergeCell ref="BQM32:BQN32"/>
    <mergeCell ref="BQO32:BQP32"/>
    <mergeCell ref="BQQ32:BQR32"/>
    <mergeCell ref="BPU32:BPV32"/>
    <mergeCell ref="BPW32:BPX32"/>
    <mergeCell ref="BPY32:BPZ32"/>
    <mergeCell ref="BQA32:BQB32"/>
    <mergeCell ref="BQC32:BQD32"/>
    <mergeCell ref="BQE32:BQF32"/>
    <mergeCell ref="BUW32:BUX32"/>
    <mergeCell ref="BUY32:BUZ32"/>
    <mergeCell ref="BVA32:BVB32"/>
    <mergeCell ref="BVC32:BVD32"/>
    <mergeCell ref="BVE32:BVF32"/>
    <mergeCell ref="BVG32:BVH32"/>
    <mergeCell ref="BUK32:BUL32"/>
    <mergeCell ref="BUM32:BUN32"/>
    <mergeCell ref="BUO32:BUP32"/>
    <mergeCell ref="BUQ32:BUR32"/>
    <mergeCell ref="BUS32:BUT32"/>
    <mergeCell ref="BUU32:BUV32"/>
    <mergeCell ref="BTY32:BTZ32"/>
    <mergeCell ref="BUA32:BUB32"/>
    <mergeCell ref="BUC32:BUD32"/>
    <mergeCell ref="BUE32:BUF32"/>
    <mergeCell ref="BUG32:BUH32"/>
    <mergeCell ref="BUI32:BUJ32"/>
    <mergeCell ref="BTM32:BTN32"/>
    <mergeCell ref="BTO32:BTP32"/>
    <mergeCell ref="BTQ32:BTR32"/>
    <mergeCell ref="BTS32:BTT32"/>
    <mergeCell ref="BTU32:BTV32"/>
    <mergeCell ref="BTW32:BTX32"/>
    <mergeCell ref="BTA32:BTB32"/>
    <mergeCell ref="BTC32:BTD32"/>
    <mergeCell ref="BTE32:BTF32"/>
    <mergeCell ref="BTG32:BTH32"/>
    <mergeCell ref="BTI32:BTJ32"/>
    <mergeCell ref="BTK32:BTL32"/>
    <mergeCell ref="BSO32:BSP32"/>
    <mergeCell ref="BSQ32:BSR32"/>
    <mergeCell ref="BSS32:BST32"/>
    <mergeCell ref="BSU32:BSV32"/>
    <mergeCell ref="BSW32:BSX32"/>
    <mergeCell ref="BSY32:BSZ32"/>
    <mergeCell ref="BXQ32:BXR32"/>
    <mergeCell ref="BXS32:BXT32"/>
    <mergeCell ref="BXU32:BXV32"/>
    <mergeCell ref="BXW32:BXX32"/>
    <mergeCell ref="BXY32:BXZ32"/>
    <mergeCell ref="BYA32:BYB32"/>
    <mergeCell ref="BXE32:BXF32"/>
    <mergeCell ref="BXG32:BXH32"/>
    <mergeCell ref="BXI32:BXJ32"/>
    <mergeCell ref="BXK32:BXL32"/>
    <mergeCell ref="BXM32:BXN32"/>
    <mergeCell ref="BXO32:BXP32"/>
    <mergeCell ref="BWS32:BWT32"/>
    <mergeCell ref="BWU32:BWV32"/>
    <mergeCell ref="BWW32:BWX32"/>
    <mergeCell ref="BWY32:BWZ32"/>
    <mergeCell ref="BXA32:BXB32"/>
    <mergeCell ref="BXC32:BXD32"/>
    <mergeCell ref="BWG32:BWH32"/>
    <mergeCell ref="BWI32:BWJ32"/>
    <mergeCell ref="BWK32:BWL32"/>
    <mergeCell ref="BWM32:BWN32"/>
    <mergeCell ref="BWO32:BWP32"/>
    <mergeCell ref="BWQ32:BWR32"/>
    <mergeCell ref="BVU32:BVV32"/>
    <mergeCell ref="BVW32:BVX32"/>
    <mergeCell ref="BVY32:BVZ32"/>
    <mergeCell ref="BWA32:BWB32"/>
    <mergeCell ref="BWC32:BWD32"/>
    <mergeCell ref="BWE32:BWF32"/>
    <mergeCell ref="BVI32:BVJ32"/>
    <mergeCell ref="BVK32:BVL32"/>
    <mergeCell ref="BVM32:BVN32"/>
    <mergeCell ref="BVO32:BVP32"/>
    <mergeCell ref="BVQ32:BVR32"/>
    <mergeCell ref="BVS32:BVT32"/>
    <mergeCell ref="CAK32:CAL32"/>
    <mergeCell ref="CAM32:CAN32"/>
    <mergeCell ref="CAO32:CAP32"/>
    <mergeCell ref="CAQ32:CAR32"/>
    <mergeCell ref="CAS32:CAT32"/>
    <mergeCell ref="CAU32:CAV32"/>
    <mergeCell ref="BZY32:BZZ32"/>
    <mergeCell ref="CAA32:CAB32"/>
    <mergeCell ref="CAC32:CAD32"/>
    <mergeCell ref="CAE32:CAF32"/>
    <mergeCell ref="CAG32:CAH32"/>
    <mergeCell ref="CAI32:CAJ32"/>
    <mergeCell ref="BZM32:BZN32"/>
    <mergeCell ref="BZO32:BZP32"/>
    <mergeCell ref="BZQ32:BZR32"/>
    <mergeCell ref="BZS32:BZT32"/>
    <mergeCell ref="BZU32:BZV32"/>
    <mergeCell ref="BZW32:BZX32"/>
    <mergeCell ref="BZA32:BZB32"/>
    <mergeCell ref="BZC32:BZD32"/>
    <mergeCell ref="BZE32:BZF32"/>
    <mergeCell ref="BZG32:BZH32"/>
    <mergeCell ref="BZI32:BZJ32"/>
    <mergeCell ref="BZK32:BZL32"/>
    <mergeCell ref="BYO32:BYP32"/>
    <mergeCell ref="BYQ32:BYR32"/>
    <mergeCell ref="BYS32:BYT32"/>
    <mergeCell ref="BYU32:BYV32"/>
    <mergeCell ref="BYW32:BYX32"/>
    <mergeCell ref="BYY32:BYZ32"/>
    <mergeCell ref="BYC32:BYD32"/>
    <mergeCell ref="BYE32:BYF32"/>
    <mergeCell ref="BYG32:BYH32"/>
    <mergeCell ref="BYI32:BYJ32"/>
    <mergeCell ref="BYK32:BYL32"/>
    <mergeCell ref="BYM32:BYN32"/>
    <mergeCell ref="CDE32:CDF32"/>
    <mergeCell ref="CDG32:CDH32"/>
    <mergeCell ref="CDI32:CDJ32"/>
    <mergeCell ref="CDK32:CDL32"/>
    <mergeCell ref="CDM32:CDN32"/>
    <mergeCell ref="CDO32:CDP32"/>
    <mergeCell ref="CCS32:CCT32"/>
    <mergeCell ref="CCU32:CCV32"/>
    <mergeCell ref="CCW32:CCX32"/>
    <mergeCell ref="CCY32:CCZ32"/>
    <mergeCell ref="CDA32:CDB32"/>
    <mergeCell ref="CDC32:CDD32"/>
    <mergeCell ref="CCG32:CCH32"/>
    <mergeCell ref="CCI32:CCJ32"/>
    <mergeCell ref="CCK32:CCL32"/>
    <mergeCell ref="CCM32:CCN32"/>
    <mergeCell ref="CCO32:CCP32"/>
    <mergeCell ref="CCQ32:CCR32"/>
    <mergeCell ref="CBU32:CBV32"/>
    <mergeCell ref="CBW32:CBX32"/>
    <mergeCell ref="CBY32:CBZ32"/>
    <mergeCell ref="CCA32:CCB32"/>
    <mergeCell ref="CCC32:CCD32"/>
    <mergeCell ref="CCE32:CCF32"/>
    <mergeCell ref="CBI32:CBJ32"/>
    <mergeCell ref="CBK32:CBL32"/>
    <mergeCell ref="CBM32:CBN32"/>
    <mergeCell ref="CBO32:CBP32"/>
    <mergeCell ref="CBQ32:CBR32"/>
    <mergeCell ref="CBS32:CBT32"/>
    <mergeCell ref="CAW32:CAX32"/>
    <mergeCell ref="CAY32:CAZ32"/>
    <mergeCell ref="CBA32:CBB32"/>
    <mergeCell ref="CBC32:CBD32"/>
    <mergeCell ref="CBE32:CBF32"/>
    <mergeCell ref="CBG32:CBH32"/>
    <mergeCell ref="CFY32:CFZ32"/>
    <mergeCell ref="CGA32:CGB32"/>
    <mergeCell ref="CGC32:CGD32"/>
    <mergeCell ref="CGE32:CGF32"/>
    <mergeCell ref="CGG32:CGH32"/>
    <mergeCell ref="CGI32:CGJ32"/>
    <mergeCell ref="CFM32:CFN32"/>
    <mergeCell ref="CFO32:CFP32"/>
    <mergeCell ref="CFQ32:CFR32"/>
    <mergeCell ref="CFS32:CFT32"/>
    <mergeCell ref="CFU32:CFV32"/>
    <mergeCell ref="CFW32:CFX32"/>
    <mergeCell ref="CFA32:CFB32"/>
    <mergeCell ref="CFC32:CFD32"/>
    <mergeCell ref="CFE32:CFF32"/>
    <mergeCell ref="CFG32:CFH32"/>
    <mergeCell ref="CFI32:CFJ32"/>
    <mergeCell ref="CFK32:CFL32"/>
    <mergeCell ref="CEO32:CEP32"/>
    <mergeCell ref="CEQ32:CER32"/>
    <mergeCell ref="CES32:CET32"/>
    <mergeCell ref="CEU32:CEV32"/>
    <mergeCell ref="CEW32:CEX32"/>
    <mergeCell ref="CEY32:CEZ32"/>
    <mergeCell ref="CEC32:CED32"/>
    <mergeCell ref="CEE32:CEF32"/>
    <mergeCell ref="CEG32:CEH32"/>
    <mergeCell ref="CEI32:CEJ32"/>
    <mergeCell ref="CEK32:CEL32"/>
    <mergeCell ref="CEM32:CEN32"/>
    <mergeCell ref="CDQ32:CDR32"/>
    <mergeCell ref="CDS32:CDT32"/>
    <mergeCell ref="CDU32:CDV32"/>
    <mergeCell ref="CDW32:CDX32"/>
    <mergeCell ref="CDY32:CDZ32"/>
    <mergeCell ref="CEA32:CEB32"/>
    <mergeCell ref="CIS32:CIT32"/>
    <mergeCell ref="CIU32:CIV32"/>
    <mergeCell ref="CIW32:CIX32"/>
    <mergeCell ref="CIY32:CIZ32"/>
    <mergeCell ref="CJA32:CJB32"/>
    <mergeCell ref="CJC32:CJD32"/>
    <mergeCell ref="CIG32:CIH32"/>
    <mergeCell ref="CII32:CIJ32"/>
    <mergeCell ref="CIK32:CIL32"/>
    <mergeCell ref="CIM32:CIN32"/>
    <mergeCell ref="CIO32:CIP32"/>
    <mergeCell ref="CIQ32:CIR32"/>
    <mergeCell ref="CHU32:CHV32"/>
    <mergeCell ref="CHW32:CHX32"/>
    <mergeCell ref="CHY32:CHZ32"/>
    <mergeCell ref="CIA32:CIB32"/>
    <mergeCell ref="CIC32:CID32"/>
    <mergeCell ref="CIE32:CIF32"/>
    <mergeCell ref="CHI32:CHJ32"/>
    <mergeCell ref="CHK32:CHL32"/>
    <mergeCell ref="CHM32:CHN32"/>
    <mergeCell ref="CHO32:CHP32"/>
    <mergeCell ref="CHQ32:CHR32"/>
    <mergeCell ref="CHS32:CHT32"/>
    <mergeCell ref="CGW32:CGX32"/>
    <mergeCell ref="CGY32:CGZ32"/>
    <mergeCell ref="CHA32:CHB32"/>
    <mergeCell ref="CHC32:CHD32"/>
    <mergeCell ref="CHE32:CHF32"/>
    <mergeCell ref="CHG32:CHH32"/>
    <mergeCell ref="CGK32:CGL32"/>
    <mergeCell ref="CGM32:CGN32"/>
    <mergeCell ref="CGO32:CGP32"/>
    <mergeCell ref="CGQ32:CGR32"/>
    <mergeCell ref="CGS32:CGT32"/>
    <mergeCell ref="CGU32:CGV32"/>
    <mergeCell ref="CLM32:CLN32"/>
    <mergeCell ref="CLO32:CLP32"/>
    <mergeCell ref="CLQ32:CLR32"/>
    <mergeCell ref="CLS32:CLT32"/>
    <mergeCell ref="CLU32:CLV32"/>
    <mergeCell ref="CLW32:CLX32"/>
    <mergeCell ref="CLA32:CLB32"/>
    <mergeCell ref="CLC32:CLD32"/>
    <mergeCell ref="CLE32:CLF32"/>
    <mergeCell ref="CLG32:CLH32"/>
    <mergeCell ref="CLI32:CLJ32"/>
    <mergeCell ref="CLK32:CLL32"/>
    <mergeCell ref="CKO32:CKP32"/>
    <mergeCell ref="CKQ32:CKR32"/>
    <mergeCell ref="CKS32:CKT32"/>
    <mergeCell ref="CKU32:CKV32"/>
    <mergeCell ref="CKW32:CKX32"/>
    <mergeCell ref="CKY32:CKZ32"/>
    <mergeCell ref="CKC32:CKD32"/>
    <mergeCell ref="CKE32:CKF32"/>
    <mergeCell ref="CKG32:CKH32"/>
    <mergeCell ref="CKI32:CKJ32"/>
    <mergeCell ref="CKK32:CKL32"/>
    <mergeCell ref="CKM32:CKN32"/>
    <mergeCell ref="CJQ32:CJR32"/>
    <mergeCell ref="CJS32:CJT32"/>
    <mergeCell ref="CJU32:CJV32"/>
    <mergeCell ref="CJW32:CJX32"/>
    <mergeCell ref="CJY32:CJZ32"/>
    <mergeCell ref="CKA32:CKB32"/>
    <mergeCell ref="CJE32:CJF32"/>
    <mergeCell ref="CJG32:CJH32"/>
    <mergeCell ref="CJI32:CJJ32"/>
    <mergeCell ref="CJK32:CJL32"/>
    <mergeCell ref="CJM32:CJN32"/>
    <mergeCell ref="CJO32:CJP32"/>
    <mergeCell ref="COG32:COH32"/>
    <mergeCell ref="COI32:COJ32"/>
    <mergeCell ref="COK32:COL32"/>
    <mergeCell ref="COM32:CON32"/>
    <mergeCell ref="COO32:COP32"/>
    <mergeCell ref="COQ32:COR32"/>
    <mergeCell ref="CNU32:CNV32"/>
    <mergeCell ref="CNW32:CNX32"/>
    <mergeCell ref="CNY32:CNZ32"/>
    <mergeCell ref="COA32:COB32"/>
    <mergeCell ref="COC32:COD32"/>
    <mergeCell ref="COE32:COF32"/>
    <mergeCell ref="CNI32:CNJ32"/>
    <mergeCell ref="CNK32:CNL32"/>
    <mergeCell ref="CNM32:CNN32"/>
    <mergeCell ref="CNO32:CNP32"/>
    <mergeCell ref="CNQ32:CNR32"/>
    <mergeCell ref="CNS32:CNT32"/>
    <mergeCell ref="CMW32:CMX32"/>
    <mergeCell ref="CMY32:CMZ32"/>
    <mergeCell ref="CNA32:CNB32"/>
    <mergeCell ref="CNC32:CND32"/>
    <mergeCell ref="CNE32:CNF32"/>
    <mergeCell ref="CNG32:CNH32"/>
    <mergeCell ref="CMK32:CML32"/>
    <mergeCell ref="CMM32:CMN32"/>
    <mergeCell ref="CMO32:CMP32"/>
    <mergeCell ref="CMQ32:CMR32"/>
    <mergeCell ref="CMS32:CMT32"/>
    <mergeCell ref="CMU32:CMV32"/>
    <mergeCell ref="CLY32:CLZ32"/>
    <mergeCell ref="CMA32:CMB32"/>
    <mergeCell ref="CMC32:CMD32"/>
    <mergeCell ref="CME32:CMF32"/>
    <mergeCell ref="CMG32:CMH32"/>
    <mergeCell ref="CMI32:CMJ32"/>
    <mergeCell ref="CRA32:CRB32"/>
    <mergeCell ref="CRC32:CRD32"/>
    <mergeCell ref="CRE32:CRF32"/>
    <mergeCell ref="CRG32:CRH32"/>
    <mergeCell ref="CRI32:CRJ32"/>
    <mergeCell ref="CRK32:CRL32"/>
    <mergeCell ref="CQO32:CQP32"/>
    <mergeCell ref="CQQ32:CQR32"/>
    <mergeCell ref="CQS32:CQT32"/>
    <mergeCell ref="CQU32:CQV32"/>
    <mergeCell ref="CQW32:CQX32"/>
    <mergeCell ref="CQY32:CQZ32"/>
    <mergeCell ref="CQC32:CQD32"/>
    <mergeCell ref="CQE32:CQF32"/>
    <mergeCell ref="CQG32:CQH32"/>
    <mergeCell ref="CQI32:CQJ32"/>
    <mergeCell ref="CQK32:CQL32"/>
    <mergeCell ref="CQM32:CQN32"/>
    <mergeCell ref="CPQ32:CPR32"/>
    <mergeCell ref="CPS32:CPT32"/>
    <mergeCell ref="CPU32:CPV32"/>
    <mergeCell ref="CPW32:CPX32"/>
    <mergeCell ref="CPY32:CPZ32"/>
    <mergeCell ref="CQA32:CQB32"/>
    <mergeCell ref="CPE32:CPF32"/>
    <mergeCell ref="CPG32:CPH32"/>
    <mergeCell ref="CPI32:CPJ32"/>
    <mergeCell ref="CPK32:CPL32"/>
    <mergeCell ref="CPM32:CPN32"/>
    <mergeCell ref="CPO32:CPP32"/>
    <mergeCell ref="COS32:COT32"/>
    <mergeCell ref="COU32:COV32"/>
    <mergeCell ref="COW32:COX32"/>
    <mergeCell ref="COY32:COZ32"/>
    <mergeCell ref="CPA32:CPB32"/>
    <mergeCell ref="CPC32:CPD32"/>
    <mergeCell ref="CTU32:CTV32"/>
    <mergeCell ref="CTW32:CTX32"/>
    <mergeCell ref="CTY32:CTZ32"/>
    <mergeCell ref="CUA32:CUB32"/>
    <mergeCell ref="CUC32:CUD32"/>
    <mergeCell ref="CUE32:CUF32"/>
    <mergeCell ref="CTI32:CTJ32"/>
    <mergeCell ref="CTK32:CTL32"/>
    <mergeCell ref="CTM32:CTN32"/>
    <mergeCell ref="CTO32:CTP32"/>
    <mergeCell ref="CTQ32:CTR32"/>
    <mergeCell ref="CTS32:CTT32"/>
    <mergeCell ref="CSW32:CSX32"/>
    <mergeCell ref="CSY32:CSZ32"/>
    <mergeCell ref="CTA32:CTB32"/>
    <mergeCell ref="CTC32:CTD32"/>
    <mergeCell ref="CTE32:CTF32"/>
    <mergeCell ref="CTG32:CTH32"/>
    <mergeCell ref="CSK32:CSL32"/>
    <mergeCell ref="CSM32:CSN32"/>
    <mergeCell ref="CSO32:CSP32"/>
    <mergeCell ref="CSQ32:CSR32"/>
    <mergeCell ref="CSS32:CST32"/>
    <mergeCell ref="CSU32:CSV32"/>
    <mergeCell ref="CRY32:CRZ32"/>
    <mergeCell ref="CSA32:CSB32"/>
    <mergeCell ref="CSC32:CSD32"/>
    <mergeCell ref="CSE32:CSF32"/>
    <mergeCell ref="CSG32:CSH32"/>
    <mergeCell ref="CSI32:CSJ32"/>
    <mergeCell ref="CRM32:CRN32"/>
    <mergeCell ref="CRO32:CRP32"/>
    <mergeCell ref="CRQ32:CRR32"/>
    <mergeCell ref="CRS32:CRT32"/>
    <mergeCell ref="CRU32:CRV32"/>
    <mergeCell ref="CRW32:CRX32"/>
    <mergeCell ref="CWO32:CWP32"/>
    <mergeCell ref="CWQ32:CWR32"/>
    <mergeCell ref="CWS32:CWT32"/>
    <mergeCell ref="CWU32:CWV32"/>
    <mergeCell ref="CWW32:CWX32"/>
    <mergeCell ref="CWY32:CWZ32"/>
    <mergeCell ref="CWC32:CWD32"/>
    <mergeCell ref="CWE32:CWF32"/>
    <mergeCell ref="CWG32:CWH32"/>
    <mergeCell ref="CWI32:CWJ32"/>
    <mergeCell ref="CWK32:CWL32"/>
    <mergeCell ref="CWM32:CWN32"/>
    <mergeCell ref="CVQ32:CVR32"/>
    <mergeCell ref="CVS32:CVT32"/>
    <mergeCell ref="CVU32:CVV32"/>
    <mergeCell ref="CVW32:CVX32"/>
    <mergeCell ref="CVY32:CVZ32"/>
    <mergeCell ref="CWA32:CWB32"/>
    <mergeCell ref="CVE32:CVF32"/>
    <mergeCell ref="CVG32:CVH32"/>
    <mergeCell ref="CVI32:CVJ32"/>
    <mergeCell ref="CVK32:CVL32"/>
    <mergeCell ref="CVM32:CVN32"/>
    <mergeCell ref="CVO32:CVP32"/>
    <mergeCell ref="CUS32:CUT32"/>
    <mergeCell ref="CUU32:CUV32"/>
    <mergeCell ref="CUW32:CUX32"/>
    <mergeCell ref="CUY32:CUZ32"/>
    <mergeCell ref="CVA32:CVB32"/>
    <mergeCell ref="CVC32:CVD32"/>
    <mergeCell ref="CUG32:CUH32"/>
    <mergeCell ref="CUI32:CUJ32"/>
    <mergeCell ref="CUK32:CUL32"/>
    <mergeCell ref="CUM32:CUN32"/>
    <mergeCell ref="CUO32:CUP32"/>
    <mergeCell ref="CUQ32:CUR32"/>
    <mergeCell ref="CZI32:CZJ32"/>
    <mergeCell ref="CZK32:CZL32"/>
    <mergeCell ref="CZM32:CZN32"/>
    <mergeCell ref="CZO32:CZP32"/>
    <mergeCell ref="CZQ32:CZR32"/>
    <mergeCell ref="CZS32:CZT32"/>
    <mergeCell ref="CYW32:CYX32"/>
    <mergeCell ref="CYY32:CYZ32"/>
    <mergeCell ref="CZA32:CZB32"/>
    <mergeCell ref="CZC32:CZD32"/>
    <mergeCell ref="CZE32:CZF32"/>
    <mergeCell ref="CZG32:CZH32"/>
    <mergeCell ref="CYK32:CYL32"/>
    <mergeCell ref="CYM32:CYN32"/>
    <mergeCell ref="CYO32:CYP32"/>
    <mergeCell ref="CYQ32:CYR32"/>
    <mergeCell ref="CYS32:CYT32"/>
    <mergeCell ref="CYU32:CYV32"/>
    <mergeCell ref="CXY32:CXZ32"/>
    <mergeCell ref="CYA32:CYB32"/>
    <mergeCell ref="CYC32:CYD32"/>
    <mergeCell ref="CYE32:CYF32"/>
    <mergeCell ref="CYG32:CYH32"/>
    <mergeCell ref="CYI32:CYJ32"/>
    <mergeCell ref="CXM32:CXN32"/>
    <mergeCell ref="CXO32:CXP32"/>
    <mergeCell ref="CXQ32:CXR32"/>
    <mergeCell ref="CXS32:CXT32"/>
    <mergeCell ref="CXU32:CXV32"/>
    <mergeCell ref="CXW32:CXX32"/>
    <mergeCell ref="CXA32:CXB32"/>
    <mergeCell ref="CXC32:CXD32"/>
    <mergeCell ref="CXE32:CXF32"/>
    <mergeCell ref="CXG32:CXH32"/>
    <mergeCell ref="CXI32:CXJ32"/>
    <mergeCell ref="CXK32:CXL32"/>
    <mergeCell ref="DCC32:DCD32"/>
    <mergeCell ref="DCE32:DCF32"/>
    <mergeCell ref="DCG32:DCH32"/>
    <mergeCell ref="DCI32:DCJ32"/>
    <mergeCell ref="DCK32:DCL32"/>
    <mergeCell ref="DCM32:DCN32"/>
    <mergeCell ref="DBQ32:DBR32"/>
    <mergeCell ref="DBS32:DBT32"/>
    <mergeCell ref="DBU32:DBV32"/>
    <mergeCell ref="DBW32:DBX32"/>
    <mergeCell ref="DBY32:DBZ32"/>
    <mergeCell ref="DCA32:DCB32"/>
    <mergeCell ref="DBE32:DBF32"/>
    <mergeCell ref="DBG32:DBH32"/>
    <mergeCell ref="DBI32:DBJ32"/>
    <mergeCell ref="DBK32:DBL32"/>
    <mergeCell ref="DBM32:DBN32"/>
    <mergeCell ref="DBO32:DBP32"/>
    <mergeCell ref="DAS32:DAT32"/>
    <mergeCell ref="DAU32:DAV32"/>
    <mergeCell ref="DAW32:DAX32"/>
    <mergeCell ref="DAY32:DAZ32"/>
    <mergeCell ref="DBA32:DBB32"/>
    <mergeCell ref="DBC32:DBD32"/>
    <mergeCell ref="DAG32:DAH32"/>
    <mergeCell ref="DAI32:DAJ32"/>
    <mergeCell ref="DAK32:DAL32"/>
    <mergeCell ref="DAM32:DAN32"/>
    <mergeCell ref="DAO32:DAP32"/>
    <mergeCell ref="DAQ32:DAR32"/>
    <mergeCell ref="CZU32:CZV32"/>
    <mergeCell ref="CZW32:CZX32"/>
    <mergeCell ref="CZY32:CZZ32"/>
    <mergeCell ref="DAA32:DAB32"/>
    <mergeCell ref="DAC32:DAD32"/>
    <mergeCell ref="DAE32:DAF32"/>
    <mergeCell ref="DEW32:DEX32"/>
    <mergeCell ref="DEY32:DEZ32"/>
    <mergeCell ref="DFA32:DFB32"/>
    <mergeCell ref="DFC32:DFD32"/>
    <mergeCell ref="DFE32:DFF32"/>
    <mergeCell ref="DFG32:DFH32"/>
    <mergeCell ref="DEK32:DEL32"/>
    <mergeCell ref="DEM32:DEN32"/>
    <mergeCell ref="DEO32:DEP32"/>
    <mergeCell ref="DEQ32:DER32"/>
    <mergeCell ref="DES32:DET32"/>
    <mergeCell ref="DEU32:DEV32"/>
    <mergeCell ref="DDY32:DDZ32"/>
    <mergeCell ref="DEA32:DEB32"/>
    <mergeCell ref="DEC32:DED32"/>
    <mergeCell ref="DEE32:DEF32"/>
    <mergeCell ref="DEG32:DEH32"/>
    <mergeCell ref="DEI32:DEJ32"/>
    <mergeCell ref="DDM32:DDN32"/>
    <mergeCell ref="DDO32:DDP32"/>
    <mergeCell ref="DDQ32:DDR32"/>
    <mergeCell ref="DDS32:DDT32"/>
    <mergeCell ref="DDU32:DDV32"/>
    <mergeCell ref="DDW32:DDX32"/>
    <mergeCell ref="DDA32:DDB32"/>
    <mergeCell ref="DDC32:DDD32"/>
    <mergeCell ref="DDE32:DDF32"/>
    <mergeCell ref="DDG32:DDH32"/>
    <mergeCell ref="DDI32:DDJ32"/>
    <mergeCell ref="DDK32:DDL32"/>
    <mergeCell ref="DCO32:DCP32"/>
    <mergeCell ref="DCQ32:DCR32"/>
    <mergeCell ref="DCS32:DCT32"/>
    <mergeCell ref="DCU32:DCV32"/>
    <mergeCell ref="DCW32:DCX32"/>
    <mergeCell ref="DCY32:DCZ32"/>
    <mergeCell ref="DHQ32:DHR32"/>
    <mergeCell ref="DHS32:DHT32"/>
    <mergeCell ref="DHU32:DHV32"/>
    <mergeCell ref="DHW32:DHX32"/>
    <mergeCell ref="DHY32:DHZ32"/>
    <mergeCell ref="DIA32:DIB32"/>
    <mergeCell ref="DHE32:DHF32"/>
    <mergeCell ref="DHG32:DHH32"/>
    <mergeCell ref="DHI32:DHJ32"/>
    <mergeCell ref="DHK32:DHL32"/>
    <mergeCell ref="DHM32:DHN32"/>
    <mergeCell ref="DHO32:DHP32"/>
    <mergeCell ref="DGS32:DGT32"/>
    <mergeCell ref="DGU32:DGV32"/>
    <mergeCell ref="DGW32:DGX32"/>
    <mergeCell ref="DGY32:DGZ32"/>
    <mergeCell ref="DHA32:DHB32"/>
    <mergeCell ref="DHC32:DHD32"/>
    <mergeCell ref="DGG32:DGH32"/>
    <mergeCell ref="DGI32:DGJ32"/>
    <mergeCell ref="DGK32:DGL32"/>
    <mergeCell ref="DGM32:DGN32"/>
    <mergeCell ref="DGO32:DGP32"/>
    <mergeCell ref="DGQ32:DGR32"/>
    <mergeCell ref="DFU32:DFV32"/>
    <mergeCell ref="DFW32:DFX32"/>
    <mergeCell ref="DFY32:DFZ32"/>
    <mergeCell ref="DGA32:DGB32"/>
    <mergeCell ref="DGC32:DGD32"/>
    <mergeCell ref="DGE32:DGF32"/>
    <mergeCell ref="DFI32:DFJ32"/>
    <mergeCell ref="DFK32:DFL32"/>
    <mergeCell ref="DFM32:DFN32"/>
    <mergeCell ref="DFO32:DFP32"/>
    <mergeCell ref="DFQ32:DFR32"/>
    <mergeCell ref="DFS32:DFT32"/>
    <mergeCell ref="DKK32:DKL32"/>
    <mergeCell ref="DKM32:DKN32"/>
    <mergeCell ref="DKO32:DKP32"/>
    <mergeCell ref="DKQ32:DKR32"/>
    <mergeCell ref="DKS32:DKT32"/>
    <mergeCell ref="DKU32:DKV32"/>
    <mergeCell ref="DJY32:DJZ32"/>
    <mergeCell ref="DKA32:DKB32"/>
    <mergeCell ref="DKC32:DKD32"/>
    <mergeCell ref="DKE32:DKF32"/>
    <mergeCell ref="DKG32:DKH32"/>
    <mergeCell ref="DKI32:DKJ32"/>
    <mergeCell ref="DJM32:DJN32"/>
    <mergeCell ref="DJO32:DJP32"/>
    <mergeCell ref="DJQ32:DJR32"/>
    <mergeCell ref="DJS32:DJT32"/>
    <mergeCell ref="DJU32:DJV32"/>
    <mergeCell ref="DJW32:DJX32"/>
    <mergeCell ref="DJA32:DJB32"/>
    <mergeCell ref="DJC32:DJD32"/>
    <mergeCell ref="DJE32:DJF32"/>
    <mergeCell ref="DJG32:DJH32"/>
    <mergeCell ref="DJI32:DJJ32"/>
    <mergeCell ref="DJK32:DJL32"/>
    <mergeCell ref="DIO32:DIP32"/>
    <mergeCell ref="DIQ32:DIR32"/>
    <mergeCell ref="DIS32:DIT32"/>
    <mergeCell ref="DIU32:DIV32"/>
    <mergeCell ref="DIW32:DIX32"/>
    <mergeCell ref="DIY32:DIZ32"/>
    <mergeCell ref="DIC32:DID32"/>
    <mergeCell ref="DIE32:DIF32"/>
    <mergeCell ref="DIG32:DIH32"/>
    <mergeCell ref="DII32:DIJ32"/>
    <mergeCell ref="DIK32:DIL32"/>
    <mergeCell ref="DIM32:DIN32"/>
    <mergeCell ref="DNE32:DNF32"/>
    <mergeCell ref="DNG32:DNH32"/>
    <mergeCell ref="DNI32:DNJ32"/>
    <mergeCell ref="DNK32:DNL32"/>
    <mergeCell ref="DNM32:DNN32"/>
    <mergeCell ref="DNO32:DNP32"/>
    <mergeCell ref="DMS32:DMT32"/>
    <mergeCell ref="DMU32:DMV32"/>
    <mergeCell ref="DMW32:DMX32"/>
    <mergeCell ref="DMY32:DMZ32"/>
    <mergeCell ref="DNA32:DNB32"/>
    <mergeCell ref="DNC32:DND32"/>
    <mergeCell ref="DMG32:DMH32"/>
    <mergeCell ref="DMI32:DMJ32"/>
    <mergeCell ref="DMK32:DML32"/>
    <mergeCell ref="DMM32:DMN32"/>
    <mergeCell ref="DMO32:DMP32"/>
    <mergeCell ref="DMQ32:DMR32"/>
    <mergeCell ref="DLU32:DLV32"/>
    <mergeCell ref="DLW32:DLX32"/>
    <mergeCell ref="DLY32:DLZ32"/>
    <mergeCell ref="DMA32:DMB32"/>
    <mergeCell ref="DMC32:DMD32"/>
    <mergeCell ref="DME32:DMF32"/>
    <mergeCell ref="DLI32:DLJ32"/>
    <mergeCell ref="DLK32:DLL32"/>
    <mergeCell ref="DLM32:DLN32"/>
    <mergeCell ref="DLO32:DLP32"/>
    <mergeCell ref="DLQ32:DLR32"/>
    <mergeCell ref="DLS32:DLT32"/>
    <mergeCell ref="DKW32:DKX32"/>
    <mergeCell ref="DKY32:DKZ32"/>
    <mergeCell ref="DLA32:DLB32"/>
    <mergeCell ref="DLC32:DLD32"/>
    <mergeCell ref="DLE32:DLF32"/>
    <mergeCell ref="DLG32:DLH32"/>
    <mergeCell ref="DPY32:DPZ32"/>
    <mergeCell ref="DQA32:DQB32"/>
    <mergeCell ref="DQC32:DQD32"/>
    <mergeCell ref="DQE32:DQF32"/>
    <mergeCell ref="DQG32:DQH32"/>
    <mergeCell ref="DQI32:DQJ32"/>
    <mergeCell ref="DPM32:DPN32"/>
    <mergeCell ref="DPO32:DPP32"/>
    <mergeCell ref="DPQ32:DPR32"/>
    <mergeCell ref="DPS32:DPT32"/>
    <mergeCell ref="DPU32:DPV32"/>
    <mergeCell ref="DPW32:DPX32"/>
    <mergeCell ref="DPA32:DPB32"/>
    <mergeCell ref="DPC32:DPD32"/>
    <mergeCell ref="DPE32:DPF32"/>
    <mergeCell ref="DPG32:DPH32"/>
    <mergeCell ref="DPI32:DPJ32"/>
    <mergeCell ref="DPK32:DPL32"/>
    <mergeCell ref="DOO32:DOP32"/>
    <mergeCell ref="DOQ32:DOR32"/>
    <mergeCell ref="DOS32:DOT32"/>
    <mergeCell ref="DOU32:DOV32"/>
    <mergeCell ref="DOW32:DOX32"/>
    <mergeCell ref="DOY32:DOZ32"/>
    <mergeCell ref="DOC32:DOD32"/>
    <mergeCell ref="DOE32:DOF32"/>
    <mergeCell ref="DOG32:DOH32"/>
    <mergeCell ref="DOI32:DOJ32"/>
    <mergeCell ref="DOK32:DOL32"/>
    <mergeCell ref="DOM32:DON32"/>
    <mergeCell ref="DNQ32:DNR32"/>
    <mergeCell ref="DNS32:DNT32"/>
    <mergeCell ref="DNU32:DNV32"/>
    <mergeCell ref="DNW32:DNX32"/>
    <mergeCell ref="DNY32:DNZ32"/>
    <mergeCell ref="DOA32:DOB32"/>
    <mergeCell ref="DSS32:DST32"/>
    <mergeCell ref="DSU32:DSV32"/>
    <mergeCell ref="DSW32:DSX32"/>
    <mergeCell ref="DSY32:DSZ32"/>
    <mergeCell ref="DTA32:DTB32"/>
    <mergeCell ref="DTC32:DTD32"/>
    <mergeCell ref="DSG32:DSH32"/>
    <mergeCell ref="DSI32:DSJ32"/>
    <mergeCell ref="DSK32:DSL32"/>
    <mergeCell ref="DSM32:DSN32"/>
    <mergeCell ref="DSO32:DSP32"/>
    <mergeCell ref="DSQ32:DSR32"/>
    <mergeCell ref="DRU32:DRV32"/>
    <mergeCell ref="DRW32:DRX32"/>
    <mergeCell ref="DRY32:DRZ32"/>
    <mergeCell ref="DSA32:DSB32"/>
    <mergeCell ref="DSC32:DSD32"/>
    <mergeCell ref="DSE32:DSF32"/>
    <mergeCell ref="DRI32:DRJ32"/>
    <mergeCell ref="DRK32:DRL32"/>
    <mergeCell ref="DRM32:DRN32"/>
    <mergeCell ref="DRO32:DRP32"/>
    <mergeCell ref="DRQ32:DRR32"/>
    <mergeCell ref="DRS32:DRT32"/>
    <mergeCell ref="DQW32:DQX32"/>
    <mergeCell ref="DQY32:DQZ32"/>
    <mergeCell ref="DRA32:DRB32"/>
    <mergeCell ref="DRC32:DRD32"/>
    <mergeCell ref="DRE32:DRF32"/>
    <mergeCell ref="DRG32:DRH32"/>
    <mergeCell ref="DQK32:DQL32"/>
    <mergeCell ref="DQM32:DQN32"/>
    <mergeCell ref="DQO32:DQP32"/>
    <mergeCell ref="DQQ32:DQR32"/>
    <mergeCell ref="DQS32:DQT32"/>
    <mergeCell ref="DQU32:DQV32"/>
    <mergeCell ref="DVM32:DVN32"/>
    <mergeCell ref="DVO32:DVP32"/>
    <mergeCell ref="DVQ32:DVR32"/>
    <mergeCell ref="DVS32:DVT32"/>
    <mergeCell ref="DVU32:DVV32"/>
    <mergeCell ref="DVW32:DVX32"/>
    <mergeCell ref="DVA32:DVB32"/>
    <mergeCell ref="DVC32:DVD32"/>
    <mergeCell ref="DVE32:DVF32"/>
    <mergeCell ref="DVG32:DVH32"/>
    <mergeCell ref="DVI32:DVJ32"/>
    <mergeCell ref="DVK32:DVL32"/>
    <mergeCell ref="DUO32:DUP32"/>
    <mergeCell ref="DUQ32:DUR32"/>
    <mergeCell ref="DUS32:DUT32"/>
    <mergeCell ref="DUU32:DUV32"/>
    <mergeCell ref="DUW32:DUX32"/>
    <mergeCell ref="DUY32:DUZ32"/>
    <mergeCell ref="DUC32:DUD32"/>
    <mergeCell ref="DUE32:DUF32"/>
    <mergeCell ref="DUG32:DUH32"/>
    <mergeCell ref="DUI32:DUJ32"/>
    <mergeCell ref="DUK32:DUL32"/>
    <mergeCell ref="DUM32:DUN32"/>
    <mergeCell ref="DTQ32:DTR32"/>
    <mergeCell ref="DTS32:DTT32"/>
    <mergeCell ref="DTU32:DTV32"/>
    <mergeCell ref="DTW32:DTX32"/>
    <mergeCell ref="DTY32:DTZ32"/>
    <mergeCell ref="DUA32:DUB32"/>
    <mergeCell ref="DTE32:DTF32"/>
    <mergeCell ref="DTG32:DTH32"/>
    <mergeCell ref="DTI32:DTJ32"/>
    <mergeCell ref="DTK32:DTL32"/>
    <mergeCell ref="DTM32:DTN32"/>
    <mergeCell ref="DTO32:DTP32"/>
    <mergeCell ref="DYG32:DYH32"/>
    <mergeCell ref="DYI32:DYJ32"/>
    <mergeCell ref="DYK32:DYL32"/>
    <mergeCell ref="DYM32:DYN32"/>
    <mergeCell ref="DYO32:DYP32"/>
    <mergeCell ref="DYQ32:DYR32"/>
    <mergeCell ref="DXU32:DXV32"/>
    <mergeCell ref="DXW32:DXX32"/>
    <mergeCell ref="DXY32:DXZ32"/>
    <mergeCell ref="DYA32:DYB32"/>
    <mergeCell ref="DYC32:DYD32"/>
    <mergeCell ref="DYE32:DYF32"/>
    <mergeCell ref="DXI32:DXJ32"/>
    <mergeCell ref="DXK32:DXL32"/>
    <mergeCell ref="DXM32:DXN32"/>
    <mergeCell ref="DXO32:DXP32"/>
    <mergeCell ref="DXQ32:DXR32"/>
    <mergeCell ref="DXS32:DXT32"/>
    <mergeCell ref="DWW32:DWX32"/>
    <mergeCell ref="DWY32:DWZ32"/>
    <mergeCell ref="DXA32:DXB32"/>
    <mergeCell ref="DXC32:DXD32"/>
    <mergeCell ref="DXE32:DXF32"/>
    <mergeCell ref="DXG32:DXH32"/>
    <mergeCell ref="DWK32:DWL32"/>
    <mergeCell ref="DWM32:DWN32"/>
    <mergeCell ref="DWO32:DWP32"/>
    <mergeCell ref="DWQ32:DWR32"/>
    <mergeCell ref="DWS32:DWT32"/>
    <mergeCell ref="DWU32:DWV32"/>
    <mergeCell ref="DVY32:DVZ32"/>
    <mergeCell ref="DWA32:DWB32"/>
    <mergeCell ref="DWC32:DWD32"/>
    <mergeCell ref="DWE32:DWF32"/>
    <mergeCell ref="DWG32:DWH32"/>
    <mergeCell ref="DWI32:DWJ32"/>
    <mergeCell ref="EBA32:EBB32"/>
    <mergeCell ref="EBC32:EBD32"/>
    <mergeCell ref="EBE32:EBF32"/>
    <mergeCell ref="EBG32:EBH32"/>
    <mergeCell ref="EBI32:EBJ32"/>
    <mergeCell ref="EBK32:EBL32"/>
    <mergeCell ref="EAO32:EAP32"/>
    <mergeCell ref="EAQ32:EAR32"/>
    <mergeCell ref="EAS32:EAT32"/>
    <mergeCell ref="EAU32:EAV32"/>
    <mergeCell ref="EAW32:EAX32"/>
    <mergeCell ref="EAY32:EAZ32"/>
    <mergeCell ref="EAC32:EAD32"/>
    <mergeCell ref="EAE32:EAF32"/>
    <mergeCell ref="EAG32:EAH32"/>
    <mergeCell ref="EAI32:EAJ32"/>
    <mergeCell ref="EAK32:EAL32"/>
    <mergeCell ref="EAM32:EAN32"/>
    <mergeCell ref="DZQ32:DZR32"/>
    <mergeCell ref="DZS32:DZT32"/>
    <mergeCell ref="DZU32:DZV32"/>
    <mergeCell ref="DZW32:DZX32"/>
    <mergeCell ref="DZY32:DZZ32"/>
    <mergeCell ref="EAA32:EAB32"/>
    <mergeCell ref="DZE32:DZF32"/>
    <mergeCell ref="DZG32:DZH32"/>
    <mergeCell ref="DZI32:DZJ32"/>
    <mergeCell ref="DZK32:DZL32"/>
    <mergeCell ref="DZM32:DZN32"/>
    <mergeCell ref="DZO32:DZP32"/>
    <mergeCell ref="DYS32:DYT32"/>
    <mergeCell ref="DYU32:DYV32"/>
    <mergeCell ref="DYW32:DYX32"/>
    <mergeCell ref="DYY32:DYZ32"/>
    <mergeCell ref="DZA32:DZB32"/>
    <mergeCell ref="DZC32:DZD32"/>
    <mergeCell ref="EDU32:EDV32"/>
    <mergeCell ref="EDW32:EDX32"/>
    <mergeCell ref="EDY32:EDZ32"/>
    <mergeCell ref="EEA32:EEB32"/>
    <mergeCell ref="EEC32:EED32"/>
    <mergeCell ref="EEE32:EEF32"/>
    <mergeCell ref="EDI32:EDJ32"/>
    <mergeCell ref="EDK32:EDL32"/>
    <mergeCell ref="EDM32:EDN32"/>
    <mergeCell ref="EDO32:EDP32"/>
    <mergeCell ref="EDQ32:EDR32"/>
    <mergeCell ref="EDS32:EDT32"/>
    <mergeCell ref="ECW32:ECX32"/>
    <mergeCell ref="ECY32:ECZ32"/>
    <mergeCell ref="EDA32:EDB32"/>
    <mergeCell ref="EDC32:EDD32"/>
    <mergeCell ref="EDE32:EDF32"/>
    <mergeCell ref="EDG32:EDH32"/>
    <mergeCell ref="ECK32:ECL32"/>
    <mergeCell ref="ECM32:ECN32"/>
    <mergeCell ref="ECO32:ECP32"/>
    <mergeCell ref="ECQ32:ECR32"/>
    <mergeCell ref="ECS32:ECT32"/>
    <mergeCell ref="ECU32:ECV32"/>
    <mergeCell ref="EBY32:EBZ32"/>
    <mergeCell ref="ECA32:ECB32"/>
    <mergeCell ref="ECC32:ECD32"/>
    <mergeCell ref="ECE32:ECF32"/>
    <mergeCell ref="ECG32:ECH32"/>
    <mergeCell ref="ECI32:ECJ32"/>
    <mergeCell ref="EBM32:EBN32"/>
    <mergeCell ref="EBO32:EBP32"/>
    <mergeCell ref="EBQ32:EBR32"/>
    <mergeCell ref="EBS32:EBT32"/>
    <mergeCell ref="EBU32:EBV32"/>
    <mergeCell ref="EBW32:EBX32"/>
    <mergeCell ref="EGO32:EGP32"/>
    <mergeCell ref="EGQ32:EGR32"/>
    <mergeCell ref="EGS32:EGT32"/>
    <mergeCell ref="EGU32:EGV32"/>
    <mergeCell ref="EGW32:EGX32"/>
    <mergeCell ref="EGY32:EGZ32"/>
    <mergeCell ref="EGC32:EGD32"/>
    <mergeCell ref="EGE32:EGF32"/>
    <mergeCell ref="EGG32:EGH32"/>
    <mergeCell ref="EGI32:EGJ32"/>
    <mergeCell ref="EGK32:EGL32"/>
    <mergeCell ref="EGM32:EGN32"/>
    <mergeCell ref="EFQ32:EFR32"/>
    <mergeCell ref="EFS32:EFT32"/>
    <mergeCell ref="EFU32:EFV32"/>
    <mergeCell ref="EFW32:EFX32"/>
    <mergeCell ref="EFY32:EFZ32"/>
    <mergeCell ref="EGA32:EGB32"/>
    <mergeCell ref="EFE32:EFF32"/>
    <mergeCell ref="EFG32:EFH32"/>
    <mergeCell ref="EFI32:EFJ32"/>
    <mergeCell ref="EFK32:EFL32"/>
    <mergeCell ref="EFM32:EFN32"/>
    <mergeCell ref="EFO32:EFP32"/>
    <mergeCell ref="EES32:EET32"/>
    <mergeCell ref="EEU32:EEV32"/>
    <mergeCell ref="EEW32:EEX32"/>
    <mergeCell ref="EEY32:EEZ32"/>
    <mergeCell ref="EFA32:EFB32"/>
    <mergeCell ref="EFC32:EFD32"/>
    <mergeCell ref="EEG32:EEH32"/>
    <mergeCell ref="EEI32:EEJ32"/>
    <mergeCell ref="EEK32:EEL32"/>
    <mergeCell ref="EEM32:EEN32"/>
    <mergeCell ref="EEO32:EEP32"/>
    <mergeCell ref="EEQ32:EER32"/>
    <mergeCell ref="EJI32:EJJ32"/>
    <mergeCell ref="EJK32:EJL32"/>
    <mergeCell ref="EJM32:EJN32"/>
    <mergeCell ref="EJO32:EJP32"/>
    <mergeCell ref="EJQ32:EJR32"/>
    <mergeCell ref="EJS32:EJT32"/>
    <mergeCell ref="EIW32:EIX32"/>
    <mergeCell ref="EIY32:EIZ32"/>
    <mergeCell ref="EJA32:EJB32"/>
    <mergeCell ref="EJC32:EJD32"/>
    <mergeCell ref="EJE32:EJF32"/>
    <mergeCell ref="EJG32:EJH32"/>
    <mergeCell ref="EIK32:EIL32"/>
    <mergeCell ref="EIM32:EIN32"/>
    <mergeCell ref="EIO32:EIP32"/>
    <mergeCell ref="EIQ32:EIR32"/>
    <mergeCell ref="EIS32:EIT32"/>
    <mergeCell ref="EIU32:EIV32"/>
    <mergeCell ref="EHY32:EHZ32"/>
    <mergeCell ref="EIA32:EIB32"/>
    <mergeCell ref="EIC32:EID32"/>
    <mergeCell ref="EIE32:EIF32"/>
    <mergeCell ref="EIG32:EIH32"/>
    <mergeCell ref="EII32:EIJ32"/>
    <mergeCell ref="EHM32:EHN32"/>
    <mergeCell ref="EHO32:EHP32"/>
    <mergeCell ref="EHQ32:EHR32"/>
    <mergeCell ref="EHS32:EHT32"/>
    <mergeCell ref="EHU32:EHV32"/>
    <mergeCell ref="EHW32:EHX32"/>
    <mergeCell ref="EHA32:EHB32"/>
    <mergeCell ref="EHC32:EHD32"/>
    <mergeCell ref="EHE32:EHF32"/>
    <mergeCell ref="EHG32:EHH32"/>
    <mergeCell ref="EHI32:EHJ32"/>
    <mergeCell ref="EHK32:EHL32"/>
    <mergeCell ref="EMC32:EMD32"/>
    <mergeCell ref="EME32:EMF32"/>
    <mergeCell ref="EMG32:EMH32"/>
    <mergeCell ref="EMI32:EMJ32"/>
    <mergeCell ref="EMK32:EML32"/>
    <mergeCell ref="EMM32:EMN32"/>
    <mergeCell ref="ELQ32:ELR32"/>
    <mergeCell ref="ELS32:ELT32"/>
    <mergeCell ref="ELU32:ELV32"/>
    <mergeCell ref="ELW32:ELX32"/>
    <mergeCell ref="ELY32:ELZ32"/>
    <mergeCell ref="EMA32:EMB32"/>
    <mergeCell ref="ELE32:ELF32"/>
    <mergeCell ref="ELG32:ELH32"/>
    <mergeCell ref="ELI32:ELJ32"/>
    <mergeCell ref="ELK32:ELL32"/>
    <mergeCell ref="ELM32:ELN32"/>
    <mergeCell ref="ELO32:ELP32"/>
    <mergeCell ref="EKS32:EKT32"/>
    <mergeCell ref="EKU32:EKV32"/>
    <mergeCell ref="EKW32:EKX32"/>
    <mergeCell ref="EKY32:EKZ32"/>
    <mergeCell ref="ELA32:ELB32"/>
    <mergeCell ref="ELC32:ELD32"/>
    <mergeCell ref="EKG32:EKH32"/>
    <mergeCell ref="EKI32:EKJ32"/>
    <mergeCell ref="EKK32:EKL32"/>
    <mergeCell ref="EKM32:EKN32"/>
    <mergeCell ref="EKO32:EKP32"/>
    <mergeCell ref="EKQ32:EKR32"/>
    <mergeCell ref="EJU32:EJV32"/>
    <mergeCell ref="EJW32:EJX32"/>
    <mergeCell ref="EJY32:EJZ32"/>
    <mergeCell ref="EKA32:EKB32"/>
    <mergeCell ref="EKC32:EKD32"/>
    <mergeCell ref="EKE32:EKF32"/>
    <mergeCell ref="EOW32:EOX32"/>
    <mergeCell ref="EOY32:EOZ32"/>
    <mergeCell ref="EPA32:EPB32"/>
    <mergeCell ref="EPC32:EPD32"/>
    <mergeCell ref="EPE32:EPF32"/>
    <mergeCell ref="EPG32:EPH32"/>
    <mergeCell ref="EOK32:EOL32"/>
    <mergeCell ref="EOM32:EON32"/>
    <mergeCell ref="EOO32:EOP32"/>
    <mergeCell ref="EOQ32:EOR32"/>
    <mergeCell ref="EOS32:EOT32"/>
    <mergeCell ref="EOU32:EOV32"/>
    <mergeCell ref="ENY32:ENZ32"/>
    <mergeCell ref="EOA32:EOB32"/>
    <mergeCell ref="EOC32:EOD32"/>
    <mergeCell ref="EOE32:EOF32"/>
    <mergeCell ref="EOG32:EOH32"/>
    <mergeCell ref="EOI32:EOJ32"/>
    <mergeCell ref="ENM32:ENN32"/>
    <mergeCell ref="ENO32:ENP32"/>
    <mergeCell ref="ENQ32:ENR32"/>
    <mergeCell ref="ENS32:ENT32"/>
    <mergeCell ref="ENU32:ENV32"/>
    <mergeCell ref="ENW32:ENX32"/>
    <mergeCell ref="ENA32:ENB32"/>
    <mergeCell ref="ENC32:END32"/>
    <mergeCell ref="ENE32:ENF32"/>
    <mergeCell ref="ENG32:ENH32"/>
    <mergeCell ref="ENI32:ENJ32"/>
    <mergeCell ref="ENK32:ENL32"/>
    <mergeCell ref="EMO32:EMP32"/>
    <mergeCell ref="EMQ32:EMR32"/>
    <mergeCell ref="EMS32:EMT32"/>
    <mergeCell ref="EMU32:EMV32"/>
    <mergeCell ref="EMW32:EMX32"/>
    <mergeCell ref="EMY32:EMZ32"/>
    <mergeCell ref="ERQ32:ERR32"/>
    <mergeCell ref="ERS32:ERT32"/>
    <mergeCell ref="ERU32:ERV32"/>
    <mergeCell ref="ERW32:ERX32"/>
    <mergeCell ref="ERY32:ERZ32"/>
    <mergeCell ref="ESA32:ESB32"/>
    <mergeCell ref="ERE32:ERF32"/>
    <mergeCell ref="ERG32:ERH32"/>
    <mergeCell ref="ERI32:ERJ32"/>
    <mergeCell ref="ERK32:ERL32"/>
    <mergeCell ref="ERM32:ERN32"/>
    <mergeCell ref="ERO32:ERP32"/>
    <mergeCell ref="EQS32:EQT32"/>
    <mergeCell ref="EQU32:EQV32"/>
    <mergeCell ref="EQW32:EQX32"/>
    <mergeCell ref="EQY32:EQZ32"/>
    <mergeCell ref="ERA32:ERB32"/>
    <mergeCell ref="ERC32:ERD32"/>
    <mergeCell ref="EQG32:EQH32"/>
    <mergeCell ref="EQI32:EQJ32"/>
    <mergeCell ref="EQK32:EQL32"/>
    <mergeCell ref="EQM32:EQN32"/>
    <mergeCell ref="EQO32:EQP32"/>
    <mergeCell ref="EQQ32:EQR32"/>
    <mergeCell ref="EPU32:EPV32"/>
    <mergeCell ref="EPW32:EPX32"/>
    <mergeCell ref="EPY32:EPZ32"/>
    <mergeCell ref="EQA32:EQB32"/>
    <mergeCell ref="EQC32:EQD32"/>
    <mergeCell ref="EQE32:EQF32"/>
    <mergeCell ref="EPI32:EPJ32"/>
    <mergeCell ref="EPK32:EPL32"/>
    <mergeCell ref="EPM32:EPN32"/>
    <mergeCell ref="EPO32:EPP32"/>
    <mergeCell ref="EPQ32:EPR32"/>
    <mergeCell ref="EPS32:EPT32"/>
    <mergeCell ref="EUK32:EUL32"/>
    <mergeCell ref="EUM32:EUN32"/>
    <mergeCell ref="EUO32:EUP32"/>
    <mergeCell ref="EUQ32:EUR32"/>
    <mergeCell ref="EUS32:EUT32"/>
    <mergeCell ref="EUU32:EUV32"/>
    <mergeCell ref="ETY32:ETZ32"/>
    <mergeCell ref="EUA32:EUB32"/>
    <mergeCell ref="EUC32:EUD32"/>
    <mergeCell ref="EUE32:EUF32"/>
    <mergeCell ref="EUG32:EUH32"/>
    <mergeCell ref="EUI32:EUJ32"/>
    <mergeCell ref="ETM32:ETN32"/>
    <mergeCell ref="ETO32:ETP32"/>
    <mergeCell ref="ETQ32:ETR32"/>
    <mergeCell ref="ETS32:ETT32"/>
    <mergeCell ref="ETU32:ETV32"/>
    <mergeCell ref="ETW32:ETX32"/>
    <mergeCell ref="ETA32:ETB32"/>
    <mergeCell ref="ETC32:ETD32"/>
    <mergeCell ref="ETE32:ETF32"/>
    <mergeCell ref="ETG32:ETH32"/>
    <mergeCell ref="ETI32:ETJ32"/>
    <mergeCell ref="ETK32:ETL32"/>
    <mergeCell ref="ESO32:ESP32"/>
    <mergeCell ref="ESQ32:ESR32"/>
    <mergeCell ref="ESS32:EST32"/>
    <mergeCell ref="ESU32:ESV32"/>
    <mergeCell ref="ESW32:ESX32"/>
    <mergeCell ref="ESY32:ESZ32"/>
    <mergeCell ref="ESC32:ESD32"/>
    <mergeCell ref="ESE32:ESF32"/>
    <mergeCell ref="ESG32:ESH32"/>
    <mergeCell ref="ESI32:ESJ32"/>
    <mergeCell ref="ESK32:ESL32"/>
    <mergeCell ref="ESM32:ESN32"/>
    <mergeCell ref="EXE32:EXF32"/>
    <mergeCell ref="EXG32:EXH32"/>
    <mergeCell ref="EXI32:EXJ32"/>
    <mergeCell ref="EXK32:EXL32"/>
    <mergeCell ref="EXM32:EXN32"/>
    <mergeCell ref="EXO32:EXP32"/>
    <mergeCell ref="EWS32:EWT32"/>
    <mergeCell ref="EWU32:EWV32"/>
    <mergeCell ref="EWW32:EWX32"/>
    <mergeCell ref="EWY32:EWZ32"/>
    <mergeCell ref="EXA32:EXB32"/>
    <mergeCell ref="EXC32:EXD32"/>
    <mergeCell ref="EWG32:EWH32"/>
    <mergeCell ref="EWI32:EWJ32"/>
    <mergeCell ref="EWK32:EWL32"/>
    <mergeCell ref="EWM32:EWN32"/>
    <mergeCell ref="EWO32:EWP32"/>
    <mergeCell ref="EWQ32:EWR32"/>
    <mergeCell ref="EVU32:EVV32"/>
    <mergeCell ref="EVW32:EVX32"/>
    <mergeCell ref="EVY32:EVZ32"/>
    <mergeCell ref="EWA32:EWB32"/>
    <mergeCell ref="EWC32:EWD32"/>
    <mergeCell ref="EWE32:EWF32"/>
    <mergeCell ref="EVI32:EVJ32"/>
    <mergeCell ref="EVK32:EVL32"/>
    <mergeCell ref="EVM32:EVN32"/>
    <mergeCell ref="EVO32:EVP32"/>
    <mergeCell ref="EVQ32:EVR32"/>
    <mergeCell ref="EVS32:EVT32"/>
    <mergeCell ref="EUW32:EUX32"/>
    <mergeCell ref="EUY32:EUZ32"/>
    <mergeCell ref="EVA32:EVB32"/>
    <mergeCell ref="EVC32:EVD32"/>
    <mergeCell ref="EVE32:EVF32"/>
    <mergeCell ref="EVG32:EVH32"/>
    <mergeCell ref="EZY32:EZZ32"/>
    <mergeCell ref="FAA32:FAB32"/>
    <mergeCell ref="FAC32:FAD32"/>
    <mergeCell ref="FAE32:FAF32"/>
    <mergeCell ref="FAG32:FAH32"/>
    <mergeCell ref="FAI32:FAJ32"/>
    <mergeCell ref="EZM32:EZN32"/>
    <mergeCell ref="EZO32:EZP32"/>
    <mergeCell ref="EZQ32:EZR32"/>
    <mergeCell ref="EZS32:EZT32"/>
    <mergeCell ref="EZU32:EZV32"/>
    <mergeCell ref="EZW32:EZX32"/>
    <mergeCell ref="EZA32:EZB32"/>
    <mergeCell ref="EZC32:EZD32"/>
    <mergeCell ref="EZE32:EZF32"/>
    <mergeCell ref="EZG32:EZH32"/>
    <mergeCell ref="EZI32:EZJ32"/>
    <mergeCell ref="EZK32:EZL32"/>
    <mergeCell ref="EYO32:EYP32"/>
    <mergeCell ref="EYQ32:EYR32"/>
    <mergeCell ref="EYS32:EYT32"/>
    <mergeCell ref="EYU32:EYV32"/>
    <mergeCell ref="EYW32:EYX32"/>
    <mergeCell ref="EYY32:EYZ32"/>
    <mergeCell ref="EYC32:EYD32"/>
    <mergeCell ref="EYE32:EYF32"/>
    <mergeCell ref="EYG32:EYH32"/>
    <mergeCell ref="EYI32:EYJ32"/>
    <mergeCell ref="EYK32:EYL32"/>
    <mergeCell ref="EYM32:EYN32"/>
    <mergeCell ref="EXQ32:EXR32"/>
    <mergeCell ref="EXS32:EXT32"/>
    <mergeCell ref="EXU32:EXV32"/>
    <mergeCell ref="EXW32:EXX32"/>
    <mergeCell ref="EXY32:EXZ32"/>
    <mergeCell ref="EYA32:EYB32"/>
    <mergeCell ref="FCS32:FCT32"/>
    <mergeCell ref="FCU32:FCV32"/>
    <mergeCell ref="FCW32:FCX32"/>
    <mergeCell ref="FCY32:FCZ32"/>
    <mergeCell ref="FDA32:FDB32"/>
    <mergeCell ref="FDC32:FDD32"/>
    <mergeCell ref="FCG32:FCH32"/>
    <mergeCell ref="FCI32:FCJ32"/>
    <mergeCell ref="FCK32:FCL32"/>
    <mergeCell ref="FCM32:FCN32"/>
    <mergeCell ref="FCO32:FCP32"/>
    <mergeCell ref="FCQ32:FCR32"/>
    <mergeCell ref="FBU32:FBV32"/>
    <mergeCell ref="FBW32:FBX32"/>
    <mergeCell ref="FBY32:FBZ32"/>
    <mergeCell ref="FCA32:FCB32"/>
    <mergeCell ref="FCC32:FCD32"/>
    <mergeCell ref="FCE32:FCF32"/>
    <mergeCell ref="FBI32:FBJ32"/>
    <mergeCell ref="FBK32:FBL32"/>
    <mergeCell ref="FBM32:FBN32"/>
    <mergeCell ref="FBO32:FBP32"/>
    <mergeCell ref="FBQ32:FBR32"/>
    <mergeCell ref="FBS32:FBT32"/>
    <mergeCell ref="FAW32:FAX32"/>
    <mergeCell ref="FAY32:FAZ32"/>
    <mergeCell ref="FBA32:FBB32"/>
    <mergeCell ref="FBC32:FBD32"/>
    <mergeCell ref="FBE32:FBF32"/>
    <mergeCell ref="FBG32:FBH32"/>
    <mergeCell ref="FAK32:FAL32"/>
    <mergeCell ref="FAM32:FAN32"/>
    <mergeCell ref="FAO32:FAP32"/>
    <mergeCell ref="FAQ32:FAR32"/>
    <mergeCell ref="FAS32:FAT32"/>
    <mergeCell ref="FAU32:FAV32"/>
    <mergeCell ref="FFM32:FFN32"/>
    <mergeCell ref="FFO32:FFP32"/>
    <mergeCell ref="FFQ32:FFR32"/>
    <mergeCell ref="FFS32:FFT32"/>
    <mergeCell ref="FFU32:FFV32"/>
    <mergeCell ref="FFW32:FFX32"/>
    <mergeCell ref="FFA32:FFB32"/>
    <mergeCell ref="FFC32:FFD32"/>
    <mergeCell ref="FFE32:FFF32"/>
    <mergeCell ref="FFG32:FFH32"/>
    <mergeCell ref="FFI32:FFJ32"/>
    <mergeCell ref="FFK32:FFL32"/>
    <mergeCell ref="FEO32:FEP32"/>
    <mergeCell ref="FEQ32:FER32"/>
    <mergeCell ref="FES32:FET32"/>
    <mergeCell ref="FEU32:FEV32"/>
    <mergeCell ref="FEW32:FEX32"/>
    <mergeCell ref="FEY32:FEZ32"/>
    <mergeCell ref="FEC32:FED32"/>
    <mergeCell ref="FEE32:FEF32"/>
    <mergeCell ref="FEG32:FEH32"/>
    <mergeCell ref="FEI32:FEJ32"/>
    <mergeCell ref="FEK32:FEL32"/>
    <mergeCell ref="FEM32:FEN32"/>
    <mergeCell ref="FDQ32:FDR32"/>
    <mergeCell ref="FDS32:FDT32"/>
    <mergeCell ref="FDU32:FDV32"/>
    <mergeCell ref="FDW32:FDX32"/>
    <mergeCell ref="FDY32:FDZ32"/>
    <mergeCell ref="FEA32:FEB32"/>
    <mergeCell ref="FDE32:FDF32"/>
    <mergeCell ref="FDG32:FDH32"/>
    <mergeCell ref="FDI32:FDJ32"/>
    <mergeCell ref="FDK32:FDL32"/>
    <mergeCell ref="FDM32:FDN32"/>
    <mergeCell ref="FDO32:FDP32"/>
    <mergeCell ref="FIG32:FIH32"/>
    <mergeCell ref="FII32:FIJ32"/>
    <mergeCell ref="FIK32:FIL32"/>
    <mergeCell ref="FIM32:FIN32"/>
    <mergeCell ref="FIO32:FIP32"/>
    <mergeCell ref="FIQ32:FIR32"/>
    <mergeCell ref="FHU32:FHV32"/>
    <mergeCell ref="FHW32:FHX32"/>
    <mergeCell ref="FHY32:FHZ32"/>
    <mergeCell ref="FIA32:FIB32"/>
    <mergeCell ref="FIC32:FID32"/>
    <mergeCell ref="FIE32:FIF32"/>
    <mergeCell ref="FHI32:FHJ32"/>
    <mergeCell ref="FHK32:FHL32"/>
    <mergeCell ref="FHM32:FHN32"/>
    <mergeCell ref="FHO32:FHP32"/>
    <mergeCell ref="FHQ32:FHR32"/>
    <mergeCell ref="FHS32:FHT32"/>
    <mergeCell ref="FGW32:FGX32"/>
    <mergeCell ref="FGY32:FGZ32"/>
    <mergeCell ref="FHA32:FHB32"/>
    <mergeCell ref="FHC32:FHD32"/>
    <mergeCell ref="FHE32:FHF32"/>
    <mergeCell ref="FHG32:FHH32"/>
    <mergeCell ref="FGK32:FGL32"/>
    <mergeCell ref="FGM32:FGN32"/>
    <mergeCell ref="FGO32:FGP32"/>
    <mergeCell ref="FGQ32:FGR32"/>
    <mergeCell ref="FGS32:FGT32"/>
    <mergeCell ref="FGU32:FGV32"/>
    <mergeCell ref="FFY32:FFZ32"/>
    <mergeCell ref="FGA32:FGB32"/>
    <mergeCell ref="FGC32:FGD32"/>
    <mergeCell ref="FGE32:FGF32"/>
    <mergeCell ref="FGG32:FGH32"/>
    <mergeCell ref="FGI32:FGJ32"/>
    <mergeCell ref="FLA32:FLB32"/>
    <mergeCell ref="FLC32:FLD32"/>
    <mergeCell ref="FLE32:FLF32"/>
    <mergeCell ref="FLG32:FLH32"/>
    <mergeCell ref="FLI32:FLJ32"/>
    <mergeCell ref="FLK32:FLL32"/>
    <mergeCell ref="FKO32:FKP32"/>
    <mergeCell ref="FKQ32:FKR32"/>
    <mergeCell ref="FKS32:FKT32"/>
    <mergeCell ref="FKU32:FKV32"/>
    <mergeCell ref="FKW32:FKX32"/>
    <mergeCell ref="FKY32:FKZ32"/>
    <mergeCell ref="FKC32:FKD32"/>
    <mergeCell ref="FKE32:FKF32"/>
    <mergeCell ref="FKG32:FKH32"/>
    <mergeCell ref="FKI32:FKJ32"/>
    <mergeCell ref="FKK32:FKL32"/>
    <mergeCell ref="FKM32:FKN32"/>
    <mergeCell ref="FJQ32:FJR32"/>
    <mergeCell ref="FJS32:FJT32"/>
    <mergeCell ref="FJU32:FJV32"/>
    <mergeCell ref="FJW32:FJX32"/>
    <mergeCell ref="FJY32:FJZ32"/>
    <mergeCell ref="FKA32:FKB32"/>
    <mergeCell ref="FJE32:FJF32"/>
    <mergeCell ref="FJG32:FJH32"/>
    <mergeCell ref="FJI32:FJJ32"/>
    <mergeCell ref="FJK32:FJL32"/>
    <mergeCell ref="FJM32:FJN32"/>
    <mergeCell ref="FJO32:FJP32"/>
    <mergeCell ref="FIS32:FIT32"/>
    <mergeCell ref="FIU32:FIV32"/>
    <mergeCell ref="FIW32:FIX32"/>
    <mergeCell ref="FIY32:FIZ32"/>
    <mergeCell ref="FJA32:FJB32"/>
    <mergeCell ref="FJC32:FJD32"/>
    <mergeCell ref="FNU32:FNV32"/>
    <mergeCell ref="FNW32:FNX32"/>
    <mergeCell ref="FNY32:FNZ32"/>
    <mergeCell ref="FOA32:FOB32"/>
    <mergeCell ref="FOC32:FOD32"/>
    <mergeCell ref="FOE32:FOF32"/>
    <mergeCell ref="FNI32:FNJ32"/>
    <mergeCell ref="FNK32:FNL32"/>
    <mergeCell ref="FNM32:FNN32"/>
    <mergeCell ref="FNO32:FNP32"/>
    <mergeCell ref="FNQ32:FNR32"/>
    <mergeCell ref="FNS32:FNT32"/>
    <mergeCell ref="FMW32:FMX32"/>
    <mergeCell ref="FMY32:FMZ32"/>
    <mergeCell ref="FNA32:FNB32"/>
    <mergeCell ref="FNC32:FND32"/>
    <mergeCell ref="FNE32:FNF32"/>
    <mergeCell ref="FNG32:FNH32"/>
    <mergeCell ref="FMK32:FML32"/>
    <mergeCell ref="FMM32:FMN32"/>
    <mergeCell ref="FMO32:FMP32"/>
    <mergeCell ref="FMQ32:FMR32"/>
    <mergeCell ref="FMS32:FMT32"/>
    <mergeCell ref="FMU32:FMV32"/>
    <mergeCell ref="FLY32:FLZ32"/>
    <mergeCell ref="FMA32:FMB32"/>
    <mergeCell ref="FMC32:FMD32"/>
    <mergeCell ref="FME32:FMF32"/>
    <mergeCell ref="FMG32:FMH32"/>
    <mergeCell ref="FMI32:FMJ32"/>
    <mergeCell ref="FLM32:FLN32"/>
    <mergeCell ref="FLO32:FLP32"/>
    <mergeCell ref="FLQ32:FLR32"/>
    <mergeCell ref="FLS32:FLT32"/>
    <mergeCell ref="FLU32:FLV32"/>
    <mergeCell ref="FLW32:FLX32"/>
    <mergeCell ref="FQO32:FQP32"/>
    <mergeCell ref="FQQ32:FQR32"/>
    <mergeCell ref="FQS32:FQT32"/>
    <mergeCell ref="FQU32:FQV32"/>
    <mergeCell ref="FQW32:FQX32"/>
    <mergeCell ref="FQY32:FQZ32"/>
    <mergeCell ref="FQC32:FQD32"/>
    <mergeCell ref="FQE32:FQF32"/>
    <mergeCell ref="FQG32:FQH32"/>
    <mergeCell ref="FQI32:FQJ32"/>
    <mergeCell ref="FQK32:FQL32"/>
    <mergeCell ref="FQM32:FQN32"/>
    <mergeCell ref="FPQ32:FPR32"/>
    <mergeCell ref="FPS32:FPT32"/>
    <mergeCell ref="FPU32:FPV32"/>
    <mergeCell ref="FPW32:FPX32"/>
    <mergeCell ref="FPY32:FPZ32"/>
    <mergeCell ref="FQA32:FQB32"/>
    <mergeCell ref="FPE32:FPF32"/>
    <mergeCell ref="FPG32:FPH32"/>
    <mergeCell ref="FPI32:FPJ32"/>
    <mergeCell ref="FPK32:FPL32"/>
    <mergeCell ref="FPM32:FPN32"/>
    <mergeCell ref="FPO32:FPP32"/>
    <mergeCell ref="FOS32:FOT32"/>
    <mergeCell ref="FOU32:FOV32"/>
    <mergeCell ref="FOW32:FOX32"/>
    <mergeCell ref="FOY32:FOZ32"/>
    <mergeCell ref="FPA32:FPB32"/>
    <mergeCell ref="FPC32:FPD32"/>
    <mergeCell ref="FOG32:FOH32"/>
    <mergeCell ref="FOI32:FOJ32"/>
    <mergeCell ref="FOK32:FOL32"/>
    <mergeCell ref="FOM32:FON32"/>
    <mergeCell ref="FOO32:FOP32"/>
    <mergeCell ref="FOQ32:FOR32"/>
    <mergeCell ref="FTI32:FTJ32"/>
    <mergeCell ref="FTK32:FTL32"/>
    <mergeCell ref="FTM32:FTN32"/>
    <mergeCell ref="FTO32:FTP32"/>
    <mergeCell ref="FTQ32:FTR32"/>
    <mergeCell ref="FTS32:FTT32"/>
    <mergeCell ref="FSW32:FSX32"/>
    <mergeCell ref="FSY32:FSZ32"/>
    <mergeCell ref="FTA32:FTB32"/>
    <mergeCell ref="FTC32:FTD32"/>
    <mergeCell ref="FTE32:FTF32"/>
    <mergeCell ref="FTG32:FTH32"/>
    <mergeCell ref="FSK32:FSL32"/>
    <mergeCell ref="FSM32:FSN32"/>
    <mergeCell ref="FSO32:FSP32"/>
    <mergeCell ref="FSQ32:FSR32"/>
    <mergeCell ref="FSS32:FST32"/>
    <mergeCell ref="FSU32:FSV32"/>
    <mergeCell ref="FRY32:FRZ32"/>
    <mergeCell ref="FSA32:FSB32"/>
    <mergeCell ref="FSC32:FSD32"/>
    <mergeCell ref="FSE32:FSF32"/>
    <mergeCell ref="FSG32:FSH32"/>
    <mergeCell ref="FSI32:FSJ32"/>
    <mergeCell ref="FRM32:FRN32"/>
    <mergeCell ref="FRO32:FRP32"/>
    <mergeCell ref="FRQ32:FRR32"/>
    <mergeCell ref="FRS32:FRT32"/>
    <mergeCell ref="FRU32:FRV32"/>
    <mergeCell ref="FRW32:FRX32"/>
    <mergeCell ref="FRA32:FRB32"/>
    <mergeCell ref="FRC32:FRD32"/>
    <mergeCell ref="FRE32:FRF32"/>
    <mergeCell ref="FRG32:FRH32"/>
    <mergeCell ref="FRI32:FRJ32"/>
    <mergeCell ref="FRK32:FRL32"/>
    <mergeCell ref="FWC32:FWD32"/>
    <mergeCell ref="FWE32:FWF32"/>
    <mergeCell ref="FWG32:FWH32"/>
    <mergeCell ref="FWI32:FWJ32"/>
    <mergeCell ref="FWK32:FWL32"/>
    <mergeCell ref="FWM32:FWN32"/>
    <mergeCell ref="FVQ32:FVR32"/>
    <mergeCell ref="FVS32:FVT32"/>
    <mergeCell ref="FVU32:FVV32"/>
    <mergeCell ref="FVW32:FVX32"/>
    <mergeCell ref="FVY32:FVZ32"/>
    <mergeCell ref="FWA32:FWB32"/>
    <mergeCell ref="FVE32:FVF32"/>
    <mergeCell ref="FVG32:FVH32"/>
    <mergeCell ref="FVI32:FVJ32"/>
    <mergeCell ref="FVK32:FVL32"/>
    <mergeCell ref="FVM32:FVN32"/>
    <mergeCell ref="FVO32:FVP32"/>
    <mergeCell ref="FUS32:FUT32"/>
    <mergeCell ref="FUU32:FUV32"/>
    <mergeCell ref="FUW32:FUX32"/>
    <mergeCell ref="FUY32:FUZ32"/>
    <mergeCell ref="FVA32:FVB32"/>
    <mergeCell ref="FVC32:FVD32"/>
    <mergeCell ref="FUG32:FUH32"/>
    <mergeCell ref="FUI32:FUJ32"/>
    <mergeCell ref="FUK32:FUL32"/>
    <mergeCell ref="FUM32:FUN32"/>
    <mergeCell ref="FUO32:FUP32"/>
    <mergeCell ref="FUQ32:FUR32"/>
    <mergeCell ref="FTU32:FTV32"/>
    <mergeCell ref="FTW32:FTX32"/>
    <mergeCell ref="FTY32:FTZ32"/>
    <mergeCell ref="FUA32:FUB32"/>
    <mergeCell ref="FUC32:FUD32"/>
    <mergeCell ref="FUE32:FUF32"/>
    <mergeCell ref="FYW32:FYX32"/>
    <mergeCell ref="FYY32:FYZ32"/>
    <mergeCell ref="FZA32:FZB32"/>
    <mergeCell ref="FZC32:FZD32"/>
    <mergeCell ref="FZE32:FZF32"/>
    <mergeCell ref="FZG32:FZH32"/>
    <mergeCell ref="FYK32:FYL32"/>
    <mergeCell ref="FYM32:FYN32"/>
    <mergeCell ref="FYO32:FYP32"/>
    <mergeCell ref="FYQ32:FYR32"/>
    <mergeCell ref="FYS32:FYT32"/>
    <mergeCell ref="FYU32:FYV32"/>
    <mergeCell ref="FXY32:FXZ32"/>
    <mergeCell ref="FYA32:FYB32"/>
    <mergeCell ref="FYC32:FYD32"/>
    <mergeCell ref="FYE32:FYF32"/>
    <mergeCell ref="FYG32:FYH32"/>
    <mergeCell ref="FYI32:FYJ32"/>
    <mergeCell ref="FXM32:FXN32"/>
    <mergeCell ref="FXO32:FXP32"/>
    <mergeCell ref="FXQ32:FXR32"/>
    <mergeCell ref="FXS32:FXT32"/>
    <mergeCell ref="FXU32:FXV32"/>
    <mergeCell ref="FXW32:FXX32"/>
    <mergeCell ref="FXA32:FXB32"/>
    <mergeCell ref="FXC32:FXD32"/>
    <mergeCell ref="FXE32:FXF32"/>
    <mergeCell ref="FXG32:FXH32"/>
    <mergeCell ref="FXI32:FXJ32"/>
    <mergeCell ref="FXK32:FXL32"/>
    <mergeCell ref="FWO32:FWP32"/>
    <mergeCell ref="FWQ32:FWR32"/>
    <mergeCell ref="FWS32:FWT32"/>
    <mergeCell ref="FWU32:FWV32"/>
    <mergeCell ref="FWW32:FWX32"/>
    <mergeCell ref="FWY32:FWZ32"/>
    <mergeCell ref="GBQ32:GBR32"/>
    <mergeCell ref="GBS32:GBT32"/>
    <mergeCell ref="GBU32:GBV32"/>
    <mergeCell ref="GBW32:GBX32"/>
    <mergeCell ref="GBY32:GBZ32"/>
    <mergeCell ref="GCA32:GCB32"/>
    <mergeCell ref="GBE32:GBF32"/>
    <mergeCell ref="GBG32:GBH32"/>
    <mergeCell ref="GBI32:GBJ32"/>
    <mergeCell ref="GBK32:GBL32"/>
    <mergeCell ref="GBM32:GBN32"/>
    <mergeCell ref="GBO32:GBP32"/>
    <mergeCell ref="GAS32:GAT32"/>
    <mergeCell ref="GAU32:GAV32"/>
    <mergeCell ref="GAW32:GAX32"/>
    <mergeCell ref="GAY32:GAZ32"/>
    <mergeCell ref="GBA32:GBB32"/>
    <mergeCell ref="GBC32:GBD32"/>
    <mergeCell ref="GAG32:GAH32"/>
    <mergeCell ref="GAI32:GAJ32"/>
    <mergeCell ref="GAK32:GAL32"/>
    <mergeCell ref="GAM32:GAN32"/>
    <mergeCell ref="GAO32:GAP32"/>
    <mergeCell ref="GAQ32:GAR32"/>
    <mergeCell ref="FZU32:FZV32"/>
    <mergeCell ref="FZW32:FZX32"/>
    <mergeCell ref="FZY32:FZZ32"/>
    <mergeCell ref="GAA32:GAB32"/>
    <mergeCell ref="GAC32:GAD32"/>
    <mergeCell ref="GAE32:GAF32"/>
    <mergeCell ref="FZI32:FZJ32"/>
    <mergeCell ref="FZK32:FZL32"/>
    <mergeCell ref="FZM32:FZN32"/>
    <mergeCell ref="FZO32:FZP32"/>
    <mergeCell ref="FZQ32:FZR32"/>
    <mergeCell ref="FZS32:FZT32"/>
    <mergeCell ref="GEK32:GEL32"/>
    <mergeCell ref="GEM32:GEN32"/>
    <mergeCell ref="GEO32:GEP32"/>
    <mergeCell ref="GEQ32:GER32"/>
    <mergeCell ref="GES32:GET32"/>
    <mergeCell ref="GEU32:GEV32"/>
    <mergeCell ref="GDY32:GDZ32"/>
    <mergeCell ref="GEA32:GEB32"/>
    <mergeCell ref="GEC32:GED32"/>
    <mergeCell ref="GEE32:GEF32"/>
    <mergeCell ref="GEG32:GEH32"/>
    <mergeCell ref="GEI32:GEJ32"/>
    <mergeCell ref="GDM32:GDN32"/>
    <mergeCell ref="GDO32:GDP32"/>
    <mergeCell ref="GDQ32:GDR32"/>
    <mergeCell ref="GDS32:GDT32"/>
    <mergeCell ref="GDU32:GDV32"/>
    <mergeCell ref="GDW32:GDX32"/>
    <mergeCell ref="GDA32:GDB32"/>
    <mergeCell ref="GDC32:GDD32"/>
    <mergeCell ref="GDE32:GDF32"/>
    <mergeCell ref="GDG32:GDH32"/>
    <mergeCell ref="GDI32:GDJ32"/>
    <mergeCell ref="GDK32:GDL32"/>
    <mergeCell ref="GCO32:GCP32"/>
    <mergeCell ref="GCQ32:GCR32"/>
    <mergeCell ref="GCS32:GCT32"/>
    <mergeCell ref="GCU32:GCV32"/>
    <mergeCell ref="GCW32:GCX32"/>
    <mergeCell ref="GCY32:GCZ32"/>
    <mergeCell ref="GCC32:GCD32"/>
    <mergeCell ref="GCE32:GCF32"/>
    <mergeCell ref="GCG32:GCH32"/>
    <mergeCell ref="GCI32:GCJ32"/>
    <mergeCell ref="GCK32:GCL32"/>
    <mergeCell ref="GCM32:GCN32"/>
    <mergeCell ref="GHE32:GHF32"/>
    <mergeCell ref="GHG32:GHH32"/>
    <mergeCell ref="GHI32:GHJ32"/>
    <mergeCell ref="GHK32:GHL32"/>
    <mergeCell ref="GHM32:GHN32"/>
    <mergeCell ref="GHO32:GHP32"/>
    <mergeCell ref="GGS32:GGT32"/>
    <mergeCell ref="GGU32:GGV32"/>
    <mergeCell ref="GGW32:GGX32"/>
    <mergeCell ref="GGY32:GGZ32"/>
    <mergeCell ref="GHA32:GHB32"/>
    <mergeCell ref="GHC32:GHD32"/>
    <mergeCell ref="GGG32:GGH32"/>
    <mergeCell ref="GGI32:GGJ32"/>
    <mergeCell ref="GGK32:GGL32"/>
    <mergeCell ref="GGM32:GGN32"/>
    <mergeCell ref="GGO32:GGP32"/>
    <mergeCell ref="GGQ32:GGR32"/>
    <mergeCell ref="GFU32:GFV32"/>
    <mergeCell ref="GFW32:GFX32"/>
    <mergeCell ref="GFY32:GFZ32"/>
    <mergeCell ref="GGA32:GGB32"/>
    <mergeCell ref="GGC32:GGD32"/>
    <mergeCell ref="GGE32:GGF32"/>
    <mergeCell ref="GFI32:GFJ32"/>
    <mergeCell ref="GFK32:GFL32"/>
    <mergeCell ref="GFM32:GFN32"/>
    <mergeCell ref="GFO32:GFP32"/>
    <mergeCell ref="GFQ32:GFR32"/>
    <mergeCell ref="GFS32:GFT32"/>
    <mergeCell ref="GEW32:GEX32"/>
    <mergeCell ref="GEY32:GEZ32"/>
    <mergeCell ref="GFA32:GFB32"/>
    <mergeCell ref="GFC32:GFD32"/>
    <mergeCell ref="GFE32:GFF32"/>
    <mergeCell ref="GFG32:GFH32"/>
    <mergeCell ref="GJY32:GJZ32"/>
    <mergeCell ref="GKA32:GKB32"/>
    <mergeCell ref="GKC32:GKD32"/>
    <mergeCell ref="GKE32:GKF32"/>
    <mergeCell ref="GKG32:GKH32"/>
    <mergeCell ref="GKI32:GKJ32"/>
    <mergeCell ref="GJM32:GJN32"/>
    <mergeCell ref="GJO32:GJP32"/>
    <mergeCell ref="GJQ32:GJR32"/>
    <mergeCell ref="GJS32:GJT32"/>
    <mergeCell ref="GJU32:GJV32"/>
    <mergeCell ref="GJW32:GJX32"/>
    <mergeCell ref="GJA32:GJB32"/>
    <mergeCell ref="GJC32:GJD32"/>
    <mergeCell ref="GJE32:GJF32"/>
    <mergeCell ref="GJG32:GJH32"/>
    <mergeCell ref="GJI32:GJJ32"/>
    <mergeCell ref="GJK32:GJL32"/>
    <mergeCell ref="GIO32:GIP32"/>
    <mergeCell ref="GIQ32:GIR32"/>
    <mergeCell ref="GIS32:GIT32"/>
    <mergeCell ref="GIU32:GIV32"/>
    <mergeCell ref="GIW32:GIX32"/>
    <mergeCell ref="GIY32:GIZ32"/>
    <mergeCell ref="GIC32:GID32"/>
    <mergeCell ref="GIE32:GIF32"/>
    <mergeCell ref="GIG32:GIH32"/>
    <mergeCell ref="GII32:GIJ32"/>
    <mergeCell ref="GIK32:GIL32"/>
    <mergeCell ref="GIM32:GIN32"/>
    <mergeCell ref="GHQ32:GHR32"/>
    <mergeCell ref="GHS32:GHT32"/>
    <mergeCell ref="GHU32:GHV32"/>
    <mergeCell ref="GHW32:GHX32"/>
    <mergeCell ref="GHY32:GHZ32"/>
    <mergeCell ref="GIA32:GIB32"/>
    <mergeCell ref="GMS32:GMT32"/>
    <mergeCell ref="GMU32:GMV32"/>
    <mergeCell ref="GMW32:GMX32"/>
    <mergeCell ref="GMY32:GMZ32"/>
    <mergeCell ref="GNA32:GNB32"/>
    <mergeCell ref="GNC32:GND32"/>
    <mergeCell ref="GMG32:GMH32"/>
    <mergeCell ref="GMI32:GMJ32"/>
    <mergeCell ref="GMK32:GML32"/>
    <mergeCell ref="GMM32:GMN32"/>
    <mergeCell ref="GMO32:GMP32"/>
    <mergeCell ref="GMQ32:GMR32"/>
    <mergeCell ref="GLU32:GLV32"/>
    <mergeCell ref="GLW32:GLX32"/>
    <mergeCell ref="GLY32:GLZ32"/>
    <mergeCell ref="GMA32:GMB32"/>
    <mergeCell ref="GMC32:GMD32"/>
    <mergeCell ref="GME32:GMF32"/>
    <mergeCell ref="GLI32:GLJ32"/>
    <mergeCell ref="GLK32:GLL32"/>
    <mergeCell ref="GLM32:GLN32"/>
    <mergeCell ref="GLO32:GLP32"/>
    <mergeCell ref="GLQ32:GLR32"/>
    <mergeCell ref="GLS32:GLT32"/>
    <mergeCell ref="GKW32:GKX32"/>
    <mergeCell ref="GKY32:GKZ32"/>
    <mergeCell ref="GLA32:GLB32"/>
    <mergeCell ref="GLC32:GLD32"/>
    <mergeCell ref="GLE32:GLF32"/>
    <mergeCell ref="GLG32:GLH32"/>
    <mergeCell ref="GKK32:GKL32"/>
    <mergeCell ref="GKM32:GKN32"/>
    <mergeCell ref="GKO32:GKP32"/>
    <mergeCell ref="GKQ32:GKR32"/>
    <mergeCell ref="GKS32:GKT32"/>
    <mergeCell ref="GKU32:GKV32"/>
    <mergeCell ref="GPM32:GPN32"/>
    <mergeCell ref="GPO32:GPP32"/>
    <mergeCell ref="GPQ32:GPR32"/>
    <mergeCell ref="GPS32:GPT32"/>
    <mergeCell ref="GPU32:GPV32"/>
    <mergeCell ref="GPW32:GPX32"/>
    <mergeCell ref="GPA32:GPB32"/>
    <mergeCell ref="GPC32:GPD32"/>
    <mergeCell ref="GPE32:GPF32"/>
    <mergeCell ref="GPG32:GPH32"/>
    <mergeCell ref="GPI32:GPJ32"/>
    <mergeCell ref="GPK32:GPL32"/>
    <mergeCell ref="GOO32:GOP32"/>
    <mergeCell ref="GOQ32:GOR32"/>
    <mergeCell ref="GOS32:GOT32"/>
    <mergeCell ref="GOU32:GOV32"/>
    <mergeCell ref="GOW32:GOX32"/>
    <mergeCell ref="GOY32:GOZ32"/>
    <mergeCell ref="GOC32:GOD32"/>
    <mergeCell ref="GOE32:GOF32"/>
    <mergeCell ref="GOG32:GOH32"/>
    <mergeCell ref="GOI32:GOJ32"/>
    <mergeCell ref="GOK32:GOL32"/>
    <mergeCell ref="GOM32:GON32"/>
    <mergeCell ref="GNQ32:GNR32"/>
    <mergeCell ref="GNS32:GNT32"/>
    <mergeCell ref="GNU32:GNV32"/>
    <mergeCell ref="GNW32:GNX32"/>
    <mergeCell ref="GNY32:GNZ32"/>
    <mergeCell ref="GOA32:GOB32"/>
    <mergeCell ref="GNE32:GNF32"/>
    <mergeCell ref="GNG32:GNH32"/>
    <mergeCell ref="GNI32:GNJ32"/>
    <mergeCell ref="GNK32:GNL32"/>
    <mergeCell ref="GNM32:GNN32"/>
    <mergeCell ref="GNO32:GNP32"/>
    <mergeCell ref="GSG32:GSH32"/>
    <mergeCell ref="GSI32:GSJ32"/>
    <mergeCell ref="GSK32:GSL32"/>
    <mergeCell ref="GSM32:GSN32"/>
    <mergeCell ref="GSO32:GSP32"/>
    <mergeCell ref="GSQ32:GSR32"/>
    <mergeCell ref="GRU32:GRV32"/>
    <mergeCell ref="GRW32:GRX32"/>
    <mergeCell ref="GRY32:GRZ32"/>
    <mergeCell ref="GSA32:GSB32"/>
    <mergeCell ref="GSC32:GSD32"/>
    <mergeCell ref="GSE32:GSF32"/>
    <mergeCell ref="GRI32:GRJ32"/>
    <mergeCell ref="GRK32:GRL32"/>
    <mergeCell ref="GRM32:GRN32"/>
    <mergeCell ref="GRO32:GRP32"/>
    <mergeCell ref="GRQ32:GRR32"/>
    <mergeCell ref="GRS32:GRT32"/>
    <mergeCell ref="GQW32:GQX32"/>
    <mergeCell ref="GQY32:GQZ32"/>
    <mergeCell ref="GRA32:GRB32"/>
    <mergeCell ref="GRC32:GRD32"/>
    <mergeCell ref="GRE32:GRF32"/>
    <mergeCell ref="GRG32:GRH32"/>
    <mergeCell ref="GQK32:GQL32"/>
    <mergeCell ref="GQM32:GQN32"/>
    <mergeCell ref="GQO32:GQP32"/>
    <mergeCell ref="GQQ32:GQR32"/>
    <mergeCell ref="GQS32:GQT32"/>
    <mergeCell ref="GQU32:GQV32"/>
    <mergeCell ref="GPY32:GPZ32"/>
    <mergeCell ref="GQA32:GQB32"/>
    <mergeCell ref="GQC32:GQD32"/>
    <mergeCell ref="GQE32:GQF32"/>
    <mergeCell ref="GQG32:GQH32"/>
    <mergeCell ref="GQI32:GQJ32"/>
    <mergeCell ref="GVA32:GVB32"/>
    <mergeCell ref="GVC32:GVD32"/>
    <mergeCell ref="GVE32:GVF32"/>
    <mergeCell ref="GVG32:GVH32"/>
    <mergeCell ref="GVI32:GVJ32"/>
    <mergeCell ref="GVK32:GVL32"/>
    <mergeCell ref="GUO32:GUP32"/>
    <mergeCell ref="GUQ32:GUR32"/>
    <mergeCell ref="GUS32:GUT32"/>
    <mergeCell ref="GUU32:GUV32"/>
    <mergeCell ref="GUW32:GUX32"/>
    <mergeCell ref="GUY32:GUZ32"/>
    <mergeCell ref="GUC32:GUD32"/>
    <mergeCell ref="GUE32:GUF32"/>
    <mergeCell ref="GUG32:GUH32"/>
    <mergeCell ref="GUI32:GUJ32"/>
    <mergeCell ref="GUK32:GUL32"/>
    <mergeCell ref="GUM32:GUN32"/>
    <mergeCell ref="GTQ32:GTR32"/>
    <mergeCell ref="GTS32:GTT32"/>
    <mergeCell ref="GTU32:GTV32"/>
    <mergeCell ref="GTW32:GTX32"/>
    <mergeCell ref="GTY32:GTZ32"/>
    <mergeCell ref="GUA32:GUB32"/>
    <mergeCell ref="GTE32:GTF32"/>
    <mergeCell ref="GTG32:GTH32"/>
    <mergeCell ref="GTI32:GTJ32"/>
    <mergeCell ref="GTK32:GTL32"/>
    <mergeCell ref="GTM32:GTN32"/>
    <mergeCell ref="GTO32:GTP32"/>
    <mergeCell ref="GSS32:GST32"/>
    <mergeCell ref="GSU32:GSV32"/>
    <mergeCell ref="GSW32:GSX32"/>
    <mergeCell ref="GSY32:GSZ32"/>
    <mergeCell ref="GTA32:GTB32"/>
    <mergeCell ref="GTC32:GTD32"/>
    <mergeCell ref="GXU32:GXV32"/>
    <mergeCell ref="GXW32:GXX32"/>
    <mergeCell ref="GXY32:GXZ32"/>
    <mergeCell ref="GYA32:GYB32"/>
    <mergeCell ref="GYC32:GYD32"/>
    <mergeCell ref="GYE32:GYF32"/>
    <mergeCell ref="GXI32:GXJ32"/>
    <mergeCell ref="GXK32:GXL32"/>
    <mergeCell ref="GXM32:GXN32"/>
    <mergeCell ref="GXO32:GXP32"/>
    <mergeCell ref="GXQ32:GXR32"/>
    <mergeCell ref="GXS32:GXT32"/>
    <mergeCell ref="GWW32:GWX32"/>
    <mergeCell ref="GWY32:GWZ32"/>
    <mergeCell ref="GXA32:GXB32"/>
    <mergeCell ref="GXC32:GXD32"/>
    <mergeCell ref="GXE32:GXF32"/>
    <mergeCell ref="GXG32:GXH32"/>
    <mergeCell ref="GWK32:GWL32"/>
    <mergeCell ref="GWM32:GWN32"/>
    <mergeCell ref="GWO32:GWP32"/>
    <mergeCell ref="GWQ32:GWR32"/>
    <mergeCell ref="GWS32:GWT32"/>
    <mergeCell ref="GWU32:GWV32"/>
    <mergeCell ref="GVY32:GVZ32"/>
    <mergeCell ref="GWA32:GWB32"/>
    <mergeCell ref="GWC32:GWD32"/>
    <mergeCell ref="GWE32:GWF32"/>
    <mergeCell ref="GWG32:GWH32"/>
    <mergeCell ref="GWI32:GWJ32"/>
    <mergeCell ref="GVM32:GVN32"/>
    <mergeCell ref="GVO32:GVP32"/>
    <mergeCell ref="GVQ32:GVR32"/>
    <mergeCell ref="GVS32:GVT32"/>
    <mergeCell ref="GVU32:GVV32"/>
    <mergeCell ref="GVW32:GVX32"/>
    <mergeCell ref="HAO32:HAP32"/>
    <mergeCell ref="HAQ32:HAR32"/>
    <mergeCell ref="HAS32:HAT32"/>
    <mergeCell ref="HAU32:HAV32"/>
    <mergeCell ref="HAW32:HAX32"/>
    <mergeCell ref="HAY32:HAZ32"/>
    <mergeCell ref="HAC32:HAD32"/>
    <mergeCell ref="HAE32:HAF32"/>
    <mergeCell ref="HAG32:HAH32"/>
    <mergeCell ref="HAI32:HAJ32"/>
    <mergeCell ref="HAK32:HAL32"/>
    <mergeCell ref="HAM32:HAN32"/>
    <mergeCell ref="GZQ32:GZR32"/>
    <mergeCell ref="GZS32:GZT32"/>
    <mergeCell ref="GZU32:GZV32"/>
    <mergeCell ref="GZW32:GZX32"/>
    <mergeCell ref="GZY32:GZZ32"/>
    <mergeCell ref="HAA32:HAB32"/>
    <mergeCell ref="GZE32:GZF32"/>
    <mergeCell ref="GZG32:GZH32"/>
    <mergeCell ref="GZI32:GZJ32"/>
    <mergeCell ref="GZK32:GZL32"/>
    <mergeCell ref="GZM32:GZN32"/>
    <mergeCell ref="GZO32:GZP32"/>
    <mergeCell ref="GYS32:GYT32"/>
    <mergeCell ref="GYU32:GYV32"/>
    <mergeCell ref="GYW32:GYX32"/>
    <mergeCell ref="GYY32:GYZ32"/>
    <mergeCell ref="GZA32:GZB32"/>
    <mergeCell ref="GZC32:GZD32"/>
    <mergeCell ref="GYG32:GYH32"/>
    <mergeCell ref="GYI32:GYJ32"/>
    <mergeCell ref="GYK32:GYL32"/>
    <mergeCell ref="GYM32:GYN32"/>
    <mergeCell ref="GYO32:GYP32"/>
    <mergeCell ref="GYQ32:GYR32"/>
    <mergeCell ref="HDI32:HDJ32"/>
    <mergeCell ref="HDK32:HDL32"/>
    <mergeCell ref="HDM32:HDN32"/>
    <mergeCell ref="HDO32:HDP32"/>
    <mergeCell ref="HDQ32:HDR32"/>
    <mergeCell ref="HDS32:HDT32"/>
    <mergeCell ref="HCW32:HCX32"/>
    <mergeCell ref="HCY32:HCZ32"/>
    <mergeCell ref="HDA32:HDB32"/>
    <mergeCell ref="HDC32:HDD32"/>
    <mergeCell ref="HDE32:HDF32"/>
    <mergeCell ref="HDG32:HDH32"/>
    <mergeCell ref="HCK32:HCL32"/>
    <mergeCell ref="HCM32:HCN32"/>
    <mergeCell ref="HCO32:HCP32"/>
    <mergeCell ref="HCQ32:HCR32"/>
    <mergeCell ref="HCS32:HCT32"/>
    <mergeCell ref="HCU32:HCV32"/>
    <mergeCell ref="HBY32:HBZ32"/>
    <mergeCell ref="HCA32:HCB32"/>
    <mergeCell ref="HCC32:HCD32"/>
    <mergeCell ref="HCE32:HCF32"/>
    <mergeCell ref="HCG32:HCH32"/>
    <mergeCell ref="HCI32:HCJ32"/>
    <mergeCell ref="HBM32:HBN32"/>
    <mergeCell ref="HBO32:HBP32"/>
    <mergeCell ref="HBQ32:HBR32"/>
    <mergeCell ref="HBS32:HBT32"/>
    <mergeCell ref="HBU32:HBV32"/>
    <mergeCell ref="HBW32:HBX32"/>
    <mergeCell ref="HBA32:HBB32"/>
    <mergeCell ref="HBC32:HBD32"/>
    <mergeCell ref="HBE32:HBF32"/>
    <mergeCell ref="HBG32:HBH32"/>
    <mergeCell ref="HBI32:HBJ32"/>
    <mergeCell ref="HBK32:HBL32"/>
    <mergeCell ref="HGC32:HGD32"/>
    <mergeCell ref="HGE32:HGF32"/>
    <mergeCell ref="HGG32:HGH32"/>
    <mergeCell ref="HGI32:HGJ32"/>
    <mergeCell ref="HGK32:HGL32"/>
    <mergeCell ref="HGM32:HGN32"/>
    <mergeCell ref="HFQ32:HFR32"/>
    <mergeCell ref="HFS32:HFT32"/>
    <mergeCell ref="HFU32:HFV32"/>
    <mergeCell ref="HFW32:HFX32"/>
    <mergeCell ref="HFY32:HFZ32"/>
    <mergeCell ref="HGA32:HGB32"/>
    <mergeCell ref="HFE32:HFF32"/>
    <mergeCell ref="HFG32:HFH32"/>
    <mergeCell ref="HFI32:HFJ32"/>
    <mergeCell ref="HFK32:HFL32"/>
    <mergeCell ref="HFM32:HFN32"/>
    <mergeCell ref="HFO32:HFP32"/>
    <mergeCell ref="HES32:HET32"/>
    <mergeCell ref="HEU32:HEV32"/>
    <mergeCell ref="HEW32:HEX32"/>
    <mergeCell ref="HEY32:HEZ32"/>
    <mergeCell ref="HFA32:HFB32"/>
    <mergeCell ref="HFC32:HFD32"/>
    <mergeCell ref="HEG32:HEH32"/>
    <mergeCell ref="HEI32:HEJ32"/>
    <mergeCell ref="HEK32:HEL32"/>
    <mergeCell ref="HEM32:HEN32"/>
    <mergeCell ref="HEO32:HEP32"/>
    <mergeCell ref="HEQ32:HER32"/>
    <mergeCell ref="HDU32:HDV32"/>
    <mergeCell ref="HDW32:HDX32"/>
    <mergeCell ref="HDY32:HDZ32"/>
    <mergeCell ref="HEA32:HEB32"/>
    <mergeCell ref="HEC32:HED32"/>
    <mergeCell ref="HEE32:HEF32"/>
    <mergeCell ref="HIW32:HIX32"/>
    <mergeCell ref="HIY32:HIZ32"/>
    <mergeCell ref="HJA32:HJB32"/>
    <mergeCell ref="HJC32:HJD32"/>
    <mergeCell ref="HJE32:HJF32"/>
    <mergeCell ref="HJG32:HJH32"/>
    <mergeCell ref="HIK32:HIL32"/>
    <mergeCell ref="HIM32:HIN32"/>
    <mergeCell ref="HIO32:HIP32"/>
    <mergeCell ref="HIQ32:HIR32"/>
    <mergeCell ref="HIS32:HIT32"/>
    <mergeCell ref="HIU32:HIV32"/>
    <mergeCell ref="HHY32:HHZ32"/>
    <mergeCell ref="HIA32:HIB32"/>
    <mergeCell ref="HIC32:HID32"/>
    <mergeCell ref="HIE32:HIF32"/>
    <mergeCell ref="HIG32:HIH32"/>
    <mergeCell ref="HII32:HIJ32"/>
    <mergeCell ref="HHM32:HHN32"/>
    <mergeCell ref="HHO32:HHP32"/>
    <mergeCell ref="HHQ32:HHR32"/>
    <mergeCell ref="HHS32:HHT32"/>
    <mergeCell ref="HHU32:HHV32"/>
    <mergeCell ref="HHW32:HHX32"/>
    <mergeCell ref="HHA32:HHB32"/>
    <mergeCell ref="HHC32:HHD32"/>
    <mergeCell ref="HHE32:HHF32"/>
    <mergeCell ref="HHG32:HHH32"/>
    <mergeCell ref="HHI32:HHJ32"/>
    <mergeCell ref="HHK32:HHL32"/>
    <mergeCell ref="HGO32:HGP32"/>
    <mergeCell ref="HGQ32:HGR32"/>
    <mergeCell ref="HGS32:HGT32"/>
    <mergeCell ref="HGU32:HGV32"/>
    <mergeCell ref="HGW32:HGX32"/>
    <mergeCell ref="HGY32:HGZ32"/>
    <mergeCell ref="HLQ32:HLR32"/>
    <mergeCell ref="HLS32:HLT32"/>
    <mergeCell ref="HLU32:HLV32"/>
    <mergeCell ref="HLW32:HLX32"/>
    <mergeCell ref="HLY32:HLZ32"/>
    <mergeCell ref="HMA32:HMB32"/>
    <mergeCell ref="HLE32:HLF32"/>
    <mergeCell ref="HLG32:HLH32"/>
    <mergeCell ref="HLI32:HLJ32"/>
    <mergeCell ref="HLK32:HLL32"/>
    <mergeCell ref="HLM32:HLN32"/>
    <mergeCell ref="HLO32:HLP32"/>
    <mergeCell ref="HKS32:HKT32"/>
    <mergeCell ref="HKU32:HKV32"/>
    <mergeCell ref="HKW32:HKX32"/>
    <mergeCell ref="HKY32:HKZ32"/>
    <mergeCell ref="HLA32:HLB32"/>
    <mergeCell ref="HLC32:HLD32"/>
    <mergeCell ref="HKG32:HKH32"/>
    <mergeCell ref="HKI32:HKJ32"/>
    <mergeCell ref="HKK32:HKL32"/>
    <mergeCell ref="HKM32:HKN32"/>
    <mergeCell ref="HKO32:HKP32"/>
    <mergeCell ref="HKQ32:HKR32"/>
    <mergeCell ref="HJU32:HJV32"/>
    <mergeCell ref="HJW32:HJX32"/>
    <mergeCell ref="HJY32:HJZ32"/>
    <mergeCell ref="HKA32:HKB32"/>
    <mergeCell ref="HKC32:HKD32"/>
    <mergeCell ref="HKE32:HKF32"/>
    <mergeCell ref="HJI32:HJJ32"/>
    <mergeCell ref="HJK32:HJL32"/>
    <mergeCell ref="HJM32:HJN32"/>
    <mergeCell ref="HJO32:HJP32"/>
    <mergeCell ref="HJQ32:HJR32"/>
    <mergeCell ref="HJS32:HJT32"/>
    <mergeCell ref="HOK32:HOL32"/>
    <mergeCell ref="HOM32:HON32"/>
    <mergeCell ref="HOO32:HOP32"/>
    <mergeCell ref="HOQ32:HOR32"/>
    <mergeCell ref="HOS32:HOT32"/>
    <mergeCell ref="HOU32:HOV32"/>
    <mergeCell ref="HNY32:HNZ32"/>
    <mergeCell ref="HOA32:HOB32"/>
    <mergeCell ref="HOC32:HOD32"/>
    <mergeCell ref="HOE32:HOF32"/>
    <mergeCell ref="HOG32:HOH32"/>
    <mergeCell ref="HOI32:HOJ32"/>
    <mergeCell ref="HNM32:HNN32"/>
    <mergeCell ref="HNO32:HNP32"/>
    <mergeCell ref="HNQ32:HNR32"/>
    <mergeCell ref="HNS32:HNT32"/>
    <mergeCell ref="HNU32:HNV32"/>
    <mergeCell ref="HNW32:HNX32"/>
    <mergeCell ref="HNA32:HNB32"/>
    <mergeCell ref="HNC32:HND32"/>
    <mergeCell ref="HNE32:HNF32"/>
    <mergeCell ref="HNG32:HNH32"/>
    <mergeCell ref="HNI32:HNJ32"/>
    <mergeCell ref="HNK32:HNL32"/>
    <mergeCell ref="HMO32:HMP32"/>
    <mergeCell ref="HMQ32:HMR32"/>
    <mergeCell ref="HMS32:HMT32"/>
    <mergeCell ref="HMU32:HMV32"/>
    <mergeCell ref="HMW32:HMX32"/>
    <mergeCell ref="HMY32:HMZ32"/>
    <mergeCell ref="HMC32:HMD32"/>
    <mergeCell ref="HME32:HMF32"/>
    <mergeCell ref="HMG32:HMH32"/>
    <mergeCell ref="HMI32:HMJ32"/>
    <mergeCell ref="HMK32:HML32"/>
    <mergeCell ref="HMM32:HMN32"/>
    <mergeCell ref="HRE32:HRF32"/>
    <mergeCell ref="HRG32:HRH32"/>
    <mergeCell ref="HRI32:HRJ32"/>
    <mergeCell ref="HRK32:HRL32"/>
    <mergeCell ref="HRM32:HRN32"/>
    <mergeCell ref="HRO32:HRP32"/>
    <mergeCell ref="HQS32:HQT32"/>
    <mergeCell ref="HQU32:HQV32"/>
    <mergeCell ref="HQW32:HQX32"/>
    <mergeCell ref="HQY32:HQZ32"/>
    <mergeCell ref="HRA32:HRB32"/>
    <mergeCell ref="HRC32:HRD32"/>
    <mergeCell ref="HQG32:HQH32"/>
    <mergeCell ref="HQI32:HQJ32"/>
    <mergeCell ref="HQK32:HQL32"/>
    <mergeCell ref="HQM32:HQN32"/>
    <mergeCell ref="HQO32:HQP32"/>
    <mergeCell ref="HQQ32:HQR32"/>
    <mergeCell ref="HPU32:HPV32"/>
    <mergeCell ref="HPW32:HPX32"/>
    <mergeCell ref="HPY32:HPZ32"/>
    <mergeCell ref="HQA32:HQB32"/>
    <mergeCell ref="HQC32:HQD32"/>
    <mergeCell ref="HQE32:HQF32"/>
    <mergeCell ref="HPI32:HPJ32"/>
    <mergeCell ref="HPK32:HPL32"/>
    <mergeCell ref="HPM32:HPN32"/>
    <mergeCell ref="HPO32:HPP32"/>
    <mergeCell ref="HPQ32:HPR32"/>
    <mergeCell ref="HPS32:HPT32"/>
    <mergeCell ref="HOW32:HOX32"/>
    <mergeCell ref="HOY32:HOZ32"/>
    <mergeCell ref="HPA32:HPB32"/>
    <mergeCell ref="HPC32:HPD32"/>
    <mergeCell ref="HPE32:HPF32"/>
    <mergeCell ref="HPG32:HPH32"/>
    <mergeCell ref="HTY32:HTZ32"/>
    <mergeCell ref="HUA32:HUB32"/>
    <mergeCell ref="HUC32:HUD32"/>
    <mergeCell ref="HUE32:HUF32"/>
    <mergeCell ref="HUG32:HUH32"/>
    <mergeCell ref="HUI32:HUJ32"/>
    <mergeCell ref="HTM32:HTN32"/>
    <mergeCell ref="HTO32:HTP32"/>
    <mergeCell ref="HTQ32:HTR32"/>
    <mergeCell ref="HTS32:HTT32"/>
    <mergeCell ref="HTU32:HTV32"/>
    <mergeCell ref="HTW32:HTX32"/>
    <mergeCell ref="HTA32:HTB32"/>
    <mergeCell ref="HTC32:HTD32"/>
    <mergeCell ref="HTE32:HTF32"/>
    <mergeCell ref="HTG32:HTH32"/>
    <mergeCell ref="HTI32:HTJ32"/>
    <mergeCell ref="HTK32:HTL32"/>
    <mergeCell ref="HSO32:HSP32"/>
    <mergeCell ref="HSQ32:HSR32"/>
    <mergeCell ref="HSS32:HST32"/>
    <mergeCell ref="HSU32:HSV32"/>
    <mergeCell ref="HSW32:HSX32"/>
    <mergeCell ref="HSY32:HSZ32"/>
    <mergeCell ref="HSC32:HSD32"/>
    <mergeCell ref="HSE32:HSF32"/>
    <mergeCell ref="HSG32:HSH32"/>
    <mergeCell ref="HSI32:HSJ32"/>
    <mergeCell ref="HSK32:HSL32"/>
    <mergeCell ref="HSM32:HSN32"/>
    <mergeCell ref="HRQ32:HRR32"/>
    <mergeCell ref="HRS32:HRT32"/>
    <mergeCell ref="HRU32:HRV32"/>
    <mergeCell ref="HRW32:HRX32"/>
    <mergeCell ref="HRY32:HRZ32"/>
    <mergeCell ref="HSA32:HSB32"/>
    <mergeCell ref="HWS32:HWT32"/>
    <mergeCell ref="HWU32:HWV32"/>
    <mergeCell ref="HWW32:HWX32"/>
    <mergeCell ref="HWY32:HWZ32"/>
    <mergeCell ref="HXA32:HXB32"/>
    <mergeCell ref="HXC32:HXD32"/>
    <mergeCell ref="HWG32:HWH32"/>
    <mergeCell ref="HWI32:HWJ32"/>
    <mergeCell ref="HWK32:HWL32"/>
    <mergeCell ref="HWM32:HWN32"/>
    <mergeCell ref="HWO32:HWP32"/>
    <mergeCell ref="HWQ32:HWR32"/>
    <mergeCell ref="HVU32:HVV32"/>
    <mergeCell ref="HVW32:HVX32"/>
    <mergeCell ref="HVY32:HVZ32"/>
    <mergeCell ref="HWA32:HWB32"/>
    <mergeCell ref="HWC32:HWD32"/>
    <mergeCell ref="HWE32:HWF32"/>
    <mergeCell ref="HVI32:HVJ32"/>
    <mergeCell ref="HVK32:HVL32"/>
    <mergeCell ref="HVM32:HVN32"/>
    <mergeCell ref="HVO32:HVP32"/>
    <mergeCell ref="HVQ32:HVR32"/>
    <mergeCell ref="HVS32:HVT32"/>
    <mergeCell ref="HUW32:HUX32"/>
    <mergeCell ref="HUY32:HUZ32"/>
    <mergeCell ref="HVA32:HVB32"/>
    <mergeCell ref="HVC32:HVD32"/>
    <mergeCell ref="HVE32:HVF32"/>
    <mergeCell ref="HVG32:HVH32"/>
    <mergeCell ref="HUK32:HUL32"/>
    <mergeCell ref="HUM32:HUN32"/>
    <mergeCell ref="HUO32:HUP32"/>
    <mergeCell ref="HUQ32:HUR32"/>
    <mergeCell ref="HUS32:HUT32"/>
    <mergeCell ref="HUU32:HUV32"/>
    <mergeCell ref="HZM32:HZN32"/>
    <mergeCell ref="HZO32:HZP32"/>
    <mergeCell ref="HZQ32:HZR32"/>
    <mergeCell ref="HZS32:HZT32"/>
    <mergeCell ref="HZU32:HZV32"/>
    <mergeCell ref="HZW32:HZX32"/>
    <mergeCell ref="HZA32:HZB32"/>
    <mergeCell ref="HZC32:HZD32"/>
    <mergeCell ref="HZE32:HZF32"/>
    <mergeCell ref="HZG32:HZH32"/>
    <mergeCell ref="HZI32:HZJ32"/>
    <mergeCell ref="HZK32:HZL32"/>
    <mergeCell ref="HYO32:HYP32"/>
    <mergeCell ref="HYQ32:HYR32"/>
    <mergeCell ref="HYS32:HYT32"/>
    <mergeCell ref="HYU32:HYV32"/>
    <mergeCell ref="HYW32:HYX32"/>
    <mergeCell ref="HYY32:HYZ32"/>
    <mergeCell ref="HYC32:HYD32"/>
    <mergeCell ref="HYE32:HYF32"/>
    <mergeCell ref="HYG32:HYH32"/>
    <mergeCell ref="HYI32:HYJ32"/>
    <mergeCell ref="HYK32:HYL32"/>
    <mergeCell ref="HYM32:HYN32"/>
    <mergeCell ref="HXQ32:HXR32"/>
    <mergeCell ref="HXS32:HXT32"/>
    <mergeCell ref="HXU32:HXV32"/>
    <mergeCell ref="HXW32:HXX32"/>
    <mergeCell ref="HXY32:HXZ32"/>
    <mergeCell ref="HYA32:HYB32"/>
    <mergeCell ref="HXE32:HXF32"/>
    <mergeCell ref="HXG32:HXH32"/>
    <mergeCell ref="HXI32:HXJ32"/>
    <mergeCell ref="HXK32:HXL32"/>
    <mergeCell ref="HXM32:HXN32"/>
    <mergeCell ref="HXO32:HXP32"/>
    <mergeCell ref="ICG32:ICH32"/>
    <mergeCell ref="ICI32:ICJ32"/>
    <mergeCell ref="ICK32:ICL32"/>
    <mergeCell ref="ICM32:ICN32"/>
    <mergeCell ref="ICO32:ICP32"/>
    <mergeCell ref="ICQ32:ICR32"/>
    <mergeCell ref="IBU32:IBV32"/>
    <mergeCell ref="IBW32:IBX32"/>
    <mergeCell ref="IBY32:IBZ32"/>
    <mergeCell ref="ICA32:ICB32"/>
    <mergeCell ref="ICC32:ICD32"/>
    <mergeCell ref="ICE32:ICF32"/>
    <mergeCell ref="IBI32:IBJ32"/>
    <mergeCell ref="IBK32:IBL32"/>
    <mergeCell ref="IBM32:IBN32"/>
    <mergeCell ref="IBO32:IBP32"/>
    <mergeCell ref="IBQ32:IBR32"/>
    <mergeCell ref="IBS32:IBT32"/>
    <mergeCell ref="IAW32:IAX32"/>
    <mergeCell ref="IAY32:IAZ32"/>
    <mergeCell ref="IBA32:IBB32"/>
    <mergeCell ref="IBC32:IBD32"/>
    <mergeCell ref="IBE32:IBF32"/>
    <mergeCell ref="IBG32:IBH32"/>
    <mergeCell ref="IAK32:IAL32"/>
    <mergeCell ref="IAM32:IAN32"/>
    <mergeCell ref="IAO32:IAP32"/>
    <mergeCell ref="IAQ32:IAR32"/>
    <mergeCell ref="IAS32:IAT32"/>
    <mergeCell ref="IAU32:IAV32"/>
    <mergeCell ref="HZY32:HZZ32"/>
    <mergeCell ref="IAA32:IAB32"/>
    <mergeCell ref="IAC32:IAD32"/>
    <mergeCell ref="IAE32:IAF32"/>
    <mergeCell ref="IAG32:IAH32"/>
    <mergeCell ref="IAI32:IAJ32"/>
    <mergeCell ref="IFA32:IFB32"/>
    <mergeCell ref="IFC32:IFD32"/>
    <mergeCell ref="IFE32:IFF32"/>
    <mergeCell ref="IFG32:IFH32"/>
    <mergeCell ref="IFI32:IFJ32"/>
    <mergeCell ref="IFK32:IFL32"/>
    <mergeCell ref="IEO32:IEP32"/>
    <mergeCell ref="IEQ32:IER32"/>
    <mergeCell ref="IES32:IET32"/>
    <mergeCell ref="IEU32:IEV32"/>
    <mergeCell ref="IEW32:IEX32"/>
    <mergeCell ref="IEY32:IEZ32"/>
    <mergeCell ref="IEC32:IED32"/>
    <mergeCell ref="IEE32:IEF32"/>
    <mergeCell ref="IEG32:IEH32"/>
    <mergeCell ref="IEI32:IEJ32"/>
    <mergeCell ref="IEK32:IEL32"/>
    <mergeCell ref="IEM32:IEN32"/>
    <mergeCell ref="IDQ32:IDR32"/>
    <mergeCell ref="IDS32:IDT32"/>
    <mergeCell ref="IDU32:IDV32"/>
    <mergeCell ref="IDW32:IDX32"/>
    <mergeCell ref="IDY32:IDZ32"/>
    <mergeCell ref="IEA32:IEB32"/>
    <mergeCell ref="IDE32:IDF32"/>
    <mergeCell ref="IDG32:IDH32"/>
    <mergeCell ref="IDI32:IDJ32"/>
    <mergeCell ref="IDK32:IDL32"/>
    <mergeCell ref="IDM32:IDN32"/>
    <mergeCell ref="IDO32:IDP32"/>
    <mergeCell ref="ICS32:ICT32"/>
    <mergeCell ref="ICU32:ICV32"/>
    <mergeCell ref="ICW32:ICX32"/>
    <mergeCell ref="ICY32:ICZ32"/>
    <mergeCell ref="IDA32:IDB32"/>
    <mergeCell ref="IDC32:IDD32"/>
    <mergeCell ref="IHU32:IHV32"/>
    <mergeCell ref="IHW32:IHX32"/>
    <mergeCell ref="IHY32:IHZ32"/>
    <mergeCell ref="IIA32:IIB32"/>
    <mergeCell ref="IIC32:IID32"/>
    <mergeCell ref="IIE32:IIF32"/>
    <mergeCell ref="IHI32:IHJ32"/>
    <mergeCell ref="IHK32:IHL32"/>
    <mergeCell ref="IHM32:IHN32"/>
    <mergeCell ref="IHO32:IHP32"/>
    <mergeCell ref="IHQ32:IHR32"/>
    <mergeCell ref="IHS32:IHT32"/>
    <mergeCell ref="IGW32:IGX32"/>
    <mergeCell ref="IGY32:IGZ32"/>
    <mergeCell ref="IHA32:IHB32"/>
    <mergeCell ref="IHC32:IHD32"/>
    <mergeCell ref="IHE32:IHF32"/>
    <mergeCell ref="IHG32:IHH32"/>
    <mergeCell ref="IGK32:IGL32"/>
    <mergeCell ref="IGM32:IGN32"/>
    <mergeCell ref="IGO32:IGP32"/>
    <mergeCell ref="IGQ32:IGR32"/>
    <mergeCell ref="IGS32:IGT32"/>
    <mergeCell ref="IGU32:IGV32"/>
    <mergeCell ref="IFY32:IFZ32"/>
    <mergeCell ref="IGA32:IGB32"/>
    <mergeCell ref="IGC32:IGD32"/>
    <mergeCell ref="IGE32:IGF32"/>
    <mergeCell ref="IGG32:IGH32"/>
    <mergeCell ref="IGI32:IGJ32"/>
    <mergeCell ref="IFM32:IFN32"/>
    <mergeCell ref="IFO32:IFP32"/>
    <mergeCell ref="IFQ32:IFR32"/>
    <mergeCell ref="IFS32:IFT32"/>
    <mergeCell ref="IFU32:IFV32"/>
    <mergeCell ref="IFW32:IFX32"/>
    <mergeCell ref="IKO32:IKP32"/>
    <mergeCell ref="IKQ32:IKR32"/>
    <mergeCell ref="IKS32:IKT32"/>
    <mergeCell ref="IKU32:IKV32"/>
    <mergeCell ref="IKW32:IKX32"/>
    <mergeCell ref="IKY32:IKZ32"/>
    <mergeCell ref="IKC32:IKD32"/>
    <mergeCell ref="IKE32:IKF32"/>
    <mergeCell ref="IKG32:IKH32"/>
    <mergeCell ref="IKI32:IKJ32"/>
    <mergeCell ref="IKK32:IKL32"/>
    <mergeCell ref="IKM32:IKN32"/>
    <mergeCell ref="IJQ32:IJR32"/>
    <mergeCell ref="IJS32:IJT32"/>
    <mergeCell ref="IJU32:IJV32"/>
    <mergeCell ref="IJW32:IJX32"/>
    <mergeCell ref="IJY32:IJZ32"/>
    <mergeCell ref="IKA32:IKB32"/>
    <mergeCell ref="IJE32:IJF32"/>
    <mergeCell ref="IJG32:IJH32"/>
    <mergeCell ref="IJI32:IJJ32"/>
    <mergeCell ref="IJK32:IJL32"/>
    <mergeCell ref="IJM32:IJN32"/>
    <mergeCell ref="IJO32:IJP32"/>
    <mergeCell ref="IIS32:IIT32"/>
    <mergeCell ref="IIU32:IIV32"/>
    <mergeCell ref="IIW32:IIX32"/>
    <mergeCell ref="IIY32:IIZ32"/>
    <mergeCell ref="IJA32:IJB32"/>
    <mergeCell ref="IJC32:IJD32"/>
    <mergeCell ref="IIG32:IIH32"/>
    <mergeCell ref="III32:IIJ32"/>
    <mergeCell ref="IIK32:IIL32"/>
    <mergeCell ref="IIM32:IIN32"/>
    <mergeCell ref="IIO32:IIP32"/>
    <mergeCell ref="IIQ32:IIR32"/>
    <mergeCell ref="INI32:INJ32"/>
    <mergeCell ref="INK32:INL32"/>
    <mergeCell ref="INM32:INN32"/>
    <mergeCell ref="INO32:INP32"/>
    <mergeCell ref="INQ32:INR32"/>
    <mergeCell ref="INS32:INT32"/>
    <mergeCell ref="IMW32:IMX32"/>
    <mergeCell ref="IMY32:IMZ32"/>
    <mergeCell ref="INA32:INB32"/>
    <mergeCell ref="INC32:IND32"/>
    <mergeCell ref="INE32:INF32"/>
    <mergeCell ref="ING32:INH32"/>
    <mergeCell ref="IMK32:IML32"/>
    <mergeCell ref="IMM32:IMN32"/>
    <mergeCell ref="IMO32:IMP32"/>
    <mergeCell ref="IMQ32:IMR32"/>
    <mergeCell ref="IMS32:IMT32"/>
    <mergeCell ref="IMU32:IMV32"/>
    <mergeCell ref="ILY32:ILZ32"/>
    <mergeCell ref="IMA32:IMB32"/>
    <mergeCell ref="IMC32:IMD32"/>
    <mergeCell ref="IME32:IMF32"/>
    <mergeCell ref="IMG32:IMH32"/>
    <mergeCell ref="IMI32:IMJ32"/>
    <mergeCell ref="ILM32:ILN32"/>
    <mergeCell ref="ILO32:ILP32"/>
    <mergeCell ref="ILQ32:ILR32"/>
    <mergeCell ref="ILS32:ILT32"/>
    <mergeCell ref="ILU32:ILV32"/>
    <mergeCell ref="ILW32:ILX32"/>
    <mergeCell ref="ILA32:ILB32"/>
    <mergeCell ref="ILC32:ILD32"/>
    <mergeCell ref="ILE32:ILF32"/>
    <mergeCell ref="ILG32:ILH32"/>
    <mergeCell ref="ILI32:ILJ32"/>
    <mergeCell ref="ILK32:ILL32"/>
    <mergeCell ref="IQC32:IQD32"/>
    <mergeCell ref="IQE32:IQF32"/>
    <mergeCell ref="IQG32:IQH32"/>
    <mergeCell ref="IQI32:IQJ32"/>
    <mergeCell ref="IQK32:IQL32"/>
    <mergeCell ref="IQM32:IQN32"/>
    <mergeCell ref="IPQ32:IPR32"/>
    <mergeCell ref="IPS32:IPT32"/>
    <mergeCell ref="IPU32:IPV32"/>
    <mergeCell ref="IPW32:IPX32"/>
    <mergeCell ref="IPY32:IPZ32"/>
    <mergeCell ref="IQA32:IQB32"/>
    <mergeCell ref="IPE32:IPF32"/>
    <mergeCell ref="IPG32:IPH32"/>
    <mergeCell ref="IPI32:IPJ32"/>
    <mergeCell ref="IPK32:IPL32"/>
    <mergeCell ref="IPM32:IPN32"/>
    <mergeCell ref="IPO32:IPP32"/>
    <mergeCell ref="IOS32:IOT32"/>
    <mergeCell ref="IOU32:IOV32"/>
    <mergeCell ref="IOW32:IOX32"/>
    <mergeCell ref="IOY32:IOZ32"/>
    <mergeCell ref="IPA32:IPB32"/>
    <mergeCell ref="IPC32:IPD32"/>
    <mergeCell ref="IOG32:IOH32"/>
    <mergeCell ref="IOI32:IOJ32"/>
    <mergeCell ref="IOK32:IOL32"/>
    <mergeCell ref="IOM32:ION32"/>
    <mergeCell ref="IOO32:IOP32"/>
    <mergeCell ref="IOQ32:IOR32"/>
    <mergeCell ref="INU32:INV32"/>
    <mergeCell ref="INW32:INX32"/>
    <mergeCell ref="INY32:INZ32"/>
    <mergeCell ref="IOA32:IOB32"/>
    <mergeCell ref="IOC32:IOD32"/>
    <mergeCell ref="IOE32:IOF32"/>
    <mergeCell ref="ISW32:ISX32"/>
    <mergeCell ref="ISY32:ISZ32"/>
    <mergeCell ref="ITA32:ITB32"/>
    <mergeCell ref="ITC32:ITD32"/>
    <mergeCell ref="ITE32:ITF32"/>
    <mergeCell ref="ITG32:ITH32"/>
    <mergeCell ref="ISK32:ISL32"/>
    <mergeCell ref="ISM32:ISN32"/>
    <mergeCell ref="ISO32:ISP32"/>
    <mergeCell ref="ISQ32:ISR32"/>
    <mergeCell ref="ISS32:IST32"/>
    <mergeCell ref="ISU32:ISV32"/>
    <mergeCell ref="IRY32:IRZ32"/>
    <mergeCell ref="ISA32:ISB32"/>
    <mergeCell ref="ISC32:ISD32"/>
    <mergeCell ref="ISE32:ISF32"/>
    <mergeCell ref="ISG32:ISH32"/>
    <mergeCell ref="ISI32:ISJ32"/>
    <mergeCell ref="IRM32:IRN32"/>
    <mergeCell ref="IRO32:IRP32"/>
    <mergeCell ref="IRQ32:IRR32"/>
    <mergeCell ref="IRS32:IRT32"/>
    <mergeCell ref="IRU32:IRV32"/>
    <mergeCell ref="IRW32:IRX32"/>
    <mergeCell ref="IRA32:IRB32"/>
    <mergeCell ref="IRC32:IRD32"/>
    <mergeCell ref="IRE32:IRF32"/>
    <mergeCell ref="IRG32:IRH32"/>
    <mergeCell ref="IRI32:IRJ32"/>
    <mergeCell ref="IRK32:IRL32"/>
    <mergeCell ref="IQO32:IQP32"/>
    <mergeCell ref="IQQ32:IQR32"/>
    <mergeCell ref="IQS32:IQT32"/>
    <mergeCell ref="IQU32:IQV32"/>
    <mergeCell ref="IQW32:IQX32"/>
    <mergeCell ref="IQY32:IQZ32"/>
    <mergeCell ref="IVQ32:IVR32"/>
    <mergeCell ref="IVS32:IVT32"/>
    <mergeCell ref="IVU32:IVV32"/>
    <mergeCell ref="IVW32:IVX32"/>
    <mergeCell ref="IVY32:IVZ32"/>
    <mergeCell ref="IWA32:IWB32"/>
    <mergeCell ref="IVE32:IVF32"/>
    <mergeCell ref="IVG32:IVH32"/>
    <mergeCell ref="IVI32:IVJ32"/>
    <mergeCell ref="IVK32:IVL32"/>
    <mergeCell ref="IVM32:IVN32"/>
    <mergeCell ref="IVO32:IVP32"/>
    <mergeCell ref="IUS32:IUT32"/>
    <mergeCell ref="IUU32:IUV32"/>
    <mergeCell ref="IUW32:IUX32"/>
    <mergeCell ref="IUY32:IUZ32"/>
    <mergeCell ref="IVA32:IVB32"/>
    <mergeCell ref="IVC32:IVD32"/>
    <mergeCell ref="IUG32:IUH32"/>
    <mergeCell ref="IUI32:IUJ32"/>
    <mergeCell ref="IUK32:IUL32"/>
    <mergeCell ref="IUM32:IUN32"/>
    <mergeCell ref="IUO32:IUP32"/>
    <mergeCell ref="IUQ32:IUR32"/>
    <mergeCell ref="ITU32:ITV32"/>
    <mergeCell ref="ITW32:ITX32"/>
    <mergeCell ref="ITY32:ITZ32"/>
    <mergeCell ref="IUA32:IUB32"/>
    <mergeCell ref="IUC32:IUD32"/>
    <mergeCell ref="IUE32:IUF32"/>
    <mergeCell ref="ITI32:ITJ32"/>
    <mergeCell ref="ITK32:ITL32"/>
    <mergeCell ref="ITM32:ITN32"/>
    <mergeCell ref="ITO32:ITP32"/>
    <mergeCell ref="ITQ32:ITR32"/>
    <mergeCell ref="ITS32:ITT32"/>
    <mergeCell ref="IYK32:IYL32"/>
    <mergeCell ref="IYM32:IYN32"/>
    <mergeCell ref="IYO32:IYP32"/>
    <mergeCell ref="IYQ32:IYR32"/>
    <mergeCell ref="IYS32:IYT32"/>
    <mergeCell ref="IYU32:IYV32"/>
    <mergeCell ref="IXY32:IXZ32"/>
    <mergeCell ref="IYA32:IYB32"/>
    <mergeCell ref="IYC32:IYD32"/>
    <mergeCell ref="IYE32:IYF32"/>
    <mergeCell ref="IYG32:IYH32"/>
    <mergeCell ref="IYI32:IYJ32"/>
    <mergeCell ref="IXM32:IXN32"/>
    <mergeCell ref="IXO32:IXP32"/>
    <mergeCell ref="IXQ32:IXR32"/>
    <mergeCell ref="IXS32:IXT32"/>
    <mergeCell ref="IXU32:IXV32"/>
    <mergeCell ref="IXW32:IXX32"/>
    <mergeCell ref="IXA32:IXB32"/>
    <mergeCell ref="IXC32:IXD32"/>
    <mergeCell ref="IXE32:IXF32"/>
    <mergeCell ref="IXG32:IXH32"/>
    <mergeCell ref="IXI32:IXJ32"/>
    <mergeCell ref="IXK32:IXL32"/>
    <mergeCell ref="IWO32:IWP32"/>
    <mergeCell ref="IWQ32:IWR32"/>
    <mergeCell ref="IWS32:IWT32"/>
    <mergeCell ref="IWU32:IWV32"/>
    <mergeCell ref="IWW32:IWX32"/>
    <mergeCell ref="IWY32:IWZ32"/>
    <mergeCell ref="IWC32:IWD32"/>
    <mergeCell ref="IWE32:IWF32"/>
    <mergeCell ref="IWG32:IWH32"/>
    <mergeCell ref="IWI32:IWJ32"/>
    <mergeCell ref="IWK32:IWL32"/>
    <mergeCell ref="IWM32:IWN32"/>
    <mergeCell ref="JBE32:JBF32"/>
    <mergeCell ref="JBG32:JBH32"/>
    <mergeCell ref="JBI32:JBJ32"/>
    <mergeCell ref="JBK32:JBL32"/>
    <mergeCell ref="JBM32:JBN32"/>
    <mergeCell ref="JBO32:JBP32"/>
    <mergeCell ref="JAS32:JAT32"/>
    <mergeCell ref="JAU32:JAV32"/>
    <mergeCell ref="JAW32:JAX32"/>
    <mergeCell ref="JAY32:JAZ32"/>
    <mergeCell ref="JBA32:JBB32"/>
    <mergeCell ref="JBC32:JBD32"/>
    <mergeCell ref="JAG32:JAH32"/>
    <mergeCell ref="JAI32:JAJ32"/>
    <mergeCell ref="JAK32:JAL32"/>
    <mergeCell ref="JAM32:JAN32"/>
    <mergeCell ref="JAO32:JAP32"/>
    <mergeCell ref="JAQ32:JAR32"/>
    <mergeCell ref="IZU32:IZV32"/>
    <mergeCell ref="IZW32:IZX32"/>
    <mergeCell ref="IZY32:IZZ32"/>
    <mergeCell ref="JAA32:JAB32"/>
    <mergeCell ref="JAC32:JAD32"/>
    <mergeCell ref="JAE32:JAF32"/>
    <mergeCell ref="IZI32:IZJ32"/>
    <mergeCell ref="IZK32:IZL32"/>
    <mergeCell ref="IZM32:IZN32"/>
    <mergeCell ref="IZO32:IZP32"/>
    <mergeCell ref="IZQ32:IZR32"/>
    <mergeCell ref="IZS32:IZT32"/>
    <mergeCell ref="IYW32:IYX32"/>
    <mergeCell ref="IYY32:IYZ32"/>
    <mergeCell ref="IZA32:IZB32"/>
    <mergeCell ref="IZC32:IZD32"/>
    <mergeCell ref="IZE32:IZF32"/>
    <mergeCell ref="IZG32:IZH32"/>
    <mergeCell ref="JDY32:JDZ32"/>
    <mergeCell ref="JEA32:JEB32"/>
    <mergeCell ref="JEC32:JED32"/>
    <mergeCell ref="JEE32:JEF32"/>
    <mergeCell ref="JEG32:JEH32"/>
    <mergeCell ref="JEI32:JEJ32"/>
    <mergeCell ref="JDM32:JDN32"/>
    <mergeCell ref="JDO32:JDP32"/>
    <mergeCell ref="JDQ32:JDR32"/>
    <mergeCell ref="JDS32:JDT32"/>
    <mergeCell ref="JDU32:JDV32"/>
    <mergeCell ref="JDW32:JDX32"/>
    <mergeCell ref="JDA32:JDB32"/>
    <mergeCell ref="JDC32:JDD32"/>
    <mergeCell ref="JDE32:JDF32"/>
    <mergeCell ref="JDG32:JDH32"/>
    <mergeCell ref="JDI32:JDJ32"/>
    <mergeCell ref="JDK32:JDL32"/>
    <mergeCell ref="JCO32:JCP32"/>
    <mergeCell ref="JCQ32:JCR32"/>
    <mergeCell ref="JCS32:JCT32"/>
    <mergeCell ref="JCU32:JCV32"/>
    <mergeCell ref="JCW32:JCX32"/>
    <mergeCell ref="JCY32:JCZ32"/>
    <mergeCell ref="JCC32:JCD32"/>
    <mergeCell ref="JCE32:JCF32"/>
    <mergeCell ref="JCG32:JCH32"/>
    <mergeCell ref="JCI32:JCJ32"/>
    <mergeCell ref="JCK32:JCL32"/>
    <mergeCell ref="JCM32:JCN32"/>
    <mergeCell ref="JBQ32:JBR32"/>
    <mergeCell ref="JBS32:JBT32"/>
    <mergeCell ref="JBU32:JBV32"/>
    <mergeCell ref="JBW32:JBX32"/>
    <mergeCell ref="JBY32:JBZ32"/>
    <mergeCell ref="JCA32:JCB32"/>
    <mergeCell ref="JGS32:JGT32"/>
    <mergeCell ref="JGU32:JGV32"/>
    <mergeCell ref="JGW32:JGX32"/>
    <mergeCell ref="JGY32:JGZ32"/>
    <mergeCell ref="JHA32:JHB32"/>
    <mergeCell ref="JHC32:JHD32"/>
    <mergeCell ref="JGG32:JGH32"/>
    <mergeCell ref="JGI32:JGJ32"/>
    <mergeCell ref="JGK32:JGL32"/>
    <mergeCell ref="JGM32:JGN32"/>
    <mergeCell ref="JGO32:JGP32"/>
    <mergeCell ref="JGQ32:JGR32"/>
    <mergeCell ref="JFU32:JFV32"/>
    <mergeCell ref="JFW32:JFX32"/>
    <mergeCell ref="JFY32:JFZ32"/>
    <mergeCell ref="JGA32:JGB32"/>
    <mergeCell ref="JGC32:JGD32"/>
    <mergeCell ref="JGE32:JGF32"/>
    <mergeCell ref="JFI32:JFJ32"/>
    <mergeCell ref="JFK32:JFL32"/>
    <mergeCell ref="JFM32:JFN32"/>
    <mergeCell ref="JFO32:JFP32"/>
    <mergeCell ref="JFQ32:JFR32"/>
    <mergeCell ref="JFS32:JFT32"/>
    <mergeCell ref="JEW32:JEX32"/>
    <mergeCell ref="JEY32:JEZ32"/>
    <mergeCell ref="JFA32:JFB32"/>
    <mergeCell ref="JFC32:JFD32"/>
    <mergeCell ref="JFE32:JFF32"/>
    <mergeCell ref="JFG32:JFH32"/>
    <mergeCell ref="JEK32:JEL32"/>
    <mergeCell ref="JEM32:JEN32"/>
    <mergeCell ref="JEO32:JEP32"/>
    <mergeCell ref="JEQ32:JER32"/>
    <mergeCell ref="JES32:JET32"/>
    <mergeCell ref="JEU32:JEV32"/>
    <mergeCell ref="JJM32:JJN32"/>
    <mergeCell ref="JJO32:JJP32"/>
    <mergeCell ref="JJQ32:JJR32"/>
    <mergeCell ref="JJS32:JJT32"/>
    <mergeCell ref="JJU32:JJV32"/>
    <mergeCell ref="JJW32:JJX32"/>
    <mergeCell ref="JJA32:JJB32"/>
    <mergeCell ref="JJC32:JJD32"/>
    <mergeCell ref="JJE32:JJF32"/>
    <mergeCell ref="JJG32:JJH32"/>
    <mergeCell ref="JJI32:JJJ32"/>
    <mergeCell ref="JJK32:JJL32"/>
    <mergeCell ref="JIO32:JIP32"/>
    <mergeCell ref="JIQ32:JIR32"/>
    <mergeCell ref="JIS32:JIT32"/>
    <mergeCell ref="JIU32:JIV32"/>
    <mergeCell ref="JIW32:JIX32"/>
    <mergeCell ref="JIY32:JIZ32"/>
    <mergeCell ref="JIC32:JID32"/>
    <mergeCell ref="JIE32:JIF32"/>
    <mergeCell ref="JIG32:JIH32"/>
    <mergeCell ref="JII32:JIJ32"/>
    <mergeCell ref="JIK32:JIL32"/>
    <mergeCell ref="JIM32:JIN32"/>
    <mergeCell ref="JHQ32:JHR32"/>
    <mergeCell ref="JHS32:JHT32"/>
    <mergeCell ref="JHU32:JHV32"/>
    <mergeCell ref="JHW32:JHX32"/>
    <mergeCell ref="JHY32:JHZ32"/>
    <mergeCell ref="JIA32:JIB32"/>
    <mergeCell ref="JHE32:JHF32"/>
    <mergeCell ref="JHG32:JHH32"/>
    <mergeCell ref="JHI32:JHJ32"/>
    <mergeCell ref="JHK32:JHL32"/>
    <mergeCell ref="JHM32:JHN32"/>
    <mergeCell ref="JHO32:JHP32"/>
    <mergeCell ref="JMG32:JMH32"/>
    <mergeCell ref="JMI32:JMJ32"/>
    <mergeCell ref="JMK32:JML32"/>
    <mergeCell ref="JMM32:JMN32"/>
    <mergeCell ref="JMO32:JMP32"/>
    <mergeCell ref="JMQ32:JMR32"/>
    <mergeCell ref="JLU32:JLV32"/>
    <mergeCell ref="JLW32:JLX32"/>
    <mergeCell ref="JLY32:JLZ32"/>
    <mergeCell ref="JMA32:JMB32"/>
    <mergeCell ref="JMC32:JMD32"/>
    <mergeCell ref="JME32:JMF32"/>
    <mergeCell ref="JLI32:JLJ32"/>
    <mergeCell ref="JLK32:JLL32"/>
    <mergeCell ref="JLM32:JLN32"/>
    <mergeCell ref="JLO32:JLP32"/>
    <mergeCell ref="JLQ32:JLR32"/>
    <mergeCell ref="JLS32:JLT32"/>
    <mergeCell ref="JKW32:JKX32"/>
    <mergeCell ref="JKY32:JKZ32"/>
    <mergeCell ref="JLA32:JLB32"/>
    <mergeCell ref="JLC32:JLD32"/>
    <mergeCell ref="JLE32:JLF32"/>
    <mergeCell ref="JLG32:JLH32"/>
    <mergeCell ref="JKK32:JKL32"/>
    <mergeCell ref="JKM32:JKN32"/>
    <mergeCell ref="JKO32:JKP32"/>
    <mergeCell ref="JKQ32:JKR32"/>
    <mergeCell ref="JKS32:JKT32"/>
    <mergeCell ref="JKU32:JKV32"/>
    <mergeCell ref="JJY32:JJZ32"/>
    <mergeCell ref="JKA32:JKB32"/>
    <mergeCell ref="JKC32:JKD32"/>
    <mergeCell ref="JKE32:JKF32"/>
    <mergeCell ref="JKG32:JKH32"/>
    <mergeCell ref="JKI32:JKJ32"/>
    <mergeCell ref="JPA32:JPB32"/>
    <mergeCell ref="JPC32:JPD32"/>
    <mergeCell ref="JPE32:JPF32"/>
    <mergeCell ref="JPG32:JPH32"/>
    <mergeCell ref="JPI32:JPJ32"/>
    <mergeCell ref="JPK32:JPL32"/>
    <mergeCell ref="JOO32:JOP32"/>
    <mergeCell ref="JOQ32:JOR32"/>
    <mergeCell ref="JOS32:JOT32"/>
    <mergeCell ref="JOU32:JOV32"/>
    <mergeCell ref="JOW32:JOX32"/>
    <mergeCell ref="JOY32:JOZ32"/>
    <mergeCell ref="JOC32:JOD32"/>
    <mergeCell ref="JOE32:JOF32"/>
    <mergeCell ref="JOG32:JOH32"/>
    <mergeCell ref="JOI32:JOJ32"/>
    <mergeCell ref="JOK32:JOL32"/>
    <mergeCell ref="JOM32:JON32"/>
    <mergeCell ref="JNQ32:JNR32"/>
    <mergeCell ref="JNS32:JNT32"/>
    <mergeCell ref="JNU32:JNV32"/>
    <mergeCell ref="JNW32:JNX32"/>
    <mergeCell ref="JNY32:JNZ32"/>
    <mergeCell ref="JOA32:JOB32"/>
    <mergeCell ref="JNE32:JNF32"/>
    <mergeCell ref="JNG32:JNH32"/>
    <mergeCell ref="JNI32:JNJ32"/>
    <mergeCell ref="JNK32:JNL32"/>
    <mergeCell ref="JNM32:JNN32"/>
    <mergeCell ref="JNO32:JNP32"/>
    <mergeCell ref="JMS32:JMT32"/>
    <mergeCell ref="JMU32:JMV32"/>
    <mergeCell ref="JMW32:JMX32"/>
    <mergeCell ref="JMY32:JMZ32"/>
    <mergeCell ref="JNA32:JNB32"/>
    <mergeCell ref="JNC32:JND32"/>
    <mergeCell ref="JRU32:JRV32"/>
    <mergeCell ref="JRW32:JRX32"/>
    <mergeCell ref="JRY32:JRZ32"/>
    <mergeCell ref="JSA32:JSB32"/>
    <mergeCell ref="JSC32:JSD32"/>
    <mergeCell ref="JSE32:JSF32"/>
    <mergeCell ref="JRI32:JRJ32"/>
    <mergeCell ref="JRK32:JRL32"/>
    <mergeCell ref="JRM32:JRN32"/>
    <mergeCell ref="JRO32:JRP32"/>
    <mergeCell ref="JRQ32:JRR32"/>
    <mergeCell ref="JRS32:JRT32"/>
    <mergeCell ref="JQW32:JQX32"/>
    <mergeCell ref="JQY32:JQZ32"/>
    <mergeCell ref="JRA32:JRB32"/>
    <mergeCell ref="JRC32:JRD32"/>
    <mergeCell ref="JRE32:JRF32"/>
    <mergeCell ref="JRG32:JRH32"/>
    <mergeCell ref="JQK32:JQL32"/>
    <mergeCell ref="JQM32:JQN32"/>
    <mergeCell ref="JQO32:JQP32"/>
    <mergeCell ref="JQQ32:JQR32"/>
    <mergeCell ref="JQS32:JQT32"/>
    <mergeCell ref="JQU32:JQV32"/>
    <mergeCell ref="JPY32:JPZ32"/>
    <mergeCell ref="JQA32:JQB32"/>
    <mergeCell ref="JQC32:JQD32"/>
    <mergeCell ref="JQE32:JQF32"/>
    <mergeCell ref="JQG32:JQH32"/>
    <mergeCell ref="JQI32:JQJ32"/>
    <mergeCell ref="JPM32:JPN32"/>
    <mergeCell ref="JPO32:JPP32"/>
    <mergeCell ref="JPQ32:JPR32"/>
    <mergeCell ref="JPS32:JPT32"/>
    <mergeCell ref="JPU32:JPV32"/>
    <mergeCell ref="JPW32:JPX32"/>
    <mergeCell ref="JUO32:JUP32"/>
    <mergeCell ref="JUQ32:JUR32"/>
    <mergeCell ref="JUS32:JUT32"/>
    <mergeCell ref="JUU32:JUV32"/>
    <mergeCell ref="JUW32:JUX32"/>
    <mergeCell ref="JUY32:JUZ32"/>
    <mergeCell ref="JUC32:JUD32"/>
    <mergeCell ref="JUE32:JUF32"/>
    <mergeCell ref="JUG32:JUH32"/>
    <mergeCell ref="JUI32:JUJ32"/>
    <mergeCell ref="JUK32:JUL32"/>
    <mergeCell ref="JUM32:JUN32"/>
    <mergeCell ref="JTQ32:JTR32"/>
    <mergeCell ref="JTS32:JTT32"/>
    <mergeCell ref="JTU32:JTV32"/>
    <mergeCell ref="JTW32:JTX32"/>
    <mergeCell ref="JTY32:JTZ32"/>
    <mergeCell ref="JUA32:JUB32"/>
    <mergeCell ref="JTE32:JTF32"/>
    <mergeCell ref="JTG32:JTH32"/>
    <mergeCell ref="JTI32:JTJ32"/>
    <mergeCell ref="JTK32:JTL32"/>
    <mergeCell ref="JTM32:JTN32"/>
    <mergeCell ref="JTO32:JTP32"/>
    <mergeCell ref="JSS32:JST32"/>
    <mergeCell ref="JSU32:JSV32"/>
    <mergeCell ref="JSW32:JSX32"/>
    <mergeCell ref="JSY32:JSZ32"/>
    <mergeCell ref="JTA32:JTB32"/>
    <mergeCell ref="JTC32:JTD32"/>
    <mergeCell ref="JSG32:JSH32"/>
    <mergeCell ref="JSI32:JSJ32"/>
    <mergeCell ref="JSK32:JSL32"/>
    <mergeCell ref="JSM32:JSN32"/>
    <mergeCell ref="JSO32:JSP32"/>
    <mergeCell ref="JSQ32:JSR32"/>
    <mergeCell ref="JXI32:JXJ32"/>
    <mergeCell ref="JXK32:JXL32"/>
    <mergeCell ref="JXM32:JXN32"/>
    <mergeCell ref="JXO32:JXP32"/>
    <mergeCell ref="JXQ32:JXR32"/>
    <mergeCell ref="JXS32:JXT32"/>
    <mergeCell ref="JWW32:JWX32"/>
    <mergeCell ref="JWY32:JWZ32"/>
    <mergeCell ref="JXA32:JXB32"/>
    <mergeCell ref="JXC32:JXD32"/>
    <mergeCell ref="JXE32:JXF32"/>
    <mergeCell ref="JXG32:JXH32"/>
    <mergeCell ref="JWK32:JWL32"/>
    <mergeCell ref="JWM32:JWN32"/>
    <mergeCell ref="JWO32:JWP32"/>
    <mergeCell ref="JWQ32:JWR32"/>
    <mergeCell ref="JWS32:JWT32"/>
    <mergeCell ref="JWU32:JWV32"/>
    <mergeCell ref="JVY32:JVZ32"/>
    <mergeCell ref="JWA32:JWB32"/>
    <mergeCell ref="JWC32:JWD32"/>
    <mergeCell ref="JWE32:JWF32"/>
    <mergeCell ref="JWG32:JWH32"/>
    <mergeCell ref="JWI32:JWJ32"/>
    <mergeCell ref="JVM32:JVN32"/>
    <mergeCell ref="JVO32:JVP32"/>
    <mergeCell ref="JVQ32:JVR32"/>
    <mergeCell ref="JVS32:JVT32"/>
    <mergeCell ref="JVU32:JVV32"/>
    <mergeCell ref="JVW32:JVX32"/>
    <mergeCell ref="JVA32:JVB32"/>
    <mergeCell ref="JVC32:JVD32"/>
    <mergeCell ref="JVE32:JVF32"/>
    <mergeCell ref="JVG32:JVH32"/>
    <mergeCell ref="JVI32:JVJ32"/>
    <mergeCell ref="JVK32:JVL32"/>
    <mergeCell ref="KAC32:KAD32"/>
    <mergeCell ref="KAE32:KAF32"/>
    <mergeCell ref="KAG32:KAH32"/>
    <mergeCell ref="KAI32:KAJ32"/>
    <mergeCell ref="KAK32:KAL32"/>
    <mergeCell ref="KAM32:KAN32"/>
    <mergeCell ref="JZQ32:JZR32"/>
    <mergeCell ref="JZS32:JZT32"/>
    <mergeCell ref="JZU32:JZV32"/>
    <mergeCell ref="JZW32:JZX32"/>
    <mergeCell ref="JZY32:JZZ32"/>
    <mergeCell ref="KAA32:KAB32"/>
    <mergeCell ref="JZE32:JZF32"/>
    <mergeCell ref="JZG32:JZH32"/>
    <mergeCell ref="JZI32:JZJ32"/>
    <mergeCell ref="JZK32:JZL32"/>
    <mergeCell ref="JZM32:JZN32"/>
    <mergeCell ref="JZO32:JZP32"/>
    <mergeCell ref="JYS32:JYT32"/>
    <mergeCell ref="JYU32:JYV32"/>
    <mergeCell ref="JYW32:JYX32"/>
    <mergeCell ref="JYY32:JYZ32"/>
    <mergeCell ref="JZA32:JZB32"/>
    <mergeCell ref="JZC32:JZD32"/>
    <mergeCell ref="JYG32:JYH32"/>
    <mergeCell ref="JYI32:JYJ32"/>
    <mergeCell ref="JYK32:JYL32"/>
    <mergeCell ref="JYM32:JYN32"/>
    <mergeCell ref="JYO32:JYP32"/>
    <mergeCell ref="JYQ32:JYR32"/>
    <mergeCell ref="JXU32:JXV32"/>
    <mergeCell ref="JXW32:JXX32"/>
    <mergeCell ref="JXY32:JXZ32"/>
    <mergeCell ref="JYA32:JYB32"/>
    <mergeCell ref="JYC32:JYD32"/>
    <mergeCell ref="JYE32:JYF32"/>
    <mergeCell ref="KCW32:KCX32"/>
    <mergeCell ref="KCY32:KCZ32"/>
    <mergeCell ref="KDA32:KDB32"/>
    <mergeCell ref="KDC32:KDD32"/>
    <mergeCell ref="KDE32:KDF32"/>
    <mergeCell ref="KDG32:KDH32"/>
    <mergeCell ref="KCK32:KCL32"/>
    <mergeCell ref="KCM32:KCN32"/>
    <mergeCell ref="KCO32:KCP32"/>
    <mergeCell ref="KCQ32:KCR32"/>
    <mergeCell ref="KCS32:KCT32"/>
    <mergeCell ref="KCU32:KCV32"/>
    <mergeCell ref="KBY32:KBZ32"/>
    <mergeCell ref="KCA32:KCB32"/>
    <mergeCell ref="KCC32:KCD32"/>
    <mergeCell ref="KCE32:KCF32"/>
    <mergeCell ref="KCG32:KCH32"/>
    <mergeCell ref="KCI32:KCJ32"/>
    <mergeCell ref="KBM32:KBN32"/>
    <mergeCell ref="KBO32:KBP32"/>
    <mergeCell ref="KBQ32:KBR32"/>
    <mergeCell ref="KBS32:KBT32"/>
    <mergeCell ref="KBU32:KBV32"/>
    <mergeCell ref="KBW32:KBX32"/>
    <mergeCell ref="KBA32:KBB32"/>
    <mergeCell ref="KBC32:KBD32"/>
    <mergeCell ref="KBE32:KBF32"/>
    <mergeCell ref="KBG32:KBH32"/>
    <mergeCell ref="KBI32:KBJ32"/>
    <mergeCell ref="KBK32:KBL32"/>
    <mergeCell ref="KAO32:KAP32"/>
    <mergeCell ref="KAQ32:KAR32"/>
    <mergeCell ref="KAS32:KAT32"/>
    <mergeCell ref="KAU32:KAV32"/>
    <mergeCell ref="KAW32:KAX32"/>
    <mergeCell ref="KAY32:KAZ32"/>
    <mergeCell ref="KFQ32:KFR32"/>
    <mergeCell ref="KFS32:KFT32"/>
    <mergeCell ref="KFU32:KFV32"/>
    <mergeCell ref="KFW32:KFX32"/>
    <mergeCell ref="KFY32:KFZ32"/>
    <mergeCell ref="KGA32:KGB32"/>
    <mergeCell ref="KFE32:KFF32"/>
    <mergeCell ref="KFG32:KFH32"/>
    <mergeCell ref="KFI32:KFJ32"/>
    <mergeCell ref="KFK32:KFL32"/>
    <mergeCell ref="KFM32:KFN32"/>
    <mergeCell ref="KFO32:KFP32"/>
    <mergeCell ref="KES32:KET32"/>
    <mergeCell ref="KEU32:KEV32"/>
    <mergeCell ref="KEW32:KEX32"/>
    <mergeCell ref="KEY32:KEZ32"/>
    <mergeCell ref="KFA32:KFB32"/>
    <mergeCell ref="KFC32:KFD32"/>
    <mergeCell ref="KEG32:KEH32"/>
    <mergeCell ref="KEI32:KEJ32"/>
    <mergeCell ref="KEK32:KEL32"/>
    <mergeCell ref="KEM32:KEN32"/>
    <mergeCell ref="KEO32:KEP32"/>
    <mergeCell ref="KEQ32:KER32"/>
    <mergeCell ref="KDU32:KDV32"/>
    <mergeCell ref="KDW32:KDX32"/>
    <mergeCell ref="KDY32:KDZ32"/>
    <mergeCell ref="KEA32:KEB32"/>
    <mergeCell ref="KEC32:KED32"/>
    <mergeCell ref="KEE32:KEF32"/>
    <mergeCell ref="KDI32:KDJ32"/>
    <mergeCell ref="KDK32:KDL32"/>
    <mergeCell ref="KDM32:KDN32"/>
    <mergeCell ref="KDO32:KDP32"/>
    <mergeCell ref="KDQ32:KDR32"/>
    <mergeCell ref="KDS32:KDT32"/>
    <mergeCell ref="KIK32:KIL32"/>
    <mergeCell ref="KIM32:KIN32"/>
    <mergeCell ref="KIO32:KIP32"/>
    <mergeCell ref="KIQ32:KIR32"/>
    <mergeCell ref="KIS32:KIT32"/>
    <mergeCell ref="KIU32:KIV32"/>
    <mergeCell ref="KHY32:KHZ32"/>
    <mergeCell ref="KIA32:KIB32"/>
    <mergeCell ref="KIC32:KID32"/>
    <mergeCell ref="KIE32:KIF32"/>
    <mergeCell ref="KIG32:KIH32"/>
    <mergeCell ref="KII32:KIJ32"/>
    <mergeCell ref="KHM32:KHN32"/>
    <mergeCell ref="KHO32:KHP32"/>
    <mergeCell ref="KHQ32:KHR32"/>
    <mergeCell ref="KHS32:KHT32"/>
    <mergeCell ref="KHU32:KHV32"/>
    <mergeCell ref="KHW32:KHX32"/>
    <mergeCell ref="KHA32:KHB32"/>
    <mergeCell ref="KHC32:KHD32"/>
    <mergeCell ref="KHE32:KHF32"/>
    <mergeCell ref="KHG32:KHH32"/>
    <mergeCell ref="KHI32:KHJ32"/>
    <mergeCell ref="KHK32:KHL32"/>
    <mergeCell ref="KGO32:KGP32"/>
    <mergeCell ref="KGQ32:KGR32"/>
    <mergeCell ref="KGS32:KGT32"/>
    <mergeCell ref="KGU32:KGV32"/>
    <mergeCell ref="KGW32:KGX32"/>
    <mergeCell ref="KGY32:KGZ32"/>
    <mergeCell ref="KGC32:KGD32"/>
    <mergeCell ref="KGE32:KGF32"/>
    <mergeCell ref="KGG32:KGH32"/>
    <mergeCell ref="KGI32:KGJ32"/>
    <mergeCell ref="KGK32:KGL32"/>
    <mergeCell ref="KGM32:KGN32"/>
    <mergeCell ref="KLE32:KLF32"/>
    <mergeCell ref="KLG32:KLH32"/>
    <mergeCell ref="KLI32:KLJ32"/>
    <mergeCell ref="KLK32:KLL32"/>
    <mergeCell ref="KLM32:KLN32"/>
    <mergeCell ref="KLO32:KLP32"/>
    <mergeCell ref="KKS32:KKT32"/>
    <mergeCell ref="KKU32:KKV32"/>
    <mergeCell ref="KKW32:KKX32"/>
    <mergeCell ref="KKY32:KKZ32"/>
    <mergeCell ref="KLA32:KLB32"/>
    <mergeCell ref="KLC32:KLD32"/>
    <mergeCell ref="KKG32:KKH32"/>
    <mergeCell ref="KKI32:KKJ32"/>
    <mergeCell ref="KKK32:KKL32"/>
    <mergeCell ref="KKM32:KKN32"/>
    <mergeCell ref="KKO32:KKP32"/>
    <mergeCell ref="KKQ32:KKR32"/>
    <mergeCell ref="KJU32:KJV32"/>
    <mergeCell ref="KJW32:KJX32"/>
    <mergeCell ref="KJY32:KJZ32"/>
    <mergeCell ref="KKA32:KKB32"/>
    <mergeCell ref="KKC32:KKD32"/>
    <mergeCell ref="KKE32:KKF32"/>
    <mergeCell ref="KJI32:KJJ32"/>
    <mergeCell ref="KJK32:KJL32"/>
    <mergeCell ref="KJM32:KJN32"/>
    <mergeCell ref="KJO32:KJP32"/>
    <mergeCell ref="KJQ32:KJR32"/>
    <mergeCell ref="KJS32:KJT32"/>
    <mergeCell ref="KIW32:KIX32"/>
    <mergeCell ref="KIY32:KIZ32"/>
    <mergeCell ref="KJA32:KJB32"/>
    <mergeCell ref="KJC32:KJD32"/>
    <mergeCell ref="KJE32:KJF32"/>
    <mergeCell ref="KJG32:KJH32"/>
    <mergeCell ref="KNY32:KNZ32"/>
    <mergeCell ref="KOA32:KOB32"/>
    <mergeCell ref="KOC32:KOD32"/>
    <mergeCell ref="KOE32:KOF32"/>
    <mergeCell ref="KOG32:KOH32"/>
    <mergeCell ref="KOI32:KOJ32"/>
    <mergeCell ref="KNM32:KNN32"/>
    <mergeCell ref="KNO32:KNP32"/>
    <mergeCell ref="KNQ32:KNR32"/>
    <mergeCell ref="KNS32:KNT32"/>
    <mergeCell ref="KNU32:KNV32"/>
    <mergeCell ref="KNW32:KNX32"/>
    <mergeCell ref="KNA32:KNB32"/>
    <mergeCell ref="KNC32:KND32"/>
    <mergeCell ref="KNE32:KNF32"/>
    <mergeCell ref="KNG32:KNH32"/>
    <mergeCell ref="KNI32:KNJ32"/>
    <mergeCell ref="KNK32:KNL32"/>
    <mergeCell ref="KMO32:KMP32"/>
    <mergeCell ref="KMQ32:KMR32"/>
    <mergeCell ref="KMS32:KMT32"/>
    <mergeCell ref="KMU32:KMV32"/>
    <mergeCell ref="KMW32:KMX32"/>
    <mergeCell ref="KMY32:KMZ32"/>
    <mergeCell ref="KMC32:KMD32"/>
    <mergeCell ref="KME32:KMF32"/>
    <mergeCell ref="KMG32:KMH32"/>
    <mergeCell ref="KMI32:KMJ32"/>
    <mergeCell ref="KMK32:KML32"/>
    <mergeCell ref="KMM32:KMN32"/>
    <mergeCell ref="KLQ32:KLR32"/>
    <mergeCell ref="KLS32:KLT32"/>
    <mergeCell ref="KLU32:KLV32"/>
    <mergeCell ref="KLW32:KLX32"/>
    <mergeCell ref="KLY32:KLZ32"/>
    <mergeCell ref="KMA32:KMB32"/>
    <mergeCell ref="KQS32:KQT32"/>
    <mergeCell ref="KQU32:KQV32"/>
    <mergeCell ref="KQW32:KQX32"/>
    <mergeCell ref="KQY32:KQZ32"/>
    <mergeCell ref="KRA32:KRB32"/>
    <mergeCell ref="KRC32:KRD32"/>
    <mergeCell ref="KQG32:KQH32"/>
    <mergeCell ref="KQI32:KQJ32"/>
    <mergeCell ref="KQK32:KQL32"/>
    <mergeCell ref="KQM32:KQN32"/>
    <mergeCell ref="KQO32:KQP32"/>
    <mergeCell ref="KQQ32:KQR32"/>
    <mergeCell ref="KPU32:KPV32"/>
    <mergeCell ref="KPW32:KPX32"/>
    <mergeCell ref="KPY32:KPZ32"/>
    <mergeCell ref="KQA32:KQB32"/>
    <mergeCell ref="KQC32:KQD32"/>
    <mergeCell ref="KQE32:KQF32"/>
    <mergeCell ref="KPI32:KPJ32"/>
    <mergeCell ref="KPK32:KPL32"/>
    <mergeCell ref="KPM32:KPN32"/>
    <mergeCell ref="KPO32:KPP32"/>
    <mergeCell ref="KPQ32:KPR32"/>
    <mergeCell ref="KPS32:KPT32"/>
    <mergeCell ref="KOW32:KOX32"/>
    <mergeCell ref="KOY32:KOZ32"/>
    <mergeCell ref="KPA32:KPB32"/>
    <mergeCell ref="KPC32:KPD32"/>
    <mergeCell ref="KPE32:KPF32"/>
    <mergeCell ref="KPG32:KPH32"/>
    <mergeCell ref="KOK32:KOL32"/>
    <mergeCell ref="KOM32:KON32"/>
    <mergeCell ref="KOO32:KOP32"/>
    <mergeCell ref="KOQ32:KOR32"/>
    <mergeCell ref="KOS32:KOT32"/>
    <mergeCell ref="KOU32:KOV32"/>
    <mergeCell ref="KTM32:KTN32"/>
    <mergeCell ref="KTO32:KTP32"/>
    <mergeCell ref="KTQ32:KTR32"/>
    <mergeCell ref="KTS32:KTT32"/>
    <mergeCell ref="KTU32:KTV32"/>
    <mergeCell ref="KTW32:KTX32"/>
    <mergeCell ref="KTA32:KTB32"/>
    <mergeCell ref="KTC32:KTD32"/>
    <mergeCell ref="KTE32:KTF32"/>
    <mergeCell ref="KTG32:KTH32"/>
    <mergeCell ref="KTI32:KTJ32"/>
    <mergeCell ref="KTK32:KTL32"/>
    <mergeCell ref="KSO32:KSP32"/>
    <mergeCell ref="KSQ32:KSR32"/>
    <mergeCell ref="KSS32:KST32"/>
    <mergeCell ref="KSU32:KSV32"/>
    <mergeCell ref="KSW32:KSX32"/>
    <mergeCell ref="KSY32:KSZ32"/>
    <mergeCell ref="KSC32:KSD32"/>
    <mergeCell ref="KSE32:KSF32"/>
    <mergeCell ref="KSG32:KSH32"/>
    <mergeCell ref="KSI32:KSJ32"/>
    <mergeCell ref="KSK32:KSL32"/>
    <mergeCell ref="KSM32:KSN32"/>
    <mergeCell ref="KRQ32:KRR32"/>
    <mergeCell ref="KRS32:KRT32"/>
    <mergeCell ref="KRU32:KRV32"/>
    <mergeCell ref="KRW32:KRX32"/>
    <mergeCell ref="KRY32:KRZ32"/>
    <mergeCell ref="KSA32:KSB32"/>
    <mergeCell ref="KRE32:KRF32"/>
    <mergeCell ref="KRG32:KRH32"/>
    <mergeCell ref="KRI32:KRJ32"/>
    <mergeCell ref="KRK32:KRL32"/>
    <mergeCell ref="KRM32:KRN32"/>
    <mergeCell ref="KRO32:KRP32"/>
    <mergeCell ref="KWG32:KWH32"/>
    <mergeCell ref="KWI32:KWJ32"/>
    <mergeCell ref="KWK32:KWL32"/>
    <mergeCell ref="KWM32:KWN32"/>
    <mergeCell ref="KWO32:KWP32"/>
    <mergeCell ref="KWQ32:KWR32"/>
    <mergeCell ref="KVU32:KVV32"/>
    <mergeCell ref="KVW32:KVX32"/>
    <mergeCell ref="KVY32:KVZ32"/>
    <mergeCell ref="KWA32:KWB32"/>
    <mergeCell ref="KWC32:KWD32"/>
    <mergeCell ref="KWE32:KWF32"/>
    <mergeCell ref="KVI32:KVJ32"/>
    <mergeCell ref="KVK32:KVL32"/>
    <mergeCell ref="KVM32:KVN32"/>
    <mergeCell ref="KVO32:KVP32"/>
    <mergeCell ref="KVQ32:KVR32"/>
    <mergeCell ref="KVS32:KVT32"/>
    <mergeCell ref="KUW32:KUX32"/>
    <mergeCell ref="KUY32:KUZ32"/>
    <mergeCell ref="KVA32:KVB32"/>
    <mergeCell ref="KVC32:KVD32"/>
    <mergeCell ref="KVE32:KVF32"/>
    <mergeCell ref="KVG32:KVH32"/>
    <mergeCell ref="KUK32:KUL32"/>
    <mergeCell ref="KUM32:KUN32"/>
    <mergeCell ref="KUO32:KUP32"/>
    <mergeCell ref="KUQ32:KUR32"/>
    <mergeCell ref="KUS32:KUT32"/>
    <mergeCell ref="KUU32:KUV32"/>
    <mergeCell ref="KTY32:KTZ32"/>
    <mergeCell ref="KUA32:KUB32"/>
    <mergeCell ref="KUC32:KUD32"/>
    <mergeCell ref="KUE32:KUF32"/>
    <mergeCell ref="KUG32:KUH32"/>
    <mergeCell ref="KUI32:KUJ32"/>
    <mergeCell ref="KZA32:KZB32"/>
    <mergeCell ref="KZC32:KZD32"/>
    <mergeCell ref="KZE32:KZF32"/>
    <mergeCell ref="KZG32:KZH32"/>
    <mergeCell ref="KZI32:KZJ32"/>
    <mergeCell ref="KZK32:KZL32"/>
    <mergeCell ref="KYO32:KYP32"/>
    <mergeCell ref="KYQ32:KYR32"/>
    <mergeCell ref="KYS32:KYT32"/>
    <mergeCell ref="KYU32:KYV32"/>
    <mergeCell ref="KYW32:KYX32"/>
    <mergeCell ref="KYY32:KYZ32"/>
    <mergeCell ref="KYC32:KYD32"/>
    <mergeCell ref="KYE32:KYF32"/>
    <mergeCell ref="KYG32:KYH32"/>
    <mergeCell ref="KYI32:KYJ32"/>
    <mergeCell ref="KYK32:KYL32"/>
    <mergeCell ref="KYM32:KYN32"/>
    <mergeCell ref="KXQ32:KXR32"/>
    <mergeCell ref="KXS32:KXT32"/>
    <mergeCell ref="KXU32:KXV32"/>
    <mergeCell ref="KXW32:KXX32"/>
    <mergeCell ref="KXY32:KXZ32"/>
    <mergeCell ref="KYA32:KYB32"/>
    <mergeCell ref="KXE32:KXF32"/>
    <mergeCell ref="KXG32:KXH32"/>
    <mergeCell ref="KXI32:KXJ32"/>
    <mergeCell ref="KXK32:KXL32"/>
    <mergeCell ref="KXM32:KXN32"/>
    <mergeCell ref="KXO32:KXP32"/>
    <mergeCell ref="KWS32:KWT32"/>
    <mergeCell ref="KWU32:KWV32"/>
    <mergeCell ref="KWW32:KWX32"/>
    <mergeCell ref="KWY32:KWZ32"/>
    <mergeCell ref="KXA32:KXB32"/>
    <mergeCell ref="KXC32:KXD32"/>
    <mergeCell ref="LBU32:LBV32"/>
    <mergeCell ref="LBW32:LBX32"/>
    <mergeCell ref="LBY32:LBZ32"/>
    <mergeCell ref="LCA32:LCB32"/>
    <mergeCell ref="LCC32:LCD32"/>
    <mergeCell ref="LCE32:LCF32"/>
    <mergeCell ref="LBI32:LBJ32"/>
    <mergeCell ref="LBK32:LBL32"/>
    <mergeCell ref="LBM32:LBN32"/>
    <mergeCell ref="LBO32:LBP32"/>
    <mergeCell ref="LBQ32:LBR32"/>
    <mergeCell ref="LBS32:LBT32"/>
    <mergeCell ref="LAW32:LAX32"/>
    <mergeCell ref="LAY32:LAZ32"/>
    <mergeCell ref="LBA32:LBB32"/>
    <mergeCell ref="LBC32:LBD32"/>
    <mergeCell ref="LBE32:LBF32"/>
    <mergeCell ref="LBG32:LBH32"/>
    <mergeCell ref="LAK32:LAL32"/>
    <mergeCell ref="LAM32:LAN32"/>
    <mergeCell ref="LAO32:LAP32"/>
    <mergeCell ref="LAQ32:LAR32"/>
    <mergeCell ref="LAS32:LAT32"/>
    <mergeCell ref="LAU32:LAV32"/>
    <mergeCell ref="KZY32:KZZ32"/>
    <mergeCell ref="LAA32:LAB32"/>
    <mergeCell ref="LAC32:LAD32"/>
    <mergeCell ref="LAE32:LAF32"/>
    <mergeCell ref="LAG32:LAH32"/>
    <mergeCell ref="LAI32:LAJ32"/>
    <mergeCell ref="KZM32:KZN32"/>
    <mergeCell ref="KZO32:KZP32"/>
    <mergeCell ref="KZQ32:KZR32"/>
    <mergeCell ref="KZS32:KZT32"/>
    <mergeCell ref="KZU32:KZV32"/>
    <mergeCell ref="KZW32:KZX32"/>
    <mergeCell ref="LEO32:LEP32"/>
    <mergeCell ref="LEQ32:LER32"/>
    <mergeCell ref="LES32:LET32"/>
    <mergeCell ref="LEU32:LEV32"/>
    <mergeCell ref="LEW32:LEX32"/>
    <mergeCell ref="LEY32:LEZ32"/>
    <mergeCell ref="LEC32:LED32"/>
    <mergeCell ref="LEE32:LEF32"/>
    <mergeCell ref="LEG32:LEH32"/>
    <mergeCell ref="LEI32:LEJ32"/>
    <mergeCell ref="LEK32:LEL32"/>
    <mergeCell ref="LEM32:LEN32"/>
    <mergeCell ref="LDQ32:LDR32"/>
    <mergeCell ref="LDS32:LDT32"/>
    <mergeCell ref="LDU32:LDV32"/>
    <mergeCell ref="LDW32:LDX32"/>
    <mergeCell ref="LDY32:LDZ32"/>
    <mergeCell ref="LEA32:LEB32"/>
    <mergeCell ref="LDE32:LDF32"/>
    <mergeCell ref="LDG32:LDH32"/>
    <mergeCell ref="LDI32:LDJ32"/>
    <mergeCell ref="LDK32:LDL32"/>
    <mergeCell ref="LDM32:LDN32"/>
    <mergeCell ref="LDO32:LDP32"/>
    <mergeCell ref="LCS32:LCT32"/>
    <mergeCell ref="LCU32:LCV32"/>
    <mergeCell ref="LCW32:LCX32"/>
    <mergeCell ref="LCY32:LCZ32"/>
    <mergeCell ref="LDA32:LDB32"/>
    <mergeCell ref="LDC32:LDD32"/>
    <mergeCell ref="LCG32:LCH32"/>
    <mergeCell ref="LCI32:LCJ32"/>
    <mergeCell ref="LCK32:LCL32"/>
    <mergeCell ref="LCM32:LCN32"/>
    <mergeCell ref="LCO32:LCP32"/>
    <mergeCell ref="LCQ32:LCR32"/>
    <mergeCell ref="LHI32:LHJ32"/>
    <mergeCell ref="LHK32:LHL32"/>
    <mergeCell ref="LHM32:LHN32"/>
    <mergeCell ref="LHO32:LHP32"/>
    <mergeCell ref="LHQ32:LHR32"/>
    <mergeCell ref="LHS32:LHT32"/>
    <mergeCell ref="LGW32:LGX32"/>
    <mergeCell ref="LGY32:LGZ32"/>
    <mergeCell ref="LHA32:LHB32"/>
    <mergeCell ref="LHC32:LHD32"/>
    <mergeCell ref="LHE32:LHF32"/>
    <mergeCell ref="LHG32:LHH32"/>
    <mergeCell ref="LGK32:LGL32"/>
    <mergeCell ref="LGM32:LGN32"/>
    <mergeCell ref="LGO32:LGP32"/>
    <mergeCell ref="LGQ32:LGR32"/>
    <mergeCell ref="LGS32:LGT32"/>
    <mergeCell ref="LGU32:LGV32"/>
    <mergeCell ref="LFY32:LFZ32"/>
    <mergeCell ref="LGA32:LGB32"/>
    <mergeCell ref="LGC32:LGD32"/>
    <mergeCell ref="LGE32:LGF32"/>
    <mergeCell ref="LGG32:LGH32"/>
    <mergeCell ref="LGI32:LGJ32"/>
    <mergeCell ref="LFM32:LFN32"/>
    <mergeCell ref="LFO32:LFP32"/>
    <mergeCell ref="LFQ32:LFR32"/>
    <mergeCell ref="LFS32:LFT32"/>
    <mergeCell ref="LFU32:LFV32"/>
    <mergeCell ref="LFW32:LFX32"/>
    <mergeCell ref="LFA32:LFB32"/>
    <mergeCell ref="LFC32:LFD32"/>
    <mergeCell ref="LFE32:LFF32"/>
    <mergeCell ref="LFG32:LFH32"/>
    <mergeCell ref="LFI32:LFJ32"/>
    <mergeCell ref="LFK32:LFL32"/>
    <mergeCell ref="LKC32:LKD32"/>
    <mergeCell ref="LKE32:LKF32"/>
    <mergeCell ref="LKG32:LKH32"/>
    <mergeCell ref="LKI32:LKJ32"/>
    <mergeCell ref="LKK32:LKL32"/>
    <mergeCell ref="LKM32:LKN32"/>
    <mergeCell ref="LJQ32:LJR32"/>
    <mergeCell ref="LJS32:LJT32"/>
    <mergeCell ref="LJU32:LJV32"/>
    <mergeCell ref="LJW32:LJX32"/>
    <mergeCell ref="LJY32:LJZ32"/>
    <mergeCell ref="LKA32:LKB32"/>
    <mergeCell ref="LJE32:LJF32"/>
    <mergeCell ref="LJG32:LJH32"/>
    <mergeCell ref="LJI32:LJJ32"/>
    <mergeCell ref="LJK32:LJL32"/>
    <mergeCell ref="LJM32:LJN32"/>
    <mergeCell ref="LJO32:LJP32"/>
    <mergeCell ref="LIS32:LIT32"/>
    <mergeCell ref="LIU32:LIV32"/>
    <mergeCell ref="LIW32:LIX32"/>
    <mergeCell ref="LIY32:LIZ32"/>
    <mergeCell ref="LJA32:LJB32"/>
    <mergeCell ref="LJC32:LJD32"/>
    <mergeCell ref="LIG32:LIH32"/>
    <mergeCell ref="LII32:LIJ32"/>
    <mergeCell ref="LIK32:LIL32"/>
    <mergeCell ref="LIM32:LIN32"/>
    <mergeCell ref="LIO32:LIP32"/>
    <mergeCell ref="LIQ32:LIR32"/>
    <mergeCell ref="LHU32:LHV32"/>
    <mergeCell ref="LHW32:LHX32"/>
    <mergeCell ref="LHY32:LHZ32"/>
    <mergeCell ref="LIA32:LIB32"/>
    <mergeCell ref="LIC32:LID32"/>
    <mergeCell ref="LIE32:LIF32"/>
    <mergeCell ref="LMW32:LMX32"/>
    <mergeCell ref="LMY32:LMZ32"/>
    <mergeCell ref="LNA32:LNB32"/>
    <mergeCell ref="LNC32:LND32"/>
    <mergeCell ref="LNE32:LNF32"/>
    <mergeCell ref="LNG32:LNH32"/>
    <mergeCell ref="LMK32:LML32"/>
    <mergeCell ref="LMM32:LMN32"/>
    <mergeCell ref="LMO32:LMP32"/>
    <mergeCell ref="LMQ32:LMR32"/>
    <mergeCell ref="LMS32:LMT32"/>
    <mergeCell ref="LMU32:LMV32"/>
    <mergeCell ref="LLY32:LLZ32"/>
    <mergeCell ref="LMA32:LMB32"/>
    <mergeCell ref="LMC32:LMD32"/>
    <mergeCell ref="LME32:LMF32"/>
    <mergeCell ref="LMG32:LMH32"/>
    <mergeCell ref="LMI32:LMJ32"/>
    <mergeCell ref="LLM32:LLN32"/>
    <mergeCell ref="LLO32:LLP32"/>
    <mergeCell ref="LLQ32:LLR32"/>
    <mergeCell ref="LLS32:LLT32"/>
    <mergeCell ref="LLU32:LLV32"/>
    <mergeCell ref="LLW32:LLX32"/>
    <mergeCell ref="LLA32:LLB32"/>
    <mergeCell ref="LLC32:LLD32"/>
    <mergeCell ref="LLE32:LLF32"/>
    <mergeCell ref="LLG32:LLH32"/>
    <mergeCell ref="LLI32:LLJ32"/>
    <mergeCell ref="LLK32:LLL32"/>
    <mergeCell ref="LKO32:LKP32"/>
    <mergeCell ref="LKQ32:LKR32"/>
    <mergeCell ref="LKS32:LKT32"/>
    <mergeCell ref="LKU32:LKV32"/>
    <mergeCell ref="LKW32:LKX32"/>
    <mergeCell ref="LKY32:LKZ32"/>
    <mergeCell ref="LPQ32:LPR32"/>
    <mergeCell ref="LPS32:LPT32"/>
    <mergeCell ref="LPU32:LPV32"/>
    <mergeCell ref="LPW32:LPX32"/>
    <mergeCell ref="LPY32:LPZ32"/>
    <mergeCell ref="LQA32:LQB32"/>
    <mergeCell ref="LPE32:LPF32"/>
    <mergeCell ref="LPG32:LPH32"/>
    <mergeCell ref="LPI32:LPJ32"/>
    <mergeCell ref="LPK32:LPL32"/>
    <mergeCell ref="LPM32:LPN32"/>
    <mergeCell ref="LPO32:LPP32"/>
    <mergeCell ref="LOS32:LOT32"/>
    <mergeCell ref="LOU32:LOV32"/>
    <mergeCell ref="LOW32:LOX32"/>
    <mergeCell ref="LOY32:LOZ32"/>
    <mergeCell ref="LPA32:LPB32"/>
    <mergeCell ref="LPC32:LPD32"/>
    <mergeCell ref="LOG32:LOH32"/>
    <mergeCell ref="LOI32:LOJ32"/>
    <mergeCell ref="LOK32:LOL32"/>
    <mergeCell ref="LOM32:LON32"/>
    <mergeCell ref="LOO32:LOP32"/>
    <mergeCell ref="LOQ32:LOR32"/>
    <mergeCell ref="LNU32:LNV32"/>
    <mergeCell ref="LNW32:LNX32"/>
    <mergeCell ref="LNY32:LNZ32"/>
    <mergeCell ref="LOA32:LOB32"/>
    <mergeCell ref="LOC32:LOD32"/>
    <mergeCell ref="LOE32:LOF32"/>
    <mergeCell ref="LNI32:LNJ32"/>
    <mergeCell ref="LNK32:LNL32"/>
    <mergeCell ref="LNM32:LNN32"/>
    <mergeCell ref="LNO32:LNP32"/>
    <mergeCell ref="LNQ32:LNR32"/>
    <mergeCell ref="LNS32:LNT32"/>
    <mergeCell ref="LSK32:LSL32"/>
    <mergeCell ref="LSM32:LSN32"/>
    <mergeCell ref="LSO32:LSP32"/>
    <mergeCell ref="LSQ32:LSR32"/>
    <mergeCell ref="LSS32:LST32"/>
    <mergeCell ref="LSU32:LSV32"/>
    <mergeCell ref="LRY32:LRZ32"/>
    <mergeCell ref="LSA32:LSB32"/>
    <mergeCell ref="LSC32:LSD32"/>
    <mergeCell ref="LSE32:LSF32"/>
    <mergeCell ref="LSG32:LSH32"/>
    <mergeCell ref="LSI32:LSJ32"/>
    <mergeCell ref="LRM32:LRN32"/>
    <mergeCell ref="LRO32:LRP32"/>
    <mergeCell ref="LRQ32:LRR32"/>
    <mergeCell ref="LRS32:LRT32"/>
    <mergeCell ref="LRU32:LRV32"/>
    <mergeCell ref="LRW32:LRX32"/>
    <mergeCell ref="LRA32:LRB32"/>
    <mergeCell ref="LRC32:LRD32"/>
    <mergeCell ref="LRE32:LRF32"/>
    <mergeCell ref="LRG32:LRH32"/>
    <mergeCell ref="LRI32:LRJ32"/>
    <mergeCell ref="LRK32:LRL32"/>
    <mergeCell ref="LQO32:LQP32"/>
    <mergeCell ref="LQQ32:LQR32"/>
    <mergeCell ref="LQS32:LQT32"/>
    <mergeCell ref="LQU32:LQV32"/>
    <mergeCell ref="LQW32:LQX32"/>
    <mergeCell ref="LQY32:LQZ32"/>
    <mergeCell ref="LQC32:LQD32"/>
    <mergeCell ref="LQE32:LQF32"/>
    <mergeCell ref="LQG32:LQH32"/>
    <mergeCell ref="LQI32:LQJ32"/>
    <mergeCell ref="LQK32:LQL32"/>
    <mergeCell ref="LQM32:LQN32"/>
    <mergeCell ref="LVE32:LVF32"/>
    <mergeCell ref="LVG32:LVH32"/>
    <mergeCell ref="LVI32:LVJ32"/>
    <mergeCell ref="LVK32:LVL32"/>
    <mergeCell ref="LVM32:LVN32"/>
    <mergeCell ref="LVO32:LVP32"/>
    <mergeCell ref="LUS32:LUT32"/>
    <mergeCell ref="LUU32:LUV32"/>
    <mergeCell ref="LUW32:LUX32"/>
    <mergeCell ref="LUY32:LUZ32"/>
    <mergeCell ref="LVA32:LVB32"/>
    <mergeCell ref="LVC32:LVD32"/>
    <mergeCell ref="LUG32:LUH32"/>
    <mergeCell ref="LUI32:LUJ32"/>
    <mergeCell ref="LUK32:LUL32"/>
    <mergeCell ref="LUM32:LUN32"/>
    <mergeCell ref="LUO32:LUP32"/>
    <mergeCell ref="LUQ32:LUR32"/>
    <mergeCell ref="LTU32:LTV32"/>
    <mergeCell ref="LTW32:LTX32"/>
    <mergeCell ref="LTY32:LTZ32"/>
    <mergeCell ref="LUA32:LUB32"/>
    <mergeCell ref="LUC32:LUD32"/>
    <mergeCell ref="LUE32:LUF32"/>
    <mergeCell ref="LTI32:LTJ32"/>
    <mergeCell ref="LTK32:LTL32"/>
    <mergeCell ref="LTM32:LTN32"/>
    <mergeCell ref="LTO32:LTP32"/>
    <mergeCell ref="LTQ32:LTR32"/>
    <mergeCell ref="LTS32:LTT32"/>
    <mergeCell ref="LSW32:LSX32"/>
    <mergeCell ref="LSY32:LSZ32"/>
    <mergeCell ref="LTA32:LTB32"/>
    <mergeCell ref="LTC32:LTD32"/>
    <mergeCell ref="LTE32:LTF32"/>
    <mergeCell ref="LTG32:LTH32"/>
    <mergeCell ref="LXY32:LXZ32"/>
    <mergeCell ref="LYA32:LYB32"/>
    <mergeCell ref="LYC32:LYD32"/>
    <mergeCell ref="LYE32:LYF32"/>
    <mergeCell ref="LYG32:LYH32"/>
    <mergeCell ref="LYI32:LYJ32"/>
    <mergeCell ref="LXM32:LXN32"/>
    <mergeCell ref="LXO32:LXP32"/>
    <mergeCell ref="LXQ32:LXR32"/>
    <mergeCell ref="LXS32:LXT32"/>
    <mergeCell ref="LXU32:LXV32"/>
    <mergeCell ref="LXW32:LXX32"/>
    <mergeCell ref="LXA32:LXB32"/>
    <mergeCell ref="LXC32:LXD32"/>
    <mergeCell ref="LXE32:LXF32"/>
    <mergeCell ref="LXG32:LXH32"/>
    <mergeCell ref="LXI32:LXJ32"/>
    <mergeCell ref="LXK32:LXL32"/>
    <mergeCell ref="LWO32:LWP32"/>
    <mergeCell ref="LWQ32:LWR32"/>
    <mergeCell ref="LWS32:LWT32"/>
    <mergeCell ref="LWU32:LWV32"/>
    <mergeCell ref="LWW32:LWX32"/>
    <mergeCell ref="LWY32:LWZ32"/>
    <mergeCell ref="LWC32:LWD32"/>
    <mergeCell ref="LWE32:LWF32"/>
    <mergeCell ref="LWG32:LWH32"/>
    <mergeCell ref="LWI32:LWJ32"/>
    <mergeCell ref="LWK32:LWL32"/>
    <mergeCell ref="LWM32:LWN32"/>
    <mergeCell ref="LVQ32:LVR32"/>
    <mergeCell ref="LVS32:LVT32"/>
    <mergeCell ref="LVU32:LVV32"/>
    <mergeCell ref="LVW32:LVX32"/>
    <mergeCell ref="LVY32:LVZ32"/>
    <mergeCell ref="LWA32:LWB32"/>
    <mergeCell ref="MAS32:MAT32"/>
    <mergeCell ref="MAU32:MAV32"/>
    <mergeCell ref="MAW32:MAX32"/>
    <mergeCell ref="MAY32:MAZ32"/>
    <mergeCell ref="MBA32:MBB32"/>
    <mergeCell ref="MBC32:MBD32"/>
    <mergeCell ref="MAG32:MAH32"/>
    <mergeCell ref="MAI32:MAJ32"/>
    <mergeCell ref="MAK32:MAL32"/>
    <mergeCell ref="MAM32:MAN32"/>
    <mergeCell ref="MAO32:MAP32"/>
    <mergeCell ref="MAQ32:MAR32"/>
    <mergeCell ref="LZU32:LZV32"/>
    <mergeCell ref="LZW32:LZX32"/>
    <mergeCell ref="LZY32:LZZ32"/>
    <mergeCell ref="MAA32:MAB32"/>
    <mergeCell ref="MAC32:MAD32"/>
    <mergeCell ref="MAE32:MAF32"/>
    <mergeCell ref="LZI32:LZJ32"/>
    <mergeCell ref="LZK32:LZL32"/>
    <mergeCell ref="LZM32:LZN32"/>
    <mergeCell ref="LZO32:LZP32"/>
    <mergeCell ref="LZQ32:LZR32"/>
    <mergeCell ref="LZS32:LZT32"/>
    <mergeCell ref="LYW32:LYX32"/>
    <mergeCell ref="LYY32:LYZ32"/>
    <mergeCell ref="LZA32:LZB32"/>
    <mergeCell ref="LZC32:LZD32"/>
    <mergeCell ref="LZE32:LZF32"/>
    <mergeCell ref="LZG32:LZH32"/>
    <mergeCell ref="LYK32:LYL32"/>
    <mergeCell ref="LYM32:LYN32"/>
    <mergeCell ref="LYO32:LYP32"/>
    <mergeCell ref="LYQ32:LYR32"/>
    <mergeCell ref="LYS32:LYT32"/>
    <mergeCell ref="LYU32:LYV32"/>
    <mergeCell ref="MDM32:MDN32"/>
    <mergeCell ref="MDO32:MDP32"/>
    <mergeCell ref="MDQ32:MDR32"/>
    <mergeCell ref="MDS32:MDT32"/>
    <mergeCell ref="MDU32:MDV32"/>
    <mergeCell ref="MDW32:MDX32"/>
    <mergeCell ref="MDA32:MDB32"/>
    <mergeCell ref="MDC32:MDD32"/>
    <mergeCell ref="MDE32:MDF32"/>
    <mergeCell ref="MDG32:MDH32"/>
    <mergeCell ref="MDI32:MDJ32"/>
    <mergeCell ref="MDK32:MDL32"/>
    <mergeCell ref="MCO32:MCP32"/>
    <mergeCell ref="MCQ32:MCR32"/>
    <mergeCell ref="MCS32:MCT32"/>
    <mergeCell ref="MCU32:MCV32"/>
    <mergeCell ref="MCW32:MCX32"/>
    <mergeCell ref="MCY32:MCZ32"/>
    <mergeCell ref="MCC32:MCD32"/>
    <mergeCell ref="MCE32:MCF32"/>
    <mergeCell ref="MCG32:MCH32"/>
    <mergeCell ref="MCI32:MCJ32"/>
    <mergeCell ref="MCK32:MCL32"/>
    <mergeCell ref="MCM32:MCN32"/>
    <mergeCell ref="MBQ32:MBR32"/>
    <mergeCell ref="MBS32:MBT32"/>
    <mergeCell ref="MBU32:MBV32"/>
    <mergeCell ref="MBW32:MBX32"/>
    <mergeCell ref="MBY32:MBZ32"/>
    <mergeCell ref="MCA32:MCB32"/>
    <mergeCell ref="MBE32:MBF32"/>
    <mergeCell ref="MBG32:MBH32"/>
    <mergeCell ref="MBI32:MBJ32"/>
    <mergeCell ref="MBK32:MBL32"/>
    <mergeCell ref="MBM32:MBN32"/>
    <mergeCell ref="MBO32:MBP32"/>
    <mergeCell ref="MGG32:MGH32"/>
    <mergeCell ref="MGI32:MGJ32"/>
    <mergeCell ref="MGK32:MGL32"/>
    <mergeCell ref="MGM32:MGN32"/>
    <mergeCell ref="MGO32:MGP32"/>
    <mergeCell ref="MGQ32:MGR32"/>
    <mergeCell ref="MFU32:MFV32"/>
    <mergeCell ref="MFW32:MFX32"/>
    <mergeCell ref="MFY32:MFZ32"/>
    <mergeCell ref="MGA32:MGB32"/>
    <mergeCell ref="MGC32:MGD32"/>
    <mergeCell ref="MGE32:MGF32"/>
    <mergeCell ref="MFI32:MFJ32"/>
    <mergeCell ref="MFK32:MFL32"/>
    <mergeCell ref="MFM32:MFN32"/>
    <mergeCell ref="MFO32:MFP32"/>
    <mergeCell ref="MFQ32:MFR32"/>
    <mergeCell ref="MFS32:MFT32"/>
    <mergeCell ref="MEW32:MEX32"/>
    <mergeCell ref="MEY32:MEZ32"/>
    <mergeCell ref="MFA32:MFB32"/>
    <mergeCell ref="MFC32:MFD32"/>
    <mergeCell ref="MFE32:MFF32"/>
    <mergeCell ref="MFG32:MFH32"/>
    <mergeCell ref="MEK32:MEL32"/>
    <mergeCell ref="MEM32:MEN32"/>
    <mergeCell ref="MEO32:MEP32"/>
    <mergeCell ref="MEQ32:MER32"/>
    <mergeCell ref="MES32:MET32"/>
    <mergeCell ref="MEU32:MEV32"/>
    <mergeCell ref="MDY32:MDZ32"/>
    <mergeCell ref="MEA32:MEB32"/>
    <mergeCell ref="MEC32:MED32"/>
    <mergeCell ref="MEE32:MEF32"/>
    <mergeCell ref="MEG32:MEH32"/>
    <mergeCell ref="MEI32:MEJ32"/>
    <mergeCell ref="MJA32:MJB32"/>
    <mergeCell ref="MJC32:MJD32"/>
    <mergeCell ref="MJE32:MJF32"/>
    <mergeCell ref="MJG32:MJH32"/>
    <mergeCell ref="MJI32:MJJ32"/>
    <mergeCell ref="MJK32:MJL32"/>
    <mergeCell ref="MIO32:MIP32"/>
    <mergeCell ref="MIQ32:MIR32"/>
    <mergeCell ref="MIS32:MIT32"/>
    <mergeCell ref="MIU32:MIV32"/>
    <mergeCell ref="MIW32:MIX32"/>
    <mergeCell ref="MIY32:MIZ32"/>
    <mergeCell ref="MIC32:MID32"/>
    <mergeCell ref="MIE32:MIF32"/>
    <mergeCell ref="MIG32:MIH32"/>
    <mergeCell ref="MII32:MIJ32"/>
    <mergeCell ref="MIK32:MIL32"/>
    <mergeCell ref="MIM32:MIN32"/>
    <mergeCell ref="MHQ32:MHR32"/>
    <mergeCell ref="MHS32:MHT32"/>
    <mergeCell ref="MHU32:MHV32"/>
    <mergeCell ref="MHW32:MHX32"/>
    <mergeCell ref="MHY32:MHZ32"/>
    <mergeCell ref="MIA32:MIB32"/>
    <mergeCell ref="MHE32:MHF32"/>
    <mergeCell ref="MHG32:MHH32"/>
    <mergeCell ref="MHI32:MHJ32"/>
    <mergeCell ref="MHK32:MHL32"/>
    <mergeCell ref="MHM32:MHN32"/>
    <mergeCell ref="MHO32:MHP32"/>
    <mergeCell ref="MGS32:MGT32"/>
    <mergeCell ref="MGU32:MGV32"/>
    <mergeCell ref="MGW32:MGX32"/>
    <mergeCell ref="MGY32:MGZ32"/>
    <mergeCell ref="MHA32:MHB32"/>
    <mergeCell ref="MHC32:MHD32"/>
    <mergeCell ref="MLU32:MLV32"/>
    <mergeCell ref="MLW32:MLX32"/>
    <mergeCell ref="MLY32:MLZ32"/>
    <mergeCell ref="MMA32:MMB32"/>
    <mergeCell ref="MMC32:MMD32"/>
    <mergeCell ref="MME32:MMF32"/>
    <mergeCell ref="MLI32:MLJ32"/>
    <mergeCell ref="MLK32:MLL32"/>
    <mergeCell ref="MLM32:MLN32"/>
    <mergeCell ref="MLO32:MLP32"/>
    <mergeCell ref="MLQ32:MLR32"/>
    <mergeCell ref="MLS32:MLT32"/>
    <mergeCell ref="MKW32:MKX32"/>
    <mergeCell ref="MKY32:MKZ32"/>
    <mergeCell ref="MLA32:MLB32"/>
    <mergeCell ref="MLC32:MLD32"/>
    <mergeCell ref="MLE32:MLF32"/>
    <mergeCell ref="MLG32:MLH32"/>
    <mergeCell ref="MKK32:MKL32"/>
    <mergeCell ref="MKM32:MKN32"/>
    <mergeCell ref="MKO32:MKP32"/>
    <mergeCell ref="MKQ32:MKR32"/>
    <mergeCell ref="MKS32:MKT32"/>
    <mergeCell ref="MKU32:MKV32"/>
    <mergeCell ref="MJY32:MJZ32"/>
    <mergeCell ref="MKA32:MKB32"/>
    <mergeCell ref="MKC32:MKD32"/>
    <mergeCell ref="MKE32:MKF32"/>
    <mergeCell ref="MKG32:MKH32"/>
    <mergeCell ref="MKI32:MKJ32"/>
    <mergeCell ref="MJM32:MJN32"/>
    <mergeCell ref="MJO32:MJP32"/>
    <mergeCell ref="MJQ32:MJR32"/>
    <mergeCell ref="MJS32:MJT32"/>
    <mergeCell ref="MJU32:MJV32"/>
    <mergeCell ref="MJW32:MJX32"/>
    <mergeCell ref="MOO32:MOP32"/>
    <mergeCell ref="MOQ32:MOR32"/>
    <mergeCell ref="MOS32:MOT32"/>
    <mergeCell ref="MOU32:MOV32"/>
    <mergeCell ref="MOW32:MOX32"/>
    <mergeCell ref="MOY32:MOZ32"/>
    <mergeCell ref="MOC32:MOD32"/>
    <mergeCell ref="MOE32:MOF32"/>
    <mergeCell ref="MOG32:MOH32"/>
    <mergeCell ref="MOI32:MOJ32"/>
    <mergeCell ref="MOK32:MOL32"/>
    <mergeCell ref="MOM32:MON32"/>
    <mergeCell ref="MNQ32:MNR32"/>
    <mergeCell ref="MNS32:MNT32"/>
    <mergeCell ref="MNU32:MNV32"/>
    <mergeCell ref="MNW32:MNX32"/>
    <mergeCell ref="MNY32:MNZ32"/>
    <mergeCell ref="MOA32:MOB32"/>
    <mergeCell ref="MNE32:MNF32"/>
    <mergeCell ref="MNG32:MNH32"/>
    <mergeCell ref="MNI32:MNJ32"/>
    <mergeCell ref="MNK32:MNL32"/>
    <mergeCell ref="MNM32:MNN32"/>
    <mergeCell ref="MNO32:MNP32"/>
    <mergeCell ref="MMS32:MMT32"/>
    <mergeCell ref="MMU32:MMV32"/>
    <mergeCell ref="MMW32:MMX32"/>
    <mergeCell ref="MMY32:MMZ32"/>
    <mergeCell ref="MNA32:MNB32"/>
    <mergeCell ref="MNC32:MND32"/>
    <mergeCell ref="MMG32:MMH32"/>
    <mergeCell ref="MMI32:MMJ32"/>
    <mergeCell ref="MMK32:MML32"/>
    <mergeCell ref="MMM32:MMN32"/>
    <mergeCell ref="MMO32:MMP32"/>
    <mergeCell ref="MMQ32:MMR32"/>
    <mergeCell ref="MRI32:MRJ32"/>
    <mergeCell ref="MRK32:MRL32"/>
    <mergeCell ref="MRM32:MRN32"/>
    <mergeCell ref="MRO32:MRP32"/>
    <mergeCell ref="MRQ32:MRR32"/>
    <mergeCell ref="MRS32:MRT32"/>
    <mergeCell ref="MQW32:MQX32"/>
    <mergeCell ref="MQY32:MQZ32"/>
    <mergeCell ref="MRA32:MRB32"/>
    <mergeCell ref="MRC32:MRD32"/>
    <mergeCell ref="MRE32:MRF32"/>
    <mergeCell ref="MRG32:MRH32"/>
    <mergeCell ref="MQK32:MQL32"/>
    <mergeCell ref="MQM32:MQN32"/>
    <mergeCell ref="MQO32:MQP32"/>
    <mergeCell ref="MQQ32:MQR32"/>
    <mergeCell ref="MQS32:MQT32"/>
    <mergeCell ref="MQU32:MQV32"/>
    <mergeCell ref="MPY32:MPZ32"/>
    <mergeCell ref="MQA32:MQB32"/>
    <mergeCell ref="MQC32:MQD32"/>
    <mergeCell ref="MQE32:MQF32"/>
    <mergeCell ref="MQG32:MQH32"/>
    <mergeCell ref="MQI32:MQJ32"/>
    <mergeCell ref="MPM32:MPN32"/>
    <mergeCell ref="MPO32:MPP32"/>
    <mergeCell ref="MPQ32:MPR32"/>
    <mergeCell ref="MPS32:MPT32"/>
    <mergeCell ref="MPU32:MPV32"/>
    <mergeCell ref="MPW32:MPX32"/>
    <mergeCell ref="MPA32:MPB32"/>
    <mergeCell ref="MPC32:MPD32"/>
    <mergeCell ref="MPE32:MPF32"/>
    <mergeCell ref="MPG32:MPH32"/>
    <mergeCell ref="MPI32:MPJ32"/>
    <mergeCell ref="MPK32:MPL32"/>
    <mergeCell ref="MUC32:MUD32"/>
    <mergeCell ref="MUE32:MUF32"/>
    <mergeCell ref="MUG32:MUH32"/>
    <mergeCell ref="MUI32:MUJ32"/>
    <mergeCell ref="MUK32:MUL32"/>
    <mergeCell ref="MUM32:MUN32"/>
    <mergeCell ref="MTQ32:MTR32"/>
    <mergeCell ref="MTS32:MTT32"/>
    <mergeCell ref="MTU32:MTV32"/>
    <mergeCell ref="MTW32:MTX32"/>
    <mergeCell ref="MTY32:MTZ32"/>
    <mergeCell ref="MUA32:MUB32"/>
    <mergeCell ref="MTE32:MTF32"/>
    <mergeCell ref="MTG32:MTH32"/>
    <mergeCell ref="MTI32:MTJ32"/>
    <mergeCell ref="MTK32:MTL32"/>
    <mergeCell ref="MTM32:MTN32"/>
    <mergeCell ref="MTO32:MTP32"/>
    <mergeCell ref="MSS32:MST32"/>
    <mergeCell ref="MSU32:MSV32"/>
    <mergeCell ref="MSW32:MSX32"/>
    <mergeCell ref="MSY32:MSZ32"/>
    <mergeCell ref="MTA32:MTB32"/>
    <mergeCell ref="MTC32:MTD32"/>
    <mergeCell ref="MSG32:MSH32"/>
    <mergeCell ref="MSI32:MSJ32"/>
    <mergeCell ref="MSK32:MSL32"/>
    <mergeCell ref="MSM32:MSN32"/>
    <mergeCell ref="MSO32:MSP32"/>
    <mergeCell ref="MSQ32:MSR32"/>
    <mergeCell ref="MRU32:MRV32"/>
    <mergeCell ref="MRW32:MRX32"/>
    <mergeCell ref="MRY32:MRZ32"/>
    <mergeCell ref="MSA32:MSB32"/>
    <mergeCell ref="MSC32:MSD32"/>
    <mergeCell ref="MSE32:MSF32"/>
    <mergeCell ref="MWW32:MWX32"/>
    <mergeCell ref="MWY32:MWZ32"/>
    <mergeCell ref="MXA32:MXB32"/>
    <mergeCell ref="MXC32:MXD32"/>
    <mergeCell ref="MXE32:MXF32"/>
    <mergeCell ref="MXG32:MXH32"/>
    <mergeCell ref="MWK32:MWL32"/>
    <mergeCell ref="MWM32:MWN32"/>
    <mergeCell ref="MWO32:MWP32"/>
    <mergeCell ref="MWQ32:MWR32"/>
    <mergeCell ref="MWS32:MWT32"/>
    <mergeCell ref="MWU32:MWV32"/>
    <mergeCell ref="MVY32:MVZ32"/>
    <mergeCell ref="MWA32:MWB32"/>
    <mergeCell ref="MWC32:MWD32"/>
    <mergeCell ref="MWE32:MWF32"/>
    <mergeCell ref="MWG32:MWH32"/>
    <mergeCell ref="MWI32:MWJ32"/>
    <mergeCell ref="MVM32:MVN32"/>
    <mergeCell ref="MVO32:MVP32"/>
    <mergeCell ref="MVQ32:MVR32"/>
    <mergeCell ref="MVS32:MVT32"/>
    <mergeCell ref="MVU32:MVV32"/>
    <mergeCell ref="MVW32:MVX32"/>
    <mergeCell ref="MVA32:MVB32"/>
    <mergeCell ref="MVC32:MVD32"/>
    <mergeCell ref="MVE32:MVF32"/>
    <mergeCell ref="MVG32:MVH32"/>
    <mergeCell ref="MVI32:MVJ32"/>
    <mergeCell ref="MVK32:MVL32"/>
    <mergeCell ref="MUO32:MUP32"/>
    <mergeCell ref="MUQ32:MUR32"/>
    <mergeCell ref="MUS32:MUT32"/>
    <mergeCell ref="MUU32:MUV32"/>
    <mergeCell ref="MUW32:MUX32"/>
    <mergeCell ref="MUY32:MUZ32"/>
    <mergeCell ref="MZQ32:MZR32"/>
    <mergeCell ref="MZS32:MZT32"/>
    <mergeCell ref="MZU32:MZV32"/>
    <mergeCell ref="MZW32:MZX32"/>
    <mergeCell ref="MZY32:MZZ32"/>
    <mergeCell ref="NAA32:NAB32"/>
    <mergeCell ref="MZE32:MZF32"/>
    <mergeCell ref="MZG32:MZH32"/>
    <mergeCell ref="MZI32:MZJ32"/>
    <mergeCell ref="MZK32:MZL32"/>
    <mergeCell ref="MZM32:MZN32"/>
    <mergeCell ref="MZO32:MZP32"/>
    <mergeCell ref="MYS32:MYT32"/>
    <mergeCell ref="MYU32:MYV32"/>
    <mergeCell ref="MYW32:MYX32"/>
    <mergeCell ref="MYY32:MYZ32"/>
    <mergeCell ref="MZA32:MZB32"/>
    <mergeCell ref="MZC32:MZD32"/>
    <mergeCell ref="MYG32:MYH32"/>
    <mergeCell ref="MYI32:MYJ32"/>
    <mergeCell ref="MYK32:MYL32"/>
    <mergeCell ref="MYM32:MYN32"/>
    <mergeCell ref="MYO32:MYP32"/>
    <mergeCell ref="MYQ32:MYR32"/>
    <mergeCell ref="MXU32:MXV32"/>
    <mergeCell ref="MXW32:MXX32"/>
    <mergeCell ref="MXY32:MXZ32"/>
    <mergeCell ref="MYA32:MYB32"/>
    <mergeCell ref="MYC32:MYD32"/>
    <mergeCell ref="MYE32:MYF32"/>
    <mergeCell ref="MXI32:MXJ32"/>
    <mergeCell ref="MXK32:MXL32"/>
    <mergeCell ref="MXM32:MXN32"/>
    <mergeCell ref="MXO32:MXP32"/>
    <mergeCell ref="MXQ32:MXR32"/>
    <mergeCell ref="MXS32:MXT32"/>
    <mergeCell ref="NCK32:NCL32"/>
    <mergeCell ref="NCM32:NCN32"/>
    <mergeCell ref="NCO32:NCP32"/>
    <mergeCell ref="NCQ32:NCR32"/>
    <mergeCell ref="NCS32:NCT32"/>
    <mergeCell ref="NCU32:NCV32"/>
    <mergeCell ref="NBY32:NBZ32"/>
    <mergeCell ref="NCA32:NCB32"/>
    <mergeCell ref="NCC32:NCD32"/>
    <mergeCell ref="NCE32:NCF32"/>
    <mergeCell ref="NCG32:NCH32"/>
    <mergeCell ref="NCI32:NCJ32"/>
    <mergeCell ref="NBM32:NBN32"/>
    <mergeCell ref="NBO32:NBP32"/>
    <mergeCell ref="NBQ32:NBR32"/>
    <mergeCell ref="NBS32:NBT32"/>
    <mergeCell ref="NBU32:NBV32"/>
    <mergeCell ref="NBW32:NBX32"/>
    <mergeCell ref="NBA32:NBB32"/>
    <mergeCell ref="NBC32:NBD32"/>
    <mergeCell ref="NBE32:NBF32"/>
    <mergeCell ref="NBG32:NBH32"/>
    <mergeCell ref="NBI32:NBJ32"/>
    <mergeCell ref="NBK32:NBL32"/>
    <mergeCell ref="NAO32:NAP32"/>
    <mergeCell ref="NAQ32:NAR32"/>
    <mergeCell ref="NAS32:NAT32"/>
    <mergeCell ref="NAU32:NAV32"/>
    <mergeCell ref="NAW32:NAX32"/>
    <mergeCell ref="NAY32:NAZ32"/>
    <mergeCell ref="NAC32:NAD32"/>
    <mergeCell ref="NAE32:NAF32"/>
    <mergeCell ref="NAG32:NAH32"/>
    <mergeCell ref="NAI32:NAJ32"/>
    <mergeCell ref="NAK32:NAL32"/>
    <mergeCell ref="NAM32:NAN32"/>
    <mergeCell ref="NFE32:NFF32"/>
    <mergeCell ref="NFG32:NFH32"/>
    <mergeCell ref="NFI32:NFJ32"/>
    <mergeCell ref="NFK32:NFL32"/>
    <mergeCell ref="NFM32:NFN32"/>
    <mergeCell ref="NFO32:NFP32"/>
    <mergeCell ref="NES32:NET32"/>
    <mergeCell ref="NEU32:NEV32"/>
    <mergeCell ref="NEW32:NEX32"/>
    <mergeCell ref="NEY32:NEZ32"/>
    <mergeCell ref="NFA32:NFB32"/>
    <mergeCell ref="NFC32:NFD32"/>
    <mergeCell ref="NEG32:NEH32"/>
    <mergeCell ref="NEI32:NEJ32"/>
    <mergeCell ref="NEK32:NEL32"/>
    <mergeCell ref="NEM32:NEN32"/>
    <mergeCell ref="NEO32:NEP32"/>
    <mergeCell ref="NEQ32:NER32"/>
    <mergeCell ref="NDU32:NDV32"/>
    <mergeCell ref="NDW32:NDX32"/>
    <mergeCell ref="NDY32:NDZ32"/>
    <mergeCell ref="NEA32:NEB32"/>
    <mergeCell ref="NEC32:NED32"/>
    <mergeCell ref="NEE32:NEF32"/>
    <mergeCell ref="NDI32:NDJ32"/>
    <mergeCell ref="NDK32:NDL32"/>
    <mergeCell ref="NDM32:NDN32"/>
    <mergeCell ref="NDO32:NDP32"/>
    <mergeCell ref="NDQ32:NDR32"/>
    <mergeCell ref="NDS32:NDT32"/>
    <mergeCell ref="NCW32:NCX32"/>
    <mergeCell ref="NCY32:NCZ32"/>
    <mergeCell ref="NDA32:NDB32"/>
    <mergeCell ref="NDC32:NDD32"/>
    <mergeCell ref="NDE32:NDF32"/>
    <mergeCell ref="NDG32:NDH32"/>
    <mergeCell ref="NHY32:NHZ32"/>
    <mergeCell ref="NIA32:NIB32"/>
    <mergeCell ref="NIC32:NID32"/>
    <mergeCell ref="NIE32:NIF32"/>
    <mergeCell ref="NIG32:NIH32"/>
    <mergeCell ref="NII32:NIJ32"/>
    <mergeCell ref="NHM32:NHN32"/>
    <mergeCell ref="NHO32:NHP32"/>
    <mergeCell ref="NHQ32:NHR32"/>
    <mergeCell ref="NHS32:NHT32"/>
    <mergeCell ref="NHU32:NHV32"/>
    <mergeCell ref="NHW32:NHX32"/>
    <mergeCell ref="NHA32:NHB32"/>
    <mergeCell ref="NHC32:NHD32"/>
    <mergeCell ref="NHE32:NHF32"/>
    <mergeCell ref="NHG32:NHH32"/>
    <mergeCell ref="NHI32:NHJ32"/>
    <mergeCell ref="NHK32:NHL32"/>
    <mergeCell ref="NGO32:NGP32"/>
    <mergeCell ref="NGQ32:NGR32"/>
    <mergeCell ref="NGS32:NGT32"/>
    <mergeCell ref="NGU32:NGV32"/>
    <mergeCell ref="NGW32:NGX32"/>
    <mergeCell ref="NGY32:NGZ32"/>
    <mergeCell ref="NGC32:NGD32"/>
    <mergeCell ref="NGE32:NGF32"/>
    <mergeCell ref="NGG32:NGH32"/>
    <mergeCell ref="NGI32:NGJ32"/>
    <mergeCell ref="NGK32:NGL32"/>
    <mergeCell ref="NGM32:NGN32"/>
    <mergeCell ref="NFQ32:NFR32"/>
    <mergeCell ref="NFS32:NFT32"/>
    <mergeCell ref="NFU32:NFV32"/>
    <mergeCell ref="NFW32:NFX32"/>
    <mergeCell ref="NFY32:NFZ32"/>
    <mergeCell ref="NGA32:NGB32"/>
    <mergeCell ref="NKS32:NKT32"/>
    <mergeCell ref="NKU32:NKV32"/>
    <mergeCell ref="NKW32:NKX32"/>
    <mergeCell ref="NKY32:NKZ32"/>
    <mergeCell ref="NLA32:NLB32"/>
    <mergeCell ref="NLC32:NLD32"/>
    <mergeCell ref="NKG32:NKH32"/>
    <mergeCell ref="NKI32:NKJ32"/>
    <mergeCell ref="NKK32:NKL32"/>
    <mergeCell ref="NKM32:NKN32"/>
    <mergeCell ref="NKO32:NKP32"/>
    <mergeCell ref="NKQ32:NKR32"/>
    <mergeCell ref="NJU32:NJV32"/>
    <mergeCell ref="NJW32:NJX32"/>
    <mergeCell ref="NJY32:NJZ32"/>
    <mergeCell ref="NKA32:NKB32"/>
    <mergeCell ref="NKC32:NKD32"/>
    <mergeCell ref="NKE32:NKF32"/>
    <mergeCell ref="NJI32:NJJ32"/>
    <mergeCell ref="NJK32:NJL32"/>
    <mergeCell ref="NJM32:NJN32"/>
    <mergeCell ref="NJO32:NJP32"/>
    <mergeCell ref="NJQ32:NJR32"/>
    <mergeCell ref="NJS32:NJT32"/>
    <mergeCell ref="NIW32:NIX32"/>
    <mergeCell ref="NIY32:NIZ32"/>
    <mergeCell ref="NJA32:NJB32"/>
    <mergeCell ref="NJC32:NJD32"/>
    <mergeCell ref="NJE32:NJF32"/>
    <mergeCell ref="NJG32:NJH32"/>
    <mergeCell ref="NIK32:NIL32"/>
    <mergeCell ref="NIM32:NIN32"/>
    <mergeCell ref="NIO32:NIP32"/>
    <mergeCell ref="NIQ32:NIR32"/>
    <mergeCell ref="NIS32:NIT32"/>
    <mergeCell ref="NIU32:NIV32"/>
    <mergeCell ref="NNM32:NNN32"/>
    <mergeCell ref="NNO32:NNP32"/>
    <mergeCell ref="NNQ32:NNR32"/>
    <mergeCell ref="NNS32:NNT32"/>
    <mergeCell ref="NNU32:NNV32"/>
    <mergeCell ref="NNW32:NNX32"/>
    <mergeCell ref="NNA32:NNB32"/>
    <mergeCell ref="NNC32:NND32"/>
    <mergeCell ref="NNE32:NNF32"/>
    <mergeCell ref="NNG32:NNH32"/>
    <mergeCell ref="NNI32:NNJ32"/>
    <mergeCell ref="NNK32:NNL32"/>
    <mergeCell ref="NMO32:NMP32"/>
    <mergeCell ref="NMQ32:NMR32"/>
    <mergeCell ref="NMS32:NMT32"/>
    <mergeCell ref="NMU32:NMV32"/>
    <mergeCell ref="NMW32:NMX32"/>
    <mergeCell ref="NMY32:NMZ32"/>
    <mergeCell ref="NMC32:NMD32"/>
    <mergeCell ref="NME32:NMF32"/>
    <mergeCell ref="NMG32:NMH32"/>
    <mergeCell ref="NMI32:NMJ32"/>
    <mergeCell ref="NMK32:NML32"/>
    <mergeCell ref="NMM32:NMN32"/>
    <mergeCell ref="NLQ32:NLR32"/>
    <mergeCell ref="NLS32:NLT32"/>
    <mergeCell ref="NLU32:NLV32"/>
    <mergeCell ref="NLW32:NLX32"/>
    <mergeCell ref="NLY32:NLZ32"/>
    <mergeCell ref="NMA32:NMB32"/>
    <mergeCell ref="NLE32:NLF32"/>
    <mergeCell ref="NLG32:NLH32"/>
    <mergeCell ref="NLI32:NLJ32"/>
    <mergeCell ref="NLK32:NLL32"/>
    <mergeCell ref="NLM32:NLN32"/>
    <mergeCell ref="NLO32:NLP32"/>
    <mergeCell ref="NQG32:NQH32"/>
    <mergeCell ref="NQI32:NQJ32"/>
    <mergeCell ref="NQK32:NQL32"/>
    <mergeCell ref="NQM32:NQN32"/>
    <mergeCell ref="NQO32:NQP32"/>
    <mergeCell ref="NQQ32:NQR32"/>
    <mergeCell ref="NPU32:NPV32"/>
    <mergeCell ref="NPW32:NPX32"/>
    <mergeCell ref="NPY32:NPZ32"/>
    <mergeCell ref="NQA32:NQB32"/>
    <mergeCell ref="NQC32:NQD32"/>
    <mergeCell ref="NQE32:NQF32"/>
    <mergeCell ref="NPI32:NPJ32"/>
    <mergeCell ref="NPK32:NPL32"/>
    <mergeCell ref="NPM32:NPN32"/>
    <mergeCell ref="NPO32:NPP32"/>
    <mergeCell ref="NPQ32:NPR32"/>
    <mergeCell ref="NPS32:NPT32"/>
    <mergeCell ref="NOW32:NOX32"/>
    <mergeCell ref="NOY32:NOZ32"/>
    <mergeCell ref="NPA32:NPB32"/>
    <mergeCell ref="NPC32:NPD32"/>
    <mergeCell ref="NPE32:NPF32"/>
    <mergeCell ref="NPG32:NPH32"/>
    <mergeCell ref="NOK32:NOL32"/>
    <mergeCell ref="NOM32:NON32"/>
    <mergeCell ref="NOO32:NOP32"/>
    <mergeCell ref="NOQ32:NOR32"/>
    <mergeCell ref="NOS32:NOT32"/>
    <mergeCell ref="NOU32:NOV32"/>
    <mergeCell ref="NNY32:NNZ32"/>
    <mergeCell ref="NOA32:NOB32"/>
    <mergeCell ref="NOC32:NOD32"/>
    <mergeCell ref="NOE32:NOF32"/>
    <mergeCell ref="NOG32:NOH32"/>
    <mergeCell ref="NOI32:NOJ32"/>
    <mergeCell ref="NTA32:NTB32"/>
    <mergeCell ref="NTC32:NTD32"/>
    <mergeCell ref="NTE32:NTF32"/>
    <mergeCell ref="NTG32:NTH32"/>
    <mergeCell ref="NTI32:NTJ32"/>
    <mergeCell ref="NTK32:NTL32"/>
    <mergeCell ref="NSO32:NSP32"/>
    <mergeCell ref="NSQ32:NSR32"/>
    <mergeCell ref="NSS32:NST32"/>
    <mergeCell ref="NSU32:NSV32"/>
    <mergeCell ref="NSW32:NSX32"/>
    <mergeCell ref="NSY32:NSZ32"/>
    <mergeCell ref="NSC32:NSD32"/>
    <mergeCell ref="NSE32:NSF32"/>
    <mergeCell ref="NSG32:NSH32"/>
    <mergeCell ref="NSI32:NSJ32"/>
    <mergeCell ref="NSK32:NSL32"/>
    <mergeCell ref="NSM32:NSN32"/>
    <mergeCell ref="NRQ32:NRR32"/>
    <mergeCell ref="NRS32:NRT32"/>
    <mergeCell ref="NRU32:NRV32"/>
    <mergeCell ref="NRW32:NRX32"/>
    <mergeCell ref="NRY32:NRZ32"/>
    <mergeCell ref="NSA32:NSB32"/>
    <mergeCell ref="NRE32:NRF32"/>
    <mergeCell ref="NRG32:NRH32"/>
    <mergeCell ref="NRI32:NRJ32"/>
    <mergeCell ref="NRK32:NRL32"/>
    <mergeCell ref="NRM32:NRN32"/>
    <mergeCell ref="NRO32:NRP32"/>
    <mergeCell ref="NQS32:NQT32"/>
    <mergeCell ref="NQU32:NQV32"/>
    <mergeCell ref="NQW32:NQX32"/>
    <mergeCell ref="NQY32:NQZ32"/>
    <mergeCell ref="NRA32:NRB32"/>
    <mergeCell ref="NRC32:NRD32"/>
    <mergeCell ref="NVU32:NVV32"/>
    <mergeCell ref="NVW32:NVX32"/>
    <mergeCell ref="NVY32:NVZ32"/>
    <mergeCell ref="NWA32:NWB32"/>
    <mergeCell ref="NWC32:NWD32"/>
    <mergeCell ref="NWE32:NWF32"/>
    <mergeCell ref="NVI32:NVJ32"/>
    <mergeCell ref="NVK32:NVL32"/>
    <mergeCell ref="NVM32:NVN32"/>
    <mergeCell ref="NVO32:NVP32"/>
    <mergeCell ref="NVQ32:NVR32"/>
    <mergeCell ref="NVS32:NVT32"/>
    <mergeCell ref="NUW32:NUX32"/>
    <mergeCell ref="NUY32:NUZ32"/>
    <mergeCell ref="NVA32:NVB32"/>
    <mergeCell ref="NVC32:NVD32"/>
    <mergeCell ref="NVE32:NVF32"/>
    <mergeCell ref="NVG32:NVH32"/>
    <mergeCell ref="NUK32:NUL32"/>
    <mergeCell ref="NUM32:NUN32"/>
    <mergeCell ref="NUO32:NUP32"/>
    <mergeCell ref="NUQ32:NUR32"/>
    <mergeCell ref="NUS32:NUT32"/>
    <mergeCell ref="NUU32:NUV32"/>
    <mergeCell ref="NTY32:NTZ32"/>
    <mergeCell ref="NUA32:NUB32"/>
    <mergeCell ref="NUC32:NUD32"/>
    <mergeCell ref="NUE32:NUF32"/>
    <mergeCell ref="NUG32:NUH32"/>
    <mergeCell ref="NUI32:NUJ32"/>
    <mergeCell ref="NTM32:NTN32"/>
    <mergeCell ref="NTO32:NTP32"/>
    <mergeCell ref="NTQ32:NTR32"/>
    <mergeCell ref="NTS32:NTT32"/>
    <mergeCell ref="NTU32:NTV32"/>
    <mergeCell ref="NTW32:NTX32"/>
    <mergeCell ref="NYO32:NYP32"/>
    <mergeCell ref="NYQ32:NYR32"/>
    <mergeCell ref="NYS32:NYT32"/>
    <mergeCell ref="NYU32:NYV32"/>
    <mergeCell ref="NYW32:NYX32"/>
    <mergeCell ref="NYY32:NYZ32"/>
    <mergeCell ref="NYC32:NYD32"/>
    <mergeCell ref="NYE32:NYF32"/>
    <mergeCell ref="NYG32:NYH32"/>
    <mergeCell ref="NYI32:NYJ32"/>
    <mergeCell ref="NYK32:NYL32"/>
    <mergeCell ref="NYM32:NYN32"/>
    <mergeCell ref="NXQ32:NXR32"/>
    <mergeCell ref="NXS32:NXT32"/>
    <mergeCell ref="NXU32:NXV32"/>
    <mergeCell ref="NXW32:NXX32"/>
    <mergeCell ref="NXY32:NXZ32"/>
    <mergeCell ref="NYA32:NYB32"/>
    <mergeCell ref="NXE32:NXF32"/>
    <mergeCell ref="NXG32:NXH32"/>
    <mergeCell ref="NXI32:NXJ32"/>
    <mergeCell ref="NXK32:NXL32"/>
    <mergeCell ref="NXM32:NXN32"/>
    <mergeCell ref="NXO32:NXP32"/>
    <mergeCell ref="NWS32:NWT32"/>
    <mergeCell ref="NWU32:NWV32"/>
    <mergeCell ref="NWW32:NWX32"/>
    <mergeCell ref="NWY32:NWZ32"/>
    <mergeCell ref="NXA32:NXB32"/>
    <mergeCell ref="NXC32:NXD32"/>
    <mergeCell ref="NWG32:NWH32"/>
    <mergeCell ref="NWI32:NWJ32"/>
    <mergeCell ref="NWK32:NWL32"/>
    <mergeCell ref="NWM32:NWN32"/>
    <mergeCell ref="NWO32:NWP32"/>
    <mergeCell ref="NWQ32:NWR32"/>
    <mergeCell ref="OBI32:OBJ32"/>
    <mergeCell ref="OBK32:OBL32"/>
    <mergeCell ref="OBM32:OBN32"/>
    <mergeCell ref="OBO32:OBP32"/>
    <mergeCell ref="OBQ32:OBR32"/>
    <mergeCell ref="OBS32:OBT32"/>
    <mergeCell ref="OAW32:OAX32"/>
    <mergeCell ref="OAY32:OAZ32"/>
    <mergeCell ref="OBA32:OBB32"/>
    <mergeCell ref="OBC32:OBD32"/>
    <mergeCell ref="OBE32:OBF32"/>
    <mergeCell ref="OBG32:OBH32"/>
    <mergeCell ref="OAK32:OAL32"/>
    <mergeCell ref="OAM32:OAN32"/>
    <mergeCell ref="OAO32:OAP32"/>
    <mergeCell ref="OAQ32:OAR32"/>
    <mergeCell ref="OAS32:OAT32"/>
    <mergeCell ref="OAU32:OAV32"/>
    <mergeCell ref="NZY32:NZZ32"/>
    <mergeCell ref="OAA32:OAB32"/>
    <mergeCell ref="OAC32:OAD32"/>
    <mergeCell ref="OAE32:OAF32"/>
    <mergeCell ref="OAG32:OAH32"/>
    <mergeCell ref="OAI32:OAJ32"/>
    <mergeCell ref="NZM32:NZN32"/>
    <mergeCell ref="NZO32:NZP32"/>
    <mergeCell ref="NZQ32:NZR32"/>
    <mergeCell ref="NZS32:NZT32"/>
    <mergeCell ref="NZU32:NZV32"/>
    <mergeCell ref="NZW32:NZX32"/>
    <mergeCell ref="NZA32:NZB32"/>
    <mergeCell ref="NZC32:NZD32"/>
    <mergeCell ref="NZE32:NZF32"/>
    <mergeCell ref="NZG32:NZH32"/>
    <mergeCell ref="NZI32:NZJ32"/>
    <mergeCell ref="NZK32:NZL32"/>
    <mergeCell ref="OEC32:OED32"/>
    <mergeCell ref="OEE32:OEF32"/>
    <mergeCell ref="OEG32:OEH32"/>
    <mergeCell ref="OEI32:OEJ32"/>
    <mergeCell ref="OEK32:OEL32"/>
    <mergeCell ref="OEM32:OEN32"/>
    <mergeCell ref="ODQ32:ODR32"/>
    <mergeCell ref="ODS32:ODT32"/>
    <mergeCell ref="ODU32:ODV32"/>
    <mergeCell ref="ODW32:ODX32"/>
    <mergeCell ref="ODY32:ODZ32"/>
    <mergeCell ref="OEA32:OEB32"/>
    <mergeCell ref="ODE32:ODF32"/>
    <mergeCell ref="ODG32:ODH32"/>
    <mergeCell ref="ODI32:ODJ32"/>
    <mergeCell ref="ODK32:ODL32"/>
    <mergeCell ref="ODM32:ODN32"/>
    <mergeCell ref="ODO32:ODP32"/>
    <mergeCell ref="OCS32:OCT32"/>
    <mergeCell ref="OCU32:OCV32"/>
    <mergeCell ref="OCW32:OCX32"/>
    <mergeCell ref="OCY32:OCZ32"/>
    <mergeCell ref="ODA32:ODB32"/>
    <mergeCell ref="ODC32:ODD32"/>
    <mergeCell ref="OCG32:OCH32"/>
    <mergeCell ref="OCI32:OCJ32"/>
    <mergeCell ref="OCK32:OCL32"/>
    <mergeCell ref="OCM32:OCN32"/>
    <mergeCell ref="OCO32:OCP32"/>
    <mergeCell ref="OCQ32:OCR32"/>
    <mergeCell ref="OBU32:OBV32"/>
    <mergeCell ref="OBW32:OBX32"/>
    <mergeCell ref="OBY32:OBZ32"/>
    <mergeCell ref="OCA32:OCB32"/>
    <mergeCell ref="OCC32:OCD32"/>
    <mergeCell ref="OCE32:OCF32"/>
    <mergeCell ref="OGW32:OGX32"/>
    <mergeCell ref="OGY32:OGZ32"/>
    <mergeCell ref="OHA32:OHB32"/>
    <mergeCell ref="OHC32:OHD32"/>
    <mergeCell ref="OHE32:OHF32"/>
    <mergeCell ref="OHG32:OHH32"/>
    <mergeCell ref="OGK32:OGL32"/>
    <mergeCell ref="OGM32:OGN32"/>
    <mergeCell ref="OGO32:OGP32"/>
    <mergeCell ref="OGQ32:OGR32"/>
    <mergeCell ref="OGS32:OGT32"/>
    <mergeCell ref="OGU32:OGV32"/>
    <mergeCell ref="OFY32:OFZ32"/>
    <mergeCell ref="OGA32:OGB32"/>
    <mergeCell ref="OGC32:OGD32"/>
    <mergeCell ref="OGE32:OGF32"/>
    <mergeCell ref="OGG32:OGH32"/>
    <mergeCell ref="OGI32:OGJ32"/>
    <mergeCell ref="OFM32:OFN32"/>
    <mergeCell ref="OFO32:OFP32"/>
    <mergeCell ref="OFQ32:OFR32"/>
    <mergeCell ref="OFS32:OFT32"/>
    <mergeCell ref="OFU32:OFV32"/>
    <mergeCell ref="OFW32:OFX32"/>
    <mergeCell ref="OFA32:OFB32"/>
    <mergeCell ref="OFC32:OFD32"/>
    <mergeCell ref="OFE32:OFF32"/>
    <mergeCell ref="OFG32:OFH32"/>
    <mergeCell ref="OFI32:OFJ32"/>
    <mergeCell ref="OFK32:OFL32"/>
    <mergeCell ref="OEO32:OEP32"/>
    <mergeCell ref="OEQ32:OER32"/>
    <mergeCell ref="OES32:OET32"/>
    <mergeCell ref="OEU32:OEV32"/>
    <mergeCell ref="OEW32:OEX32"/>
    <mergeCell ref="OEY32:OEZ32"/>
    <mergeCell ref="OJQ32:OJR32"/>
    <mergeCell ref="OJS32:OJT32"/>
    <mergeCell ref="OJU32:OJV32"/>
    <mergeCell ref="OJW32:OJX32"/>
    <mergeCell ref="OJY32:OJZ32"/>
    <mergeCell ref="OKA32:OKB32"/>
    <mergeCell ref="OJE32:OJF32"/>
    <mergeCell ref="OJG32:OJH32"/>
    <mergeCell ref="OJI32:OJJ32"/>
    <mergeCell ref="OJK32:OJL32"/>
    <mergeCell ref="OJM32:OJN32"/>
    <mergeCell ref="OJO32:OJP32"/>
    <mergeCell ref="OIS32:OIT32"/>
    <mergeCell ref="OIU32:OIV32"/>
    <mergeCell ref="OIW32:OIX32"/>
    <mergeCell ref="OIY32:OIZ32"/>
    <mergeCell ref="OJA32:OJB32"/>
    <mergeCell ref="OJC32:OJD32"/>
    <mergeCell ref="OIG32:OIH32"/>
    <mergeCell ref="OII32:OIJ32"/>
    <mergeCell ref="OIK32:OIL32"/>
    <mergeCell ref="OIM32:OIN32"/>
    <mergeCell ref="OIO32:OIP32"/>
    <mergeCell ref="OIQ32:OIR32"/>
    <mergeCell ref="OHU32:OHV32"/>
    <mergeCell ref="OHW32:OHX32"/>
    <mergeCell ref="OHY32:OHZ32"/>
    <mergeCell ref="OIA32:OIB32"/>
    <mergeCell ref="OIC32:OID32"/>
    <mergeCell ref="OIE32:OIF32"/>
    <mergeCell ref="OHI32:OHJ32"/>
    <mergeCell ref="OHK32:OHL32"/>
    <mergeCell ref="OHM32:OHN32"/>
    <mergeCell ref="OHO32:OHP32"/>
    <mergeCell ref="OHQ32:OHR32"/>
    <mergeCell ref="OHS32:OHT32"/>
    <mergeCell ref="OMK32:OML32"/>
    <mergeCell ref="OMM32:OMN32"/>
    <mergeCell ref="OMO32:OMP32"/>
    <mergeCell ref="OMQ32:OMR32"/>
    <mergeCell ref="OMS32:OMT32"/>
    <mergeCell ref="OMU32:OMV32"/>
    <mergeCell ref="OLY32:OLZ32"/>
    <mergeCell ref="OMA32:OMB32"/>
    <mergeCell ref="OMC32:OMD32"/>
    <mergeCell ref="OME32:OMF32"/>
    <mergeCell ref="OMG32:OMH32"/>
    <mergeCell ref="OMI32:OMJ32"/>
    <mergeCell ref="OLM32:OLN32"/>
    <mergeCell ref="OLO32:OLP32"/>
    <mergeCell ref="OLQ32:OLR32"/>
    <mergeCell ref="OLS32:OLT32"/>
    <mergeCell ref="OLU32:OLV32"/>
    <mergeCell ref="OLW32:OLX32"/>
    <mergeCell ref="OLA32:OLB32"/>
    <mergeCell ref="OLC32:OLD32"/>
    <mergeCell ref="OLE32:OLF32"/>
    <mergeCell ref="OLG32:OLH32"/>
    <mergeCell ref="OLI32:OLJ32"/>
    <mergeCell ref="OLK32:OLL32"/>
    <mergeCell ref="OKO32:OKP32"/>
    <mergeCell ref="OKQ32:OKR32"/>
    <mergeCell ref="OKS32:OKT32"/>
    <mergeCell ref="OKU32:OKV32"/>
    <mergeCell ref="OKW32:OKX32"/>
    <mergeCell ref="OKY32:OKZ32"/>
    <mergeCell ref="OKC32:OKD32"/>
    <mergeCell ref="OKE32:OKF32"/>
    <mergeCell ref="OKG32:OKH32"/>
    <mergeCell ref="OKI32:OKJ32"/>
    <mergeCell ref="OKK32:OKL32"/>
    <mergeCell ref="OKM32:OKN32"/>
    <mergeCell ref="OPE32:OPF32"/>
    <mergeCell ref="OPG32:OPH32"/>
    <mergeCell ref="OPI32:OPJ32"/>
    <mergeCell ref="OPK32:OPL32"/>
    <mergeCell ref="OPM32:OPN32"/>
    <mergeCell ref="OPO32:OPP32"/>
    <mergeCell ref="OOS32:OOT32"/>
    <mergeCell ref="OOU32:OOV32"/>
    <mergeCell ref="OOW32:OOX32"/>
    <mergeCell ref="OOY32:OOZ32"/>
    <mergeCell ref="OPA32:OPB32"/>
    <mergeCell ref="OPC32:OPD32"/>
    <mergeCell ref="OOG32:OOH32"/>
    <mergeCell ref="OOI32:OOJ32"/>
    <mergeCell ref="OOK32:OOL32"/>
    <mergeCell ref="OOM32:OON32"/>
    <mergeCell ref="OOO32:OOP32"/>
    <mergeCell ref="OOQ32:OOR32"/>
    <mergeCell ref="ONU32:ONV32"/>
    <mergeCell ref="ONW32:ONX32"/>
    <mergeCell ref="ONY32:ONZ32"/>
    <mergeCell ref="OOA32:OOB32"/>
    <mergeCell ref="OOC32:OOD32"/>
    <mergeCell ref="OOE32:OOF32"/>
    <mergeCell ref="ONI32:ONJ32"/>
    <mergeCell ref="ONK32:ONL32"/>
    <mergeCell ref="ONM32:ONN32"/>
    <mergeCell ref="ONO32:ONP32"/>
    <mergeCell ref="ONQ32:ONR32"/>
    <mergeCell ref="ONS32:ONT32"/>
    <mergeCell ref="OMW32:OMX32"/>
    <mergeCell ref="OMY32:OMZ32"/>
    <mergeCell ref="ONA32:ONB32"/>
    <mergeCell ref="ONC32:OND32"/>
    <mergeCell ref="ONE32:ONF32"/>
    <mergeCell ref="ONG32:ONH32"/>
    <mergeCell ref="ORY32:ORZ32"/>
    <mergeCell ref="OSA32:OSB32"/>
    <mergeCell ref="OSC32:OSD32"/>
    <mergeCell ref="OSE32:OSF32"/>
    <mergeCell ref="OSG32:OSH32"/>
    <mergeCell ref="OSI32:OSJ32"/>
    <mergeCell ref="ORM32:ORN32"/>
    <mergeCell ref="ORO32:ORP32"/>
    <mergeCell ref="ORQ32:ORR32"/>
    <mergeCell ref="ORS32:ORT32"/>
    <mergeCell ref="ORU32:ORV32"/>
    <mergeCell ref="ORW32:ORX32"/>
    <mergeCell ref="ORA32:ORB32"/>
    <mergeCell ref="ORC32:ORD32"/>
    <mergeCell ref="ORE32:ORF32"/>
    <mergeCell ref="ORG32:ORH32"/>
    <mergeCell ref="ORI32:ORJ32"/>
    <mergeCell ref="ORK32:ORL32"/>
    <mergeCell ref="OQO32:OQP32"/>
    <mergeCell ref="OQQ32:OQR32"/>
    <mergeCell ref="OQS32:OQT32"/>
    <mergeCell ref="OQU32:OQV32"/>
    <mergeCell ref="OQW32:OQX32"/>
    <mergeCell ref="OQY32:OQZ32"/>
    <mergeCell ref="OQC32:OQD32"/>
    <mergeCell ref="OQE32:OQF32"/>
    <mergeCell ref="OQG32:OQH32"/>
    <mergeCell ref="OQI32:OQJ32"/>
    <mergeCell ref="OQK32:OQL32"/>
    <mergeCell ref="OQM32:OQN32"/>
    <mergeCell ref="OPQ32:OPR32"/>
    <mergeCell ref="OPS32:OPT32"/>
    <mergeCell ref="OPU32:OPV32"/>
    <mergeCell ref="OPW32:OPX32"/>
    <mergeCell ref="OPY32:OPZ32"/>
    <mergeCell ref="OQA32:OQB32"/>
    <mergeCell ref="OUS32:OUT32"/>
    <mergeCell ref="OUU32:OUV32"/>
    <mergeCell ref="OUW32:OUX32"/>
    <mergeCell ref="OUY32:OUZ32"/>
    <mergeCell ref="OVA32:OVB32"/>
    <mergeCell ref="OVC32:OVD32"/>
    <mergeCell ref="OUG32:OUH32"/>
    <mergeCell ref="OUI32:OUJ32"/>
    <mergeCell ref="OUK32:OUL32"/>
    <mergeCell ref="OUM32:OUN32"/>
    <mergeCell ref="OUO32:OUP32"/>
    <mergeCell ref="OUQ32:OUR32"/>
    <mergeCell ref="OTU32:OTV32"/>
    <mergeCell ref="OTW32:OTX32"/>
    <mergeCell ref="OTY32:OTZ32"/>
    <mergeCell ref="OUA32:OUB32"/>
    <mergeCell ref="OUC32:OUD32"/>
    <mergeCell ref="OUE32:OUF32"/>
    <mergeCell ref="OTI32:OTJ32"/>
    <mergeCell ref="OTK32:OTL32"/>
    <mergeCell ref="OTM32:OTN32"/>
    <mergeCell ref="OTO32:OTP32"/>
    <mergeCell ref="OTQ32:OTR32"/>
    <mergeCell ref="OTS32:OTT32"/>
    <mergeCell ref="OSW32:OSX32"/>
    <mergeCell ref="OSY32:OSZ32"/>
    <mergeCell ref="OTA32:OTB32"/>
    <mergeCell ref="OTC32:OTD32"/>
    <mergeCell ref="OTE32:OTF32"/>
    <mergeCell ref="OTG32:OTH32"/>
    <mergeCell ref="OSK32:OSL32"/>
    <mergeCell ref="OSM32:OSN32"/>
    <mergeCell ref="OSO32:OSP32"/>
    <mergeCell ref="OSQ32:OSR32"/>
    <mergeCell ref="OSS32:OST32"/>
    <mergeCell ref="OSU32:OSV32"/>
    <mergeCell ref="OXM32:OXN32"/>
    <mergeCell ref="OXO32:OXP32"/>
    <mergeCell ref="OXQ32:OXR32"/>
    <mergeCell ref="OXS32:OXT32"/>
    <mergeCell ref="OXU32:OXV32"/>
    <mergeCell ref="OXW32:OXX32"/>
    <mergeCell ref="OXA32:OXB32"/>
    <mergeCell ref="OXC32:OXD32"/>
    <mergeCell ref="OXE32:OXF32"/>
    <mergeCell ref="OXG32:OXH32"/>
    <mergeCell ref="OXI32:OXJ32"/>
    <mergeCell ref="OXK32:OXL32"/>
    <mergeCell ref="OWO32:OWP32"/>
    <mergeCell ref="OWQ32:OWR32"/>
    <mergeCell ref="OWS32:OWT32"/>
    <mergeCell ref="OWU32:OWV32"/>
    <mergeCell ref="OWW32:OWX32"/>
    <mergeCell ref="OWY32:OWZ32"/>
    <mergeCell ref="OWC32:OWD32"/>
    <mergeCell ref="OWE32:OWF32"/>
    <mergeCell ref="OWG32:OWH32"/>
    <mergeCell ref="OWI32:OWJ32"/>
    <mergeCell ref="OWK32:OWL32"/>
    <mergeCell ref="OWM32:OWN32"/>
    <mergeCell ref="OVQ32:OVR32"/>
    <mergeCell ref="OVS32:OVT32"/>
    <mergeCell ref="OVU32:OVV32"/>
    <mergeCell ref="OVW32:OVX32"/>
    <mergeCell ref="OVY32:OVZ32"/>
    <mergeCell ref="OWA32:OWB32"/>
    <mergeCell ref="OVE32:OVF32"/>
    <mergeCell ref="OVG32:OVH32"/>
    <mergeCell ref="OVI32:OVJ32"/>
    <mergeCell ref="OVK32:OVL32"/>
    <mergeCell ref="OVM32:OVN32"/>
    <mergeCell ref="OVO32:OVP32"/>
    <mergeCell ref="PAG32:PAH32"/>
    <mergeCell ref="PAI32:PAJ32"/>
    <mergeCell ref="PAK32:PAL32"/>
    <mergeCell ref="PAM32:PAN32"/>
    <mergeCell ref="PAO32:PAP32"/>
    <mergeCell ref="PAQ32:PAR32"/>
    <mergeCell ref="OZU32:OZV32"/>
    <mergeCell ref="OZW32:OZX32"/>
    <mergeCell ref="OZY32:OZZ32"/>
    <mergeCell ref="PAA32:PAB32"/>
    <mergeCell ref="PAC32:PAD32"/>
    <mergeCell ref="PAE32:PAF32"/>
    <mergeCell ref="OZI32:OZJ32"/>
    <mergeCell ref="OZK32:OZL32"/>
    <mergeCell ref="OZM32:OZN32"/>
    <mergeCell ref="OZO32:OZP32"/>
    <mergeCell ref="OZQ32:OZR32"/>
    <mergeCell ref="OZS32:OZT32"/>
    <mergeCell ref="OYW32:OYX32"/>
    <mergeCell ref="OYY32:OYZ32"/>
    <mergeCell ref="OZA32:OZB32"/>
    <mergeCell ref="OZC32:OZD32"/>
    <mergeCell ref="OZE32:OZF32"/>
    <mergeCell ref="OZG32:OZH32"/>
    <mergeCell ref="OYK32:OYL32"/>
    <mergeCell ref="OYM32:OYN32"/>
    <mergeCell ref="OYO32:OYP32"/>
    <mergeCell ref="OYQ32:OYR32"/>
    <mergeCell ref="OYS32:OYT32"/>
    <mergeCell ref="OYU32:OYV32"/>
    <mergeCell ref="OXY32:OXZ32"/>
    <mergeCell ref="OYA32:OYB32"/>
    <mergeCell ref="OYC32:OYD32"/>
    <mergeCell ref="OYE32:OYF32"/>
    <mergeCell ref="OYG32:OYH32"/>
    <mergeCell ref="OYI32:OYJ32"/>
    <mergeCell ref="PDA32:PDB32"/>
    <mergeCell ref="PDC32:PDD32"/>
    <mergeCell ref="PDE32:PDF32"/>
    <mergeCell ref="PDG32:PDH32"/>
    <mergeCell ref="PDI32:PDJ32"/>
    <mergeCell ref="PDK32:PDL32"/>
    <mergeCell ref="PCO32:PCP32"/>
    <mergeCell ref="PCQ32:PCR32"/>
    <mergeCell ref="PCS32:PCT32"/>
    <mergeCell ref="PCU32:PCV32"/>
    <mergeCell ref="PCW32:PCX32"/>
    <mergeCell ref="PCY32:PCZ32"/>
    <mergeCell ref="PCC32:PCD32"/>
    <mergeCell ref="PCE32:PCF32"/>
    <mergeCell ref="PCG32:PCH32"/>
    <mergeCell ref="PCI32:PCJ32"/>
    <mergeCell ref="PCK32:PCL32"/>
    <mergeCell ref="PCM32:PCN32"/>
    <mergeCell ref="PBQ32:PBR32"/>
    <mergeCell ref="PBS32:PBT32"/>
    <mergeCell ref="PBU32:PBV32"/>
    <mergeCell ref="PBW32:PBX32"/>
    <mergeCell ref="PBY32:PBZ32"/>
    <mergeCell ref="PCA32:PCB32"/>
    <mergeCell ref="PBE32:PBF32"/>
    <mergeCell ref="PBG32:PBH32"/>
    <mergeCell ref="PBI32:PBJ32"/>
    <mergeCell ref="PBK32:PBL32"/>
    <mergeCell ref="PBM32:PBN32"/>
    <mergeCell ref="PBO32:PBP32"/>
    <mergeCell ref="PAS32:PAT32"/>
    <mergeCell ref="PAU32:PAV32"/>
    <mergeCell ref="PAW32:PAX32"/>
    <mergeCell ref="PAY32:PAZ32"/>
    <mergeCell ref="PBA32:PBB32"/>
    <mergeCell ref="PBC32:PBD32"/>
    <mergeCell ref="PFU32:PFV32"/>
    <mergeCell ref="PFW32:PFX32"/>
    <mergeCell ref="PFY32:PFZ32"/>
    <mergeCell ref="PGA32:PGB32"/>
    <mergeCell ref="PGC32:PGD32"/>
    <mergeCell ref="PGE32:PGF32"/>
    <mergeCell ref="PFI32:PFJ32"/>
    <mergeCell ref="PFK32:PFL32"/>
    <mergeCell ref="PFM32:PFN32"/>
    <mergeCell ref="PFO32:PFP32"/>
    <mergeCell ref="PFQ32:PFR32"/>
    <mergeCell ref="PFS32:PFT32"/>
    <mergeCell ref="PEW32:PEX32"/>
    <mergeCell ref="PEY32:PEZ32"/>
    <mergeCell ref="PFA32:PFB32"/>
    <mergeCell ref="PFC32:PFD32"/>
    <mergeCell ref="PFE32:PFF32"/>
    <mergeCell ref="PFG32:PFH32"/>
    <mergeCell ref="PEK32:PEL32"/>
    <mergeCell ref="PEM32:PEN32"/>
    <mergeCell ref="PEO32:PEP32"/>
    <mergeCell ref="PEQ32:PER32"/>
    <mergeCell ref="PES32:PET32"/>
    <mergeCell ref="PEU32:PEV32"/>
    <mergeCell ref="PDY32:PDZ32"/>
    <mergeCell ref="PEA32:PEB32"/>
    <mergeCell ref="PEC32:PED32"/>
    <mergeCell ref="PEE32:PEF32"/>
    <mergeCell ref="PEG32:PEH32"/>
    <mergeCell ref="PEI32:PEJ32"/>
    <mergeCell ref="PDM32:PDN32"/>
    <mergeCell ref="PDO32:PDP32"/>
    <mergeCell ref="PDQ32:PDR32"/>
    <mergeCell ref="PDS32:PDT32"/>
    <mergeCell ref="PDU32:PDV32"/>
    <mergeCell ref="PDW32:PDX32"/>
    <mergeCell ref="PIO32:PIP32"/>
    <mergeCell ref="PIQ32:PIR32"/>
    <mergeCell ref="PIS32:PIT32"/>
    <mergeCell ref="PIU32:PIV32"/>
    <mergeCell ref="PIW32:PIX32"/>
    <mergeCell ref="PIY32:PIZ32"/>
    <mergeCell ref="PIC32:PID32"/>
    <mergeCell ref="PIE32:PIF32"/>
    <mergeCell ref="PIG32:PIH32"/>
    <mergeCell ref="PII32:PIJ32"/>
    <mergeCell ref="PIK32:PIL32"/>
    <mergeCell ref="PIM32:PIN32"/>
    <mergeCell ref="PHQ32:PHR32"/>
    <mergeCell ref="PHS32:PHT32"/>
    <mergeCell ref="PHU32:PHV32"/>
    <mergeCell ref="PHW32:PHX32"/>
    <mergeCell ref="PHY32:PHZ32"/>
    <mergeCell ref="PIA32:PIB32"/>
    <mergeCell ref="PHE32:PHF32"/>
    <mergeCell ref="PHG32:PHH32"/>
    <mergeCell ref="PHI32:PHJ32"/>
    <mergeCell ref="PHK32:PHL32"/>
    <mergeCell ref="PHM32:PHN32"/>
    <mergeCell ref="PHO32:PHP32"/>
    <mergeCell ref="PGS32:PGT32"/>
    <mergeCell ref="PGU32:PGV32"/>
    <mergeCell ref="PGW32:PGX32"/>
    <mergeCell ref="PGY32:PGZ32"/>
    <mergeCell ref="PHA32:PHB32"/>
    <mergeCell ref="PHC32:PHD32"/>
    <mergeCell ref="PGG32:PGH32"/>
    <mergeCell ref="PGI32:PGJ32"/>
    <mergeCell ref="PGK32:PGL32"/>
    <mergeCell ref="PGM32:PGN32"/>
    <mergeCell ref="PGO32:PGP32"/>
    <mergeCell ref="PGQ32:PGR32"/>
    <mergeCell ref="PLI32:PLJ32"/>
    <mergeCell ref="PLK32:PLL32"/>
    <mergeCell ref="PLM32:PLN32"/>
    <mergeCell ref="PLO32:PLP32"/>
    <mergeCell ref="PLQ32:PLR32"/>
    <mergeCell ref="PLS32:PLT32"/>
    <mergeCell ref="PKW32:PKX32"/>
    <mergeCell ref="PKY32:PKZ32"/>
    <mergeCell ref="PLA32:PLB32"/>
    <mergeCell ref="PLC32:PLD32"/>
    <mergeCell ref="PLE32:PLF32"/>
    <mergeCell ref="PLG32:PLH32"/>
    <mergeCell ref="PKK32:PKL32"/>
    <mergeCell ref="PKM32:PKN32"/>
    <mergeCell ref="PKO32:PKP32"/>
    <mergeCell ref="PKQ32:PKR32"/>
    <mergeCell ref="PKS32:PKT32"/>
    <mergeCell ref="PKU32:PKV32"/>
    <mergeCell ref="PJY32:PJZ32"/>
    <mergeCell ref="PKA32:PKB32"/>
    <mergeCell ref="PKC32:PKD32"/>
    <mergeCell ref="PKE32:PKF32"/>
    <mergeCell ref="PKG32:PKH32"/>
    <mergeCell ref="PKI32:PKJ32"/>
    <mergeCell ref="PJM32:PJN32"/>
    <mergeCell ref="PJO32:PJP32"/>
    <mergeCell ref="PJQ32:PJR32"/>
    <mergeCell ref="PJS32:PJT32"/>
    <mergeCell ref="PJU32:PJV32"/>
    <mergeCell ref="PJW32:PJX32"/>
    <mergeCell ref="PJA32:PJB32"/>
    <mergeCell ref="PJC32:PJD32"/>
    <mergeCell ref="PJE32:PJF32"/>
    <mergeCell ref="PJG32:PJH32"/>
    <mergeCell ref="PJI32:PJJ32"/>
    <mergeCell ref="PJK32:PJL32"/>
    <mergeCell ref="POC32:POD32"/>
    <mergeCell ref="POE32:POF32"/>
    <mergeCell ref="POG32:POH32"/>
    <mergeCell ref="POI32:POJ32"/>
    <mergeCell ref="POK32:POL32"/>
    <mergeCell ref="POM32:PON32"/>
    <mergeCell ref="PNQ32:PNR32"/>
    <mergeCell ref="PNS32:PNT32"/>
    <mergeCell ref="PNU32:PNV32"/>
    <mergeCell ref="PNW32:PNX32"/>
    <mergeCell ref="PNY32:PNZ32"/>
    <mergeCell ref="POA32:POB32"/>
    <mergeCell ref="PNE32:PNF32"/>
    <mergeCell ref="PNG32:PNH32"/>
    <mergeCell ref="PNI32:PNJ32"/>
    <mergeCell ref="PNK32:PNL32"/>
    <mergeCell ref="PNM32:PNN32"/>
    <mergeCell ref="PNO32:PNP32"/>
    <mergeCell ref="PMS32:PMT32"/>
    <mergeCell ref="PMU32:PMV32"/>
    <mergeCell ref="PMW32:PMX32"/>
    <mergeCell ref="PMY32:PMZ32"/>
    <mergeCell ref="PNA32:PNB32"/>
    <mergeCell ref="PNC32:PND32"/>
    <mergeCell ref="PMG32:PMH32"/>
    <mergeCell ref="PMI32:PMJ32"/>
    <mergeCell ref="PMK32:PML32"/>
    <mergeCell ref="PMM32:PMN32"/>
    <mergeCell ref="PMO32:PMP32"/>
    <mergeCell ref="PMQ32:PMR32"/>
    <mergeCell ref="PLU32:PLV32"/>
    <mergeCell ref="PLW32:PLX32"/>
    <mergeCell ref="PLY32:PLZ32"/>
    <mergeCell ref="PMA32:PMB32"/>
    <mergeCell ref="PMC32:PMD32"/>
    <mergeCell ref="PME32:PMF32"/>
    <mergeCell ref="PQW32:PQX32"/>
    <mergeCell ref="PQY32:PQZ32"/>
    <mergeCell ref="PRA32:PRB32"/>
    <mergeCell ref="PRC32:PRD32"/>
    <mergeCell ref="PRE32:PRF32"/>
    <mergeCell ref="PRG32:PRH32"/>
    <mergeCell ref="PQK32:PQL32"/>
    <mergeCell ref="PQM32:PQN32"/>
    <mergeCell ref="PQO32:PQP32"/>
    <mergeCell ref="PQQ32:PQR32"/>
    <mergeCell ref="PQS32:PQT32"/>
    <mergeCell ref="PQU32:PQV32"/>
    <mergeCell ref="PPY32:PPZ32"/>
    <mergeCell ref="PQA32:PQB32"/>
    <mergeCell ref="PQC32:PQD32"/>
    <mergeCell ref="PQE32:PQF32"/>
    <mergeCell ref="PQG32:PQH32"/>
    <mergeCell ref="PQI32:PQJ32"/>
    <mergeCell ref="PPM32:PPN32"/>
    <mergeCell ref="PPO32:PPP32"/>
    <mergeCell ref="PPQ32:PPR32"/>
    <mergeCell ref="PPS32:PPT32"/>
    <mergeCell ref="PPU32:PPV32"/>
    <mergeCell ref="PPW32:PPX32"/>
    <mergeCell ref="PPA32:PPB32"/>
    <mergeCell ref="PPC32:PPD32"/>
    <mergeCell ref="PPE32:PPF32"/>
    <mergeCell ref="PPG32:PPH32"/>
    <mergeCell ref="PPI32:PPJ32"/>
    <mergeCell ref="PPK32:PPL32"/>
    <mergeCell ref="POO32:POP32"/>
    <mergeCell ref="POQ32:POR32"/>
    <mergeCell ref="POS32:POT32"/>
    <mergeCell ref="POU32:POV32"/>
    <mergeCell ref="POW32:POX32"/>
    <mergeCell ref="POY32:POZ32"/>
    <mergeCell ref="PTQ32:PTR32"/>
    <mergeCell ref="PTS32:PTT32"/>
    <mergeCell ref="PTU32:PTV32"/>
    <mergeCell ref="PTW32:PTX32"/>
    <mergeCell ref="PTY32:PTZ32"/>
    <mergeCell ref="PUA32:PUB32"/>
    <mergeCell ref="PTE32:PTF32"/>
    <mergeCell ref="PTG32:PTH32"/>
    <mergeCell ref="PTI32:PTJ32"/>
    <mergeCell ref="PTK32:PTL32"/>
    <mergeCell ref="PTM32:PTN32"/>
    <mergeCell ref="PTO32:PTP32"/>
    <mergeCell ref="PSS32:PST32"/>
    <mergeCell ref="PSU32:PSV32"/>
    <mergeCell ref="PSW32:PSX32"/>
    <mergeCell ref="PSY32:PSZ32"/>
    <mergeCell ref="PTA32:PTB32"/>
    <mergeCell ref="PTC32:PTD32"/>
    <mergeCell ref="PSG32:PSH32"/>
    <mergeCell ref="PSI32:PSJ32"/>
    <mergeCell ref="PSK32:PSL32"/>
    <mergeCell ref="PSM32:PSN32"/>
    <mergeCell ref="PSO32:PSP32"/>
    <mergeCell ref="PSQ32:PSR32"/>
    <mergeCell ref="PRU32:PRV32"/>
    <mergeCell ref="PRW32:PRX32"/>
    <mergeCell ref="PRY32:PRZ32"/>
    <mergeCell ref="PSA32:PSB32"/>
    <mergeCell ref="PSC32:PSD32"/>
    <mergeCell ref="PSE32:PSF32"/>
    <mergeCell ref="PRI32:PRJ32"/>
    <mergeCell ref="PRK32:PRL32"/>
    <mergeCell ref="PRM32:PRN32"/>
    <mergeCell ref="PRO32:PRP32"/>
    <mergeCell ref="PRQ32:PRR32"/>
    <mergeCell ref="PRS32:PRT32"/>
    <mergeCell ref="PWK32:PWL32"/>
    <mergeCell ref="PWM32:PWN32"/>
    <mergeCell ref="PWO32:PWP32"/>
    <mergeCell ref="PWQ32:PWR32"/>
    <mergeCell ref="PWS32:PWT32"/>
    <mergeCell ref="PWU32:PWV32"/>
    <mergeCell ref="PVY32:PVZ32"/>
    <mergeCell ref="PWA32:PWB32"/>
    <mergeCell ref="PWC32:PWD32"/>
    <mergeCell ref="PWE32:PWF32"/>
    <mergeCell ref="PWG32:PWH32"/>
    <mergeCell ref="PWI32:PWJ32"/>
    <mergeCell ref="PVM32:PVN32"/>
    <mergeCell ref="PVO32:PVP32"/>
    <mergeCell ref="PVQ32:PVR32"/>
    <mergeCell ref="PVS32:PVT32"/>
    <mergeCell ref="PVU32:PVV32"/>
    <mergeCell ref="PVW32:PVX32"/>
    <mergeCell ref="PVA32:PVB32"/>
    <mergeCell ref="PVC32:PVD32"/>
    <mergeCell ref="PVE32:PVF32"/>
    <mergeCell ref="PVG32:PVH32"/>
    <mergeCell ref="PVI32:PVJ32"/>
    <mergeCell ref="PVK32:PVL32"/>
    <mergeCell ref="PUO32:PUP32"/>
    <mergeCell ref="PUQ32:PUR32"/>
    <mergeCell ref="PUS32:PUT32"/>
    <mergeCell ref="PUU32:PUV32"/>
    <mergeCell ref="PUW32:PUX32"/>
    <mergeCell ref="PUY32:PUZ32"/>
    <mergeCell ref="PUC32:PUD32"/>
    <mergeCell ref="PUE32:PUF32"/>
    <mergeCell ref="PUG32:PUH32"/>
    <mergeCell ref="PUI32:PUJ32"/>
    <mergeCell ref="PUK32:PUL32"/>
    <mergeCell ref="PUM32:PUN32"/>
    <mergeCell ref="PZE32:PZF32"/>
    <mergeCell ref="PZG32:PZH32"/>
    <mergeCell ref="PZI32:PZJ32"/>
    <mergeCell ref="PZK32:PZL32"/>
    <mergeCell ref="PZM32:PZN32"/>
    <mergeCell ref="PZO32:PZP32"/>
    <mergeCell ref="PYS32:PYT32"/>
    <mergeCell ref="PYU32:PYV32"/>
    <mergeCell ref="PYW32:PYX32"/>
    <mergeCell ref="PYY32:PYZ32"/>
    <mergeCell ref="PZA32:PZB32"/>
    <mergeCell ref="PZC32:PZD32"/>
    <mergeCell ref="PYG32:PYH32"/>
    <mergeCell ref="PYI32:PYJ32"/>
    <mergeCell ref="PYK32:PYL32"/>
    <mergeCell ref="PYM32:PYN32"/>
    <mergeCell ref="PYO32:PYP32"/>
    <mergeCell ref="PYQ32:PYR32"/>
    <mergeCell ref="PXU32:PXV32"/>
    <mergeCell ref="PXW32:PXX32"/>
    <mergeCell ref="PXY32:PXZ32"/>
    <mergeCell ref="PYA32:PYB32"/>
    <mergeCell ref="PYC32:PYD32"/>
    <mergeCell ref="PYE32:PYF32"/>
    <mergeCell ref="PXI32:PXJ32"/>
    <mergeCell ref="PXK32:PXL32"/>
    <mergeCell ref="PXM32:PXN32"/>
    <mergeCell ref="PXO32:PXP32"/>
    <mergeCell ref="PXQ32:PXR32"/>
    <mergeCell ref="PXS32:PXT32"/>
    <mergeCell ref="PWW32:PWX32"/>
    <mergeCell ref="PWY32:PWZ32"/>
    <mergeCell ref="PXA32:PXB32"/>
    <mergeCell ref="PXC32:PXD32"/>
    <mergeCell ref="PXE32:PXF32"/>
    <mergeCell ref="PXG32:PXH32"/>
    <mergeCell ref="QBY32:QBZ32"/>
    <mergeCell ref="QCA32:QCB32"/>
    <mergeCell ref="QCC32:QCD32"/>
    <mergeCell ref="QCE32:QCF32"/>
    <mergeCell ref="QCG32:QCH32"/>
    <mergeCell ref="QCI32:QCJ32"/>
    <mergeCell ref="QBM32:QBN32"/>
    <mergeCell ref="QBO32:QBP32"/>
    <mergeCell ref="QBQ32:QBR32"/>
    <mergeCell ref="QBS32:QBT32"/>
    <mergeCell ref="QBU32:QBV32"/>
    <mergeCell ref="QBW32:QBX32"/>
    <mergeCell ref="QBA32:QBB32"/>
    <mergeCell ref="QBC32:QBD32"/>
    <mergeCell ref="QBE32:QBF32"/>
    <mergeCell ref="QBG32:QBH32"/>
    <mergeCell ref="QBI32:QBJ32"/>
    <mergeCell ref="QBK32:QBL32"/>
    <mergeCell ref="QAO32:QAP32"/>
    <mergeCell ref="QAQ32:QAR32"/>
    <mergeCell ref="QAS32:QAT32"/>
    <mergeCell ref="QAU32:QAV32"/>
    <mergeCell ref="QAW32:QAX32"/>
    <mergeCell ref="QAY32:QAZ32"/>
    <mergeCell ref="QAC32:QAD32"/>
    <mergeCell ref="QAE32:QAF32"/>
    <mergeCell ref="QAG32:QAH32"/>
    <mergeCell ref="QAI32:QAJ32"/>
    <mergeCell ref="QAK32:QAL32"/>
    <mergeCell ref="QAM32:QAN32"/>
    <mergeCell ref="PZQ32:PZR32"/>
    <mergeCell ref="PZS32:PZT32"/>
    <mergeCell ref="PZU32:PZV32"/>
    <mergeCell ref="PZW32:PZX32"/>
    <mergeCell ref="PZY32:PZZ32"/>
    <mergeCell ref="QAA32:QAB32"/>
    <mergeCell ref="QES32:QET32"/>
    <mergeCell ref="QEU32:QEV32"/>
    <mergeCell ref="QEW32:QEX32"/>
    <mergeCell ref="QEY32:QEZ32"/>
    <mergeCell ref="QFA32:QFB32"/>
    <mergeCell ref="QFC32:QFD32"/>
    <mergeCell ref="QEG32:QEH32"/>
    <mergeCell ref="QEI32:QEJ32"/>
    <mergeCell ref="QEK32:QEL32"/>
    <mergeCell ref="QEM32:QEN32"/>
    <mergeCell ref="QEO32:QEP32"/>
    <mergeCell ref="QEQ32:QER32"/>
    <mergeCell ref="QDU32:QDV32"/>
    <mergeCell ref="QDW32:QDX32"/>
    <mergeCell ref="QDY32:QDZ32"/>
    <mergeCell ref="QEA32:QEB32"/>
    <mergeCell ref="QEC32:QED32"/>
    <mergeCell ref="QEE32:QEF32"/>
    <mergeCell ref="QDI32:QDJ32"/>
    <mergeCell ref="QDK32:QDL32"/>
    <mergeCell ref="QDM32:QDN32"/>
    <mergeCell ref="QDO32:QDP32"/>
    <mergeCell ref="QDQ32:QDR32"/>
    <mergeCell ref="QDS32:QDT32"/>
    <mergeCell ref="QCW32:QCX32"/>
    <mergeCell ref="QCY32:QCZ32"/>
    <mergeCell ref="QDA32:QDB32"/>
    <mergeCell ref="QDC32:QDD32"/>
    <mergeCell ref="QDE32:QDF32"/>
    <mergeCell ref="QDG32:QDH32"/>
    <mergeCell ref="QCK32:QCL32"/>
    <mergeCell ref="QCM32:QCN32"/>
    <mergeCell ref="QCO32:QCP32"/>
    <mergeCell ref="QCQ32:QCR32"/>
    <mergeCell ref="QCS32:QCT32"/>
    <mergeCell ref="QCU32:QCV32"/>
    <mergeCell ref="QHM32:QHN32"/>
    <mergeCell ref="QHO32:QHP32"/>
    <mergeCell ref="QHQ32:QHR32"/>
    <mergeCell ref="QHS32:QHT32"/>
    <mergeCell ref="QHU32:QHV32"/>
    <mergeCell ref="QHW32:QHX32"/>
    <mergeCell ref="QHA32:QHB32"/>
    <mergeCell ref="QHC32:QHD32"/>
    <mergeCell ref="QHE32:QHF32"/>
    <mergeCell ref="QHG32:QHH32"/>
    <mergeCell ref="QHI32:QHJ32"/>
    <mergeCell ref="QHK32:QHL32"/>
    <mergeCell ref="QGO32:QGP32"/>
    <mergeCell ref="QGQ32:QGR32"/>
    <mergeCell ref="QGS32:QGT32"/>
    <mergeCell ref="QGU32:QGV32"/>
    <mergeCell ref="QGW32:QGX32"/>
    <mergeCell ref="QGY32:QGZ32"/>
    <mergeCell ref="QGC32:QGD32"/>
    <mergeCell ref="QGE32:QGF32"/>
    <mergeCell ref="QGG32:QGH32"/>
    <mergeCell ref="QGI32:QGJ32"/>
    <mergeCell ref="QGK32:QGL32"/>
    <mergeCell ref="QGM32:QGN32"/>
    <mergeCell ref="QFQ32:QFR32"/>
    <mergeCell ref="QFS32:QFT32"/>
    <mergeCell ref="QFU32:QFV32"/>
    <mergeCell ref="QFW32:QFX32"/>
    <mergeCell ref="QFY32:QFZ32"/>
    <mergeCell ref="QGA32:QGB32"/>
    <mergeCell ref="QFE32:QFF32"/>
    <mergeCell ref="QFG32:QFH32"/>
    <mergeCell ref="QFI32:QFJ32"/>
    <mergeCell ref="QFK32:QFL32"/>
    <mergeCell ref="QFM32:QFN32"/>
    <mergeCell ref="QFO32:QFP32"/>
    <mergeCell ref="QKG32:QKH32"/>
    <mergeCell ref="QKI32:QKJ32"/>
    <mergeCell ref="QKK32:QKL32"/>
    <mergeCell ref="QKM32:QKN32"/>
    <mergeCell ref="QKO32:QKP32"/>
    <mergeCell ref="QKQ32:QKR32"/>
    <mergeCell ref="QJU32:QJV32"/>
    <mergeCell ref="QJW32:QJX32"/>
    <mergeCell ref="QJY32:QJZ32"/>
    <mergeCell ref="QKA32:QKB32"/>
    <mergeCell ref="QKC32:QKD32"/>
    <mergeCell ref="QKE32:QKF32"/>
    <mergeCell ref="QJI32:QJJ32"/>
    <mergeCell ref="QJK32:QJL32"/>
    <mergeCell ref="QJM32:QJN32"/>
    <mergeCell ref="QJO32:QJP32"/>
    <mergeCell ref="QJQ32:QJR32"/>
    <mergeCell ref="QJS32:QJT32"/>
    <mergeCell ref="QIW32:QIX32"/>
    <mergeCell ref="QIY32:QIZ32"/>
    <mergeCell ref="QJA32:QJB32"/>
    <mergeCell ref="QJC32:QJD32"/>
    <mergeCell ref="QJE32:QJF32"/>
    <mergeCell ref="QJG32:QJH32"/>
    <mergeCell ref="QIK32:QIL32"/>
    <mergeCell ref="QIM32:QIN32"/>
    <mergeCell ref="QIO32:QIP32"/>
    <mergeCell ref="QIQ32:QIR32"/>
    <mergeCell ref="QIS32:QIT32"/>
    <mergeCell ref="QIU32:QIV32"/>
    <mergeCell ref="QHY32:QHZ32"/>
    <mergeCell ref="QIA32:QIB32"/>
    <mergeCell ref="QIC32:QID32"/>
    <mergeCell ref="QIE32:QIF32"/>
    <mergeCell ref="QIG32:QIH32"/>
    <mergeCell ref="QII32:QIJ32"/>
    <mergeCell ref="QNA32:QNB32"/>
    <mergeCell ref="QNC32:QND32"/>
    <mergeCell ref="QNE32:QNF32"/>
    <mergeCell ref="QNG32:QNH32"/>
    <mergeCell ref="QNI32:QNJ32"/>
    <mergeCell ref="QNK32:QNL32"/>
    <mergeCell ref="QMO32:QMP32"/>
    <mergeCell ref="QMQ32:QMR32"/>
    <mergeCell ref="QMS32:QMT32"/>
    <mergeCell ref="QMU32:QMV32"/>
    <mergeCell ref="QMW32:QMX32"/>
    <mergeCell ref="QMY32:QMZ32"/>
    <mergeCell ref="QMC32:QMD32"/>
    <mergeCell ref="QME32:QMF32"/>
    <mergeCell ref="QMG32:QMH32"/>
    <mergeCell ref="QMI32:QMJ32"/>
    <mergeCell ref="QMK32:QML32"/>
    <mergeCell ref="QMM32:QMN32"/>
    <mergeCell ref="QLQ32:QLR32"/>
    <mergeCell ref="QLS32:QLT32"/>
    <mergeCell ref="QLU32:QLV32"/>
    <mergeCell ref="QLW32:QLX32"/>
    <mergeCell ref="QLY32:QLZ32"/>
    <mergeCell ref="QMA32:QMB32"/>
    <mergeCell ref="QLE32:QLF32"/>
    <mergeCell ref="QLG32:QLH32"/>
    <mergeCell ref="QLI32:QLJ32"/>
    <mergeCell ref="QLK32:QLL32"/>
    <mergeCell ref="QLM32:QLN32"/>
    <mergeCell ref="QLO32:QLP32"/>
    <mergeCell ref="QKS32:QKT32"/>
    <mergeCell ref="QKU32:QKV32"/>
    <mergeCell ref="QKW32:QKX32"/>
    <mergeCell ref="QKY32:QKZ32"/>
    <mergeCell ref="QLA32:QLB32"/>
    <mergeCell ref="QLC32:QLD32"/>
    <mergeCell ref="QPU32:QPV32"/>
    <mergeCell ref="QPW32:QPX32"/>
    <mergeCell ref="QPY32:QPZ32"/>
    <mergeCell ref="QQA32:QQB32"/>
    <mergeCell ref="QQC32:QQD32"/>
    <mergeCell ref="QQE32:QQF32"/>
    <mergeCell ref="QPI32:QPJ32"/>
    <mergeCell ref="QPK32:QPL32"/>
    <mergeCell ref="QPM32:QPN32"/>
    <mergeCell ref="QPO32:QPP32"/>
    <mergeCell ref="QPQ32:QPR32"/>
    <mergeCell ref="QPS32:QPT32"/>
    <mergeCell ref="QOW32:QOX32"/>
    <mergeCell ref="QOY32:QOZ32"/>
    <mergeCell ref="QPA32:QPB32"/>
    <mergeCell ref="QPC32:QPD32"/>
    <mergeCell ref="QPE32:QPF32"/>
    <mergeCell ref="QPG32:QPH32"/>
    <mergeCell ref="QOK32:QOL32"/>
    <mergeCell ref="QOM32:QON32"/>
    <mergeCell ref="QOO32:QOP32"/>
    <mergeCell ref="QOQ32:QOR32"/>
    <mergeCell ref="QOS32:QOT32"/>
    <mergeCell ref="QOU32:QOV32"/>
    <mergeCell ref="QNY32:QNZ32"/>
    <mergeCell ref="QOA32:QOB32"/>
    <mergeCell ref="QOC32:QOD32"/>
    <mergeCell ref="QOE32:QOF32"/>
    <mergeCell ref="QOG32:QOH32"/>
    <mergeCell ref="QOI32:QOJ32"/>
    <mergeCell ref="QNM32:QNN32"/>
    <mergeCell ref="QNO32:QNP32"/>
    <mergeCell ref="QNQ32:QNR32"/>
    <mergeCell ref="QNS32:QNT32"/>
    <mergeCell ref="QNU32:QNV32"/>
    <mergeCell ref="QNW32:QNX32"/>
    <mergeCell ref="QSO32:QSP32"/>
    <mergeCell ref="QSQ32:QSR32"/>
    <mergeCell ref="QSS32:QST32"/>
    <mergeCell ref="QSU32:QSV32"/>
    <mergeCell ref="QSW32:QSX32"/>
    <mergeCell ref="QSY32:QSZ32"/>
    <mergeCell ref="QSC32:QSD32"/>
    <mergeCell ref="QSE32:QSF32"/>
    <mergeCell ref="QSG32:QSH32"/>
    <mergeCell ref="QSI32:QSJ32"/>
    <mergeCell ref="QSK32:QSL32"/>
    <mergeCell ref="QSM32:QSN32"/>
    <mergeCell ref="QRQ32:QRR32"/>
    <mergeCell ref="QRS32:QRT32"/>
    <mergeCell ref="QRU32:QRV32"/>
    <mergeCell ref="QRW32:QRX32"/>
    <mergeCell ref="QRY32:QRZ32"/>
    <mergeCell ref="QSA32:QSB32"/>
    <mergeCell ref="QRE32:QRF32"/>
    <mergeCell ref="QRG32:QRH32"/>
    <mergeCell ref="QRI32:QRJ32"/>
    <mergeCell ref="QRK32:QRL32"/>
    <mergeCell ref="QRM32:QRN32"/>
    <mergeCell ref="QRO32:QRP32"/>
    <mergeCell ref="QQS32:QQT32"/>
    <mergeCell ref="QQU32:QQV32"/>
    <mergeCell ref="QQW32:QQX32"/>
    <mergeCell ref="QQY32:QQZ32"/>
    <mergeCell ref="QRA32:QRB32"/>
    <mergeCell ref="QRC32:QRD32"/>
    <mergeCell ref="QQG32:QQH32"/>
    <mergeCell ref="QQI32:QQJ32"/>
    <mergeCell ref="QQK32:QQL32"/>
    <mergeCell ref="QQM32:QQN32"/>
    <mergeCell ref="QQO32:QQP32"/>
    <mergeCell ref="QQQ32:QQR32"/>
    <mergeCell ref="QVI32:QVJ32"/>
    <mergeCell ref="QVK32:QVL32"/>
    <mergeCell ref="QVM32:QVN32"/>
    <mergeCell ref="QVO32:QVP32"/>
    <mergeCell ref="QVQ32:QVR32"/>
    <mergeCell ref="QVS32:QVT32"/>
    <mergeCell ref="QUW32:QUX32"/>
    <mergeCell ref="QUY32:QUZ32"/>
    <mergeCell ref="QVA32:QVB32"/>
    <mergeCell ref="QVC32:QVD32"/>
    <mergeCell ref="QVE32:QVF32"/>
    <mergeCell ref="QVG32:QVH32"/>
    <mergeCell ref="QUK32:QUL32"/>
    <mergeCell ref="QUM32:QUN32"/>
    <mergeCell ref="QUO32:QUP32"/>
    <mergeCell ref="QUQ32:QUR32"/>
    <mergeCell ref="QUS32:QUT32"/>
    <mergeCell ref="QUU32:QUV32"/>
    <mergeCell ref="QTY32:QTZ32"/>
    <mergeCell ref="QUA32:QUB32"/>
    <mergeCell ref="QUC32:QUD32"/>
    <mergeCell ref="QUE32:QUF32"/>
    <mergeCell ref="QUG32:QUH32"/>
    <mergeCell ref="QUI32:QUJ32"/>
    <mergeCell ref="QTM32:QTN32"/>
    <mergeCell ref="QTO32:QTP32"/>
    <mergeCell ref="QTQ32:QTR32"/>
    <mergeCell ref="QTS32:QTT32"/>
    <mergeCell ref="QTU32:QTV32"/>
    <mergeCell ref="QTW32:QTX32"/>
    <mergeCell ref="QTA32:QTB32"/>
    <mergeCell ref="QTC32:QTD32"/>
    <mergeCell ref="QTE32:QTF32"/>
    <mergeCell ref="QTG32:QTH32"/>
    <mergeCell ref="QTI32:QTJ32"/>
    <mergeCell ref="QTK32:QTL32"/>
    <mergeCell ref="QYC32:QYD32"/>
    <mergeCell ref="QYE32:QYF32"/>
    <mergeCell ref="QYG32:QYH32"/>
    <mergeCell ref="QYI32:QYJ32"/>
    <mergeCell ref="QYK32:QYL32"/>
    <mergeCell ref="QYM32:QYN32"/>
    <mergeCell ref="QXQ32:QXR32"/>
    <mergeCell ref="QXS32:QXT32"/>
    <mergeCell ref="QXU32:QXV32"/>
    <mergeCell ref="QXW32:QXX32"/>
    <mergeCell ref="QXY32:QXZ32"/>
    <mergeCell ref="QYA32:QYB32"/>
    <mergeCell ref="QXE32:QXF32"/>
    <mergeCell ref="QXG32:QXH32"/>
    <mergeCell ref="QXI32:QXJ32"/>
    <mergeCell ref="QXK32:QXL32"/>
    <mergeCell ref="QXM32:QXN32"/>
    <mergeCell ref="QXO32:QXP32"/>
    <mergeCell ref="QWS32:QWT32"/>
    <mergeCell ref="QWU32:QWV32"/>
    <mergeCell ref="QWW32:QWX32"/>
    <mergeCell ref="QWY32:QWZ32"/>
    <mergeCell ref="QXA32:QXB32"/>
    <mergeCell ref="QXC32:QXD32"/>
    <mergeCell ref="QWG32:QWH32"/>
    <mergeCell ref="QWI32:QWJ32"/>
    <mergeCell ref="QWK32:QWL32"/>
    <mergeCell ref="QWM32:QWN32"/>
    <mergeCell ref="QWO32:QWP32"/>
    <mergeCell ref="QWQ32:QWR32"/>
    <mergeCell ref="QVU32:QVV32"/>
    <mergeCell ref="QVW32:QVX32"/>
    <mergeCell ref="QVY32:QVZ32"/>
    <mergeCell ref="QWA32:QWB32"/>
    <mergeCell ref="QWC32:QWD32"/>
    <mergeCell ref="QWE32:QWF32"/>
    <mergeCell ref="RAW32:RAX32"/>
    <mergeCell ref="RAY32:RAZ32"/>
    <mergeCell ref="RBA32:RBB32"/>
    <mergeCell ref="RBC32:RBD32"/>
    <mergeCell ref="RBE32:RBF32"/>
    <mergeCell ref="RBG32:RBH32"/>
    <mergeCell ref="RAK32:RAL32"/>
    <mergeCell ref="RAM32:RAN32"/>
    <mergeCell ref="RAO32:RAP32"/>
    <mergeCell ref="RAQ32:RAR32"/>
    <mergeCell ref="RAS32:RAT32"/>
    <mergeCell ref="RAU32:RAV32"/>
    <mergeCell ref="QZY32:QZZ32"/>
    <mergeCell ref="RAA32:RAB32"/>
    <mergeCell ref="RAC32:RAD32"/>
    <mergeCell ref="RAE32:RAF32"/>
    <mergeCell ref="RAG32:RAH32"/>
    <mergeCell ref="RAI32:RAJ32"/>
    <mergeCell ref="QZM32:QZN32"/>
    <mergeCell ref="QZO32:QZP32"/>
    <mergeCell ref="QZQ32:QZR32"/>
    <mergeCell ref="QZS32:QZT32"/>
    <mergeCell ref="QZU32:QZV32"/>
    <mergeCell ref="QZW32:QZX32"/>
    <mergeCell ref="QZA32:QZB32"/>
    <mergeCell ref="QZC32:QZD32"/>
    <mergeCell ref="QZE32:QZF32"/>
    <mergeCell ref="QZG32:QZH32"/>
    <mergeCell ref="QZI32:QZJ32"/>
    <mergeCell ref="QZK32:QZL32"/>
    <mergeCell ref="QYO32:QYP32"/>
    <mergeCell ref="QYQ32:QYR32"/>
    <mergeCell ref="QYS32:QYT32"/>
    <mergeCell ref="QYU32:QYV32"/>
    <mergeCell ref="QYW32:QYX32"/>
    <mergeCell ref="QYY32:QYZ32"/>
    <mergeCell ref="RDQ32:RDR32"/>
    <mergeCell ref="RDS32:RDT32"/>
    <mergeCell ref="RDU32:RDV32"/>
    <mergeCell ref="RDW32:RDX32"/>
    <mergeCell ref="RDY32:RDZ32"/>
    <mergeCell ref="REA32:REB32"/>
    <mergeCell ref="RDE32:RDF32"/>
    <mergeCell ref="RDG32:RDH32"/>
    <mergeCell ref="RDI32:RDJ32"/>
    <mergeCell ref="RDK32:RDL32"/>
    <mergeCell ref="RDM32:RDN32"/>
    <mergeCell ref="RDO32:RDP32"/>
    <mergeCell ref="RCS32:RCT32"/>
    <mergeCell ref="RCU32:RCV32"/>
    <mergeCell ref="RCW32:RCX32"/>
    <mergeCell ref="RCY32:RCZ32"/>
    <mergeCell ref="RDA32:RDB32"/>
    <mergeCell ref="RDC32:RDD32"/>
    <mergeCell ref="RCG32:RCH32"/>
    <mergeCell ref="RCI32:RCJ32"/>
    <mergeCell ref="RCK32:RCL32"/>
    <mergeCell ref="RCM32:RCN32"/>
    <mergeCell ref="RCO32:RCP32"/>
    <mergeCell ref="RCQ32:RCR32"/>
    <mergeCell ref="RBU32:RBV32"/>
    <mergeCell ref="RBW32:RBX32"/>
    <mergeCell ref="RBY32:RBZ32"/>
    <mergeCell ref="RCA32:RCB32"/>
    <mergeCell ref="RCC32:RCD32"/>
    <mergeCell ref="RCE32:RCF32"/>
    <mergeCell ref="RBI32:RBJ32"/>
    <mergeCell ref="RBK32:RBL32"/>
    <mergeCell ref="RBM32:RBN32"/>
    <mergeCell ref="RBO32:RBP32"/>
    <mergeCell ref="RBQ32:RBR32"/>
    <mergeCell ref="RBS32:RBT32"/>
    <mergeCell ref="RGK32:RGL32"/>
    <mergeCell ref="RGM32:RGN32"/>
    <mergeCell ref="RGO32:RGP32"/>
    <mergeCell ref="RGQ32:RGR32"/>
    <mergeCell ref="RGS32:RGT32"/>
    <mergeCell ref="RGU32:RGV32"/>
    <mergeCell ref="RFY32:RFZ32"/>
    <mergeCell ref="RGA32:RGB32"/>
    <mergeCell ref="RGC32:RGD32"/>
    <mergeCell ref="RGE32:RGF32"/>
    <mergeCell ref="RGG32:RGH32"/>
    <mergeCell ref="RGI32:RGJ32"/>
    <mergeCell ref="RFM32:RFN32"/>
    <mergeCell ref="RFO32:RFP32"/>
    <mergeCell ref="RFQ32:RFR32"/>
    <mergeCell ref="RFS32:RFT32"/>
    <mergeCell ref="RFU32:RFV32"/>
    <mergeCell ref="RFW32:RFX32"/>
    <mergeCell ref="RFA32:RFB32"/>
    <mergeCell ref="RFC32:RFD32"/>
    <mergeCell ref="RFE32:RFF32"/>
    <mergeCell ref="RFG32:RFH32"/>
    <mergeCell ref="RFI32:RFJ32"/>
    <mergeCell ref="RFK32:RFL32"/>
    <mergeCell ref="REO32:REP32"/>
    <mergeCell ref="REQ32:RER32"/>
    <mergeCell ref="RES32:RET32"/>
    <mergeCell ref="REU32:REV32"/>
    <mergeCell ref="REW32:REX32"/>
    <mergeCell ref="REY32:REZ32"/>
    <mergeCell ref="REC32:RED32"/>
    <mergeCell ref="REE32:REF32"/>
    <mergeCell ref="REG32:REH32"/>
    <mergeCell ref="REI32:REJ32"/>
    <mergeCell ref="REK32:REL32"/>
    <mergeCell ref="REM32:REN32"/>
    <mergeCell ref="RJE32:RJF32"/>
    <mergeCell ref="RJG32:RJH32"/>
    <mergeCell ref="RJI32:RJJ32"/>
    <mergeCell ref="RJK32:RJL32"/>
    <mergeCell ref="RJM32:RJN32"/>
    <mergeCell ref="RJO32:RJP32"/>
    <mergeCell ref="RIS32:RIT32"/>
    <mergeCell ref="RIU32:RIV32"/>
    <mergeCell ref="RIW32:RIX32"/>
    <mergeCell ref="RIY32:RIZ32"/>
    <mergeCell ref="RJA32:RJB32"/>
    <mergeCell ref="RJC32:RJD32"/>
    <mergeCell ref="RIG32:RIH32"/>
    <mergeCell ref="RII32:RIJ32"/>
    <mergeCell ref="RIK32:RIL32"/>
    <mergeCell ref="RIM32:RIN32"/>
    <mergeCell ref="RIO32:RIP32"/>
    <mergeCell ref="RIQ32:RIR32"/>
    <mergeCell ref="RHU32:RHV32"/>
    <mergeCell ref="RHW32:RHX32"/>
    <mergeCell ref="RHY32:RHZ32"/>
    <mergeCell ref="RIA32:RIB32"/>
    <mergeCell ref="RIC32:RID32"/>
    <mergeCell ref="RIE32:RIF32"/>
    <mergeCell ref="RHI32:RHJ32"/>
    <mergeCell ref="RHK32:RHL32"/>
    <mergeCell ref="RHM32:RHN32"/>
    <mergeCell ref="RHO32:RHP32"/>
    <mergeCell ref="RHQ32:RHR32"/>
    <mergeCell ref="RHS32:RHT32"/>
    <mergeCell ref="RGW32:RGX32"/>
    <mergeCell ref="RGY32:RGZ32"/>
    <mergeCell ref="RHA32:RHB32"/>
    <mergeCell ref="RHC32:RHD32"/>
    <mergeCell ref="RHE32:RHF32"/>
    <mergeCell ref="RHG32:RHH32"/>
    <mergeCell ref="RLY32:RLZ32"/>
    <mergeCell ref="RMA32:RMB32"/>
    <mergeCell ref="RMC32:RMD32"/>
    <mergeCell ref="RME32:RMF32"/>
    <mergeCell ref="RMG32:RMH32"/>
    <mergeCell ref="RMI32:RMJ32"/>
    <mergeCell ref="RLM32:RLN32"/>
    <mergeCell ref="RLO32:RLP32"/>
    <mergeCell ref="RLQ32:RLR32"/>
    <mergeCell ref="RLS32:RLT32"/>
    <mergeCell ref="RLU32:RLV32"/>
    <mergeCell ref="RLW32:RLX32"/>
    <mergeCell ref="RLA32:RLB32"/>
    <mergeCell ref="RLC32:RLD32"/>
    <mergeCell ref="RLE32:RLF32"/>
    <mergeCell ref="RLG32:RLH32"/>
    <mergeCell ref="RLI32:RLJ32"/>
    <mergeCell ref="RLK32:RLL32"/>
    <mergeCell ref="RKO32:RKP32"/>
    <mergeCell ref="RKQ32:RKR32"/>
    <mergeCell ref="RKS32:RKT32"/>
    <mergeCell ref="RKU32:RKV32"/>
    <mergeCell ref="RKW32:RKX32"/>
    <mergeCell ref="RKY32:RKZ32"/>
    <mergeCell ref="RKC32:RKD32"/>
    <mergeCell ref="RKE32:RKF32"/>
    <mergeCell ref="RKG32:RKH32"/>
    <mergeCell ref="RKI32:RKJ32"/>
    <mergeCell ref="RKK32:RKL32"/>
    <mergeCell ref="RKM32:RKN32"/>
    <mergeCell ref="RJQ32:RJR32"/>
    <mergeCell ref="RJS32:RJT32"/>
    <mergeCell ref="RJU32:RJV32"/>
    <mergeCell ref="RJW32:RJX32"/>
    <mergeCell ref="RJY32:RJZ32"/>
    <mergeCell ref="RKA32:RKB32"/>
    <mergeCell ref="ROS32:ROT32"/>
    <mergeCell ref="ROU32:ROV32"/>
    <mergeCell ref="ROW32:ROX32"/>
    <mergeCell ref="ROY32:ROZ32"/>
    <mergeCell ref="RPA32:RPB32"/>
    <mergeCell ref="RPC32:RPD32"/>
    <mergeCell ref="ROG32:ROH32"/>
    <mergeCell ref="ROI32:ROJ32"/>
    <mergeCell ref="ROK32:ROL32"/>
    <mergeCell ref="ROM32:RON32"/>
    <mergeCell ref="ROO32:ROP32"/>
    <mergeCell ref="ROQ32:ROR32"/>
    <mergeCell ref="RNU32:RNV32"/>
    <mergeCell ref="RNW32:RNX32"/>
    <mergeCell ref="RNY32:RNZ32"/>
    <mergeCell ref="ROA32:ROB32"/>
    <mergeCell ref="ROC32:ROD32"/>
    <mergeCell ref="ROE32:ROF32"/>
    <mergeCell ref="RNI32:RNJ32"/>
    <mergeCell ref="RNK32:RNL32"/>
    <mergeCell ref="RNM32:RNN32"/>
    <mergeCell ref="RNO32:RNP32"/>
    <mergeCell ref="RNQ32:RNR32"/>
    <mergeCell ref="RNS32:RNT32"/>
    <mergeCell ref="RMW32:RMX32"/>
    <mergeCell ref="RMY32:RMZ32"/>
    <mergeCell ref="RNA32:RNB32"/>
    <mergeCell ref="RNC32:RND32"/>
    <mergeCell ref="RNE32:RNF32"/>
    <mergeCell ref="RNG32:RNH32"/>
    <mergeCell ref="RMK32:RML32"/>
    <mergeCell ref="RMM32:RMN32"/>
    <mergeCell ref="RMO32:RMP32"/>
    <mergeCell ref="RMQ32:RMR32"/>
    <mergeCell ref="RMS32:RMT32"/>
    <mergeCell ref="RMU32:RMV32"/>
    <mergeCell ref="RRM32:RRN32"/>
    <mergeCell ref="RRO32:RRP32"/>
    <mergeCell ref="RRQ32:RRR32"/>
    <mergeCell ref="RRS32:RRT32"/>
    <mergeCell ref="RRU32:RRV32"/>
    <mergeCell ref="RRW32:RRX32"/>
    <mergeCell ref="RRA32:RRB32"/>
    <mergeCell ref="RRC32:RRD32"/>
    <mergeCell ref="RRE32:RRF32"/>
    <mergeCell ref="RRG32:RRH32"/>
    <mergeCell ref="RRI32:RRJ32"/>
    <mergeCell ref="RRK32:RRL32"/>
    <mergeCell ref="RQO32:RQP32"/>
    <mergeCell ref="RQQ32:RQR32"/>
    <mergeCell ref="RQS32:RQT32"/>
    <mergeCell ref="RQU32:RQV32"/>
    <mergeCell ref="RQW32:RQX32"/>
    <mergeCell ref="RQY32:RQZ32"/>
    <mergeCell ref="RQC32:RQD32"/>
    <mergeCell ref="RQE32:RQF32"/>
    <mergeCell ref="RQG32:RQH32"/>
    <mergeCell ref="RQI32:RQJ32"/>
    <mergeCell ref="RQK32:RQL32"/>
    <mergeCell ref="RQM32:RQN32"/>
    <mergeCell ref="RPQ32:RPR32"/>
    <mergeCell ref="RPS32:RPT32"/>
    <mergeCell ref="RPU32:RPV32"/>
    <mergeCell ref="RPW32:RPX32"/>
    <mergeCell ref="RPY32:RPZ32"/>
    <mergeCell ref="RQA32:RQB32"/>
    <mergeCell ref="RPE32:RPF32"/>
    <mergeCell ref="RPG32:RPH32"/>
    <mergeCell ref="RPI32:RPJ32"/>
    <mergeCell ref="RPK32:RPL32"/>
    <mergeCell ref="RPM32:RPN32"/>
    <mergeCell ref="RPO32:RPP32"/>
    <mergeCell ref="RUG32:RUH32"/>
    <mergeCell ref="RUI32:RUJ32"/>
    <mergeCell ref="RUK32:RUL32"/>
    <mergeCell ref="RUM32:RUN32"/>
    <mergeCell ref="RUO32:RUP32"/>
    <mergeCell ref="RUQ32:RUR32"/>
    <mergeCell ref="RTU32:RTV32"/>
    <mergeCell ref="RTW32:RTX32"/>
    <mergeCell ref="RTY32:RTZ32"/>
    <mergeCell ref="RUA32:RUB32"/>
    <mergeCell ref="RUC32:RUD32"/>
    <mergeCell ref="RUE32:RUF32"/>
    <mergeCell ref="RTI32:RTJ32"/>
    <mergeCell ref="RTK32:RTL32"/>
    <mergeCell ref="RTM32:RTN32"/>
    <mergeCell ref="RTO32:RTP32"/>
    <mergeCell ref="RTQ32:RTR32"/>
    <mergeCell ref="RTS32:RTT32"/>
    <mergeCell ref="RSW32:RSX32"/>
    <mergeCell ref="RSY32:RSZ32"/>
    <mergeCell ref="RTA32:RTB32"/>
    <mergeCell ref="RTC32:RTD32"/>
    <mergeCell ref="RTE32:RTF32"/>
    <mergeCell ref="RTG32:RTH32"/>
    <mergeCell ref="RSK32:RSL32"/>
    <mergeCell ref="RSM32:RSN32"/>
    <mergeCell ref="RSO32:RSP32"/>
    <mergeCell ref="RSQ32:RSR32"/>
    <mergeCell ref="RSS32:RST32"/>
    <mergeCell ref="RSU32:RSV32"/>
    <mergeCell ref="RRY32:RRZ32"/>
    <mergeCell ref="RSA32:RSB32"/>
    <mergeCell ref="RSC32:RSD32"/>
    <mergeCell ref="RSE32:RSF32"/>
    <mergeCell ref="RSG32:RSH32"/>
    <mergeCell ref="RSI32:RSJ32"/>
    <mergeCell ref="RXA32:RXB32"/>
    <mergeCell ref="RXC32:RXD32"/>
    <mergeCell ref="RXE32:RXF32"/>
    <mergeCell ref="RXG32:RXH32"/>
    <mergeCell ref="RXI32:RXJ32"/>
    <mergeCell ref="RXK32:RXL32"/>
    <mergeCell ref="RWO32:RWP32"/>
    <mergeCell ref="RWQ32:RWR32"/>
    <mergeCell ref="RWS32:RWT32"/>
    <mergeCell ref="RWU32:RWV32"/>
    <mergeCell ref="RWW32:RWX32"/>
    <mergeCell ref="RWY32:RWZ32"/>
    <mergeCell ref="RWC32:RWD32"/>
    <mergeCell ref="RWE32:RWF32"/>
    <mergeCell ref="RWG32:RWH32"/>
    <mergeCell ref="RWI32:RWJ32"/>
    <mergeCell ref="RWK32:RWL32"/>
    <mergeCell ref="RWM32:RWN32"/>
    <mergeCell ref="RVQ32:RVR32"/>
    <mergeCell ref="RVS32:RVT32"/>
    <mergeCell ref="RVU32:RVV32"/>
    <mergeCell ref="RVW32:RVX32"/>
    <mergeCell ref="RVY32:RVZ32"/>
    <mergeCell ref="RWA32:RWB32"/>
    <mergeCell ref="RVE32:RVF32"/>
    <mergeCell ref="RVG32:RVH32"/>
    <mergeCell ref="RVI32:RVJ32"/>
    <mergeCell ref="RVK32:RVL32"/>
    <mergeCell ref="RVM32:RVN32"/>
    <mergeCell ref="RVO32:RVP32"/>
    <mergeCell ref="RUS32:RUT32"/>
    <mergeCell ref="RUU32:RUV32"/>
    <mergeCell ref="RUW32:RUX32"/>
    <mergeCell ref="RUY32:RUZ32"/>
    <mergeCell ref="RVA32:RVB32"/>
    <mergeCell ref="RVC32:RVD32"/>
    <mergeCell ref="RZU32:RZV32"/>
    <mergeCell ref="RZW32:RZX32"/>
    <mergeCell ref="RZY32:RZZ32"/>
    <mergeCell ref="SAA32:SAB32"/>
    <mergeCell ref="SAC32:SAD32"/>
    <mergeCell ref="SAE32:SAF32"/>
    <mergeCell ref="RZI32:RZJ32"/>
    <mergeCell ref="RZK32:RZL32"/>
    <mergeCell ref="RZM32:RZN32"/>
    <mergeCell ref="RZO32:RZP32"/>
    <mergeCell ref="RZQ32:RZR32"/>
    <mergeCell ref="RZS32:RZT32"/>
    <mergeCell ref="RYW32:RYX32"/>
    <mergeCell ref="RYY32:RYZ32"/>
    <mergeCell ref="RZA32:RZB32"/>
    <mergeCell ref="RZC32:RZD32"/>
    <mergeCell ref="RZE32:RZF32"/>
    <mergeCell ref="RZG32:RZH32"/>
    <mergeCell ref="RYK32:RYL32"/>
    <mergeCell ref="RYM32:RYN32"/>
    <mergeCell ref="RYO32:RYP32"/>
    <mergeCell ref="RYQ32:RYR32"/>
    <mergeCell ref="RYS32:RYT32"/>
    <mergeCell ref="RYU32:RYV32"/>
    <mergeCell ref="RXY32:RXZ32"/>
    <mergeCell ref="RYA32:RYB32"/>
    <mergeCell ref="RYC32:RYD32"/>
    <mergeCell ref="RYE32:RYF32"/>
    <mergeCell ref="RYG32:RYH32"/>
    <mergeCell ref="RYI32:RYJ32"/>
    <mergeCell ref="RXM32:RXN32"/>
    <mergeCell ref="RXO32:RXP32"/>
    <mergeCell ref="RXQ32:RXR32"/>
    <mergeCell ref="RXS32:RXT32"/>
    <mergeCell ref="RXU32:RXV32"/>
    <mergeCell ref="RXW32:RXX32"/>
    <mergeCell ref="SCO32:SCP32"/>
    <mergeCell ref="SCQ32:SCR32"/>
    <mergeCell ref="SCS32:SCT32"/>
    <mergeCell ref="SCU32:SCV32"/>
    <mergeCell ref="SCW32:SCX32"/>
    <mergeCell ref="SCY32:SCZ32"/>
    <mergeCell ref="SCC32:SCD32"/>
    <mergeCell ref="SCE32:SCF32"/>
    <mergeCell ref="SCG32:SCH32"/>
    <mergeCell ref="SCI32:SCJ32"/>
    <mergeCell ref="SCK32:SCL32"/>
    <mergeCell ref="SCM32:SCN32"/>
    <mergeCell ref="SBQ32:SBR32"/>
    <mergeCell ref="SBS32:SBT32"/>
    <mergeCell ref="SBU32:SBV32"/>
    <mergeCell ref="SBW32:SBX32"/>
    <mergeCell ref="SBY32:SBZ32"/>
    <mergeCell ref="SCA32:SCB32"/>
    <mergeCell ref="SBE32:SBF32"/>
    <mergeCell ref="SBG32:SBH32"/>
    <mergeCell ref="SBI32:SBJ32"/>
    <mergeCell ref="SBK32:SBL32"/>
    <mergeCell ref="SBM32:SBN32"/>
    <mergeCell ref="SBO32:SBP32"/>
    <mergeCell ref="SAS32:SAT32"/>
    <mergeCell ref="SAU32:SAV32"/>
    <mergeCell ref="SAW32:SAX32"/>
    <mergeCell ref="SAY32:SAZ32"/>
    <mergeCell ref="SBA32:SBB32"/>
    <mergeCell ref="SBC32:SBD32"/>
    <mergeCell ref="SAG32:SAH32"/>
    <mergeCell ref="SAI32:SAJ32"/>
    <mergeCell ref="SAK32:SAL32"/>
    <mergeCell ref="SAM32:SAN32"/>
    <mergeCell ref="SAO32:SAP32"/>
    <mergeCell ref="SAQ32:SAR32"/>
    <mergeCell ref="SFI32:SFJ32"/>
    <mergeCell ref="SFK32:SFL32"/>
    <mergeCell ref="SFM32:SFN32"/>
    <mergeCell ref="SFO32:SFP32"/>
    <mergeCell ref="SFQ32:SFR32"/>
    <mergeCell ref="SFS32:SFT32"/>
    <mergeCell ref="SEW32:SEX32"/>
    <mergeCell ref="SEY32:SEZ32"/>
    <mergeCell ref="SFA32:SFB32"/>
    <mergeCell ref="SFC32:SFD32"/>
    <mergeCell ref="SFE32:SFF32"/>
    <mergeCell ref="SFG32:SFH32"/>
    <mergeCell ref="SEK32:SEL32"/>
    <mergeCell ref="SEM32:SEN32"/>
    <mergeCell ref="SEO32:SEP32"/>
    <mergeCell ref="SEQ32:SER32"/>
    <mergeCell ref="SES32:SET32"/>
    <mergeCell ref="SEU32:SEV32"/>
    <mergeCell ref="SDY32:SDZ32"/>
    <mergeCell ref="SEA32:SEB32"/>
    <mergeCell ref="SEC32:SED32"/>
    <mergeCell ref="SEE32:SEF32"/>
    <mergeCell ref="SEG32:SEH32"/>
    <mergeCell ref="SEI32:SEJ32"/>
    <mergeCell ref="SDM32:SDN32"/>
    <mergeCell ref="SDO32:SDP32"/>
    <mergeCell ref="SDQ32:SDR32"/>
    <mergeCell ref="SDS32:SDT32"/>
    <mergeCell ref="SDU32:SDV32"/>
    <mergeCell ref="SDW32:SDX32"/>
    <mergeCell ref="SDA32:SDB32"/>
    <mergeCell ref="SDC32:SDD32"/>
    <mergeCell ref="SDE32:SDF32"/>
    <mergeCell ref="SDG32:SDH32"/>
    <mergeCell ref="SDI32:SDJ32"/>
    <mergeCell ref="SDK32:SDL32"/>
    <mergeCell ref="SIC32:SID32"/>
    <mergeCell ref="SIE32:SIF32"/>
    <mergeCell ref="SIG32:SIH32"/>
    <mergeCell ref="SII32:SIJ32"/>
    <mergeCell ref="SIK32:SIL32"/>
    <mergeCell ref="SIM32:SIN32"/>
    <mergeCell ref="SHQ32:SHR32"/>
    <mergeCell ref="SHS32:SHT32"/>
    <mergeCell ref="SHU32:SHV32"/>
    <mergeCell ref="SHW32:SHX32"/>
    <mergeCell ref="SHY32:SHZ32"/>
    <mergeCell ref="SIA32:SIB32"/>
    <mergeCell ref="SHE32:SHF32"/>
    <mergeCell ref="SHG32:SHH32"/>
    <mergeCell ref="SHI32:SHJ32"/>
    <mergeCell ref="SHK32:SHL32"/>
    <mergeCell ref="SHM32:SHN32"/>
    <mergeCell ref="SHO32:SHP32"/>
    <mergeCell ref="SGS32:SGT32"/>
    <mergeCell ref="SGU32:SGV32"/>
    <mergeCell ref="SGW32:SGX32"/>
    <mergeCell ref="SGY32:SGZ32"/>
    <mergeCell ref="SHA32:SHB32"/>
    <mergeCell ref="SHC32:SHD32"/>
    <mergeCell ref="SGG32:SGH32"/>
    <mergeCell ref="SGI32:SGJ32"/>
    <mergeCell ref="SGK32:SGL32"/>
    <mergeCell ref="SGM32:SGN32"/>
    <mergeCell ref="SGO32:SGP32"/>
    <mergeCell ref="SGQ32:SGR32"/>
    <mergeCell ref="SFU32:SFV32"/>
    <mergeCell ref="SFW32:SFX32"/>
    <mergeCell ref="SFY32:SFZ32"/>
    <mergeCell ref="SGA32:SGB32"/>
    <mergeCell ref="SGC32:SGD32"/>
    <mergeCell ref="SGE32:SGF32"/>
    <mergeCell ref="SKW32:SKX32"/>
    <mergeCell ref="SKY32:SKZ32"/>
    <mergeCell ref="SLA32:SLB32"/>
    <mergeCell ref="SLC32:SLD32"/>
    <mergeCell ref="SLE32:SLF32"/>
    <mergeCell ref="SLG32:SLH32"/>
    <mergeCell ref="SKK32:SKL32"/>
    <mergeCell ref="SKM32:SKN32"/>
    <mergeCell ref="SKO32:SKP32"/>
    <mergeCell ref="SKQ32:SKR32"/>
    <mergeCell ref="SKS32:SKT32"/>
    <mergeCell ref="SKU32:SKV32"/>
    <mergeCell ref="SJY32:SJZ32"/>
    <mergeCell ref="SKA32:SKB32"/>
    <mergeCell ref="SKC32:SKD32"/>
    <mergeCell ref="SKE32:SKF32"/>
    <mergeCell ref="SKG32:SKH32"/>
    <mergeCell ref="SKI32:SKJ32"/>
    <mergeCell ref="SJM32:SJN32"/>
    <mergeCell ref="SJO32:SJP32"/>
    <mergeCell ref="SJQ32:SJR32"/>
    <mergeCell ref="SJS32:SJT32"/>
    <mergeCell ref="SJU32:SJV32"/>
    <mergeCell ref="SJW32:SJX32"/>
    <mergeCell ref="SJA32:SJB32"/>
    <mergeCell ref="SJC32:SJD32"/>
    <mergeCell ref="SJE32:SJF32"/>
    <mergeCell ref="SJG32:SJH32"/>
    <mergeCell ref="SJI32:SJJ32"/>
    <mergeCell ref="SJK32:SJL32"/>
    <mergeCell ref="SIO32:SIP32"/>
    <mergeCell ref="SIQ32:SIR32"/>
    <mergeCell ref="SIS32:SIT32"/>
    <mergeCell ref="SIU32:SIV32"/>
    <mergeCell ref="SIW32:SIX32"/>
    <mergeCell ref="SIY32:SIZ32"/>
    <mergeCell ref="SNQ32:SNR32"/>
    <mergeCell ref="SNS32:SNT32"/>
    <mergeCell ref="SNU32:SNV32"/>
    <mergeCell ref="SNW32:SNX32"/>
    <mergeCell ref="SNY32:SNZ32"/>
    <mergeCell ref="SOA32:SOB32"/>
    <mergeCell ref="SNE32:SNF32"/>
    <mergeCell ref="SNG32:SNH32"/>
    <mergeCell ref="SNI32:SNJ32"/>
    <mergeCell ref="SNK32:SNL32"/>
    <mergeCell ref="SNM32:SNN32"/>
    <mergeCell ref="SNO32:SNP32"/>
    <mergeCell ref="SMS32:SMT32"/>
    <mergeCell ref="SMU32:SMV32"/>
    <mergeCell ref="SMW32:SMX32"/>
    <mergeCell ref="SMY32:SMZ32"/>
    <mergeCell ref="SNA32:SNB32"/>
    <mergeCell ref="SNC32:SND32"/>
    <mergeCell ref="SMG32:SMH32"/>
    <mergeCell ref="SMI32:SMJ32"/>
    <mergeCell ref="SMK32:SML32"/>
    <mergeCell ref="SMM32:SMN32"/>
    <mergeCell ref="SMO32:SMP32"/>
    <mergeCell ref="SMQ32:SMR32"/>
    <mergeCell ref="SLU32:SLV32"/>
    <mergeCell ref="SLW32:SLX32"/>
    <mergeCell ref="SLY32:SLZ32"/>
    <mergeCell ref="SMA32:SMB32"/>
    <mergeCell ref="SMC32:SMD32"/>
    <mergeCell ref="SME32:SMF32"/>
    <mergeCell ref="SLI32:SLJ32"/>
    <mergeCell ref="SLK32:SLL32"/>
    <mergeCell ref="SLM32:SLN32"/>
    <mergeCell ref="SLO32:SLP32"/>
    <mergeCell ref="SLQ32:SLR32"/>
    <mergeCell ref="SLS32:SLT32"/>
    <mergeCell ref="SQK32:SQL32"/>
    <mergeCell ref="SQM32:SQN32"/>
    <mergeCell ref="SQO32:SQP32"/>
    <mergeCell ref="SQQ32:SQR32"/>
    <mergeCell ref="SQS32:SQT32"/>
    <mergeCell ref="SQU32:SQV32"/>
    <mergeCell ref="SPY32:SPZ32"/>
    <mergeCell ref="SQA32:SQB32"/>
    <mergeCell ref="SQC32:SQD32"/>
    <mergeCell ref="SQE32:SQF32"/>
    <mergeCell ref="SQG32:SQH32"/>
    <mergeCell ref="SQI32:SQJ32"/>
    <mergeCell ref="SPM32:SPN32"/>
    <mergeCell ref="SPO32:SPP32"/>
    <mergeCell ref="SPQ32:SPR32"/>
    <mergeCell ref="SPS32:SPT32"/>
    <mergeCell ref="SPU32:SPV32"/>
    <mergeCell ref="SPW32:SPX32"/>
    <mergeCell ref="SPA32:SPB32"/>
    <mergeCell ref="SPC32:SPD32"/>
    <mergeCell ref="SPE32:SPF32"/>
    <mergeCell ref="SPG32:SPH32"/>
    <mergeCell ref="SPI32:SPJ32"/>
    <mergeCell ref="SPK32:SPL32"/>
    <mergeCell ref="SOO32:SOP32"/>
    <mergeCell ref="SOQ32:SOR32"/>
    <mergeCell ref="SOS32:SOT32"/>
    <mergeCell ref="SOU32:SOV32"/>
    <mergeCell ref="SOW32:SOX32"/>
    <mergeCell ref="SOY32:SOZ32"/>
    <mergeCell ref="SOC32:SOD32"/>
    <mergeCell ref="SOE32:SOF32"/>
    <mergeCell ref="SOG32:SOH32"/>
    <mergeCell ref="SOI32:SOJ32"/>
    <mergeCell ref="SOK32:SOL32"/>
    <mergeCell ref="SOM32:SON32"/>
    <mergeCell ref="STE32:STF32"/>
    <mergeCell ref="STG32:STH32"/>
    <mergeCell ref="STI32:STJ32"/>
    <mergeCell ref="STK32:STL32"/>
    <mergeCell ref="STM32:STN32"/>
    <mergeCell ref="STO32:STP32"/>
    <mergeCell ref="SSS32:SST32"/>
    <mergeCell ref="SSU32:SSV32"/>
    <mergeCell ref="SSW32:SSX32"/>
    <mergeCell ref="SSY32:SSZ32"/>
    <mergeCell ref="STA32:STB32"/>
    <mergeCell ref="STC32:STD32"/>
    <mergeCell ref="SSG32:SSH32"/>
    <mergeCell ref="SSI32:SSJ32"/>
    <mergeCell ref="SSK32:SSL32"/>
    <mergeCell ref="SSM32:SSN32"/>
    <mergeCell ref="SSO32:SSP32"/>
    <mergeCell ref="SSQ32:SSR32"/>
    <mergeCell ref="SRU32:SRV32"/>
    <mergeCell ref="SRW32:SRX32"/>
    <mergeCell ref="SRY32:SRZ32"/>
    <mergeCell ref="SSA32:SSB32"/>
    <mergeCell ref="SSC32:SSD32"/>
    <mergeCell ref="SSE32:SSF32"/>
    <mergeCell ref="SRI32:SRJ32"/>
    <mergeCell ref="SRK32:SRL32"/>
    <mergeCell ref="SRM32:SRN32"/>
    <mergeCell ref="SRO32:SRP32"/>
    <mergeCell ref="SRQ32:SRR32"/>
    <mergeCell ref="SRS32:SRT32"/>
    <mergeCell ref="SQW32:SQX32"/>
    <mergeCell ref="SQY32:SQZ32"/>
    <mergeCell ref="SRA32:SRB32"/>
    <mergeCell ref="SRC32:SRD32"/>
    <mergeCell ref="SRE32:SRF32"/>
    <mergeCell ref="SRG32:SRH32"/>
    <mergeCell ref="SVY32:SVZ32"/>
    <mergeCell ref="SWA32:SWB32"/>
    <mergeCell ref="SWC32:SWD32"/>
    <mergeCell ref="SWE32:SWF32"/>
    <mergeCell ref="SWG32:SWH32"/>
    <mergeCell ref="SWI32:SWJ32"/>
    <mergeCell ref="SVM32:SVN32"/>
    <mergeCell ref="SVO32:SVP32"/>
    <mergeCell ref="SVQ32:SVR32"/>
    <mergeCell ref="SVS32:SVT32"/>
    <mergeCell ref="SVU32:SVV32"/>
    <mergeCell ref="SVW32:SVX32"/>
    <mergeCell ref="SVA32:SVB32"/>
    <mergeCell ref="SVC32:SVD32"/>
    <mergeCell ref="SVE32:SVF32"/>
    <mergeCell ref="SVG32:SVH32"/>
    <mergeCell ref="SVI32:SVJ32"/>
    <mergeCell ref="SVK32:SVL32"/>
    <mergeCell ref="SUO32:SUP32"/>
    <mergeCell ref="SUQ32:SUR32"/>
    <mergeCell ref="SUS32:SUT32"/>
    <mergeCell ref="SUU32:SUV32"/>
    <mergeCell ref="SUW32:SUX32"/>
    <mergeCell ref="SUY32:SUZ32"/>
    <mergeCell ref="SUC32:SUD32"/>
    <mergeCell ref="SUE32:SUF32"/>
    <mergeCell ref="SUG32:SUH32"/>
    <mergeCell ref="SUI32:SUJ32"/>
    <mergeCell ref="SUK32:SUL32"/>
    <mergeCell ref="SUM32:SUN32"/>
    <mergeCell ref="STQ32:STR32"/>
    <mergeCell ref="STS32:STT32"/>
    <mergeCell ref="STU32:STV32"/>
    <mergeCell ref="STW32:STX32"/>
    <mergeCell ref="STY32:STZ32"/>
    <mergeCell ref="SUA32:SUB32"/>
    <mergeCell ref="SYS32:SYT32"/>
    <mergeCell ref="SYU32:SYV32"/>
    <mergeCell ref="SYW32:SYX32"/>
    <mergeCell ref="SYY32:SYZ32"/>
    <mergeCell ref="SZA32:SZB32"/>
    <mergeCell ref="SZC32:SZD32"/>
    <mergeCell ref="SYG32:SYH32"/>
    <mergeCell ref="SYI32:SYJ32"/>
    <mergeCell ref="SYK32:SYL32"/>
    <mergeCell ref="SYM32:SYN32"/>
    <mergeCell ref="SYO32:SYP32"/>
    <mergeCell ref="SYQ32:SYR32"/>
    <mergeCell ref="SXU32:SXV32"/>
    <mergeCell ref="SXW32:SXX32"/>
    <mergeCell ref="SXY32:SXZ32"/>
    <mergeCell ref="SYA32:SYB32"/>
    <mergeCell ref="SYC32:SYD32"/>
    <mergeCell ref="SYE32:SYF32"/>
    <mergeCell ref="SXI32:SXJ32"/>
    <mergeCell ref="SXK32:SXL32"/>
    <mergeCell ref="SXM32:SXN32"/>
    <mergeCell ref="SXO32:SXP32"/>
    <mergeCell ref="SXQ32:SXR32"/>
    <mergeCell ref="SXS32:SXT32"/>
    <mergeCell ref="SWW32:SWX32"/>
    <mergeCell ref="SWY32:SWZ32"/>
    <mergeCell ref="SXA32:SXB32"/>
    <mergeCell ref="SXC32:SXD32"/>
    <mergeCell ref="SXE32:SXF32"/>
    <mergeCell ref="SXG32:SXH32"/>
    <mergeCell ref="SWK32:SWL32"/>
    <mergeCell ref="SWM32:SWN32"/>
    <mergeCell ref="SWO32:SWP32"/>
    <mergeCell ref="SWQ32:SWR32"/>
    <mergeCell ref="SWS32:SWT32"/>
    <mergeCell ref="SWU32:SWV32"/>
    <mergeCell ref="TBM32:TBN32"/>
    <mergeCell ref="TBO32:TBP32"/>
    <mergeCell ref="TBQ32:TBR32"/>
    <mergeCell ref="TBS32:TBT32"/>
    <mergeCell ref="TBU32:TBV32"/>
    <mergeCell ref="TBW32:TBX32"/>
    <mergeCell ref="TBA32:TBB32"/>
    <mergeCell ref="TBC32:TBD32"/>
    <mergeCell ref="TBE32:TBF32"/>
    <mergeCell ref="TBG32:TBH32"/>
    <mergeCell ref="TBI32:TBJ32"/>
    <mergeCell ref="TBK32:TBL32"/>
    <mergeCell ref="TAO32:TAP32"/>
    <mergeCell ref="TAQ32:TAR32"/>
    <mergeCell ref="TAS32:TAT32"/>
    <mergeCell ref="TAU32:TAV32"/>
    <mergeCell ref="TAW32:TAX32"/>
    <mergeCell ref="TAY32:TAZ32"/>
    <mergeCell ref="TAC32:TAD32"/>
    <mergeCell ref="TAE32:TAF32"/>
    <mergeCell ref="TAG32:TAH32"/>
    <mergeCell ref="TAI32:TAJ32"/>
    <mergeCell ref="TAK32:TAL32"/>
    <mergeCell ref="TAM32:TAN32"/>
    <mergeCell ref="SZQ32:SZR32"/>
    <mergeCell ref="SZS32:SZT32"/>
    <mergeCell ref="SZU32:SZV32"/>
    <mergeCell ref="SZW32:SZX32"/>
    <mergeCell ref="SZY32:SZZ32"/>
    <mergeCell ref="TAA32:TAB32"/>
    <mergeCell ref="SZE32:SZF32"/>
    <mergeCell ref="SZG32:SZH32"/>
    <mergeCell ref="SZI32:SZJ32"/>
    <mergeCell ref="SZK32:SZL32"/>
    <mergeCell ref="SZM32:SZN32"/>
    <mergeCell ref="SZO32:SZP32"/>
    <mergeCell ref="TEG32:TEH32"/>
    <mergeCell ref="TEI32:TEJ32"/>
    <mergeCell ref="TEK32:TEL32"/>
    <mergeCell ref="TEM32:TEN32"/>
    <mergeCell ref="TEO32:TEP32"/>
    <mergeCell ref="TEQ32:TER32"/>
    <mergeCell ref="TDU32:TDV32"/>
    <mergeCell ref="TDW32:TDX32"/>
    <mergeCell ref="TDY32:TDZ32"/>
    <mergeCell ref="TEA32:TEB32"/>
    <mergeCell ref="TEC32:TED32"/>
    <mergeCell ref="TEE32:TEF32"/>
    <mergeCell ref="TDI32:TDJ32"/>
    <mergeCell ref="TDK32:TDL32"/>
    <mergeCell ref="TDM32:TDN32"/>
    <mergeCell ref="TDO32:TDP32"/>
    <mergeCell ref="TDQ32:TDR32"/>
    <mergeCell ref="TDS32:TDT32"/>
    <mergeCell ref="TCW32:TCX32"/>
    <mergeCell ref="TCY32:TCZ32"/>
    <mergeCell ref="TDA32:TDB32"/>
    <mergeCell ref="TDC32:TDD32"/>
    <mergeCell ref="TDE32:TDF32"/>
    <mergeCell ref="TDG32:TDH32"/>
    <mergeCell ref="TCK32:TCL32"/>
    <mergeCell ref="TCM32:TCN32"/>
    <mergeCell ref="TCO32:TCP32"/>
    <mergeCell ref="TCQ32:TCR32"/>
    <mergeCell ref="TCS32:TCT32"/>
    <mergeCell ref="TCU32:TCV32"/>
    <mergeCell ref="TBY32:TBZ32"/>
    <mergeCell ref="TCA32:TCB32"/>
    <mergeCell ref="TCC32:TCD32"/>
    <mergeCell ref="TCE32:TCF32"/>
    <mergeCell ref="TCG32:TCH32"/>
    <mergeCell ref="TCI32:TCJ32"/>
    <mergeCell ref="THA32:THB32"/>
    <mergeCell ref="THC32:THD32"/>
    <mergeCell ref="THE32:THF32"/>
    <mergeCell ref="THG32:THH32"/>
    <mergeCell ref="THI32:THJ32"/>
    <mergeCell ref="THK32:THL32"/>
    <mergeCell ref="TGO32:TGP32"/>
    <mergeCell ref="TGQ32:TGR32"/>
    <mergeCell ref="TGS32:TGT32"/>
    <mergeCell ref="TGU32:TGV32"/>
    <mergeCell ref="TGW32:TGX32"/>
    <mergeCell ref="TGY32:TGZ32"/>
    <mergeCell ref="TGC32:TGD32"/>
    <mergeCell ref="TGE32:TGF32"/>
    <mergeCell ref="TGG32:TGH32"/>
    <mergeCell ref="TGI32:TGJ32"/>
    <mergeCell ref="TGK32:TGL32"/>
    <mergeCell ref="TGM32:TGN32"/>
    <mergeCell ref="TFQ32:TFR32"/>
    <mergeCell ref="TFS32:TFT32"/>
    <mergeCell ref="TFU32:TFV32"/>
    <mergeCell ref="TFW32:TFX32"/>
    <mergeCell ref="TFY32:TFZ32"/>
    <mergeCell ref="TGA32:TGB32"/>
    <mergeCell ref="TFE32:TFF32"/>
    <mergeCell ref="TFG32:TFH32"/>
    <mergeCell ref="TFI32:TFJ32"/>
    <mergeCell ref="TFK32:TFL32"/>
    <mergeCell ref="TFM32:TFN32"/>
    <mergeCell ref="TFO32:TFP32"/>
    <mergeCell ref="TES32:TET32"/>
    <mergeCell ref="TEU32:TEV32"/>
    <mergeCell ref="TEW32:TEX32"/>
    <mergeCell ref="TEY32:TEZ32"/>
    <mergeCell ref="TFA32:TFB32"/>
    <mergeCell ref="TFC32:TFD32"/>
    <mergeCell ref="TJU32:TJV32"/>
    <mergeCell ref="TJW32:TJX32"/>
    <mergeCell ref="TJY32:TJZ32"/>
    <mergeCell ref="TKA32:TKB32"/>
    <mergeCell ref="TKC32:TKD32"/>
    <mergeCell ref="TKE32:TKF32"/>
    <mergeCell ref="TJI32:TJJ32"/>
    <mergeCell ref="TJK32:TJL32"/>
    <mergeCell ref="TJM32:TJN32"/>
    <mergeCell ref="TJO32:TJP32"/>
    <mergeCell ref="TJQ32:TJR32"/>
    <mergeCell ref="TJS32:TJT32"/>
    <mergeCell ref="TIW32:TIX32"/>
    <mergeCell ref="TIY32:TIZ32"/>
    <mergeCell ref="TJA32:TJB32"/>
    <mergeCell ref="TJC32:TJD32"/>
    <mergeCell ref="TJE32:TJF32"/>
    <mergeCell ref="TJG32:TJH32"/>
    <mergeCell ref="TIK32:TIL32"/>
    <mergeCell ref="TIM32:TIN32"/>
    <mergeCell ref="TIO32:TIP32"/>
    <mergeCell ref="TIQ32:TIR32"/>
    <mergeCell ref="TIS32:TIT32"/>
    <mergeCell ref="TIU32:TIV32"/>
    <mergeCell ref="THY32:THZ32"/>
    <mergeCell ref="TIA32:TIB32"/>
    <mergeCell ref="TIC32:TID32"/>
    <mergeCell ref="TIE32:TIF32"/>
    <mergeCell ref="TIG32:TIH32"/>
    <mergeCell ref="TII32:TIJ32"/>
    <mergeCell ref="THM32:THN32"/>
    <mergeCell ref="THO32:THP32"/>
    <mergeCell ref="THQ32:THR32"/>
    <mergeCell ref="THS32:THT32"/>
    <mergeCell ref="THU32:THV32"/>
    <mergeCell ref="THW32:THX32"/>
    <mergeCell ref="TMO32:TMP32"/>
    <mergeCell ref="TMQ32:TMR32"/>
    <mergeCell ref="TMS32:TMT32"/>
    <mergeCell ref="TMU32:TMV32"/>
    <mergeCell ref="TMW32:TMX32"/>
    <mergeCell ref="TMY32:TMZ32"/>
    <mergeCell ref="TMC32:TMD32"/>
    <mergeCell ref="TME32:TMF32"/>
    <mergeCell ref="TMG32:TMH32"/>
    <mergeCell ref="TMI32:TMJ32"/>
    <mergeCell ref="TMK32:TML32"/>
    <mergeCell ref="TMM32:TMN32"/>
    <mergeCell ref="TLQ32:TLR32"/>
    <mergeCell ref="TLS32:TLT32"/>
    <mergeCell ref="TLU32:TLV32"/>
    <mergeCell ref="TLW32:TLX32"/>
    <mergeCell ref="TLY32:TLZ32"/>
    <mergeCell ref="TMA32:TMB32"/>
    <mergeCell ref="TLE32:TLF32"/>
    <mergeCell ref="TLG32:TLH32"/>
    <mergeCell ref="TLI32:TLJ32"/>
    <mergeCell ref="TLK32:TLL32"/>
    <mergeCell ref="TLM32:TLN32"/>
    <mergeCell ref="TLO32:TLP32"/>
    <mergeCell ref="TKS32:TKT32"/>
    <mergeCell ref="TKU32:TKV32"/>
    <mergeCell ref="TKW32:TKX32"/>
    <mergeCell ref="TKY32:TKZ32"/>
    <mergeCell ref="TLA32:TLB32"/>
    <mergeCell ref="TLC32:TLD32"/>
    <mergeCell ref="TKG32:TKH32"/>
    <mergeCell ref="TKI32:TKJ32"/>
    <mergeCell ref="TKK32:TKL32"/>
    <mergeCell ref="TKM32:TKN32"/>
    <mergeCell ref="TKO32:TKP32"/>
    <mergeCell ref="TKQ32:TKR32"/>
    <mergeCell ref="TPI32:TPJ32"/>
    <mergeCell ref="TPK32:TPL32"/>
    <mergeCell ref="TPM32:TPN32"/>
    <mergeCell ref="TPO32:TPP32"/>
    <mergeCell ref="TPQ32:TPR32"/>
    <mergeCell ref="TPS32:TPT32"/>
    <mergeCell ref="TOW32:TOX32"/>
    <mergeCell ref="TOY32:TOZ32"/>
    <mergeCell ref="TPA32:TPB32"/>
    <mergeCell ref="TPC32:TPD32"/>
    <mergeCell ref="TPE32:TPF32"/>
    <mergeCell ref="TPG32:TPH32"/>
    <mergeCell ref="TOK32:TOL32"/>
    <mergeCell ref="TOM32:TON32"/>
    <mergeCell ref="TOO32:TOP32"/>
    <mergeCell ref="TOQ32:TOR32"/>
    <mergeCell ref="TOS32:TOT32"/>
    <mergeCell ref="TOU32:TOV32"/>
    <mergeCell ref="TNY32:TNZ32"/>
    <mergeCell ref="TOA32:TOB32"/>
    <mergeCell ref="TOC32:TOD32"/>
    <mergeCell ref="TOE32:TOF32"/>
    <mergeCell ref="TOG32:TOH32"/>
    <mergeCell ref="TOI32:TOJ32"/>
    <mergeCell ref="TNM32:TNN32"/>
    <mergeCell ref="TNO32:TNP32"/>
    <mergeCell ref="TNQ32:TNR32"/>
    <mergeCell ref="TNS32:TNT32"/>
    <mergeCell ref="TNU32:TNV32"/>
    <mergeCell ref="TNW32:TNX32"/>
    <mergeCell ref="TNA32:TNB32"/>
    <mergeCell ref="TNC32:TND32"/>
    <mergeCell ref="TNE32:TNF32"/>
    <mergeCell ref="TNG32:TNH32"/>
    <mergeCell ref="TNI32:TNJ32"/>
    <mergeCell ref="TNK32:TNL32"/>
    <mergeCell ref="TSC32:TSD32"/>
    <mergeCell ref="TSE32:TSF32"/>
    <mergeCell ref="TSG32:TSH32"/>
    <mergeCell ref="TSI32:TSJ32"/>
    <mergeCell ref="TSK32:TSL32"/>
    <mergeCell ref="TSM32:TSN32"/>
    <mergeCell ref="TRQ32:TRR32"/>
    <mergeCell ref="TRS32:TRT32"/>
    <mergeCell ref="TRU32:TRV32"/>
    <mergeCell ref="TRW32:TRX32"/>
    <mergeCell ref="TRY32:TRZ32"/>
    <mergeCell ref="TSA32:TSB32"/>
    <mergeCell ref="TRE32:TRF32"/>
    <mergeCell ref="TRG32:TRH32"/>
    <mergeCell ref="TRI32:TRJ32"/>
    <mergeCell ref="TRK32:TRL32"/>
    <mergeCell ref="TRM32:TRN32"/>
    <mergeCell ref="TRO32:TRP32"/>
    <mergeCell ref="TQS32:TQT32"/>
    <mergeCell ref="TQU32:TQV32"/>
    <mergeCell ref="TQW32:TQX32"/>
    <mergeCell ref="TQY32:TQZ32"/>
    <mergeCell ref="TRA32:TRB32"/>
    <mergeCell ref="TRC32:TRD32"/>
    <mergeCell ref="TQG32:TQH32"/>
    <mergeCell ref="TQI32:TQJ32"/>
    <mergeCell ref="TQK32:TQL32"/>
    <mergeCell ref="TQM32:TQN32"/>
    <mergeCell ref="TQO32:TQP32"/>
    <mergeCell ref="TQQ32:TQR32"/>
    <mergeCell ref="TPU32:TPV32"/>
    <mergeCell ref="TPW32:TPX32"/>
    <mergeCell ref="TPY32:TPZ32"/>
    <mergeCell ref="TQA32:TQB32"/>
    <mergeCell ref="TQC32:TQD32"/>
    <mergeCell ref="TQE32:TQF32"/>
    <mergeCell ref="TUW32:TUX32"/>
    <mergeCell ref="TUY32:TUZ32"/>
    <mergeCell ref="TVA32:TVB32"/>
    <mergeCell ref="TVC32:TVD32"/>
    <mergeCell ref="TVE32:TVF32"/>
    <mergeCell ref="TVG32:TVH32"/>
    <mergeCell ref="TUK32:TUL32"/>
    <mergeCell ref="TUM32:TUN32"/>
    <mergeCell ref="TUO32:TUP32"/>
    <mergeCell ref="TUQ32:TUR32"/>
    <mergeCell ref="TUS32:TUT32"/>
    <mergeCell ref="TUU32:TUV32"/>
    <mergeCell ref="TTY32:TTZ32"/>
    <mergeCell ref="TUA32:TUB32"/>
    <mergeCell ref="TUC32:TUD32"/>
    <mergeCell ref="TUE32:TUF32"/>
    <mergeCell ref="TUG32:TUH32"/>
    <mergeCell ref="TUI32:TUJ32"/>
    <mergeCell ref="TTM32:TTN32"/>
    <mergeCell ref="TTO32:TTP32"/>
    <mergeCell ref="TTQ32:TTR32"/>
    <mergeCell ref="TTS32:TTT32"/>
    <mergeCell ref="TTU32:TTV32"/>
    <mergeCell ref="TTW32:TTX32"/>
    <mergeCell ref="TTA32:TTB32"/>
    <mergeCell ref="TTC32:TTD32"/>
    <mergeCell ref="TTE32:TTF32"/>
    <mergeCell ref="TTG32:TTH32"/>
    <mergeCell ref="TTI32:TTJ32"/>
    <mergeCell ref="TTK32:TTL32"/>
    <mergeCell ref="TSO32:TSP32"/>
    <mergeCell ref="TSQ32:TSR32"/>
    <mergeCell ref="TSS32:TST32"/>
    <mergeCell ref="TSU32:TSV32"/>
    <mergeCell ref="TSW32:TSX32"/>
    <mergeCell ref="TSY32:TSZ32"/>
    <mergeCell ref="TXQ32:TXR32"/>
    <mergeCell ref="TXS32:TXT32"/>
    <mergeCell ref="TXU32:TXV32"/>
    <mergeCell ref="TXW32:TXX32"/>
    <mergeCell ref="TXY32:TXZ32"/>
    <mergeCell ref="TYA32:TYB32"/>
    <mergeCell ref="TXE32:TXF32"/>
    <mergeCell ref="TXG32:TXH32"/>
    <mergeCell ref="TXI32:TXJ32"/>
    <mergeCell ref="TXK32:TXL32"/>
    <mergeCell ref="TXM32:TXN32"/>
    <mergeCell ref="TXO32:TXP32"/>
    <mergeCell ref="TWS32:TWT32"/>
    <mergeCell ref="TWU32:TWV32"/>
    <mergeCell ref="TWW32:TWX32"/>
    <mergeCell ref="TWY32:TWZ32"/>
    <mergeCell ref="TXA32:TXB32"/>
    <mergeCell ref="TXC32:TXD32"/>
    <mergeCell ref="TWG32:TWH32"/>
    <mergeCell ref="TWI32:TWJ32"/>
    <mergeCell ref="TWK32:TWL32"/>
    <mergeCell ref="TWM32:TWN32"/>
    <mergeCell ref="TWO32:TWP32"/>
    <mergeCell ref="TWQ32:TWR32"/>
    <mergeCell ref="TVU32:TVV32"/>
    <mergeCell ref="TVW32:TVX32"/>
    <mergeCell ref="TVY32:TVZ32"/>
    <mergeCell ref="TWA32:TWB32"/>
    <mergeCell ref="TWC32:TWD32"/>
    <mergeCell ref="TWE32:TWF32"/>
    <mergeCell ref="TVI32:TVJ32"/>
    <mergeCell ref="TVK32:TVL32"/>
    <mergeCell ref="TVM32:TVN32"/>
    <mergeCell ref="TVO32:TVP32"/>
    <mergeCell ref="TVQ32:TVR32"/>
    <mergeCell ref="TVS32:TVT32"/>
    <mergeCell ref="UAK32:UAL32"/>
    <mergeCell ref="UAM32:UAN32"/>
    <mergeCell ref="UAO32:UAP32"/>
    <mergeCell ref="UAQ32:UAR32"/>
    <mergeCell ref="UAS32:UAT32"/>
    <mergeCell ref="UAU32:UAV32"/>
    <mergeCell ref="TZY32:TZZ32"/>
    <mergeCell ref="UAA32:UAB32"/>
    <mergeCell ref="UAC32:UAD32"/>
    <mergeCell ref="UAE32:UAF32"/>
    <mergeCell ref="UAG32:UAH32"/>
    <mergeCell ref="UAI32:UAJ32"/>
    <mergeCell ref="TZM32:TZN32"/>
    <mergeCell ref="TZO32:TZP32"/>
    <mergeCell ref="TZQ32:TZR32"/>
    <mergeCell ref="TZS32:TZT32"/>
    <mergeCell ref="TZU32:TZV32"/>
    <mergeCell ref="TZW32:TZX32"/>
    <mergeCell ref="TZA32:TZB32"/>
    <mergeCell ref="TZC32:TZD32"/>
    <mergeCell ref="TZE32:TZF32"/>
    <mergeCell ref="TZG32:TZH32"/>
    <mergeCell ref="TZI32:TZJ32"/>
    <mergeCell ref="TZK32:TZL32"/>
    <mergeCell ref="TYO32:TYP32"/>
    <mergeCell ref="TYQ32:TYR32"/>
    <mergeCell ref="TYS32:TYT32"/>
    <mergeCell ref="TYU32:TYV32"/>
    <mergeCell ref="TYW32:TYX32"/>
    <mergeCell ref="TYY32:TYZ32"/>
    <mergeCell ref="TYC32:TYD32"/>
    <mergeCell ref="TYE32:TYF32"/>
    <mergeCell ref="TYG32:TYH32"/>
    <mergeCell ref="TYI32:TYJ32"/>
    <mergeCell ref="TYK32:TYL32"/>
    <mergeCell ref="TYM32:TYN32"/>
    <mergeCell ref="UDE32:UDF32"/>
    <mergeCell ref="UDG32:UDH32"/>
    <mergeCell ref="UDI32:UDJ32"/>
    <mergeCell ref="UDK32:UDL32"/>
    <mergeCell ref="UDM32:UDN32"/>
    <mergeCell ref="UDO32:UDP32"/>
    <mergeCell ref="UCS32:UCT32"/>
    <mergeCell ref="UCU32:UCV32"/>
    <mergeCell ref="UCW32:UCX32"/>
    <mergeCell ref="UCY32:UCZ32"/>
    <mergeCell ref="UDA32:UDB32"/>
    <mergeCell ref="UDC32:UDD32"/>
    <mergeCell ref="UCG32:UCH32"/>
    <mergeCell ref="UCI32:UCJ32"/>
    <mergeCell ref="UCK32:UCL32"/>
    <mergeCell ref="UCM32:UCN32"/>
    <mergeCell ref="UCO32:UCP32"/>
    <mergeCell ref="UCQ32:UCR32"/>
    <mergeCell ref="UBU32:UBV32"/>
    <mergeCell ref="UBW32:UBX32"/>
    <mergeCell ref="UBY32:UBZ32"/>
    <mergeCell ref="UCA32:UCB32"/>
    <mergeCell ref="UCC32:UCD32"/>
    <mergeCell ref="UCE32:UCF32"/>
    <mergeCell ref="UBI32:UBJ32"/>
    <mergeCell ref="UBK32:UBL32"/>
    <mergeCell ref="UBM32:UBN32"/>
    <mergeCell ref="UBO32:UBP32"/>
    <mergeCell ref="UBQ32:UBR32"/>
    <mergeCell ref="UBS32:UBT32"/>
    <mergeCell ref="UAW32:UAX32"/>
    <mergeCell ref="UAY32:UAZ32"/>
    <mergeCell ref="UBA32:UBB32"/>
    <mergeCell ref="UBC32:UBD32"/>
    <mergeCell ref="UBE32:UBF32"/>
    <mergeCell ref="UBG32:UBH32"/>
    <mergeCell ref="UFY32:UFZ32"/>
    <mergeCell ref="UGA32:UGB32"/>
    <mergeCell ref="UGC32:UGD32"/>
    <mergeCell ref="UGE32:UGF32"/>
    <mergeCell ref="UGG32:UGH32"/>
    <mergeCell ref="UGI32:UGJ32"/>
    <mergeCell ref="UFM32:UFN32"/>
    <mergeCell ref="UFO32:UFP32"/>
    <mergeCell ref="UFQ32:UFR32"/>
    <mergeCell ref="UFS32:UFT32"/>
    <mergeCell ref="UFU32:UFV32"/>
    <mergeCell ref="UFW32:UFX32"/>
    <mergeCell ref="UFA32:UFB32"/>
    <mergeCell ref="UFC32:UFD32"/>
    <mergeCell ref="UFE32:UFF32"/>
    <mergeCell ref="UFG32:UFH32"/>
    <mergeCell ref="UFI32:UFJ32"/>
    <mergeCell ref="UFK32:UFL32"/>
    <mergeCell ref="UEO32:UEP32"/>
    <mergeCell ref="UEQ32:UER32"/>
    <mergeCell ref="UES32:UET32"/>
    <mergeCell ref="UEU32:UEV32"/>
    <mergeCell ref="UEW32:UEX32"/>
    <mergeCell ref="UEY32:UEZ32"/>
    <mergeCell ref="UEC32:UED32"/>
    <mergeCell ref="UEE32:UEF32"/>
    <mergeCell ref="UEG32:UEH32"/>
    <mergeCell ref="UEI32:UEJ32"/>
    <mergeCell ref="UEK32:UEL32"/>
    <mergeCell ref="UEM32:UEN32"/>
    <mergeCell ref="UDQ32:UDR32"/>
    <mergeCell ref="UDS32:UDT32"/>
    <mergeCell ref="UDU32:UDV32"/>
    <mergeCell ref="UDW32:UDX32"/>
    <mergeCell ref="UDY32:UDZ32"/>
    <mergeCell ref="UEA32:UEB32"/>
    <mergeCell ref="UIS32:UIT32"/>
    <mergeCell ref="UIU32:UIV32"/>
    <mergeCell ref="UIW32:UIX32"/>
    <mergeCell ref="UIY32:UIZ32"/>
    <mergeCell ref="UJA32:UJB32"/>
    <mergeCell ref="UJC32:UJD32"/>
    <mergeCell ref="UIG32:UIH32"/>
    <mergeCell ref="UII32:UIJ32"/>
    <mergeCell ref="UIK32:UIL32"/>
    <mergeCell ref="UIM32:UIN32"/>
    <mergeCell ref="UIO32:UIP32"/>
    <mergeCell ref="UIQ32:UIR32"/>
    <mergeCell ref="UHU32:UHV32"/>
    <mergeCell ref="UHW32:UHX32"/>
    <mergeCell ref="UHY32:UHZ32"/>
    <mergeCell ref="UIA32:UIB32"/>
    <mergeCell ref="UIC32:UID32"/>
    <mergeCell ref="UIE32:UIF32"/>
    <mergeCell ref="UHI32:UHJ32"/>
    <mergeCell ref="UHK32:UHL32"/>
    <mergeCell ref="UHM32:UHN32"/>
    <mergeCell ref="UHO32:UHP32"/>
    <mergeCell ref="UHQ32:UHR32"/>
    <mergeCell ref="UHS32:UHT32"/>
    <mergeCell ref="UGW32:UGX32"/>
    <mergeCell ref="UGY32:UGZ32"/>
    <mergeCell ref="UHA32:UHB32"/>
    <mergeCell ref="UHC32:UHD32"/>
    <mergeCell ref="UHE32:UHF32"/>
    <mergeCell ref="UHG32:UHH32"/>
    <mergeCell ref="UGK32:UGL32"/>
    <mergeCell ref="UGM32:UGN32"/>
    <mergeCell ref="UGO32:UGP32"/>
    <mergeCell ref="UGQ32:UGR32"/>
    <mergeCell ref="UGS32:UGT32"/>
    <mergeCell ref="UGU32:UGV32"/>
    <mergeCell ref="ULM32:ULN32"/>
    <mergeCell ref="ULO32:ULP32"/>
    <mergeCell ref="ULQ32:ULR32"/>
    <mergeCell ref="ULS32:ULT32"/>
    <mergeCell ref="ULU32:ULV32"/>
    <mergeCell ref="ULW32:ULX32"/>
    <mergeCell ref="ULA32:ULB32"/>
    <mergeCell ref="ULC32:ULD32"/>
    <mergeCell ref="ULE32:ULF32"/>
    <mergeCell ref="ULG32:ULH32"/>
    <mergeCell ref="ULI32:ULJ32"/>
    <mergeCell ref="ULK32:ULL32"/>
    <mergeCell ref="UKO32:UKP32"/>
    <mergeCell ref="UKQ32:UKR32"/>
    <mergeCell ref="UKS32:UKT32"/>
    <mergeCell ref="UKU32:UKV32"/>
    <mergeCell ref="UKW32:UKX32"/>
    <mergeCell ref="UKY32:UKZ32"/>
    <mergeCell ref="UKC32:UKD32"/>
    <mergeCell ref="UKE32:UKF32"/>
    <mergeCell ref="UKG32:UKH32"/>
    <mergeCell ref="UKI32:UKJ32"/>
    <mergeCell ref="UKK32:UKL32"/>
    <mergeCell ref="UKM32:UKN32"/>
    <mergeCell ref="UJQ32:UJR32"/>
    <mergeCell ref="UJS32:UJT32"/>
    <mergeCell ref="UJU32:UJV32"/>
    <mergeCell ref="UJW32:UJX32"/>
    <mergeCell ref="UJY32:UJZ32"/>
    <mergeCell ref="UKA32:UKB32"/>
    <mergeCell ref="UJE32:UJF32"/>
    <mergeCell ref="UJG32:UJH32"/>
    <mergeCell ref="UJI32:UJJ32"/>
    <mergeCell ref="UJK32:UJL32"/>
    <mergeCell ref="UJM32:UJN32"/>
    <mergeCell ref="UJO32:UJP32"/>
    <mergeCell ref="UOG32:UOH32"/>
    <mergeCell ref="UOI32:UOJ32"/>
    <mergeCell ref="UOK32:UOL32"/>
    <mergeCell ref="UOM32:UON32"/>
    <mergeCell ref="UOO32:UOP32"/>
    <mergeCell ref="UOQ32:UOR32"/>
    <mergeCell ref="UNU32:UNV32"/>
    <mergeCell ref="UNW32:UNX32"/>
    <mergeCell ref="UNY32:UNZ32"/>
    <mergeCell ref="UOA32:UOB32"/>
    <mergeCell ref="UOC32:UOD32"/>
    <mergeCell ref="UOE32:UOF32"/>
    <mergeCell ref="UNI32:UNJ32"/>
    <mergeCell ref="UNK32:UNL32"/>
    <mergeCell ref="UNM32:UNN32"/>
    <mergeCell ref="UNO32:UNP32"/>
    <mergeCell ref="UNQ32:UNR32"/>
    <mergeCell ref="UNS32:UNT32"/>
    <mergeCell ref="UMW32:UMX32"/>
    <mergeCell ref="UMY32:UMZ32"/>
    <mergeCell ref="UNA32:UNB32"/>
    <mergeCell ref="UNC32:UND32"/>
    <mergeCell ref="UNE32:UNF32"/>
    <mergeCell ref="UNG32:UNH32"/>
    <mergeCell ref="UMK32:UML32"/>
    <mergeCell ref="UMM32:UMN32"/>
    <mergeCell ref="UMO32:UMP32"/>
    <mergeCell ref="UMQ32:UMR32"/>
    <mergeCell ref="UMS32:UMT32"/>
    <mergeCell ref="UMU32:UMV32"/>
    <mergeCell ref="ULY32:ULZ32"/>
    <mergeCell ref="UMA32:UMB32"/>
    <mergeCell ref="UMC32:UMD32"/>
    <mergeCell ref="UME32:UMF32"/>
    <mergeCell ref="UMG32:UMH32"/>
    <mergeCell ref="UMI32:UMJ32"/>
    <mergeCell ref="URA32:URB32"/>
    <mergeCell ref="URC32:URD32"/>
    <mergeCell ref="URE32:URF32"/>
    <mergeCell ref="URG32:URH32"/>
    <mergeCell ref="URI32:URJ32"/>
    <mergeCell ref="URK32:URL32"/>
    <mergeCell ref="UQO32:UQP32"/>
    <mergeCell ref="UQQ32:UQR32"/>
    <mergeCell ref="UQS32:UQT32"/>
    <mergeCell ref="UQU32:UQV32"/>
    <mergeCell ref="UQW32:UQX32"/>
    <mergeCell ref="UQY32:UQZ32"/>
    <mergeCell ref="UQC32:UQD32"/>
    <mergeCell ref="UQE32:UQF32"/>
    <mergeCell ref="UQG32:UQH32"/>
    <mergeCell ref="UQI32:UQJ32"/>
    <mergeCell ref="UQK32:UQL32"/>
    <mergeCell ref="UQM32:UQN32"/>
    <mergeCell ref="UPQ32:UPR32"/>
    <mergeCell ref="UPS32:UPT32"/>
    <mergeCell ref="UPU32:UPV32"/>
    <mergeCell ref="UPW32:UPX32"/>
    <mergeCell ref="UPY32:UPZ32"/>
    <mergeCell ref="UQA32:UQB32"/>
    <mergeCell ref="UPE32:UPF32"/>
    <mergeCell ref="UPG32:UPH32"/>
    <mergeCell ref="UPI32:UPJ32"/>
    <mergeCell ref="UPK32:UPL32"/>
    <mergeCell ref="UPM32:UPN32"/>
    <mergeCell ref="UPO32:UPP32"/>
    <mergeCell ref="UOS32:UOT32"/>
    <mergeCell ref="UOU32:UOV32"/>
    <mergeCell ref="UOW32:UOX32"/>
    <mergeCell ref="UOY32:UOZ32"/>
    <mergeCell ref="UPA32:UPB32"/>
    <mergeCell ref="UPC32:UPD32"/>
    <mergeCell ref="UTU32:UTV32"/>
    <mergeCell ref="UTW32:UTX32"/>
    <mergeCell ref="UTY32:UTZ32"/>
    <mergeCell ref="UUA32:UUB32"/>
    <mergeCell ref="UUC32:UUD32"/>
    <mergeCell ref="UUE32:UUF32"/>
    <mergeCell ref="UTI32:UTJ32"/>
    <mergeCell ref="UTK32:UTL32"/>
    <mergeCell ref="UTM32:UTN32"/>
    <mergeCell ref="UTO32:UTP32"/>
    <mergeCell ref="UTQ32:UTR32"/>
    <mergeCell ref="UTS32:UTT32"/>
    <mergeCell ref="USW32:USX32"/>
    <mergeCell ref="USY32:USZ32"/>
    <mergeCell ref="UTA32:UTB32"/>
    <mergeCell ref="UTC32:UTD32"/>
    <mergeCell ref="UTE32:UTF32"/>
    <mergeCell ref="UTG32:UTH32"/>
    <mergeCell ref="USK32:USL32"/>
    <mergeCell ref="USM32:USN32"/>
    <mergeCell ref="USO32:USP32"/>
    <mergeCell ref="USQ32:USR32"/>
    <mergeCell ref="USS32:UST32"/>
    <mergeCell ref="USU32:USV32"/>
    <mergeCell ref="URY32:URZ32"/>
    <mergeCell ref="USA32:USB32"/>
    <mergeCell ref="USC32:USD32"/>
    <mergeCell ref="USE32:USF32"/>
    <mergeCell ref="USG32:USH32"/>
    <mergeCell ref="USI32:USJ32"/>
    <mergeCell ref="URM32:URN32"/>
    <mergeCell ref="URO32:URP32"/>
    <mergeCell ref="URQ32:URR32"/>
    <mergeCell ref="URS32:URT32"/>
    <mergeCell ref="URU32:URV32"/>
    <mergeCell ref="URW32:URX32"/>
    <mergeCell ref="UWO32:UWP32"/>
    <mergeCell ref="UWQ32:UWR32"/>
    <mergeCell ref="UWS32:UWT32"/>
    <mergeCell ref="UWU32:UWV32"/>
    <mergeCell ref="UWW32:UWX32"/>
    <mergeCell ref="UWY32:UWZ32"/>
    <mergeCell ref="UWC32:UWD32"/>
    <mergeCell ref="UWE32:UWF32"/>
    <mergeCell ref="UWG32:UWH32"/>
    <mergeCell ref="UWI32:UWJ32"/>
    <mergeCell ref="UWK32:UWL32"/>
    <mergeCell ref="UWM32:UWN32"/>
    <mergeCell ref="UVQ32:UVR32"/>
    <mergeCell ref="UVS32:UVT32"/>
    <mergeCell ref="UVU32:UVV32"/>
    <mergeCell ref="UVW32:UVX32"/>
    <mergeCell ref="UVY32:UVZ32"/>
    <mergeCell ref="UWA32:UWB32"/>
    <mergeCell ref="UVE32:UVF32"/>
    <mergeCell ref="UVG32:UVH32"/>
    <mergeCell ref="UVI32:UVJ32"/>
    <mergeCell ref="UVK32:UVL32"/>
    <mergeCell ref="UVM32:UVN32"/>
    <mergeCell ref="UVO32:UVP32"/>
    <mergeCell ref="UUS32:UUT32"/>
    <mergeCell ref="UUU32:UUV32"/>
    <mergeCell ref="UUW32:UUX32"/>
    <mergeCell ref="UUY32:UUZ32"/>
    <mergeCell ref="UVA32:UVB32"/>
    <mergeCell ref="UVC32:UVD32"/>
    <mergeCell ref="UUG32:UUH32"/>
    <mergeCell ref="UUI32:UUJ32"/>
    <mergeCell ref="UUK32:UUL32"/>
    <mergeCell ref="UUM32:UUN32"/>
    <mergeCell ref="UUO32:UUP32"/>
    <mergeCell ref="UUQ32:UUR32"/>
    <mergeCell ref="UZI32:UZJ32"/>
    <mergeCell ref="UZK32:UZL32"/>
    <mergeCell ref="UZM32:UZN32"/>
    <mergeCell ref="UZO32:UZP32"/>
    <mergeCell ref="UZQ32:UZR32"/>
    <mergeCell ref="UZS32:UZT32"/>
    <mergeCell ref="UYW32:UYX32"/>
    <mergeCell ref="UYY32:UYZ32"/>
    <mergeCell ref="UZA32:UZB32"/>
    <mergeCell ref="UZC32:UZD32"/>
    <mergeCell ref="UZE32:UZF32"/>
    <mergeCell ref="UZG32:UZH32"/>
    <mergeCell ref="UYK32:UYL32"/>
    <mergeCell ref="UYM32:UYN32"/>
    <mergeCell ref="UYO32:UYP32"/>
    <mergeCell ref="UYQ32:UYR32"/>
    <mergeCell ref="UYS32:UYT32"/>
    <mergeCell ref="UYU32:UYV32"/>
    <mergeCell ref="UXY32:UXZ32"/>
    <mergeCell ref="UYA32:UYB32"/>
    <mergeCell ref="UYC32:UYD32"/>
    <mergeCell ref="UYE32:UYF32"/>
    <mergeCell ref="UYG32:UYH32"/>
    <mergeCell ref="UYI32:UYJ32"/>
    <mergeCell ref="UXM32:UXN32"/>
    <mergeCell ref="UXO32:UXP32"/>
    <mergeCell ref="UXQ32:UXR32"/>
    <mergeCell ref="UXS32:UXT32"/>
    <mergeCell ref="UXU32:UXV32"/>
    <mergeCell ref="UXW32:UXX32"/>
    <mergeCell ref="UXA32:UXB32"/>
    <mergeCell ref="UXC32:UXD32"/>
    <mergeCell ref="UXE32:UXF32"/>
    <mergeCell ref="UXG32:UXH32"/>
    <mergeCell ref="UXI32:UXJ32"/>
    <mergeCell ref="UXK32:UXL32"/>
    <mergeCell ref="VCC32:VCD32"/>
    <mergeCell ref="VCE32:VCF32"/>
    <mergeCell ref="VCG32:VCH32"/>
    <mergeCell ref="VCI32:VCJ32"/>
    <mergeCell ref="VCK32:VCL32"/>
    <mergeCell ref="VCM32:VCN32"/>
    <mergeCell ref="VBQ32:VBR32"/>
    <mergeCell ref="VBS32:VBT32"/>
    <mergeCell ref="VBU32:VBV32"/>
    <mergeCell ref="VBW32:VBX32"/>
    <mergeCell ref="VBY32:VBZ32"/>
    <mergeCell ref="VCA32:VCB32"/>
    <mergeCell ref="VBE32:VBF32"/>
    <mergeCell ref="VBG32:VBH32"/>
    <mergeCell ref="VBI32:VBJ32"/>
    <mergeCell ref="VBK32:VBL32"/>
    <mergeCell ref="VBM32:VBN32"/>
    <mergeCell ref="VBO32:VBP32"/>
    <mergeCell ref="VAS32:VAT32"/>
    <mergeCell ref="VAU32:VAV32"/>
    <mergeCell ref="VAW32:VAX32"/>
    <mergeCell ref="VAY32:VAZ32"/>
    <mergeCell ref="VBA32:VBB32"/>
    <mergeCell ref="VBC32:VBD32"/>
    <mergeCell ref="VAG32:VAH32"/>
    <mergeCell ref="VAI32:VAJ32"/>
    <mergeCell ref="VAK32:VAL32"/>
    <mergeCell ref="VAM32:VAN32"/>
    <mergeCell ref="VAO32:VAP32"/>
    <mergeCell ref="VAQ32:VAR32"/>
    <mergeCell ref="UZU32:UZV32"/>
    <mergeCell ref="UZW32:UZX32"/>
    <mergeCell ref="UZY32:UZZ32"/>
    <mergeCell ref="VAA32:VAB32"/>
    <mergeCell ref="VAC32:VAD32"/>
    <mergeCell ref="VAE32:VAF32"/>
    <mergeCell ref="VEW32:VEX32"/>
    <mergeCell ref="VEY32:VEZ32"/>
    <mergeCell ref="VFA32:VFB32"/>
    <mergeCell ref="VFC32:VFD32"/>
    <mergeCell ref="VFE32:VFF32"/>
    <mergeCell ref="VFG32:VFH32"/>
    <mergeCell ref="VEK32:VEL32"/>
    <mergeCell ref="VEM32:VEN32"/>
    <mergeCell ref="VEO32:VEP32"/>
    <mergeCell ref="VEQ32:VER32"/>
    <mergeCell ref="VES32:VET32"/>
    <mergeCell ref="VEU32:VEV32"/>
    <mergeCell ref="VDY32:VDZ32"/>
    <mergeCell ref="VEA32:VEB32"/>
    <mergeCell ref="VEC32:VED32"/>
    <mergeCell ref="VEE32:VEF32"/>
    <mergeCell ref="VEG32:VEH32"/>
    <mergeCell ref="VEI32:VEJ32"/>
    <mergeCell ref="VDM32:VDN32"/>
    <mergeCell ref="VDO32:VDP32"/>
    <mergeCell ref="VDQ32:VDR32"/>
    <mergeCell ref="VDS32:VDT32"/>
    <mergeCell ref="VDU32:VDV32"/>
    <mergeCell ref="VDW32:VDX32"/>
    <mergeCell ref="VDA32:VDB32"/>
    <mergeCell ref="VDC32:VDD32"/>
    <mergeCell ref="VDE32:VDF32"/>
    <mergeCell ref="VDG32:VDH32"/>
    <mergeCell ref="VDI32:VDJ32"/>
    <mergeCell ref="VDK32:VDL32"/>
    <mergeCell ref="VCO32:VCP32"/>
    <mergeCell ref="VCQ32:VCR32"/>
    <mergeCell ref="VCS32:VCT32"/>
    <mergeCell ref="VCU32:VCV32"/>
    <mergeCell ref="VCW32:VCX32"/>
    <mergeCell ref="VCY32:VCZ32"/>
    <mergeCell ref="VHQ32:VHR32"/>
    <mergeCell ref="VHS32:VHT32"/>
    <mergeCell ref="VHU32:VHV32"/>
    <mergeCell ref="VHW32:VHX32"/>
    <mergeCell ref="VHY32:VHZ32"/>
    <mergeCell ref="VIA32:VIB32"/>
    <mergeCell ref="VHE32:VHF32"/>
    <mergeCell ref="VHG32:VHH32"/>
    <mergeCell ref="VHI32:VHJ32"/>
    <mergeCell ref="VHK32:VHL32"/>
    <mergeCell ref="VHM32:VHN32"/>
    <mergeCell ref="VHO32:VHP32"/>
    <mergeCell ref="VGS32:VGT32"/>
    <mergeCell ref="VGU32:VGV32"/>
    <mergeCell ref="VGW32:VGX32"/>
    <mergeCell ref="VGY32:VGZ32"/>
    <mergeCell ref="VHA32:VHB32"/>
    <mergeCell ref="VHC32:VHD32"/>
    <mergeCell ref="VGG32:VGH32"/>
    <mergeCell ref="VGI32:VGJ32"/>
    <mergeCell ref="VGK32:VGL32"/>
    <mergeCell ref="VGM32:VGN32"/>
    <mergeCell ref="VGO32:VGP32"/>
    <mergeCell ref="VGQ32:VGR32"/>
    <mergeCell ref="VFU32:VFV32"/>
    <mergeCell ref="VFW32:VFX32"/>
    <mergeCell ref="VFY32:VFZ32"/>
    <mergeCell ref="VGA32:VGB32"/>
    <mergeCell ref="VGC32:VGD32"/>
    <mergeCell ref="VGE32:VGF32"/>
    <mergeCell ref="VFI32:VFJ32"/>
    <mergeCell ref="VFK32:VFL32"/>
    <mergeCell ref="VFM32:VFN32"/>
    <mergeCell ref="VFO32:VFP32"/>
    <mergeCell ref="VFQ32:VFR32"/>
    <mergeCell ref="VFS32:VFT32"/>
    <mergeCell ref="VKK32:VKL32"/>
    <mergeCell ref="VKM32:VKN32"/>
    <mergeCell ref="VKO32:VKP32"/>
    <mergeCell ref="VKQ32:VKR32"/>
    <mergeCell ref="VKS32:VKT32"/>
    <mergeCell ref="VKU32:VKV32"/>
    <mergeCell ref="VJY32:VJZ32"/>
    <mergeCell ref="VKA32:VKB32"/>
    <mergeCell ref="VKC32:VKD32"/>
    <mergeCell ref="VKE32:VKF32"/>
    <mergeCell ref="VKG32:VKH32"/>
    <mergeCell ref="VKI32:VKJ32"/>
    <mergeCell ref="VJM32:VJN32"/>
    <mergeCell ref="VJO32:VJP32"/>
    <mergeCell ref="VJQ32:VJR32"/>
    <mergeCell ref="VJS32:VJT32"/>
    <mergeCell ref="VJU32:VJV32"/>
    <mergeCell ref="VJW32:VJX32"/>
    <mergeCell ref="VJA32:VJB32"/>
    <mergeCell ref="VJC32:VJD32"/>
    <mergeCell ref="VJE32:VJF32"/>
    <mergeCell ref="VJG32:VJH32"/>
    <mergeCell ref="VJI32:VJJ32"/>
    <mergeCell ref="VJK32:VJL32"/>
    <mergeCell ref="VIO32:VIP32"/>
    <mergeCell ref="VIQ32:VIR32"/>
    <mergeCell ref="VIS32:VIT32"/>
    <mergeCell ref="VIU32:VIV32"/>
    <mergeCell ref="VIW32:VIX32"/>
    <mergeCell ref="VIY32:VIZ32"/>
    <mergeCell ref="VIC32:VID32"/>
    <mergeCell ref="VIE32:VIF32"/>
    <mergeCell ref="VIG32:VIH32"/>
    <mergeCell ref="VII32:VIJ32"/>
    <mergeCell ref="VIK32:VIL32"/>
    <mergeCell ref="VIM32:VIN32"/>
    <mergeCell ref="VNE32:VNF32"/>
    <mergeCell ref="VNG32:VNH32"/>
    <mergeCell ref="VNI32:VNJ32"/>
    <mergeCell ref="VNK32:VNL32"/>
    <mergeCell ref="VNM32:VNN32"/>
    <mergeCell ref="VNO32:VNP32"/>
    <mergeCell ref="VMS32:VMT32"/>
    <mergeCell ref="VMU32:VMV32"/>
    <mergeCell ref="VMW32:VMX32"/>
    <mergeCell ref="VMY32:VMZ32"/>
    <mergeCell ref="VNA32:VNB32"/>
    <mergeCell ref="VNC32:VND32"/>
    <mergeCell ref="VMG32:VMH32"/>
    <mergeCell ref="VMI32:VMJ32"/>
    <mergeCell ref="VMK32:VML32"/>
    <mergeCell ref="VMM32:VMN32"/>
    <mergeCell ref="VMO32:VMP32"/>
    <mergeCell ref="VMQ32:VMR32"/>
    <mergeCell ref="VLU32:VLV32"/>
    <mergeCell ref="VLW32:VLX32"/>
    <mergeCell ref="VLY32:VLZ32"/>
    <mergeCell ref="VMA32:VMB32"/>
    <mergeCell ref="VMC32:VMD32"/>
    <mergeCell ref="VME32:VMF32"/>
    <mergeCell ref="VLI32:VLJ32"/>
    <mergeCell ref="VLK32:VLL32"/>
    <mergeCell ref="VLM32:VLN32"/>
    <mergeCell ref="VLO32:VLP32"/>
    <mergeCell ref="VLQ32:VLR32"/>
    <mergeCell ref="VLS32:VLT32"/>
    <mergeCell ref="VKW32:VKX32"/>
    <mergeCell ref="VKY32:VKZ32"/>
    <mergeCell ref="VLA32:VLB32"/>
    <mergeCell ref="VLC32:VLD32"/>
    <mergeCell ref="VLE32:VLF32"/>
    <mergeCell ref="VLG32:VLH32"/>
    <mergeCell ref="VPY32:VPZ32"/>
    <mergeCell ref="VQA32:VQB32"/>
    <mergeCell ref="VQC32:VQD32"/>
    <mergeCell ref="VQE32:VQF32"/>
    <mergeCell ref="VQG32:VQH32"/>
    <mergeCell ref="VQI32:VQJ32"/>
    <mergeCell ref="VPM32:VPN32"/>
    <mergeCell ref="VPO32:VPP32"/>
    <mergeCell ref="VPQ32:VPR32"/>
    <mergeCell ref="VPS32:VPT32"/>
    <mergeCell ref="VPU32:VPV32"/>
    <mergeCell ref="VPW32:VPX32"/>
    <mergeCell ref="VPA32:VPB32"/>
    <mergeCell ref="VPC32:VPD32"/>
    <mergeCell ref="VPE32:VPF32"/>
    <mergeCell ref="VPG32:VPH32"/>
    <mergeCell ref="VPI32:VPJ32"/>
    <mergeCell ref="VPK32:VPL32"/>
    <mergeCell ref="VOO32:VOP32"/>
    <mergeCell ref="VOQ32:VOR32"/>
    <mergeCell ref="VOS32:VOT32"/>
    <mergeCell ref="VOU32:VOV32"/>
    <mergeCell ref="VOW32:VOX32"/>
    <mergeCell ref="VOY32:VOZ32"/>
    <mergeCell ref="VOC32:VOD32"/>
    <mergeCell ref="VOE32:VOF32"/>
    <mergeCell ref="VOG32:VOH32"/>
    <mergeCell ref="VOI32:VOJ32"/>
    <mergeCell ref="VOK32:VOL32"/>
    <mergeCell ref="VOM32:VON32"/>
    <mergeCell ref="VNQ32:VNR32"/>
    <mergeCell ref="VNS32:VNT32"/>
    <mergeCell ref="VNU32:VNV32"/>
    <mergeCell ref="VNW32:VNX32"/>
    <mergeCell ref="VNY32:VNZ32"/>
    <mergeCell ref="VOA32:VOB32"/>
    <mergeCell ref="VSS32:VST32"/>
    <mergeCell ref="VSU32:VSV32"/>
    <mergeCell ref="VSW32:VSX32"/>
    <mergeCell ref="VSY32:VSZ32"/>
    <mergeCell ref="VTA32:VTB32"/>
    <mergeCell ref="VTC32:VTD32"/>
    <mergeCell ref="VSG32:VSH32"/>
    <mergeCell ref="VSI32:VSJ32"/>
    <mergeCell ref="VSK32:VSL32"/>
    <mergeCell ref="VSM32:VSN32"/>
    <mergeCell ref="VSO32:VSP32"/>
    <mergeCell ref="VSQ32:VSR32"/>
    <mergeCell ref="VRU32:VRV32"/>
    <mergeCell ref="VRW32:VRX32"/>
    <mergeCell ref="VRY32:VRZ32"/>
    <mergeCell ref="VSA32:VSB32"/>
    <mergeCell ref="VSC32:VSD32"/>
    <mergeCell ref="VSE32:VSF32"/>
    <mergeCell ref="VRI32:VRJ32"/>
    <mergeCell ref="VRK32:VRL32"/>
    <mergeCell ref="VRM32:VRN32"/>
    <mergeCell ref="VRO32:VRP32"/>
    <mergeCell ref="VRQ32:VRR32"/>
    <mergeCell ref="VRS32:VRT32"/>
    <mergeCell ref="VQW32:VQX32"/>
    <mergeCell ref="VQY32:VQZ32"/>
    <mergeCell ref="VRA32:VRB32"/>
    <mergeCell ref="VRC32:VRD32"/>
    <mergeCell ref="VRE32:VRF32"/>
    <mergeCell ref="VRG32:VRH32"/>
    <mergeCell ref="VQK32:VQL32"/>
    <mergeCell ref="VQM32:VQN32"/>
    <mergeCell ref="VQO32:VQP32"/>
    <mergeCell ref="VQQ32:VQR32"/>
    <mergeCell ref="VQS32:VQT32"/>
    <mergeCell ref="VQU32:VQV32"/>
    <mergeCell ref="VVM32:VVN32"/>
    <mergeCell ref="VVO32:VVP32"/>
    <mergeCell ref="VVQ32:VVR32"/>
    <mergeCell ref="VVS32:VVT32"/>
    <mergeCell ref="VVU32:VVV32"/>
    <mergeCell ref="VVW32:VVX32"/>
    <mergeCell ref="VVA32:VVB32"/>
    <mergeCell ref="VVC32:VVD32"/>
    <mergeCell ref="VVE32:VVF32"/>
    <mergeCell ref="VVG32:VVH32"/>
    <mergeCell ref="VVI32:VVJ32"/>
    <mergeCell ref="VVK32:VVL32"/>
    <mergeCell ref="VUO32:VUP32"/>
    <mergeCell ref="VUQ32:VUR32"/>
    <mergeCell ref="VUS32:VUT32"/>
    <mergeCell ref="VUU32:VUV32"/>
    <mergeCell ref="VUW32:VUX32"/>
    <mergeCell ref="VUY32:VUZ32"/>
    <mergeCell ref="VUC32:VUD32"/>
    <mergeCell ref="VUE32:VUF32"/>
    <mergeCell ref="VUG32:VUH32"/>
    <mergeCell ref="VUI32:VUJ32"/>
    <mergeCell ref="VUK32:VUL32"/>
    <mergeCell ref="VUM32:VUN32"/>
    <mergeCell ref="VTQ32:VTR32"/>
    <mergeCell ref="VTS32:VTT32"/>
    <mergeCell ref="VTU32:VTV32"/>
    <mergeCell ref="VTW32:VTX32"/>
    <mergeCell ref="VTY32:VTZ32"/>
    <mergeCell ref="VUA32:VUB32"/>
    <mergeCell ref="VTE32:VTF32"/>
    <mergeCell ref="VTG32:VTH32"/>
    <mergeCell ref="VTI32:VTJ32"/>
    <mergeCell ref="VTK32:VTL32"/>
    <mergeCell ref="VTM32:VTN32"/>
    <mergeCell ref="VTO32:VTP32"/>
    <mergeCell ref="VYG32:VYH32"/>
    <mergeCell ref="VYI32:VYJ32"/>
    <mergeCell ref="VYK32:VYL32"/>
    <mergeCell ref="VYM32:VYN32"/>
    <mergeCell ref="VYO32:VYP32"/>
    <mergeCell ref="VYQ32:VYR32"/>
    <mergeCell ref="VXU32:VXV32"/>
    <mergeCell ref="VXW32:VXX32"/>
    <mergeCell ref="VXY32:VXZ32"/>
    <mergeCell ref="VYA32:VYB32"/>
    <mergeCell ref="VYC32:VYD32"/>
    <mergeCell ref="VYE32:VYF32"/>
    <mergeCell ref="VXI32:VXJ32"/>
    <mergeCell ref="VXK32:VXL32"/>
    <mergeCell ref="VXM32:VXN32"/>
    <mergeCell ref="VXO32:VXP32"/>
    <mergeCell ref="VXQ32:VXR32"/>
    <mergeCell ref="VXS32:VXT32"/>
    <mergeCell ref="VWW32:VWX32"/>
    <mergeCell ref="VWY32:VWZ32"/>
    <mergeCell ref="VXA32:VXB32"/>
    <mergeCell ref="VXC32:VXD32"/>
    <mergeCell ref="VXE32:VXF32"/>
    <mergeCell ref="VXG32:VXH32"/>
    <mergeCell ref="VWK32:VWL32"/>
    <mergeCell ref="VWM32:VWN32"/>
    <mergeCell ref="VWO32:VWP32"/>
    <mergeCell ref="VWQ32:VWR32"/>
    <mergeCell ref="VWS32:VWT32"/>
    <mergeCell ref="VWU32:VWV32"/>
    <mergeCell ref="VVY32:VVZ32"/>
    <mergeCell ref="VWA32:VWB32"/>
    <mergeCell ref="VWC32:VWD32"/>
    <mergeCell ref="VWE32:VWF32"/>
    <mergeCell ref="VWG32:VWH32"/>
    <mergeCell ref="VWI32:VWJ32"/>
    <mergeCell ref="WBA32:WBB32"/>
    <mergeCell ref="WBC32:WBD32"/>
    <mergeCell ref="WBE32:WBF32"/>
    <mergeCell ref="WBG32:WBH32"/>
    <mergeCell ref="WBI32:WBJ32"/>
    <mergeCell ref="WBK32:WBL32"/>
    <mergeCell ref="WAO32:WAP32"/>
    <mergeCell ref="WAQ32:WAR32"/>
    <mergeCell ref="WAS32:WAT32"/>
    <mergeCell ref="WAU32:WAV32"/>
    <mergeCell ref="WAW32:WAX32"/>
    <mergeCell ref="WAY32:WAZ32"/>
    <mergeCell ref="WAC32:WAD32"/>
    <mergeCell ref="WAE32:WAF32"/>
    <mergeCell ref="WAG32:WAH32"/>
    <mergeCell ref="WAI32:WAJ32"/>
    <mergeCell ref="WAK32:WAL32"/>
    <mergeCell ref="WAM32:WAN32"/>
    <mergeCell ref="VZQ32:VZR32"/>
    <mergeCell ref="VZS32:VZT32"/>
    <mergeCell ref="VZU32:VZV32"/>
    <mergeCell ref="VZW32:VZX32"/>
    <mergeCell ref="VZY32:VZZ32"/>
    <mergeCell ref="WAA32:WAB32"/>
    <mergeCell ref="VZE32:VZF32"/>
    <mergeCell ref="VZG32:VZH32"/>
    <mergeCell ref="VZI32:VZJ32"/>
    <mergeCell ref="VZK32:VZL32"/>
    <mergeCell ref="VZM32:VZN32"/>
    <mergeCell ref="VZO32:VZP32"/>
    <mergeCell ref="VYS32:VYT32"/>
    <mergeCell ref="VYU32:VYV32"/>
    <mergeCell ref="VYW32:VYX32"/>
    <mergeCell ref="VYY32:VYZ32"/>
    <mergeCell ref="VZA32:VZB32"/>
    <mergeCell ref="VZC32:VZD32"/>
    <mergeCell ref="WDU32:WDV32"/>
    <mergeCell ref="WDW32:WDX32"/>
    <mergeCell ref="WDY32:WDZ32"/>
    <mergeCell ref="WEA32:WEB32"/>
    <mergeCell ref="WEC32:WED32"/>
    <mergeCell ref="WEE32:WEF32"/>
    <mergeCell ref="WDI32:WDJ32"/>
    <mergeCell ref="WDK32:WDL32"/>
    <mergeCell ref="WDM32:WDN32"/>
    <mergeCell ref="WDO32:WDP32"/>
    <mergeCell ref="WDQ32:WDR32"/>
    <mergeCell ref="WDS32:WDT32"/>
    <mergeCell ref="WCW32:WCX32"/>
    <mergeCell ref="WCY32:WCZ32"/>
    <mergeCell ref="WDA32:WDB32"/>
    <mergeCell ref="WDC32:WDD32"/>
    <mergeCell ref="WDE32:WDF32"/>
    <mergeCell ref="WDG32:WDH32"/>
    <mergeCell ref="WCK32:WCL32"/>
    <mergeCell ref="WCM32:WCN32"/>
    <mergeCell ref="WCO32:WCP32"/>
    <mergeCell ref="WCQ32:WCR32"/>
    <mergeCell ref="WCS32:WCT32"/>
    <mergeCell ref="WCU32:WCV32"/>
    <mergeCell ref="WBY32:WBZ32"/>
    <mergeCell ref="WCA32:WCB32"/>
    <mergeCell ref="WCC32:WCD32"/>
    <mergeCell ref="WCE32:WCF32"/>
    <mergeCell ref="WCG32:WCH32"/>
    <mergeCell ref="WCI32:WCJ32"/>
    <mergeCell ref="WBM32:WBN32"/>
    <mergeCell ref="WBO32:WBP32"/>
    <mergeCell ref="WBQ32:WBR32"/>
    <mergeCell ref="WBS32:WBT32"/>
    <mergeCell ref="WBU32:WBV32"/>
    <mergeCell ref="WBW32:WBX32"/>
    <mergeCell ref="WGO32:WGP32"/>
    <mergeCell ref="WGQ32:WGR32"/>
    <mergeCell ref="WGS32:WGT32"/>
    <mergeCell ref="WGU32:WGV32"/>
    <mergeCell ref="WGW32:WGX32"/>
    <mergeCell ref="WGY32:WGZ32"/>
    <mergeCell ref="WGC32:WGD32"/>
    <mergeCell ref="WGE32:WGF32"/>
    <mergeCell ref="WGG32:WGH32"/>
    <mergeCell ref="WGI32:WGJ32"/>
    <mergeCell ref="WGK32:WGL32"/>
    <mergeCell ref="WGM32:WGN32"/>
    <mergeCell ref="WFQ32:WFR32"/>
    <mergeCell ref="WFS32:WFT32"/>
    <mergeCell ref="WFU32:WFV32"/>
    <mergeCell ref="WFW32:WFX32"/>
    <mergeCell ref="WFY32:WFZ32"/>
    <mergeCell ref="WGA32:WGB32"/>
    <mergeCell ref="WFE32:WFF32"/>
    <mergeCell ref="WFG32:WFH32"/>
    <mergeCell ref="WFI32:WFJ32"/>
    <mergeCell ref="WFK32:WFL32"/>
    <mergeCell ref="WFM32:WFN32"/>
    <mergeCell ref="WFO32:WFP32"/>
    <mergeCell ref="WES32:WET32"/>
    <mergeCell ref="WEU32:WEV32"/>
    <mergeCell ref="WEW32:WEX32"/>
    <mergeCell ref="WEY32:WEZ32"/>
    <mergeCell ref="WFA32:WFB32"/>
    <mergeCell ref="WFC32:WFD32"/>
    <mergeCell ref="WEG32:WEH32"/>
    <mergeCell ref="WEI32:WEJ32"/>
    <mergeCell ref="WEK32:WEL32"/>
    <mergeCell ref="WEM32:WEN32"/>
    <mergeCell ref="WEO32:WEP32"/>
    <mergeCell ref="WEQ32:WER32"/>
    <mergeCell ref="WJI32:WJJ32"/>
    <mergeCell ref="WJK32:WJL32"/>
    <mergeCell ref="WJM32:WJN32"/>
    <mergeCell ref="WJO32:WJP32"/>
    <mergeCell ref="WJQ32:WJR32"/>
    <mergeCell ref="WJS32:WJT32"/>
    <mergeCell ref="WIW32:WIX32"/>
    <mergeCell ref="WIY32:WIZ32"/>
    <mergeCell ref="WJA32:WJB32"/>
    <mergeCell ref="WJC32:WJD32"/>
    <mergeCell ref="WJE32:WJF32"/>
    <mergeCell ref="WJG32:WJH32"/>
    <mergeCell ref="WIK32:WIL32"/>
    <mergeCell ref="WIM32:WIN32"/>
    <mergeCell ref="WIO32:WIP32"/>
    <mergeCell ref="WIQ32:WIR32"/>
    <mergeCell ref="WIS32:WIT32"/>
    <mergeCell ref="WIU32:WIV32"/>
    <mergeCell ref="WHY32:WHZ32"/>
    <mergeCell ref="WIA32:WIB32"/>
    <mergeCell ref="WIC32:WID32"/>
    <mergeCell ref="WIE32:WIF32"/>
    <mergeCell ref="WIG32:WIH32"/>
    <mergeCell ref="WII32:WIJ32"/>
    <mergeCell ref="WHM32:WHN32"/>
    <mergeCell ref="WHO32:WHP32"/>
    <mergeCell ref="WHQ32:WHR32"/>
    <mergeCell ref="WHS32:WHT32"/>
    <mergeCell ref="WHU32:WHV32"/>
    <mergeCell ref="WHW32:WHX32"/>
    <mergeCell ref="WHA32:WHB32"/>
    <mergeCell ref="WHC32:WHD32"/>
    <mergeCell ref="WHE32:WHF32"/>
    <mergeCell ref="WHG32:WHH32"/>
    <mergeCell ref="WHI32:WHJ32"/>
    <mergeCell ref="WHK32:WHL32"/>
    <mergeCell ref="WMC32:WMD32"/>
    <mergeCell ref="WME32:WMF32"/>
    <mergeCell ref="WMG32:WMH32"/>
    <mergeCell ref="WMI32:WMJ32"/>
    <mergeCell ref="WMK32:WML32"/>
    <mergeCell ref="WMM32:WMN32"/>
    <mergeCell ref="WLQ32:WLR32"/>
    <mergeCell ref="WLS32:WLT32"/>
    <mergeCell ref="WLU32:WLV32"/>
    <mergeCell ref="WLW32:WLX32"/>
    <mergeCell ref="WLY32:WLZ32"/>
    <mergeCell ref="WMA32:WMB32"/>
    <mergeCell ref="WLE32:WLF32"/>
    <mergeCell ref="WLG32:WLH32"/>
    <mergeCell ref="WLI32:WLJ32"/>
    <mergeCell ref="WLK32:WLL32"/>
    <mergeCell ref="WLM32:WLN32"/>
    <mergeCell ref="WLO32:WLP32"/>
    <mergeCell ref="WKS32:WKT32"/>
    <mergeCell ref="WKU32:WKV32"/>
    <mergeCell ref="WKW32:WKX32"/>
    <mergeCell ref="WKY32:WKZ32"/>
    <mergeCell ref="WLA32:WLB32"/>
    <mergeCell ref="WLC32:WLD32"/>
    <mergeCell ref="WKG32:WKH32"/>
    <mergeCell ref="WKI32:WKJ32"/>
    <mergeCell ref="WKK32:WKL32"/>
    <mergeCell ref="WKM32:WKN32"/>
    <mergeCell ref="WKO32:WKP32"/>
    <mergeCell ref="WKQ32:WKR32"/>
    <mergeCell ref="WJU32:WJV32"/>
    <mergeCell ref="WJW32:WJX32"/>
    <mergeCell ref="WJY32:WJZ32"/>
    <mergeCell ref="WKA32:WKB32"/>
    <mergeCell ref="WKC32:WKD32"/>
    <mergeCell ref="WKE32:WKF32"/>
    <mergeCell ref="WOW32:WOX32"/>
    <mergeCell ref="WOY32:WOZ32"/>
    <mergeCell ref="WPA32:WPB32"/>
    <mergeCell ref="WPC32:WPD32"/>
    <mergeCell ref="WPE32:WPF32"/>
    <mergeCell ref="WPG32:WPH32"/>
    <mergeCell ref="WOK32:WOL32"/>
    <mergeCell ref="WOM32:WON32"/>
    <mergeCell ref="WOO32:WOP32"/>
    <mergeCell ref="WOQ32:WOR32"/>
    <mergeCell ref="WOS32:WOT32"/>
    <mergeCell ref="WOU32:WOV32"/>
    <mergeCell ref="WNY32:WNZ32"/>
    <mergeCell ref="WOA32:WOB32"/>
    <mergeCell ref="WOC32:WOD32"/>
    <mergeCell ref="WOE32:WOF32"/>
    <mergeCell ref="WOG32:WOH32"/>
    <mergeCell ref="WOI32:WOJ32"/>
    <mergeCell ref="WNM32:WNN32"/>
    <mergeCell ref="WNO32:WNP32"/>
    <mergeCell ref="WNQ32:WNR32"/>
    <mergeCell ref="WNS32:WNT32"/>
    <mergeCell ref="WNU32:WNV32"/>
    <mergeCell ref="WNW32:WNX32"/>
    <mergeCell ref="WNA32:WNB32"/>
    <mergeCell ref="WNC32:WND32"/>
    <mergeCell ref="WNE32:WNF32"/>
    <mergeCell ref="WNG32:WNH32"/>
    <mergeCell ref="WNI32:WNJ32"/>
    <mergeCell ref="WNK32:WNL32"/>
    <mergeCell ref="WMO32:WMP32"/>
    <mergeCell ref="WMQ32:WMR32"/>
    <mergeCell ref="WMS32:WMT32"/>
    <mergeCell ref="WMU32:WMV32"/>
    <mergeCell ref="WMW32:WMX32"/>
    <mergeCell ref="WMY32:WMZ32"/>
    <mergeCell ref="WRQ32:WRR32"/>
    <mergeCell ref="WRS32:WRT32"/>
    <mergeCell ref="WRU32:WRV32"/>
    <mergeCell ref="WRW32:WRX32"/>
    <mergeCell ref="WRY32:WRZ32"/>
    <mergeCell ref="WSA32:WSB32"/>
    <mergeCell ref="WRE32:WRF32"/>
    <mergeCell ref="WRG32:WRH32"/>
    <mergeCell ref="WRI32:WRJ32"/>
    <mergeCell ref="WRK32:WRL32"/>
    <mergeCell ref="WRM32:WRN32"/>
    <mergeCell ref="WRO32:WRP32"/>
    <mergeCell ref="WQS32:WQT32"/>
    <mergeCell ref="WQU32:WQV32"/>
    <mergeCell ref="WQW32:WQX32"/>
    <mergeCell ref="WQY32:WQZ32"/>
    <mergeCell ref="WRA32:WRB32"/>
    <mergeCell ref="WRC32:WRD32"/>
    <mergeCell ref="WQG32:WQH32"/>
    <mergeCell ref="WQI32:WQJ32"/>
    <mergeCell ref="WQK32:WQL32"/>
    <mergeCell ref="WQM32:WQN32"/>
    <mergeCell ref="WQO32:WQP32"/>
    <mergeCell ref="WQQ32:WQR32"/>
    <mergeCell ref="WPU32:WPV32"/>
    <mergeCell ref="WPW32:WPX32"/>
    <mergeCell ref="WPY32:WPZ32"/>
    <mergeCell ref="WQA32:WQB32"/>
    <mergeCell ref="WQC32:WQD32"/>
    <mergeCell ref="WQE32:WQF32"/>
    <mergeCell ref="WPI32:WPJ32"/>
    <mergeCell ref="WPK32:WPL32"/>
    <mergeCell ref="WPM32:WPN32"/>
    <mergeCell ref="WPO32:WPP32"/>
    <mergeCell ref="WPQ32:WPR32"/>
    <mergeCell ref="WPS32:WPT32"/>
    <mergeCell ref="WUK32:WUL32"/>
    <mergeCell ref="WUM32:WUN32"/>
    <mergeCell ref="WUO32:WUP32"/>
    <mergeCell ref="WUQ32:WUR32"/>
    <mergeCell ref="WUS32:WUT32"/>
    <mergeCell ref="WUU32:WUV32"/>
    <mergeCell ref="WTY32:WTZ32"/>
    <mergeCell ref="WUA32:WUB32"/>
    <mergeCell ref="WUC32:WUD32"/>
    <mergeCell ref="WUE32:WUF32"/>
    <mergeCell ref="WUG32:WUH32"/>
    <mergeCell ref="WUI32:WUJ32"/>
    <mergeCell ref="WTM32:WTN32"/>
    <mergeCell ref="WTO32:WTP32"/>
    <mergeCell ref="WTQ32:WTR32"/>
    <mergeCell ref="WTS32:WTT32"/>
    <mergeCell ref="WTU32:WTV32"/>
    <mergeCell ref="WTW32:WTX32"/>
    <mergeCell ref="WTA32:WTB32"/>
    <mergeCell ref="WTC32:WTD32"/>
    <mergeCell ref="WTE32:WTF32"/>
    <mergeCell ref="WTG32:WTH32"/>
    <mergeCell ref="WTI32:WTJ32"/>
    <mergeCell ref="WTK32:WTL32"/>
    <mergeCell ref="WSO32:WSP32"/>
    <mergeCell ref="WSQ32:WSR32"/>
    <mergeCell ref="WSS32:WST32"/>
    <mergeCell ref="WSU32:WSV32"/>
    <mergeCell ref="WSW32:WSX32"/>
    <mergeCell ref="WSY32:WSZ32"/>
    <mergeCell ref="WSC32:WSD32"/>
    <mergeCell ref="WSE32:WSF32"/>
    <mergeCell ref="WSG32:WSH32"/>
    <mergeCell ref="WSI32:WSJ32"/>
    <mergeCell ref="WSK32:WSL32"/>
    <mergeCell ref="WSM32:WSN32"/>
    <mergeCell ref="WXE32:WXF32"/>
    <mergeCell ref="WXG32:WXH32"/>
    <mergeCell ref="WXI32:WXJ32"/>
    <mergeCell ref="WXK32:WXL32"/>
    <mergeCell ref="WXM32:WXN32"/>
    <mergeCell ref="WXO32:WXP32"/>
    <mergeCell ref="WWS32:WWT32"/>
    <mergeCell ref="WWU32:WWV32"/>
    <mergeCell ref="WWW32:WWX32"/>
    <mergeCell ref="WWY32:WWZ32"/>
    <mergeCell ref="WXA32:WXB32"/>
    <mergeCell ref="WXC32:WXD32"/>
    <mergeCell ref="WWG32:WWH32"/>
    <mergeCell ref="WWI32:WWJ32"/>
    <mergeCell ref="WWK32:WWL32"/>
    <mergeCell ref="WWM32:WWN32"/>
    <mergeCell ref="WWO32:WWP32"/>
    <mergeCell ref="WWQ32:WWR32"/>
    <mergeCell ref="WVU32:WVV32"/>
    <mergeCell ref="WVW32:WVX32"/>
    <mergeCell ref="WVY32:WVZ32"/>
    <mergeCell ref="WWA32:WWB32"/>
    <mergeCell ref="WWC32:WWD32"/>
    <mergeCell ref="WWE32:WWF32"/>
    <mergeCell ref="WVI32:WVJ32"/>
    <mergeCell ref="WVK32:WVL32"/>
    <mergeCell ref="WVM32:WVN32"/>
    <mergeCell ref="WVO32:WVP32"/>
    <mergeCell ref="WVQ32:WVR32"/>
    <mergeCell ref="WVS32:WVT32"/>
    <mergeCell ref="WUW32:WUX32"/>
    <mergeCell ref="WUY32:WUZ32"/>
    <mergeCell ref="WVA32:WVB32"/>
    <mergeCell ref="WVC32:WVD32"/>
    <mergeCell ref="WVE32:WVF32"/>
    <mergeCell ref="WVG32:WVH32"/>
    <mergeCell ref="XAS32:XAT32"/>
    <mergeCell ref="XAU32:XAV32"/>
    <mergeCell ref="WZY32:WZZ32"/>
    <mergeCell ref="XAA32:XAB32"/>
    <mergeCell ref="XAC32:XAD32"/>
    <mergeCell ref="XAE32:XAF32"/>
    <mergeCell ref="XAG32:XAH32"/>
    <mergeCell ref="XAI32:XAJ32"/>
    <mergeCell ref="WZM32:WZN32"/>
    <mergeCell ref="WZO32:WZP32"/>
    <mergeCell ref="WZQ32:WZR32"/>
    <mergeCell ref="WZS32:WZT32"/>
    <mergeCell ref="WZU32:WZV32"/>
    <mergeCell ref="WZW32:WZX32"/>
    <mergeCell ref="WZA32:WZB32"/>
    <mergeCell ref="WZC32:WZD32"/>
    <mergeCell ref="WZE32:WZF32"/>
    <mergeCell ref="WZG32:WZH32"/>
    <mergeCell ref="WZI32:WZJ32"/>
    <mergeCell ref="WZK32:WZL32"/>
    <mergeCell ref="WYO32:WYP32"/>
    <mergeCell ref="WYQ32:WYR32"/>
    <mergeCell ref="WYS32:WYT32"/>
    <mergeCell ref="WYU32:WYV32"/>
    <mergeCell ref="WYW32:WYX32"/>
    <mergeCell ref="WYY32:WYZ32"/>
    <mergeCell ref="WYC32:WYD32"/>
    <mergeCell ref="WYE32:WYF32"/>
    <mergeCell ref="WYG32:WYH32"/>
    <mergeCell ref="WYI32:WYJ32"/>
    <mergeCell ref="WYK32:WYL32"/>
    <mergeCell ref="WYM32:WYN32"/>
    <mergeCell ref="WXQ32:WXR32"/>
    <mergeCell ref="WXS32:WXT32"/>
    <mergeCell ref="WXU32:WXV32"/>
    <mergeCell ref="WXW32:WXX32"/>
    <mergeCell ref="WXY32:WXZ32"/>
    <mergeCell ref="WYA32:WYB32"/>
    <mergeCell ref="XFA32:XFB32"/>
    <mergeCell ref="XFC32:XFD32"/>
    <mergeCell ref="A22:B22"/>
    <mergeCell ref="C23:D23"/>
    <mergeCell ref="C24:D24"/>
    <mergeCell ref="C22:D22"/>
    <mergeCell ref="XEO32:XEP32"/>
    <mergeCell ref="XEQ32:XER32"/>
    <mergeCell ref="XES32:XET32"/>
    <mergeCell ref="XEU32:XEV32"/>
    <mergeCell ref="XEW32:XEX32"/>
    <mergeCell ref="XEY32:XEZ32"/>
    <mergeCell ref="XEC32:XED32"/>
    <mergeCell ref="XEE32:XEF32"/>
    <mergeCell ref="XEG32:XEH32"/>
    <mergeCell ref="XEI32:XEJ32"/>
    <mergeCell ref="XEK32:XEL32"/>
    <mergeCell ref="XEM32:XEN32"/>
    <mergeCell ref="XDQ32:XDR32"/>
    <mergeCell ref="XDS32:XDT32"/>
    <mergeCell ref="XDU32:XDV32"/>
    <mergeCell ref="XDW32:XDX32"/>
    <mergeCell ref="XDY32:XDZ32"/>
    <mergeCell ref="XEA32:XEB32"/>
    <mergeCell ref="XDE32:XDF32"/>
    <mergeCell ref="XDG32:XDH32"/>
    <mergeCell ref="XDI32:XDJ32"/>
    <mergeCell ref="XDK32:XDL32"/>
    <mergeCell ref="XDM32:XDN32"/>
    <mergeCell ref="XDO32:XDP32"/>
    <mergeCell ref="XCS32:XCT32"/>
    <mergeCell ref="XCU32:XCV32"/>
    <mergeCell ref="XCW32:XCX32"/>
    <mergeCell ref="XCY32:XCZ32"/>
    <mergeCell ref="XDA32:XDB32"/>
    <mergeCell ref="XDC32:XDD32"/>
    <mergeCell ref="XCG32:XCH32"/>
    <mergeCell ref="XCI32:XCJ32"/>
    <mergeCell ref="XCK32:XCL32"/>
    <mergeCell ref="XCM32:XCN32"/>
    <mergeCell ref="XCO32:XCP32"/>
    <mergeCell ref="XCQ32:XCR32"/>
    <mergeCell ref="XBU32:XBV32"/>
    <mergeCell ref="XBW32:XBX32"/>
    <mergeCell ref="XBY32:XBZ32"/>
    <mergeCell ref="XCA32:XCB32"/>
    <mergeCell ref="XCC32:XCD32"/>
    <mergeCell ref="XCE32:XCF32"/>
    <mergeCell ref="XBI32:XBJ32"/>
    <mergeCell ref="XBK32:XBL32"/>
    <mergeCell ref="XBM32:XBN32"/>
    <mergeCell ref="XBO32:XBP32"/>
    <mergeCell ref="XBQ32:XBR32"/>
    <mergeCell ref="XBS32:XBT32"/>
    <mergeCell ref="XAW32:XAX32"/>
    <mergeCell ref="XAY32:XAZ32"/>
    <mergeCell ref="XBA32:XBB32"/>
    <mergeCell ref="XBC32:XBD32"/>
    <mergeCell ref="XBE32:XBF32"/>
    <mergeCell ref="XBG32:XBH32"/>
    <mergeCell ref="XAK32:XAL32"/>
    <mergeCell ref="XAM32:XAN32"/>
    <mergeCell ref="XAO32:XAP32"/>
    <mergeCell ref="XAQ32:XAR3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sheetPr>
  <dimension ref="A1:P998"/>
  <sheetViews>
    <sheetView zoomScaleNormal="100" workbookViewId="0">
      <selection activeCell="A53" sqref="A53"/>
    </sheetView>
  </sheetViews>
  <sheetFormatPr baseColWidth="10" defaultColWidth="14.42578125" defaultRowHeight="15" customHeight="1"/>
  <cols>
    <col min="1" max="1" width="10.7109375" customWidth="1"/>
    <col min="2" max="2" width="50.7109375" customWidth="1"/>
    <col min="3" max="3" width="15.7109375" customWidth="1"/>
    <col min="4" max="4" width="10.7109375" customWidth="1"/>
    <col min="5" max="5" width="13.28515625" customWidth="1"/>
    <col min="6" max="6" width="15.140625" customWidth="1"/>
    <col min="7" max="7" width="10.7109375" customWidth="1"/>
    <col min="8" max="8" width="13.85546875" customWidth="1"/>
    <col min="9" max="16" width="10.7109375" customWidth="1"/>
  </cols>
  <sheetData>
    <row r="1" spans="1:16" ht="15" customHeight="1" thickBot="1">
      <c r="A1" s="1555" t="s">
        <v>986</v>
      </c>
      <c r="B1" s="1556"/>
      <c r="C1" s="1557"/>
    </row>
    <row r="2" spans="1:16" ht="12.75" customHeight="1" thickBot="1">
      <c r="A2" s="8"/>
      <c r="B2" s="8"/>
      <c r="C2" s="30"/>
      <c r="D2" s="8"/>
      <c r="E2" s="8"/>
      <c r="F2" s="8"/>
      <c r="G2" s="8"/>
      <c r="H2" s="8"/>
      <c r="I2" s="8"/>
      <c r="J2" s="8"/>
      <c r="K2" s="8"/>
      <c r="L2" s="8"/>
      <c r="M2" s="8"/>
      <c r="N2" s="8"/>
      <c r="O2" s="8"/>
      <c r="P2" s="8"/>
    </row>
    <row r="3" spans="1:16" ht="12.75" customHeight="1">
      <c r="A3" s="1110" t="s">
        <v>243</v>
      </c>
      <c r="B3" s="1111"/>
      <c r="C3" s="1129">
        <v>7001</v>
      </c>
      <c r="D3" s="8"/>
      <c r="E3" s="8"/>
      <c r="F3" s="8"/>
      <c r="G3" s="8"/>
      <c r="H3" s="8"/>
      <c r="I3" s="8"/>
      <c r="J3" s="8"/>
      <c r="K3" s="8"/>
      <c r="L3" s="8"/>
      <c r="M3" s="8"/>
      <c r="N3" s="8"/>
      <c r="O3" s="8"/>
      <c r="P3" s="8"/>
    </row>
    <row r="4" spans="1:16" ht="12.75" customHeight="1" thickBot="1">
      <c r="A4" s="1131"/>
      <c r="B4" s="1115"/>
      <c r="C4" s="1139"/>
      <c r="D4" s="8"/>
      <c r="E4" s="8"/>
      <c r="F4" s="8"/>
      <c r="G4" s="8"/>
      <c r="H4" s="8"/>
      <c r="I4" s="8"/>
      <c r="J4" s="8"/>
      <c r="K4" s="8"/>
      <c r="L4" s="8"/>
      <c r="M4" s="8"/>
      <c r="N4" s="8"/>
      <c r="O4" s="8"/>
      <c r="P4" s="8"/>
    </row>
    <row r="5" spans="1:16" ht="12.75" customHeight="1">
      <c r="A5" s="1291" t="s">
        <v>245</v>
      </c>
      <c r="B5" s="1292"/>
      <c r="C5" s="1293"/>
      <c r="D5" s="8"/>
      <c r="E5" s="8"/>
      <c r="F5" s="8"/>
      <c r="G5" s="8"/>
      <c r="H5" s="8"/>
      <c r="I5" s="8"/>
      <c r="J5" s="8"/>
      <c r="K5" s="8"/>
      <c r="L5" s="8"/>
      <c r="M5" s="8"/>
      <c r="N5" s="8"/>
      <c r="O5" s="8"/>
      <c r="P5" s="8"/>
    </row>
    <row r="6" spans="1:16" ht="12.75" customHeight="1">
      <c r="A6" s="1294"/>
      <c r="B6" s="1295"/>
      <c r="C6" s="1296"/>
      <c r="D6" s="8"/>
      <c r="E6" s="8"/>
      <c r="F6" s="8"/>
      <c r="G6" s="8"/>
      <c r="H6" s="8"/>
      <c r="I6" s="8"/>
      <c r="J6" s="8"/>
      <c r="K6" s="8"/>
      <c r="L6" s="8"/>
      <c r="M6" s="8"/>
      <c r="N6" s="8"/>
      <c r="O6" s="8"/>
      <c r="P6" s="8"/>
    </row>
    <row r="7" spans="1:16" ht="15" customHeight="1" thickBot="1">
      <c r="A7" s="1471"/>
      <c r="B7" s="1472"/>
      <c r="C7" s="1473"/>
      <c r="D7" s="8"/>
      <c r="E7" s="8"/>
      <c r="F7" s="8"/>
      <c r="G7" s="8"/>
      <c r="H7" s="8"/>
      <c r="I7" s="8"/>
      <c r="J7" s="8"/>
      <c r="K7" s="8"/>
      <c r="L7" s="8"/>
      <c r="M7" s="8"/>
      <c r="N7" s="8"/>
      <c r="O7" s="8"/>
      <c r="P7" s="8"/>
    </row>
    <row r="8" spans="1:16" ht="12.75" customHeight="1">
      <c r="A8" s="1097" t="s">
        <v>675</v>
      </c>
      <c r="B8" s="986"/>
      <c r="C8" s="1098"/>
      <c r="D8" s="13"/>
      <c r="E8" s="13"/>
      <c r="F8" s="13"/>
      <c r="G8" s="13"/>
      <c r="H8" s="13"/>
      <c r="I8" s="13"/>
      <c r="J8" s="13"/>
      <c r="K8" s="13"/>
      <c r="L8" s="13"/>
      <c r="M8" s="13"/>
      <c r="N8" s="13"/>
      <c r="O8" s="13"/>
      <c r="P8" s="13"/>
    </row>
    <row r="9" spans="1:16" ht="12.75" customHeight="1">
      <c r="A9" s="1097" t="s">
        <v>246</v>
      </c>
      <c r="B9" s="986"/>
      <c r="C9" s="1098"/>
      <c r="D9" s="13"/>
      <c r="E9" s="13"/>
      <c r="F9" s="13"/>
      <c r="G9" s="13"/>
      <c r="H9" s="13"/>
      <c r="I9" s="13"/>
      <c r="J9" s="13"/>
      <c r="K9" s="13"/>
      <c r="L9" s="13"/>
      <c r="M9" s="13"/>
      <c r="N9" s="13"/>
      <c r="O9" s="13"/>
      <c r="P9" s="13"/>
    </row>
    <row r="10" spans="1:16" ht="12.75" customHeight="1">
      <c r="A10" s="1097" t="s">
        <v>676</v>
      </c>
      <c r="B10" s="986"/>
      <c r="C10" s="1098"/>
      <c r="D10" s="13"/>
      <c r="E10" s="13"/>
      <c r="F10" s="13"/>
      <c r="G10" s="13"/>
      <c r="H10" s="13"/>
      <c r="I10" s="13"/>
      <c r="J10" s="13"/>
      <c r="K10" s="13"/>
      <c r="L10" s="13"/>
      <c r="M10" s="13"/>
      <c r="N10" s="13"/>
      <c r="O10" s="13"/>
      <c r="P10" s="13"/>
    </row>
    <row r="11" spans="1:16" ht="12.75" customHeight="1" thickBot="1">
      <c r="A11" s="1097" t="s">
        <v>0</v>
      </c>
      <c r="B11" s="986"/>
      <c r="C11" s="1098"/>
      <c r="D11" s="13"/>
      <c r="E11" s="13"/>
      <c r="F11" s="13"/>
      <c r="G11" s="13"/>
      <c r="H11" s="13"/>
      <c r="I11" s="13"/>
      <c r="J11" s="13"/>
      <c r="K11" s="13"/>
      <c r="L11" s="13"/>
      <c r="M11" s="13"/>
      <c r="N11" s="13"/>
      <c r="O11" s="13"/>
      <c r="P11" s="13"/>
    </row>
    <row r="12" spans="1:16" ht="12.75" customHeight="1" thickBot="1">
      <c r="A12" s="1132" t="s">
        <v>1</v>
      </c>
      <c r="B12" s="1133"/>
      <c r="C12" s="1134">
        <f>C14+C30+C42</f>
        <v>8860000</v>
      </c>
      <c r="D12" s="13"/>
      <c r="E12" s="13"/>
      <c r="F12" s="13"/>
      <c r="G12" s="13"/>
      <c r="H12" s="13"/>
      <c r="I12" s="13"/>
      <c r="J12" s="13"/>
      <c r="K12" s="13"/>
      <c r="L12" s="13"/>
      <c r="M12" s="13"/>
      <c r="N12" s="13"/>
      <c r="O12" s="13"/>
      <c r="P12" s="13"/>
    </row>
    <row r="13" spans="1:16" ht="12.75" customHeight="1" thickBot="1">
      <c r="A13" s="8"/>
      <c r="B13" s="8"/>
      <c r="C13" s="30"/>
      <c r="D13" s="808"/>
      <c r="E13" s="808"/>
      <c r="F13" s="808"/>
      <c r="G13" s="808"/>
      <c r="H13" s="808"/>
      <c r="I13" s="808"/>
      <c r="J13" s="8"/>
      <c r="K13" s="8"/>
      <c r="L13" s="8"/>
      <c r="M13" s="8"/>
      <c r="N13" s="8"/>
      <c r="O13" s="8"/>
      <c r="P13" s="8"/>
    </row>
    <row r="14" spans="1:16" ht="12.75" customHeight="1" thickBot="1">
      <c r="A14" s="1280" t="s">
        <v>9</v>
      </c>
      <c r="B14" s="1281"/>
      <c r="C14" s="31">
        <f>C15+C17+C20+C26+C24+C22</f>
        <v>1060000</v>
      </c>
      <c r="D14" s="1106"/>
      <c r="E14" s="1106"/>
      <c r="F14" s="1106"/>
      <c r="G14" s="1106"/>
      <c r="H14" s="1106"/>
      <c r="I14" s="1010"/>
      <c r="J14" s="8"/>
      <c r="K14" s="8"/>
      <c r="L14" s="8"/>
      <c r="M14" s="8"/>
      <c r="N14" s="8"/>
      <c r="O14" s="8"/>
      <c r="P14" s="8"/>
    </row>
    <row r="15" spans="1:16" ht="12.75" customHeight="1">
      <c r="A15" s="48">
        <v>211201</v>
      </c>
      <c r="B15" s="22" t="s">
        <v>459</v>
      </c>
      <c r="C15" s="82">
        <f>SUM(C16)</f>
        <v>140000</v>
      </c>
      <c r="D15" s="1107"/>
      <c r="E15" s="1107"/>
      <c r="F15" s="1107"/>
      <c r="G15" s="1107"/>
      <c r="H15" s="1107"/>
      <c r="I15" s="1010"/>
      <c r="J15" s="84"/>
      <c r="K15" s="84"/>
      <c r="L15" s="84"/>
      <c r="M15" s="84"/>
      <c r="N15" s="84"/>
      <c r="O15" s="84"/>
      <c r="P15" s="84"/>
    </row>
    <row r="16" spans="1:16" ht="13.5" customHeight="1">
      <c r="A16" s="33">
        <v>21120101</v>
      </c>
      <c r="B16" s="13" t="s">
        <v>460</v>
      </c>
      <c r="C16" s="24">
        <v>140000</v>
      </c>
      <c r="D16" s="1039"/>
      <c r="E16" s="1039"/>
      <c r="F16" s="1039"/>
      <c r="G16" s="1039"/>
      <c r="H16" s="1039"/>
      <c r="I16" s="1010"/>
      <c r="J16" s="13"/>
      <c r="K16" s="13"/>
      <c r="L16" s="13"/>
      <c r="M16" s="13"/>
      <c r="N16" s="13"/>
      <c r="O16" s="13"/>
      <c r="P16" s="13"/>
    </row>
    <row r="17" spans="1:16" ht="13.5" customHeight="1">
      <c r="A17" s="48">
        <v>211203</v>
      </c>
      <c r="B17" s="15" t="s">
        <v>461</v>
      </c>
      <c r="C17" s="26">
        <f>SUM(C18:C19)</f>
        <v>130000</v>
      </c>
      <c r="D17" s="1039"/>
      <c r="E17" s="1039"/>
      <c r="F17" s="1039"/>
      <c r="G17" s="1039"/>
      <c r="H17" s="1039"/>
      <c r="I17" s="986"/>
      <c r="J17" s="13"/>
      <c r="K17" s="13"/>
      <c r="L17" s="13"/>
      <c r="M17" s="13"/>
      <c r="N17" s="13"/>
      <c r="O17" s="13"/>
      <c r="P17" s="13"/>
    </row>
    <row r="18" spans="1:16" ht="13.5" customHeight="1">
      <c r="A18" s="33">
        <v>21120301</v>
      </c>
      <c r="B18" s="13" t="s">
        <v>527</v>
      </c>
      <c r="C18" s="24">
        <v>90000</v>
      </c>
      <c r="D18" s="1039"/>
      <c r="E18" s="1039"/>
      <c r="F18" s="1109"/>
      <c r="G18" s="1039"/>
      <c r="H18" s="1039"/>
      <c r="I18" s="1024"/>
      <c r="J18" s="13"/>
      <c r="K18" s="13"/>
      <c r="L18" s="13"/>
      <c r="M18" s="13"/>
      <c r="N18" s="13"/>
      <c r="O18" s="13"/>
      <c r="P18" s="13"/>
    </row>
    <row r="19" spans="1:16" ht="13.5" customHeight="1">
      <c r="A19" s="33">
        <v>21120302</v>
      </c>
      <c r="B19" s="13" t="s">
        <v>462</v>
      </c>
      <c r="C19" s="24">
        <v>40000</v>
      </c>
      <c r="D19" s="808"/>
      <c r="E19" s="808"/>
      <c r="F19" s="808"/>
      <c r="G19" s="808"/>
      <c r="H19" s="808"/>
      <c r="I19" s="808"/>
      <c r="J19" s="13"/>
      <c r="K19" s="13"/>
      <c r="L19" s="13"/>
      <c r="M19" s="13"/>
      <c r="N19" s="13"/>
      <c r="O19" s="13"/>
      <c r="P19" s="13"/>
    </row>
    <row r="20" spans="1:16" ht="13.5" customHeight="1">
      <c r="A20" s="48">
        <v>211204</v>
      </c>
      <c r="B20" s="15" t="s">
        <v>463</v>
      </c>
      <c r="C20" s="26">
        <f>SUM(C21)</f>
        <v>600000</v>
      </c>
      <c r="D20" s="808"/>
      <c r="E20" s="808"/>
      <c r="F20" s="808"/>
      <c r="G20" s="808"/>
      <c r="H20" s="808"/>
      <c r="I20" s="808"/>
      <c r="J20" s="13"/>
      <c r="K20" s="13"/>
      <c r="L20" s="13"/>
      <c r="M20" s="13"/>
      <c r="N20" s="13"/>
      <c r="O20" s="13"/>
      <c r="P20" s="13"/>
    </row>
    <row r="21" spans="1:16" ht="13.5" customHeight="1">
      <c r="A21" s="33">
        <v>21120401</v>
      </c>
      <c r="B21" s="24" t="s">
        <v>464</v>
      </c>
      <c r="C21" s="24">
        <v>600000</v>
      </c>
      <c r="D21" s="23"/>
      <c r="E21" s="23"/>
      <c r="F21" s="23"/>
      <c r="G21" s="23"/>
      <c r="H21" s="23"/>
      <c r="I21" s="23"/>
      <c r="J21" s="13"/>
      <c r="K21" s="13"/>
      <c r="L21" s="13"/>
      <c r="M21" s="13"/>
      <c r="N21" s="13"/>
      <c r="O21" s="13"/>
      <c r="P21" s="13"/>
    </row>
    <row r="22" spans="1:16" ht="13.5" customHeight="1">
      <c r="A22" s="48">
        <v>211207</v>
      </c>
      <c r="B22" s="15" t="s">
        <v>467</v>
      </c>
      <c r="C22" s="26">
        <f>SUM(C23)</f>
        <v>20000</v>
      </c>
      <c r="D22" s="13"/>
      <c r="E22" s="13"/>
      <c r="F22" s="13"/>
      <c r="G22" s="13"/>
      <c r="H22" s="13"/>
      <c r="I22" s="13"/>
      <c r="J22" s="13"/>
      <c r="K22" s="13"/>
      <c r="L22" s="13"/>
      <c r="M22" s="13"/>
      <c r="N22" s="13"/>
      <c r="O22" s="13"/>
      <c r="P22" s="13"/>
    </row>
    <row r="23" spans="1:16" ht="13.5" customHeight="1">
      <c r="A23" s="33">
        <v>21120709</v>
      </c>
      <c r="B23" s="24" t="s">
        <v>471</v>
      </c>
      <c r="C23" s="24">
        <v>20000</v>
      </c>
      <c r="D23" s="13"/>
      <c r="E23" s="13"/>
      <c r="F23" s="13"/>
      <c r="G23" s="13"/>
      <c r="H23" s="13"/>
      <c r="I23" s="13"/>
      <c r="J23" s="13"/>
      <c r="K23" s="13"/>
      <c r="L23" s="13"/>
      <c r="M23" s="13"/>
      <c r="N23" s="13"/>
      <c r="O23" s="13"/>
      <c r="P23" s="13"/>
    </row>
    <row r="24" spans="1:16" ht="12.75" customHeight="1">
      <c r="A24" s="48">
        <v>211208</v>
      </c>
      <c r="B24" s="15" t="s">
        <v>474</v>
      </c>
      <c r="C24" s="16">
        <f>SUM(C25)</f>
        <v>10000</v>
      </c>
      <c r="D24" s="8"/>
      <c r="E24" s="8"/>
      <c r="F24" s="8"/>
      <c r="G24" s="8"/>
      <c r="H24" s="8"/>
      <c r="I24" s="8"/>
      <c r="J24" s="8"/>
      <c r="K24" s="8"/>
      <c r="L24" s="8"/>
      <c r="M24" s="8"/>
      <c r="N24" s="8"/>
      <c r="O24" s="8"/>
      <c r="P24" s="8"/>
    </row>
    <row r="25" spans="1:16" ht="13.5" customHeight="1">
      <c r="A25" s="40">
        <v>21120805</v>
      </c>
      <c r="B25" s="13" t="s">
        <v>476</v>
      </c>
      <c r="C25" s="24">
        <v>10000</v>
      </c>
      <c r="D25" s="13"/>
      <c r="E25" s="13"/>
      <c r="F25" s="13"/>
      <c r="G25" s="13"/>
      <c r="H25" s="13"/>
      <c r="I25" s="13"/>
      <c r="J25" s="13"/>
      <c r="K25" s="13"/>
      <c r="L25" s="13"/>
      <c r="M25" s="13"/>
      <c r="N25" s="13"/>
      <c r="O25" s="13"/>
      <c r="P25" s="13"/>
    </row>
    <row r="26" spans="1:16" ht="12.75" customHeight="1">
      <c r="A26" s="48">
        <v>211209</v>
      </c>
      <c r="B26" s="26" t="s">
        <v>477</v>
      </c>
      <c r="C26" s="16">
        <f>SUM(C27:C28)</f>
        <v>160000</v>
      </c>
      <c r="D26" s="8"/>
      <c r="E26" s="8"/>
      <c r="F26" s="8"/>
      <c r="G26" s="8"/>
      <c r="H26" s="8"/>
      <c r="I26" s="8"/>
      <c r="J26" s="8"/>
      <c r="K26" s="8"/>
      <c r="L26" s="8"/>
      <c r="M26" s="8"/>
      <c r="N26" s="8"/>
      <c r="O26" s="8"/>
      <c r="P26" s="8"/>
    </row>
    <row r="27" spans="1:16" ht="13.5" customHeight="1">
      <c r="A27" s="33">
        <v>21120901</v>
      </c>
      <c r="B27" s="24" t="s">
        <v>478</v>
      </c>
      <c r="C27" s="14">
        <v>80000</v>
      </c>
      <c r="D27" s="8"/>
      <c r="E27" s="8"/>
      <c r="F27" s="8"/>
      <c r="G27" s="8"/>
      <c r="H27" s="8"/>
      <c r="I27" s="8"/>
      <c r="J27" s="8"/>
      <c r="K27" s="8"/>
      <c r="L27" s="8"/>
      <c r="M27" s="8"/>
      <c r="N27" s="8"/>
      <c r="O27" s="8"/>
      <c r="P27" s="8"/>
    </row>
    <row r="28" spans="1:16" ht="13.5" customHeight="1">
      <c r="A28" s="33">
        <v>21120906</v>
      </c>
      <c r="B28" s="24" t="s">
        <v>479</v>
      </c>
      <c r="C28" s="24">
        <v>80000</v>
      </c>
      <c r="D28" s="13"/>
      <c r="E28" s="13"/>
      <c r="F28" s="13"/>
      <c r="G28" s="13"/>
      <c r="H28" s="13"/>
      <c r="I28" s="13"/>
      <c r="J28" s="13"/>
      <c r="K28" s="13"/>
      <c r="L28" s="13"/>
      <c r="M28" s="13"/>
      <c r="N28" s="13"/>
      <c r="O28" s="13"/>
      <c r="P28" s="13"/>
    </row>
    <row r="29" spans="1:16" ht="13.5" customHeight="1" thickBot="1">
      <c r="A29" s="23"/>
      <c r="B29" s="24"/>
      <c r="C29" s="24"/>
      <c r="D29" s="13"/>
      <c r="E29" s="13"/>
      <c r="F29" s="13"/>
      <c r="G29" s="13"/>
      <c r="H29" s="13"/>
      <c r="I29" s="13"/>
      <c r="J29" s="13"/>
      <c r="K29" s="13"/>
      <c r="L29" s="13"/>
      <c r="M29" s="13"/>
      <c r="N29" s="13"/>
      <c r="O29" s="13"/>
      <c r="P29" s="13"/>
    </row>
    <row r="30" spans="1:16" ht="12.75" customHeight="1" thickBot="1">
      <c r="A30" s="1282" t="s">
        <v>4</v>
      </c>
      <c r="B30" s="1281"/>
      <c r="C30" s="41">
        <f>C33+C35+C37+C31</f>
        <v>7700000</v>
      </c>
      <c r="D30" s="8"/>
      <c r="E30" s="8"/>
      <c r="F30" s="8"/>
      <c r="G30" s="8"/>
      <c r="H30" s="8"/>
      <c r="I30" s="8"/>
      <c r="J30" s="8"/>
      <c r="K30" s="8"/>
      <c r="L30" s="8"/>
      <c r="M30" s="8"/>
      <c r="N30" s="8"/>
      <c r="O30" s="8"/>
      <c r="P30" s="8"/>
    </row>
    <row r="31" spans="1:16" ht="12.75" customHeight="1">
      <c r="A31" s="48">
        <v>211302</v>
      </c>
      <c r="B31" s="21" t="s">
        <v>481</v>
      </c>
      <c r="C31" s="26">
        <f>SUM(C32)</f>
        <v>60000</v>
      </c>
      <c r="D31" s="8"/>
      <c r="E31" s="8"/>
      <c r="F31" s="8"/>
      <c r="G31" s="8"/>
      <c r="H31" s="8"/>
      <c r="I31" s="8"/>
      <c r="J31" s="8"/>
      <c r="K31" s="8"/>
      <c r="L31" s="8"/>
      <c r="M31" s="8"/>
      <c r="N31" s="8"/>
      <c r="O31" s="8"/>
      <c r="P31" s="8"/>
    </row>
    <row r="32" spans="1:16" ht="12.75" customHeight="1">
      <c r="A32" s="33">
        <v>21130204</v>
      </c>
      <c r="B32" s="23" t="s">
        <v>483</v>
      </c>
      <c r="C32" s="24">
        <v>60000</v>
      </c>
      <c r="D32" s="8"/>
      <c r="E32" s="8"/>
      <c r="F32" s="8"/>
      <c r="G32" s="8"/>
      <c r="H32" s="8"/>
      <c r="I32" s="8"/>
      <c r="J32" s="8"/>
      <c r="K32" s="8"/>
      <c r="L32" s="8"/>
      <c r="M32" s="8"/>
      <c r="N32" s="8"/>
      <c r="O32" s="8"/>
      <c r="P32" s="8"/>
    </row>
    <row r="33" spans="1:16" ht="13.5" customHeight="1">
      <c r="A33" s="22">
        <v>211303</v>
      </c>
      <c r="B33" s="42" t="s">
        <v>484</v>
      </c>
      <c r="C33" s="26">
        <f>SUM(C34)</f>
        <v>120000</v>
      </c>
      <c r="D33" s="13"/>
      <c r="E33" s="13"/>
      <c r="F33" s="13"/>
      <c r="G33" s="13"/>
      <c r="H33" s="13"/>
      <c r="I33" s="13"/>
      <c r="J33" s="13"/>
      <c r="K33" s="13"/>
      <c r="L33" s="13"/>
      <c r="M33" s="13"/>
      <c r="N33" s="13"/>
      <c r="O33" s="13"/>
      <c r="P33" s="13"/>
    </row>
    <row r="34" spans="1:16" ht="13.5" customHeight="1">
      <c r="A34" s="40">
        <v>21130307</v>
      </c>
      <c r="B34" s="13" t="s">
        <v>488</v>
      </c>
      <c r="C34" s="24">
        <v>120000</v>
      </c>
      <c r="D34" s="13"/>
      <c r="E34" s="13"/>
      <c r="F34" s="13"/>
      <c r="G34" s="13"/>
      <c r="H34" s="13"/>
      <c r="I34" s="13"/>
      <c r="J34" s="13"/>
      <c r="K34" s="13"/>
      <c r="L34" s="13"/>
      <c r="M34" s="13"/>
      <c r="N34" s="13"/>
      <c r="O34" s="13"/>
      <c r="P34" s="13"/>
    </row>
    <row r="35" spans="1:16" ht="13.5" customHeight="1">
      <c r="A35" s="48">
        <v>211305</v>
      </c>
      <c r="B35" s="26" t="s">
        <v>489</v>
      </c>
      <c r="C35" s="26">
        <f>SUM(C36)</f>
        <v>5400000</v>
      </c>
      <c r="D35" s="13"/>
      <c r="E35" s="13"/>
      <c r="F35" s="13"/>
      <c r="G35" s="13"/>
      <c r="H35" s="13"/>
      <c r="I35" s="13"/>
      <c r="J35" s="13"/>
      <c r="K35" s="13"/>
      <c r="L35" s="13"/>
      <c r="M35" s="13"/>
      <c r="N35" s="13"/>
      <c r="O35" s="13"/>
      <c r="P35" s="13"/>
    </row>
    <row r="36" spans="1:16" ht="13.5" customHeight="1">
      <c r="A36" s="33">
        <v>21130502</v>
      </c>
      <c r="B36" s="24" t="s">
        <v>491</v>
      </c>
      <c r="C36" s="14">
        <v>5400000</v>
      </c>
      <c r="D36" s="8"/>
      <c r="E36" s="8"/>
      <c r="F36" s="8"/>
      <c r="G36" s="8"/>
      <c r="H36" s="8"/>
      <c r="I36" s="8"/>
      <c r="J36" s="8"/>
      <c r="K36" s="8"/>
      <c r="L36" s="8"/>
      <c r="M36" s="8"/>
      <c r="N36" s="8"/>
      <c r="O36" s="8"/>
      <c r="P36" s="8"/>
    </row>
    <row r="37" spans="1:16" ht="12.75" customHeight="1">
      <c r="A37" s="48">
        <v>211309</v>
      </c>
      <c r="B37" s="26" t="s">
        <v>496</v>
      </c>
      <c r="C37" s="16">
        <f>SUM(C38:C40)</f>
        <v>2120000</v>
      </c>
      <c r="D37" s="8"/>
      <c r="E37" s="8"/>
      <c r="F37" s="8"/>
      <c r="G37" s="8"/>
      <c r="H37" s="8"/>
      <c r="I37" s="8"/>
      <c r="J37" s="8"/>
      <c r="K37" s="8"/>
      <c r="L37" s="8"/>
      <c r="M37" s="8"/>
      <c r="N37" s="8"/>
      <c r="O37" s="8"/>
      <c r="P37" s="8"/>
    </row>
    <row r="38" spans="1:16" ht="13.5" customHeight="1">
      <c r="A38" s="33">
        <v>21130901</v>
      </c>
      <c r="B38" s="24" t="s">
        <v>497</v>
      </c>
      <c r="C38" s="14">
        <v>1500000</v>
      </c>
      <c r="D38" s="8"/>
      <c r="E38" s="8"/>
      <c r="F38" s="8"/>
      <c r="G38" s="8"/>
      <c r="H38" s="8"/>
      <c r="I38" s="8"/>
      <c r="J38" s="8"/>
      <c r="K38" s="8"/>
      <c r="L38" s="8"/>
      <c r="M38" s="8"/>
      <c r="N38" s="8"/>
      <c r="O38" s="8"/>
      <c r="P38" s="8"/>
    </row>
    <row r="39" spans="1:16" ht="13.5" customHeight="1">
      <c r="A39" s="33">
        <v>21130903</v>
      </c>
      <c r="B39" s="24" t="s">
        <v>498</v>
      </c>
      <c r="C39" s="14">
        <v>30000</v>
      </c>
      <c r="D39" s="8"/>
      <c r="E39" s="8"/>
      <c r="F39" s="8"/>
      <c r="G39" s="8"/>
      <c r="H39" s="8"/>
      <c r="I39" s="8"/>
      <c r="J39" s="8"/>
      <c r="K39" s="8"/>
      <c r="L39" s="8"/>
      <c r="M39" s="8"/>
      <c r="N39" s="8"/>
      <c r="O39" s="8"/>
      <c r="P39" s="8"/>
    </row>
    <row r="40" spans="1:16" ht="13.5" customHeight="1">
      <c r="A40" s="33">
        <v>21130908</v>
      </c>
      <c r="B40" s="24" t="s">
        <v>500</v>
      </c>
      <c r="C40" s="14">
        <v>590000</v>
      </c>
      <c r="D40" s="8"/>
      <c r="E40" s="8"/>
      <c r="F40" s="8"/>
      <c r="G40" s="8"/>
      <c r="H40" s="8"/>
      <c r="I40" s="8"/>
      <c r="J40" s="8"/>
      <c r="K40" s="8"/>
      <c r="L40" s="8"/>
      <c r="M40" s="8"/>
      <c r="N40" s="8"/>
      <c r="O40" s="8"/>
      <c r="P40" s="8"/>
    </row>
    <row r="41" spans="1:16" ht="12.75" customHeight="1" thickBot="1">
      <c r="A41" s="33"/>
      <c r="B41" s="13"/>
      <c r="C41" s="14"/>
      <c r="D41" s="8"/>
      <c r="E41" s="8"/>
      <c r="F41" s="8"/>
      <c r="G41" s="8"/>
      <c r="H41" s="8"/>
      <c r="I41" s="8"/>
      <c r="J41" s="8"/>
      <c r="K41" s="8"/>
      <c r="L41" s="8"/>
      <c r="M41" s="8"/>
      <c r="N41" s="8"/>
      <c r="O41" s="8"/>
      <c r="P41" s="8"/>
    </row>
    <row r="42" spans="1:16" ht="12.75" customHeight="1" thickBot="1">
      <c r="A42" s="1283" t="s">
        <v>48</v>
      </c>
      <c r="B42" s="1281"/>
      <c r="C42" s="52">
        <f>C43+C45</f>
        <v>100000</v>
      </c>
      <c r="D42" s="8"/>
      <c r="E42" s="8"/>
      <c r="F42" s="8"/>
      <c r="G42" s="8"/>
      <c r="H42" s="8"/>
      <c r="I42" s="8"/>
      <c r="J42" s="8"/>
      <c r="K42" s="8"/>
      <c r="L42" s="8"/>
      <c r="M42" s="8"/>
      <c r="N42" s="8"/>
      <c r="O42" s="8"/>
      <c r="P42" s="8"/>
    </row>
    <row r="43" spans="1:16" ht="12.75" customHeight="1">
      <c r="A43" s="48">
        <v>221104</v>
      </c>
      <c r="B43" s="22" t="s">
        <v>510</v>
      </c>
      <c r="C43" s="82">
        <f>SUM(C44)</f>
        <v>60000</v>
      </c>
      <c r="D43" s="84"/>
      <c r="E43" s="84"/>
      <c r="F43" s="84"/>
      <c r="G43" s="84"/>
      <c r="H43" s="84"/>
      <c r="I43" s="84"/>
      <c r="J43" s="84"/>
      <c r="K43" s="84"/>
      <c r="L43" s="84"/>
      <c r="M43" s="84"/>
      <c r="N43" s="84"/>
      <c r="O43" s="84"/>
      <c r="P43" s="84"/>
    </row>
    <row r="44" spans="1:16" ht="13.5" customHeight="1">
      <c r="A44" s="33">
        <v>22110401</v>
      </c>
      <c r="B44" s="13" t="s">
        <v>511</v>
      </c>
      <c r="C44" s="14">
        <v>60000</v>
      </c>
      <c r="D44" s="8"/>
      <c r="E44" s="8"/>
      <c r="F44" s="8"/>
      <c r="G44" s="8"/>
      <c r="H44" s="8"/>
      <c r="I44" s="8"/>
      <c r="J44" s="8"/>
      <c r="K44" s="8"/>
      <c r="L44" s="8"/>
      <c r="M44" s="8"/>
      <c r="N44" s="8"/>
      <c r="O44" s="8"/>
      <c r="P44" s="8"/>
    </row>
    <row r="45" spans="1:16" ht="12.75" customHeight="1">
      <c r="A45" s="48">
        <v>221107</v>
      </c>
      <c r="B45" s="26" t="s">
        <v>514</v>
      </c>
      <c r="C45" s="16">
        <f>SUM(C46)</f>
        <v>40000</v>
      </c>
      <c r="D45" s="8"/>
      <c r="E45" s="8"/>
      <c r="F45" s="8"/>
      <c r="G45" s="8"/>
      <c r="H45" s="8"/>
      <c r="I45" s="8"/>
      <c r="J45" s="8"/>
      <c r="K45" s="8"/>
      <c r="L45" s="8"/>
      <c r="M45" s="8"/>
      <c r="N45" s="8"/>
      <c r="O45" s="8"/>
      <c r="P45" s="8"/>
    </row>
    <row r="46" spans="1:16" ht="13.5" customHeight="1">
      <c r="A46" s="33">
        <v>22110702</v>
      </c>
      <c r="B46" s="24" t="s">
        <v>515</v>
      </c>
      <c r="C46" s="14">
        <v>40000</v>
      </c>
      <c r="D46" s="8"/>
      <c r="E46" s="8"/>
      <c r="F46" s="8"/>
      <c r="G46" s="8"/>
      <c r="H46" s="8"/>
      <c r="I46" s="8"/>
      <c r="J46" s="8"/>
      <c r="K46" s="8"/>
      <c r="L46" s="8"/>
      <c r="M46" s="8"/>
      <c r="N46" s="8"/>
      <c r="O46" s="8"/>
      <c r="P46" s="8"/>
    </row>
    <row r="47" spans="1:16" ht="12.75" customHeight="1">
      <c r="A47" s="84"/>
      <c r="B47" s="8"/>
      <c r="C47" s="30"/>
      <c r="D47" s="8"/>
      <c r="E47" s="8"/>
      <c r="F47" s="8"/>
      <c r="G47" s="8"/>
      <c r="H47" s="8"/>
      <c r="I47" s="8"/>
      <c r="J47" s="8"/>
      <c r="K47" s="8"/>
      <c r="L47" s="8"/>
      <c r="M47" s="8"/>
      <c r="N47" s="8"/>
      <c r="O47" s="8"/>
      <c r="P47" s="8"/>
    </row>
    <row r="48" spans="1:16" ht="12.75" customHeight="1">
      <c r="A48" s="8"/>
      <c r="B48" s="8"/>
      <c r="C48" s="30"/>
      <c r="D48" s="8"/>
      <c r="E48" s="8"/>
      <c r="F48" s="8"/>
      <c r="G48" s="8"/>
      <c r="H48" s="8"/>
      <c r="I48" s="8"/>
      <c r="J48" s="8"/>
      <c r="K48" s="8"/>
      <c r="L48" s="8"/>
      <c r="M48" s="8"/>
      <c r="N48" s="8"/>
      <c r="O48" s="8"/>
      <c r="P48" s="8"/>
    </row>
    <row r="49" spans="1:16" ht="12.75" customHeight="1">
      <c r="A49" s="8"/>
      <c r="B49" s="8"/>
      <c r="C49" s="30"/>
      <c r="D49" s="8"/>
      <c r="E49" s="8"/>
      <c r="F49" s="8"/>
      <c r="G49" s="8"/>
      <c r="H49" s="8"/>
      <c r="I49" s="8"/>
      <c r="J49" s="8"/>
      <c r="K49" s="8"/>
      <c r="L49" s="8"/>
      <c r="M49" s="8"/>
      <c r="N49" s="8"/>
      <c r="O49" s="8"/>
      <c r="P49" s="8"/>
    </row>
    <row r="50" spans="1:16" ht="12.75" customHeight="1">
      <c r="A50" s="8"/>
      <c r="B50" s="8"/>
      <c r="C50" s="30"/>
      <c r="D50" s="8"/>
      <c r="E50" s="8"/>
      <c r="F50" s="8"/>
      <c r="G50" s="8"/>
      <c r="H50" s="8"/>
      <c r="I50" s="8"/>
      <c r="J50" s="8"/>
      <c r="K50" s="8"/>
      <c r="L50" s="8"/>
      <c r="M50" s="8"/>
      <c r="N50" s="8"/>
      <c r="O50" s="8"/>
      <c r="P50" s="8"/>
    </row>
    <row r="51" spans="1:16" ht="12.75" customHeight="1">
      <c r="A51" s="8"/>
      <c r="B51" s="8"/>
      <c r="C51" s="30"/>
      <c r="D51" s="8"/>
      <c r="E51" s="8"/>
      <c r="F51" s="8"/>
      <c r="G51" s="8"/>
      <c r="H51" s="8"/>
      <c r="I51" s="8"/>
      <c r="J51" s="8"/>
      <c r="K51" s="8"/>
      <c r="L51" s="8"/>
      <c r="M51" s="8"/>
      <c r="N51" s="8"/>
      <c r="O51" s="8"/>
      <c r="P51" s="8"/>
    </row>
    <row r="52" spans="1:16" ht="12.75" customHeight="1">
      <c r="A52" s="8"/>
      <c r="B52" s="8"/>
      <c r="C52" s="30"/>
      <c r="D52" s="8"/>
      <c r="E52" s="8"/>
      <c r="F52" s="8"/>
      <c r="G52" s="8"/>
      <c r="H52" s="8"/>
      <c r="I52" s="8"/>
      <c r="J52" s="8"/>
      <c r="K52" s="8"/>
      <c r="L52" s="8"/>
      <c r="M52" s="8"/>
      <c r="N52" s="8"/>
      <c r="O52" s="8"/>
      <c r="P52" s="8"/>
    </row>
    <row r="53" spans="1:16" ht="12.75" customHeight="1">
      <c r="A53" s="8"/>
      <c r="B53" s="8"/>
      <c r="C53" s="30"/>
      <c r="D53" s="8"/>
      <c r="E53" s="8"/>
      <c r="F53" s="8"/>
      <c r="G53" s="8"/>
      <c r="H53" s="8"/>
      <c r="I53" s="8"/>
      <c r="J53" s="8"/>
      <c r="K53" s="8"/>
      <c r="L53" s="8"/>
      <c r="M53" s="8"/>
      <c r="N53" s="8"/>
      <c r="O53" s="8"/>
      <c r="P53" s="8"/>
    </row>
    <row r="54" spans="1:16" ht="12.75" customHeight="1">
      <c r="A54" s="8"/>
      <c r="B54" s="8"/>
      <c r="C54" s="30"/>
      <c r="D54" s="8"/>
      <c r="E54" s="8"/>
      <c r="F54" s="8"/>
      <c r="G54" s="8"/>
      <c r="H54" s="8"/>
      <c r="I54" s="8"/>
      <c r="J54" s="8"/>
      <c r="K54" s="8"/>
      <c r="L54" s="8"/>
      <c r="M54" s="8"/>
      <c r="N54" s="8"/>
      <c r="O54" s="8"/>
      <c r="P54" s="8"/>
    </row>
    <row r="55" spans="1:16" ht="12.75" customHeight="1">
      <c r="A55" s="8"/>
      <c r="B55" s="8"/>
      <c r="C55" s="30"/>
      <c r="D55" s="8"/>
      <c r="E55" s="8"/>
      <c r="F55" s="8"/>
      <c r="G55" s="8"/>
      <c r="H55" s="8"/>
      <c r="I55" s="8"/>
      <c r="J55" s="8"/>
      <c r="K55" s="8"/>
      <c r="L55" s="8"/>
      <c r="M55" s="8"/>
      <c r="N55" s="8"/>
      <c r="O55" s="8"/>
      <c r="P55" s="8"/>
    </row>
    <row r="56" spans="1:16" ht="12.75" customHeight="1">
      <c r="A56" s="8"/>
      <c r="B56" s="8"/>
      <c r="C56" s="30"/>
      <c r="D56" s="8"/>
      <c r="E56" s="8"/>
      <c r="F56" s="8"/>
      <c r="G56" s="8"/>
      <c r="H56" s="8"/>
      <c r="I56" s="8"/>
      <c r="J56" s="8"/>
      <c r="K56" s="8"/>
      <c r="L56" s="8"/>
      <c r="M56" s="8"/>
      <c r="N56" s="8"/>
      <c r="O56" s="8"/>
      <c r="P56" s="8"/>
    </row>
    <row r="57" spans="1:16" ht="12.75" customHeight="1">
      <c r="A57" s="8"/>
      <c r="B57" s="8"/>
      <c r="C57" s="30"/>
      <c r="D57" s="8"/>
      <c r="E57" s="8"/>
      <c r="F57" s="8"/>
      <c r="G57" s="8"/>
      <c r="H57" s="8"/>
      <c r="I57" s="8"/>
      <c r="J57" s="8"/>
      <c r="K57" s="8"/>
      <c r="L57" s="8"/>
      <c r="M57" s="8"/>
      <c r="N57" s="8"/>
      <c r="O57" s="8"/>
      <c r="P57" s="8"/>
    </row>
    <row r="58" spans="1:16" ht="12.75" customHeight="1">
      <c r="A58" s="8"/>
      <c r="B58" s="8"/>
      <c r="C58" s="30"/>
      <c r="D58" s="8"/>
      <c r="E58" s="8"/>
      <c r="F58" s="8"/>
      <c r="G58" s="8"/>
      <c r="H58" s="8"/>
      <c r="I58" s="8"/>
      <c r="J58" s="8"/>
      <c r="K58" s="8"/>
      <c r="L58" s="8"/>
      <c r="M58" s="8"/>
      <c r="N58" s="8"/>
      <c r="O58" s="8"/>
      <c r="P58" s="8"/>
    </row>
    <row r="59" spans="1:16" ht="12.75" customHeight="1">
      <c r="A59" s="8"/>
      <c r="B59" s="8"/>
      <c r="C59" s="30"/>
      <c r="D59" s="8"/>
      <c r="E59" s="8"/>
      <c r="F59" s="8"/>
      <c r="G59" s="8"/>
      <c r="H59" s="8"/>
      <c r="I59" s="8"/>
      <c r="J59" s="8"/>
      <c r="K59" s="8"/>
      <c r="L59" s="8"/>
      <c r="M59" s="8"/>
      <c r="N59" s="8"/>
      <c r="O59" s="8"/>
      <c r="P59" s="8"/>
    </row>
    <row r="60" spans="1:16" ht="12.75" customHeight="1">
      <c r="A60" s="8"/>
      <c r="B60" s="8"/>
      <c r="C60" s="30"/>
      <c r="D60" s="8"/>
      <c r="E60" s="8"/>
      <c r="F60" s="8"/>
      <c r="G60" s="8"/>
      <c r="H60" s="8"/>
      <c r="I60" s="8"/>
      <c r="J60" s="8"/>
      <c r="K60" s="8"/>
      <c r="L60" s="8"/>
      <c r="M60" s="8"/>
      <c r="N60" s="8"/>
      <c r="O60" s="8"/>
      <c r="P60" s="8"/>
    </row>
    <row r="61" spans="1:16" ht="12.75" customHeight="1">
      <c r="A61" s="8"/>
      <c r="B61" s="8"/>
      <c r="C61" s="30"/>
      <c r="D61" s="8"/>
      <c r="E61" s="8"/>
      <c r="F61" s="8"/>
      <c r="G61" s="8"/>
      <c r="H61" s="8"/>
      <c r="I61" s="8"/>
      <c r="J61" s="8"/>
      <c r="K61" s="8"/>
      <c r="L61" s="8"/>
      <c r="M61" s="8"/>
      <c r="N61" s="8"/>
      <c r="O61" s="8"/>
      <c r="P61" s="8"/>
    </row>
    <row r="62" spans="1:16" ht="12.75" customHeight="1">
      <c r="A62" s="8"/>
      <c r="B62" s="8"/>
      <c r="C62" s="30"/>
      <c r="D62" s="8"/>
      <c r="E62" s="8"/>
      <c r="F62" s="8"/>
      <c r="G62" s="8"/>
      <c r="H62" s="8"/>
      <c r="I62" s="8"/>
      <c r="J62" s="8"/>
      <c r="K62" s="8"/>
      <c r="L62" s="8"/>
      <c r="M62" s="8"/>
      <c r="N62" s="8"/>
      <c r="O62" s="8"/>
      <c r="P62" s="8"/>
    </row>
    <row r="63" spans="1:16" ht="12.75" customHeight="1">
      <c r="A63" s="8"/>
      <c r="B63" s="8"/>
      <c r="C63" s="30"/>
      <c r="D63" s="8"/>
      <c r="E63" s="8"/>
      <c r="F63" s="8"/>
      <c r="G63" s="8"/>
      <c r="H63" s="8"/>
      <c r="I63" s="8"/>
      <c r="J63" s="8"/>
      <c r="K63" s="8"/>
      <c r="L63" s="8"/>
      <c r="M63" s="8"/>
      <c r="N63" s="8"/>
      <c r="O63" s="8"/>
      <c r="P63" s="8"/>
    </row>
    <row r="64" spans="1:16" ht="12.75" customHeight="1">
      <c r="A64" s="8"/>
      <c r="B64" s="8"/>
      <c r="C64" s="30"/>
      <c r="D64" s="8"/>
      <c r="E64" s="8"/>
      <c r="F64" s="8"/>
      <c r="G64" s="8"/>
      <c r="H64" s="8"/>
      <c r="I64" s="8"/>
      <c r="J64" s="8"/>
      <c r="K64" s="8"/>
      <c r="L64" s="8"/>
      <c r="M64" s="8"/>
      <c r="N64" s="8"/>
      <c r="O64" s="8"/>
      <c r="P64" s="8"/>
    </row>
    <row r="65" spans="1:16" ht="12.75" customHeight="1">
      <c r="A65" s="8"/>
      <c r="B65" s="8"/>
      <c r="C65" s="30"/>
      <c r="D65" s="8"/>
      <c r="E65" s="8"/>
      <c r="F65" s="8"/>
      <c r="G65" s="8"/>
      <c r="H65" s="8"/>
      <c r="I65" s="8"/>
      <c r="J65" s="8"/>
      <c r="K65" s="8"/>
      <c r="L65" s="8"/>
      <c r="M65" s="8"/>
      <c r="N65" s="8"/>
      <c r="O65" s="8"/>
      <c r="P65" s="8"/>
    </row>
    <row r="66" spans="1:16" ht="12.75" customHeight="1">
      <c r="A66" s="8"/>
      <c r="B66" s="8"/>
      <c r="C66" s="30"/>
      <c r="D66" s="8"/>
      <c r="E66" s="8"/>
      <c r="F66" s="8"/>
      <c r="G66" s="8"/>
      <c r="H66" s="8"/>
      <c r="I66" s="8"/>
      <c r="J66" s="8"/>
      <c r="K66" s="8"/>
      <c r="L66" s="8"/>
      <c r="M66" s="8"/>
      <c r="N66" s="8"/>
      <c r="O66" s="8"/>
      <c r="P66" s="8"/>
    </row>
    <row r="67" spans="1:16" ht="12.75" customHeight="1">
      <c r="A67" s="8"/>
      <c r="B67" s="8"/>
      <c r="C67" s="30"/>
      <c r="D67" s="8"/>
      <c r="E67" s="8"/>
      <c r="F67" s="8"/>
      <c r="G67" s="8"/>
      <c r="H67" s="8"/>
      <c r="I67" s="8"/>
      <c r="J67" s="8"/>
      <c r="K67" s="8"/>
      <c r="L67" s="8"/>
      <c r="M67" s="8"/>
      <c r="N67" s="8"/>
      <c r="O67" s="8"/>
      <c r="P67" s="8"/>
    </row>
    <row r="68" spans="1:16" ht="12.75" customHeight="1">
      <c r="A68" s="8"/>
      <c r="B68" s="8"/>
      <c r="C68" s="30"/>
      <c r="D68" s="8"/>
      <c r="E68" s="8"/>
      <c r="F68" s="8"/>
      <c r="G68" s="8"/>
      <c r="H68" s="8"/>
      <c r="I68" s="8"/>
      <c r="J68" s="8"/>
      <c r="K68" s="8"/>
      <c r="L68" s="8"/>
      <c r="M68" s="8"/>
      <c r="N68" s="8"/>
      <c r="O68" s="8"/>
      <c r="P68" s="8"/>
    </row>
    <row r="69" spans="1:16" ht="12.75" customHeight="1">
      <c r="A69" s="8"/>
      <c r="B69" s="8"/>
      <c r="C69" s="30"/>
      <c r="D69" s="8"/>
      <c r="E69" s="8"/>
      <c r="F69" s="8"/>
      <c r="G69" s="8"/>
      <c r="H69" s="8"/>
      <c r="I69" s="8"/>
      <c r="J69" s="8"/>
      <c r="K69" s="8"/>
      <c r="L69" s="8"/>
      <c r="M69" s="8"/>
      <c r="N69" s="8"/>
      <c r="O69" s="8"/>
      <c r="P69" s="8"/>
    </row>
    <row r="70" spans="1:16" ht="12.75" customHeight="1">
      <c r="A70" s="8"/>
      <c r="B70" s="8"/>
      <c r="C70" s="30"/>
      <c r="D70" s="8"/>
      <c r="E70" s="8"/>
      <c r="F70" s="8"/>
      <c r="G70" s="8"/>
      <c r="H70" s="8"/>
      <c r="I70" s="8"/>
      <c r="J70" s="8"/>
      <c r="K70" s="8"/>
      <c r="L70" s="8"/>
      <c r="M70" s="8"/>
      <c r="N70" s="8"/>
      <c r="O70" s="8"/>
      <c r="P70" s="8"/>
    </row>
    <row r="71" spans="1:16" ht="12.75" customHeight="1">
      <c r="A71" s="8"/>
      <c r="B71" s="8"/>
      <c r="C71" s="30"/>
      <c r="D71" s="8"/>
      <c r="E71" s="8"/>
      <c r="F71" s="8"/>
      <c r="G71" s="8"/>
      <c r="H71" s="8"/>
      <c r="I71" s="8"/>
      <c r="J71" s="8"/>
      <c r="K71" s="8"/>
      <c r="L71" s="8"/>
      <c r="M71" s="8"/>
      <c r="N71" s="8"/>
      <c r="O71" s="8"/>
      <c r="P71" s="8"/>
    </row>
    <row r="72" spans="1:16" ht="12.75" customHeight="1">
      <c r="A72" s="8"/>
      <c r="B72" s="8"/>
      <c r="C72" s="30"/>
      <c r="D72" s="8"/>
      <c r="E72" s="8"/>
      <c r="F72" s="8"/>
      <c r="G72" s="8"/>
      <c r="H72" s="8"/>
      <c r="I72" s="8"/>
      <c r="J72" s="8"/>
      <c r="K72" s="8"/>
      <c r="L72" s="8"/>
      <c r="M72" s="8"/>
      <c r="N72" s="8"/>
      <c r="O72" s="8"/>
      <c r="P72" s="8"/>
    </row>
    <row r="73" spans="1:16" ht="12.75" customHeight="1">
      <c r="A73" s="8"/>
      <c r="B73" s="8"/>
      <c r="C73" s="30"/>
      <c r="D73" s="8"/>
      <c r="E73" s="8"/>
      <c r="F73" s="8"/>
      <c r="G73" s="8"/>
      <c r="H73" s="8"/>
      <c r="I73" s="8"/>
      <c r="J73" s="8"/>
      <c r="K73" s="8"/>
      <c r="L73" s="8"/>
      <c r="M73" s="8"/>
      <c r="N73" s="8"/>
      <c r="O73" s="8"/>
      <c r="P73" s="8"/>
    </row>
    <row r="74" spans="1:16" ht="12.75" customHeight="1">
      <c r="A74" s="8"/>
      <c r="B74" s="8"/>
      <c r="C74" s="30"/>
      <c r="D74" s="8"/>
      <c r="E74" s="8"/>
      <c r="F74" s="8"/>
      <c r="G74" s="8"/>
      <c r="H74" s="8"/>
      <c r="I74" s="8"/>
      <c r="J74" s="8"/>
      <c r="K74" s="8"/>
      <c r="L74" s="8"/>
      <c r="M74" s="8"/>
      <c r="N74" s="8"/>
      <c r="O74" s="8"/>
      <c r="P74" s="8"/>
    </row>
    <row r="75" spans="1:16" ht="12.75" customHeight="1">
      <c r="A75" s="8"/>
      <c r="B75" s="8"/>
      <c r="C75" s="30"/>
      <c r="D75" s="8"/>
      <c r="E75" s="8"/>
      <c r="F75" s="8"/>
      <c r="G75" s="8"/>
      <c r="H75" s="8"/>
      <c r="I75" s="8"/>
      <c r="J75" s="8"/>
      <c r="K75" s="8"/>
      <c r="L75" s="8"/>
      <c r="M75" s="8"/>
      <c r="N75" s="8"/>
      <c r="O75" s="8"/>
      <c r="P75" s="8"/>
    </row>
    <row r="76" spans="1:16" ht="12.75" customHeight="1">
      <c r="A76" s="8"/>
      <c r="B76" s="8"/>
      <c r="C76" s="30"/>
      <c r="D76" s="8"/>
      <c r="E76" s="8"/>
      <c r="F76" s="8"/>
      <c r="G76" s="8"/>
      <c r="H76" s="8"/>
      <c r="I76" s="8"/>
      <c r="J76" s="8"/>
      <c r="K76" s="8"/>
      <c r="L76" s="8"/>
      <c r="M76" s="8"/>
      <c r="N76" s="8"/>
      <c r="O76" s="8"/>
      <c r="P76" s="8"/>
    </row>
    <row r="77" spans="1:16" ht="12.75" customHeight="1">
      <c r="A77" s="8"/>
      <c r="B77" s="8"/>
      <c r="C77" s="30"/>
      <c r="D77" s="8"/>
      <c r="E77" s="8"/>
      <c r="F77" s="8"/>
      <c r="G77" s="8"/>
      <c r="H77" s="8"/>
      <c r="I77" s="8"/>
      <c r="J77" s="8"/>
      <c r="K77" s="8"/>
      <c r="L77" s="8"/>
      <c r="M77" s="8"/>
      <c r="N77" s="8"/>
      <c r="O77" s="8"/>
      <c r="P77" s="8"/>
    </row>
    <row r="78" spans="1:16" ht="12.75" customHeight="1">
      <c r="A78" s="8"/>
      <c r="B78" s="8"/>
      <c r="C78" s="30"/>
      <c r="D78" s="8"/>
      <c r="E78" s="8"/>
      <c r="F78" s="8"/>
      <c r="G78" s="8"/>
      <c r="H78" s="8"/>
      <c r="I78" s="8"/>
      <c r="J78" s="8"/>
      <c r="K78" s="8"/>
      <c r="L78" s="8"/>
      <c r="M78" s="8"/>
      <c r="N78" s="8"/>
      <c r="O78" s="8"/>
      <c r="P78" s="8"/>
    </row>
    <row r="79" spans="1:16" ht="12.75" customHeight="1">
      <c r="A79" s="8"/>
      <c r="B79" s="8"/>
      <c r="C79" s="30"/>
      <c r="D79" s="8"/>
      <c r="E79" s="8"/>
      <c r="F79" s="8"/>
      <c r="G79" s="8"/>
      <c r="H79" s="8"/>
      <c r="I79" s="8"/>
      <c r="J79" s="8"/>
      <c r="K79" s="8"/>
      <c r="L79" s="8"/>
      <c r="M79" s="8"/>
      <c r="N79" s="8"/>
      <c r="O79" s="8"/>
      <c r="P79" s="8"/>
    </row>
    <row r="80" spans="1:16" ht="12.75" customHeight="1">
      <c r="A80" s="8"/>
      <c r="B80" s="8"/>
      <c r="C80" s="30"/>
      <c r="D80" s="8"/>
      <c r="E80" s="8"/>
      <c r="F80" s="8"/>
      <c r="G80" s="8"/>
      <c r="H80" s="8"/>
      <c r="I80" s="8"/>
      <c r="J80" s="8"/>
      <c r="K80" s="8"/>
      <c r="L80" s="8"/>
      <c r="M80" s="8"/>
      <c r="N80" s="8"/>
      <c r="O80" s="8"/>
      <c r="P80" s="8"/>
    </row>
    <row r="81" spans="1:16" ht="12.75" customHeight="1">
      <c r="A81" s="8"/>
      <c r="B81" s="8"/>
      <c r="C81" s="30"/>
      <c r="D81" s="8"/>
      <c r="E81" s="8"/>
      <c r="F81" s="8"/>
      <c r="G81" s="8"/>
      <c r="H81" s="8"/>
      <c r="I81" s="8"/>
      <c r="J81" s="8"/>
      <c r="K81" s="8"/>
      <c r="L81" s="8"/>
      <c r="M81" s="8"/>
      <c r="N81" s="8"/>
      <c r="O81" s="8"/>
      <c r="P81" s="8"/>
    </row>
    <row r="82" spans="1:16" ht="12.75" customHeight="1">
      <c r="A82" s="8"/>
      <c r="B82" s="8"/>
      <c r="C82" s="30"/>
      <c r="D82" s="8"/>
      <c r="E82" s="8"/>
      <c r="F82" s="8"/>
      <c r="G82" s="8"/>
      <c r="H82" s="8"/>
      <c r="I82" s="8"/>
      <c r="J82" s="8"/>
      <c r="K82" s="8"/>
      <c r="L82" s="8"/>
      <c r="M82" s="8"/>
      <c r="N82" s="8"/>
      <c r="O82" s="8"/>
      <c r="P82" s="8"/>
    </row>
    <row r="83" spans="1:16" ht="12.75" customHeight="1">
      <c r="A83" s="8"/>
      <c r="B83" s="8"/>
      <c r="C83" s="30"/>
      <c r="D83" s="8"/>
      <c r="E83" s="8"/>
      <c r="F83" s="8"/>
      <c r="G83" s="8"/>
      <c r="H83" s="8"/>
      <c r="I83" s="8"/>
      <c r="J83" s="8"/>
      <c r="K83" s="8"/>
      <c r="L83" s="8"/>
      <c r="M83" s="8"/>
      <c r="N83" s="8"/>
      <c r="O83" s="8"/>
      <c r="P83" s="8"/>
    </row>
    <row r="84" spans="1:16" ht="12.75" customHeight="1">
      <c r="A84" s="8"/>
      <c r="B84" s="8"/>
      <c r="C84" s="30"/>
      <c r="D84" s="8"/>
      <c r="E84" s="8"/>
      <c r="F84" s="8"/>
      <c r="G84" s="8"/>
      <c r="H84" s="8"/>
      <c r="I84" s="8"/>
      <c r="J84" s="8"/>
      <c r="K84" s="8"/>
      <c r="L84" s="8"/>
      <c r="M84" s="8"/>
      <c r="N84" s="8"/>
      <c r="O84" s="8"/>
      <c r="P84" s="8"/>
    </row>
    <row r="85" spans="1:16" ht="12.75" customHeight="1">
      <c r="A85" s="8"/>
      <c r="B85" s="8"/>
      <c r="C85" s="30"/>
      <c r="D85" s="8"/>
      <c r="E85" s="8"/>
      <c r="F85" s="8"/>
      <c r="G85" s="8"/>
      <c r="H85" s="8"/>
      <c r="I85" s="8"/>
      <c r="J85" s="8"/>
      <c r="K85" s="8"/>
      <c r="L85" s="8"/>
      <c r="M85" s="8"/>
      <c r="N85" s="8"/>
      <c r="O85" s="8"/>
      <c r="P85" s="8"/>
    </row>
    <row r="86" spans="1:16" ht="12.75" customHeight="1">
      <c r="A86" s="8"/>
      <c r="B86" s="8"/>
      <c r="C86" s="30"/>
      <c r="D86" s="8"/>
      <c r="E86" s="8"/>
      <c r="F86" s="8"/>
      <c r="G86" s="8"/>
      <c r="H86" s="8"/>
      <c r="I86" s="8"/>
      <c r="J86" s="8"/>
      <c r="K86" s="8"/>
      <c r="L86" s="8"/>
      <c r="M86" s="8"/>
      <c r="N86" s="8"/>
      <c r="O86" s="8"/>
      <c r="P86" s="8"/>
    </row>
    <row r="87" spans="1:16" ht="12.75" customHeight="1">
      <c r="A87" s="8"/>
      <c r="B87" s="8"/>
      <c r="C87" s="30"/>
      <c r="D87" s="8"/>
      <c r="E87" s="8"/>
      <c r="F87" s="8"/>
      <c r="G87" s="8"/>
      <c r="H87" s="8"/>
      <c r="I87" s="8"/>
      <c r="J87" s="8"/>
      <c r="K87" s="8"/>
      <c r="L87" s="8"/>
      <c r="M87" s="8"/>
      <c r="N87" s="8"/>
      <c r="O87" s="8"/>
      <c r="P87" s="8"/>
    </row>
    <row r="88" spans="1:16" ht="12.75" customHeight="1">
      <c r="A88" s="8"/>
      <c r="B88" s="8"/>
      <c r="C88" s="30"/>
      <c r="D88" s="8"/>
      <c r="E88" s="8"/>
      <c r="F88" s="8"/>
      <c r="G88" s="8"/>
      <c r="H88" s="8"/>
      <c r="I88" s="8"/>
      <c r="J88" s="8"/>
      <c r="K88" s="8"/>
      <c r="L88" s="8"/>
      <c r="M88" s="8"/>
      <c r="N88" s="8"/>
      <c r="O88" s="8"/>
      <c r="P88" s="8"/>
    </row>
    <row r="89" spans="1:16" ht="12.75" customHeight="1">
      <c r="A89" s="8"/>
      <c r="B89" s="8"/>
      <c r="C89" s="30"/>
      <c r="D89" s="8"/>
      <c r="E89" s="8"/>
      <c r="F89" s="8"/>
      <c r="G89" s="8"/>
      <c r="H89" s="8"/>
      <c r="I89" s="8"/>
      <c r="J89" s="8"/>
      <c r="K89" s="8"/>
      <c r="L89" s="8"/>
      <c r="M89" s="8"/>
      <c r="N89" s="8"/>
      <c r="O89" s="8"/>
      <c r="P89" s="8"/>
    </row>
    <row r="90" spans="1:16" ht="12.75" customHeight="1">
      <c r="A90" s="8"/>
      <c r="B90" s="8"/>
      <c r="C90" s="30"/>
      <c r="D90" s="8"/>
      <c r="E90" s="8"/>
      <c r="F90" s="8"/>
      <c r="G90" s="8"/>
      <c r="H90" s="8"/>
      <c r="I90" s="8"/>
      <c r="J90" s="8"/>
      <c r="K90" s="8"/>
      <c r="L90" s="8"/>
      <c r="M90" s="8"/>
      <c r="N90" s="8"/>
      <c r="O90" s="8"/>
      <c r="P90" s="8"/>
    </row>
    <row r="91" spans="1:16" ht="12.75" customHeight="1">
      <c r="A91" s="8"/>
      <c r="B91" s="8"/>
      <c r="C91" s="30"/>
      <c r="D91" s="8"/>
      <c r="E91" s="8"/>
      <c r="F91" s="8"/>
      <c r="G91" s="8"/>
      <c r="H91" s="8"/>
      <c r="I91" s="8"/>
      <c r="J91" s="8"/>
      <c r="K91" s="8"/>
      <c r="L91" s="8"/>
      <c r="M91" s="8"/>
      <c r="N91" s="8"/>
      <c r="O91" s="8"/>
      <c r="P91" s="8"/>
    </row>
    <row r="92" spans="1:16" ht="12.75" customHeight="1">
      <c r="A92" s="8"/>
      <c r="B92" s="8"/>
      <c r="C92" s="30"/>
      <c r="D92" s="8"/>
      <c r="E92" s="8"/>
      <c r="F92" s="8"/>
      <c r="G92" s="8"/>
      <c r="H92" s="8"/>
      <c r="I92" s="8"/>
      <c r="J92" s="8"/>
      <c r="K92" s="8"/>
      <c r="L92" s="8"/>
      <c r="M92" s="8"/>
      <c r="N92" s="8"/>
      <c r="O92" s="8"/>
      <c r="P92" s="8"/>
    </row>
    <row r="93" spans="1:16" ht="12.75" customHeight="1">
      <c r="A93" s="8"/>
      <c r="B93" s="8"/>
      <c r="C93" s="30"/>
      <c r="D93" s="8"/>
      <c r="E93" s="8"/>
      <c r="F93" s="8"/>
      <c r="G93" s="8"/>
      <c r="H93" s="8"/>
      <c r="I93" s="8"/>
      <c r="J93" s="8"/>
      <c r="K93" s="8"/>
      <c r="L93" s="8"/>
      <c r="M93" s="8"/>
      <c r="N93" s="8"/>
      <c r="O93" s="8"/>
      <c r="P93" s="8"/>
    </row>
    <row r="94" spans="1:16" ht="12.75" customHeight="1">
      <c r="A94" s="8"/>
      <c r="B94" s="8"/>
      <c r="C94" s="30"/>
      <c r="D94" s="8"/>
      <c r="E94" s="8"/>
      <c r="F94" s="8"/>
      <c r="G94" s="8"/>
      <c r="H94" s="8"/>
      <c r="I94" s="8"/>
      <c r="J94" s="8"/>
      <c r="K94" s="8"/>
      <c r="L94" s="8"/>
      <c r="M94" s="8"/>
      <c r="N94" s="8"/>
      <c r="O94" s="8"/>
      <c r="P94" s="8"/>
    </row>
    <row r="95" spans="1:16" ht="12.75" customHeight="1">
      <c r="A95" s="8"/>
      <c r="B95" s="8"/>
      <c r="C95" s="30"/>
      <c r="D95" s="8"/>
      <c r="E95" s="8"/>
      <c r="F95" s="8"/>
      <c r="G95" s="8"/>
      <c r="H95" s="8"/>
      <c r="I95" s="8"/>
      <c r="J95" s="8"/>
      <c r="K95" s="8"/>
      <c r="L95" s="8"/>
      <c r="M95" s="8"/>
      <c r="N95" s="8"/>
      <c r="O95" s="8"/>
      <c r="P95" s="8"/>
    </row>
    <row r="96" spans="1:16" ht="12.75" customHeight="1">
      <c r="A96" s="8"/>
      <c r="B96" s="8"/>
      <c r="C96" s="30"/>
      <c r="D96" s="8"/>
      <c r="E96" s="8"/>
      <c r="F96" s="8"/>
      <c r="G96" s="8"/>
      <c r="H96" s="8"/>
      <c r="I96" s="8"/>
      <c r="J96" s="8"/>
      <c r="K96" s="8"/>
      <c r="L96" s="8"/>
      <c r="M96" s="8"/>
      <c r="N96" s="8"/>
      <c r="O96" s="8"/>
      <c r="P96" s="8"/>
    </row>
    <row r="97" spans="1:16" ht="12.75" customHeight="1">
      <c r="A97" s="8"/>
      <c r="B97" s="8"/>
      <c r="C97" s="30"/>
      <c r="D97" s="8"/>
      <c r="E97" s="8"/>
      <c r="F97" s="8"/>
      <c r="G97" s="8"/>
      <c r="H97" s="8"/>
      <c r="I97" s="8"/>
      <c r="J97" s="8"/>
      <c r="K97" s="8"/>
      <c r="L97" s="8"/>
      <c r="M97" s="8"/>
      <c r="N97" s="8"/>
      <c r="O97" s="8"/>
      <c r="P97" s="8"/>
    </row>
    <row r="98" spans="1:16" ht="12.75" customHeight="1">
      <c r="A98" s="8"/>
      <c r="B98" s="8"/>
      <c r="C98" s="30"/>
      <c r="D98" s="8"/>
      <c r="E98" s="8"/>
      <c r="F98" s="8"/>
      <c r="G98" s="8"/>
      <c r="H98" s="8"/>
      <c r="I98" s="8"/>
      <c r="J98" s="8"/>
      <c r="K98" s="8"/>
      <c r="L98" s="8"/>
      <c r="M98" s="8"/>
      <c r="N98" s="8"/>
      <c r="O98" s="8"/>
      <c r="P98" s="8"/>
    </row>
    <row r="99" spans="1:16" ht="12.75" customHeight="1">
      <c r="A99" s="8"/>
      <c r="B99" s="8"/>
      <c r="C99" s="30"/>
      <c r="D99" s="8"/>
      <c r="E99" s="8"/>
      <c r="F99" s="8"/>
      <c r="G99" s="8"/>
      <c r="H99" s="8"/>
      <c r="I99" s="8"/>
      <c r="J99" s="8"/>
      <c r="K99" s="8"/>
      <c r="L99" s="8"/>
      <c r="M99" s="8"/>
      <c r="N99" s="8"/>
      <c r="O99" s="8"/>
      <c r="P99" s="8"/>
    </row>
    <row r="100" spans="1:16" ht="12.75" customHeight="1">
      <c r="A100" s="8"/>
      <c r="B100" s="8"/>
      <c r="C100" s="30"/>
      <c r="D100" s="8"/>
      <c r="E100" s="8"/>
      <c r="F100" s="8"/>
      <c r="G100" s="8"/>
      <c r="H100" s="8"/>
      <c r="I100" s="8"/>
      <c r="J100" s="8"/>
      <c r="K100" s="8"/>
      <c r="L100" s="8"/>
      <c r="M100" s="8"/>
      <c r="N100" s="8"/>
      <c r="O100" s="8"/>
      <c r="P100" s="8"/>
    </row>
    <row r="101" spans="1:16" ht="12.75" customHeight="1">
      <c r="A101" s="8"/>
      <c r="B101" s="8"/>
      <c r="C101" s="30"/>
      <c r="D101" s="8"/>
      <c r="E101" s="8"/>
      <c r="F101" s="8"/>
      <c r="G101" s="8"/>
      <c r="H101" s="8"/>
      <c r="I101" s="8"/>
      <c r="J101" s="8"/>
      <c r="K101" s="8"/>
      <c r="L101" s="8"/>
      <c r="M101" s="8"/>
      <c r="N101" s="8"/>
      <c r="O101" s="8"/>
      <c r="P101" s="8"/>
    </row>
    <row r="102" spans="1:16" ht="12.75" customHeight="1">
      <c r="A102" s="8"/>
      <c r="B102" s="8"/>
      <c r="C102" s="30"/>
      <c r="D102" s="8"/>
      <c r="E102" s="8"/>
      <c r="F102" s="8"/>
      <c r="G102" s="8"/>
      <c r="H102" s="8"/>
      <c r="I102" s="8"/>
      <c r="J102" s="8"/>
      <c r="K102" s="8"/>
      <c r="L102" s="8"/>
      <c r="M102" s="8"/>
      <c r="N102" s="8"/>
      <c r="O102" s="8"/>
      <c r="P102" s="8"/>
    </row>
    <row r="103" spans="1:16" ht="12.75" customHeight="1">
      <c r="A103" s="8"/>
      <c r="B103" s="8"/>
      <c r="C103" s="30"/>
      <c r="D103" s="8"/>
      <c r="E103" s="8"/>
      <c r="F103" s="8"/>
      <c r="G103" s="8"/>
      <c r="H103" s="8"/>
      <c r="I103" s="8"/>
      <c r="J103" s="8"/>
      <c r="K103" s="8"/>
      <c r="L103" s="8"/>
      <c r="M103" s="8"/>
      <c r="N103" s="8"/>
      <c r="O103" s="8"/>
      <c r="P103" s="8"/>
    </row>
    <row r="104" spans="1:16" ht="12.75" customHeight="1">
      <c r="A104" s="8"/>
      <c r="B104" s="8"/>
      <c r="C104" s="30"/>
      <c r="D104" s="8"/>
      <c r="E104" s="8"/>
      <c r="F104" s="8"/>
      <c r="G104" s="8"/>
      <c r="H104" s="8"/>
      <c r="I104" s="8"/>
      <c r="J104" s="8"/>
      <c r="K104" s="8"/>
      <c r="L104" s="8"/>
      <c r="M104" s="8"/>
      <c r="N104" s="8"/>
      <c r="O104" s="8"/>
      <c r="P104" s="8"/>
    </row>
    <row r="105" spans="1:16" ht="12.75" customHeight="1">
      <c r="A105" s="8"/>
      <c r="B105" s="8"/>
      <c r="C105" s="30"/>
      <c r="D105" s="8"/>
      <c r="E105" s="8"/>
      <c r="F105" s="8"/>
      <c r="G105" s="8"/>
      <c r="H105" s="8"/>
      <c r="I105" s="8"/>
      <c r="J105" s="8"/>
      <c r="K105" s="8"/>
      <c r="L105" s="8"/>
      <c r="M105" s="8"/>
      <c r="N105" s="8"/>
      <c r="O105" s="8"/>
      <c r="P105" s="8"/>
    </row>
    <row r="106" spans="1:16" ht="12.75" customHeight="1">
      <c r="A106" s="8"/>
      <c r="B106" s="8"/>
      <c r="C106" s="30"/>
      <c r="D106" s="8"/>
      <c r="E106" s="8"/>
      <c r="F106" s="8"/>
      <c r="G106" s="8"/>
      <c r="H106" s="8"/>
      <c r="I106" s="8"/>
      <c r="J106" s="8"/>
      <c r="K106" s="8"/>
      <c r="L106" s="8"/>
      <c r="M106" s="8"/>
      <c r="N106" s="8"/>
      <c r="O106" s="8"/>
      <c r="P106" s="8"/>
    </row>
    <row r="107" spans="1:16" ht="12.75" customHeight="1">
      <c r="A107" s="8"/>
      <c r="B107" s="8"/>
      <c r="C107" s="30"/>
      <c r="D107" s="8"/>
      <c r="E107" s="8"/>
      <c r="F107" s="8"/>
      <c r="G107" s="8"/>
      <c r="H107" s="8"/>
      <c r="I107" s="8"/>
      <c r="J107" s="8"/>
      <c r="K107" s="8"/>
      <c r="L107" s="8"/>
      <c r="M107" s="8"/>
      <c r="N107" s="8"/>
      <c r="O107" s="8"/>
      <c r="P107" s="8"/>
    </row>
    <row r="108" spans="1:16" ht="12.75" customHeight="1">
      <c r="A108" s="8"/>
      <c r="B108" s="8"/>
      <c r="C108" s="30"/>
      <c r="D108" s="8"/>
      <c r="E108" s="8"/>
      <c r="F108" s="8"/>
      <c r="G108" s="8"/>
      <c r="H108" s="8"/>
      <c r="I108" s="8"/>
      <c r="J108" s="8"/>
      <c r="K108" s="8"/>
      <c r="L108" s="8"/>
      <c r="M108" s="8"/>
      <c r="N108" s="8"/>
      <c r="O108" s="8"/>
      <c r="P108" s="8"/>
    </row>
    <row r="109" spans="1:16" ht="12.75" customHeight="1">
      <c r="A109" s="8"/>
      <c r="B109" s="8"/>
      <c r="C109" s="30"/>
      <c r="D109" s="8"/>
      <c r="E109" s="8"/>
      <c r="F109" s="8"/>
      <c r="G109" s="8"/>
      <c r="H109" s="8"/>
      <c r="I109" s="8"/>
      <c r="J109" s="8"/>
      <c r="K109" s="8"/>
      <c r="L109" s="8"/>
      <c r="M109" s="8"/>
      <c r="N109" s="8"/>
      <c r="O109" s="8"/>
      <c r="P109" s="8"/>
    </row>
    <row r="110" spans="1:16" ht="12.75" customHeight="1">
      <c r="A110" s="8"/>
      <c r="B110" s="8"/>
      <c r="C110" s="30"/>
      <c r="D110" s="8"/>
      <c r="E110" s="8"/>
      <c r="F110" s="8"/>
      <c r="G110" s="8"/>
      <c r="H110" s="8"/>
      <c r="I110" s="8"/>
      <c r="J110" s="8"/>
      <c r="K110" s="8"/>
      <c r="L110" s="8"/>
      <c r="M110" s="8"/>
      <c r="N110" s="8"/>
      <c r="O110" s="8"/>
      <c r="P110" s="8"/>
    </row>
    <row r="111" spans="1:16" ht="12.75" customHeight="1">
      <c r="A111" s="8"/>
      <c r="B111" s="8"/>
      <c r="C111" s="30"/>
      <c r="D111" s="8"/>
      <c r="E111" s="8"/>
      <c r="F111" s="8"/>
      <c r="G111" s="8"/>
      <c r="H111" s="8"/>
      <c r="I111" s="8"/>
      <c r="J111" s="8"/>
      <c r="K111" s="8"/>
      <c r="L111" s="8"/>
      <c r="M111" s="8"/>
      <c r="N111" s="8"/>
      <c r="O111" s="8"/>
      <c r="P111" s="8"/>
    </row>
    <row r="112" spans="1:16" ht="12.75" customHeight="1">
      <c r="A112" s="8"/>
      <c r="B112" s="8"/>
      <c r="C112" s="30"/>
      <c r="D112" s="8"/>
      <c r="E112" s="8"/>
      <c r="F112" s="8"/>
      <c r="G112" s="8"/>
      <c r="H112" s="8"/>
      <c r="I112" s="8"/>
      <c r="J112" s="8"/>
      <c r="K112" s="8"/>
      <c r="L112" s="8"/>
      <c r="M112" s="8"/>
      <c r="N112" s="8"/>
      <c r="O112" s="8"/>
      <c r="P112" s="8"/>
    </row>
    <row r="113" spans="1:16" ht="12.75" customHeight="1">
      <c r="A113" s="8"/>
      <c r="B113" s="8"/>
      <c r="C113" s="30"/>
      <c r="D113" s="8"/>
      <c r="E113" s="8"/>
      <c r="F113" s="8"/>
      <c r="G113" s="8"/>
      <c r="H113" s="8"/>
      <c r="I113" s="8"/>
      <c r="J113" s="8"/>
      <c r="K113" s="8"/>
      <c r="L113" s="8"/>
      <c r="M113" s="8"/>
      <c r="N113" s="8"/>
      <c r="O113" s="8"/>
      <c r="P113" s="8"/>
    </row>
    <row r="114" spans="1:16" ht="12.75" customHeight="1">
      <c r="A114" s="8"/>
      <c r="B114" s="8"/>
      <c r="C114" s="30"/>
      <c r="D114" s="8"/>
      <c r="E114" s="8"/>
      <c r="F114" s="8"/>
      <c r="G114" s="8"/>
      <c r="H114" s="8"/>
      <c r="I114" s="8"/>
      <c r="J114" s="8"/>
      <c r="K114" s="8"/>
      <c r="L114" s="8"/>
      <c r="M114" s="8"/>
      <c r="N114" s="8"/>
      <c r="O114" s="8"/>
      <c r="P114" s="8"/>
    </row>
    <row r="115" spans="1:16" ht="12.75" customHeight="1">
      <c r="A115" s="8"/>
      <c r="B115" s="8"/>
      <c r="C115" s="30"/>
      <c r="D115" s="8"/>
      <c r="E115" s="8"/>
      <c r="F115" s="8"/>
      <c r="G115" s="8"/>
      <c r="H115" s="8"/>
      <c r="I115" s="8"/>
      <c r="J115" s="8"/>
      <c r="K115" s="8"/>
      <c r="L115" s="8"/>
      <c r="M115" s="8"/>
      <c r="N115" s="8"/>
      <c r="O115" s="8"/>
      <c r="P115" s="8"/>
    </row>
    <row r="116" spans="1:16" ht="12.75" customHeight="1">
      <c r="A116" s="8"/>
      <c r="B116" s="8"/>
      <c r="C116" s="30"/>
      <c r="D116" s="8"/>
      <c r="E116" s="8"/>
      <c r="F116" s="8"/>
      <c r="G116" s="8"/>
      <c r="H116" s="8"/>
      <c r="I116" s="8"/>
      <c r="J116" s="8"/>
      <c r="K116" s="8"/>
      <c r="L116" s="8"/>
      <c r="M116" s="8"/>
      <c r="N116" s="8"/>
      <c r="O116" s="8"/>
      <c r="P116" s="8"/>
    </row>
    <row r="117" spans="1:16" ht="12.75" customHeight="1">
      <c r="A117" s="8"/>
      <c r="B117" s="8"/>
      <c r="C117" s="30"/>
      <c r="D117" s="8"/>
      <c r="E117" s="8"/>
      <c r="F117" s="8"/>
      <c r="G117" s="8"/>
      <c r="H117" s="8"/>
      <c r="I117" s="8"/>
      <c r="J117" s="8"/>
      <c r="K117" s="8"/>
      <c r="L117" s="8"/>
      <c r="M117" s="8"/>
      <c r="N117" s="8"/>
      <c r="O117" s="8"/>
      <c r="P117" s="8"/>
    </row>
    <row r="118" spans="1:16" ht="12.75" customHeight="1">
      <c r="A118" s="8"/>
      <c r="B118" s="8"/>
      <c r="C118" s="30"/>
      <c r="D118" s="8"/>
      <c r="E118" s="8"/>
      <c r="F118" s="8"/>
      <c r="G118" s="8"/>
      <c r="H118" s="8"/>
      <c r="I118" s="8"/>
      <c r="J118" s="8"/>
      <c r="K118" s="8"/>
      <c r="L118" s="8"/>
      <c r="M118" s="8"/>
      <c r="N118" s="8"/>
      <c r="O118" s="8"/>
      <c r="P118" s="8"/>
    </row>
    <row r="119" spans="1:16" ht="12.75" customHeight="1">
      <c r="A119" s="8"/>
      <c r="B119" s="8"/>
      <c r="C119" s="30"/>
      <c r="D119" s="8"/>
      <c r="E119" s="8"/>
      <c r="F119" s="8"/>
      <c r="G119" s="8"/>
      <c r="H119" s="8"/>
      <c r="I119" s="8"/>
      <c r="J119" s="8"/>
      <c r="K119" s="8"/>
      <c r="L119" s="8"/>
      <c r="M119" s="8"/>
      <c r="N119" s="8"/>
      <c r="O119" s="8"/>
      <c r="P119" s="8"/>
    </row>
    <row r="120" spans="1:16" ht="12.75" customHeight="1">
      <c r="A120" s="8"/>
      <c r="B120" s="8"/>
      <c r="C120" s="30"/>
      <c r="D120" s="8"/>
      <c r="E120" s="8"/>
      <c r="F120" s="8"/>
      <c r="G120" s="8"/>
      <c r="H120" s="8"/>
      <c r="I120" s="8"/>
      <c r="J120" s="8"/>
      <c r="K120" s="8"/>
      <c r="L120" s="8"/>
      <c r="M120" s="8"/>
      <c r="N120" s="8"/>
      <c r="O120" s="8"/>
      <c r="P120" s="8"/>
    </row>
    <row r="121" spans="1:16" ht="12.75" customHeight="1">
      <c r="A121" s="8"/>
      <c r="B121" s="8"/>
      <c r="C121" s="30"/>
      <c r="D121" s="8"/>
      <c r="E121" s="8"/>
      <c r="F121" s="8"/>
      <c r="G121" s="8"/>
      <c r="H121" s="8"/>
      <c r="I121" s="8"/>
      <c r="J121" s="8"/>
      <c r="K121" s="8"/>
      <c r="L121" s="8"/>
      <c r="M121" s="8"/>
      <c r="N121" s="8"/>
      <c r="O121" s="8"/>
      <c r="P121" s="8"/>
    </row>
    <row r="122" spans="1:16" ht="12.75" customHeight="1">
      <c r="A122" s="8"/>
      <c r="B122" s="8"/>
      <c r="C122" s="30"/>
      <c r="D122" s="8"/>
      <c r="E122" s="8"/>
      <c r="F122" s="8"/>
      <c r="G122" s="8"/>
      <c r="H122" s="8"/>
      <c r="I122" s="8"/>
      <c r="J122" s="8"/>
      <c r="K122" s="8"/>
      <c r="L122" s="8"/>
      <c r="M122" s="8"/>
      <c r="N122" s="8"/>
      <c r="O122" s="8"/>
      <c r="P122" s="8"/>
    </row>
    <row r="123" spans="1:16" ht="12.75" customHeight="1">
      <c r="A123" s="8"/>
      <c r="B123" s="8"/>
      <c r="C123" s="30"/>
      <c r="D123" s="8"/>
      <c r="E123" s="8"/>
      <c r="F123" s="8"/>
      <c r="G123" s="8"/>
      <c r="H123" s="8"/>
      <c r="I123" s="8"/>
      <c r="J123" s="8"/>
      <c r="K123" s="8"/>
      <c r="L123" s="8"/>
      <c r="M123" s="8"/>
      <c r="N123" s="8"/>
      <c r="O123" s="8"/>
      <c r="P123" s="8"/>
    </row>
    <row r="124" spans="1:16" ht="12.75" customHeight="1">
      <c r="A124" s="8"/>
      <c r="B124" s="8"/>
      <c r="C124" s="30"/>
      <c r="D124" s="8"/>
      <c r="E124" s="8"/>
      <c r="F124" s="8"/>
      <c r="G124" s="8"/>
      <c r="H124" s="8"/>
      <c r="I124" s="8"/>
      <c r="J124" s="8"/>
      <c r="K124" s="8"/>
      <c r="L124" s="8"/>
      <c r="M124" s="8"/>
      <c r="N124" s="8"/>
      <c r="O124" s="8"/>
      <c r="P124" s="8"/>
    </row>
    <row r="125" spans="1:16" ht="12.75" customHeight="1">
      <c r="A125" s="8"/>
      <c r="B125" s="8"/>
      <c r="C125" s="30"/>
      <c r="D125" s="8"/>
      <c r="E125" s="8"/>
      <c r="F125" s="8"/>
      <c r="G125" s="8"/>
      <c r="H125" s="8"/>
      <c r="I125" s="8"/>
      <c r="J125" s="8"/>
      <c r="K125" s="8"/>
      <c r="L125" s="8"/>
      <c r="M125" s="8"/>
      <c r="N125" s="8"/>
      <c r="O125" s="8"/>
      <c r="P125" s="8"/>
    </row>
    <row r="126" spans="1:16" ht="12.75" customHeight="1">
      <c r="A126" s="8"/>
      <c r="B126" s="8"/>
      <c r="C126" s="30"/>
      <c r="D126" s="8"/>
      <c r="E126" s="8"/>
      <c r="F126" s="8"/>
      <c r="G126" s="8"/>
      <c r="H126" s="8"/>
      <c r="I126" s="8"/>
      <c r="J126" s="8"/>
      <c r="K126" s="8"/>
      <c r="L126" s="8"/>
      <c r="M126" s="8"/>
      <c r="N126" s="8"/>
      <c r="O126" s="8"/>
      <c r="P126" s="8"/>
    </row>
    <row r="127" spans="1:16" ht="12.75" customHeight="1">
      <c r="A127" s="8"/>
      <c r="B127" s="8"/>
      <c r="C127" s="30"/>
      <c r="D127" s="8"/>
      <c r="E127" s="8"/>
      <c r="F127" s="8"/>
      <c r="G127" s="8"/>
      <c r="H127" s="8"/>
      <c r="I127" s="8"/>
      <c r="J127" s="8"/>
      <c r="K127" s="8"/>
      <c r="L127" s="8"/>
      <c r="M127" s="8"/>
      <c r="N127" s="8"/>
      <c r="O127" s="8"/>
      <c r="P127" s="8"/>
    </row>
    <row r="128" spans="1:16" ht="12.75" customHeight="1">
      <c r="A128" s="8"/>
      <c r="B128" s="8"/>
      <c r="C128" s="30"/>
      <c r="D128" s="8"/>
      <c r="E128" s="8"/>
      <c r="F128" s="8"/>
      <c r="G128" s="8"/>
      <c r="H128" s="8"/>
      <c r="I128" s="8"/>
      <c r="J128" s="8"/>
      <c r="K128" s="8"/>
      <c r="L128" s="8"/>
      <c r="M128" s="8"/>
      <c r="N128" s="8"/>
      <c r="O128" s="8"/>
      <c r="P128" s="8"/>
    </row>
    <row r="129" spans="1:16" ht="12.75" customHeight="1">
      <c r="A129" s="8"/>
      <c r="B129" s="8"/>
      <c r="C129" s="30"/>
      <c r="D129" s="8"/>
      <c r="E129" s="8"/>
      <c r="F129" s="8"/>
      <c r="G129" s="8"/>
      <c r="H129" s="8"/>
      <c r="I129" s="8"/>
      <c r="J129" s="8"/>
      <c r="K129" s="8"/>
      <c r="L129" s="8"/>
      <c r="M129" s="8"/>
      <c r="N129" s="8"/>
      <c r="O129" s="8"/>
      <c r="P129" s="8"/>
    </row>
    <row r="130" spans="1:16" ht="12.75" customHeight="1">
      <c r="A130" s="8"/>
      <c r="B130" s="8"/>
      <c r="C130" s="30"/>
      <c r="D130" s="8"/>
      <c r="E130" s="8"/>
      <c r="F130" s="8"/>
      <c r="G130" s="8"/>
      <c r="H130" s="8"/>
      <c r="I130" s="8"/>
      <c r="J130" s="8"/>
      <c r="K130" s="8"/>
      <c r="L130" s="8"/>
      <c r="M130" s="8"/>
      <c r="N130" s="8"/>
      <c r="O130" s="8"/>
      <c r="P130" s="8"/>
    </row>
    <row r="131" spans="1:16" ht="12.75" customHeight="1">
      <c r="A131" s="8"/>
      <c r="B131" s="8"/>
      <c r="C131" s="30"/>
      <c r="D131" s="8"/>
      <c r="E131" s="8"/>
      <c r="F131" s="8"/>
      <c r="G131" s="8"/>
      <c r="H131" s="8"/>
      <c r="I131" s="8"/>
      <c r="J131" s="8"/>
      <c r="K131" s="8"/>
      <c r="L131" s="8"/>
      <c r="M131" s="8"/>
      <c r="N131" s="8"/>
      <c r="O131" s="8"/>
      <c r="P131" s="8"/>
    </row>
    <row r="132" spans="1:16" ht="12.75" customHeight="1">
      <c r="A132" s="8"/>
      <c r="B132" s="8"/>
      <c r="C132" s="30"/>
      <c r="D132" s="8"/>
      <c r="E132" s="8"/>
      <c r="F132" s="8"/>
      <c r="G132" s="8"/>
      <c r="H132" s="8"/>
      <c r="I132" s="8"/>
      <c r="J132" s="8"/>
      <c r="K132" s="8"/>
      <c r="L132" s="8"/>
      <c r="M132" s="8"/>
      <c r="N132" s="8"/>
      <c r="O132" s="8"/>
      <c r="P132" s="8"/>
    </row>
    <row r="133" spans="1:16" ht="12.75" customHeight="1">
      <c r="A133" s="8"/>
      <c r="B133" s="8"/>
      <c r="C133" s="30"/>
      <c r="D133" s="8"/>
      <c r="E133" s="8"/>
      <c r="F133" s="8"/>
      <c r="G133" s="8"/>
      <c r="H133" s="8"/>
      <c r="I133" s="8"/>
      <c r="J133" s="8"/>
      <c r="K133" s="8"/>
      <c r="L133" s="8"/>
      <c r="M133" s="8"/>
      <c r="N133" s="8"/>
      <c r="O133" s="8"/>
      <c r="P133" s="8"/>
    </row>
    <row r="134" spans="1:16" ht="12.75" customHeight="1">
      <c r="A134" s="8"/>
      <c r="B134" s="8"/>
      <c r="C134" s="30"/>
      <c r="D134" s="8"/>
      <c r="E134" s="8"/>
      <c r="F134" s="8"/>
      <c r="G134" s="8"/>
      <c r="H134" s="8"/>
      <c r="I134" s="8"/>
      <c r="J134" s="8"/>
      <c r="K134" s="8"/>
      <c r="L134" s="8"/>
      <c r="M134" s="8"/>
      <c r="N134" s="8"/>
      <c r="O134" s="8"/>
      <c r="P134" s="8"/>
    </row>
    <row r="135" spans="1:16" ht="12.75" customHeight="1">
      <c r="A135" s="8"/>
      <c r="B135" s="8"/>
      <c r="C135" s="30"/>
      <c r="D135" s="8"/>
      <c r="E135" s="8"/>
      <c r="F135" s="8"/>
      <c r="G135" s="8"/>
      <c r="H135" s="8"/>
      <c r="I135" s="8"/>
      <c r="J135" s="8"/>
      <c r="K135" s="8"/>
      <c r="L135" s="8"/>
      <c r="M135" s="8"/>
      <c r="N135" s="8"/>
      <c r="O135" s="8"/>
      <c r="P135" s="8"/>
    </row>
    <row r="136" spans="1:16" ht="12.75" customHeight="1">
      <c r="A136" s="8"/>
      <c r="B136" s="8"/>
      <c r="C136" s="30"/>
      <c r="D136" s="8"/>
      <c r="E136" s="8"/>
      <c r="F136" s="8"/>
      <c r="G136" s="8"/>
      <c r="H136" s="8"/>
      <c r="I136" s="8"/>
      <c r="J136" s="8"/>
      <c r="K136" s="8"/>
      <c r="L136" s="8"/>
      <c r="M136" s="8"/>
      <c r="N136" s="8"/>
      <c r="O136" s="8"/>
      <c r="P136" s="8"/>
    </row>
    <row r="137" spans="1:16" ht="12.75" customHeight="1">
      <c r="A137" s="8"/>
      <c r="B137" s="8"/>
      <c r="C137" s="30"/>
      <c r="D137" s="8"/>
      <c r="E137" s="8"/>
      <c r="F137" s="8"/>
      <c r="G137" s="8"/>
      <c r="H137" s="8"/>
      <c r="I137" s="8"/>
      <c r="J137" s="8"/>
      <c r="K137" s="8"/>
      <c r="L137" s="8"/>
      <c r="M137" s="8"/>
      <c r="N137" s="8"/>
      <c r="O137" s="8"/>
      <c r="P137" s="8"/>
    </row>
    <row r="138" spans="1:16" ht="12.75" customHeight="1">
      <c r="A138" s="8"/>
      <c r="B138" s="8"/>
      <c r="C138" s="30"/>
      <c r="D138" s="8"/>
      <c r="E138" s="8"/>
      <c r="F138" s="8"/>
      <c r="G138" s="8"/>
      <c r="H138" s="8"/>
      <c r="I138" s="8"/>
      <c r="J138" s="8"/>
      <c r="K138" s="8"/>
      <c r="L138" s="8"/>
      <c r="M138" s="8"/>
      <c r="N138" s="8"/>
      <c r="O138" s="8"/>
      <c r="P138" s="8"/>
    </row>
    <row r="139" spans="1:16" ht="12.75" customHeight="1">
      <c r="A139" s="8"/>
      <c r="B139" s="8"/>
      <c r="C139" s="30"/>
      <c r="D139" s="8"/>
      <c r="E139" s="8"/>
      <c r="F139" s="8"/>
      <c r="G139" s="8"/>
      <c r="H139" s="8"/>
      <c r="I139" s="8"/>
      <c r="J139" s="8"/>
      <c r="K139" s="8"/>
      <c r="L139" s="8"/>
      <c r="M139" s="8"/>
      <c r="N139" s="8"/>
      <c r="O139" s="8"/>
      <c r="P139" s="8"/>
    </row>
    <row r="140" spans="1:16" ht="12.75" customHeight="1">
      <c r="A140" s="8"/>
      <c r="B140" s="8"/>
      <c r="C140" s="30"/>
      <c r="D140" s="8"/>
      <c r="E140" s="8"/>
      <c r="F140" s="8"/>
      <c r="G140" s="8"/>
      <c r="H140" s="8"/>
      <c r="I140" s="8"/>
      <c r="J140" s="8"/>
      <c r="K140" s="8"/>
      <c r="L140" s="8"/>
      <c r="M140" s="8"/>
      <c r="N140" s="8"/>
      <c r="O140" s="8"/>
      <c r="P140" s="8"/>
    </row>
    <row r="141" spans="1:16" ht="12.75" customHeight="1">
      <c r="A141" s="8"/>
      <c r="B141" s="8"/>
      <c r="C141" s="30"/>
      <c r="D141" s="8"/>
      <c r="E141" s="8"/>
      <c r="F141" s="8"/>
      <c r="G141" s="8"/>
      <c r="H141" s="8"/>
      <c r="I141" s="8"/>
      <c r="J141" s="8"/>
      <c r="K141" s="8"/>
      <c r="L141" s="8"/>
      <c r="M141" s="8"/>
      <c r="N141" s="8"/>
      <c r="O141" s="8"/>
      <c r="P141" s="8"/>
    </row>
    <row r="142" spans="1:16" ht="12.75" customHeight="1">
      <c r="A142" s="8"/>
      <c r="B142" s="8"/>
      <c r="C142" s="30"/>
      <c r="D142" s="8"/>
      <c r="E142" s="8"/>
      <c r="F142" s="8"/>
      <c r="G142" s="8"/>
      <c r="H142" s="8"/>
      <c r="I142" s="8"/>
      <c r="J142" s="8"/>
      <c r="K142" s="8"/>
      <c r="L142" s="8"/>
      <c r="M142" s="8"/>
      <c r="N142" s="8"/>
      <c r="O142" s="8"/>
      <c r="P142" s="8"/>
    </row>
    <row r="143" spans="1:16" ht="12.75" customHeight="1">
      <c r="A143" s="8"/>
      <c r="B143" s="8"/>
      <c r="C143" s="30"/>
      <c r="D143" s="8"/>
      <c r="E143" s="8"/>
      <c r="F143" s="8"/>
      <c r="G143" s="8"/>
      <c r="H143" s="8"/>
      <c r="I143" s="8"/>
      <c r="J143" s="8"/>
      <c r="K143" s="8"/>
      <c r="L143" s="8"/>
      <c r="M143" s="8"/>
      <c r="N143" s="8"/>
      <c r="O143" s="8"/>
      <c r="P143" s="8"/>
    </row>
    <row r="144" spans="1:16" ht="12.75" customHeight="1">
      <c r="A144" s="8"/>
      <c r="B144" s="8"/>
      <c r="C144" s="30"/>
      <c r="D144" s="8"/>
      <c r="E144" s="8"/>
      <c r="F144" s="8"/>
      <c r="G144" s="8"/>
      <c r="H144" s="8"/>
      <c r="I144" s="8"/>
      <c r="J144" s="8"/>
      <c r="K144" s="8"/>
      <c r="L144" s="8"/>
      <c r="M144" s="8"/>
      <c r="N144" s="8"/>
      <c r="O144" s="8"/>
      <c r="P144" s="8"/>
    </row>
    <row r="145" spans="1:16" ht="12.75" customHeight="1">
      <c r="A145" s="8"/>
      <c r="B145" s="8"/>
      <c r="C145" s="30"/>
      <c r="D145" s="8"/>
      <c r="E145" s="8"/>
      <c r="F145" s="8"/>
      <c r="G145" s="8"/>
      <c r="H145" s="8"/>
      <c r="I145" s="8"/>
      <c r="J145" s="8"/>
      <c r="K145" s="8"/>
      <c r="L145" s="8"/>
      <c r="M145" s="8"/>
      <c r="N145" s="8"/>
      <c r="O145" s="8"/>
      <c r="P145" s="8"/>
    </row>
    <row r="146" spans="1:16" ht="12.75" customHeight="1">
      <c r="A146" s="8"/>
      <c r="B146" s="8"/>
      <c r="C146" s="30"/>
      <c r="D146" s="8"/>
      <c r="E146" s="8"/>
      <c r="F146" s="8"/>
      <c r="G146" s="8"/>
      <c r="H146" s="8"/>
      <c r="I146" s="8"/>
      <c r="J146" s="8"/>
      <c r="K146" s="8"/>
      <c r="L146" s="8"/>
      <c r="M146" s="8"/>
      <c r="N146" s="8"/>
      <c r="O146" s="8"/>
      <c r="P146" s="8"/>
    </row>
    <row r="147" spans="1:16" ht="12.75" customHeight="1">
      <c r="A147" s="8"/>
      <c r="B147" s="8"/>
      <c r="C147" s="30"/>
      <c r="D147" s="8"/>
      <c r="E147" s="8"/>
      <c r="F147" s="8"/>
      <c r="G147" s="8"/>
      <c r="H147" s="8"/>
      <c r="I147" s="8"/>
      <c r="J147" s="8"/>
      <c r="K147" s="8"/>
      <c r="L147" s="8"/>
      <c r="M147" s="8"/>
      <c r="N147" s="8"/>
      <c r="O147" s="8"/>
      <c r="P147" s="8"/>
    </row>
    <row r="148" spans="1:16" ht="12.75" customHeight="1">
      <c r="A148" s="8"/>
      <c r="B148" s="8"/>
      <c r="C148" s="30"/>
      <c r="D148" s="8"/>
      <c r="E148" s="8"/>
      <c r="F148" s="8"/>
      <c r="G148" s="8"/>
      <c r="H148" s="8"/>
      <c r="I148" s="8"/>
      <c r="J148" s="8"/>
      <c r="K148" s="8"/>
      <c r="L148" s="8"/>
      <c r="M148" s="8"/>
      <c r="N148" s="8"/>
      <c r="O148" s="8"/>
      <c r="P148" s="8"/>
    </row>
    <row r="149" spans="1:16" ht="12.75" customHeight="1">
      <c r="A149" s="8"/>
      <c r="B149" s="8"/>
      <c r="C149" s="30"/>
      <c r="D149" s="8"/>
      <c r="E149" s="8"/>
      <c r="F149" s="8"/>
      <c r="G149" s="8"/>
      <c r="H149" s="8"/>
      <c r="I149" s="8"/>
      <c r="J149" s="8"/>
      <c r="K149" s="8"/>
      <c r="L149" s="8"/>
      <c r="M149" s="8"/>
      <c r="N149" s="8"/>
      <c r="O149" s="8"/>
      <c r="P149" s="8"/>
    </row>
    <row r="150" spans="1:16" ht="12.75" customHeight="1">
      <c r="A150" s="8"/>
      <c r="B150" s="8"/>
      <c r="C150" s="30"/>
      <c r="D150" s="8"/>
      <c r="E150" s="8"/>
      <c r="F150" s="8"/>
      <c r="G150" s="8"/>
      <c r="H150" s="8"/>
      <c r="I150" s="8"/>
      <c r="J150" s="8"/>
      <c r="K150" s="8"/>
      <c r="L150" s="8"/>
      <c r="M150" s="8"/>
      <c r="N150" s="8"/>
      <c r="O150" s="8"/>
      <c r="P150" s="8"/>
    </row>
    <row r="151" spans="1:16" ht="12.75" customHeight="1">
      <c r="A151" s="8"/>
      <c r="B151" s="8"/>
      <c r="C151" s="30"/>
      <c r="D151" s="8"/>
      <c r="E151" s="8"/>
      <c r="F151" s="8"/>
      <c r="G151" s="8"/>
      <c r="H151" s="8"/>
      <c r="I151" s="8"/>
      <c r="J151" s="8"/>
      <c r="K151" s="8"/>
      <c r="L151" s="8"/>
      <c r="M151" s="8"/>
      <c r="N151" s="8"/>
      <c r="O151" s="8"/>
      <c r="P151" s="8"/>
    </row>
    <row r="152" spans="1:16" ht="12.75" customHeight="1">
      <c r="A152" s="8"/>
      <c r="B152" s="8"/>
      <c r="C152" s="30"/>
      <c r="D152" s="8"/>
      <c r="E152" s="8"/>
      <c r="F152" s="8"/>
      <c r="G152" s="8"/>
      <c r="H152" s="8"/>
      <c r="I152" s="8"/>
      <c r="J152" s="8"/>
      <c r="K152" s="8"/>
      <c r="L152" s="8"/>
      <c r="M152" s="8"/>
      <c r="N152" s="8"/>
      <c r="O152" s="8"/>
      <c r="P152" s="8"/>
    </row>
    <row r="153" spans="1:16" ht="12.75" customHeight="1">
      <c r="A153" s="8"/>
      <c r="B153" s="8"/>
      <c r="C153" s="30"/>
      <c r="D153" s="8"/>
      <c r="E153" s="8"/>
      <c r="F153" s="8"/>
      <c r="G153" s="8"/>
      <c r="H153" s="8"/>
      <c r="I153" s="8"/>
      <c r="J153" s="8"/>
      <c r="K153" s="8"/>
      <c r="L153" s="8"/>
      <c r="M153" s="8"/>
      <c r="N153" s="8"/>
      <c r="O153" s="8"/>
      <c r="P153" s="8"/>
    </row>
    <row r="154" spans="1:16" ht="12.75" customHeight="1">
      <c r="A154" s="8"/>
      <c r="B154" s="8"/>
      <c r="C154" s="30"/>
      <c r="D154" s="8"/>
      <c r="E154" s="8"/>
      <c r="F154" s="8"/>
      <c r="G154" s="8"/>
      <c r="H154" s="8"/>
      <c r="I154" s="8"/>
      <c r="J154" s="8"/>
      <c r="K154" s="8"/>
      <c r="L154" s="8"/>
      <c r="M154" s="8"/>
      <c r="N154" s="8"/>
      <c r="O154" s="8"/>
      <c r="P154" s="8"/>
    </row>
    <row r="155" spans="1:16" ht="12.75" customHeight="1">
      <c r="A155" s="8"/>
      <c r="B155" s="8"/>
      <c r="C155" s="30"/>
      <c r="D155" s="8"/>
      <c r="E155" s="8"/>
      <c r="F155" s="8"/>
      <c r="G155" s="8"/>
      <c r="H155" s="8"/>
      <c r="I155" s="8"/>
      <c r="J155" s="8"/>
      <c r="K155" s="8"/>
      <c r="L155" s="8"/>
      <c r="M155" s="8"/>
      <c r="N155" s="8"/>
      <c r="O155" s="8"/>
      <c r="P155" s="8"/>
    </row>
    <row r="156" spans="1:16" ht="12.75" customHeight="1">
      <c r="A156" s="8"/>
      <c r="B156" s="8"/>
      <c r="C156" s="30"/>
      <c r="D156" s="8"/>
      <c r="E156" s="8"/>
      <c r="F156" s="8"/>
      <c r="G156" s="8"/>
      <c r="H156" s="8"/>
      <c r="I156" s="8"/>
      <c r="J156" s="8"/>
      <c r="K156" s="8"/>
      <c r="L156" s="8"/>
      <c r="M156" s="8"/>
      <c r="N156" s="8"/>
      <c r="O156" s="8"/>
      <c r="P156" s="8"/>
    </row>
    <row r="157" spans="1:16" ht="12.75" customHeight="1">
      <c r="A157" s="8"/>
      <c r="B157" s="8"/>
      <c r="C157" s="30"/>
      <c r="D157" s="8"/>
      <c r="E157" s="8"/>
      <c r="F157" s="8"/>
      <c r="G157" s="8"/>
      <c r="H157" s="8"/>
      <c r="I157" s="8"/>
      <c r="J157" s="8"/>
      <c r="K157" s="8"/>
      <c r="L157" s="8"/>
      <c r="M157" s="8"/>
      <c r="N157" s="8"/>
      <c r="O157" s="8"/>
      <c r="P157" s="8"/>
    </row>
    <row r="158" spans="1:16" ht="12.75" customHeight="1">
      <c r="A158" s="8"/>
      <c r="B158" s="8"/>
      <c r="C158" s="30"/>
      <c r="D158" s="8"/>
      <c r="E158" s="8"/>
      <c r="F158" s="8"/>
      <c r="G158" s="8"/>
      <c r="H158" s="8"/>
      <c r="I158" s="8"/>
      <c r="J158" s="8"/>
      <c r="K158" s="8"/>
      <c r="L158" s="8"/>
      <c r="M158" s="8"/>
      <c r="N158" s="8"/>
      <c r="O158" s="8"/>
      <c r="P158" s="8"/>
    </row>
    <row r="159" spans="1:16" ht="12.75" customHeight="1">
      <c r="A159" s="8"/>
      <c r="B159" s="8"/>
      <c r="C159" s="30"/>
      <c r="D159" s="8"/>
      <c r="E159" s="8"/>
      <c r="F159" s="8"/>
      <c r="G159" s="8"/>
      <c r="H159" s="8"/>
      <c r="I159" s="8"/>
      <c r="J159" s="8"/>
      <c r="K159" s="8"/>
      <c r="L159" s="8"/>
      <c r="M159" s="8"/>
      <c r="N159" s="8"/>
      <c r="O159" s="8"/>
      <c r="P159" s="8"/>
    </row>
    <row r="160" spans="1:16" ht="12.75" customHeight="1">
      <c r="A160" s="8"/>
      <c r="B160" s="8"/>
      <c r="C160" s="30"/>
      <c r="D160" s="8"/>
      <c r="E160" s="8"/>
      <c r="F160" s="8"/>
      <c r="G160" s="8"/>
      <c r="H160" s="8"/>
      <c r="I160" s="8"/>
      <c r="J160" s="8"/>
      <c r="K160" s="8"/>
      <c r="L160" s="8"/>
      <c r="M160" s="8"/>
      <c r="N160" s="8"/>
      <c r="O160" s="8"/>
      <c r="P160" s="8"/>
    </row>
    <row r="161" spans="1:16" ht="12.75" customHeight="1">
      <c r="A161" s="8"/>
      <c r="B161" s="8"/>
      <c r="C161" s="30"/>
      <c r="D161" s="8"/>
      <c r="E161" s="8"/>
      <c r="F161" s="8"/>
      <c r="G161" s="8"/>
      <c r="H161" s="8"/>
      <c r="I161" s="8"/>
      <c r="J161" s="8"/>
      <c r="K161" s="8"/>
      <c r="L161" s="8"/>
      <c r="M161" s="8"/>
      <c r="N161" s="8"/>
      <c r="O161" s="8"/>
      <c r="P161" s="8"/>
    </row>
    <row r="162" spans="1:16" ht="12.75" customHeight="1">
      <c r="A162" s="8"/>
      <c r="B162" s="8"/>
      <c r="C162" s="30"/>
      <c r="D162" s="8"/>
      <c r="E162" s="8"/>
      <c r="F162" s="8"/>
      <c r="G162" s="8"/>
      <c r="H162" s="8"/>
      <c r="I162" s="8"/>
      <c r="J162" s="8"/>
      <c r="K162" s="8"/>
      <c r="L162" s="8"/>
      <c r="M162" s="8"/>
      <c r="N162" s="8"/>
      <c r="O162" s="8"/>
      <c r="P162" s="8"/>
    </row>
    <row r="163" spans="1:16" ht="12.75" customHeight="1">
      <c r="A163" s="8"/>
      <c r="B163" s="8"/>
      <c r="C163" s="30"/>
      <c r="D163" s="8"/>
      <c r="E163" s="8"/>
      <c r="F163" s="8"/>
      <c r="G163" s="8"/>
      <c r="H163" s="8"/>
      <c r="I163" s="8"/>
      <c r="J163" s="8"/>
      <c r="K163" s="8"/>
      <c r="L163" s="8"/>
      <c r="M163" s="8"/>
      <c r="N163" s="8"/>
      <c r="O163" s="8"/>
      <c r="P163" s="8"/>
    </row>
    <row r="164" spans="1:16" ht="12.75" customHeight="1">
      <c r="A164" s="8"/>
      <c r="B164" s="8"/>
      <c r="C164" s="30"/>
      <c r="D164" s="8"/>
      <c r="E164" s="8"/>
      <c r="F164" s="8"/>
      <c r="G164" s="8"/>
      <c r="H164" s="8"/>
      <c r="I164" s="8"/>
      <c r="J164" s="8"/>
      <c r="K164" s="8"/>
      <c r="L164" s="8"/>
      <c r="M164" s="8"/>
      <c r="N164" s="8"/>
      <c r="O164" s="8"/>
      <c r="P164" s="8"/>
    </row>
    <row r="165" spans="1:16" ht="12.75" customHeight="1">
      <c r="A165" s="8"/>
      <c r="B165" s="8"/>
      <c r="C165" s="30"/>
      <c r="D165" s="8"/>
      <c r="E165" s="8"/>
      <c r="F165" s="8"/>
      <c r="G165" s="8"/>
      <c r="H165" s="8"/>
      <c r="I165" s="8"/>
      <c r="J165" s="8"/>
      <c r="K165" s="8"/>
      <c r="L165" s="8"/>
      <c r="M165" s="8"/>
      <c r="N165" s="8"/>
      <c r="O165" s="8"/>
      <c r="P165" s="8"/>
    </row>
    <row r="166" spans="1:16" ht="12.75" customHeight="1">
      <c r="A166" s="8"/>
      <c r="B166" s="8"/>
      <c r="C166" s="30"/>
      <c r="D166" s="8"/>
      <c r="E166" s="8"/>
      <c r="F166" s="8"/>
      <c r="G166" s="8"/>
      <c r="H166" s="8"/>
      <c r="I166" s="8"/>
      <c r="J166" s="8"/>
      <c r="K166" s="8"/>
      <c r="L166" s="8"/>
      <c r="M166" s="8"/>
      <c r="N166" s="8"/>
      <c r="O166" s="8"/>
      <c r="P166" s="8"/>
    </row>
    <row r="167" spans="1:16" ht="12.75" customHeight="1">
      <c r="A167" s="8"/>
      <c r="B167" s="8"/>
      <c r="C167" s="30"/>
      <c r="D167" s="8"/>
      <c r="E167" s="8"/>
      <c r="F167" s="8"/>
      <c r="G167" s="8"/>
      <c r="H167" s="8"/>
      <c r="I167" s="8"/>
      <c r="J167" s="8"/>
      <c r="K167" s="8"/>
      <c r="L167" s="8"/>
      <c r="M167" s="8"/>
      <c r="N167" s="8"/>
      <c r="O167" s="8"/>
      <c r="P167" s="8"/>
    </row>
    <row r="168" spans="1:16" ht="12.75" customHeight="1">
      <c r="A168" s="8"/>
      <c r="B168" s="8"/>
      <c r="C168" s="30"/>
      <c r="D168" s="8"/>
      <c r="E168" s="8"/>
      <c r="F168" s="8"/>
      <c r="G168" s="8"/>
      <c r="H168" s="8"/>
      <c r="I168" s="8"/>
      <c r="J168" s="8"/>
      <c r="K168" s="8"/>
      <c r="L168" s="8"/>
      <c r="M168" s="8"/>
      <c r="N168" s="8"/>
      <c r="O168" s="8"/>
      <c r="P168" s="8"/>
    </row>
    <row r="169" spans="1:16" ht="12.75" customHeight="1">
      <c r="A169" s="8"/>
      <c r="B169" s="8"/>
      <c r="C169" s="30"/>
      <c r="D169" s="8"/>
      <c r="E169" s="8"/>
      <c r="F169" s="8"/>
      <c r="G169" s="8"/>
      <c r="H169" s="8"/>
      <c r="I169" s="8"/>
      <c r="J169" s="8"/>
      <c r="K169" s="8"/>
      <c r="L169" s="8"/>
      <c r="M169" s="8"/>
      <c r="N169" s="8"/>
      <c r="O169" s="8"/>
      <c r="P169" s="8"/>
    </row>
    <row r="170" spans="1:16" ht="12.75" customHeight="1">
      <c r="A170" s="8"/>
      <c r="B170" s="8"/>
      <c r="C170" s="30"/>
      <c r="D170" s="8"/>
      <c r="E170" s="8"/>
      <c r="F170" s="8"/>
      <c r="G170" s="8"/>
      <c r="H170" s="8"/>
      <c r="I170" s="8"/>
      <c r="J170" s="8"/>
      <c r="K170" s="8"/>
      <c r="L170" s="8"/>
      <c r="M170" s="8"/>
      <c r="N170" s="8"/>
      <c r="O170" s="8"/>
      <c r="P170" s="8"/>
    </row>
    <row r="171" spans="1:16" ht="12.75" customHeight="1">
      <c r="A171" s="8"/>
      <c r="B171" s="8"/>
      <c r="C171" s="30"/>
      <c r="D171" s="8"/>
      <c r="E171" s="8"/>
      <c r="F171" s="8"/>
      <c r="G171" s="8"/>
      <c r="H171" s="8"/>
      <c r="I171" s="8"/>
      <c r="J171" s="8"/>
      <c r="K171" s="8"/>
      <c r="L171" s="8"/>
      <c r="M171" s="8"/>
      <c r="N171" s="8"/>
      <c r="O171" s="8"/>
      <c r="P171" s="8"/>
    </row>
    <row r="172" spans="1:16" ht="12.75" customHeight="1">
      <c r="A172" s="8"/>
      <c r="B172" s="8"/>
      <c r="C172" s="30"/>
      <c r="D172" s="8"/>
      <c r="E172" s="8"/>
      <c r="F172" s="8"/>
      <c r="G172" s="8"/>
      <c r="H172" s="8"/>
      <c r="I172" s="8"/>
      <c r="J172" s="8"/>
      <c r="K172" s="8"/>
      <c r="L172" s="8"/>
      <c r="M172" s="8"/>
      <c r="N172" s="8"/>
      <c r="O172" s="8"/>
      <c r="P172" s="8"/>
    </row>
    <row r="173" spans="1:16" ht="12.75" customHeight="1">
      <c r="A173" s="8"/>
      <c r="B173" s="8"/>
      <c r="C173" s="30"/>
      <c r="D173" s="8"/>
      <c r="E173" s="8"/>
      <c r="F173" s="8"/>
      <c r="G173" s="8"/>
      <c r="H173" s="8"/>
      <c r="I173" s="8"/>
      <c r="J173" s="8"/>
      <c r="K173" s="8"/>
      <c r="L173" s="8"/>
      <c r="M173" s="8"/>
      <c r="N173" s="8"/>
      <c r="O173" s="8"/>
      <c r="P173" s="8"/>
    </row>
    <row r="174" spans="1:16" ht="12.75" customHeight="1">
      <c r="A174" s="8"/>
      <c r="B174" s="8"/>
      <c r="C174" s="30"/>
      <c r="D174" s="8"/>
      <c r="E174" s="8"/>
      <c r="F174" s="8"/>
      <c r="G174" s="8"/>
      <c r="H174" s="8"/>
      <c r="I174" s="8"/>
      <c r="J174" s="8"/>
      <c r="K174" s="8"/>
      <c r="L174" s="8"/>
      <c r="M174" s="8"/>
      <c r="N174" s="8"/>
      <c r="O174" s="8"/>
      <c r="P174" s="8"/>
    </row>
    <row r="175" spans="1:16" ht="12.75" customHeight="1">
      <c r="A175" s="8"/>
      <c r="B175" s="8"/>
      <c r="C175" s="30"/>
      <c r="D175" s="8"/>
      <c r="E175" s="8"/>
      <c r="F175" s="8"/>
      <c r="G175" s="8"/>
      <c r="H175" s="8"/>
      <c r="I175" s="8"/>
      <c r="J175" s="8"/>
      <c r="K175" s="8"/>
      <c r="L175" s="8"/>
      <c r="M175" s="8"/>
      <c r="N175" s="8"/>
      <c r="O175" s="8"/>
      <c r="P175" s="8"/>
    </row>
    <row r="176" spans="1:16" ht="12.75" customHeight="1">
      <c r="A176" s="8"/>
      <c r="B176" s="8"/>
      <c r="C176" s="30"/>
      <c r="D176" s="8"/>
      <c r="E176" s="8"/>
      <c r="F176" s="8"/>
      <c r="G176" s="8"/>
      <c r="H176" s="8"/>
      <c r="I176" s="8"/>
      <c r="J176" s="8"/>
      <c r="K176" s="8"/>
      <c r="L176" s="8"/>
      <c r="M176" s="8"/>
      <c r="N176" s="8"/>
      <c r="O176" s="8"/>
      <c r="P176" s="8"/>
    </row>
    <row r="177" spans="1:16" ht="12.75" customHeight="1">
      <c r="A177" s="8"/>
      <c r="B177" s="8"/>
      <c r="C177" s="30"/>
      <c r="D177" s="8"/>
      <c r="E177" s="8"/>
      <c r="F177" s="8"/>
      <c r="G177" s="8"/>
      <c r="H177" s="8"/>
      <c r="I177" s="8"/>
      <c r="J177" s="8"/>
      <c r="K177" s="8"/>
      <c r="L177" s="8"/>
      <c r="M177" s="8"/>
      <c r="N177" s="8"/>
      <c r="O177" s="8"/>
      <c r="P177" s="8"/>
    </row>
    <row r="178" spans="1:16" ht="12.75" customHeight="1">
      <c r="A178" s="8"/>
      <c r="B178" s="8"/>
      <c r="C178" s="30"/>
      <c r="D178" s="8"/>
      <c r="E178" s="8"/>
      <c r="F178" s="8"/>
      <c r="G178" s="8"/>
      <c r="H178" s="8"/>
      <c r="I178" s="8"/>
      <c r="J178" s="8"/>
      <c r="K178" s="8"/>
      <c r="L178" s="8"/>
      <c r="M178" s="8"/>
      <c r="N178" s="8"/>
      <c r="O178" s="8"/>
      <c r="P178" s="8"/>
    </row>
    <row r="179" spans="1:16" ht="12.75" customHeight="1">
      <c r="A179" s="8"/>
      <c r="B179" s="8"/>
      <c r="C179" s="30"/>
      <c r="D179" s="8"/>
      <c r="E179" s="8"/>
      <c r="F179" s="8"/>
      <c r="G179" s="8"/>
      <c r="H179" s="8"/>
      <c r="I179" s="8"/>
      <c r="J179" s="8"/>
      <c r="K179" s="8"/>
      <c r="L179" s="8"/>
      <c r="M179" s="8"/>
      <c r="N179" s="8"/>
      <c r="O179" s="8"/>
      <c r="P179" s="8"/>
    </row>
    <row r="180" spans="1:16" ht="12.75" customHeight="1">
      <c r="A180" s="8"/>
      <c r="B180" s="8"/>
      <c r="C180" s="30"/>
      <c r="D180" s="8"/>
      <c r="E180" s="8"/>
      <c r="F180" s="8"/>
      <c r="G180" s="8"/>
      <c r="H180" s="8"/>
      <c r="I180" s="8"/>
      <c r="J180" s="8"/>
      <c r="K180" s="8"/>
      <c r="L180" s="8"/>
      <c r="M180" s="8"/>
      <c r="N180" s="8"/>
      <c r="O180" s="8"/>
      <c r="P180" s="8"/>
    </row>
    <row r="181" spans="1:16" ht="12.75" customHeight="1">
      <c r="A181" s="8"/>
      <c r="B181" s="8"/>
      <c r="C181" s="30"/>
      <c r="D181" s="8"/>
      <c r="E181" s="8"/>
      <c r="F181" s="8"/>
      <c r="G181" s="8"/>
      <c r="H181" s="8"/>
      <c r="I181" s="8"/>
      <c r="J181" s="8"/>
      <c r="K181" s="8"/>
      <c r="L181" s="8"/>
      <c r="M181" s="8"/>
      <c r="N181" s="8"/>
      <c r="O181" s="8"/>
      <c r="P181" s="8"/>
    </row>
    <row r="182" spans="1:16" ht="12.75" customHeight="1">
      <c r="A182" s="8"/>
      <c r="B182" s="8"/>
      <c r="C182" s="30"/>
      <c r="D182" s="8"/>
      <c r="E182" s="8"/>
      <c r="F182" s="8"/>
      <c r="G182" s="8"/>
      <c r="H182" s="8"/>
      <c r="I182" s="8"/>
      <c r="J182" s="8"/>
      <c r="K182" s="8"/>
      <c r="L182" s="8"/>
      <c r="M182" s="8"/>
      <c r="N182" s="8"/>
      <c r="O182" s="8"/>
      <c r="P182" s="8"/>
    </row>
    <row r="183" spans="1:16" ht="12.75" customHeight="1">
      <c r="A183" s="8"/>
      <c r="B183" s="8"/>
      <c r="C183" s="30"/>
      <c r="D183" s="8"/>
      <c r="E183" s="8"/>
      <c r="F183" s="8"/>
      <c r="G183" s="8"/>
      <c r="H183" s="8"/>
      <c r="I183" s="8"/>
      <c r="J183" s="8"/>
      <c r="K183" s="8"/>
      <c r="L183" s="8"/>
      <c r="M183" s="8"/>
      <c r="N183" s="8"/>
      <c r="O183" s="8"/>
      <c r="P183" s="8"/>
    </row>
    <row r="184" spans="1:16" ht="12.75" customHeight="1">
      <c r="A184" s="8"/>
      <c r="B184" s="8"/>
      <c r="C184" s="30"/>
      <c r="D184" s="8"/>
      <c r="E184" s="8"/>
      <c r="F184" s="8"/>
      <c r="G184" s="8"/>
      <c r="H184" s="8"/>
      <c r="I184" s="8"/>
      <c r="J184" s="8"/>
      <c r="K184" s="8"/>
      <c r="L184" s="8"/>
      <c r="M184" s="8"/>
      <c r="N184" s="8"/>
      <c r="O184" s="8"/>
      <c r="P184" s="8"/>
    </row>
    <row r="185" spans="1:16" ht="12.75" customHeight="1">
      <c r="A185" s="8"/>
      <c r="B185" s="8"/>
      <c r="C185" s="30"/>
      <c r="D185" s="8"/>
      <c r="E185" s="8"/>
      <c r="F185" s="8"/>
      <c r="G185" s="8"/>
      <c r="H185" s="8"/>
      <c r="I185" s="8"/>
      <c r="J185" s="8"/>
      <c r="K185" s="8"/>
      <c r="L185" s="8"/>
      <c r="M185" s="8"/>
      <c r="N185" s="8"/>
      <c r="O185" s="8"/>
      <c r="P185" s="8"/>
    </row>
    <row r="186" spans="1:16" ht="12.75" customHeight="1">
      <c r="A186" s="8"/>
      <c r="B186" s="8"/>
      <c r="C186" s="30"/>
      <c r="D186" s="8"/>
      <c r="E186" s="8"/>
      <c r="F186" s="8"/>
      <c r="G186" s="8"/>
      <c r="H186" s="8"/>
      <c r="I186" s="8"/>
      <c r="J186" s="8"/>
      <c r="K186" s="8"/>
      <c r="L186" s="8"/>
      <c r="M186" s="8"/>
      <c r="N186" s="8"/>
      <c r="O186" s="8"/>
      <c r="P186" s="8"/>
    </row>
    <row r="187" spans="1:16" ht="12.75" customHeight="1">
      <c r="A187" s="8"/>
      <c r="B187" s="8"/>
      <c r="C187" s="30"/>
      <c r="D187" s="8"/>
      <c r="E187" s="8"/>
      <c r="F187" s="8"/>
      <c r="G187" s="8"/>
      <c r="H187" s="8"/>
      <c r="I187" s="8"/>
      <c r="J187" s="8"/>
      <c r="K187" s="8"/>
      <c r="L187" s="8"/>
      <c r="M187" s="8"/>
      <c r="N187" s="8"/>
      <c r="O187" s="8"/>
      <c r="P187" s="8"/>
    </row>
    <row r="188" spans="1:16" ht="12.75" customHeight="1">
      <c r="A188" s="8"/>
      <c r="B188" s="8"/>
      <c r="C188" s="30"/>
      <c r="D188" s="8"/>
      <c r="E188" s="8"/>
      <c r="F188" s="8"/>
      <c r="G188" s="8"/>
      <c r="H188" s="8"/>
      <c r="I188" s="8"/>
      <c r="J188" s="8"/>
      <c r="K188" s="8"/>
      <c r="L188" s="8"/>
      <c r="M188" s="8"/>
      <c r="N188" s="8"/>
      <c r="O188" s="8"/>
      <c r="P188" s="8"/>
    </row>
    <row r="189" spans="1:16" ht="12.75" customHeight="1">
      <c r="A189" s="8"/>
      <c r="B189" s="8"/>
      <c r="C189" s="30"/>
      <c r="D189" s="8"/>
      <c r="E189" s="8"/>
      <c r="F189" s="8"/>
      <c r="G189" s="8"/>
      <c r="H189" s="8"/>
      <c r="I189" s="8"/>
      <c r="J189" s="8"/>
      <c r="K189" s="8"/>
      <c r="L189" s="8"/>
      <c r="M189" s="8"/>
      <c r="N189" s="8"/>
      <c r="O189" s="8"/>
      <c r="P189" s="8"/>
    </row>
    <row r="190" spans="1:16" ht="12.75" customHeight="1">
      <c r="A190" s="8"/>
      <c r="B190" s="8"/>
      <c r="C190" s="30"/>
      <c r="D190" s="8"/>
      <c r="E190" s="8"/>
      <c r="F190" s="8"/>
      <c r="G190" s="8"/>
      <c r="H190" s="8"/>
      <c r="I190" s="8"/>
      <c r="J190" s="8"/>
      <c r="K190" s="8"/>
      <c r="L190" s="8"/>
      <c r="M190" s="8"/>
      <c r="N190" s="8"/>
      <c r="O190" s="8"/>
      <c r="P190" s="8"/>
    </row>
    <row r="191" spans="1:16" ht="12.75" customHeight="1">
      <c r="A191" s="8"/>
      <c r="B191" s="8"/>
      <c r="C191" s="30"/>
      <c r="D191" s="8"/>
      <c r="E191" s="8"/>
      <c r="F191" s="8"/>
      <c r="G191" s="8"/>
      <c r="H191" s="8"/>
      <c r="I191" s="8"/>
      <c r="J191" s="8"/>
      <c r="K191" s="8"/>
      <c r="L191" s="8"/>
      <c r="M191" s="8"/>
      <c r="N191" s="8"/>
      <c r="O191" s="8"/>
      <c r="P191" s="8"/>
    </row>
    <row r="192" spans="1:16" ht="12.75" customHeight="1">
      <c r="A192" s="8"/>
      <c r="B192" s="8"/>
      <c r="C192" s="30"/>
      <c r="D192" s="8"/>
      <c r="E192" s="8"/>
      <c r="F192" s="8"/>
      <c r="G192" s="8"/>
      <c r="H192" s="8"/>
      <c r="I192" s="8"/>
      <c r="J192" s="8"/>
      <c r="K192" s="8"/>
      <c r="L192" s="8"/>
      <c r="M192" s="8"/>
      <c r="N192" s="8"/>
      <c r="O192" s="8"/>
      <c r="P192" s="8"/>
    </row>
    <row r="193" spans="1:16" ht="12.75" customHeight="1">
      <c r="A193" s="8"/>
      <c r="B193" s="8"/>
      <c r="C193" s="30"/>
      <c r="D193" s="8"/>
      <c r="E193" s="8"/>
      <c r="F193" s="8"/>
      <c r="G193" s="8"/>
      <c r="H193" s="8"/>
      <c r="I193" s="8"/>
      <c r="J193" s="8"/>
      <c r="K193" s="8"/>
      <c r="L193" s="8"/>
      <c r="M193" s="8"/>
      <c r="N193" s="8"/>
      <c r="O193" s="8"/>
      <c r="P193" s="8"/>
    </row>
    <row r="194" spans="1:16" ht="12.75" customHeight="1">
      <c r="A194" s="8"/>
      <c r="B194" s="8"/>
      <c r="C194" s="30"/>
      <c r="D194" s="8"/>
      <c r="E194" s="8"/>
      <c r="F194" s="8"/>
      <c r="G194" s="8"/>
      <c r="H194" s="8"/>
      <c r="I194" s="8"/>
      <c r="J194" s="8"/>
      <c r="K194" s="8"/>
      <c r="L194" s="8"/>
      <c r="M194" s="8"/>
      <c r="N194" s="8"/>
      <c r="O194" s="8"/>
      <c r="P194" s="8"/>
    </row>
    <row r="195" spans="1:16" ht="12.75" customHeight="1">
      <c r="A195" s="8"/>
      <c r="B195" s="8"/>
      <c r="C195" s="30"/>
      <c r="D195" s="8"/>
      <c r="E195" s="8"/>
      <c r="F195" s="8"/>
      <c r="G195" s="8"/>
      <c r="H195" s="8"/>
      <c r="I195" s="8"/>
      <c r="J195" s="8"/>
      <c r="K195" s="8"/>
      <c r="L195" s="8"/>
      <c r="M195" s="8"/>
      <c r="N195" s="8"/>
      <c r="O195" s="8"/>
      <c r="P195" s="8"/>
    </row>
    <row r="196" spans="1:16" ht="12.75" customHeight="1">
      <c r="A196" s="8"/>
      <c r="B196" s="8"/>
      <c r="C196" s="30"/>
      <c r="D196" s="8"/>
      <c r="E196" s="8"/>
      <c r="F196" s="8"/>
      <c r="G196" s="8"/>
      <c r="H196" s="8"/>
      <c r="I196" s="8"/>
      <c r="J196" s="8"/>
      <c r="K196" s="8"/>
      <c r="L196" s="8"/>
      <c r="M196" s="8"/>
      <c r="N196" s="8"/>
      <c r="O196" s="8"/>
      <c r="P196" s="8"/>
    </row>
    <row r="197" spans="1:16" ht="12.75" customHeight="1">
      <c r="A197" s="8"/>
      <c r="B197" s="8"/>
      <c r="C197" s="30"/>
      <c r="D197" s="8"/>
      <c r="E197" s="8"/>
      <c r="F197" s="8"/>
      <c r="G197" s="8"/>
      <c r="H197" s="8"/>
      <c r="I197" s="8"/>
      <c r="J197" s="8"/>
      <c r="K197" s="8"/>
      <c r="L197" s="8"/>
      <c r="M197" s="8"/>
      <c r="N197" s="8"/>
      <c r="O197" s="8"/>
      <c r="P197" s="8"/>
    </row>
    <row r="198" spans="1:16" ht="12.75" customHeight="1">
      <c r="A198" s="8"/>
      <c r="B198" s="8"/>
      <c r="C198" s="30"/>
      <c r="D198" s="8"/>
      <c r="E198" s="8"/>
      <c r="F198" s="8"/>
      <c r="G198" s="8"/>
      <c r="H198" s="8"/>
      <c r="I198" s="8"/>
      <c r="J198" s="8"/>
      <c r="K198" s="8"/>
      <c r="L198" s="8"/>
      <c r="M198" s="8"/>
      <c r="N198" s="8"/>
      <c r="O198" s="8"/>
      <c r="P198" s="8"/>
    </row>
    <row r="199" spans="1:16" ht="12.75" customHeight="1">
      <c r="A199" s="8"/>
      <c r="B199" s="8"/>
      <c r="C199" s="30"/>
      <c r="D199" s="8"/>
      <c r="E199" s="8"/>
      <c r="F199" s="8"/>
      <c r="G199" s="8"/>
      <c r="H199" s="8"/>
      <c r="I199" s="8"/>
      <c r="J199" s="8"/>
      <c r="K199" s="8"/>
      <c r="L199" s="8"/>
      <c r="M199" s="8"/>
      <c r="N199" s="8"/>
      <c r="O199" s="8"/>
      <c r="P199" s="8"/>
    </row>
    <row r="200" spans="1:16" ht="12.75" customHeight="1">
      <c r="A200" s="8"/>
      <c r="B200" s="8"/>
      <c r="C200" s="30"/>
      <c r="D200" s="8"/>
      <c r="E200" s="8"/>
      <c r="F200" s="8"/>
      <c r="G200" s="8"/>
      <c r="H200" s="8"/>
      <c r="I200" s="8"/>
      <c r="J200" s="8"/>
      <c r="K200" s="8"/>
      <c r="L200" s="8"/>
      <c r="M200" s="8"/>
      <c r="N200" s="8"/>
      <c r="O200" s="8"/>
      <c r="P200" s="8"/>
    </row>
    <row r="201" spans="1:16" ht="12.75" customHeight="1">
      <c r="A201" s="8"/>
      <c r="B201" s="8"/>
      <c r="C201" s="30"/>
      <c r="D201" s="8"/>
      <c r="E201" s="8"/>
      <c r="F201" s="8"/>
      <c r="G201" s="8"/>
      <c r="H201" s="8"/>
      <c r="I201" s="8"/>
      <c r="J201" s="8"/>
      <c r="K201" s="8"/>
      <c r="L201" s="8"/>
      <c r="M201" s="8"/>
      <c r="N201" s="8"/>
      <c r="O201" s="8"/>
      <c r="P201" s="8"/>
    </row>
    <row r="202" spans="1:16" ht="12.75" customHeight="1">
      <c r="A202" s="8"/>
      <c r="B202" s="8"/>
      <c r="C202" s="30"/>
      <c r="D202" s="8"/>
      <c r="E202" s="8"/>
      <c r="F202" s="8"/>
      <c r="G202" s="8"/>
      <c r="H202" s="8"/>
      <c r="I202" s="8"/>
      <c r="J202" s="8"/>
      <c r="K202" s="8"/>
      <c r="L202" s="8"/>
      <c r="M202" s="8"/>
      <c r="N202" s="8"/>
      <c r="O202" s="8"/>
      <c r="P202" s="8"/>
    </row>
    <row r="203" spans="1:16" ht="12.75" customHeight="1">
      <c r="A203" s="8"/>
      <c r="B203" s="8"/>
      <c r="C203" s="30"/>
      <c r="D203" s="8"/>
      <c r="E203" s="8"/>
      <c r="F203" s="8"/>
      <c r="G203" s="8"/>
      <c r="H203" s="8"/>
      <c r="I203" s="8"/>
      <c r="J203" s="8"/>
      <c r="K203" s="8"/>
      <c r="L203" s="8"/>
      <c r="M203" s="8"/>
      <c r="N203" s="8"/>
      <c r="O203" s="8"/>
      <c r="P203" s="8"/>
    </row>
    <row r="204" spans="1:16" ht="12.75" customHeight="1">
      <c r="A204" s="8"/>
      <c r="B204" s="8"/>
      <c r="C204" s="30"/>
      <c r="D204" s="8"/>
      <c r="E204" s="8"/>
      <c r="F204" s="8"/>
      <c r="G204" s="8"/>
      <c r="H204" s="8"/>
      <c r="I204" s="8"/>
      <c r="J204" s="8"/>
      <c r="K204" s="8"/>
      <c r="L204" s="8"/>
      <c r="M204" s="8"/>
      <c r="N204" s="8"/>
      <c r="O204" s="8"/>
      <c r="P204" s="8"/>
    </row>
    <row r="205" spans="1:16" ht="12.75" customHeight="1">
      <c r="A205" s="8"/>
      <c r="B205" s="8"/>
      <c r="C205" s="30"/>
      <c r="D205" s="8"/>
      <c r="E205" s="8"/>
      <c r="F205" s="8"/>
      <c r="G205" s="8"/>
      <c r="H205" s="8"/>
      <c r="I205" s="8"/>
      <c r="J205" s="8"/>
      <c r="K205" s="8"/>
      <c r="L205" s="8"/>
      <c r="M205" s="8"/>
      <c r="N205" s="8"/>
      <c r="O205" s="8"/>
      <c r="P205" s="8"/>
    </row>
    <row r="206" spans="1:16" ht="12.75" customHeight="1">
      <c r="A206" s="8"/>
      <c r="B206" s="8"/>
      <c r="C206" s="30"/>
      <c r="D206" s="8"/>
      <c r="E206" s="8"/>
      <c r="F206" s="8"/>
      <c r="G206" s="8"/>
      <c r="H206" s="8"/>
      <c r="I206" s="8"/>
      <c r="J206" s="8"/>
      <c r="K206" s="8"/>
      <c r="L206" s="8"/>
      <c r="M206" s="8"/>
      <c r="N206" s="8"/>
      <c r="O206" s="8"/>
      <c r="P206" s="8"/>
    </row>
    <row r="207" spans="1:16" ht="12.75" customHeight="1">
      <c r="A207" s="8"/>
      <c r="B207" s="8"/>
      <c r="C207" s="30"/>
      <c r="D207" s="8"/>
      <c r="E207" s="8"/>
      <c r="F207" s="8"/>
      <c r="G207" s="8"/>
      <c r="H207" s="8"/>
      <c r="I207" s="8"/>
      <c r="J207" s="8"/>
      <c r="K207" s="8"/>
      <c r="L207" s="8"/>
      <c r="M207" s="8"/>
      <c r="N207" s="8"/>
      <c r="O207" s="8"/>
      <c r="P207" s="8"/>
    </row>
    <row r="208" spans="1:16" ht="12.75" customHeight="1">
      <c r="A208" s="8"/>
      <c r="B208" s="8"/>
      <c r="C208" s="30"/>
      <c r="D208" s="8"/>
      <c r="E208" s="8"/>
      <c r="F208" s="8"/>
      <c r="G208" s="8"/>
      <c r="H208" s="8"/>
      <c r="I208" s="8"/>
      <c r="J208" s="8"/>
      <c r="K208" s="8"/>
      <c r="L208" s="8"/>
      <c r="M208" s="8"/>
      <c r="N208" s="8"/>
      <c r="O208" s="8"/>
      <c r="P208" s="8"/>
    </row>
    <row r="209" spans="1:16" ht="12.75" customHeight="1">
      <c r="A209" s="8"/>
      <c r="B209" s="8"/>
      <c r="C209" s="30"/>
      <c r="D209" s="8"/>
      <c r="E209" s="8"/>
      <c r="F209" s="8"/>
      <c r="G209" s="8"/>
      <c r="H209" s="8"/>
      <c r="I209" s="8"/>
      <c r="J209" s="8"/>
      <c r="K209" s="8"/>
      <c r="L209" s="8"/>
      <c r="M209" s="8"/>
      <c r="N209" s="8"/>
      <c r="O209" s="8"/>
      <c r="P209" s="8"/>
    </row>
    <row r="210" spans="1:16" ht="12.75" customHeight="1">
      <c r="A210" s="8"/>
      <c r="B210" s="8"/>
      <c r="C210" s="30"/>
      <c r="D210" s="8"/>
      <c r="E210" s="8"/>
      <c r="F210" s="8"/>
      <c r="G210" s="8"/>
      <c r="H210" s="8"/>
      <c r="I210" s="8"/>
      <c r="J210" s="8"/>
      <c r="K210" s="8"/>
      <c r="L210" s="8"/>
      <c r="M210" s="8"/>
      <c r="N210" s="8"/>
      <c r="O210" s="8"/>
      <c r="P210" s="8"/>
    </row>
    <row r="211" spans="1:16" ht="12.75" customHeight="1">
      <c r="A211" s="8"/>
      <c r="B211" s="8"/>
      <c r="C211" s="30"/>
      <c r="D211" s="8"/>
      <c r="E211" s="8"/>
      <c r="F211" s="8"/>
      <c r="G211" s="8"/>
      <c r="H211" s="8"/>
      <c r="I211" s="8"/>
      <c r="J211" s="8"/>
      <c r="K211" s="8"/>
      <c r="L211" s="8"/>
      <c r="M211" s="8"/>
      <c r="N211" s="8"/>
      <c r="O211" s="8"/>
      <c r="P211" s="8"/>
    </row>
    <row r="212" spans="1:16" ht="12.75" customHeight="1">
      <c r="A212" s="8"/>
      <c r="B212" s="8"/>
      <c r="C212" s="30"/>
      <c r="D212" s="8"/>
      <c r="E212" s="8"/>
      <c r="F212" s="8"/>
      <c r="G212" s="8"/>
      <c r="H212" s="8"/>
      <c r="I212" s="8"/>
      <c r="J212" s="8"/>
      <c r="K212" s="8"/>
      <c r="L212" s="8"/>
      <c r="M212" s="8"/>
      <c r="N212" s="8"/>
      <c r="O212" s="8"/>
      <c r="P212" s="8"/>
    </row>
    <row r="213" spans="1:16" ht="12.75" customHeight="1">
      <c r="A213" s="8"/>
      <c r="B213" s="8"/>
      <c r="C213" s="30"/>
      <c r="D213" s="8"/>
      <c r="E213" s="8"/>
      <c r="F213" s="8"/>
      <c r="G213" s="8"/>
      <c r="H213" s="8"/>
      <c r="I213" s="8"/>
      <c r="J213" s="8"/>
      <c r="K213" s="8"/>
      <c r="L213" s="8"/>
      <c r="M213" s="8"/>
      <c r="N213" s="8"/>
      <c r="O213" s="8"/>
      <c r="P213" s="8"/>
    </row>
    <row r="214" spans="1:16" ht="12.75" customHeight="1">
      <c r="A214" s="8"/>
      <c r="B214" s="8"/>
      <c r="C214" s="30"/>
      <c r="D214" s="8"/>
      <c r="E214" s="8"/>
      <c r="F214" s="8"/>
      <c r="G214" s="8"/>
      <c r="H214" s="8"/>
      <c r="I214" s="8"/>
      <c r="J214" s="8"/>
      <c r="K214" s="8"/>
      <c r="L214" s="8"/>
      <c r="M214" s="8"/>
      <c r="N214" s="8"/>
      <c r="O214" s="8"/>
      <c r="P214" s="8"/>
    </row>
    <row r="215" spans="1:16" ht="12.75" customHeight="1">
      <c r="A215" s="8"/>
      <c r="B215" s="8"/>
      <c r="C215" s="30"/>
      <c r="D215" s="8"/>
      <c r="E215" s="8"/>
      <c r="F215" s="8"/>
      <c r="G215" s="8"/>
      <c r="H215" s="8"/>
      <c r="I215" s="8"/>
      <c r="J215" s="8"/>
      <c r="K215" s="8"/>
      <c r="L215" s="8"/>
      <c r="M215" s="8"/>
      <c r="N215" s="8"/>
      <c r="O215" s="8"/>
      <c r="P215" s="8"/>
    </row>
    <row r="216" spans="1:16" ht="12.75" customHeight="1">
      <c r="A216" s="8"/>
      <c r="B216" s="8"/>
      <c r="C216" s="30"/>
      <c r="D216" s="8"/>
      <c r="E216" s="8"/>
      <c r="F216" s="8"/>
      <c r="G216" s="8"/>
      <c r="H216" s="8"/>
      <c r="I216" s="8"/>
      <c r="J216" s="8"/>
      <c r="K216" s="8"/>
      <c r="L216" s="8"/>
      <c r="M216" s="8"/>
      <c r="N216" s="8"/>
      <c r="O216" s="8"/>
      <c r="P216" s="8"/>
    </row>
    <row r="217" spans="1:16" ht="12.75" customHeight="1">
      <c r="A217" s="8"/>
      <c r="B217" s="8"/>
      <c r="C217" s="30"/>
      <c r="D217" s="8"/>
      <c r="E217" s="8"/>
      <c r="F217" s="8"/>
      <c r="G217" s="8"/>
      <c r="H217" s="8"/>
      <c r="I217" s="8"/>
      <c r="J217" s="8"/>
      <c r="K217" s="8"/>
      <c r="L217" s="8"/>
      <c r="M217" s="8"/>
      <c r="N217" s="8"/>
      <c r="O217" s="8"/>
      <c r="P217" s="8"/>
    </row>
    <row r="218" spans="1:16" ht="12.75" customHeight="1">
      <c r="A218" s="8"/>
      <c r="B218" s="8"/>
      <c r="C218" s="30"/>
      <c r="D218" s="8"/>
      <c r="E218" s="8"/>
      <c r="F218" s="8"/>
      <c r="G218" s="8"/>
      <c r="H218" s="8"/>
      <c r="I218" s="8"/>
      <c r="J218" s="8"/>
      <c r="K218" s="8"/>
      <c r="L218" s="8"/>
      <c r="M218" s="8"/>
      <c r="N218" s="8"/>
      <c r="O218" s="8"/>
      <c r="P218" s="8"/>
    </row>
    <row r="219" spans="1:16" ht="12.75" customHeight="1">
      <c r="A219" s="8"/>
      <c r="B219" s="8"/>
      <c r="C219" s="30"/>
      <c r="D219" s="8"/>
      <c r="E219" s="8"/>
      <c r="F219" s="8"/>
      <c r="G219" s="8"/>
      <c r="H219" s="8"/>
      <c r="I219" s="8"/>
      <c r="J219" s="8"/>
      <c r="K219" s="8"/>
      <c r="L219" s="8"/>
      <c r="M219" s="8"/>
      <c r="N219" s="8"/>
      <c r="O219" s="8"/>
      <c r="P219" s="8"/>
    </row>
    <row r="220" spans="1:16" ht="12.75" customHeight="1">
      <c r="A220" s="8"/>
      <c r="B220" s="8"/>
      <c r="C220" s="30"/>
      <c r="D220" s="8"/>
      <c r="E220" s="8"/>
      <c r="F220" s="8"/>
      <c r="G220" s="8"/>
      <c r="H220" s="8"/>
      <c r="I220" s="8"/>
      <c r="J220" s="8"/>
      <c r="K220" s="8"/>
      <c r="L220" s="8"/>
      <c r="M220" s="8"/>
      <c r="N220" s="8"/>
      <c r="O220" s="8"/>
      <c r="P220" s="8"/>
    </row>
    <row r="221" spans="1:16" ht="12.75" customHeight="1">
      <c r="A221" s="8"/>
      <c r="B221" s="8"/>
      <c r="C221" s="30"/>
      <c r="D221" s="8"/>
      <c r="E221" s="8"/>
      <c r="F221" s="8"/>
      <c r="G221" s="8"/>
      <c r="H221" s="8"/>
      <c r="I221" s="8"/>
      <c r="J221" s="8"/>
      <c r="K221" s="8"/>
      <c r="L221" s="8"/>
      <c r="M221" s="8"/>
      <c r="N221" s="8"/>
      <c r="O221" s="8"/>
      <c r="P221" s="8"/>
    </row>
    <row r="222" spans="1:16" ht="12.75" customHeight="1">
      <c r="A222" s="8"/>
      <c r="B222" s="8"/>
      <c r="C222" s="30"/>
      <c r="D222" s="8"/>
      <c r="E222" s="8"/>
      <c r="F222" s="8"/>
      <c r="G222" s="8"/>
      <c r="H222" s="8"/>
      <c r="I222" s="8"/>
      <c r="J222" s="8"/>
      <c r="K222" s="8"/>
      <c r="L222" s="8"/>
      <c r="M222" s="8"/>
      <c r="N222" s="8"/>
      <c r="O222" s="8"/>
      <c r="P222" s="8"/>
    </row>
    <row r="223" spans="1:16" ht="12.75" customHeight="1">
      <c r="A223" s="8"/>
      <c r="B223" s="8"/>
      <c r="C223" s="30"/>
      <c r="D223" s="8"/>
      <c r="E223" s="8"/>
      <c r="F223" s="8"/>
      <c r="G223" s="8"/>
      <c r="H223" s="8"/>
      <c r="I223" s="8"/>
      <c r="J223" s="8"/>
      <c r="K223" s="8"/>
      <c r="L223" s="8"/>
      <c r="M223" s="8"/>
      <c r="N223" s="8"/>
      <c r="O223" s="8"/>
      <c r="P223" s="8"/>
    </row>
    <row r="224" spans="1:16" ht="12.75" customHeight="1">
      <c r="A224" s="8"/>
      <c r="B224" s="8"/>
      <c r="C224" s="30"/>
      <c r="D224" s="8"/>
      <c r="E224" s="8"/>
      <c r="F224" s="8"/>
      <c r="G224" s="8"/>
      <c r="H224" s="8"/>
      <c r="I224" s="8"/>
      <c r="J224" s="8"/>
      <c r="K224" s="8"/>
      <c r="L224" s="8"/>
      <c r="M224" s="8"/>
      <c r="N224" s="8"/>
      <c r="O224" s="8"/>
      <c r="P224" s="8"/>
    </row>
    <row r="225" spans="1:16" ht="12.75" customHeight="1">
      <c r="A225" s="8"/>
      <c r="B225" s="8"/>
      <c r="C225" s="30"/>
      <c r="D225" s="8"/>
      <c r="E225" s="8"/>
      <c r="F225" s="8"/>
      <c r="G225" s="8"/>
      <c r="H225" s="8"/>
      <c r="I225" s="8"/>
      <c r="J225" s="8"/>
      <c r="K225" s="8"/>
      <c r="L225" s="8"/>
      <c r="M225" s="8"/>
      <c r="N225" s="8"/>
      <c r="O225" s="8"/>
      <c r="P225" s="8"/>
    </row>
    <row r="226" spans="1:16" ht="12.75" customHeight="1">
      <c r="A226" s="8"/>
      <c r="B226" s="8"/>
      <c r="C226" s="30"/>
      <c r="D226" s="8"/>
      <c r="E226" s="8"/>
      <c r="F226" s="8"/>
      <c r="G226" s="8"/>
      <c r="H226" s="8"/>
      <c r="I226" s="8"/>
      <c r="J226" s="8"/>
      <c r="K226" s="8"/>
      <c r="L226" s="8"/>
      <c r="M226" s="8"/>
      <c r="N226" s="8"/>
      <c r="O226" s="8"/>
      <c r="P226" s="8"/>
    </row>
    <row r="227" spans="1:16" ht="12.75" customHeight="1">
      <c r="A227" s="8"/>
      <c r="B227" s="8"/>
      <c r="C227" s="30"/>
      <c r="D227" s="8"/>
      <c r="E227" s="8"/>
      <c r="F227" s="8"/>
      <c r="G227" s="8"/>
      <c r="H227" s="8"/>
      <c r="I227" s="8"/>
      <c r="J227" s="8"/>
      <c r="K227" s="8"/>
      <c r="L227" s="8"/>
      <c r="M227" s="8"/>
      <c r="N227" s="8"/>
      <c r="O227" s="8"/>
      <c r="P227" s="8"/>
    </row>
    <row r="228" spans="1:16" ht="12.75" customHeight="1">
      <c r="A228" s="8"/>
      <c r="B228" s="8"/>
      <c r="C228" s="30"/>
      <c r="D228" s="8"/>
      <c r="E228" s="8"/>
      <c r="F228" s="8"/>
      <c r="G228" s="8"/>
      <c r="H228" s="8"/>
      <c r="I228" s="8"/>
      <c r="J228" s="8"/>
      <c r="K228" s="8"/>
      <c r="L228" s="8"/>
      <c r="M228" s="8"/>
      <c r="N228" s="8"/>
      <c r="O228" s="8"/>
      <c r="P228" s="8"/>
    </row>
    <row r="229" spans="1:16" ht="12.75" customHeight="1">
      <c r="A229" s="8"/>
      <c r="B229" s="8"/>
      <c r="C229" s="30"/>
      <c r="D229" s="8"/>
      <c r="E229" s="8"/>
      <c r="F229" s="8"/>
      <c r="G229" s="8"/>
      <c r="H229" s="8"/>
      <c r="I229" s="8"/>
      <c r="J229" s="8"/>
      <c r="K229" s="8"/>
      <c r="L229" s="8"/>
      <c r="M229" s="8"/>
      <c r="N229" s="8"/>
      <c r="O229" s="8"/>
      <c r="P229" s="8"/>
    </row>
    <row r="230" spans="1:16" ht="12.75" customHeight="1">
      <c r="A230" s="8"/>
      <c r="B230" s="8"/>
      <c r="C230" s="30"/>
      <c r="D230" s="8"/>
      <c r="E230" s="8"/>
      <c r="F230" s="8"/>
      <c r="G230" s="8"/>
      <c r="H230" s="8"/>
      <c r="I230" s="8"/>
      <c r="J230" s="8"/>
      <c r="K230" s="8"/>
      <c r="L230" s="8"/>
      <c r="M230" s="8"/>
      <c r="N230" s="8"/>
      <c r="O230" s="8"/>
      <c r="P230" s="8"/>
    </row>
    <row r="231" spans="1:16" ht="12.75" customHeight="1">
      <c r="A231" s="8"/>
      <c r="B231" s="8"/>
      <c r="C231" s="30"/>
      <c r="D231" s="8"/>
      <c r="E231" s="8"/>
      <c r="F231" s="8"/>
      <c r="G231" s="8"/>
      <c r="H231" s="8"/>
      <c r="I231" s="8"/>
      <c r="J231" s="8"/>
      <c r="K231" s="8"/>
      <c r="L231" s="8"/>
      <c r="M231" s="8"/>
      <c r="N231" s="8"/>
      <c r="O231" s="8"/>
      <c r="P231" s="8"/>
    </row>
    <row r="232" spans="1:16" ht="12.75" customHeight="1">
      <c r="A232" s="8"/>
      <c r="B232" s="8"/>
      <c r="C232" s="30"/>
      <c r="D232" s="8"/>
      <c r="E232" s="8"/>
      <c r="F232" s="8"/>
      <c r="G232" s="8"/>
      <c r="H232" s="8"/>
      <c r="I232" s="8"/>
      <c r="J232" s="8"/>
      <c r="K232" s="8"/>
      <c r="L232" s="8"/>
      <c r="M232" s="8"/>
      <c r="N232" s="8"/>
      <c r="O232" s="8"/>
      <c r="P232" s="8"/>
    </row>
    <row r="233" spans="1:16" ht="12.75" customHeight="1">
      <c r="A233" s="8"/>
      <c r="B233" s="8"/>
      <c r="C233" s="30"/>
      <c r="D233" s="8"/>
      <c r="E233" s="8"/>
      <c r="F233" s="8"/>
      <c r="G233" s="8"/>
      <c r="H233" s="8"/>
      <c r="I233" s="8"/>
      <c r="J233" s="8"/>
      <c r="K233" s="8"/>
      <c r="L233" s="8"/>
      <c r="M233" s="8"/>
      <c r="N233" s="8"/>
      <c r="O233" s="8"/>
      <c r="P233" s="8"/>
    </row>
    <row r="234" spans="1:16" ht="12.75" customHeight="1">
      <c r="A234" s="8"/>
      <c r="B234" s="8"/>
      <c r="C234" s="30"/>
      <c r="D234" s="8"/>
      <c r="E234" s="8"/>
      <c r="F234" s="8"/>
      <c r="G234" s="8"/>
      <c r="H234" s="8"/>
      <c r="I234" s="8"/>
      <c r="J234" s="8"/>
      <c r="K234" s="8"/>
      <c r="L234" s="8"/>
      <c r="M234" s="8"/>
      <c r="N234" s="8"/>
      <c r="O234" s="8"/>
      <c r="P234" s="8"/>
    </row>
    <row r="235" spans="1:16" ht="12.75" customHeight="1">
      <c r="A235" s="8"/>
      <c r="B235" s="8"/>
      <c r="C235" s="30"/>
      <c r="D235" s="8"/>
      <c r="E235" s="8"/>
      <c r="F235" s="8"/>
      <c r="G235" s="8"/>
      <c r="H235" s="8"/>
      <c r="I235" s="8"/>
      <c r="J235" s="8"/>
      <c r="K235" s="8"/>
      <c r="L235" s="8"/>
      <c r="M235" s="8"/>
      <c r="N235" s="8"/>
      <c r="O235" s="8"/>
      <c r="P235" s="8"/>
    </row>
    <row r="236" spans="1:16" ht="12.75" customHeight="1">
      <c r="A236" s="8"/>
      <c r="B236" s="8"/>
      <c r="C236" s="30"/>
      <c r="D236" s="8"/>
      <c r="E236" s="8"/>
      <c r="F236" s="8"/>
      <c r="G236" s="8"/>
      <c r="H236" s="8"/>
      <c r="I236" s="8"/>
      <c r="J236" s="8"/>
      <c r="K236" s="8"/>
      <c r="L236" s="8"/>
      <c r="M236" s="8"/>
      <c r="N236" s="8"/>
      <c r="O236" s="8"/>
      <c r="P236" s="8"/>
    </row>
    <row r="237" spans="1:16" ht="12.75" customHeight="1">
      <c r="A237" s="8"/>
      <c r="B237" s="8"/>
      <c r="C237" s="30"/>
      <c r="D237" s="8"/>
      <c r="E237" s="8"/>
      <c r="F237" s="8"/>
      <c r="G237" s="8"/>
      <c r="H237" s="8"/>
      <c r="I237" s="8"/>
      <c r="J237" s="8"/>
      <c r="K237" s="8"/>
      <c r="L237" s="8"/>
      <c r="M237" s="8"/>
      <c r="N237" s="8"/>
      <c r="O237" s="8"/>
      <c r="P237" s="8"/>
    </row>
    <row r="238" spans="1:16" ht="12.75" customHeight="1">
      <c r="A238" s="8"/>
      <c r="B238" s="8"/>
      <c r="C238" s="30"/>
      <c r="D238" s="8"/>
      <c r="E238" s="8"/>
      <c r="F238" s="8"/>
      <c r="G238" s="8"/>
      <c r="H238" s="8"/>
      <c r="I238" s="8"/>
      <c r="J238" s="8"/>
      <c r="K238" s="8"/>
      <c r="L238" s="8"/>
      <c r="M238" s="8"/>
      <c r="N238" s="8"/>
      <c r="O238" s="8"/>
      <c r="P238" s="8"/>
    </row>
    <row r="239" spans="1:16" ht="12.75" customHeight="1">
      <c r="A239" s="8"/>
      <c r="B239" s="8"/>
      <c r="C239" s="30"/>
      <c r="D239" s="8"/>
      <c r="E239" s="8"/>
      <c r="F239" s="8"/>
      <c r="G239" s="8"/>
      <c r="H239" s="8"/>
      <c r="I239" s="8"/>
      <c r="J239" s="8"/>
      <c r="K239" s="8"/>
      <c r="L239" s="8"/>
      <c r="M239" s="8"/>
      <c r="N239" s="8"/>
      <c r="O239" s="8"/>
      <c r="P239" s="8"/>
    </row>
    <row r="240" spans="1:16" ht="12.75" customHeight="1">
      <c r="A240" s="8"/>
      <c r="B240" s="8"/>
      <c r="C240" s="30"/>
      <c r="D240" s="8"/>
      <c r="E240" s="8"/>
      <c r="F240" s="8"/>
      <c r="G240" s="8"/>
      <c r="H240" s="8"/>
      <c r="I240" s="8"/>
      <c r="J240" s="8"/>
      <c r="K240" s="8"/>
      <c r="L240" s="8"/>
      <c r="M240" s="8"/>
      <c r="N240" s="8"/>
      <c r="O240" s="8"/>
      <c r="P240" s="8"/>
    </row>
    <row r="241" spans="1:16" ht="12.75" customHeight="1">
      <c r="A241" s="8"/>
      <c r="B241" s="8"/>
      <c r="C241" s="30"/>
      <c r="D241" s="8"/>
      <c r="E241" s="8"/>
      <c r="F241" s="8"/>
      <c r="G241" s="8"/>
      <c r="H241" s="8"/>
      <c r="I241" s="8"/>
      <c r="J241" s="8"/>
      <c r="K241" s="8"/>
      <c r="L241" s="8"/>
      <c r="M241" s="8"/>
      <c r="N241" s="8"/>
      <c r="O241" s="8"/>
      <c r="P241" s="8"/>
    </row>
    <row r="242" spans="1:16" ht="12.75" customHeight="1">
      <c r="A242" s="8"/>
      <c r="B242" s="8"/>
      <c r="C242" s="30"/>
      <c r="D242" s="8"/>
      <c r="E242" s="8"/>
      <c r="F242" s="8"/>
      <c r="G242" s="8"/>
      <c r="H242" s="8"/>
      <c r="I242" s="8"/>
      <c r="J242" s="8"/>
      <c r="K242" s="8"/>
      <c r="L242" s="8"/>
      <c r="M242" s="8"/>
      <c r="N242" s="8"/>
      <c r="O242" s="8"/>
      <c r="P242" s="8"/>
    </row>
    <row r="243" spans="1:16" ht="12.75" customHeight="1">
      <c r="A243" s="8"/>
      <c r="B243" s="8"/>
      <c r="C243" s="30"/>
      <c r="D243" s="8"/>
      <c r="E243" s="8"/>
      <c r="F243" s="8"/>
      <c r="G243" s="8"/>
      <c r="H243" s="8"/>
      <c r="I243" s="8"/>
      <c r="J243" s="8"/>
      <c r="K243" s="8"/>
      <c r="L243" s="8"/>
      <c r="M243" s="8"/>
      <c r="N243" s="8"/>
      <c r="O243" s="8"/>
      <c r="P243" s="8"/>
    </row>
    <row r="244" spans="1:16" ht="12.75" customHeight="1">
      <c r="A244" s="8"/>
      <c r="B244" s="8"/>
      <c r="C244" s="30"/>
      <c r="D244" s="8"/>
      <c r="E244" s="8"/>
      <c r="F244" s="8"/>
      <c r="G244" s="8"/>
      <c r="H244" s="8"/>
      <c r="I244" s="8"/>
      <c r="J244" s="8"/>
      <c r="K244" s="8"/>
      <c r="L244" s="8"/>
      <c r="M244" s="8"/>
      <c r="N244" s="8"/>
      <c r="O244" s="8"/>
      <c r="P244" s="8"/>
    </row>
    <row r="245" spans="1:16" ht="12.75" customHeight="1">
      <c r="A245" s="8"/>
      <c r="B245" s="8"/>
      <c r="C245" s="30"/>
      <c r="D245" s="8"/>
      <c r="E245" s="8"/>
      <c r="F245" s="8"/>
      <c r="G245" s="8"/>
      <c r="H245" s="8"/>
      <c r="I245" s="8"/>
      <c r="J245" s="8"/>
      <c r="K245" s="8"/>
      <c r="L245" s="8"/>
      <c r="M245" s="8"/>
      <c r="N245" s="8"/>
      <c r="O245" s="8"/>
      <c r="P245" s="8"/>
    </row>
    <row r="246" spans="1:16" ht="12.75" customHeight="1">
      <c r="A246" s="8"/>
      <c r="B246" s="8"/>
      <c r="C246" s="30"/>
      <c r="D246" s="8"/>
      <c r="E246" s="8"/>
      <c r="F246" s="8"/>
      <c r="G246" s="8"/>
      <c r="H246" s="8"/>
      <c r="I246" s="8"/>
      <c r="J246" s="8"/>
      <c r="K246" s="8"/>
      <c r="L246" s="8"/>
      <c r="M246" s="8"/>
      <c r="N246" s="8"/>
      <c r="O246" s="8"/>
      <c r="P246" s="8"/>
    </row>
    <row r="247" spans="1:16" ht="12.75" customHeight="1">
      <c r="A247" s="8"/>
      <c r="B247" s="8"/>
      <c r="C247" s="30"/>
      <c r="D247" s="8"/>
      <c r="E247" s="8"/>
      <c r="F247" s="8"/>
      <c r="G247" s="8"/>
      <c r="H247" s="8"/>
      <c r="I247" s="8"/>
      <c r="J247" s="8"/>
      <c r="K247" s="8"/>
      <c r="L247" s="8"/>
      <c r="M247" s="8"/>
      <c r="N247" s="8"/>
      <c r="O247" s="8"/>
      <c r="P247" s="8"/>
    </row>
    <row r="248" spans="1:16" ht="12.75" customHeight="1">
      <c r="A248" s="8"/>
      <c r="B248" s="8"/>
      <c r="C248" s="30"/>
      <c r="D248" s="8"/>
      <c r="E248" s="8"/>
      <c r="F248" s="8"/>
      <c r="G248" s="8"/>
      <c r="H248" s="8"/>
      <c r="I248" s="8"/>
      <c r="J248" s="8"/>
      <c r="K248" s="8"/>
      <c r="L248" s="8"/>
      <c r="M248" s="8"/>
      <c r="N248" s="8"/>
      <c r="O248" s="8"/>
      <c r="P248" s="8"/>
    </row>
    <row r="249" spans="1:16" ht="12.75" customHeight="1">
      <c r="A249" s="8"/>
      <c r="B249" s="8"/>
      <c r="C249" s="30"/>
      <c r="D249" s="8"/>
      <c r="E249" s="8"/>
      <c r="F249" s="8"/>
      <c r="G249" s="8"/>
      <c r="H249" s="8"/>
      <c r="I249" s="8"/>
      <c r="J249" s="8"/>
      <c r="K249" s="8"/>
      <c r="L249" s="8"/>
      <c r="M249" s="8"/>
      <c r="N249" s="8"/>
      <c r="O249" s="8"/>
      <c r="P249" s="8"/>
    </row>
    <row r="250" spans="1:16" ht="12.75" customHeight="1">
      <c r="A250" s="8"/>
      <c r="B250" s="8"/>
      <c r="C250" s="30"/>
      <c r="D250" s="8"/>
      <c r="E250" s="8"/>
      <c r="F250" s="8"/>
      <c r="G250" s="8"/>
      <c r="H250" s="8"/>
      <c r="I250" s="8"/>
      <c r="J250" s="8"/>
      <c r="K250" s="8"/>
      <c r="L250" s="8"/>
      <c r="M250" s="8"/>
      <c r="N250" s="8"/>
      <c r="O250" s="8"/>
      <c r="P250" s="8"/>
    </row>
    <row r="251" spans="1:16" ht="12.75" customHeight="1">
      <c r="A251" s="8"/>
      <c r="B251" s="8"/>
      <c r="C251" s="30"/>
      <c r="D251" s="8"/>
      <c r="E251" s="8"/>
      <c r="F251" s="8"/>
      <c r="G251" s="8"/>
      <c r="H251" s="8"/>
      <c r="I251" s="8"/>
      <c r="J251" s="8"/>
      <c r="K251" s="8"/>
      <c r="L251" s="8"/>
      <c r="M251" s="8"/>
      <c r="N251" s="8"/>
      <c r="O251" s="8"/>
      <c r="P251" s="8"/>
    </row>
    <row r="252" spans="1:16" ht="12.75" customHeight="1">
      <c r="A252" s="8"/>
      <c r="B252" s="8"/>
      <c r="C252" s="30"/>
      <c r="D252" s="8"/>
      <c r="E252" s="8"/>
      <c r="F252" s="8"/>
      <c r="G252" s="8"/>
      <c r="H252" s="8"/>
      <c r="I252" s="8"/>
      <c r="J252" s="8"/>
      <c r="K252" s="8"/>
      <c r="L252" s="8"/>
      <c r="M252" s="8"/>
      <c r="N252" s="8"/>
      <c r="O252" s="8"/>
      <c r="P252" s="8"/>
    </row>
    <row r="253" spans="1:16" ht="12.75" customHeight="1">
      <c r="A253" s="8"/>
      <c r="B253" s="8"/>
      <c r="C253" s="30"/>
      <c r="D253" s="8"/>
      <c r="E253" s="8"/>
      <c r="F253" s="8"/>
      <c r="G253" s="8"/>
      <c r="H253" s="8"/>
      <c r="I253" s="8"/>
      <c r="J253" s="8"/>
      <c r="K253" s="8"/>
      <c r="L253" s="8"/>
      <c r="M253" s="8"/>
      <c r="N253" s="8"/>
      <c r="O253" s="8"/>
      <c r="P253" s="8"/>
    </row>
    <row r="254" spans="1:16" ht="12.75" customHeight="1">
      <c r="A254" s="8"/>
      <c r="B254" s="8"/>
      <c r="C254" s="30"/>
      <c r="D254" s="8"/>
      <c r="E254" s="8"/>
      <c r="F254" s="8"/>
      <c r="G254" s="8"/>
      <c r="H254" s="8"/>
      <c r="I254" s="8"/>
      <c r="J254" s="8"/>
      <c r="K254" s="8"/>
      <c r="L254" s="8"/>
      <c r="M254" s="8"/>
      <c r="N254" s="8"/>
      <c r="O254" s="8"/>
      <c r="P254" s="8"/>
    </row>
    <row r="255" spans="1:16" ht="12.75" customHeight="1">
      <c r="A255" s="8"/>
      <c r="B255" s="8"/>
      <c r="C255" s="30"/>
      <c r="D255" s="8"/>
      <c r="E255" s="8"/>
      <c r="F255" s="8"/>
      <c r="G255" s="8"/>
      <c r="H255" s="8"/>
      <c r="I255" s="8"/>
      <c r="J255" s="8"/>
      <c r="K255" s="8"/>
      <c r="L255" s="8"/>
      <c r="M255" s="8"/>
      <c r="N255" s="8"/>
      <c r="O255" s="8"/>
      <c r="P255" s="8"/>
    </row>
    <row r="256" spans="1:16" ht="12.75" customHeight="1">
      <c r="A256" s="8"/>
      <c r="B256" s="8"/>
      <c r="C256" s="30"/>
      <c r="D256" s="8"/>
      <c r="E256" s="8"/>
      <c r="F256" s="8"/>
      <c r="G256" s="8"/>
      <c r="H256" s="8"/>
      <c r="I256" s="8"/>
      <c r="J256" s="8"/>
      <c r="K256" s="8"/>
      <c r="L256" s="8"/>
      <c r="M256" s="8"/>
      <c r="N256" s="8"/>
      <c r="O256" s="8"/>
      <c r="P256" s="8"/>
    </row>
    <row r="257" spans="1:16" ht="12.75" customHeight="1">
      <c r="A257" s="8"/>
      <c r="B257" s="8"/>
      <c r="C257" s="30"/>
      <c r="D257" s="8"/>
      <c r="E257" s="8"/>
      <c r="F257" s="8"/>
      <c r="G257" s="8"/>
      <c r="H257" s="8"/>
      <c r="I257" s="8"/>
      <c r="J257" s="8"/>
      <c r="K257" s="8"/>
      <c r="L257" s="8"/>
      <c r="M257" s="8"/>
      <c r="N257" s="8"/>
      <c r="O257" s="8"/>
      <c r="P257" s="8"/>
    </row>
    <row r="258" spans="1:16" ht="12.75" customHeight="1">
      <c r="A258" s="8"/>
      <c r="B258" s="8"/>
      <c r="C258" s="30"/>
      <c r="D258" s="8"/>
      <c r="E258" s="8"/>
      <c r="F258" s="8"/>
      <c r="G258" s="8"/>
      <c r="H258" s="8"/>
      <c r="I258" s="8"/>
      <c r="J258" s="8"/>
      <c r="K258" s="8"/>
      <c r="L258" s="8"/>
      <c r="M258" s="8"/>
      <c r="N258" s="8"/>
      <c r="O258" s="8"/>
      <c r="P258" s="8"/>
    </row>
    <row r="259" spans="1:16" ht="12.75" customHeight="1">
      <c r="A259" s="8"/>
      <c r="B259" s="8"/>
      <c r="C259" s="30"/>
      <c r="D259" s="8"/>
      <c r="E259" s="8"/>
      <c r="F259" s="8"/>
      <c r="G259" s="8"/>
      <c r="H259" s="8"/>
      <c r="I259" s="8"/>
      <c r="J259" s="8"/>
      <c r="K259" s="8"/>
      <c r="L259" s="8"/>
      <c r="M259" s="8"/>
      <c r="N259" s="8"/>
      <c r="O259" s="8"/>
      <c r="P259" s="8"/>
    </row>
    <row r="260" spans="1:16" ht="12.75" customHeight="1">
      <c r="A260" s="8"/>
      <c r="B260" s="8"/>
      <c r="C260" s="30"/>
      <c r="D260" s="8"/>
      <c r="E260" s="8"/>
      <c r="F260" s="8"/>
      <c r="G260" s="8"/>
      <c r="H260" s="8"/>
      <c r="I260" s="8"/>
      <c r="J260" s="8"/>
      <c r="K260" s="8"/>
      <c r="L260" s="8"/>
      <c r="M260" s="8"/>
      <c r="N260" s="8"/>
      <c r="O260" s="8"/>
      <c r="P260" s="8"/>
    </row>
    <row r="261" spans="1:16" ht="12.75" customHeight="1">
      <c r="A261" s="8"/>
      <c r="B261" s="8"/>
      <c r="C261" s="30"/>
      <c r="D261" s="8"/>
      <c r="E261" s="8"/>
      <c r="F261" s="8"/>
      <c r="G261" s="8"/>
      <c r="H261" s="8"/>
      <c r="I261" s="8"/>
      <c r="J261" s="8"/>
      <c r="K261" s="8"/>
      <c r="L261" s="8"/>
      <c r="M261" s="8"/>
      <c r="N261" s="8"/>
      <c r="O261" s="8"/>
      <c r="P261" s="8"/>
    </row>
    <row r="262" spans="1:16" ht="12.75" customHeight="1">
      <c r="A262" s="8"/>
      <c r="B262" s="8"/>
      <c r="C262" s="30"/>
      <c r="D262" s="8"/>
      <c r="E262" s="8"/>
      <c r="F262" s="8"/>
      <c r="G262" s="8"/>
      <c r="H262" s="8"/>
      <c r="I262" s="8"/>
      <c r="J262" s="8"/>
      <c r="K262" s="8"/>
      <c r="L262" s="8"/>
      <c r="M262" s="8"/>
      <c r="N262" s="8"/>
      <c r="O262" s="8"/>
      <c r="P262" s="8"/>
    </row>
    <row r="263" spans="1:16" ht="12.75" customHeight="1">
      <c r="A263" s="8"/>
      <c r="B263" s="8"/>
      <c r="C263" s="30"/>
      <c r="D263" s="8"/>
      <c r="E263" s="8"/>
      <c r="F263" s="8"/>
      <c r="G263" s="8"/>
      <c r="H263" s="8"/>
      <c r="I263" s="8"/>
      <c r="J263" s="8"/>
      <c r="K263" s="8"/>
      <c r="L263" s="8"/>
      <c r="M263" s="8"/>
      <c r="N263" s="8"/>
      <c r="O263" s="8"/>
      <c r="P263" s="8"/>
    </row>
    <row r="264" spans="1:16" ht="12.75" customHeight="1">
      <c r="A264" s="8"/>
      <c r="B264" s="8"/>
      <c r="C264" s="30"/>
      <c r="D264" s="8"/>
      <c r="E264" s="8"/>
      <c r="F264" s="8"/>
      <c r="G264" s="8"/>
      <c r="H264" s="8"/>
      <c r="I264" s="8"/>
      <c r="J264" s="8"/>
      <c r="K264" s="8"/>
      <c r="L264" s="8"/>
      <c r="M264" s="8"/>
      <c r="N264" s="8"/>
      <c r="O264" s="8"/>
      <c r="P264" s="8"/>
    </row>
    <row r="265" spans="1:16" ht="12.75" customHeight="1">
      <c r="A265" s="8"/>
      <c r="B265" s="8"/>
      <c r="C265" s="30"/>
      <c r="D265" s="8"/>
      <c r="E265" s="8"/>
      <c r="F265" s="8"/>
      <c r="G265" s="8"/>
      <c r="H265" s="8"/>
      <c r="I265" s="8"/>
      <c r="J265" s="8"/>
      <c r="K265" s="8"/>
      <c r="L265" s="8"/>
      <c r="M265" s="8"/>
      <c r="N265" s="8"/>
      <c r="O265" s="8"/>
      <c r="P265" s="8"/>
    </row>
    <row r="266" spans="1:16" ht="12.75" customHeight="1">
      <c r="A266" s="8"/>
      <c r="B266" s="8"/>
      <c r="C266" s="30"/>
      <c r="D266" s="8"/>
      <c r="E266" s="8"/>
      <c r="F266" s="8"/>
      <c r="G266" s="8"/>
      <c r="H266" s="8"/>
      <c r="I266" s="8"/>
      <c r="J266" s="8"/>
      <c r="K266" s="8"/>
      <c r="L266" s="8"/>
      <c r="M266" s="8"/>
      <c r="N266" s="8"/>
      <c r="O266" s="8"/>
      <c r="P266" s="8"/>
    </row>
    <row r="267" spans="1:16" ht="12.75" customHeight="1">
      <c r="A267" s="8"/>
      <c r="B267" s="8"/>
      <c r="C267" s="30"/>
      <c r="D267" s="8"/>
      <c r="E267" s="8"/>
      <c r="F267" s="8"/>
      <c r="G267" s="8"/>
      <c r="H267" s="8"/>
      <c r="I267" s="8"/>
      <c r="J267" s="8"/>
      <c r="K267" s="8"/>
      <c r="L267" s="8"/>
      <c r="M267" s="8"/>
      <c r="N267" s="8"/>
      <c r="O267" s="8"/>
      <c r="P267" s="8"/>
    </row>
    <row r="268" spans="1:16" ht="12.75" customHeight="1">
      <c r="A268" s="8"/>
      <c r="B268" s="8"/>
      <c r="C268" s="30"/>
      <c r="D268" s="8"/>
      <c r="E268" s="8"/>
      <c r="F268" s="8"/>
      <c r="G268" s="8"/>
      <c r="H268" s="8"/>
      <c r="I268" s="8"/>
      <c r="J268" s="8"/>
      <c r="K268" s="8"/>
      <c r="L268" s="8"/>
      <c r="M268" s="8"/>
      <c r="N268" s="8"/>
      <c r="O268" s="8"/>
      <c r="P268" s="8"/>
    </row>
    <row r="269" spans="1:16" ht="12.75" customHeight="1">
      <c r="A269" s="8"/>
      <c r="B269" s="8"/>
      <c r="C269" s="30"/>
      <c r="D269" s="8"/>
      <c r="E269" s="8"/>
      <c r="F269" s="8"/>
      <c r="G269" s="8"/>
      <c r="H269" s="8"/>
      <c r="I269" s="8"/>
      <c r="J269" s="8"/>
      <c r="K269" s="8"/>
      <c r="L269" s="8"/>
      <c r="M269" s="8"/>
      <c r="N269" s="8"/>
      <c r="O269" s="8"/>
      <c r="P269" s="8"/>
    </row>
    <row r="270" spans="1:16" ht="12.75" customHeight="1">
      <c r="A270" s="8"/>
      <c r="B270" s="8"/>
      <c r="C270" s="30"/>
      <c r="D270" s="8"/>
      <c r="E270" s="8"/>
      <c r="F270" s="8"/>
      <c r="G270" s="8"/>
      <c r="H270" s="8"/>
      <c r="I270" s="8"/>
      <c r="J270" s="8"/>
      <c r="K270" s="8"/>
      <c r="L270" s="8"/>
      <c r="M270" s="8"/>
      <c r="N270" s="8"/>
      <c r="O270" s="8"/>
      <c r="P270" s="8"/>
    </row>
    <row r="271" spans="1:16" ht="12.75" customHeight="1">
      <c r="A271" s="8"/>
      <c r="B271" s="8"/>
      <c r="C271" s="30"/>
      <c r="D271" s="8"/>
      <c r="E271" s="8"/>
      <c r="F271" s="8"/>
      <c r="G271" s="8"/>
      <c r="H271" s="8"/>
      <c r="I271" s="8"/>
      <c r="J271" s="8"/>
      <c r="K271" s="8"/>
      <c r="L271" s="8"/>
      <c r="M271" s="8"/>
      <c r="N271" s="8"/>
      <c r="O271" s="8"/>
      <c r="P271" s="8"/>
    </row>
    <row r="272" spans="1:16" ht="12.75" customHeight="1">
      <c r="A272" s="8"/>
      <c r="B272" s="8"/>
      <c r="C272" s="30"/>
      <c r="D272" s="8"/>
      <c r="E272" s="8"/>
      <c r="F272" s="8"/>
      <c r="G272" s="8"/>
      <c r="H272" s="8"/>
      <c r="I272" s="8"/>
      <c r="J272" s="8"/>
      <c r="K272" s="8"/>
      <c r="L272" s="8"/>
      <c r="M272" s="8"/>
      <c r="N272" s="8"/>
      <c r="O272" s="8"/>
      <c r="P272" s="8"/>
    </row>
    <row r="273" spans="1:16" ht="12.75" customHeight="1">
      <c r="A273" s="8"/>
      <c r="B273" s="8"/>
      <c r="C273" s="30"/>
      <c r="D273" s="8"/>
      <c r="E273" s="8"/>
      <c r="F273" s="8"/>
      <c r="G273" s="8"/>
      <c r="H273" s="8"/>
      <c r="I273" s="8"/>
      <c r="J273" s="8"/>
      <c r="K273" s="8"/>
      <c r="L273" s="8"/>
      <c r="M273" s="8"/>
      <c r="N273" s="8"/>
      <c r="O273" s="8"/>
      <c r="P273" s="8"/>
    </row>
    <row r="274" spans="1:16" ht="12.75" customHeight="1">
      <c r="A274" s="8"/>
      <c r="B274" s="8"/>
      <c r="C274" s="30"/>
      <c r="D274" s="8"/>
      <c r="E274" s="8"/>
      <c r="F274" s="8"/>
      <c r="G274" s="8"/>
      <c r="H274" s="8"/>
      <c r="I274" s="8"/>
      <c r="J274" s="8"/>
      <c r="K274" s="8"/>
      <c r="L274" s="8"/>
      <c r="M274" s="8"/>
      <c r="N274" s="8"/>
      <c r="O274" s="8"/>
      <c r="P274" s="8"/>
    </row>
    <row r="275" spans="1:16" ht="12.75" customHeight="1">
      <c r="A275" s="8"/>
      <c r="B275" s="8"/>
      <c r="C275" s="30"/>
      <c r="D275" s="8"/>
      <c r="E275" s="8"/>
      <c r="F275" s="8"/>
      <c r="G275" s="8"/>
      <c r="H275" s="8"/>
      <c r="I275" s="8"/>
      <c r="J275" s="8"/>
      <c r="K275" s="8"/>
      <c r="L275" s="8"/>
      <c r="M275" s="8"/>
      <c r="N275" s="8"/>
      <c r="O275" s="8"/>
      <c r="P275" s="8"/>
    </row>
    <row r="276" spans="1:16" ht="12.75" customHeight="1">
      <c r="A276" s="8"/>
      <c r="B276" s="8"/>
      <c r="C276" s="30"/>
      <c r="D276" s="8"/>
      <c r="E276" s="8"/>
      <c r="F276" s="8"/>
      <c r="G276" s="8"/>
      <c r="H276" s="8"/>
      <c r="I276" s="8"/>
      <c r="J276" s="8"/>
      <c r="K276" s="8"/>
      <c r="L276" s="8"/>
      <c r="M276" s="8"/>
      <c r="N276" s="8"/>
      <c r="O276" s="8"/>
      <c r="P276" s="8"/>
    </row>
    <row r="277" spans="1:16" ht="12.75" customHeight="1">
      <c r="A277" s="8"/>
      <c r="B277" s="8"/>
      <c r="C277" s="30"/>
      <c r="D277" s="8"/>
      <c r="E277" s="8"/>
      <c r="F277" s="8"/>
      <c r="G277" s="8"/>
      <c r="H277" s="8"/>
      <c r="I277" s="8"/>
      <c r="J277" s="8"/>
      <c r="K277" s="8"/>
      <c r="L277" s="8"/>
      <c r="M277" s="8"/>
      <c r="N277" s="8"/>
      <c r="O277" s="8"/>
      <c r="P277" s="8"/>
    </row>
    <row r="278" spans="1:16" ht="12.75" customHeight="1">
      <c r="A278" s="8"/>
      <c r="B278" s="8"/>
      <c r="C278" s="30"/>
      <c r="D278" s="8"/>
      <c r="E278" s="8"/>
      <c r="F278" s="8"/>
      <c r="G278" s="8"/>
      <c r="H278" s="8"/>
      <c r="I278" s="8"/>
      <c r="J278" s="8"/>
      <c r="K278" s="8"/>
      <c r="L278" s="8"/>
      <c r="M278" s="8"/>
      <c r="N278" s="8"/>
      <c r="O278" s="8"/>
      <c r="P278" s="8"/>
    </row>
    <row r="279" spans="1:16" ht="12.75" customHeight="1">
      <c r="A279" s="8"/>
      <c r="B279" s="8"/>
      <c r="C279" s="30"/>
      <c r="D279" s="8"/>
      <c r="E279" s="8"/>
      <c r="F279" s="8"/>
      <c r="G279" s="8"/>
      <c r="H279" s="8"/>
      <c r="I279" s="8"/>
      <c r="J279" s="8"/>
      <c r="K279" s="8"/>
      <c r="L279" s="8"/>
      <c r="M279" s="8"/>
      <c r="N279" s="8"/>
      <c r="O279" s="8"/>
      <c r="P279" s="8"/>
    </row>
    <row r="280" spans="1:16" ht="12.75" customHeight="1">
      <c r="A280" s="8"/>
      <c r="B280" s="8"/>
      <c r="C280" s="30"/>
      <c r="D280" s="8"/>
      <c r="E280" s="8"/>
      <c r="F280" s="8"/>
      <c r="G280" s="8"/>
      <c r="H280" s="8"/>
      <c r="I280" s="8"/>
      <c r="J280" s="8"/>
      <c r="K280" s="8"/>
      <c r="L280" s="8"/>
      <c r="M280" s="8"/>
      <c r="N280" s="8"/>
      <c r="O280" s="8"/>
      <c r="P280" s="8"/>
    </row>
    <row r="281" spans="1:16" ht="12.75" customHeight="1">
      <c r="A281" s="8"/>
      <c r="B281" s="8"/>
      <c r="C281" s="30"/>
      <c r="D281" s="8"/>
      <c r="E281" s="8"/>
      <c r="F281" s="8"/>
      <c r="G281" s="8"/>
      <c r="H281" s="8"/>
      <c r="I281" s="8"/>
      <c r="J281" s="8"/>
      <c r="K281" s="8"/>
      <c r="L281" s="8"/>
      <c r="M281" s="8"/>
      <c r="N281" s="8"/>
      <c r="O281" s="8"/>
      <c r="P281" s="8"/>
    </row>
    <row r="282" spans="1:16" ht="12.75" customHeight="1">
      <c r="A282" s="8"/>
      <c r="B282" s="8"/>
      <c r="C282" s="30"/>
      <c r="D282" s="8"/>
      <c r="E282" s="8"/>
      <c r="F282" s="8"/>
      <c r="G282" s="8"/>
      <c r="H282" s="8"/>
      <c r="I282" s="8"/>
      <c r="J282" s="8"/>
      <c r="K282" s="8"/>
      <c r="L282" s="8"/>
      <c r="M282" s="8"/>
      <c r="N282" s="8"/>
      <c r="O282" s="8"/>
      <c r="P282" s="8"/>
    </row>
    <row r="283" spans="1:16" ht="12.75" customHeight="1">
      <c r="A283" s="8"/>
      <c r="B283" s="8"/>
      <c r="C283" s="30"/>
      <c r="D283" s="8"/>
      <c r="E283" s="8"/>
      <c r="F283" s="8"/>
      <c r="G283" s="8"/>
      <c r="H283" s="8"/>
      <c r="I283" s="8"/>
      <c r="J283" s="8"/>
      <c r="K283" s="8"/>
      <c r="L283" s="8"/>
      <c r="M283" s="8"/>
      <c r="N283" s="8"/>
      <c r="O283" s="8"/>
      <c r="P283" s="8"/>
    </row>
    <row r="284" spans="1:16" ht="12.75" customHeight="1">
      <c r="A284" s="8"/>
      <c r="B284" s="8"/>
      <c r="C284" s="30"/>
      <c r="D284" s="8"/>
      <c r="E284" s="8"/>
      <c r="F284" s="8"/>
      <c r="G284" s="8"/>
      <c r="H284" s="8"/>
      <c r="I284" s="8"/>
      <c r="J284" s="8"/>
      <c r="K284" s="8"/>
      <c r="L284" s="8"/>
      <c r="M284" s="8"/>
      <c r="N284" s="8"/>
      <c r="O284" s="8"/>
      <c r="P284" s="8"/>
    </row>
    <row r="285" spans="1:16" ht="12.75" customHeight="1">
      <c r="A285" s="8"/>
      <c r="B285" s="8"/>
      <c r="C285" s="30"/>
      <c r="D285" s="8"/>
      <c r="E285" s="8"/>
      <c r="F285" s="8"/>
      <c r="G285" s="8"/>
      <c r="H285" s="8"/>
      <c r="I285" s="8"/>
      <c r="J285" s="8"/>
      <c r="K285" s="8"/>
      <c r="L285" s="8"/>
      <c r="M285" s="8"/>
      <c r="N285" s="8"/>
      <c r="O285" s="8"/>
      <c r="P285" s="8"/>
    </row>
    <row r="286" spans="1:16" ht="12.75" customHeight="1">
      <c r="A286" s="8"/>
      <c r="B286" s="8"/>
      <c r="C286" s="30"/>
      <c r="D286" s="8"/>
      <c r="E286" s="8"/>
      <c r="F286" s="8"/>
      <c r="G286" s="8"/>
      <c r="H286" s="8"/>
      <c r="I286" s="8"/>
      <c r="J286" s="8"/>
      <c r="K286" s="8"/>
      <c r="L286" s="8"/>
      <c r="M286" s="8"/>
      <c r="N286" s="8"/>
      <c r="O286" s="8"/>
      <c r="P286" s="8"/>
    </row>
    <row r="287" spans="1:16" ht="12.75" customHeight="1">
      <c r="A287" s="8"/>
      <c r="B287" s="8"/>
      <c r="C287" s="30"/>
      <c r="D287" s="8"/>
      <c r="E287" s="8"/>
      <c r="F287" s="8"/>
      <c r="G287" s="8"/>
      <c r="H287" s="8"/>
      <c r="I287" s="8"/>
      <c r="J287" s="8"/>
      <c r="K287" s="8"/>
      <c r="L287" s="8"/>
      <c r="M287" s="8"/>
      <c r="N287" s="8"/>
      <c r="O287" s="8"/>
      <c r="P287" s="8"/>
    </row>
    <row r="288" spans="1:16" ht="12.75" customHeight="1">
      <c r="A288" s="8"/>
      <c r="B288" s="8"/>
      <c r="C288" s="30"/>
      <c r="D288" s="8"/>
      <c r="E288" s="8"/>
      <c r="F288" s="8"/>
      <c r="G288" s="8"/>
      <c r="H288" s="8"/>
      <c r="I288" s="8"/>
      <c r="J288" s="8"/>
      <c r="K288" s="8"/>
      <c r="L288" s="8"/>
      <c r="M288" s="8"/>
      <c r="N288" s="8"/>
      <c r="O288" s="8"/>
      <c r="P288" s="8"/>
    </row>
    <row r="289" spans="1:16" ht="12.75" customHeight="1">
      <c r="A289" s="8"/>
      <c r="B289" s="8"/>
      <c r="C289" s="30"/>
      <c r="D289" s="8"/>
      <c r="E289" s="8"/>
      <c r="F289" s="8"/>
      <c r="G289" s="8"/>
      <c r="H289" s="8"/>
      <c r="I289" s="8"/>
      <c r="J289" s="8"/>
      <c r="K289" s="8"/>
      <c r="L289" s="8"/>
      <c r="M289" s="8"/>
      <c r="N289" s="8"/>
      <c r="O289" s="8"/>
      <c r="P289" s="8"/>
    </row>
    <row r="290" spans="1:16" ht="12.75" customHeight="1">
      <c r="A290" s="8"/>
      <c r="B290" s="8"/>
      <c r="C290" s="30"/>
      <c r="D290" s="8"/>
      <c r="E290" s="8"/>
      <c r="F290" s="8"/>
      <c r="G290" s="8"/>
      <c r="H290" s="8"/>
      <c r="I290" s="8"/>
      <c r="J290" s="8"/>
      <c r="K290" s="8"/>
      <c r="L290" s="8"/>
      <c r="M290" s="8"/>
      <c r="N290" s="8"/>
      <c r="O290" s="8"/>
      <c r="P290" s="8"/>
    </row>
    <row r="291" spans="1:16" ht="12.75" customHeight="1">
      <c r="A291" s="8"/>
      <c r="B291" s="8"/>
      <c r="C291" s="30"/>
      <c r="D291" s="8"/>
      <c r="E291" s="8"/>
      <c r="F291" s="8"/>
      <c r="G291" s="8"/>
      <c r="H291" s="8"/>
      <c r="I291" s="8"/>
      <c r="J291" s="8"/>
      <c r="K291" s="8"/>
      <c r="L291" s="8"/>
      <c r="M291" s="8"/>
      <c r="N291" s="8"/>
      <c r="O291" s="8"/>
      <c r="P291" s="8"/>
    </row>
    <row r="292" spans="1:16" ht="12.75" customHeight="1">
      <c r="A292" s="8"/>
      <c r="B292" s="8"/>
      <c r="C292" s="30"/>
      <c r="D292" s="8"/>
      <c r="E292" s="8"/>
      <c r="F292" s="8"/>
      <c r="G292" s="8"/>
      <c r="H292" s="8"/>
      <c r="I292" s="8"/>
      <c r="J292" s="8"/>
      <c r="K292" s="8"/>
      <c r="L292" s="8"/>
      <c r="M292" s="8"/>
      <c r="N292" s="8"/>
      <c r="O292" s="8"/>
      <c r="P292" s="8"/>
    </row>
    <row r="293" spans="1:16" ht="12.75" customHeight="1">
      <c r="A293" s="8"/>
      <c r="B293" s="8"/>
      <c r="C293" s="30"/>
      <c r="D293" s="8"/>
      <c r="E293" s="8"/>
      <c r="F293" s="8"/>
      <c r="G293" s="8"/>
      <c r="H293" s="8"/>
      <c r="I293" s="8"/>
      <c r="J293" s="8"/>
      <c r="K293" s="8"/>
      <c r="L293" s="8"/>
      <c r="M293" s="8"/>
      <c r="N293" s="8"/>
      <c r="O293" s="8"/>
      <c r="P293" s="8"/>
    </row>
    <row r="294" spans="1:16" ht="12.75" customHeight="1">
      <c r="A294" s="8"/>
      <c r="B294" s="8"/>
      <c r="C294" s="30"/>
      <c r="D294" s="8"/>
      <c r="E294" s="8"/>
      <c r="F294" s="8"/>
      <c r="G294" s="8"/>
      <c r="H294" s="8"/>
      <c r="I294" s="8"/>
      <c r="J294" s="8"/>
      <c r="K294" s="8"/>
      <c r="L294" s="8"/>
      <c r="M294" s="8"/>
      <c r="N294" s="8"/>
      <c r="O294" s="8"/>
      <c r="P294" s="8"/>
    </row>
    <row r="295" spans="1:16" ht="12.75" customHeight="1">
      <c r="A295" s="8"/>
      <c r="B295" s="8"/>
      <c r="C295" s="30"/>
      <c r="D295" s="8"/>
      <c r="E295" s="8"/>
      <c r="F295" s="8"/>
      <c r="G295" s="8"/>
      <c r="H295" s="8"/>
      <c r="I295" s="8"/>
      <c r="J295" s="8"/>
      <c r="K295" s="8"/>
      <c r="L295" s="8"/>
      <c r="M295" s="8"/>
      <c r="N295" s="8"/>
      <c r="O295" s="8"/>
      <c r="P295" s="8"/>
    </row>
    <row r="296" spans="1:16" ht="12.75" customHeight="1">
      <c r="A296" s="8"/>
      <c r="B296" s="8"/>
      <c r="C296" s="30"/>
      <c r="D296" s="8"/>
      <c r="E296" s="8"/>
      <c r="F296" s="8"/>
      <c r="G296" s="8"/>
      <c r="H296" s="8"/>
      <c r="I296" s="8"/>
      <c r="J296" s="8"/>
      <c r="K296" s="8"/>
      <c r="L296" s="8"/>
      <c r="M296" s="8"/>
      <c r="N296" s="8"/>
      <c r="O296" s="8"/>
      <c r="P296" s="8"/>
    </row>
    <row r="297" spans="1:16" ht="12.75" customHeight="1">
      <c r="A297" s="8"/>
      <c r="B297" s="8"/>
      <c r="C297" s="30"/>
      <c r="D297" s="8"/>
      <c r="E297" s="8"/>
      <c r="F297" s="8"/>
      <c r="G297" s="8"/>
      <c r="H297" s="8"/>
      <c r="I297" s="8"/>
      <c r="J297" s="8"/>
      <c r="K297" s="8"/>
      <c r="L297" s="8"/>
      <c r="M297" s="8"/>
      <c r="N297" s="8"/>
      <c r="O297" s="8"/>
      <c r="P297" s="8"/>
    </row>
    <row r="298" spans="1:16" ht="12.75" customHeight="1">
      <c r="A298" s="8"/>
      <c r="B298" s="8"/>
      <c r="C298" s="30"/>
      <c r="D298" s="8"/>
      <c r="E298" s="8"/>
      <c r="F298" s="8"/>
      <c r="G298" s="8"/>
      <c r="H298" s="8"/>
      <c r="I298" s="8"/>
      <c r="J298" s="8"/>
      <c r="K298" s="8"/>
      <c r="L298" s="8"/>
      <c r="M298" s="8"/>
      <c r="N298" s="8"/>
      <c r="O298" s="8"/>
      <c r="P298" s="8"/>
    </row>
    <row r="299" spans="1:16" ht="12.75" customHeight="1">
      <c r="A299" s="8"/>
      <c r="B299" s="8"/>
      <c r="C299" s="30"/>
      <c r="D299" s="8"/>
      <c r="E299" s="8"/>
      <c r="F299" s="8"/>
      <c r="G299" s="8"/>
      <c r="H299" s="8"/>
      <c r="I299" s="8"/>
      <c r="J299" s="8"/>
      <c r="K299" s="8"/>
      <c r="L299" s="8"/>
      <c r="M299" s="8"/>
      <c r="N299" s="8"/>
      <c r="O299" s="8"/>
      <c r="P299" s="8"/>
    </row>
    <row r="300" spans="1:16" ht="12.75" customHeight="1">
      <c r="A300" s="8"/>
      <c r="B300" s="8"/>
      <c r="C300" s="30"/>
      <c r="D300" s="8"/>
      <c r="E300" s="8"/>
      <c r="F300" s="8"/>
      <c r="G300" s="8"/>
      <c r="H300" s="8"/>
      <c r="I300" s="8"/>
      <c r="J300" s="8"/>
      <c r="K300" s="8"/>
      <c r="L300" s="8"/>
      <c r="M300" s="8"/>
      <c r="N300" s="8"/>
      <c r="O300" s="8"/>
      <c r="P300" s="8"/>
    </row>
    <row r="301" spans="1:16" ht="12.75" customHeight="1">
      <c r="A301" s="8"/>
      <c r="B301" s="8"/>
      <c r="C301" s="30"/>
      <c r="D301" s="8"/>
      <c r="E301" s="8"/>
      <c r="F301" s="8"/>
      <c r="G301" s="8"/>
      <c r="H301" s="8"/>
      <c r="I301" s="8"/>
      <c r="J301" s="8"/>
      <c r="K301" s="8"/>
      <c r="L301" s="8"/>
      <c r="M301" s="8"/>
      <c r="N301" s="8"/>
      <c r="O301" s="8"/>
      <c r="P301" s="8"/>
    </row>
    <row r="302" spans="1:16" ht="12.75" customHeight="1">
      <c r="A302" s="8"/>
      <c r="B302" s="8"/>
      <c r="C302" s="30"/>
      <c r="D302" s="8"/>
      <c r="E302" s="8"/>
      <c r="F302" s="8"/>
      <c r="G302" s="8"/>
      <c r="H302" s="8"/>
      <c r="I302" s="8"/>
      <c r="J302" s="8"/>
      <c r="K302" s="8"/>
      <c r="L302" s="8"/>
      <c r="M302" s="8"/>
      <c r="N302" s="8"/>
      <c r="O302" s="8"/>
      <c r="P302" s="8"/>
    </row>
    <row r="303" spans="1:16" ht="12.75" customHeight="1">
      <c r="A303" s="8"/>
      <c r="B303" s="8"/>
      <c r="C303" s="30"/>
      <c r="D303" s="8"/>
      <c r="E303" s="8"/>
      <c r="F303" s="8"/>
      <c r="G303" s="8"/>
      <c r="H303" s="8"/>
      <c r="I303" s="8"/>
      <c r="J303" s="8"/>
      <c r="K303" s="8"/>
      <c r="L303" s="8"/>
      <c r="M303" s="8"/>
      <c r="N303" s="8"/>
      <c r="O303" s="8"/>
      <c r="P303" s="8"/>
    </row>
    <row r="304" spans="1:16" ht="12.75" customHeight="1">
      <c r="A304" s="8"/>
      <c r="B304" s="8"/>
      <c r="C304" s="30"/>
      <c r="D304" s="8"/>
      <c r="E304" s="8"/>
      <c r="F304" s="8"/>
      <c r="G304" s="8"/>
      <c r="H304" s="8"/>
      <c r="I304" s="8"/>
      <c r="J304" s="8"/>
      <c r="K304" s="8"/>
      <c r="L304" s="8"/>
      <c r="M304" s="8"/>
      <c r="N304" s="8"/>
      <c r="O304" s="8"/>
      <c r="P304" s="8"/>
    </row>
    <row r="305" spans="1:16" ht="12.75" customHeight="1">
      <c r="A305" s="8"/>
      <c r="B305" s="8"/>
      <c r="C305" s="30"/>
      <c r="D305" s="8"/>
      <c r="E305" s="8"/>
      <c r="F305" s="8"/>
      <c r="G305" s="8"/>
      <c r="H305" s="8"/>
      <c r="I305" s="8"/>
      <c r="J305" s="8"/>
      <c r="K305" s="8"/>
      <c r="L305" s="8"/>
      <c r="M305" s="8"/>
      <c r="N305" s="8"/>
      <c r="O305" s="8"/>
      <c r="P305" s="8"/>
    </row>
    <row r="306" spans="1:16" ht="12.75" customHeight="1">
      <c r="A306" s="8"/>
      <c r="B306" s="8"/>
      <c r="C306" s="30"/>
      <c r="D306" s="8"/>
      <c r="E306" s="8"/>
      <c r="F306" s="8"/>
      <c r="G306" s="8"/>
      <c r="H306" s="8"/>
      <c r="I306" s="8"/>
      <c r="J306" s="8"/>
      <c r="K306" s="8"/>
      <c r="L306" s="8"/>
      <c r="M306" s="8"/>
      <c r="N306" s="8"/>
      <c r="O306" s="8"/>
      <c r="P306" s="8"/>
    </row>
    <row r="307" spans="1:16" ht="12.75" customHeight="1">
      <c r="A307" s="8"/>
      <c r="B307" s="8"/>
      <c r="C307" s="30"/>
      <c r="D307" s="8"/>
      <c r="E307" s="8"/>
      <c r="F307" s="8"/>
      <c r="G307" s="8"/>
      <c r="H307" s="8"/>
      <c r="I307" s="8"/>
      <c r="J307" s="8"/>
      <c r="K307" s="8"/>
      <c r="L307" s="8"/>
      <c r="M307" s="8"/>
      <c r="N307" s="8"/>
      <c r="O307" s="8"/>
      <c r="P307" s="8"/>
    </row>
    <row r="308" spans="1:16" ht="12.75" customHeight="1">
      <c r="A308" s="8"/>
      <c r="B308" s="8"/>
      <c r="C308" s="30"/>
      <c r="D308" s="8"/>
      <c r="E308" s="8"/>
      <c r="F308" s="8"/>
      <c r="G308" s="8"/>
      <c r="H308" s="8"/>
      <c r="I308" s="8"/>
      <c r="J308" s="8"/>
      <c r="K308" s="8"/>
      <c r="L308" s="8"/>
      <c r="M308" s="8"/>
      <c r="N308" s="8"/>
      <c r="O308" s="8"/>
      <c r="P308" s="8"/>
    </row>
    <row r="309" spans="1:16" ht="12.75" customHeight="1">
      <c r="A309" s="8"/>
      <c r="B309" s="8"/>
      <c r="C309" s="30"/>
      <c r="D309" s="8"/>
      <c r="E309" s="8"/>
      <c r="F309" s="8"/>
      <c r="G309" s="8"/>
      <c r="H309" s="8"/>
      <c r="I309" s="8"/>
      <c r="J309" s="8"/>
      <c r="K309" s="8"/>
      <c r="L309" s="8"/>
      <c r="M309" s="8"/>
      <c r="N309" s="8"/>
      <c r="O309" s="8"/>
      <c r="P309" s="8"/>
    </row>
    <row r="310" spans="1:16" ht="12.75" customHeight="1">
      <c r="A310" s="8"/>
      <c r="B310" s="8"/>
      <c r="C310" s="30"/>
      <c r="D310" s="8"/>
      <c r="E310" s="8"/>
      <c r="F310" s="8"/>
      <c r="G310" s="8"/>
      <c r="H310" s="8"/>
      <c r="I310" s="8"/>
      <c r="J310" s="8"/>
      <c r="K310" s="8"/>
      <c r="L310" s="8"/>
      <c r="M310" s="8"/>
      <c r="N310" s="8"/>
      <c r="O310" s="8"/>
      <c r="P310" s="8"/>
    </row>
    <row r="311" spans="1:16" ht="12.75" customHeight="1">
      <c r="A311" s="8"/>
      <c r="B311" s="8"/>
      <c r="C311" s="30"/>
      <c r="D311" s="8"/>
      <c r="E311" s="8"/>
      <c r="F311" s="8"/>
      <c r="G311" s="8"/>
      <c r="H311" s="8"/>
      <c r="I311" s="8"/>
      <c r="J311" s="8"/>
      <c r="K311" s="8"/>
      <c r="L311" s="8"/>
      <c r="M311" s="8"/>
      <c r="N311" s="8"/>
      <c r="O311" s="8"/>
      <c r="P311" s="8"/>
    </row>
    <row r="312" spans="1:16" ht="12.75" customHeight="1">
      <c r="A312" s="8"/>
      <c r="B312" s="8"/>
      <c r="C312" s="30"/>
      <c r="D312" s="8"/>
      <c r="E312" s="8"/>
      <c r="F312" s="8"/>
      <c r="G312" s="8"/>
      <c r="H312" s="8"/>
      <c r="I312" s="8"/>
      <c r="J312" s="8"/>
      <c r="K312" s="8"/>
      <c r="L312" s="8"/>
      <c r="M312" s="8"/>
      <c r="N312" s="8"/>
      <c r="O312" s="8"/>
      <c r="P312" s="8"/>
    </row>
    <row r="313" spans="1:16" ht="12.75" customHeight="1">
      <c r="A313" s="8"/>
      <c r="B313" s="8"/>
      <c r="C313" s="30"/>
      <c r="D313" s="8"/>
      <c r="E313" s="8"/>
      <c r="F313" s="8"/>
      <c r="G313" s="8"/>
      <c r="H313" s="8"/>
      <c r="I313" s="8"/>
      <c r="J313" s="8"/>
      <c r="K313" s="8"/>
      <c r="L313" s="8"/>
      <c r="M313" s="8"/>
      <c r="N313" s="8"/>
      <c r="O313" s="8"/>
      <c r="P313" s="8"/>
    </row>
    <row r="314" spans="1:16" ht="12.75" customHeight="1">
      <c r="A314" s="8"/>
      <c r="B314" s="8"/>
      <c r="C314" s="30"/>
      <c r="D314" s="8"/>
      <c r="E314" s="8"/>
      <c r="F314" s="8"/>
      <c r="G314" s="8"/>
      <c r="H314" s="8"/>
      <c r="I314" s="8"/>
      <c r="J314" s="8"/>
      <c r="K314" s="8"/>
      <c r="L314" s="8"/>
      <c r="M314" s="8"/>
      <c r="N314" s="8"/>
      <c r="O314" s="8"/>
      <c r="P314" s="8"/>
    </row>
    <row r="315" spans="1:16" ht="12.75" customHeight="1">
      <c r="A315" s="8"/>
      <c r="B315" s="8"/>
      <c r="C315" s="30"/>
      <c r="D315" s="8"/>
      <c r="E315" s="8"/>
      <c r="F315" s="8"/>
      <c r="G315" s="8"/>
      <c r="H315" s="8"/>
      <c r="I315" s="8"/>
      <c r="J315" s="8"/>
      <c r="K315" s="8"/>
      <c r="L315" s="8"/>
      <c r="M315" s="8"/>
      <c r="N315" s="8"/>
      <c r="O315" s="8"/>
      <c r="P315" s="8"/>
    </row>
    <row r="316" spans="1:16" ht="12.75" customHeight="1">
      <c r="A316" s="8"/>
      <c r="B316" s="8"/>
      <c r="C316" s="30"/>
      <c r="D316" s="8"/>
      <c r="E316" s="8"/>
      <c r="F316" s="8"/>
      <c r="G316" s="8"/>
      <c r="H316" s="8"/>
      <c r="I316" s="8"/>
      <c r="J316" s="8"/>
      <c r="K316" s="8"/>
      <c r="L316" s="8"/>
      <c r="M316" s="8"/>
      <c r="N316" s="8"/>
      <c r="O316" s="8"/>
      <c r="P316" s="8"/>
    </row>
    <row r="317" spans="1:16" ht="12.75" customHeight="1">
      <c r="A317" s="8"/>
      <c r="B317" s="8"/>
      <c r="C317" s="30"/>
      <c r="D317" s="8"/>
      <c r="E317" s="8"/>
      <c r="F317" s="8"/>
      <c r="G317" s="8"/>
      <c r="H317" s="8"/>
      <c r="I317" s="8"/>
      <c r="J317" s="8"/>
      <c r="K317" s="8"/>
      <c r="L317" s="8"/>
      <c r="M317" s="8"/>
      <c r="N317" s="8"/>
      <c r="O317" s="8"/>
      <c r="P317" s="8"/>
    </row>
    <row r="318" spans="1:16" ht="12.75" customHeight="1">
      <c r="A318" s="8"/>
      <c r="B318" s="8"/>
      <c r="C318" s="30"/>
      <c r="D318" s="8"/>
      <c r="E318" s="8"/>
      <c r="F318" s="8"/>
      <c r="G318" s="8"/>
      <c r="H318" s="8"/>
      <c r="I318" s="8"/>
      <c r="J318" s="8"/>
      <c r="K318" s="8"/>
      <c r="L318" s="8"/>
      <c r="M318" s="8"/>
      <c r="N318" s="8"/>
      <c r="O318" s="8"/>
      <c r="P318" s="8"/>
    </row>
    <row r="319" spans="1:16" ht="12.75" customHeight="1">
      <c r="A319" s="8"/>
      <c r="B319" s="8"/>
      <c r="C319" s="30"/>
      <c r="D319" s="8"/>
      <c r="E319" s="8"/>
      <c r="F319" s="8"/>
      <c r="G319" s="8"/>
      <c r="H319" s="8"/>
      <c r="I319" s="8"/>
      <c r="J319" s="8"/>
      <c r="K319" s="8"/>
      <c r="L319" s="8"/>
      <c r="M319" s="8"/>
      <c r="N319" s="8"/>
      <c r="O319" s="8"/>
      <c r="P319" s="8"/>
    </row>
    <row r="320" spans="1:16" ht="12.75" customHeight="1">
      <c r="A320" s="8"/>
      <c r="B320" s="8"/>
      <c r="C320" s="30"/>
      <c r="D320" s="8"/>
      <c r="E320" s="8"/>
      <c r="F320" s="8"/>
      <c r="G320" s="8"/>
      <c r="H320" s="8"/>
      <c r="I320" s="8"/>
      <c r="J320" s="8"/>
      <c r="K320" s="8"/>
      <c r="L320" s="8"/>
      <c r="M320" s="8"/>
      <c r="N320" s="8"/>
      <c r="O320" s="8"/>
      <c r="P320" s="8"/>
    </row>
    <row r="321" spans="1:16" ht="12.75" customHeight="1">
      <c r="A321" s="8"/>
      <c r="B321" s="8"/>
      <c r="C321" s="30"/>
      <c r="D321" s="8"/>
      <c r="E321" s="8"/>
      <c r="F321" s="8"/>
      <c r="G321" s="8"/>
      <c r="H321" s="8"/>
      <c r="I321" s="8"/>
      <c r="J321" s="8"/>
      <c r="K321" s="8"/>
      <c r="L321" s="8"/>
      <c r="M321" s="8"/>
      <c r="N321" s="8"/>
      <c r="O321" s="8"/>
      <c r="P321" s="8"/>
    </row>
    <row r="322" spans="1:16" ht="12.75" customHeight="1">
      <c r="A322" s="8"/>
      <c r="B322" s="8"/>
      <c r="C322" s="30"/>
      <c r="D322" s="8"/>
      <c r="E322" s="8"/>
      <c r="F322" s="8"/>
      <c r="G322" s="8"/>
      <c r="H322" s="8"/>
      <c r="I322" s="8"/>
      <c r="J322" s="8"/>
      <c r="K322" s="8"/>
      <c r="L322" s="8"/>
      <c r="M322" s="8"/>
      <c r="N322" s="8"/>
      <c r="O322" s="8"/>
      <c r="P322" s="8"/>
    </row>
    <row r="323" spans="1:16" ht="12.75" customHeight="1">
      <c r="A323" s="8"/>
      <c r="B323" s="8"/>
      <c r="C323" s="30"/>
      <c r="D323" s="8"/>
      <c r="E323" s="8"/>
      <c r="F323" s="8"/>
      <c r="G323" s="8"/>
      <c r="H323" s="8"/>
      <c r="I323" s="8"/>
      <c r="J323" s="8"/>
      <c r="K323" s="8"/>
      <c r="L323" s="8"/>
      <c r="M323" s="8"/>
      <c r="N323" s="8"/>
      <c r="O323" s="8"/>
      <c r="P323" s="8"/>
    </row>
    <row r="324" spans="1:16" ht="12.75" customHeight="1">
      <c r="A324" s="8"/>
      <c r="B324" s="8"/>
      <c r="C324" s="30"/>
      <c r="D324" s="8"/>
      <c r="E324" s="8"/>
      <c r="F324" s="8"/>
      <c r="G324" s="8"/>
      <c r="H324" s="8"/>
      <c r="I324" s="8"/>
      <c r="J324" s="8"/>
      <c r="K324" s="8"/>
      <c r="L324" s="8"/>
      <c r="M324" s="8"/>
      <c r="N324" s="8"/>
      <c r="O324" s="8"/>
      <c r="P324" s="8"/>
    </row>
    <row r="325" spans="1:16" ht="12.75" customHeight="1">
      <c r="A325" s="8"/>
      <c r="B325" s="8"/>
      <c r="C325" s="30"/>
      <c r="D325" s="8"/>
      <c r="E325" s="8"/>
      <c r="F325" s="8"/>
      <c r="G325" s="8"/>
      <c r="H325" s="8"/>
      <c r="I325" s="8"/>
      <c r="J325" s="8"/>
      <c r="K325" s="8"/>
      <c r="L325" s="8"/>
      <c r="M325" s="8"/>
      <c r="N325" s="8"/>
      <c r="O325" s="8"/>
      <c r="P325" s="8"/>
    </row>
    <row r="326" spans="1:16" ht="12.75" customHeight="1">
      <c r="A326" s="8"/>
      <c r="B326" s="8"/>
      <c r="C326" s="30"/>
      <c r="D326" s="8"/>
      <c r="E326" s="8"/>
      <c r="F326" s="8"/>
      <c r="G326" s="8"/>
      <c r="H326" s="8"/>
      <c r="I326" s="8"/>
      <c r="J326" s="8"/>
      <c r="K326" s="8"/>
      <c r="L326" s="8"/>
      <c r="M326" s="8"/>
      <c r="N326" s="8"/>
      <c r="O326" s="8"/>
      <c r="P326" s="8"/>
    </row>
    <row r="327" spans="1:16" ht="12.75" customHeight="1">
      <c r="A327" s="8"/>
      <c r="B327" s="8"/>
      <c r="C327" s="30"/>
      <c r="D327" s="8"/>
      <c r="E327" s="8"/>
      <c r="F327" s="8"/>
      <c r="G327" s="8"/>
      <c r="H327" s="8"/>
      <c r="I327" s="8"/>
      <c r="J327" s="8"/>
      <c r="K327" s="8"/>
      <c r="L327" s="8"/>
      <c r="M327" s="8"/>
      <c r="N327" s="8"/>
      <c r="O327" s="8"/>
      <c r="P327" s="8"/>
    </row>
    <row r="328" spans="1:16" ht="12.75" customHeight="1">
      <c r="A328" s="8"/>
      <c r="B328" s="8"/>
      <c r="C328" s="30"/>
      <c r="D328" s="8"/>
      <c r="E328" s="8"/>
      <c r="F328" s="8"/>
      <c r="G328" s="8"/>
      <c r="H328" s="8"/>
      <c r="I328" s="8"/>
      <c r="J328" s="8"/>
      <c r="K328" s="8"/>
      <c r="L328" s="8"/>
      <c r="M328" s="8"/>
      <c r="N328" s="8"/>
      <c r="O328" s="8"/>
      <c r="P328" s="8"/>
    </row>
    <row r="329" spans="1:16" ht="12.75" customHeight="1">
      <c r="A329" s="8"/>
      <c r="B329" s="8"/>
      <c r="C329" s="30"/>
      <c r="D329" s="8"/>
      <c r="E329" s="8"/>
      <c r="F329" s="8"/>
      <c r="G329" s="8"/>
      <c r="H329" s="8"/>
      <c r="I329" s="8"/>
      <c r="J329" s="8"/>
      <c r="K329" s="8"/>
      <c r="L329" s="8"/>
      <c r="M329" s="8"/>
      <c r="N329" s="8"/>
      <c r="O329" s="8"/>
      <c r="P329" s="8"/>
    </row>
    <row r="330" spans="1:16" ht="12.75" customHeight="1">
      <c r="A330" s="8"/>
      <c r="B330" s="8"/>
      <c r="C330" s="30"/>
      <c r="D330" s="8"/>
      <c r="E330" s="8"/>
      <c r="F330" s="8"/>
      <c r="G330" s="8"/>
      <c r="H330" s="8"/>
      <c r="I330" s="8"/>
      <c r="J330" s="8"/>
      <c r="K330" s="8"/>
      <c r="L330" s="8"/>
      <c r="M330" s="8"/>
      <c r="N330" s="8"/>
      <c r="O330" s="8"/>
      <c r="P330" s="8"/>
    </row>
    <row r="331" spans="1:16" ht="12.75" customHeight="1">
      <c r="A331" s="8"/>
      <c r="B331" s="8"/>
      <c r="C331" s="30"/>
      <c r="D331" s="8"/>
      <c r="E331" s="8"/>
      <c r="F331" s="8"/>
      <c r="G331" s="8"/>
      <c r="H331" s="8"/>
      <c r="I331" s="8"/>
      <c r="J331" s="8"/>
      <c r="K331" s="8"/>
      <c r="L331" s="8"/>
      <c r="M331" s="8"/>
      <c r="N331" s="8"/>
      <c r="O331" s="8"/>
      <c r="P331" s="8"/>
    </row>
    <row r="332" spans="1:16" ht="12.75" customHeight="1">
      <c r="A332" s="8"/>
      <c r="B332" s="8"/>
      <c r="C332" s="30"/>
      <c r="D332" s="8"/>
      <c r="E332" s="8"/>
      <c r="F332" s="8"/>
      <c r="G332" s="8"/>
      <c r="H332" s="8"/>
      <c r="I332" s="8"/>
      <c r="J332" s="8"/>
      <c r="K332" s="8"/>
      <c r="L332" s="8"/>
      <c r="M332" s="8"/>
      <c r="N332" s="8"/>
      <c r="O332" s="8"/>
      <c r="P332" s="8"/>
    </row>
    <row r="333" spans="1:16" ht="12.75" customHeight="1">
      <c r="A333" s="8"/>
      <c r="B333" s="8"/>
      <c r="C333" s="30"/>
      <c r="D333" s="8"/>
      <c r="E333" s="8"/>
      <c r="F333" s="8"/>
      <c r="G333" s="8"/>
      <c r="H333" s="8"/>
      <c r="I333" s="8"/>
      <c r="J333" s="8"/>
      <c r="K333" s="8"/>
      <c r="L333" s="8"/>
      <c r="M333" s="8"/>
      <c r="N333" s="8"/>
      <c r="O333" s="8"/>
      <c r="P333" s="8"/>
    </row>
    <row r="334" spans="1:16" ht="12.75" customHeight="1">
      <c r="A334" s="8"/>
      <c r="B334" s="8"/>
      <c r="C334" s="30"/>
      <c r="D334" s="8"/>
      <c r="E334" s="8"/>
      <c r="F334" s="8"/>
      <c r="G334" s="8"/>
      <c r="H334" s="8"/>
      <c r="I334" s="8"/>
      <c r="J334" s="8"/>
      <c r="K334" s="8"/>
      <c r="L334" s="8"/>
      <c r="M334" s="8"/>
      <c r="N334" s="8"/>
      <c r="O334" s="8"/>
      <c r="P334" s="8"/>
    </row>
    <row r="335" spans="1:16" ht="12.75" customHeight="1">
      <c r="A335" s="8"/>
      <c r="B335" s="8"/>
      <c r="C335" s="30"/>
      <c r="D335" s="8"/>
      <c r="E335" s="8"/>
      <c r="F335" s="8"/>
      <c r="G335" s="8"/>
      <c r="H335" s="8"/>
      <c r="I335" s="8"/>
      <c r="J335" s="8"/>
      <c r="K335" s="8"/>
      <c r="L335" s="8"/>
      <c r="M335" s="8"/>
      <c r="N335" s="8"/>
      <c r="O335" s="8"/>
      <c r="P335" s="8"/>
    </row>
    <row r="336" spans="1:16" ht="12.75" customHeight="1">
      <c r="A336" s="8"/>
      <c r="B336" s="8"/>
      <c r="C336" s="30"/>
      <c r="D336" s="8"/>
      <c r="E336" s="8"/>
      <c r="F336" s="8"/>
      <c r="G336" s="8"/>
      <c r="H336" s="8"/>
      <c r="I336" s="8"/>
      <c r="J336" s="8"/>
      <c r="K336" s="8"/>
      <c r="L336" s="8"/>
      <c r="M336" s="8"/>
      <c r="N336" s="8"/>
      <c r="O336" s="8"/>
      <c r="P336" s="8"/>
    </row>
    <row r="337" spans="1:16" ht="12.75" customHeight="1">
      <c r="A337" s="8"/>
      <c r="B337" s="8"/>
      <c r="C337" s="30"/>
      <c r="D337" s="8"/>
      <c r="E337" s="8"/>
      <c r="F337" s="8"/>
      <c r="G337" s="8"/>
      <c r="H337" s="8"/>
      <c r="I337" s="8"/>
      <c r="J337" s="8"/>
      <c r="K337" s="8"/>
      <c r="L337" s="8"/>
      <c r="M337" s="8"/>
      <c r="N337" s="8"/>
      <c r="O337" s="8"/>
      <c r="P337" s="8"/>
    </row>
    <row r="338" spans="1:16" ht="12.75" customHeight="1">
      <c r="A338" s="8"/>
      <c r="B338" s="8"/>
      <c r="C338" s="30"/>
      <c r="D338" s="8"/>
      <c r="E338" s="8"/>
      <c r="F338" s="8"/>
      <c r="G338" s="8"/>
      <c r="H338" s="8"/>
      <c r="I338" s="8"/>
      <c r="J338" s="8"/>
      <c r="K338" s="8"/>
      <c r="L338" s="8"/>
      <c r="M338" s="8"/>
      <c r="N338" s="8"/>
      <c r="O338" s="8"/>
      <c r="P338" s="8"/>
    </row>
    <row r="339" spans="1:16" ht="12.75" customHeight="1">
      <c r="A339" s="8"/>
      <c r="B339" s="8"/>
      <c r="C339" s="30"/>
      <c r="D339" s="8"/>
      <c r="E339" s="8"/>
      <c r="F339" s="8"/>
      <c r="G339" s="8"/>
      <c r="H339" s="8"/>
      <c r="I339" s="8"/>
      <c r="J339" s="8"/>
      <c r="K339" s="8"/>
      <c r="L339" s="8"/>
      <c r="M339" s="8"/>
      <c r="N339" s="8"/>
      <c r="O339" s="8"/>
      <c r="P339" s="8"/>
    </row>
    <row r="340" spans="1:16" ht="12.75" customHeight="1">
      <c r="A340" s="8"/>
      <c r="B340" s="8"/>
      <c r="C340" s="30"/>
      <c r="D340" s="8"/>
      <c r="E340" s="8"/>
      <c r="F340" s="8"/>
      <c r="G340" s="8"/>
      <c r="H340" s="8"/>
      <c r="I340" s="8"/>
      <c r="J340" s="8"/>
      <c r="K340" s="8"/>
      <c r="L340" s="8"/>
      <c r="M340" s="8"/>
      <c r="N340" s="8"/>
      <c r="O340" s="8"/>
      <c r="P340" s="8"/>
    </row>
    <row r="341" spans="1:16" ht="12.75" customHeight="1">
      <c r="A341" s="8"/>
      <c r="B341" s="8"/>
      <c r="C341" s="30"/>
      <c r="D341" s="8"/>
      <c r="E341" s="8"/>
      <c r="F341" s="8"/>
      <c r="G341" s="8"/>
      <c r="H341" s="8"/>
      <c r="I341" s="8"/>
      <c r="J341" s="8"/>
      <c r="K341" s="8"/>
      <c r="L341" s="8"/>
      <c r="M341" s="8"/>
      <c r="N341" s="8"/>
      <c r="O341" s="8"/>
      <c r="P341" s="8"/>
    </row>
    <row r="342" spans="1:16" ht="12.75" customHeight="1">
      <c r="A342" s="8"/>
      <c r="B342" s="8"/>
      <c r="C342" s="30"/>
      <c r="D342" s="8"/>
      <c r="E342" s="8"/>
      <c r="F342" s="8"/>
      <c r="G342" s="8"/>
      <c r="H342" s="8"/>
      <c r="I342" s="8"/>
      <c r="J342" s="8"/>
      <c r="K342" s="8"/>
      <c r="L342" s="8"/>
      <c r="M342" s="8"/>
      <c r="N342" s="8"/>
      <c r="O342" s="8"/>
      <c r="P342" s="8"/>
    </row>
    <row r="343" spans="1:16" ht="12.75" customHeight="1">
      <c r="A343" s="8"/>
      <c r="B343" s="8"/>
      <c r="C343" s="30"/>
      <c r="D343" s="8"/>
      <c r="E343" s="8"/>
      <c r="F343" s="8"/>
      <c r="G343" s="8"/>
      <c r="H343" s="8"/>
      <c r="I343" s="8"/>
      <c r="J343" s="8"/>
      <c r="K343" s="8"/>
      <c r="L343" s="8"/>
      <c r="M343" s="8"/>
      <c r="N343" s="8"/>
      <c r="O343" s="8"/>
      <c r="P343" s="8"/>
    </row>
    <row r="344" spans="1:16" ht="12.75" customHeight="1">
      <c r="A344" s="8"/>
      <c r="B344" s="8"/>
      <c r="C344" s="30"/>
      <c r="D344" s="8"/>
      <c r="E344" s="8"/>
      <c r="F344" s="8"/>
      <c r="G344" s="8"/>
      <c r="H344" s="8"/>
      <c r="I344" s="8"/>
      <c r="J344" s="8"/>
      <c r="K344" s="8"/>
      <c r="L344" s="8"/>
      <c r="M344" s="8"/>
      <c r="N344" s="8"/>
      <c r="O344" s="8"/>
      <c r="P344" s="8"/>
    </row>
    <row r="345" spans="1:16" ht="12.75" customHeight="1">
      <c r="A345" s="8"/>
      <c r="B345" s="8"/>
      <c r="C345" s="30"/>
      <c r="D345" s="8"/>
      <c r="E345" s="8"/>
      <c r="F345" s="8"/>
      <c r="G345" s="8"/>
      <c r="H345" s="8"/>
      <c r="I345" s="8"/>
      <c r="J345" s="8"/>
      <c r="K345" s="8"/>
      <c r="L345" s="8"/>
      <c r="M345" s="8"/>
      <c r="N345" s="8"/>
      <c r="O345" s="8"/>
      <c r="P345" s="8"/>
    </row>
    <row r="346" spans="1:16" ht="12.75" customHeight="1">
      <c r="A346" s="8"/>
      <c r="B346" s="8"/>
      <c r="C346" s="30"/>
      <c r="D346" s="8"/>
      <c r="E346" s="8"/>
      <c r="F346" s="8"/>
      <c r="G346" s="8"/>
      <c r="H346" s="8"/>
      <c r="I346" s="8"/>
      <c r="J346" s="8"/>
      <c r="K346" s="8"/>
      <c r="L346" s="8"/>
      <c r="M346" s="8"/>
      <c r="N346" s="8"/>
      <c r="O346" s="8"/>
      <c r="P346" s="8"/>
    </row>
    <row r="347" spans="1:16" ht="12.75" customHeight="1">
      <c r="A347" s="8"/>
      <c r="B347" s="8"/>
      <c r="C347" s="30"/>
      <c r="D347" s="8"/>
      <c r="E347" s="8"/>
      <c r="F347" s="8"/>
      <c r="G347" s="8"/>
      <c r="H347" s="8"/>
      <c r="I347" s="8"/>
      <c r="J347" s="8"/>
      <c r="K347" s="8"/>
      <c r="L347" s="8"/>
      <c r="M347" s="8"/>
      <c r="N347" s="8"/>
      <c r="O347" s="8"/>
      <c r="P347" s="8"/>
    </row>
    <row r="348" spans="1:16" ht="12.75" customHeight="1">
      <c r="A348" s="8"/>
      <c r="B348" s="8"/>
      <c r="C348" s="30"/>
      <c r="D348" s="8"/>
      <c r="E348" s="8"/>
      <c r="F348" s="8"/>
      <c r="G348" s="8"/>
      <c r="H348" s="8"/>
      <c r="I348" s="8"/>
      <c r="J348" s="8"/>
      <c r="K348" s="8"/>
      <c r="L348" s="8"/>
      <c r="M348" s="8"/>
      <c r="N348" s="8"/>
      <c r="O348" s="8"/>
      <c r="P348" s="8"/>
    </row>
    <row r="349" spans="1:16" ht="12.75" customHeight="1">
      <c r="A349" s="8"/>
      <c r="B349" s="8"/>
      <c r="C349" s="30"/>
      <c r="D349" s="8"/>
      <c r="E349" s="8"/>
      <c r="F349" s="8"/>
      <c r="G349" s="8"/>
      <c r="H349" s="8"/>
      <c r="I349" s="8"/>
      <c r="J349" s="8"/>
      <c r="K349" s="8"/>
      <c r="L349" s="8"/>
      <c r="M349" s="8"/>
      <c r="N349" s="8"/>
      <c r="O349" s="8"/>
      <c r="P349" s="8"/>
    </row>
    <row r="350" spans="1:16" ht="12.75" customHeight="1">
      <c r="A350" s="8"/>
      <c r="B350" s="8"/>
      <c r="C350" s="30"/>
      <c r="D350" s="8"/>
      <c r="E350" s="8"/>
      <c r="F350" s="8"/>
      <c r="G350" s="8"/>
      <c r="H350" s="8"/>
      <c r="I350" s="8"/>
      <c r="J350" s="8"/>
      <c r="K350" s="8"/>
      <c r="L350" s="8"/>
      <c r="M350" s="8"/>
      <c r="N350" s="8"/>
      <c r="O350" s="8"/>
      <c r="P350" s="8"/>
    </row>
    <row r="351" spans="1:16" ht="12.75" customHeight="1">
      <c r="A351" s="8"/>
      <c r="B351" s="8"/>
      <c r="C351" s="30"/>
      <c r="D351" s="8"/>
      <c r="E351" s="8"/>
      <c r="F351" s="8"/>
      <c r="G351" s="8"/>
      <c r="H351" s="8"/>
      <c r="I351" s="8"/>
      <c r="J351" s="8"/>
      <c r="K351" s="8"/>
      <c r="L351" s="8"/>
      <c r="M351" s="8"/>
      <c r="N351" s="8"/>
      <c r="O351" s="8"/>
      <c r="P351" s="8"/>
    </row>
    <row r="352" spans="1:16" ht="12.75" customHeight="1">
      <c r="A352" s="8"/>
      <c r="B352" s="8"/>
      <c r="C352" s="30"/>
      <c r="D352" s="8"/>
      <c r="E352" s="8"/>
      <c r="F352" s="8"/>
      <c r="G352" s="8"/>
      <c r="H352" s="8"/>
      <c r="I352" s="8"/>
      <c r="J352" s="8"/>
      <c r="K352" s="8"/>
      <c r="L352" s="8"/>
      <c r="M352" s="8"/>
      <c r="N352" s="8"/>
      <c r="O352" s="8"/>
      <c r="P352" s="8"/>
    </row>
    <row r="353" spans="1:16" ht="12.75" customHeight="1">
      <c r="A353" s="8"/>
      <c r="B353" s="8"/>
      <c r="C353" s="30"/>
      <c r="D353" s="8"/>
      <c r="E353" s="8"/>
      <c r="F353" s="8"/>
      <c r="G353" s="8"/>
      <c r="H353" s="8"/>
      <c r="I353" s="8"/>
      <c r="J353" s="8"/>
      <c r="K353" s="8"/>
      <c r="L353" s="8"/>
      <c r="M353" s="8"/>
      <c r="N353" s="8"/>
      <c r="O353" s="8"/>
      <c r="P353" s="8"/>
    </row>
    <row r="354" spans="1:16" ht="12.75" customHeight="1">
      <c r="A354" s="8"/>
      <c r="B354" s="8"/>
      <c r="C354" s="30"/>
      <c r="D354" s="8"/>
      <c r="E354" s="8"/>
      <c r="F354" s="8"/>
      <c r="G354" s="8"/>
      <c r="H354" s="8"/>
      <c r="I354" s="8"/>
      <c r="J354" s="8"/>
      <c r="K354" s="8"/>
      <c r="L354" s="8"/>
      <c r="M354" s="8"/>
      <c r="N354" s="8"/>
      <c r="O354" s="8"/>
      <c r="P354" s="8"/>
    </row>
    <row r="355" spans="1:16" ht="12.75" customHeight="1">
      <c r="A355" s="8"/>
      <c r="B355" s="8"/>
      <c r="C355" s="30"/>
      <c r="D355" s="8"/>
      <c r="E355" s="8"/>
      <c r="F355" s="8"/>
      <c r="G355" s="8"/>
      <c r="H355" s="8"/>
      <c r="I355" s="8"/>
      <c r="J355" s="8"/>
      <c r="K355" s="8"/>
      <c r="L355" s="8"/>
      <c r="M355" s="8"/>
      <c r="N355" s="8"/>
      <c r="O355" s="8"/>
      <c r="P355" s="8"/>
    </row>
    <row r="356" spans="1:16" ht="12.75" customHeight="1">
      <c r="A356" s="8"/>
      <c r="B356" s="8"/>
      <c r="C356" s="30"/>
      <c r="D356" s="8"/>
      <c r="E356" s="8"/>
      <c r="F356" s="8"/>
      <c r="G356" s="8"/>
      <c r="H356" s="8"/>
      <c r="I356" s="8"/>
      <c r="J356" s="8"/>
      <c r="K356" s="8"/>
      <c r="L356" s="8"/>
      <c r="M356" s="8"/>
      <c r="N356" s="8"/>
      <c r="O356" s="8"/>
      <c r="P356" s="8"/>
    </row>
    <row r="357" spans="1:16" ht="12.75" customHeight="1">
      <c r="A357" s="8"/>
      <c r="B357" s="8"/>
      <c r="C357" s="30"/>
      <c r="D357" s="8"/>
      <c r="E357" s="8"/>
      <c r="F357" s="8"/>
      <c r="G357" s="8"/>
      <c r="H357" s="8"/>
      <c r="I357" s="8"/>
      <c r="J357" s="8"/>
      <c r="K357" s="8"/>
      <c r="L357" s="8"/>
      <c r="M357" s="8"/>
      <c r="N357" s="8"/>
      <c r="O357" s="8"/>
      <c r="P357" s="8"/>
    </row>
    <row r="358" spans="1:16" ht="12.75" customHeight="1">
      <c r="A358" s="8"/>
      <c r="B358" s="8"/>
      <c r="C358" s="30"/>
      <c r="D358" s="8"/>
      <c r="E358" s="8"/>
      <c r="F358" s="8"/>
      <c r="G358" s="8"/>
      <c r="H358" s="8"/>
      <c r="I358" s="8"/>
      <c r="J358" s="8"/>
      <c r="K358" s="8"/>
      <c r="L358" s="8"/>
      <c r="M358" s="8"/>
      <c r="N358" s="8"/>
      <c r="O358" s="8"/>
      <c r="P358" s="8"/>
    </row>
    <row r="359" spans="1:16" ht="12.75" customHeight="1">
      <c r="A359" s="8"/>
      <c r="B359" s="8"/>
      <c r="C359" s="30"/>
      <c r="D359" s="8"/>
      <c r="E359" s="8"/>
      <c r="F359" s="8"/>
      <c r="G359" s="8"/>
      <c r="H359" s="8"/>
      <c r="I359" s="8"/>
      <c r="J359" s="8"/>
      <c r="K359" s="8"/>
      <c r="L359" s="8"/>
      <c r="M359" s="8"/>
      <c r="N359" s="8"/>
      <c r="O359" s="8"/>
      <c r="P359" s="8"/>
    </row>
    <row r="360" spans="1:16" ht="12.75" customHeight="1">
      <c r="A360" s="8"/>
      <c r="B360" s="8"/>
      <c r="C360" s="30"/>
      <c r="D360" s="8"/>
      <c r="E360" s="8"/>
      <c r="F360" s="8"/>
      <c r="G360" s="8"/>
      <c r="H360" s="8"/>
      <c r="I360" s="8"/>
      <c r="J360" s="8"/>
      <c r="K360" s="8"/>
      <c r="L360" s="8"/>
      <c r="M360" s="8"/>
      <c r="N360" s="8"/>
      <c r="O360" s="8"/>
      <c r="P360" s="8"/>
    </row>
    <row r="361" spans="1:16" ht="12.75" customHeight="1">
      <c r="A361" s="8"/>
      <c r="B361" s="8"/>
      <c r="C361" s="30"/>
      <c r="D361" s="8"/>
      <c r="E361" s="8"/>
      <c r="F361" s="8"/>
      <c r="G361" s="8"/>
      <c r="H361" s="8"/>
      <c r="I361" s="8"/>
      <c r="J361" s="8"/>
      <c r="K361" s="8"/>
      <c r="L361" s="8"/>
      <c r="M361" s="8"/>
      <c r="N361" s="8"/>
      <c r="O361" s="8"/>
      <c r="P361" s="8"/>
    </row>
    <row r="362" spans="1:16" ht="12.75" customHeight="1">
      <c r="A362" s="8"/>
      <c r="B362" s="8"/>
      <c r="C362" s="30"/>
      <c r="D362" s="8"/>
      <c r="E362" s="8"/>
      <c r="F362" s="8"/>
      <c r="G362" s="8"/>
      <c r="H362" s="8"/>
      <c r="I362" s="8"/>
      <c r="J362" s="8"/>
      <c r="K362" s="8"/>
      <c r="L362" s="8"/>
      <c r="M362" s="8"/>
      <c r="N362" s="8"/>
      <c r="O362" s="8"/>
      <c r="P362" s="8"/>
    </row>
    <row r="363" spans="1:16" ht="12.75" customHeight="1">
      <c r="A363" s="8"/>
      <c r="B363" s="8"/>
      <c r="C363" s="30"/>
      <c r="D363" s="8"/>
      <c r="E363" s="8"/>
      <c r="F363" s="8"/>
      <c r="G363" s="8"/>
      <c r="H363" s="8"/>
      <c r="I363" s="8"/>
      <c r="J363" s="8"/>
      <c r="K363" s="8"/>
      <c r="L363" s="8"/>
      <c r="M363" s="8"/>
      <c r="N363" s="8"/>
      <c r="O363" s="8"/>
      <c r="P363" s="8"/>
    </row>
    <row r="364" spans="1:16" ht="12.75" customHeight="1">
      <c r="A364" s="8"/>
      <c r="B364" s="8"/>
      <c r="C364" s="30"/>
      <c r="D364" s="8"/>
      <c r="E364" s="8"/>
      <c r="F364" s="8"/>
      <c r="G364" s="8"/>
      <c r="H364" s="8"/>
      <c r="I364" s="8"/>
      <c r="J364" s="8"/>
      <c r="K364" s="8"/>
      <c r="L364" s="8"/>
      <c r="M364" s="8"/>
      <c r="N364" s="8"/>
      <c r="O364" s="8"/>
      <c r="P364" s="8"/>
    </row>
    <row r="365" spans="1:16" ht="12.75" customHeight="1">
      <c r="A365" s="8"/>
      <c r="B365" s="8"/>
      <c r="C365" s="30"/>
      <c r="D365" s="8"/>
      <c r="E365" s="8"/>
      <c r="F365" s="8"/>
      <c r="G365" s="8"/>
      <c r="H365" s="8"/>
      <c r="I365" s="8"/>
      <c r="J365" s="8"/>
      <c r="K365" s="8"/>
      <c r="L365" s="8"/>
      <c r="M365" s="8"/>
      <c r="N365" s="8"/>
      <c r="O365" s="8"/>
      <c r="P365" s="8"/>
    </row>
    <row r="366" spans="1:16" ht="12.75" customHeight="1">
      <c r="A366" s="8"/>
      <c r="B366" s="8"/>
      <c r="C366" s="30"/>
      <c r="D366" s="8"/>
      <c r="E366" s="8"/>
      <c r="F366" s="8"/>
      <c r="G366" s="8"/>
      <c r="H366" s="8"/>
      <c r="I366" s="8"/>
      <c r="J366" s="8"/>
      <c r="K366" s="8"/>
      <c r="L366" s="8"/>
      <c r="M366" s="8"/>
      <c r="N366" s="8"/>
      <c r="O366" s="8"/>
      <c r="P366" s="8"/>
    </row>
    <row r="367" spans="1:16" ht="12.75" customHeight="1">
      <c r="A367" s="8"/>
      <c r="B367" s="8"/>
      <c r="C367" s="30"/>
      <c r="D367" s="8"/>
      <c r="E367" s="8"/>
      <c r="F367" s="8"/>
      <c r="G367" s="8"/>
      <c r="H367" s="8"/>
      <c r="I367" s="8"/>
      <c r="J367" s="8"/>
      <c r="K367" s="8"/>
      <c r="L367" s="8"/>
      <c r="M367" s="8"/>
      <c r="N367" s="8"/>
      <c r="O367" s="8"/>
      <c r="P367" s="8"/>
    </row>
    <row r="368" spans="1:16" ht="12.75" customHeight="1">
      <c r="A368" s="8"/>
      <c r="B368" s="8"/>
      <c r="C368" s="30"/>
      <c r="D368" s="8"/>
      <c r="E368" s="8"/>
      <c r="F368" s="8"/>
      <c r="G368" s="8"/>
      <c r="H368" s="8"/>
      <c r="I368" s="8"/>
      <c r="J368" s="8"/>
      <c r="K368" s="8"/>
      <c r="L368" s="8"/>
      <c r="M368" s="8"/>
      <c r="N368" s="8"/>
      <c r="O368" s="8"/>
      <c r="P368" s="8"/>
    </row>
    <row r="369" spans="1:16" ht="12.75" customHeight="1">
      <c r="A369" s="8"/>
      <c r="B369" s="8"/>
      <c r="C369" s="30"/>
      <c r="D369" s="8"/>
      <c r="E369" s="8"/>
      <c r="F369" s="8"/>
      <c r="G369" s="8"/>
      <c r="H369" s="8"/>
      <c r="I369" s="8"/>
      <c r="J369" s="8"/>
      <c r="K369" s="8"/>
      <c r="L369" s="8"/>
      <c r="M369" s="8"/>
      <c r="N369" s="8"/>
      <c r="O369" s="8"/>
      <c r="P369" s="8"/>
    </row>
    <row r="370" spans="1:16" ht="12.75" customHeight="1">
      <c r="A370" s="8"/>
      <c r="B370" s="8"/>
      <c r="C370" s="30"/>
      <c r="D370" s="8"/>
      <c r="E370" s="8"/>
      <c r="F370" s="8"/>
      <c r="G370" s="8"/>
      <c r="H370" s="8"/>
      <c r="I370" s="8"/>
      <c r="J370" s="8"/>
      <c r="K370" s="8"/>
      <c r="L370" s="8"/>
      <c r="M370" s="8"/>
      <c r="N370" s="8"/>
      <c r="O370" s="8"/>
      <c r="P370" s="8"/>
    </row>
    <row r="371" spans="1:16" ht="12.75" customHeight="1">
      <c r="A371" s="8"/>
      <c r="B371" s="8"/>
      <c r="C371" s="30"/>
      <c r="D371" s="8"/>
      <c r="E371" s="8"/>
      <c r="F371" s="8"/>
      <c r="G371" s="8"/>
      <c r="H371" s="8"/>
      <c r="I371" s="8"/>
      <c r="J371" s="8"/>
      <c r="K371" s="8"/>
      <c r="L371" s="8"/>
      <c r="M371" s="8"/>
      <c r="N371" s="8"/>
      <c r="O371" s="8"/>
      <c r="P371" s="8"/>
    </row>
    <row r="372" spans="1:16" ht="12.75" customHeight="1">
      <c r="A372" s="8"/>
      <c r="B372" s="8"/>
      <c r="C372" s="30"/>
      <c r="D372" s="8"/>
      <c r="E372" s="8"/>
      <c r="F372" s="8"/>
      <c r="G372" s="8"/>
      <c r="H372" s="8"/>
      <c r="I372" s="8"/>
      <c r="J372" s="8"/>
      <c r="K372" s="8"/>
      <c r="L372" s="8"/>
      <c r="M372" s="8"/>
      <c r="N372" s="8"/>
      <c r="O372" s="8"/>
      <c r="P372" s="8"/>
    </row>
    <row r="373" spans="1:16" ht="12.75" customHeight="1">
      <c r="A373" s="8"/>
      <c r="B373" s="8"/>
      <c r="C373" s="30"/>
      <c r="D373" s="8"/>
      <c r="E373" s="8"/>
      <c r="F373" s="8"/>
      <c r="G373" s="8"/>
      <c r="H373" s="8"/>
      <c r="I373" s="8"/>
      <c r="J373" s="8"/>
      <c r="K373" s="8"/>
      <c r="L373" s="8"/>
      <c r="M373" s="8"/>
      <c r="N373" s="8"/>
      <c r="O373" s="8"/>
      <c r="P373" s="8"/>
    </row>
    <row r="374" spans="1:16" ht="12.75" customHeight="1">
      <c r="A374" s="8"/>
      <c r="B374" s="8"/>
      <c r="C374" s="30"/>
      <c r="D374" s="8"/>
      <c r="E374" s="8"/>
      <c r="F374" s="8"/>
      <c r="G374" s="8"/>
      <c r="H374" s="8"/>
      <c r="I374" s="8"/>
      <c r="J374" s="8"/>
      <c r="K374" s="8"/>
      <c r="L374" s="8"/>
      <c r="M374" s="8"/>
      <c r="N374" s="8"/>
      <c r="O374" s="8"/>
      <c r="P374" s="8"/>
    </row>
    <row r="375" spans="1:16" ht="12.75" customHeight="1">
      <c r="A375" s="8"/>
      <c r="B375" s="8"/>
      <c r="C375" s="30"/>
      <c r="D375" s="8"/>
      <c r="E375" s="8"/>
      <c r="F375" s="8"/>
      <c r="G375" s="8"/>
      <c r="H375" s="8"/>
      <c r="I375" s="8"/>
      <c r="J375" s="8"/>
      <c r="K375" s="8"/>
      <c r="L375" s="8"/>
      <c r="M375" s="8"/>
      <c r="N375" s="8"/>
      <c r="O375" s="8"/>
      <c r="P375" s="8"/>
    </row>
    <row r="376" spans="1:16" ht="12.75" customHeight="1">
      <c r="A376" s="8"/>
      <c r="B376" s="8"/>
      <c r="C376" s="30"/>
      <c r="D376" s="8"/>
      <c r="E376" s="8"/>
      <c r="F376" s="8"/>
      <c r="G376" s="8"/>
      <c r="H376" s="8"/>
      <c r="I376" s="8"/>
      <c r="J376" s="8"/>
      <c r="K376" s="8"/>
      <c r="L376" s="8"/>
      <c r="M376" s="8"/>
      <c r="N376" s="8"/>
      <c r="O376" s="8"/>
      <c r="P376" s="8"/>
    </row>
    <row r="377" spans="1:16" ht="12.75" customHeight="1">
      <c r="A377" s="8"/>
      <c r="B377" s="8"/>
      <c r="C377" s="30"/>
      <c r="D377" s="8"/>
      <c r="E377" s="8"/>
      <c r="F377" s="8"/>
      <c r="G377" s="8"/>
      <c r="H377" s="8"/>
      <c r="I377" s="8"/>
      <c r="J377" s="8"/>
      <c r="K377" s="8"/>
      <c r="L377" s="8"/>
      <c r="M377" s="8"/>
      <c r="N377" s="8"/>
      <c r="O377" s="8"/>
      <c r="P377" s="8"/>
    </row>
    <row r="378" spans="1:16" ht="12.75" customHeight="1">
      <c r="A378" s="8"/>
      <c r="B378" s="8"/>
      <c r="C378" s="30"/>
      <c r="D378" s="8"/>
      <c r="E378" s="8"/>
      <c r="F378" s="8"/>
      <c r="G378" s="8"/>
      <c r="H378" s="8"/>
      <c r="I378" s="8"/>
      <c r="J378" s="8"/>
      <c r="K378" s="8"/>
      <c r="L378" s="8"/>
      <c r="M378" s="8"/>
      <c r="N378" s="8"/>
      <c r="O378" s="8"/>
      <c r="P378" s="8"/>
    </row>
    <row r="379" spans="1:16" ht="12.75" customHeight="1">
      <c r="A379" s="8"/>
      <c r="B379" s="8"/>
      <c r="C379" s="30"/>
      <c r="D379" s="8"/>
      <c r="E379" s="8"/>
      <c r="F379" s="8"/>
      <c r="G379" s="8"/>
      <c r="H379" s="8"/>
      <c r="I379" s="8"/>
      <c r="J379" s="8"/>
      <c r="K379" s="8"/>
      <c r="L379" s="8"/>
      <c r="M379" s="8"/>
      <c r="N379" s="8"/>
      <c r="O379" s="8"/>
      <c r="P379" s="8"/>
    </row>
    <row r="380" spans="1:16" ht="12.75" customHeight="1">
      <c r="A380" s="8"/>
      <c r="B380" s="8"/>
      <c r="C380" s="30"/>
      <c r="D380" s="8"/>
      <c r="E380" s="8"/>
      <c r="F380" s="8"/>
      <c r="G380" s="8"/>
      <c r="H380" s="8"/>
      <c r="I380" s="8"/>
      <c r="J380" s="8"/>
      <c r="K380" s="8"/>
      <c r="L380" s="8"/>
      <c r="M380" s="8"/>
      <c r="N380" s="8"/>
      <c r="O380" s="8"/>
      <c r="P380" s="8"/>
    </row>
    <row r="381" spans="1:16" ht="12.75" customHeight="1">
      <c r="A381" s="8"/>
      <c r="B381" s="8"/>
      <c r="C381" s="30"/>
      <c r="D381" s="8"/>
      <c r="E381" s="8"/>
      <c r="F381" s="8"/>
      <c r="G381" s="8"/>
      <c r="H381" s="8"/>
      <c r="I381" s="8"/>
      <c r="J381" s="8"/>
      <c r="K381" s="8"/>
      <c r="L381" s="8"/>
      <c r="M381" s="8"/>
      <c r="N381" s="8"/>
      <c r="O381" s="8"/>
      <c r="P381" s="8"/>
    </row>
    <row r="382" spans="1:16" ht="12.75" customHeight="1">
      <c r="A382" s="8"/>
      <c r="B382" s="8"/>
      <c r="C382" s="30"/>
      <c r="D382" s="8"/>
      <c r="E382" s="8"/>
      <c r="F382" s="8"/>
      <c r="G382" s="8"/>
      <c r="H382" s="8"/>
      <c r="I382" s="8"/>
      <c r="J382" s="8"/>
      <c r="K382" s="8"/>
      <c r="L382" s="8"/>
      <c r="M382" s="8"/>
      <c r="N382" s="8"/>
      <c r="O382" s="8"/>
      <c r="P382" s="8"/>
    </row>
    <row r="383" spans="1:16" ht="12.75" customHeight="1">
      <c r="A383" s="8"/>
      <c r="B383" s="8"/>
      <c r="C383" s="30"/>
      <c r="D383" s="8"/>
      <c r="E383" s="8"/>
      <c r="F383" s="8"/>
      <c r="G383" s="8"/>
      <c r="H383" s="8"/>
      <c r="I383" s="8"/>
      <c r="J383" s="8"/>
      <c r="K383" s="8"/>
      <c r="L383" s="8"/>
      <c r="M383" s="8"/>
      <c r="N383" s="8"/>
      <c r="O383" s="8"/>
      <c r="P383" s="8"/>
    </row>
    <row r="384" spans="1:16" ht="12.75" customHeight="1">
      <c r="A384" s="8"/>
      <c r="B384" s="8"/>
      <c r="C384" s="30"/>
      <c r="D384" s="8"/>
      <c r="E384" s="8"/>
      <c r="F384" s="8"/>
      <c r="G384" s="8"/>
      <c r="H384" s="8"/>
      <c r="I384" s="8"/>
      <c r="J384" s="8"/>
      <c r="K384" s="8"/>
      <c r="L384" s="8"/>
      <c r="M384" s="8"/>
      <c r="N384" s="8"/>
      <c r="O384" s="8"/>
      <c r="P384" s="8"/>
    </row>
    <row r="385" spans="1:16" ht="12.75" customHeight="1">
      <c r="A385" s="8"/>
      <c r="B385" s="8"/>
      <c r="C385" s="30"/>
      <c r="D385" s="8"/>
      <c r="E385" s="8"/>
      <c r="F385" s="8"/>
      <c r="G385" s="8"/>
      <c r="H385" s="8"/>
      <c r="I385" s="8"/>
      <c r="J385" s="8"/>
      <c r="K385" s="8"/>
      <c r="L385" s="8"/>
      <c r="M385" s="8"/>
      <c r="N385" s="8"/>
      <c r="O385" s="8"/>
      <c r="P385" s="8"/>
    </row>
    <row r="386" spans="1:16" ht="12.75" customHeight="1">
      <c r="A386" s="8"/>
      <c r="B386" s="8"/>
      <c r="C386" s="30"/>
      <c r="D386" s="8"/>
      <c r="E386" s="8"/>
      <c r="F386" s="8"/>
      <c r="G386" s="8"/>
      <c r="H386" s="8"/>
      <c r="I386" s="8"/>
      <c r="J386" s="8"/>
      <c r="K386" s="8"/>
      <c r="L386" s="8"/>
      <c r="M386" s="8"/>
      <c r="N386" s="8"/>
      <c r="O386" s="8"/>
      <c r="P386" s="8"/>
    </row>
    <row r="387" spans="1:16" ht="12.75" customHeight="1">
      <c r="A387" s="8"/>
      <c r="B387" s="8"/>
      <c r="C387" s="30"/>
      <c r="D387" s="8"/>
      <c r="E387" s="8"/>
      <c r="F387" s="8"/>
      <c r="G387" s="8"/>
      <c r="H387" s="8"/>
      <c r="I387" s="8"/>
      <c r="J387" s="8"/>
      <c r="K387" s="8"/>
      <c r="L387" s="8"/>
      <c r="M387" s="8"/>
      <c r="N387" s="8"/>
      <c r="O387" s="8"/>
      <c r="P387" s="8"/>
    </row>
    <row r="388" spans="1:16" ht="12.75" customHeight="1">
      <c r="A388" s="8"/>
      <c r="B388" s="8"/>
      <c r="C388" s="30"/>
      <c r="D388" s="8"/>
      <c r="E388" s="8"/>
      <c r="F388" s="8"/>
      <c r="G388" s="8"/>
      <c r="H388" s="8"/>
      <c r="I388" s="8"/>
      <c r="J388" s="8"/>
      <c r="K388" s="8"/>
      <c r="L388" s="8"/>
      <c r="M388" s="8"/>
      <c r="N388" s="8"/>
      <c r="O388" s="8"/>
      <c r="P388" s="8"/>
    </row>
    <row r="389" spans="1:16" ht="12.75" customHeight="1">
      <c r="A389" s="8"/>
      <c r="B389" s="8"/>
      <c r="C389" s="30"/>
      <c r="D389" s="8"/>
      <c r="E389" s="8"/>
      <c r="F389" s="8"/>
      <c r="G389" s="8"/>
      <c r="H389" s="8"/>
      <c r="I389" s="8"/>
      <c r="J389" s="8"/>
      <c r="K389" s="8"/>
      <c r="L389" s="8"/>
      <c r="M389" s="8"/>
      <c r="N389" s="8"/>
      <c r="O389" s="8"/>
      <c r="P389" s="8"/>
    </row>
    <row r="390" spans="1:16" ht="12.75" customHeight="1">
      <c r="A390" s="8"/>
      <c r="B390" s="8"/>
      <c r="C390" s="30"/>
      <c r="D390" s="8"/>
      <c r="E390" s="8"/>
      <c r="F390" s="8"/>
      <c r="G390" s="8"/>
      <c r="H390" s="8"/>
      <c r="I390" s="8"/>
      <c r="J390" s="8"/>
      <c r="K390" s="8"/>
      <c r="L390" s="8"/>
      <c r="M390" s="8"/>
      <c r="N390" s="8"/>
      <c r="O390" s="8"/>
      <c r="P390" s="8"/>
    </row>
    <row r="391" spans="1:16" ht="12.75" customHeight="1">
      <c r="A391" s="8"/>
      <c r="B391" s="8"/>
      <c r="C391" s="30"/>
      <c r="D391" s="8"/>
      <c r="E391" s="8"/>
      <c r="F391" s="8"/>
      <c r="G391" s="8"/>
      <c r="H391" s="8"/>
      <c r="I391" s="8"/>
      <c r="J391" s="8"/>
      <c r="K391" s="8"/>
      <c r="L391" s="8"/>
      <c r="M391" s="8"/>
      <c r="N391" s="8"/>
      <c r="O391" s="8"/>
      <c r="P391" s="8"/>
    </row>
    <row r="392" spans="1:16" ht="12.75" customHeight="1">
      <c r="A392" s="8"/>
      <c r="B392" s="8"/>
      <c r="C392" s="30"/>
      <c r="D392" s="8"/>
      <c r="E392" s="8"/>
      <c r="F392" s="8"/>
      <c r="G392" s="8"/>
      <c r="H392" s="8"/>
      <c r="I392" s="8"/>
      <c r="J392" s="8"/>
      <c r="K392" s="8"/>
      <c r="L392" s="8"/>
      <c r="M392" s="8"/>
      <c r="N392" s="8"/>
      <c r="O392" s="8"/>
      <c r="P392" s="8"/>
    </row>
    <row r="393" spans="1:16" ht="12.75" customHeight="1">
      <c r="A393" s="8"/>
      <c r="B393" s="8"/>
      <c r="C393" s="30"/>
      <c r="D393" s="8"/>
      <c r="E393" s="8"/>
      <c r="F393" s="8"/>
      <c r="G393" s="8"/>
      <c r="H393" s="8"/>
      <c r="I393" s="8"/>
      <c r="J393" s="8"/>
      <c r="K393" s="8"/>
      <c r="L393" s="8"/>
      <c r="M393" s="8"/>
      <c r="N393" s="8"/>
      <c r="O393" s="8"/>
      <c r="P393" s="8"/>
    </row>
    <row r="394" spans="1:16" ht="12.75" customHeight="1">
      <c r="A394" s="8"/>
      <c r="B394" s="8"/>
      <c r="C394" s="30"/>
      <c r="D394" s="8"/>
      <c r="E394" s="8"/>
      <c r="F394" s="8"/>
      <c r="G394" s="8"/>
      <c r="H394" s="8"/>
      <c r="I394" s="8"/>
      <c r="J394" s="8"/>
      <c r="K394" s="8"/>
      <c r="L394" s="8"/>
      <c r="M394" s="8"/>
      <c r="N394" s="8"/>
      <c r="O394" s="8"/>
      <c r="P394" s="8"/>
    </row>
    <row r="395" spans="1:16" ht="12.75" customHeight="1">
      <c r="A395" s="8"/>
      <c r="B395" s="8"/>
      <c r="C395" s="30"/>
      <c r="D395" s="8"/>
      <c r="E395" s="8"/>
      <c r="F395" s="8"/>
      <c r="G395" s="8"/>
      <c r="H395" s="8"/>
      <c r="I395" s="8"/>
      <c r="J395" s="8"/>
      <c r="K395" s="8"/>
      <c r="L395" s="8"/>
      <c r="M395" s="8"/>
      <c r="N395" s="8"/>
      <c r="O395" s="8"/>
      <c r="P395" s="8"/>
    </row>
    <row r="396" spans="1:16" ht="12.75" customHeight="1">
      <c r="A396" s="8"/>
      <c r="B396" s="8"/>
      <c r="C396" s="30"/>
      <c r="D396" s="8"/>
      <c r="E396" s="8"/>
      <c r="F396" s="8"/>
      <c r="G396" s="8"/>
      <c r="H396" s="8"/>
      <c r="I396" s="8"/>
      <c r="J396" s="8"/>
      <c r="K396" s="8"/>
      <c r="L396" s="8"/>
      <c r="M396" s="8"/>
      <c r="N396" s="8"/>
      <c r="O396" s="8"/>
      <c r="P396" s="8"/>
    </row>
    <row r="397" spans="1:16" ht="12.75" customHeight="1">
      <c r="A397" s="8"/>
      <c r="B397" s="8"/>
      <c r="C397" s="30"/>
      <c r="D397" s="8"/>
      <c r="E397" s="8"/>
      <c r="F397" s="8"/>
      <c r="G397" s="8"/>
      <c r="H397" s="8"/>
      <c r="I397" s="8"/>
      <c r="J397" s="8"/>
      <c r="K397" s="8"/>
      <c r="L397" s="8"/>
      <c r="M397" s="8"/>
      <c r="N397" s="8"/>
      <c r="O397" s="8"/>
      <c r="P397" s="8"/>
    </row>
    <row r="398" spans="1:16" ht="12.75" customHeight="1">
      <c r="A398" s="8"/>
      <c r="B398" s="8"/>
      <c r="C398" s="30"/>
      <c r="D398" s="8"/>
      <c r="E398" s="8"/>
      <c r="F398" s="8"/>
      <c r="G398" s="8"/>
      <c r="H398" s="8"/>
      <c r="I398" s="8"/>
      <c r="J398" s="8"/>
      <c r="K398" s="8"/>
      <c r="L398" s="8"/>
      <c r="M398" s="8"/>
      <c r="N398" s="8"/>
      <c r="O398" s="8"/>
      <c r="P398" s="8"/>
    </row>
    <row r="399" spans="1:16" ht="12.75" customHeight="1">
      <c r="A399" s="8"/>
      <c r="B399" s="8"/>
      <c r="C399" s="30"/>
      <c r="D399" s="8"/>
      <c r="E399" s="8"/>
      <c r="F399" s="8"/>
      <c r="G399" s="8"/>
      <c r="H399" s="8"/>
      <c r="I399" s="8"/>
      <c r="J399" s="8"/>
      <c r="K399" s="8"/>
      <c r="L399" s="8"/>
      <c r="M399" s="8"/>
      <c r="N399" s="8"/>
      <c r="O399" s="8"/>
      <c r="P399" s="8"/>
    </row>
    <row r="400" spans="1:16" ht="12.75" customHeight="1">
      <c r="A400" s="8"/>
      <c r="B400" s="8"/>
      <c r="C400" s="30"/>
      <c r="D400" s="8"/>
      <c r="E400" s="8"/>
      <c r="F400" s="8"/>
      <c r="G400" s="8"/>
      <c r="H400" s="8"/>
      <c r="I400" s="8"/>
      <c r="J400" s="8"/>
      <c r="K400" s="8"/>
      <c r="L400" s="8"/>
      <c r="M400" s="8"/>
      <c r="N400" s="8"/>
      <c r="O400" s="8"/>
      <c r="P400" s="8"/>
    </row>
    <row r="401" spans="1:16" ht="12.75" customHeight="1">
      <c r="A401" s="8"/>
      <c r="B401" s="8"/>
      <c r="C401" s="30"/>
      <c r="D401" s="8"/>
      <c r="E401" s="8"/>
      <c r="F401" s="8"/>
      <c r="G401" s="8"/>
      <c r="H401" s="8"/>
      <c r="I401" s="8"/>
      <c r="J401" s="8"/>
      <c r="K401" s="8"/>
      <c r="L401" s="8"/>
      <c r="M401" s="8"/>
      <c r="N401" s="8"/>
      <c r="O401" s="8"/>
      <c r="P401" s="8"/>
    </row>
    <row r="402" spans="1:16" ht="12.75" customHeight="1">
      <c r="A402" s="8"/>
      <c r="B402" s="8"/>
      <c r="C402" s="30"/>
      <c r="D402" s="8"/>
      <c r="E402" s="8"/>
      <c r="F402" s="8"/>
      <c r="G402" s="8"/>
      <c r="H402" s="8"/>
      <c r="I402" s="8"/>
      <c r="J402" s="8"/>
      <c r="K402" s="8"/>
      <c r="L402" s="8"/>
      <c r="M402" s="8"/>
      <c r="N402" s="8"/>
      <c r="O402" s="8"/>
      <c r="P402" s="8"/>
    </row>
    <row r="403" spans="1:16" ht="12.75" customHeight="1">
      <c r="A403" s="8"/>
      <c r="B403" s="8"/>
      <c r="C403" s="30"/>
      <c r="D403" s="8"/>
      <c r="E403" s="8"/>
      <c r="F403" s="8"/>
      <c r="G403" s="8"/>
      <c r="H403" s="8"/>
      <c r="I403" s="8"/>
      <c r="J403" s="8"/>
      <c r="K403" s="8"/>
      <c r="L403" s="8"/>
      <c r="M403" s="8"/>
      <c r="N403" s="8"/>
      <c r="O403" s="8"/>
      <c r="P403" s="8"/>
    </row>
    <row r="404" spans="1:16" ht="12.75" customHeight="1">
      <c r="A404" s="8"/>
      <c r="B404" s="8"/>
      <c r="C404" s="30"/>
      <c r="D404" s="8"/>
      <c r="E404" s="8"/>
      <c r="F404" s="8"/>
      <c r="G404" s="8"/>
      <c r="H404" s="8"/>
      <c r="I404" s="8"/>
      <c r="J404" s="8"/>
      <c r="K404" s="8"/>
      <c r="L404" s="8"/>
      <c r="M404" s="8"/>
      <c r="N404" s="8"/>
      <c r="O404" s="8"/>
      <c r="P404" s="8"/>
    </row>
    <row r="405" spans="1:16" ht="12.75" customHeight="1">
      <c r="A405" s="8"/>
      <c r="B405" s="8"/>
      <c r="C405" s="30"/>
      <c r="D405" s="8"/>
      <c r="E405" s="8"/>
      <c r="F405" s="8"/>
      <c r="G405" s="8"/>
      <c r="H405" s="8"/>
      <c r="I405" s="8"/>
      <c r="J405" s="8"/>
      <c r="K405" s="8"/>
      <c r="L405" s="8"/>
      <c r="M405" s="8"/>
      <c r="N405" s="8"/>
      <c r="O405" s="8"/>
      <c r="P405" s="8"/>
    </row>
    <row r="406" spans="1:16" ht="12.75" customHeight="1">
      <c r="A406" s="8"/>
      <c r="B406" s="8"/>
      <c r="C406" s="30"/>
      <c r="D406" s="8"/>
      <c r="E406" s="8"/>
      <c r="F406" s="8"/>
      <c r="G406" s="8"/>
      <c r="H406" s="8"/>
      <c r="I406" s="8"/>
      <c r="J406" s="8"/>
      <c r="K406" s="8"/>
      <c r="L406" s="8"/>
      <c r="M406" s="8"/>
      <c r="N406" s="8"/>
      <c r="O406" s="8"/>
      <c r="P406" s="8"/>
    </row>
    <row r="407" spans="1:16" ht="12.75" customHeight="1">
      <c r="A407" s="8"/>
      <c r="B407" s="8"/>
      <c r="C407" s="30"/>
      <c r="D407" s="8"/>
      <c r="E407" s="8"/>
      <c r="F407" s="8"/>
      <c r="G407" s="8"/>
      <c r="H407" s="8"/>
      <c r="I407" s="8"/>
      <c r="J407" s="8"/>
      <c r="K407" s="8"/>
      <c r="L407" s="8"/>
      <c r="M407" s="8"/>
      <c r="N407" s="8"/>
      <c r="O407" s="8"/>
      <c r="P407" s="8"/>
    </row>
    <row r="408" spans="1:16" ht="12.75" customHeight="1">
      <c r="A408" s="8"/>
      <c r="B408" s="8"/>
      <c r="C408" s="30"/>
      <c r="D408" s="8"/>
      <c r="E408" s="8"/>
      <c r="F408" s="8"/>
      <c r="G408" s="8"/>
      <c r="H408" s="8"/>
      <c r="I408" s="8"/>
      <c r="J408" s="8"/>
      <c r="K408" s="8"/>
      <c r="L408" s="8"/>
      <c r="M408" s="8"/>
      <c r="N408" s="8"/>
      <c r="O408" s="8"/>
      <c r="P408" s="8"/>
    </row>
    <row r="409" spans="1:16" ht="12.75" customHeight="1">
      <c r="A409" s="8"/>
      <c r="B409" s="8"/>
      <c r="C409" s="30"/>
      <c r="D409" s="8"/>
      <c r="E409" s="8"/>
      <c r="F409" s="8"/>
      <c r="G409" s="8"/>
      <c r="H409" s="8"/>
      <c r="I409" s="8"/>
      <c r="J409" s="8"/>
      <c r="K409" s="8"/>
      <c r="L409" s="8"/>
      <c r="M409" s="8"/>
      <c r="N409" s="8"/>
      <c r="O409" s="8"/>
      <c r="P409" s="8"/>
    </row>
    <row r="410" spans="1:16" ht="12.75" customHeight="1">
      <c r="A410" s="8"/>
      <c r="B410" s="8"/>
      <c r="C410" s="30"/>
      <c r="D410" s="8"/>
      <c r="E410" s="8"/>
      <c r="F410" s="8"/>
      <c r="G410" s="8"/>
      <c r="H410" s="8"/>
      <c r="I410" s="8"/>
      <c r="J410" s="8"/>
      <c r="K410" s="8"/>
      <c r="L410" s="8"/>
      <c r="M410" s="8"/>
      <c r="N410" s="8"/>
      <c r="O410" s="8"/>
      <c r="P410" s="8"/>
    </row>
    <row r="411" spans="1:16" ht="12.75" customHeight="1">
      <c r="A411" s="8"/>
      <c r="B411" s="8"/>
      <c r="C411" s="30"/>
      <c r="D411" s="8"/>
      <c r="E411" s="8"/>
      <c r="F411" s="8"/>
      <c r="G411" s="8"/>
      <c r="H411" s="8"/>
      <c r="I411" s="8"/>
      <c r="J411" s="8"/>
      <c r="K411" s="8"/>
      <c r="L411" s="8"/>
      <c r="M411" s="8"/>
      <c r="N411" s="8"/>
      <c r="O411" s="8"/>
      <c r="P411" s="8"/>
    </row>
    <row r="412" spans="1:16" ht="12.75" customHeight="1">
      <c r="A412" s="8"/>
      <c r="B412" s="8"/>
      <c r="C412" s="30"/>
      <c r="D412" s="8"/>
      <c r="E412" s="8"/>
      <c r="F412" s="8"/>
      <c r="G412" s="8"/>
      <c r="H412" s="8"/>
      <c r="I412" s="8"/>
      <c r="J412" s="8"/>
      <c r="K412" s="8"/>
      <c r="L412" s="8"/>
      <c r="M412" s="8"/>
      <c r="N412" s="8"/>
      <c r="O412" s="8"/>
      <c r="P412" s="8"/>
    </row>
    <row r="413" spans="1:16" ht="12.75" customHeight="1">
      <c r="A413" s="8"/>
      <c r="B413" s="8"/>
      <c r="C413" s="30"/>
      <c r="D413" s="8"/>
      <c r="E413" s="8"/>
      <c r="F413" s="8"/>
      <c r="G413" s="8"/>
      <c r="H413" s="8"/>
      <c r="I413" s="8"/>
      <c r="J413" s="8"/>
      <c r="K413" s="8"/>
      <c r="L413" s="8"/>
      <c r="M413" s="8"/>
      <c r="N413" s="8"/>
      <c r="O413" s="8"/>
      <c r="P413" s="8"/>
    </row>
    <row r="414" spans="1:16" ht="12.75" customHeight="1">
      <c r="A414" s="8"/>
      <c r="B414" s="8"/>
      <c r="C414" s="30"/>
      <c r="D414" s="8"/>
      <c r="E414" s="8"/>
      <c r="F414" s="8"/>
      <c r="G414" s="8"/>
      <c r="H414" s="8"/>
      <c r="I414" s="8"/>
      <c r="J414" s="8"/>
      <c r="K414" s="8"/>
      <c r="L414" s="8"/>
      <c r="M414" s="8"/>
      <c r="N414" s="8"/>
      <c r="O414" s="8"/>
      <c r="P414" s="8"/>
    </row>
    <row r="415" spans="1:16" ht="12.75" customHeight="1">
      <c r="A415" s="8"/>
      <c r="B415" s="8"/>
      <c r="C415" s="30"/>
      <c r="D415" s="8"/>
      <c r="E415" s="8"/>
      <c r="F415" s="8"/>
      <c r="G415" s="8"/>
      <c r="H415" s="8"/>
      <c r="I415" s="8"/>
      <c r="J415" s="8"/>
      <c r="K415" s="8"/>
      <c r="L415" s="8"/>
      <c r="M415" s="8"/>
      <c r="N415" s="8"/>
      <c r="O415" s="8"/>
      <c r="P415" s="8"/>
    </row>
    <row r="416" spans="1:16" ht="12.75" customHeight="1">
      <c r="A416" s="8"/>
      <c r="B416" s="8"/>
      <c r="C416" s="30"/>
      <c r="D416" s="8"/>
      <c r="E416" s="8"/>
      <c r="F416" s="8"/>
      <c r="G416" s="8"/>
      <c r="H416" s="8"/>
      <c r="I416" s="8"/>
      <c r="J416" s="8"/>
      <c r="K416" s="8"/>
      <c r="L416" s="8"/>
      <c r="M416" s="8"/>
      <c r="N416" s="8"/>
      <c r="O416" s="8"/>
      <c r="P416" s="8"/>
    </row>
    <row r="417" spans="1:16" ht="12.75" customHeight="1">
      <c r="A417" s="8"/>
      <c r="B417" s="8"/>
      <c r="C417" s="30"/>
      <c r="D417" s="8"/>
      <c r="E417" s="8"/>
      <c r="F417" s="8"/>
      <c r="G417" s="8"/>
      <c r="H417" s="8"/>
      <c r="I417" s="8"/>
      <c r="J417" s="8"/>
      <c r="K417" s="8"/>
      <c r="L417" s="8"/>
      <c r="M417" s="8"/>
      <c r="N417" s="8"/>
      <c r="O417" s="8"/>
      <c r="P417" s="8"/>
    </row>
    <row r="418" spans="1:16" ht="12.75" customHeight="1">
      <c r="A418" s="8"/>
      <c r="B418" s="8"/>
      <c r="C418" s="30"/>
      <c r="D418" s="8"/>
      <c r="E418" s="8"/>
      <c r="F418" s="8"/>
      <c r="G418" s="8"/>
      <c r="H418" s="8"/>
      <c r="I418" s="8"/>
      <c r="J418" s="8"/>
      <c r="K418" s="8"/>
      <c r="L418" s="8"/>
      <c r="M418" s="8"/>
      <c r="N418" s="8"/>
      <c r="O418" s="8"/>
      <c r="P418" s="8"/>
    </row>
    <row r="419" spans="1:16" ht="12.75" customHeight="1">
      <c r="A419" s="8"/>
      <c r="B419" s="8"/>
      <c r="C419" s="30"/>
      <c r="D419" s="8"/>
      <c r="E419" s="8"/>
      <c r="F419" s="8"/>
      <c r="G419" s="8"/>
      <c r="H419" s="8"/>
      <c r="I419" s="8"/>
      <c r="J419" s="8"/>
      <c r="K419" s="8"/>
      <c r="L419" s="8"/>
      <c r="M419" s="8"/>
      <c r="N419" s="8"/>
      <c r="O419" s="8"/>
      <c r="P419" s="8"/>
    </row>
    <row r="420" spans="1:16" ht="12.75" customHeight="1">
      <c r="A420" s="8"/>
      <c r="B420" s="8"/>
      <c r="C420" s="30"/>
      <c r="D420" s="8"/>
      <c r="E420" s="8"/>
      <c r="F420" s="8"/>
      <c r="G420" s="8"/>
      <c r="H420" s="8"/>
      <c r="I420" s="8"/>
      <c r="J420" s="8"/>
      <c r="K420" s="8"/>
      <c r="L420" s="8"/>
      <c r="M420" s="8"/>
      <c r="N420" s="8"/>
      <c r="O420" s="8"/>
      <c r="P420" s="8"/>
    </row>
    <row r="421" spans="1:16" ht="12.75" customHeight="1">
      <c r="A421" s="8"/>
      <c r="B421" s="8"/>
      <c r="C421" s="30"/>
      <c r="D421" s="8"/>
      <c r="E421" s="8"/>
      <c r="F421" s="8"/>
      <c r="G421" s="8"/>
      <c r="H421" s="8"/>
      <c r="I421" s="8"/>
      <c r="J421" s="8"/>
      <c r="K421" s="8"/>
      <c r="L421" s="8"/>
      <c r="M421" s="8"/>
      <c r="N421" s="8"/>
      <c r="O421" s="8"/>
      <c r="P421" s="8"/>
    </row>
    <row r="422" spans="1:16" ht="12.75" customHeight="1">
      <c r="A422" s="8"/>
      <c r="B422" s="8"/>
      <c r="C422" s="30"/>
      <c r="D422" s="8"/>
      <c r="E422" s="8"/>
      <c r="F422" s="8"/>
      <c r="G422" s="8"/>
      <c r="H422" s="8"/>
      <c r="I422" s="8"/>
      <c r="J422" s="8"/>
      <c r="K422" s="8"/>
      <c r="L422" s="8"/>
      <c r="M422" s="8"/>
      <c r="N422" s="8"/>
      <c r="O422" s="8"/>
      <c r="P422" s="8"/>
    </row>
    <row r="423" spans="1:16" ht="12.75" customHeight="1">
      <c r="A423" s="8"/>
      <c r="B423" s="8"/>
      <c r="C423" s="30"/>
      <c r="D423" s="8"/>
      <c r="E423" s="8"/>
      <c r="F423" s="8"/>
      <c r="G423" s="8"/>
      <c r="H423" s="8"/>
      <c r="I423" s="8"/>
      <c r="J423" s="8"/>
      <c r="K423" s="8"/>
      <c r="L423" s="8"/>
      <c r="M423" s="8"/>
      <c r="N423" s="8"/>
      <c r="O423" s="8"/>
      <c r="P423" s="8"/>
    </row>
    <row r="424" spans="1:16" ht="12.75" customHeight="1">
      <c r="A424" s="8"/>
      <c r="B424" s="8"/>
      <c r="C424" s="30"/>
      <c r="D424" s="8"/>
      <c r="E424" s="8"/>
      <c r="F424" s="8"/>
      <c r="G424" s="8"/>
      <c r="H424" s="8"/>
      <c r="I424" s="8"/>
      <c r="J424" s="8"/>
      <c r="K424" s="8"/>
      <c r="L424" s="8"/>
      <c r="M424" s="8"/>
      <c r="N424" s="8"/>
      <c r="O424" s="8"/>
      <c r="P424" s="8"/>
    </row>
    <row r="425" spans="1:16" ht="12.75" customHeight="1">
      <c r="A425" s="8"/>
      <c r="B425" s="8"/>
      <c r="C425" s="30"/>
      <c r="D425" s="8"/>
      <c r="E425" s="8"/>
      <c r="F425" s="8"/>
      <c r="G425" s="8"/>
      <c r="H425" s="8"/>
      <c r="I425" s="8"/>
      <c r="J425" s="8"/>
      <c r="K425" s="8"/>
      <c r="L425" s="8"/>
      <c r="M425" s="8"/>
      <c r="N425" s="8"/>
      <c r="O425" s="8"/>
      <c r="P425" s="8"/>
    </row>
    <row r="426" spans="1:16" ht="12.75" customHeight="1">
      <c r="A426" s="8"/>
      <c r="B426" s="8"/>
      <c r="C426" s="30"/>
      <c r="D426" s="8"/>
      <c r="E426" s="8"/>
      <c r="F426" s="8"/>
      <c r="G426" s="8"/>
      <c r="H426" s="8"/>
      <c r="I426" s="8"/>
      <c r="J426" s="8"/>
      <c r="K426" s="8"/>
      <c r="L426" s="8"/>
      <c r="M426" s="8"/>
      <c r="N426" s="8"/>
      <c r="O426" s="8"/>
      <c r="P426" s="8"/>
    </row>
    <row r="427" spans="1:16" ht="12.75" customHeight="1">
      <c r="A427" s="8"/>
      <c r="B427" s="8"/>
      <c r="C427" s="30"/>
      <c r="D427" s="8"/>
      <c r="E427" s="8"/>
      <c r="F427" s="8"/>
      <c r="G427" s="8"/>
      <c r="H427" s="8"/>
      <c r="I427" s="8"/>
      <c r="J427" s="8"/>
      <c r="K427" s="8"/>
      <c r="L427" s="8"/>
      <c r="M427" s="8"/>
      <c r="N427" s="8"/>
      <c r="O427" s="8"/>
      <c r="P427" s="8"/>
    </row>
    <row r="428" spans="1:16" ht="12.75" customHeight="1">
      <c r="A428" s="8"/>
      <c r="B428" s="8"/>
      <c r="C428" s="30"/>
      <c r="D428" s="8"/>
      <c r="E428" s="8"/>
      <c r="F428" s="8"/>
      <c r="G428" s="8"/>
      <c r="H428" s="8"/>
      <c r="I428" s="8"/>
      <c r="J428" s="8"/>
      <c r="K428" s="8"/>
      <c r="L428" s="8"/>
      <c r="M428" s="8"/>
      <c r="N428" s="8"/>
      <c r="O428" s="8"/>
      <c r="P428" s="8"/>
    </row>
    <row r="429" spans="1:16" ht="12.75" customHeight="1">
      <c r="A429" s="8"/>
      <c r="B429" s="8"/>
      <c r="C429" s="30"/>
      <c r="D429" s="8"/>
      <c r="E429" s="8"/>
      <c r="F429" s="8"/>
      <c r="G429" s="8"/>
      <c r="H429" s="8"/>
      <c r="I429" s="8"/>
      <c r="J429" s="8"/>
      <c r="K429" s="8"/>
      <c r="L429" s="8"/>
      <c r="M429" s="8"/>
      <c r="N429" s="8"/>
      <c r="O429" s="8"/>
      <c r="P429" s="8"/>
    </row>
    <row r="430" spans="1:16" ht="12.75" customHeight="1">
      <c r="A430" s="8"/>
      <c r="B430" s="8"/>
      <c r="C430" s="30"/>
      <c r="D430" s="8"/>
      <c r="E430" s="8"/>
      <c r="F430" s="8"/>
      <c r="G430" s="8"/>
      <c r="H430" s="8"/>
      <c r="I430" s="8"/>
      <c r="J430" s="8"/>
      <c r="K430" s="8"/>
      <c r="L430" s="8"/>
      <c r="M430" s="8"/>
      <c r="N430" s="8"/>
      <c r="O430" s="8"/>
      <c r="P430" s="8"/>
    </row>
    <row r="431" spans="1:16" ht="12.75" customHeight="1">
      <c r="A431" s="8"/>
      <c r="B431" s="8"/>
      <c r="C431" s="30"/>
      <c r="D431" s="8"/>
      <c r="E431" s="8"/>
      <c r="F431" s="8"/>
      <c r="G431" s="8"/>
      <c r="H431" s="8"/>
      <c r="I431" s="8"/>
      <c r="J431" s="8"/>
      <c r="K431" s="8"/>
      <c r="L431" s="8"/>
      <c r="M431" s="8"/>
      <c r="N431" s="8"/>
      <c r="O431" s="8"/>
      <c r="P431" s="8"/>
    </row>
    <row r="432" spans="1:16" ht="12.75" customHeight="1">
      <c r="A432" s="8"/>
      <c r="B432" s="8"/>
      <c r="C432" s="30"/>
      <c r="D432" s="8"/>
      <c r="E432" s="8"/>
      <c r="F432" s="8"/>
      <c r="G432" s="8"/>
      <c r="H432" s="8"/>
      <c r="I432" s="8"/>
      <c r="J432" s="8"/>
      <c r="K432" s="8"/>
      <c r="L432" s="8"/>
      <c r="M432" s="8"/>
      <c r="N432" s="8"/>
      <c r="O432" s="8"/>
      <c r="P432" s="8"/>
    </row>
    <row r="433" spans="1:16" ht="12.75" customHeight="1">
      <c r="A433" s="8"/>
      <c r="B433" s="8"/>
      <c r="C433" s="30"/>
      <c r="D433" s="8"/>
      <c r="E433" s="8"/>
      <c r="F433" s="8"/>
      <c r="G433" s="8"/>
      <c r="H433" s="8"/>
      <c r="I433" s="8"/>
      <c r="J433" s="8"/>
      <c r="K433" s="8"/>
      <c r="L433" s="8"/>
      <c r="M433" s="8"/>
      <c r="N433" s="8"/>
      <c r="O433" s="8"/>
      <c r="P433" s="8"/>
    </row>
    <row r="434" spans="1:16" ht="12.75" customHeight="1">
      <c r="A434" s="8"/>
      <c r="B434" s="8"/>
      <c r="C434" s="30"/>
      <c r="D434" s="8"/>
      <c r="E434" s="8"/>
      <c r="F434" s="8"/>
      <c r="G434" s="8"/>
      <c r="H434" s="8"/>
      <c r="I434" s="8"/>
      <c r="J434" s="8"/>
      <c r="K434" s="8"/>
      <c r="L434" s="8"/>
      <c r="M434" s="8"/>
      <c r="N434" s="8"/>
      <c r="O434" s="8"/>
      <c r="P434" s="8"/>
    </row>
    <row r="435" spans="1:16" ht="12.75" customHeight="1">
      <c r="A435" s="8"/>
      <c r="B435" s="8"/>
      <c r="C435" s="30"/>
      <c r="D435" s="8"/>
      <c r="E435" s="8"/>
      <c r="F435" s="8"/>
      <c r="G435" s="8"/>
      <c r="H435" s="8"/>
      <c r="I435" s="8"/>
      <c r="J435" s="8"/>
      <c r="K435" s="8"/>
      <c r="L435" s="8"/>
      <c r="M435" s="8"/>
      <c r="N435" s="8"/>
      <c r="O435" s="8"/>
      <c r="P435" s="8"/>
    </row>
    <row r="436" spans="1:16" ht="12.75" customHeight="1">
      <c r="A436" s="8"/>
      <c r="B436" s="8"/>
      <c r="C436" s="30"/>
      <c r="D436" s="8"/>
      <c r="E436" s="8"/>
      <c r="F436" s="8"/>
      <c r="G436" s="8"/>
      <c r="H436" s="8"/>
      <c r="I436" s="8"/>
      <c r="J436" s="8"/>
      <c r="K436" s="8"/>
      <c r="L436" s="8"/>
      <c r="M436" s="8"/>
      <c r="N436" s="8"/>
      <c r="O436" s="8"/>
      <c r="P436" s="8"/>
    </row>
    <row r="437" spans="1:16" ht="12.75" customHeight="1">
      <c r="A437" s="8"/>
      <c r="B437" s="8"/>
      <c r="C437" s="30"/>
      <c r="D437" s="8"/>
      <c r="E437" s="8"/>
      <c r="F437" s="8"/>
      <c r="G437" s="8"/>
      <c r="H437" s="8"/>
      <c r="I437" s="8"/>
      <c r="J437" s="8"/>
      <c r="K437" s="8"/>
      <c r="L437" s="8"/>
      <c r="M437" s="8"/>
      <c r="N437" s="8"/>
      <c r="O437" s="8"/>
      <c r="P437" s="8"/>
    </row>
    <row r="438" spans="1:16" ht="12.75" customHeight="1">
      <c r="A438" s="8"/>
      <c r="B438" s="8"/>
      <c r="C438" s="30"/>
      <c r="D438" s="8"/>
      <c r="E438" s="8"/>
      <c r="F438" s="8"/>
      <c r="G438" s="8"/>
      <c r="H438" s="8"/>
      <c r="I438" s="8"/>
      <c r="J438" s="8"/>
      <c r="K438" s="8"/>
      <c r="L438" s="8"/>
      <c r="M438" s="8"/>
      <c r="N438" s="8"/>
      <c r="O438" s="8"/>
      <c r="P438" s="8"/>
    </row>
    <row r="439" spans="1:16" ht="12.75" customHeight="1">
      <c r="A439" s="8"/>
      <c r="B439" s="8"/>
      <c r="C439" s="30"/>
      <c r="D439" s="8"/>
      <c r="E439" s="8"/>
      <c r="F439" s="8"/>
      <c r="G439" s="8"/>
      <c r="H439" s="8"/>
      <c r="I439" s="8"/>
      <c r="J439" s="8"/>
      <c r="K439" s="8"/>
      <c r="L439" s="8"/>
      <c r="M439" s="8"/>
      <c r="N439" s="8"/>
      <c r="O439" s="8"/>
      <c r="P439" s="8"/>
    </row>
    <row r="440" spans="1:16" ht="12.75" customHeight="1">
      <c r="A440" s="8"/>
      <c r="B440" s="8"/>
      <c r="C440" s="30"/>
      <c r="D440" s="8"/>
      <c r="E440" s="8"/>
      <c r="F440" s="8"/>
      <c r="G440" s="8"/>
      <c r="H440" s="8"/>
      <c r="I440" s="8"/>
      <c r="J440" s="8"/>
      <c r="K440" s="8"/>
      <c r="L440" s="8"/>
      <c r="M440" s="8"/>
      <c r="N440" s="8"/>
      <c r="O440" s="8"/>
      <c r="P440" s="8"/>
    </row>
    <row r="441" spans="1:16" ht="12.75" customHeight="1">
      <c r="A441" s="8"/>
      <c r="B441" s="8"/>
      <c r="C441" s="30"/>
      <c r="D441" s="8"/>
      <c r="E441" s="8"/>
      <c r="F441" s="8"/>
      <c r="G441" s="8"/>
      <c r="H441" s="8"/>
      <c r="I441" s="8"/>
      <c r="J441" s="8"/>
      <c r="K441" s="8"/>
      <c r="L441" s="8"/>
      <c r="M441" s="8"/>
      <c r="N441" s="8"/>
      <c r="O441" s="8"/>
      <c r="P441" s="8"/>
    </row>
    <row r="442" spans="1:16" ht="12.75" customHeight="1">
      <c r="A442" s="8"/>
      <c r="B442" s="8"/>
      <c r="C442" s="30"/>
      <c r="D442" s="8"/>
      <c r="E442" s="8"/>
      <c r="F442" s="8"/>
      <c r="G442" s="8"/>
      <c r="H442" s="8"/>
      <c r="I442" s="8"/>
      <c r="J442" s="8"/>
      <c r="K442" s="8"/>
      <c r="L442" s="8"/>
      <c r="M442" s="8"/>
      <c r="N442" s="8"/>
      <c r="O442" s="8"/>
      <c r="P442" s="8"/>
    </row>
    <row r="443" spans="1:16" ht="12.75" customHeight="1">
      <c r="A443" s="8"/>
      <c r="B443" s="8"/>
      <c r="C443" s="30"/>
      <c r="D443" s="8"/>
      <c r="E443" s="8"/>
      <c r="F443" s="8"/>
      <c r="G443" s="8"/>
      <c r="H443" s="8"/>
      <c r="I443" s="8"/>
      <c r="J443" s="8"/>
      <c r="K443" s="8"/>
      <c r="L443" s="8"/>
      <c r="M443" s="8"/>
      <c r="N443" s="8"/>
      <c r="O443" s="8"/>
      <c r="P443" s="8"/>
    </row>
    <row r="444" spans="1:16" ht="12.75" customHeight="1">
      <c r="A444" s="8"/>
      <c r="B444" s="8"/>
      <c r="C444" s="30"/>
      <c r="D444" s="8"/>
      <c r="E444" s="8"/>
      <c r="F444" s="8"/>
      <c r="G444" s="8"/>
      <c r="H444" s="8"/>
      <c r="I444" s="8"/>
      <c r="J444" s="8"/>
      <c r="K444" s="8"/>
      <c r="L444" s="8"/>
      <c r="M444" s="8"/>
      <c r="N444" s="8"/>
      <c r="O444" s="8"/>
      <c r="P444" s="8"/>
    </row>
    <row r="445" spans="1:16" ht="12.75" customHeight="1">
      <c r="A445" s="8"/>
      <c r="B445" s="8"/>
      <c r="C445" s="30"/>
      <c r="D445" s="8"/>
      <c r="E445" s="8"/>
      <c r="F445" s="8"/>
      <c r="G445" s="8"/>
      <c r="H445" s="8"/>
      <c r="I445" s="8"/>
      <c r="J445" s="8"/>
      <c r="K445" s="8"/>
      <c r="L445" s="8"/>
      <c r="M445" s="8"/>
      <c r="N445" s="8"/>
      <c r="O445" s="8"/>
      <c r="P445" s="8"/>
    </row>
    <row r="446" spans="1:16" ht="12.75" customHeight="1">
      <c r="A446" s="8"/>
      <c r="B446" s="8"/>
      <c r="C446" s="30"/>
      <c r="D446" s="8"/>
      <c r="E446" s="8"/>
      <c r="F446" s="8"/>
      <c r="G446" s="8"/>
      <c r="H446" s="8"/>
      <c r="I446" s="8"/>
      <c r="J446" s="8"/>
      <c r="K446" s="8"/>
      <c r="L446" s="8"/>
      <c r="M446" s="8"/>
      <c r="N446" s="8"/>
      <c r="O446" s="8"/>
      <c r="P446" s="8"/>
    </row>
    <row r="447" spans="1:16" ht="12.75" customHeight="1">
      <c r="A447" s="8"/>
      <c r="B447" s="8"/>
      <c r="C447" s="30"/>
      <c r="D447" s="8"/>
      <c r="E447" s="8"/>
      <c r="F447" s="8"/>
      <c r="G447" s="8"/>
      <c r="H447" s="8"/>
      <c r="I447" s="8"/>
      <c r="J447" s="8"/>
      <c r="K447" s="8"/>
      <c r="L447" s="8"/>
      <c r="M447" s="8"/>
      <c r="N447" s="8"/>
      <c r="O447" s="8"/>
      <c r="P447" s="8"/>
    </row>
    <row r="448" spans="1:16" ht="12.75" customHeight="1">
      <c r="A448" s="8"/>
      <c r="B448" s="8"/>
      <c r="C448" s="30"/>
      <c r="D448" s="8"/>
      <c r="E448" s="8"/>
      <c r="F448" s="8"/>
      <c r="G448" s="8"/>
      <c r="H448" s="8"/>
      <c r="I448" s="8"/>
      <c r="J448" s="8"/>
      <c r="K448" s="8"/>
      <c r="L448" s="8"/>
      <c r="M448" s="8"/>
      <c r="N448" s="8"/>
      <c r="O448" s="8"/>
      <c r="P448" s="8"/>
    </row>
    <row r="449" spans="1:16" ht="12.75" customHeight="1">
      <c r="A449" s="8"/>
      <c r="B449" s="8"/>
      <c r="C449" s="30"/>
      <c r="D449" s="8"/>
      <c r="E449" s="8"/>
      <c r="F449" s="8"/>
      <c r="G449" s="8"/>
      <c r="H449" s="8"/>
      <c r="I449" s="8"/>
      <c r="J449" s="8"/>
      <c r="K449" s="8"/>
      <c r="L449" s="8"/>
      <c r="M449" s="8"/>
      <c r="N449" s="8"/>
      <c r="O449" s="8"/>
      <c r="P449" s="8"/>
    </row>
    <row r="450" spans="1:16" ht="12.75" customHeight="1">
      <c r="A450" s="8"/>
      <c r="B450" s="8"/>
      <c r="C450" s="30"/>
      <c r="D450" s="8"/>
      <c r="E450" s="8"/>
      <c r="F450" s="8"/>
      <c r="G450" s="8"/>
      <c r="H450" s="8"/>
      <c r="I450" s="8"/>
      <c r="J450" s="8"/>
      <c r="K450" s="8"/>
      <c r="L450" s="8"/>
      <c r="M450" s="8"/>
      <c r="N450" s="8"/>
      <c r="O450" s="8"/>
      <c r="P450" s="8"/>
    </row>
    <row r="451" spans="1:16" ht="12.75" customHeight="1">
      <c r="A451" s="8"/>
      <c r="B451" s="8"/>
      <c r="C451" s="30"/>
      <c r="D451" s="8"/>
      <c r="E451" s="8"/>
      <c r="F451" s="8"/>
      <c r="G451" s="8"/>
      <c r="H451" s="8"/>
      <c r="I451" s="8"/>
      <c r="J451" s="8"/>
      <c r="K451" s="8"/>
      <c r="L451" s="8"/>
      <c r="M451" s="8"/>
      <c r="N451" s="8"/>
      <c r="O451" s="8"/>
      <c r="P451" s="8"/>
    </row>
    <row r="452" spans="1:16" ht="12.75" customHeight="1">
      <c r="A452" s="8"/>
      <c r="B452" s="8"/>
      <c r="C452" s="30"/>
      <c r="D452" s="8"/>
      <c r="E452" s="8"/>
      <c r="F452" s="8"/>
      <c r="G452" s="8"/>
      <c r="H452" s="8"/>
      <c r="I452" s="8"/>
      <c r="J452" s="8"/>
      <c r="K452" s="8"/>
      <c r="L452" s="8"/>
      <c r="M452" s="8"/>
      <c r="N452" s="8"/>
      <c r="O452" s="8"/>
      <c r="P452" s="8"/>
    </row>
    <row r="453" spans="1:16" ht="12.75" customHeight="1">
      <c r="A453" s="8"/>
      <c r="B453" s="8"/>
      <c r="C453" s="30"/>
      <c r="D453" s="8"/>
      <c r="E453" s="8"/>
      <c r="F453" s="8"/>
      <c r="G453" s="8"/>
      <c r="H453" s="8"/>
      <c r="I453" s="8"/>
      <c r="J453" s="8"/>
      <c r="K453" s="8"/>
      <c r="L453" s="8"/>
      <c r="M453" s="8"/>
      <c r="N453" s="8"/>
      <c r="O453" s="8"/>
      <c r="P453" s="8"/>
    </row>
    <row r="454" spans="1:16" ht="12.75" customHeight="1">
      <c r="A454" s="8"/>
      <c r="B454" s="8"/>
      <c r="C454" s="30"/>
      <c r="D454" s="8"/>
      <c r="E454" s="8"/>
      <c r="F454" s="8"/>
      <c r="G454" s="8"/>
      <c r="H454" s="8"/>
      <c r="I454" s="8"/>
      <c r="J454" s="8"/>
      <c r="K454" s="8"/>
      <c r="L454" s="8"/>
      <c r="M454" s="8"/>
      <c r="N454" s="8"/>
      <c r="O454" s="8"/>
      <c r="P454" s="8"/>
    </row>
    <row r="455" spans="1:16" ht="12.75" customHeight="1">
      <c r="A455" s="8"/>
      <c r="B455" s="8"/>
      <c r="C455" s="30"/>
      <c r="D455" s="8"/>
      <c r="E455" s="8"/>
      <c r="F455" s="8"/>
      <c r="G455" s="8"/>
      <c r="H455" s="8"/>
      <c r="I455" s="8"/>
      <c r="J455" s="8"/>
      <c r="K455" s="8"/>
      <c r="L455" s="8"/>
      <c r="M455" s="8"/>
      <c r="N455" s="8"/>
      <c r="O455" s="8"/>
      <c r="P455" s="8"/>
    </row>
    <row r="456" spans="1:16" ht="12.75" customHeight="1">
      <c r="A456" s="8"/>
      <c r="B456" s="8"/>
      <c r="C456" s="30"/>
      <c r="D456" s="8"/>
      <c r="E456" s="8"/>
      <c r="F456" s="8"/>
      <c r="G456" s="8"/>
      <c r="H456" s="8"/>
      <c r="I456" s="8"/>
      <c r="J456" s="8"/>
      <c r="K456" s="8"/>
      <c r="L456" s="8"/>
      <c r="M456" s="8"/>
      <c r="N456" s="8"/>
      <c r="O456" s="8"/>
      <c r="P456" s="8"/>
    </row>
    <row r="457" spans="1:16" ht="12.75" customHeight="1">
      <c r="A457" s="8"/>
      <c r="B457" s="8"/>
      <c r="C457" s="30"/>
      <c r="D457" s="8"/>
      <c r="E457" s="8"/>
      <c r="F457" s="8"/>
      <c r="G457" s="8"/>
      <c r="H457" s="8"/>
      <c r="I457" s="8"/>
      <c r="J457" s="8"/>
      <c r="K457" s="8"/>
      <c r="L457" s="8"/>
      <c r="M457" s="8"/>
      <c r="N457" s="8"/>
      <c r="O457" s="8"/>
      <c r="P457" s="8"/>
    </row>
    <row r="458" spans="1:16" ht="12.75" customHeight="1">
      <c r="A458" s="8"/>
      <c r="B458" s="8"/>
      <c r="C458" s="30"/>
      <c r="D458" s="8"/>
      <c r="E458" s="8"/>
      <c r="F458" s="8"/>
      <c r="G458" s="8"/>
      <c r="H458" s="8"/>
      <c r="I458" s="8"/>
      <c r="J458" s="8"/>
      <c r="K458" s="8"/>
      <c r="L458" s="8"/>
      <c r="M458" s="8"/>
      <c r="N458" s="8"/>
      <c r="O458" s="8"/>
      <c r="P458" s="8"/>
    </row>
    <row r="459" spans="1:16" ht="12.75" customHeight="1">
      <c r="A459" s="8"/>
      <c r="B459" s="8"/>
      <c r="C459" s="30"/>
      <c r="D459" s="8"/>
      <c r="E459" s="8"/>
      <c r="F459" s="8"/>
      <c r="G459" s="8"/>
      <c r="H459" s="8"/>
      <c r="I459" s="8"/>
      <c r="J459" s="8"/>
      <c r="K459" s="8"/>
      <c r="L459" s="8"/>
      <c r="M459" s="8"/>
      <c r="N459" s="8"/>
      <c r="O459" s="8"/>
      <c r="P459" s="8"/>
    </row>
    <row r="460" spans="1:16" ht="12.75" customHeight="1">
      <c r="A460" s="8"/>
      <c r="B460" s="8"/>
      <c r="C460" s="30"/>
      <c r="D460" s="8"/>
      <c r="E460" s="8"/>
      <c r="F460" s="8"/>
      <c r="G460" s="8"/>
      <c r="H460" s="8"/>
      <c r="I460" s="8"/>
      <c r="J460" s="8"/>
      <c r="K460" s="8"/>
      <c r="L460" s="8"/>
      <c r="M460" s="8"/>
      <c r="N460" s="8"/>
      <c r="O460" s="8"/>
      <c r="P460" s="8"/>
    </row>
    <row r="461" spans="1:16" ht="12.75" customHeight="1">
      <c r="A461" s="8"/>
      <c r="B461" s="8"/>
      <c r="C461" s="30"/>
      <c r="D461" s="8"/>
      <c r="E461" s="8"/>
      <c r="F461" s="8"/>
      <c r="G461" s="8"/>
      <c r="H461" s="8"/>
      <c r="I461" s="8"/>
      <c r="J461" s="8"/>
      <c r="K461" s="8"/>
      <c r="L461" s="8"/>
      <c r="M461" s="8"/>
      <c r="N461" s="8"/>
      <c r="O461" s="8"/>
      <c r="P461" s="8"/>
    </row>
    <row r="462" spans="1:16" ht="12.75" customHeight="1">
      <c r="A462" s="8"/>
      <c r="B462" s="8"/>
      <c r="C462" s="30"/>
      <c r="D462" s="8"/>
      <c r="E462" s="8"/>
      <c r="F462" s="8"/>
      <c r="G462" s="8"/>
      <c r="H462" s="8"/>
      <c r="I462" s="8"/>
      <c r="J462" s="8"/>
      <c r="K462" s="8"/>
      <c r="L462" s="8"/>
      <c r="M462" s="8"/>
      <c r="N462" s="8"/>
      <c r="O462" s="8"/>
      <c r="P462" s="8"/>
    </row>
    <row r="463" spans="1:16" ht="12.75" customHeight="1">
      <c r="A463" s="8"/>
      <c r="B463" s="8"/>
      <c r="C463" s="30"/>
      <c r="D463" s="8"/>
      <c r="E463" s="8"/>
      <c r="F463" s="8"/>
      <c r="G463" s="8"/>
      <c r="H463" s="8"/>
      <c r="I463" s="8"/>
      <c r="J463" s="8"/>
      <c r="K463" s="8"/>
      <c r="L463" s="8"/>
      <c r="M463" s="8"/>
      <c r="N463" s="8"/>
      <c r="O463" s="8"/>
      <c r="P463" s="8"/>
    </row>
    <row r="464" spans="1:16" ht="12.75" customHeight="1">
      <c r="A464" s="8"/>
      <c r="B464" s="8"/>
      <c r="C464" s="30"/>
      <c r="D464" s="8"/>
      <c r="E464" s="8"/>
      <c r="F464" s="8"/>
      <c r="G464" s="8"/>
      <c r="H464" s="8"/>
      <c r="I464" s="8"/>
      <c r="J464" s="8"/>
      <c r="K464" s="8"/>
      <c r="L464" s="8"/>
      <c r="M464" s="8"/>
      <c r="N464" s="8"/>
      <c r="O464" s="8"/>
      <c r="P464" s="8"/>
    </row>
    <row r="465" spans="1:16" ht="12.75" customHeight="1">
      <c r="A465" s="8"/>
      <c r="B465" s="8"/>
      <c r="C465" s="30"/>
      <c r="D465" s="8"/>
      <c r="E465" s="8"/>
      <c r="F465" s="8"/>
      <c r="G465" s="8"/>
      <c r="H465" s="8"/>
      <c r="I465" s="8"/>
      <c r="J465" s="8"/>
      <c r="K465" s="8"/>
      <c r="L465" s="8"/>
      <c r="M465" s="8"/>
      <c r="N465" s="8"/>
      <c r="O465" s="8"/>
      <c r="P465" s="8"/>
    </row>
    <row r="466" spans="1:16" ht="12.75" customHeight="1">
      <c r="A466" s="8"/>
      <c r="B466" s="8"/>
      <c r="C466" s="30"/>
      <c r="D466" s="8"/>
      <c r="E466" s="8"/>
      <c r="F466" s="8"/>
      <c r="G466" s="8"/>
      <c r="H466" s="8"/>
      <c r="I466" s="8"/>
      <c r="J466" s="8"/>
      <c r="K466" s="8"/>
      <c r="L466" s="8"/>
      <c r="M466" s="8"/>
      <c r="N466" s="8"/>
      <c r="O466" s="8"/>
      <c r="P466" s="8"/>
    </row>
    <row r="467" spans="1:16" ht="12.75" customHeight="1">
      <c r="A467" s="8"/>
      <c r="B467" s="8"/>
      <c r="C467" s="30"/>
      <c r="D467" s="8"/>
      <c r="E467" s="8"/>
      <c r="F467" s="8"/>
      <c r="G467" s="8"/>
      <c r="H467" s="8"/>
      <c r="I467" s="8"/>
      <c r="J467" s="8"/>
      <c r="K467" s="8"/>
      <c r="L467" s="8"/>
      <c r="M467" s="8"/>
      <c r="N467" s="8"/>
      <c r="O467" s="8"/>
      <c r="P467" s="8"/>
    </row>
    <row r="468" spans="1:16" ht="12.75" customHeight="1">
      <c r="A468" s="8"/>
      <c r="B468" s="8"/>
      <c r="C468" s="30"/>
      <c r="D468" s="8"/>
      <c r="E468" s="8"/>
      <c r="F468" s="8"/>
      <c r="G468" s="8"/>
      <c r="H468" s="8"/>
      <c r="I468" s="8"/>
      <c r="J468" s="8"/>
      <c r="K468" s="8"/>
      <c r="L468" s="8"/>
      <c r="M468" s="8"/>
      <c r="N468" s="8"/>
      <c r="O468" s="8"/>
      <c r="P468" s="8"/>
    </row>
    <row r="469" spans="1:16" ht="12.75" customHeight="1">
      <c r="A469" s="8"/>
      <c r="B469" s="8"/>
      <c r="C469" s="30"/>
      <c r="D469" s="8"/>
      <c r="E469" s="8"/>
      <c r="F469" s="8"/>
      <c r="G469" s="8"/>
      <c r="H469" s="8"/>
      <c r="I469" s="8"/>
      <c r="J469" s="8"/>
      <c r="K469" s="8"/>
      <c r="L469" s="8"/>
      <c r="M469" s="8"/>
      <c r="N469" s="8"/>
      <c r="O469" s="8"/>
      <c r="P469" s="8"/>
    </row>
    <row r="470" spans="1:16" ht="12.75" customHeight="1">
      <c r="A470" s="8"/>
      <c r="B470" s="8"/>
      <c r="C470" s="30"/>
      <c r="D470" s="8"/>
      <c r="E470" s="8"/>
      <c r="F470" s="8"/>
      <c r="G470" s="8"/>
      <c r="H470" s="8"/>
      <c r="I470" s="8"/>
      <c r="J470" s="8"/>
      <c r="K470" s="8"/>
      <c r="L470" s="8"/>
      <c r="M470" s="8"/>
      <c r="N470" s="8"/>
      <c r="O470" s="8"/>
      <c r="P470" s="8"/>
    </row>
    <row r="471" spans="1:16" ht="12.75" customHeight="1">
      <c r="A471" s="8"/>
      <c r="B471" s="8"/>
      <c r="C471" s="30"/>
      <c r="D471" s="8"/>
      <c r="E471" s="8"/>
      <c r="F471" s="8"/>
      <c r="G471" s="8"/>
      <c r="H471" s="8"/>
      <c r="I471" s="8"/>
      <c r="J471" s="8"/>
      <c r="K471" s="8"/>
      <c r="L471" s="8"/>
      <c r="M471" s="8"/>
      <c r="N471" s="8"/>
      <c r="O471" s="8"/>
      <c r="P471" s="8"/>
    </row>
    <row r="472" spans="1:16" ht="12.75" customHeight="1">
      <c r="A472" s="8"/>
      <c r="B472" s="8"/>
      <c r="C472" s="30"/>
      <c r="D472" s="8"/>
      <c r="E472" s="8"/>
      <c r="F472" s="8"/>
      <c r="G472" s="8"/>
      <c r="H472" s="8"/>
      <c r="I472" s="8"/>
      <c r="J472" s="8"/>
      <c r="K472" s="8"/>
      <c r="L472" s="8"/>
      <c r="M472" s="8"/>
      <c r="N472" s="8"/>
      <c r="O472" s="8"/>
      <c r="P472" s="8"/>
    </row>
    <row r="473" spans="1:16" ht="12.75" customHeight="1">
      <c r="A473" s="8"/>
      <c r="B473" s="8"/>
      <c r="C473" s="30"/>
      <c r="D473" s="8"/>
      <c r="E473" s="8"/>
      <c r="F473" s="8"/>
      <c r="G473" s="8"/>
      <c r="H473" s="8"/>
      <c r="I473" s="8"/>
      <c r="J473" s="8"/>
      <c r="K473" s="8"/>
      <c r="L473" s="8"/>
      <c r="M473" s="8"/>
      <c r="N473" s="8"/>
      <c r="O473" s="8"/>
      <c r="P473" s="8"/>
    </row>
    <row r="474" spans="1:16" ht="12.75" customHeight="1">
      <c r="A474" s="8"/>
      <c r="B474" s="8"/>
      <c r="C474" s="30"/>
      <c r="D474" s="8"/>
      <c r="E474" s="8"/>
      <c r="F474" s="8"/>
      <c r="G474" s="8"/>
      <c r="H474" s="8"/>
      <c r="I474" s="8"/>
      <c r="J474" s="8"/>
      <c r="K474" s="8"/>
      <c r="L474" s="8"/>
      <c r="M474" s="8"/>
      <c r="N474" s="8"/>
      <c r="O474" s="8"/>
      <c r="P474" s="8"/>
    </row>
    <row r="475" spans="1:16" ht="12.75" customHeight="1">
      <c r="A475" s="8"/>
      <c r="B475" s="8"/>
      <c r="C475" s="30"/>
      <c r="D475" s="8"/>
      <c r="E475" s="8"/>
      <c r="F475" s="8"/>
      <c r="G475" s="8"/>
      <c r="H475" s="8"/>
      <c r="I475" s="8"/>
      <c r="J475" s="8"/>
      <c r="K475" s="8"/>
      <c r="L475" s="8"/>
      <c r="M475" s="8"/>
      <c r="N475" s="8"/>
      <c r="O475" s="8"/>
      <c r="P475" s="8"/>
    </row>
    <row r="476" spans="1:16" ht="12.75" customHeight="1">
      <c r="A476" s="8"/>
      <c r="B476" s="8"/>
      <c r="C476" s="30"/>
      <c r="D476" s="8"/>
      <c r="E476" s="8"/>
      <c r="F476" s="8"/>
      <c r="G476" s="8"/>
      <c r="H476" s="8"/>
      <c r="I476" s="8"/>
      <c r="J476" s="8"/>
      <c r="K476" s="8"/>
      <c r="L476" s="8"/>
      <c r="M476" s="8"/>
      <c r="N476" s="8"/>
      <c r="O476" s="8"/>
      <c r="P476" s="8"/>
    </row>
    <row r="477" spans="1:16" ht="12.75" customHeight="1">
      <c r="A477" s="8"/>
      <c r="B477" s="8"/>
      <c r="C477" s="30"/>
      <c r="D477" s="8"/>
      <c r="E477" s="8"/>
      <c r="F477" s="8"/>
      <c r="G477" s="8"/>
      <c r="H477" s="8"/>
      <c r="I477" s="8"/>
      <c r="J477" s="8"/>
      <c r="K477" s="8"/>
      <c r="L477" s="8"/>
      <c r="M477" s="8"/>
      <c r="N477" s="8"/>
      <c r="O477" s="8"/>
      <c r="P477" s="8"/>
    </row>
    <row r="478" spans="1:16" ht="12.75" customHeight="1">
      <c r="A478" s="8"/>
      <c r="B478" s="8"/>
      <c r="C478" s="30"/>
      <c r="D478" s="8"/>
      <c r="E478" s="8"/>
      <c r="F478" s="8"/>
      <c r="G478" s="8"/>
      <c r="H478" s="8"/>
      <c r="I478" s="8"/>
      <c r="J478" s="8"/>
      <c r="K478" s="8"/>
      <c r="L478" s="8"/>
      <c r="M478" s="8"/>
      <c r="N478" s="8"/>
      <c r="O478" s="8"/>
      <c r="P478" s="8"/>
    </row>
    <row r="479" spans="1:16" ht="12.75" customHeight="1">
      <c r="A479" s="8"/>
      <c r="B479" s="8"/>
      <c r="C479" s="30"/>
      <c r="D479" s="8"/>
      <c r="E479" s="8"/>
      <c r="F479" s="8"/>
      <c r="G479" s="8"/>
      <c r="H479" s="8"/>
      <c r="I479" s="8"/>
      <c r="J479" s="8"/>
      <c r="K479" s="8"/>
      <c r="L479" s="8"/>
      <c r="M479" s="8"/>
      <c r="N479" s="8"/>
      <c r="O479" s="8"/>
      <c r="P479" s="8"/>
    </row>
    <row r="480" spans="1:16" ht="12.75" customHeight="1">
      <c r="A480" s="8"/>
      <c r="B480" s="8"/>
      <c r="C480" s="30"/>
      <c r="D480" s="8"/>
      <c r="E480" s="8"/>
      <c r="F480" s="8"/>
      <c r="G480" s="8"/>
      <c r="H480" s="8"/>
      <c r="I480" s="8"/>
      <c r="J480" s="8"/>
      <c r="K480" s="8"/>
      <c r="L480" s="8"/>
      <c r="M480" s="8"/>
      <c r="N480" s="8"/>
      <c r="O480" s="8"/>
      <c r="P480" s="8"/>
    </row>
    <row r="481" spans="1:16" ht="12.75" customHeight="1">
      <c r="A481" s="8"/>
      <c r="B481" s="8"/>
      <c r="C481" s="30"/>
      <c r="D481" s="8"/>
      <c r="E481" s="8"/>
      <c r="F481" s="8"/>
      <c r="G481" s="8"/>
      <c r="H481" s="8"/>
      <c r="I481" s="8"/>
      <c r="J481" s="8"/>
      <c r="K481" s="8"/>
      <c r="L481" s="8"/>
      <c r="M481" s="8"/>
      <c r="N481" s="8"/>
      <c r="O481" s="8"/>
      <c r="P481" s="8"/>
    </row>
    <row r="482" spans="1:16" ht="12.75" customHeight="1">
      <c r="A482" s="8"/>
      <c r="B482" s="8"/>
      <c r="C482" s="30"/>
      <c r="D482" s="8"/>
      <c r="E482" s="8"/>
      <c r="F482" s="8"/>
      <c r="G482" s="8"/>
      <c r="H482" s="8"/>
      <c r="I482" s="8"/>
      <c r="J482" s="8"/>
      <c r="K482" s="8"/>
      <c r="L482" s="8"/>
      <c r="M482" s="8"/>
      <c r="N482" s="8"/>
      <c r="O482" s="8"/>
      <c r="P482" s="8"/>
    </row>
    <row r="483" spans="1:16" ht="12.75" customHeight="1">
      <c r="A483" s="8"/>
      <c r="B483" s="8"/>
      <c r="C483" s="30"/>
      <c r="D483" s="8"/>
      <c r="E483" s="8"/>
      <c r="F483" s="8"/>
      <c r="G483" s="8"/>
      <c r="H483" s="8"/>
      <c r="I483" s="8"/>
      <c r="J483" s="8"/>
      <c r="K483" s="8"/>
      <c r="L483" s="8"/>
      <c r="M483" s="8"/>
      <c r="N483" s="8"/>
      <c r="O483" s="8"/>
      <c r="P483" s="8"/>
    </row>
    <row r="484" spans="1:16" ht="12.75" customHeight="1">
      <c r="A484" s="8"/>
      <c r="B484" s="8"/>
      <c r="C484" s="30"/>
      <c r="D484" s="8"/>
      <c r="E484" s="8"/>
      <c r="F484" s="8"/>
      <c r="G484" s="8"/>
      <c r="H484" s="8"/>
      <c r="I484" s="8"/>
      <c r="J484" s="8"/>
      <c r="K484" s="8"/>
      <c r="L484" s="8"/>
      <c r="M484" s="8"/>
      <c r="N484" s="8"/>
      <c r="O484" s="8"/>
      <c r="P484" s="8"/>
    </row>
    <row r="485" spans="1:16" ht="12.75" customHeight="1">
      <c r="A485" s="8"/>
      <c r="B485" s="8"/>
      <c r="C485" s="30"/>
      <c r="D485" s="8"/>
      <c r="E485" s="8"/>
      <c r="F485" s="8"/>
      <c r="G485" s="8"/>
      <c r="H485" s="8"/>
      <c r="I485" s="8"/>
      <c r="J485" s="8"/>
      <c r="K485" s="8"/>
      <c r="L485" s="8"/>
      <c r="M485" s="8"/>
      <c r="N485" s="8"/>
      <c r="O485" s="8"/>
      <c r="P485" s="8"/>
    </row>
    <row r="486" spans="1:16" ht="12.75" customHeight="1">
      <c r="A486" s="8"/>
      <c r="B486" s="8"/>
      <c r="C486" s="30"/>
      <c r="D486" s="8"/>
      <c r="E486" s="8"/>
      <c r="F486" s="8"/>
      <c r="G486" s="8"/>
      <c r="H486" s="8"/>
      <c r="I486" s="8"/>
      <c r="J486" s="8"/>
      <c r="K486" s="8"/>
      <c r="L486" s="8"/>
      <c r="M486" s="8"/>
      <c r="N486" s="8"/>
      <c r="O486" s="8"/>
      <c r="P486" s="8"/>
    </row>
    <row r="487" spans="1:16" ht="12.75" customHeight="1">
      <c r="A487" s="8"/>
      <c r="B487" s="8"/>
      <c r="C487" s="30"/>
      <c r="D487" s="8"/>
      <c r="E487" s="8"/>
      <c r="F487" s="8"/>
      <c r="G487" s="8"/>
      <c r="H487" s="8"/>
      <c r="I487" s="8"/>
      <c r="J487" s="8"/>
      <c r="K487" s="8"/>
      <c r="L487" s="8"/>
      <c r="M487" s="8"/>
      <c r="N487" s="8"/>
      <c r="O487" s="8"/>
      <c r="P487" s="8"/>
    </row>
    <row r="488" spans="1:16" ht="12.75" customHeight="1">
      <c r="A488" s="8"/>
      <c r="B488" s="8"/>
      <c r="C488" s="30"/>
      <c r="D488" s="8"/>
      <c r="E488" s="8"/>
      <c r="F488" s="8"/>
      <c r="G488" s="8"/>
      <c r="H488" s="8"/>
      <c r="I488" s="8"/>
      <c r="J488" s="8"/>
      <c r="K488" s="8"/>
      <c r="L488" s="8"/>
      <c r="M488" s="8"/>
      <c r="N488" s="8"/>
      <c r="O488" s="8"/>
      <c r="P488" s="8"/>
    </row>
    <row r="489" spans="1:16" ht="12.75" customHeight="1">
      <c r="A489" s="8"/>
      <c r="B489" s="8"/>
      <c r="C489" s="30"/>
      <c r="D489" s="8"/>
      <c r="E489" s="8"/>
      <c r="F489" s="8"/>
      <c r="G489" s="8"/>
      <c r="H489" s="8"/>
      <c r="I489" s="8"/>
      <c r="J489" s="8"/>
      <c r="K489" s="8"/>
      <c r="L489" s="8"/>
      <c r="M489" s="8"/>
      <c r="N489" s="8"/>
      <c r="O489" s="8"/>
      <c r="P489" s="8"/>
    </row>
    <row r="490" spans="1:16" ht="12.75" customHeight="1">
      <c r="A490" s="8"/>
      <c r="B490" s="8"/>
      <c r="C490" s="30"/>
      <c r="D490" s="8"/>
      <c r="E490" s="8"/>
      <c r="F490" s="8"/>
      <c r="G490" s="8"/>
      <c r="H490" s="8"/>
      <c r="I490" s="8"/>
      <c r="J490" s="8"/>
      <c r="K490" s="8"/>
      <c r="L490" s="8"/>
      <c r="M490" s="8"/>
      <c r="N490" s="8"/>
      <c r="O490" s="8"/>
      <c r="P490" s="8"/>
    </row>
    <row r="491" spans="1:16" ht="12.75" customHeight="1">
      <c r="A491" s="8"/>
      <c r="B491" s="8"/>
      <c r="C491" s="30"/>
      <c r="D491" s="8"/>
      <c r="E491" s="8"/>
      <c r="F491" s="8"/>
      <c r="G491" s="8"/>
      <c r="H491" s="8"/>
      <c r="I491" s="8"/>
      <c r="J491" s="8"/>
      <c r="K491" s="8"/>
      <c r="L491" s="8"/>
      <c r="M491" s="8"/>
      <c r="N491" s="8"/>
      <c r="O491" s="8"/>
      <c r="P491" s="8"/>
    </row>
    <row r="492" spans="1:16" ht="12.75" customHeight="1">
      <c r="A492" s="8"/>
      <c r="B492" s="8"/>
      <c r="C492" s="30"/>
      <c r="D492" s="8"/>
      <c r="E492" s="8"/>
      <c r="F492" s="8"/>
      <c r="G492" s="8"/>
      <c r="H492" s="8"/>
      <c r="I492" s="8"/>
      <c r="J492" s="8"/>
      <c r="K492" s="8"/>
      <c r="L492" s="8"/>
      <c r="M492" s="8"/>
      <c r="N492" s="8"/>
      <c r="O492" s="8"/>
      <c r="P492" s="8"/>
    </row>
    <row r="493" spans="1:16" ht="12.75" customHeight="1">
      <c r="A493" s="8"/>
      <c r="B493" s="8"/>
      <c r="C493" s="30"/>
      <c r="D493" s="8"/>
      <c r="E493" s="8"/>
      <c r="F493" s="8"/>
      <c r="G493" s="8"/>
      <c r="H493" s="8"/>
      <c r="I493" s="8"/>
      <c r="J493" s="8"/>
      <c r="K493" s="8"/>
      <c r="L493" s="8"/>
      <c r="M493" s="8"/>
      <c r="N493" s="8"/>
      <c r="O493" s="8"/>
      <c r="P493" s="8"/>
    </row>
    <row r="494" spans="1:16" ht="12.75" customHeight="1">
      <c r="A494" s="8"/>
      <c r="B494" s="8"/>
      <c r="C494" s="30"/>
      <c r="D494" s="8"/>
      <c r="E494" s="8"/>
      <c r="F494" s="8"/>
      <c r="G494" s="8"/>
      <c r="H494" s="8"/>
      <c r="I494" s="8"/>
      <c r="J494" s="8"/>
      <c r="K494" s="8"/>
      <c r="L494" s="8"/>
      <c r="M494" s="8"/>
      <c r="N494" s="8"/>
      <c r="O494" s="8"/>
      <c r="P494" s="8"/>
    </row>
    <row r="495" spans="1:16" ht="12.75" customHeight="1">
      <c r="A495" s="8"/>
      <c r="B495" s="8"/>
      <c r="C495" s="30"/>
      <c r="D495" s="8"/>
      <c r="E495" s="8"/>
      <c r="F495" s="8"/>
      <c r="G495" s="8"/>
      <c r="H495" s="8"/>
      <c r="I495" s="8"/>
      <c r="J495" s="8"/>
      <c r="K495" s="8"/>
      <c r="L495" s="8"/>
      <c r="M495" s="8"/>
      <c r="N495" s="8"/>
      <c r="O495" s="8"/>
      <c r="P495" s="8"/>
    </row>
    <row r="496" spans="1:16" ht="12.75" customHeight="1">
      <c r="A496" s="8"/>
      <c r="B496" s="8"/>
      <c r="C496" s="30"/>
      <c r="D496" s="8"/>
      <c r="E496" s="8"/>
      <c r="F496" s="8"/>
      <c r="G496" s="8"/>
      <c r="H496" s="8"/>
      <c r="I496" s="8"/>
      <c r="J496" s="8"/>
      <c r="K496" s="8"/>
      <c r="L496" s="8"/>
      <c r="M496" s="8"/>
      <c r="N496" s="8"/>
      <c r="O496" s="8"/>
      <c r="P496" s="8"/>
    </row>
    <row r="497" spans="1:16" ht="12.75" customHeight="1">
      <c r="A497" s="8"/>
      <c r="B497" s="8"/>
      <c r="C497" s="30"/>
      <c r="D497" s="8"/>
      <c r="E497" s="8"/>
      <c r="F497" s="8"/>
      <c r="G497" s="8"/>
      <c r="H497" s="8"/>
      <c r="I497" s="8"/>
      <c r="J497" s="8"/>
      <c r="K497" s="8"/>
      <c r="L497" s="8"/>
      <c r="M497" s="8"/>
      <c r="N497" s="8"/>
      <c r="O497" s="8"/>
      <c r="P497" s="8"/>
    </row>
    <row r="498" spans="1:16" ht="12.75" customHeight="1">
      <c r="A498" s="8"/>
      <c r="B498" s="8"/>
      <c r="C498" s="30"/>
      <c r="D498" s="8"/>
      <c r="E498" s="8"/>
      <c r="F498" s="8"/>
      <c r="G498" s="8"/>
      <c r="H498" s="8"/>
      <c r="I498" s="8"/>
      <c r="J498" s="8"/>
      <c r="K498" s="8"/>
      <c r="L498" s="8"/>
      <c r="M498" s="8"/>
      <c r="N498" s="8"/>
      <c r="O498" s="8"/>
      <c r="P498" s="8"/>
    </row>
    <row r="499" spans="1:16" ht="12.75" customHeight="1">
      <c r="A499" s="8"/>
      <c r="B499" s="8"/>
      <c r="C499" s="30"/>
      <c r="D499" s="8"/>
      <c r="E499" s="8"/>
      <c r="F499" s="8"/>
      <c r="G499" s="8"/>
      <c r="H499" s="8"/>
      <c r="I499" s="8"/>
      <c r="J499" s="8"/>
      <c r="K499" s="8"/>
      <c r="L499" s="8"/>
      <c r="M499" s="8"/>
      <c r="N499" s="8"/>
      <c r="O499" s="8"/>
      <c r="P499" s="8"/>
    </row>
    <row r="500" spans="1:16" ht="12.75" customHeight="1">
      <c r="A500" s="8"/>
      <c r="B500" s="8"/>
      <c r="C500" s="30"/>
      <c r="D500" s="8"/>
      <c r="E500" s="8"/>
      <c r="F500" s="8"/>
      <c r="G500" s="8"/>
      <c r="H500" s="8"/>
      <c r="I500" s="8"/>
      <c r="J500" s="8"/>
      <c r="K500" s="8"/>
      <c r="L500" s="8"/>
      <c r="M500" s="8"/>
      <c r="N500" s="8"/>
      <c r="O500" s="8"/>
      <c r="P500" s="8"/>
    </row>
    <row r="501" spans="1:16" ht="12.75" customHeight="1">
      <c r="A501" s="8"/>
      <c r="B501" s="8"/>
      <c r="C501" s="30"/>
      <c r="D501" s="8"/>
      <c r="E501" s="8"/>
      <c r="F501" s="8"/>
      <c r="G501" s="8"/>
      <c r="H501" s="8"/>
      <c r="I501" s="8"/>
      <c r="J501" s="8"/>
      <c r="K501" s="8"/>
      <c r="L501" s="8"/>
      <c r="M501" s="8"/>
      <c r="N501" s="8"/>
      <c r="O501" s="8"/>
      <c r="P501" s="8"/>
    </row>
    <row r="502" spans="1:16" ht="12.75" customHeight="1">
      <c r="A502" s="8"/>
      <c r="B502" s="8"/>
      <c r="C502" s="30"/>
      <c r="D502" s="8"/>
      <c r="E502" s="8"/>
      <c r="F502" s="8"/>
      <c r="G502" s="8"/>
      <c r="H502" s="8"/>
      <c r="I502" s="8"/>
      <c r="J502" s="8"/>
      <c r="K502" s="8"/>
      <c r="L502" s="8"/>
      <c r="M502" s="8"/>
      <c r="N502" s="8"/>
      <c r="O502" s="8"/>
      <c r="P502" s="8"/>
    </row>
    <row r="503" spans="1:16" ht="12.75" customHeight="1">
      <c r="A503" s="8"/>
      <c r="B503" s="8"/>
      <c r="C503" s="30"/>
      <c r="D503" s="8"/>
      <c r="E503" s="8"/>
      <c r="F503" s="8"/>
      <c r="G503" s="8"/>
      <c r="H503" s="8"/>
      <c r="I503" s="8"/>
      <c r="J503" s="8"/>
      <c r="K503" s="8"/>
      <c r="L503" s="8"/>
      <c r="M503" s="8"/>
      <c r="N503" s="8"/>
      <c r="O503" s="8"/>
      <c r="P503" s="8"/>
    </row>
    <row r="504" spans="1:16" ht="12.75" customHeight="1">
      <c r="A504" s="8"/>
      <c r="B504" s="8"/>
      <c r="C504" s="30"/>
      <c r="D504" s="8"/>
      <c r="E504" s="8"/>
      <c r="F504" s="8"/>
      <c r="G504" s="8"/>
      <c r="H504" s="8"/>
      <c r="I504" s="8"/>
      <c r="J504" s="8"/>
      <c r="K504" s="8"/>
      <c r="L504" s="8"/>
      <c r="M504" s="8"/>
      <c r="N504" s="8"/>
      <c r="O504" s="8"/>
      <c r="P504" s="8"/>
    </row>
    <row r="505" spans="1:16" ht="12.75" customHeight="1">
      <c r="A505" s="8"/>
      <c r="B505" s="8"/>
      <c r="C505" s="30"/>
      <c r="D505" s="8"/>
      <c r="E505" s="8"/>
      <c r="F505" s="8"/>
      <c r="G505" s="8"/>
      <c r="H505" s="8"/>
      <c r="I505" s="8"/>
      <c r="J505" s="8"/>
      <c r="K505" s="8"/>
      <c r="L505" s="8"/>
      <c r="M505" s="8"/>
      <c r="N505" s="8"/>
      <c r="O505" s="8"/>
      <c r="P505" s="8"/>
    </row>
    <row r="506" spans="1:16" ht="12.75" customHeight="1">
      <c r="A506" s="8"/>
      <c r="B506" s="8"/>
      <c r="C506" s="30"/>
      <c r="D506" s="8"/>
      <c r="E506" s="8"/>
      <c r="F506" s="8"/>
      <c r="G506" s="8"/>
      <c r="H506" s="8"/>
      <c r="I506" s="8"/>
      <c r="J506" s="8"/>
      <c r="K506" s="8"/>
      <c r="L506" s="8"/>
      <c r="M506" s="8"/>
      <c r="N506" s="8"/>
      <c r="O506" s="8"/>
      <c r="P506" s="8"/>
    </row>
    <row r="507" spans="1:16" ht="12.75" customHeight="1">
      <c r="A507" s="8"/>
      <c r="B507" s="8"/>
      <c r="C507" s="30"/>
      <c r="D507" s="8"/>
      <c r="E507" s="8"/>
      <c r="F507" s="8"/>
      <c r="G507" s="8"/>
      <c r="H507" s="8"/>
      <c r="I507" s="8"/>
      <c r="J507" s="8"/>
      <c r="K507" s="8"/>
      <c r="L507" s="8"/>
      <c r="M507" s="8"/>
      <c r="N507" s="8"/>
      <c r="O507" s="8"/>
      <c r="P507" s="8"/>
    </row>
    <row r="508" spans="1:16" ht="12.75" customHeight="1">
      <c r="A508" s="8"/>
      <c r="B508" s="8"/>
      <c r="C508" s="30"/>
      <c r="D508" s="8"/>
      <c r="E508" s="8"/>
      <c r="F508" s="8"/>
      <c r="G508" s="8"/>
      <c r="H508" s="8"/>
      <c r="I508" s="8"/>
      <c r="J508" s="8"/>
      <c r="K508" s="8"/>
      <c r="L508" s="8"/>
      <c r="M508" s="8"/>
      <c r="N508" s="8"/>
      <c r="O508" s="8"/>
      <c r="P508" s="8"/>
    </row>
    <row r="509" spans="1:16" ht="12.75" customHeight="1">
      <c r="A509" s="8"/>
      <c r="B509" s="8"/>
      <c r="C509" s="30"/>
      <c r="D509" s="8"/>
      <c r="E509" s="8"/>
      <c r="F509" s="8"/>
      <c r="G509" s="8"/>
      <c r="H509" s="8"/>
      <c r="I509" s="8"/>
      <c r="J509" s="8"/>
      <c r="K509" s="8"/>
      <c r="L509" s="8"/>
      <c r="M509" s="8"/>
      <c r="N509" s="8"/>
      <c r="O509" s="8"/>
      <c r="P509" s="8"/>
    </row>
    <row r="510" spans="1:16" ht="12.75" customHeight="1">
      <c r="A510" s="8"/>
      <c r="B510" s="8"/>
      <c r="C510" s="30"/>
      <c r="D510" s="8"/>
      <c r="E510" s="8"/>
      <c r="F510" s="8"/>
      <c r="G510" s="8"/>
      <c r="H510" s="8"/>
      <c r="I510" s="8"/>
      <c r="J510" s="8"/>
      <c r="K510" s="8"/>
      <c r="L510" s="8"/>
      <c r="M510" s="8"/>
      <c r="N510" s="8"/>
      <c r="O510" s="8"/>
      <c r="P510" s="8"/>
    </row>
    <row r="511" spans="1:16" ht="12.75" customHeight="1">
      <c r="A511" s="8"/>
      <c r="B511" s="8"/>
      <c r="C511" s="30"/>
      <c r="D511" s="8"/>
      <c r="E511" s="8"/>
      <c r="F511" s="8"/>
      <c r="G511" s="8"/>
      <c r="H511" s="8"/>
      <c r="I511" s="8"/>
      <c r="J511" s="8"/>
      <c r="K511" s="8"/>
      <c r="L511" s="8"/>
      <c r="M511" s="8"/>
      <c r="N511" s="8"/>
      <c r="O511" s="8"/>
      <c r="P511" s="8"/>
    </row>
    <row r="512" spans="1:16" ht="12.75" customHeight="1">
      <c r="A512" s="8"/>
      <c r="B512" s="8"/>
      <c r="C512" s="30"/>
      <c r="D512" s="8"/>
      <c r="E512" s="8"/>
      <c r="F512" s="8"/>
      <c r="G512" s="8"/>
      <c r="H512" s="8"/>
      <c r="I512" s="8"/>
      <c r="J512" s="8"/>
      <c r="K512" s="8"/>
      <c r="L512" s="8"/>
      <c r="M512" s="8"/>
      <c r="N512" s="8"/>
      <c r="O512" s="8"/>
      <c r="P512" s="8"/>
    </row>
    <row r="513" spans="1:16" ht="12.75" customHeight="1">
      <c r="A513" s="8"/>
      <c r="B513" s="8"/>
      <c r="C513" s="30"/>
      <c r="D513" s="8"/>
      <c r="E513" s="8"/>
      <c r="F513" s="8"/>
      <c r="G513" s="8"/>
      <c r="H513" s="8"/>
      <c r="I513" s="8"/>
      <c r="J513" s="8"/>
      <c r="K513" s="8"/>
      <c r="L513" s="8"/>
      <c r="M513" s="8"/>
      <c r="N513" s="8"/>
      <c r="O513" s="8"/>
      <c r="P513" s="8"/>
    </row>
    <row r="514" spans="1:16" ht="12.75" customHeight="1">
      <c r="A514" s="8"/>
      <c r="B514" s="8"/>
      <c r="C514" s="30"/>
      <c r="D514" s="8"/>
      <c r="E514" s="8"/>
      <c r="F514" s="8"/>
      <c r="G514" s="8"/>
      <c r="H514" s="8"/>
      <c r="I514" s="8"/>
      <c r="J514" s="8"/>
      <c r="K514" s="8"/>
      <c r="L514" s="8"/>
      <c r="M514" s="8"/>
      <c r="N514" s="8"/>
      <c r="O514" s="8"/>
      <c r="P514" s="8"/>
    </row>
    <row r="515" spans="1:16" ht="12.75" customHeight="1">
      <c r="A515" s="8"/>
      <c r="B515" s="8"/>
      <c r="C515" s="30"/>
      <c r="D515" s="8"/>
      <c r="E515" s="8"/>
      <c r="F515" s="8"/>
      <c r="G515" s="8"/>
      <c r="H515" s="8"/>
      <c r="I515" s="8"/>
      <c r="J515" s="8"/>
      <c r="K515" s="8"/>
      <c r="L515" s="8"/>
      <c r="M515" s="8"/>
      <c r="N515" s="8"/>
      <c r="O515" s="8"/>
      <c r="P515" s="8"/>
    </row>
    <row r="516" spans="1:16" ht="12.75" customHeight="1">
      <c r="A516" s="8"/>
      <c r="B516" s="8"/>
      <c r="C516" s="30"/>
      <c r="D516" s="8"/>
      <c r="E516" s="8"/>
      <c r="F516" s="8"/>
      <c r="G516" s="8"/>
      <c r="H516" s="8"/>
      <c r="I516" s="8"/>
      <c r="J516" s="8"/>
      <c r="K516" s="8"/>
      <c r="L516" s="8"/>
      <c r="M516" s="8"/>
      <c r="N516" s="8"/>
      <c r="O516" s="8"/>
      <c r="P516" s="8"/>
    </row>
    <row r="517" spans="1:16" ht="12.75" customHeight="1">
      <c r="A517" s="8"/>
      <c r="B517" s="8"/>
      <c r="C517" s="30"/>
      <c r="D517" s="8"/>
      <c r="E517" s="8"/>
      <c r="F517" s="8"/>
      <c r="G517" s="8"/>
      <c r="H517" s="8"/>
      <c r="I517" s="8"/>
      <c r="J517" s="8"/>
      <c r="K517" s="8"/>
      <c r="L517" s="8"/>
      <c r="M517" s="8"/>
      <c r="N517" s="8"/>
      <c r="O517" s="8"/>
      <c r="P517" s="8"/>
    </row>
    <row r="518" spans="1:16" ht="12.75" customHeight="1">
      <c r="A518" s="8"/>
      <c r="B518" s="8"/>
      <c r="C518" s="30"/>
      <c r="D518" s="8"/>
      <c r="E518" s="8"/>
      <c r="F518" s="8"/>
      <c r="G518" s="8"/>
      <c r="H518" s="8"/>
      <c r="I518" s="8"/>
      <c r="J518" s="8"/>
      <c r="K518" s="8"/>
      <c r="L518" s="8"/>
      <c r="M518" s="8"/>
      <c r="N518" s="8"/>
      <c r="O518" s="8"/>
      <c r="P518" s="8"/>
    </row>
    <row r="519" spans="1:16" ht="12.75" customHeight="1">
      <c r="A519" s="8"/>
      <c r="B519" s="8"/>
      <c r="C519" s="30"/>
      <c r="D519" s="8"/>
      <c r="E519" s="8"/>
      <c r="F519" s="8"/>
      <c r="G519" s="8"/>
      <c r="H519" s="8"/>
      <c r="I519" s="8"/>
      <c r="J519" s="8"/>
      <c r="K519" s="8"/>
      <c r="L519" s="8"/>
      <c r="M519" s="8"/>
      <c r="N519" s="8"/>
      <c r="O519" s="8"/>
      <c r="P519" s="8"/>
    </row>
    <row r="520" spans="1:16" ht="12.75" customHeight="1">
      <c r="A520" s="8"/>
      <c r="B520" s="8"/>
      <c r="C520" s="30"/>
      <c r="D520" s="8"/>
      <c r="E520" s="8"/>
      <c r="F520" s="8"/>
      <c r="G520" s="8"/>
      <c r="H520" s="8"/>
      <c r="I520" s="8"/>
      <c r="J520" s="8"/>
      <c r="K520" s="8"/>
      <c r="L520" s="8"/>
      <c r="M520" s="8"/>
      <c r="N520" s="8"/>
      <c r="O520" s="8"/>
      <c r="P520" s="8"/>
    </row>
    <row r="521" spans="1:16" ht="12.75" customHeight="1">
      <c r="A521" s="8"/>
      <c r="B521" s="8"/>
      <c r="C521" s="30"/>
      <c r="D521" s="8"/>
      <c r="E521" s="8"/>
      <c r="F521" s="8"/>
      <c r="G521" s="8"/>
      <c r="H521" s="8"/>
      <c r="I521" s="8"/>
      <c r="J521" s="8"/>
      <c r="K521" s="8"/>
      <c r="L521" s="8"/>
      <c r="M521" s="8"/>
      <c r="N521" s="8"/>
      <c r="O521" s="8"/>
      <c r="P521" s="8"/>
    </row>
    <row r="522" spans="1:16" ht="12.75" customHeight="1">
      <c r="A522" s="8"/>
      <c r="B522" s="8"/>
      <c r="C522" s="30"/>
      <c r="D522" s="8"/>
      <c r="E522" s="8"/>
      <c r="F522" s="8"/>
      <c r="G522" s="8"/>
      <c r="H522" s="8"/>
      <c r="I522" s="8"/>
      <c r="J522" s="8"/>
      <c r="K522" s="8"/>
      <c r="L522" s="8"/>
      <c r="M522" s="8"/>
      <c r="N522" s="8"/>
      <c r="O522" s="8"/>
      <c r="P522" s="8"/>
    </row>
    <row r="523" spans="1:16" ht="12.75" customHeight="1">
      <c r="A523" s="8"/>
      <c r="B523" s="8"/>
      <c r="C523" s="30"/>
      <c r="D523" s="8"/>
      <c r="E523" s="8"/>
      <c r="F523" s="8"/>
      <c r="G523" s="8"/>
      <c r="H523" s="8"/>
      <c r="I523" s="8"/>
      <c r="J523" s="8"/>
      <c r="K523" s="8"/>
      <c r="L523" s="8"/>
      <c r="M523" s="8"/>
      <c r="N523" s="8"/>
      <c r="O523" s="8"/>
      <c r="P523" s="8"/>
    </row>
    <row r="524" spans="1:16" ht="12.75" customHeight="1">
      <c r="A524" s="8"/>
      <c r="B524" s="8"/>
      <c r="C524" s="30"/>
      <c r="D524" s="8"/>
      <c r="E524" s="8"/>
      <c r="F524" s="8"/>
      <c r="G524" s="8"/>
      <c r="H524" s="8"/>
      <c r="I524" s="8"/>
      <c r="J524" s="8"/>
      <c r="K524" s="8"/>
      <c r="L524" s="8"/>
      <c r="M524" s="8"/>
      <c r="N524" s="8"/>
      <c r="O524" s="8"/>
      <c r="P524" s="8"/>
    </row>
    <row r="525" spans="1:16" ht="12.75" customHeight="1">
      <c r="A525" s="8"/>
      <c r="B525" s="8"/>
      <c r="C525" s="30"/>
      <c r="D525" s="8"/>
      <c r="E525" s="8"/>
      <c r="F525" s="8"/>
      <c r="G525" s="8"/>
      <c r="H525" s="8"/>
      <c r="I525" s="8"/>
      <c r="J525" s="8"/>
      <c r="K525" s="8"/>
      <c r="L525" s="8"/>
      <c r="M525" s="8"/>
      <c r="N525" s="8"/>
      <c r="O525" s="8"/>
      <c r="P525" s="8"/>
    </row>
    <row r="526" spans="1:16" ht="12.75" customHeight="1">
      <c r="A526" s="8"/>
      <c r="B526" s="8"/>
      <c r="C526" s="30"/>
      <c r="D526" s="8"/>
      <c r="E526" s="8"/>
      <c r="F526" s="8"/>
      <c r="G526" s="8"/>
      <c r="H526" s="8"/>
      <c r="I526" s="8"/>
      <c r="J526" s="8"/>
      <c r="K526" s="8"/>
      <c r="L526" s="8"/>
      <c r="M526" s="8"/>
      <c r="N526" s="8"/>
      <c r="O526" s="8"/>
      <c r="P526" s="8"/>
    </row>
    <row r="527" spans="1:16" ht="12.75" customHeight="1">
      <c r="A527" s="8"/>
      <c r="B527" s="8"/>
      <c r="C527" s="30"/>
      <c r="D527" s="8"/>
      <c r="E527" s="8"/>
      <c r="F527" s="8"/>
      <c r="G527" s="8"/>
      <c r="H527" s="8"/>
      <c r="I527" s="8"/>
      <c r="J527" s="8"/>
      <c r="K527" s="8"/>
      <c r="L527" s="8"/>
      <c r="M527" s="8"/>
      <c r="N527" s="8"/>
      <c r="O527" s="8"/>
      <c r="P527" s="8"/>
    </row>
    <row r="528" spans="1:16" ht="12.75" customHeight="1">
      <c r="A528" s="8"/>
      <c r="B528" s="8"/>
      <c r="C528" s="30"/>
      <c r="D528" s="8"/>
      <c r="E528" s="8"/>
      <c r="F528" s="8"/>
      <c r="G528" s="8"/>
      <c r="H528" s="8"/>
      <c r="I528" s="8"/>
      <c r="J528" s="8"/>
      <c r="K528" s="8"/>
      <c r="L528" s="8"/>
      <c r="M528" s="8"/>
      <c r="N528" s="8"/>
      <c r="O528" s="8"/>
      <c r="P528" s="8"/>
    </row>
    <row r="529" spans="1:16" ht="12.75" customHeight="1">
      <c r="A529" s="8"/>
      <c r="B529" s="8"/>
      <c r="C529" s="30"/>
      <c r="D529" s="8"/>
      <c r="E529" s="8"/>
      <c r="F529" s="8"/>
      <c r="G529" s="8"/>
      <c r="H529" s="8"/>
      <c r="I529" s="8"/>
      <c r="J529" s="8"/>
      <c r="K529" s="8"/>
      <c r="L529" s="8"/>
      <c r="M529" s="8"/>
      <c r="N529" s="8"/>
      <c r="O529" s="8"/>
      <c r="P529" s="8"/>
    </row>
    <row r="530" spans="1:16" ht="12.75" customHeight="1">
      <c r="A530" s="8"/>
      <c r="B530" s="8"/>
      <c r="C530" s="30"/>
      <c r="D530" s="8"/>
      <c r="E530" s="8"/>
      <c r="F530" s="8"/>
      <c r="G530" s="8"/>
      <c r="H530" s="8"/>
      <c r="I530" s="8"/>
      <c r="J530" s="8"/>
      <c r="K530" s="8"/>
      <c r="L530" s="8"/>
      <c r="M530" s="8"/>
      <c r="N530" s="8"/>
      <c r="O530" s="8"/>
      <c r="P530" s="8"/>
    </row>
    <row r="531" spans="1:16" ht="12.75" customHeight="1">
      <c r="A531" s="8"/>
      <c r="B531" s="8"/>
      <c r="C531" s="30"/>
      <c r="D531" s="8"/>
      <c r="E531" s="8"/>
      <c r="F531" s="8"/>
      <c r="G531" s="8"/>
      <c r="H531" s="8"/>
      <c r="I531" s="8"/>
      <c r="J531" s="8"/>
      <c r="K531" s="8"/>
      <c r="L531" s="8"/>
      <c r="M531" s="8"/>
      <c r="N531" s="8"/>
      <c r="O531" s="8"/>
      <c r="P531" s="8"/>
    </row>
    <row r="532" spans="1:16" ht="12.75" customHeight="1">
      <c r="A532" s="8"/>
      <c r="B532" s="8"/>
      <c r="C532" s="30"/>
      <c r="D532" s="8"/>
      <c r="E532" s="8"/>
      <c r="F532" s="8"/>
      <c r="G532" s="8"/>
      <c r="H532" s="8"/>
      <c r="I532" s="8"/>
      <c r="J532" s="8"/>
      <c r="K532" s="8"/>
      <c r="L532" s="8"/>
      <c r="M532" s="8"/>
      <c r="N532" s="8"/>
      <c r="O532" s="8"/>
      <c r="P532" s="8"/>
    </row>
    <row r="533" spans="1:16" ht="12.75" customHeight="1">
      <c r="A533" s="8"/>
      <c r="B533" s="8"/>
      <c r="C533" s="30"/>
      <c r="D533" s="8"/>
      <c r="E533" s="8"/>
      <c r="F533" s="8"/>
      <c r="G533" s="8"/>
      <c r="H533" s="8"/>
      <c r="I533" s="8"/>
      <c r="J533" s="8"/>
      <c r="K533" s="8"/>
      <c r="L533" s="8"/>
      <c r="M533" s="8"/>
      <c r="N533" s="8"/>
      <c r="O533" s="8"/>
      <c r="P533" s="8"/>
    </row>
    <row r="534" spans="1:16" ht="12.75" customHeight="1">
      <c r="A534" s="8"/>
      <c r="B534" s="8"/>
      <c r="C534" s="30"/>
      <c r="D534" s="8"/>
      <c r="E534" s="8"/>
      <c r="F534" s="8"/>
      <c r="G534" s="8"/>
      <c r="H534" s="8"/>
      <c r="I534" s="8"/>
      <c r="J534" s="8"/>
      <c r="K534" s="8"/>
      <c r="L534" s="8"/>
      <c r="M534" s="8"/>
      <c r="N534" s="8"/>
      <c r="O534" s="8"/>
      <c r="P534" s="8"/>
    </row>
    <row r="535" spans="1:16" ht="12.75" customHeight="1">
      <c r="A535" s="8"/>
      <c r="B535" s="8"/>
      <c r="C535" s="30"/>
      <c r="D535" s="8"/>
      <c r="E535" s="8"/>
      <c r="F535" s="8"/>
      <c r="G535" s="8"/>
      <c r="H535" s="8"/>
      <c r="I535" s="8"/>
      <c r="J535" s="8"/>
      <c r="K535" s="8"/>
      <c r="L535" s="8"/>
      <c r="M535" s="8"/>
      <c r="N535" s="8"/>
      <c r="O535" s="8"/>
      <c r="P535" s="8"/>
    </row>
    <row r="536" spans="1:16" ht="12.75" customHeight="1">
      <c r="A536" s="8"/>
      <c r="B536" s="8"/>
      <c r="C536" s="30"/>
      <c r="D536" s="8"/>
      <c r="E536" s="8"/>
      <c r="F536" s="8"/>
      <c r="G536" s="8"/>
      <c r="H536" s="8"/>
      <c r="I536" s="8"/>
      <c r="J536" s="8"/>
      <c r="K536" s="8"/>
      <c r="L536" s="8"/>
      <c r="M536" s="8"/>
      <c r="N536" s="8"/>
      <c r="O536" s="8"/>
      <c r="P536" s="8"/>
    </row>
    <row r="537" spans="1:16" ht="12.75" customHeight="1">
      <c r="A537" s="8"/>
      <c r="B537" s="8"/>
      <c r="C537" s="30"/>
      <c r="D537" s="8"/>
      <c r="E537" s="8"/>
      <c r="F537" s="8"/>
      <c r="G537" s="8"/>
      <c r="H537" s="8"/>
      <c r="I537" s="8"/>
      <c r="J537" s="8"/>
      <c r="K537" s="8"/>
      <c r="L537" s="8"/>
      <c r="M537" s="8"/>
      <c r="N537" s="8"/>
      <c r="O537" s="8"/>
      <c r="P537" s="8"/>
    </row>
    <row r="538" spans="1:16" ht="12.75" customHeight="1">
      <c r="A538" s="8"/>
      <c r="B538" s="8"/>
      <c r="C538" s="30"/>
      <c r="D538" s="8"/>
      <c r="E538" s="8"/>
      <c r="F538" s="8"/>
      <c r="G538" s="8"/>
      <c r="H538" s="8"/>
      <c r="I538" s="8"/>
      <c r="J538" s="8"/>
      <c r="K538" s="8"/>
      <c r="L538" s="8"/>
      <c r="M538" s="8"/>
      <c r="N538" s="8"/>
      <c r="O538" s="8"/>
      <c r="P538" s="8"/>
    </row>
    <row r="539" spans="1:16" ht="12.75" customHeight="1">
      <c r="A539" s="8"/>
      <c r="B539" s="8"/>
      <c r="C539" s="30"/>
      <c r="D539" s="8"/>
      <c r="E539" s="8"/>
      <c r="F539" s="8"/>
      <c r="G539" s="8"/>
      <c r="H539" s="8"/>
      <c r="I539" s="8"/>
      <c r="J539" s="8"/>
      <c r="K539" s="8"/>
      <c r="L539" s="8"/>
      <c r="M539" s="8"/>
      <c r="N539" s="8"/>
      <c r="O539" s="8"/>
      <c r="P539" s="8"/>
    </row>
    <row r="540" spans="1:16" ht="12.75" customHeight="1">
      <c r="A540" s="8"/>
      <c r="B540" s="8"/>
      <c r="C540" s="30"/>
      <c r="D540" s="8"/>
      <c r="E540" s="8"/>
      <c r="F540" s="8"/>
      <c r="G540" s="8"/>
      <c r="H540" s="8"/>
      <c r="I540" s="8"/>
      <c r="J540" s="8"/>
      <c r="K540" s="8"/>
      <c r="L540" s="8"/>
      <c r="M540" s="8"/>
      <c r="N540" s="8"/>
      <c r="O540" s="8"/>
      <c r="P540" s="8"/>
    </row>
    <row r="541" spans="1:16" ht="12.75" customHeight="1">
      <c r="A541" s="8"/>
      <c r="B541" s="8"/>
      <c r="C541" s="30"/>
      <c r="D541" s="8"/>
      <c r="E541" s="8"/>
      <c r="F541" s="8"/>
      <c r="G541" s="8"/>
      <c r="H541" s="8"/>
      <c r="I541" s="8"/>
      <c r="J541" s="8"/>
      <c r="K541" s="8"/>
      <c r="L541" s="8"/>
      <c r="M541" s="8"/>
      <c r="N541" s="8"/>
      <c r="O541" s="8"/>
      <c r="P541" s="8"/>
    </row>
    <row r="542" spans="1:16" ht="12.75" customHeight="1">
      <c r="A542" s="8"/>
      <c r="B542" s="8"/>
      <c r="C542" s="30"/>
      <c r="D542" s="8"/>
      <c r="E542" s="8"/>
      <c r="F542" s="8"/>
      <c r="G542" s="8"/>
      <c r="H542" s="8"/>
      <c r="I542" s="8"/>
      <c r="J542" s="8"/>
      <c r="K542" s="8"/>
      <c r="L542" s="8"/>
      <c r="M542" s="8"/>
      <c r="N542" s="8"/>
      <c r="O542" s="8"/>
      <c r="P542" s="8"/>
    </row>
    <row r="543" spans="1:16" ht="12.75" customHeight="1">
      <c r="A543" s="8"/>
      <c r="B543" s="8"/>
      <c r="C543" s="30"/>
      <c r="D543" s="8"/>
      <c r="E543" s="8"/>
      <c r="F543" s="8"/>
      <c r="G543" s="8"/>
      <c r="H543" s="8"/>
      <c r="I543" s="8"/>
      <c r="J543" s="8"/>
      <c r="K543" s="8"/>
      <c r="L543" s="8"/>
      <c r="M543" s="8"/>
      <c r="N543" s="8"/>
      <c r="O543" s="8"/>
      <c r="P543" s="8"/>
    </row>
    <row r="544" spans="1:16" ht="12.75" customHeight="1">
      <c r="A544" s="8"/>
      <c r="B544" s="8"/>
      <c r="C544" s="30"/>
      <c r="D544" s="8"/>
      <c r="E544" s="8"/>
      <c r="F544" s="8"/>
      <c r="G544" s="8"/>
      <c r="H544" s="8"/>
      <c r="I544" s="8"/>
      <c r="J544" s="8"/>
      <c r="K544" s="8"/>
      <c r="L544" s="8"/>
      <c r="M544" s="8"/>
      <c r="N544" s="8"/>
      <c r="O544" s="8"/>
      <c r="P544" s="8"/>
    </row>
    <row r="545" spans="1:16" ht="12.75" customHeight="1">
      <c r="A545" s="8"/>
      <c r="B545" s="8"/>
      <c r="C545" s="30"/>
      <c r="D545" s="8"/>
      <c r="E545" s="8"/>
      <c r="F545" s="8"/>
      <c r="G545" s="8"/>
      <c r="H545" s="8"/>
      <c r="I545" s="8"/>
      <c r="J545" s="8"/>
      <c r="K545" s="8"/>
      <c r="L545" s="8"/>
      <c r="M545" s="8"/>
      <c r="N545" s="8"/>
      <c r="O545" s="8"/>
      <c r="P545" s="8"/>
    </row>
    <row r="546" spans="1:16" ht="12.75" customHeight="1">
      <c r="A546" s="8"/>
      <c r="B546" s="8"/>
      <c r="C546" s="30"/>
      <c r="D546" s="8"/>
      <c r="E546" s="8"/>
      <c r="F546" s="8"/>
      <c r="G546" s="8"/>
      <c r="H546" s="8"/>
      <c r="I546" s="8"/>
      <c r="J546" s="8"/>
      <c r="K546" s="8"/>
      <c r="L546" s="8"/>
      <c r="M546" s="8"/>
      <c r="N546" s="8"/>
      <c r="O546" s="8"/>
      <c r="P546" s="8"/>
    </row>
    <row r="547" spans="1:16" ht="12.75" customHeight="1">
      <c r="A547" s="8"/>
      <c r="B547" s="8"/>
      <c r="C547" s="30"/>
      <c r="D547" s="8"/>
      <c r="E547" s="8"/>
      <c r="F547" s="8"/>
      <c r="G547" s="8"/>
      <c r="H547" s="8"/>
      <c r="I547" s="8"/>
      <c r="J547" s="8"/>
      <c r="K547" s="8"/>
      <c r="L547" s="8"/>
      <c r="M547" s="8"/>
      <c r="N547" s="8"/>
      <c r="O547" s="8"/>
      <c r="P547" s="8"/>
    </row>
    <row r="548" spans="1:16" ht="12.75" customHeight="1">
      <c r="A548" s="8"/>
      <c r="B548" s="8"/>
      <c r="C548" s="30"/>
      <c r="D548" s="8"/>
      <c r="E548" s="8"/>
      <c r="F548" s="8"/>
      <c r="G548" s="8"/>
      <c r="H548" s="8"/>
      <c r="I548" s="8"/>
      <c r="J548" s="8"/>
      <c r="K548" s="8"/>
      <c r="L548" s="8"/>
      <c r="M548" s="8"/>
      <c r="N548" s="8"/>
      <c r="O548" s="8"/>
      <c r="P548" s="8"/>
    </row>
    <row r="549" spans="1:16" ht="12.75" customHeight="1">
      <c r="A549" s="8"/>
      <c r="B549" s="8"/>
      <c r="C549" s="30"/>
      <c r="D549" s="8"/>
      <c r="E549" s="8"/>
      <c r="F549" s="8"/>
      <c r="G549" s="8"/>
      <c r="H549" s="8"/>
      <c r="I549" s="8"/>
      <c r="J549" s="8"/>
      <c r="K549" s="8"/>
      <c r="L549" s="8"/>
      <c r="M549" s="8"/>
      <c r="N549" s="8"/>
      <c r="O549" s="8"/>
      <c r="P549" s="8"/>
    </row>
    <row r="550" spans="1:16" ht="12.75" customHeight="1">
      <c r="A550" s="8"/>
      <c r="B550" s="8"/>
      <c r="C550" s="30"/>
      <c r="D550" s="8"/>
      <c r="E550" s="8"/>
      <c r="F550" s="8"/>
      <c r="G550" s="8"/>
      <c r="H550" s="8"/>
      <c r="I550" s="8"/>
      <c r="J550" s="8"/>
      <c r="K550" s="8"/>
      <c r="L550" s="8"/>
      <c r="M550" s="8"/>
      <c r="N550" s="8"/>
      <c r="O550" s="8"/>
      <c r="P550" s="8"/>
    </row>
    <row r="551" spans="1:16" ht="12.75" customHeight="1">
      <c r="A551" s="8"/>
      <c r="B551" s="8"/>
      <c r="C551" s="30"/>
      <c r="D551" s="8"/>
      <c r="E551" s="8"/>
      <c r="F551" s="8"/>
      <c r="G551" s="8"/>
      <c r="H551" s="8"/>
      <c r="I551" s="8"/>
      <c r="J551" s="8"/>
      <c r="K551" s="8"/>
      <c r="L551" s="8"/>
      <c r="M551" s="8"/>
      <c r="N551" s="8"/>
      <c r="O551" s="8"/>
      <c r="P551" s="8"/>
    </row>
    <row r="552" spans="1:16" ht="12.75" customHeight="1">
      <c r="A552" s="8"/>
      <c r="B552" s="8"/>
      <c r="C552" s="30"/>
      <c r="D552" s="8"/>
      <c r="E552" s="8"/>
      <c r="F552" s="8"/>
      <c r="G552" s="8"/>
      <c r="H552" s="8"/>
      <c r="I552" s="8"/>
      <c r="J552" s="8"/>
      <c r="K552" s="8"/>
      <c r="L552" s="8"/>
      <c r="M552" s="8"/>
      <c r="N552" s="8"/>
      <c r="O552" s="8"/>
      <c r="P552" s="8"/>
    </row>
    <row r="553" spans="1:16" ht="12.75" customHeight="1">
      <c r="A553" s="8"/>
      <c r="B553" s="8"/>
      <c r="C553" s="30"/>
      <c r="D553" s="8"/>
      <c r="E553" s="8"/>
      <c r="F553" s="8"/>
      <c r="G553" s="8"/>
      <c r="H553" s="8"/>
      <c r="I553" s="8"/>
      <c r="J553" s="8"/>
      <c r="K553" s="8"/>
      <c r="L553" s="8"/>
      <c r="M553" s="8"/>
      <c r="N553" s="8"/>
      <c r="O553" s="8"/>
      <c r="P553" s="8"/>
    </row>
    <row r="554" spans="1:16" ht="12.75" customHeight="1">
      <c r="A554" s="8"/>
      <c r="B554" s="8"/>
      <c r="C554" s="30"/>
      <c r="D554" s="8"/>
      <c r="E554" s="8"/>
      <c r="F554" s="8"/>
      <c r="G554" s="8"/>
      <c r="H554" s="8"/>
      <c r="I554" s="8"/>
      <c r="J554" s="8"/>
      <c r="K554" s="8"/>
      <c r="L554" s="8"/>
      <c r="M554" s="8"/>
      <c r="N554" s="8"/>
      <c r="O554" s="8"/>
      <c r="P554" s="8"/>
    </row>
    <row r="555" spans="1:16" ht="12.75" customHeight="1">
      <c r="A555" s="8"/>
      <c r="B555" s="8"/>
      <c r="C555" s="30"/>
      <c r="D555" s="8"/>
      <c r="E555" s="8"/>
      <c r="F555" s="8"/>
      <c r="G555" s="8"/>
      <c r="H555" s="8"/>
      <c r="I555" s="8"/>
      <c r="J555" s="8"/>
      <c r="K555" s="8"/>
      <c r="L555" s="8"/>
      <c r="M555" s="8"/>
      <c r="N555" s="8"/>
      <c r="O555" s="8"/>
      <c r="P555" s="8"/>
    </row>
    <row r="556" spans="1:16" ht="12.75" customHeight="1">
      <c r="A556" s="8"/>
      <c r="B556" s="8"/>
      <c r="C556" s="30"/>
      <c r="D556" s="8"/>
      <c r="E556" s="8"/>
      <c r="F556" s="8"/>
      <c r="G556" s="8"/>
      <c r="H556" s="8"/>
      <c r="I556" s="8"/>
      <c r="J556" s="8"/>
      <c r="K556" s="8"/>
      <c r="L556" s="8"/>
      <c r="M556" s="8"/>
      <c r="N556" s="8"/>
      <c r="O556" s="8"/>
      <c r="P556" s="8"/>
    </row>
    <row r="557" spans="1:16" ht="12.75" customHeight="1">
      <c r="A557" s="8"/>
      <c r="B557" s="8"/>
      <c r="C557" s="30"/>
      <c r="D557" s="8"/>
      <c r="E557" s="8"/>
      <c r="F557" s="8"/>
      <c r="G557" s="8"/>
      <c r="H557" s="8"/>
      <c r="I557" s="8"/>
      <c r="J557" s="8"/>
      <c r="K557" s="8"/>
      <c r="L557" s="8"/>
      <c r="M557" s="8"/>
      <c r="N557" s="8"/>
      <c r="O557" s="8"/>
      <c r="P557" s="8"/>
    </row>
    <row r="558" spans="1:16" ht="12.75" customHeight="1">
      <c r="A558" s="8"/>
      <c r="B558" s="8"/>
      <c r="C558" s="30"/>
      <c r="D558" s="8"/>
      <c r="E558" s="8"/>
      <c r="F558" s="8"/>
      <c r="G558" s="8"/>
      <c r="H558" s="8"/>
      <c r="I558" s="8"/>
      <c r="J558" s="8"/>
      <c r="K558" s="8"/>
      <c r="L558" s="8"/>
      <c r="M558" s="8"/>
      <c r="N558" s="8"/>
      <c r="O558" s="8"/>
      <c r="P558" s="8"/>
    </row>
    <row r="559" spans="1:16" ht="12.75" customHeight="1">
      <c r="A559" s="8"/>
      <c r="B559" s="8"/>
      <c r="C559" s="30"/>
      <c r="D559" s="8"/>
      <c r="E559" s="8"/>
      <c r="F559" s="8"/>
      <c r="G559" s="8"/>
      <c r="H559" s="8"/>
      <c r="I559" s="8"/>
      <c r="J559" s="8"/>
      <c r="K559" s="8"/>
      <c r="L559" s="8"/>
      <c r="M559" s="8"/>
      <c r="N559" s="8"/>
      <c r="O559" s="8"/>
      <c r="P559" s="8"/>
    </row>
    <row r="560" spans="1:16" ht="12.75" customHeight="1">
      <c r="A560" s="8"/>
      <c r="B560" s="8"/>
      <c r="C560" s="30"/>
      <c r="D560" s="8"/>
      <c r="E560" s="8"/>
      <c r="F560" s="8"/>
      <c r="G560" s="8"/>
      <c r="H560" s="8"/>
      <c r="I560" s="8"/>
      <c r="J560" s="8"/>
      <c r="K560" s="8"/>
      <c r="L560" s="8"/>
      <c r="M560" s="8"/>
      <c r="N560" s="8"/>
      <c r="O560" s="8"/>
      <c r="P560" s="8"/>
    </row>
    <row r="561" spans="1:16" ht="12.75" customHeight="1">
      <c r="A561" s="8"/>
      <c r="B561" s="8"/>
      <c r="C561" s="30"/>
      <c r="D561" s="8"/>
      <c r="E561" s="8"/>
      <c r="F561" s="8"/>
      <c r="G561" s="8"/>
      <c r="H561" s="8"/>
      <c r="I561" s="8"/>
      <c r="J561" s="8"/>
      <c r="K561" s="8"/>
      <c r="L561" s="8"/>
      <c r="M561" s="8"/>
      <c r="N561" s="8"/>
      <c r="O561" s="8"/>
      <c r="P561" s="8"/>
    </row>
    <row r="562" spans="1:16" ht="12.75" customHeight="1">
      <c r="A562" s="8"/>
      <c r="B562" s="8"/>
      <c r="C562" s="30"/>
      <c r="D562" s="8"/>
      <c r="E562" s="8"/>
      <c r="F562" s="8"/>
      <c r="G562" s="8"/>
      <c r="H562" s="8"/>
      <c r="I562" s="8"/>
      <c r="J562" s="8"/>
      <c r="K562" s="8"/>
      <c r="L562" s="8"/>
      <c r="M562" s="8"/>
      <c r="N562" s="8"/>
      <c r="O562" s="8"/>
      <c r="P562" s="8"/>
    </row>
    <row r="563" spans="1:16" ht="12.75" customHeight="1">
      <c r="A563" s="8"/>
      <c r="B563" s="8"/>
      <c r="C563" s="30"/>
      <c r="D563" s="8"/>
      <c r="E563" s="8"/>
      <c r="F563" s="8"/>
      <c r="G563" s="8"/>
      <c r="H563" s="8"/>
      <c r="I563" s="8"/>
      <c r="J563" s="8"/>
      <c r="K563" s="8"/>
      <c r="L563" s="8"/>
      <c r="M563" s="8"/>
      <c r="N563" s="8"/>
      <c r="O563" s="8"/>
      <c r="P563" s="8"/>
    </row>
    <row r="564" spans="1:16" ht="12.75" customHeight="1">
      <c r="A564" s="8"/>
      <c r="B564" s="8"/>
      <c r="C564" s="30"/>
      <c r="D564" s="8"/>
      <c r="E564" s="8"/>
      <c r="F564" s="8"/>
      <c r="G564" s="8"/>
      <c r="H564" s="8"/>
      <c r="I564" s="8"/>
      <c r="J564" s="8"/>
      <c r="K564" s="8"/>
      <c r="L564" s="8"/>
      <c r="M564" s="8"/>
      <c r="N564" s="8"/>
      <c r="O564" s="8"/>
      <c r="P564" s="8"/>
    </row>
    <row r="565" spans="1:16" ht="12.75" customHeight="1">
      <c r="A565" s="8"/>
      <c r="B565" s="8"/>
      <c r="C565" s="30"/>
      <c r="D565" s="8"/>
      <c r="E565" s="8"/>
      <c r="F565" s="8"/>
      <c r="G565" s="8"/>
      <c r="H565" s="8"/>
      <c r="I565" s="8"/>
      <c r="J565" s="8"/>
      <c r="K565" s="8"/>
      <c r="L565" s="8"/>
      <c r="M565" s="8"/>
      <c r="N565" s="8"/>
      <c r="O565" s="8"/>
      <c r="P565" s="8"/>
    </row>
    <row r="566" spans="1:16" ht="12.75" customHeight="1">
      <c r="A566" s="8"/>
      <c r="B566" s="8"/>
      <c r="C566" s="30"/>
      <c r="D566" s="8"/>
      <c r="E566" s="8"/>
      <c r="F566" s="8"/>
      <c r="G566" s="8"/>
      <c r="H566" s="8"/>
      <c r="I566" s="8"/>
      <c r="J566" s="8"/>
      <c r="K566" s="8"/>
      <c r="L566" s="8"/>
      <c r="M566" s="8"/>
      <c r="N566" s="8"/>
      <c r="O566" s="8"/>
      <c r="P566" s="8"/>
    </row>
    <row r="567" spans="1:16" ht="12.75" customHeight="1">
      <c r="A567" s="8"/>
      <c r="B567" s="8"/>
      <c r="C567" s="30"/>
      <c r="D567" s="8"/>
      <c r="E567" s="8"/>
      <c r="F567" s="8"/>
      <c r="G567" s="8"/>
      <c r="H567" s="8"/>
      <c r="I567" s="8"/>
      <c r="J567" s="8"/>
      <c r="K567" s="8"/>
      <c r="L567" s="8"/>
      <c r="M567" s="8"/>
      <c r="N567" s="8"/>
      <c r="O567" s="8"/>
      <c r="P567" s="8"/>
    </row>
    <row r="568" spans="1:16" ht="12.75" customHeight="1">
      <c r="A568" s="8"/>
      <c r="B568" s="8"/>
      <c r="C568" s="30"/>
      <c r="D568" s="8"/>
      <c r="E568" s="8"/>
      <c r="F568" s="8"/>
      <c r="G568" s="8"/>
      <c r="H568" s="8"/>
      <c r="I568" s="8"/>
      <c r="J568" s="8"/>
      <c r="K568" s="8"/>
      <c r="L568" s="8"/>
      <c r="M568" s="8"/>
      <c r="N568" s="8"/>
      <c r="O568" s="8"/>
      <c r="P568" s="8"/>
    </row>
    <row r="569" spans="1:16" ht="12.75" customHeight="1">
      <c r="A569" s="8"/>
      <c r="B569" s="8"/>
      <c r="C569" s="30"/>
      <c r="D569" s="8"/>
      <c r="E569" s="8"/>
      <c r="F569" s="8"/>
      <c r="G569" s="8"/>
      <c r="H569" s="8"/>
      <c r="I569" s="8"/>
      <c r="J569" s="8"/>
      <c r="K569" s="8"/>
      <c r="L569" s="8"/>
      <c r="M569" s="8"/>
      <c r="N569" s="8"/>
      <c r="O569" s="8"/>
      <c r="P569" s="8"/>
    </row>
    <row r="570" spans="1:16" ht="12.75" customHeight="1">
      <c r="A570" s="8"/>
      <c r="B570" s="8"/>
      <c r="C570" s="30"/>
      <c r="D570" s="8"/>
      <c r="E570" s="8"/>
      <c r="F570" s="8"/>
      <c r="G570" s="8"/>
      <c r="H570" s="8"/>
      <c r="I570" s="8"/>
      <c r="J570" s="8"/>
      <c r="K570" s="8"/>
      <c r="L570" s="8"/>
      <c r="M570" s="8"/>
      <c r="N570" s="8"/>
      <c r="O570" s="8"/>
      <c r="P570" s="8"/>
    </row>
    <row r="571" spans="1:16" ht="12.75" customHeight="1">
      <c r="A571" s="8"/>
      <c r="B571" s="8"/>
      <c r="C571" s="30"/>
      <c r="D571" s="8"/>
      <c r="E571" s="8"/>
      <c r="F571" s="8"/>
      <c r="G571" s="8"/>
      <c r="H571" s="8"/>
      <c r="I571" s="8"/>
      <c r="J571" s="8"/>
      <c r="K571" s="8"/>
      <c r="L571" s="8"/>
      <c r="M571" s="8"/>
      <c r="N571" s="8"/>
      <c r="O571" s="8"/>
      <c r="P571" s="8"/>
    </row>
    <row r="572" spans="1:16" ht="12.75" customHeight="1">
      <c r="A572" s="8"/>
      <c r="B572" s="8"/>
      <c r="C572" s="30"/>
      <c r="D572" s="8"/>
      <c r="E572" s="8"/>
      <c r="F572" s="8"/>
      <c r="G572" s="8"/>
      <c r="H572" s="8"/>
      <c r="I572" s="8"/>
      <c r="J572" s="8"/>
      <c r="K572" s="8"/>
      <c r="L572" s="8"/>
      <c r="M572" s="8"/>
      <c r="N572" s="8"/>
      <c r="O572" s="8"/>
      <c r="P572" s="8"/>
    </row>
    <row r="573" spans="1:16" ht="12.75" customHeight="1">
      <c r="A573" s="8"/>
      <c r="B573" s="8"/>
      <c r="C573" s="30"/>
      <c r="D573" s="8"/>
      <c r="E573" s="8"/>
      <c r="F573" s="8"/>
      <c r="G573" s="8"/>
      <c r="H573" s="8"/>
      <c r="I573" s="8"/>
      <c r="J573" s="8"/>
      <c r="K573" s="8"/>
      <c r="L573" s="8"/>
      <c r="M573" s="8"/>
      <c r="N573" s="8"/>
      <c r="O573" s="8"/>
      <c r="P573" s="8"/>
    </row>
    <row r="574" spans="1:16" ht="12.75" customHeight="1">
      <c r="A574" s="8"/>
      <c r="B574" s="8"/>
      <c r="C574" s="30"/>
      <c r="D574" s="8"/>
      <c r="E574" s="8"/>
      <c r="F574" s="8"/>
      <c r="G574" s="8"/>
      <c r="H574" s="8"/>
      <c r="I574" s="8"/>
      <c r="J574" s="8"/>
      <c r="K574" s="8"/>
      <c r="L574" s="8"/>
      <c r="M574" s="8"/>
      <c r="N574" s="8"/>
      <c r="O574" s="8"/>
      <c r="P574" s="8"/>
    </row>
    <row r="575" spans="1:16" ht="12.75" customHeight="1">
      <c r="A575" s="8"/>
      <c r="B575" s="8"/>
      <c r="C575" s="30"/>
      <c r="D575" s="8"/>
      <c r="E575" s="8"/>
      <c r="F575" s="8"/>
      <c r="G575" s="8"/>
      <c r="H575" s="8"/>
      <c r="I575" s="8"/>
      <c r="J575" s="8"/>
      <c r="K575" s="8"/>
      <c r="L575" s="8"/>
      <c r="M575" s="8"/>
      <c r="N575" s="8"/>
      <c r="O575" s="8"/>
      <c r="P575" s="8"/>
    </row>
    <row r="576" spans="1:16" ht="12.75" customHeight="1">
      <c r="A576" s="8"/>
      <c r="B576" s="8"/>
      <c r="C576" s="30"/>
      <c r="D576" s="8"/>
      <c r="E576" s="8"/>
      <c r="F576" s="8"/>
      <c r="G576" s="8"/>
      <c r="H576" s="8"/>
      <c r="I576" s="8"/>
      <c r="J576" s="8"/>
      <c r="K576" s="8"/>
      <c r="L576" s="8"/>
      <c r="M576" s="8"/>
      <c r="N576" s="8"/>
      <c r="O576" s="8"/>
      <c r="P576" s="8"/>
    </row>
    <row r="577" spans="1:16" ht="12.75" customHeight="1">
      <c r="A577" s="8"/>
      <c r="B577" s="8"/>
      <c r="C577" s="30"/>
      <c r="D577" s="8"/>
      <c r="E577" s="8"/>
      <c r="F577" s="8"/>
      <c r="G577" s="8"/>
      <c r="H577" s="8"/>
      <c r="I577" s="8"/>
      <c r="J577" s="8"/>
      <c r="K577" s="8"/>
      <c r="L577" s="8"/>
      <c r="M577" s="8"/>
      <c r="N577" s="8"/>
      <c r="O577" s="8"/>
      <c r="P577" s="8"/>
    </row>
    <row r="578" spans="1:16" ht="12.75" customHeight="1">
      <c r="A578" s="8"/>
      <c r="B578" s="8"/>
      <c r="C578" s="30"/>
      <c r="D578" s="8"/>
      <c r="E578" s="8"/>
      <c r="F578" s="8"/>
      <c r="G578" s="8"/>
      <c r="H578" s="8"/>
      <c r="I578" s="8"/>
      <c r="J578" s="8"/>
      <c r="K578" s="8"/>
      <c r="L578" s="8"/>
      <c r="M578" s="8"/>
      <c r="N578" s="8"/>
      <c r="O578" s="8"/>
      <c r="P578" s="8"/>
    </row>
    <row r="579" spans="1:16" ht="12.75" customHeight="1">
      <c r="A579" s="8"/>
      <c r="B579" s="8"/>
      <c r="C579" s="30"/>
      <c r="D579" s="8"/>
      <c r="E579" s="8"/>
      <c r="F579" s="8"/>
      <c r="G579" s="8"/>
      <c r="H579" s="8"/>
      <c r="I579" s="8"/>
      <c r="J579" s="8"/>
      <c r="K579" s="8"/>
      <c r="L579" s="8"/>
      <c r="M579" s="8"/>
      <c r="N579" s="8"/>
      <c r="O579" s="8"/>
      <c r="P579" s="8"/>
    </row>
    <row r="580" spans="1:16" ht="12.75" customHeight="1">
      <c r="A580" s="8"/>
      <c r="B580" s="8"/>
      <c r="C580" s="30"/>
      <c r="D580" s="8"/>
      <c r="E580" s="8"/>
      <c r="F580" s="8"/>
      <c r="G580" s="8"/>
      <c r="H580" s="8"/>
      <c r="I580" s="8"/>
      <c r="J580" s="8"/>
      <c r="K580" s="8"/>
      <c r="L580" s="8"/>
      <c r="M580" s="8"/>
      <c r="N580" s="8"/>
      <c r="O580" s="8"/>
      <c r="P580" s="8"/>
    </row>
    <row r="581" spans="1:16" ht="12.75" customHeight="1">
      <c r="A581" s="8"/>
      <c r="B581" s="8"/>
      <c r="C581" s="30"/>
      <c r="D581" s="8"/>
      <c r="E581" s="8"/>
      <c r="F581" s="8"/>
      <c r="G581" s="8"/>
      <c r="H581" s="8"/>
      <c r="I581" s="8"/>
      <c r="J581" s="8"/>
      <c r="K581" s="8"/>
      <c r="L581" s="8"/>
      <c r="M581" s="8"/>
      <c r="N581" s="8"/>
      <c r="O581" s="8"/>
      <c r="P581" s="8"/>
    </row>
    <row r="582" spans="1:16" ht="12.75" customHeight="1">
      <c r="A582" s="8"/>
      <c r="B582" s="8"/>
      <c r="C582" s="30"/>
      <c r="D582" s="8"/>
      <c r="E582" s="8"/>
      <c r="F582" s="8"/>
      <c r="G582" s="8"/>
      <c r="H582" s="8"/>
      <c r="I582" s="8"/>
      <c r="J582" s="8"/>
      <c r="K582" s="8"/>
      <c r="L582" s="8"/>
      <c r="M582" s="8"/>
      <c r="N582" s="8"/>
      <c r="O582" s="8"/>
      <c r="P582" s="8"/>
    </row>
    <row r="583" spans="1:16" ht="12.75" customHeight="1">
      <c r="A583" s="8"/>
      <c r="B583" s="8"/>
      <c r="C583" s="30"/>
      <c r="D583" s="8"/>
      <c r="E583" s="8"/>
      <c r="F583" s="8"/>
      <c r="G583" s="8"/>
      <c r="H583" s="8"/>
      <c r="I583" s="8"/>
      <c r="J583" s="8"/>
      <c r="K583" s="8"/>
      <c r="L583" s="8"/>
      <c r="M583" s="8"/>
      <c r="N583" s="8"/>
      <c r="O583" s="8"/>
      <c r="P583" s="8"/>
    </row>
    <row r="584" spans="1:16" ht="12.75" customHeight="1">
      <c r="A584" s="8"/>
      <c r="B584" s="8"/>
      <c r="C584" s="30"/>
      <c r="D584" s="8"/>
      <c r="E584" s="8"/>
      <c r="F584" s="8"/>
      <c r="G584" s="8"/>
      <c r="H584" s="8"/>
      <c r="I584" s="8"/>
      <c r="J584" s="8"/>
      <c r="K584" s="8"/>
      <c r="L584" s="8"/>
      <c r="M584" s="8"/>
      <c r="N584" s="8"/>
      <c r="O584" s="8"/>
      <c r="P584" s="8"/>
    </row>
    <row r="585" spans="1:16" ht="12.75" customHeight="1">
      <c r="A585" s="8"/>
      <c r="B585" s="8"/>
      <c r="C585" s="30"/>
      <c r="D585" s="8"/>
      <c r="E585" s="8"/>
      <c r="F585" s="8"/>
      <c r="G585" s="8"/>
      <c r="H585" s="8"/>
      <c r="I585" s="8"/>
      <c r="J585" s="8"/>
      <c r="K585" s="8"/>
      <c r="L585" s="8"/>
      <c r="M585" s="8"/>
      <c r="N585" s="8"/>
      <c r="O585" s="8"/>
      <c r="P585" s="8"/>
    </row>
    <row r="586" spans="1:16" ht="12.75" customHeight="1">
      <c r="A586" s="8"/>
      <c r="B586" s="8"/>
      <c r="C586" s="30"/>
      <c r="D586" s="8"/>
      <c r="E586" s="8"/>
      <c r="F586" s="8"/>
      <c r="G586" s="8"/>
      <c r="H586" s="8"/>
      <c r="I586" s="8"/>
      <c r="J586" s="8"/>
      <c r="K586" s="8"/>
      <c r="L586" s="8"/>
      <c r="M586" s="8"/>
      <c r="N586" s="8"/>
      <c r="O586" s="8"/>
      <c r="P586" s="8"/>
    </row>
    <row r="587" spans="1:16" ht="12.75" customHeight="1">
      <c r="A587" s="8"/>
      <c r="B587" s="8"/>
      <c r="C587" s="30"/>
      <c r="D587" s="8"/>
      <c r="E587" s="8"/>
      <c r="F587" s="8"/>
      <c r="G587" s="8"/>
      <c r="H587" s="8"/>
      <c r="I587" s="8"/>
      <c r="J587" s="8"/>
      <c r="K587" s="8"/>
      <c r="L587" s="8"/>
      <c r="M587" s="8"/>
      <c r="N587" s="8"/>
      <c r="O587" s="8"/>
      <c r="P587" s="8"/>
    </row>
    <row r="588" spans="1:16" ht="12.75" customHeight="1">
      <c r="A588" s="8"/>
      <c r="B588" s="8"/>
      <c r="C588" s="30"/>
      <c r="D588" s="8"/>
      <c r="E588" s="8"/>
      <c r="F588" s="8"/>
      <c r="G588" s="8"/>
      <c r="H588" s="8"/>
      <c r="I588" s="8"/>
      <c r="J588" s="8"/>
      <c r="K588" s="8"/>
      <c r="L588" s="8"/>
      <c r="M588" s="8"/>
      <c r="N588" s="8"/>
      <c r="O588" s="8"/>
      <c r="P588" s="8"/>
    </row>
    <row r="589" spans="1:16" ht="12.75" customHeight="1">
      <c r="A589" s="8"/>
      <c r="B589" s="8"/>
      <c r="C589" s="30"/>
      <c r="D589" s="8"/>
      <c r="E589" s="8"/>
      <c r="F589" s="8"/>
      <c r="G589" s="8"/>
      <c r="H589" s="8"/>
      <c r="I589" s="8"/>
      <c r="J589" s="8"/>
      <c r="K589" s="8"/>
      <c r="L589" s="8"/>
      <c r="M589" s="8"/>
      <c r="N589" s="8"/>
      <c r="O589" s="8"/>
      <c r="P589" s="8"/>
    </row>
    <row r="590" spans="1:16" ht="12.75" customHeight="1">
      <c r="A590" s="8"/>
      <c r="B590" s="8"/>
      <c r="C590" s="30"/>
      <c r="D590" s="8"/>
      <c r="E590" s="8"/>
      <c r="F590" s="8"/>
      <c r="G590" s="8"/>
      <c r="H590" s="8"/>
      <c r="I590" s="8"/>
      <c r="J590" s="8"/>
      <c r="K590" s="8"/>
      <c r="L590" s="8"/>
      <c r="M590" s="8"/>
      <c r="N590" s="8"/>
      <c r="O590" s="8"/>
      <c r="P590" s="8"/>
    </row>
    <row r="591" spans="1:16" ht="12.75" customHeight="1">
      <c r="A591" s="8"/>
      <c r="B591" s="8"/>
      <c r="C591" s="30"/>
      <c r="D591" s="8"/>
      <c r="E591" s="8"/>
      <c r="F591" s="8"/>
      <c r="G591" s="8"/>
      <c r="H591" s="8"/>
      <c r="I591" s="8"/>
      <c r="J591" s="8"/>
      <c r="K591" s="8"/>
      <c r="L591" s="8"/>
      <c r="M591" s="8"/>
      <c r="N591" s="8"/>
      <c r="O591" s="8"/>
      <c r="P591" s="8"/>
    </row>
    <row r="592" spans="1:16" ht="12.75" customHeight="1">
      <c r="A592" s="8"/>
      <c r="B592" s="8"/>
      <c r="C592" s="30"/>
      <c r="D592" s="8"/>
      <c r="E592" s="8"/>
      <c r="F592" s="8"/>
      <c r="G592" s="8"/>
      <c r="H592" s="8"/>
      <c r="I592" s="8"/>
      <c r="J592" s="8"/>
      <c r="K592" s="8"/>
      <c r="L592" s="8"/>
      <c r="M592" s="8"/>
      <c r="N592" s="8"/>
      <c r="O592" s="8"/>
      <c r="P592" s="8"/>
    </row>
    <row r="593" spans="1:16" ht="12.75" customHeight="1">
      <c r="A593" s="8"/>
      <c r="B593" s="8"/>
      <c r="C593" s="30"/>
      <c r="D593" s="8"/>
      <c r="E593" s="8"/>
      <c r="F593" s="8"/>
      <c r="G593" s="8"/>
      <c r="H593" s="8"/>
      <c r="I593" s="8"/>
      <c r="J593" s="8"/>
      <c r="K593" s="8"/>
      <c r="L593" s="8"/>
      <c r="M593" s="8"/>
      <c r="N593" s="8"/>
      <c r="O593" s="8"/>
      <c r="P593" s="8"/>
    </row>
    <row r="594" spans="1:16" ht="12.75" customHeight="1">
      <c r="A594" s="8"/>
      <c r="B594" s="8"/>
      <c r="C594" s="30"/>
      <c r="D594" s="8"/>
      <c r="E594" s="8"/>
      <c r="F594" s="8"/>
      <c r="G594" s="8"/>
      <c r="H594" s="8"/>
      <c r="I594" s="8"/>
      <c r="J594" s="8"/>
      <c r="K594" s="8"/>
      <c r="L594" s="8"/>
      <c r="M594" s="8"/>
      <c r="N594" s="8"/>
      <c r="O594" s="8"/>
      <c r="P594" s="8"/>
    </row>
    <row r="595" spans="1:16" ht="12.75" customHeight="1">
      <c r="A595" s="8"/>
      <c r="B595" s="8"/>
      <c r="C595" s="30"/>
      <c r="D595" s="8"/>
      <c r="E595" s="8"/>
      <c r="F595" s="8"/>
      <c r="G595" s="8"/>
      <c r="H595" s="8"/>
      <c r="I595" s="8"/>
      <c r="J595" s="8"/>
      <c r="K595" s="8"/>
      <c r="L595" s="8"/>
      <c r="M595" s="8"/>
      <c r="N595" s="8"/>
      <c r="O595" s="8"/>
      <c r="P595" s="8"/>
    </row>
    <row r="596" spans="1:16" ht="12.75" customHeight="1">
      <c r="A596" s="8"/>
      <c r="B596" s="8"/>
      <c r="C596" s="30"/>
      <c r="D596" s="8"/>
      <c r="E596" s="8"/>
      <c r="F596" s="8"/>
      <c r="G596" s="8"/>
      <c r="H596" s="8"/>
      <c r="I596" s="8"/>
      <c r="J596" s="8"/>
      <c r="K596" s="8"/>
      <c r="L596" s="8"/>
      <c r="M596" s="8"/>
      <c r="N596" s="8"/>
      <c r="O596" s="8"/>
      <c r="P596" s="8"/>
    </row>
    <row r="597" spans="1:16" ht="12.75" customHeight="1">
      <c r="A597" s="8"/>
      <c r="B597" s="8"/>
      <c r="C597" s="30"/>
      <c r="D597" s="8"/>
      <c r="E597" s="8"/>
      <c r="F597" s="8"/>
      <c r="G597" s="8"/>
      <c r="H597" s="8"/>
      <c r="I597" s="8"/>
      <c r="J597" s="8"/>
      <c r="K597" s="8"/>
      <c r="L597" s="8"/>
      <c r="M597" s="8"/>
      <c r="N597" s="8"/>
      <c r="O597" s="8"/>
      <c r="P597" s="8"/>
    </row>
    <row r="598" spans="1:16" ht="12.75" customHeight="1">
      <c r="A598" s="8"/>
      <c r="B598" s="8"/>
      <c r="C598" s="30"/>
      <c r="D598" s="8"/>
      <c r="E598" s="8"/>
      <c r="F598" s="8"/>
      <c r="G598" s="8"/>
      <c r="H598" s="8"/>
      <c r="I598" s="8"/>
      <c r="J598" s="8"/>
      <c r="K598" s="8"/>
      <c r="L598" s="8"/>
      <c r="M598" s="8"/>
      <c r="N598" s="8"/>
      <c r="O598" s="8"/>
      <c r="P598" s="8"/>
    </row>
    <row r="599" spans="1:16" ht="12.75" customHeight="1">
      <c r="A599" s="8"/>
      <c r="B599" s="8"/>
      <c r="C599" s="30"/>
      <c r="D599" s="8"/>
      <c r="E599" s="8"/>
      <c r="F599" s="8"/>
      <c r="G599" s="8"/>
      <c r="H599" s="8"/>
      <c r="I599" s="8"/>
      <c r="J599" s="8"/>
      <c r="K599" s="8"/>
      <c r="L599" s="8"/>
      <c r="M599" s="8"/>
      <c r="N599" s="8"/>
      <c r="O599" s="8"/>
      <c r="P599" s="8"/>
    </row>
    <row r="600" spans="1:16" ht="12.75" customHeight="1">
      <c r="A600" s="8"/>
      <c r="B600" s="8"/>
      <c r="C600" s="30"/>
      <c r="D600" s="8"/>
      <c r="E600" s="8"/>
      <c r="F600" s="8"/>
      <c r="G600" s="8"/>
      <c r="H600" s="8"/>
      <c r="I600" s="8"/>
      <c r="J600" s="8"/>
      <c r="K600" s="8"/>
      <c r="L600" s="8"/>
      <c r="M600" s="8"/>
      <c r="N600" s="8"/>
      <c r="O600" s="8"/>
      <c r="P600" s="8"/>
    </row>
    <row r="601" spans="1:16" ht="12.75" customHeight="1">
      <c r="A601" s="8"/>
      <c r="B601" s="8"/>
      <c r="C601" s="30"/>
      <c r="D601" s="8"/>
      <c r="E601" s="8"/>
      <c r="F601" s="8"/>
      <c r="G601" s="8"/>
      <c r="H601" s="8"/>
      <c r="I601" s="8"/>
      <c r="J601" s="8"/>
      <c r="K601" s="8"/>
      <c r="L601" s="8"/>
      <c r="M601" s="8"/>
      <c r="N601" s="8"/>
      <c r="O601" s="8"/>
      <c r="P601" s="8"/>
    </row>
    <row r="602" spans="1:16" ht="12.75" customHeight="1">
      <c r="A602" s="8"/>
      <c r="B602" s="8"/>
      <c r="C602" s="30"/>
      <c r="D602" s="8"/>
      <c r="E602" s="8"/>
      <c r="F602" s="8"/>
      <c r="G602" s="8"/>
      <c r="H602" s="8"/>
      <c r="I602" s="8"/>
      <c r="J602" s="8"/>
      <c r="K602" s="8"/>
      <c r="L602" s="8"/>
      <c r="M602" s="8"/>
      <c r="N602" s="8"/>
      <c r="O602" s="8"/>
      <c r="P602" s="8"/>
    </row>
    <row r="603" spans="1:16" ht="12.75" customHeight="1">
      <c r="A603" s="8"/>
      <c r="B603" s="8"/>
      <c r="C603" s="30"/>
      <c r="D603" s="8"/>
      <c r="E603" s="8"/>
      <c r="F603" s="8"/>
      <c r="G603" s="8"/>
      <c r="H603" s="8"/>
      <c r="I603" s="8"/>
      <c r="J603" s="8"/>
      <c r="K603" s="8"/>
      <c r="L603" s="8"/>
      <c r="M603" s="8"/>
      <c r="N603" s="8"/>
      <c r="O603" s="8"/>
      <c r="P603" s="8"/>
    </row>
    <row r="604" spans="1:16" ht="12.75" customHeight="1">
      <c r="A604" s="8"/>
      <c r="B604" s="8"/>
      <c r="C604" s="30"/>
      <c r="D604" s="8"/>
      <c r="E604" s="8"/>
      <c r="F604" s="8"/>
      <c r="G604" s="8"/>
      <c r="H604" s="8"/>
      <c r="I604" s="8"/>
      <c r="J604" s="8"/>
      <c r="K604" s="8"/>
      <c r="L604" s="8"/>
      <c r="M604" s="8"/>
      <c r="N604" s="8"/>
      <c r="O604" s="8"/>
      <c r="P604" s="8"/>
    </row>
    <row r="605" spans="1:16" ht="12.75" customHeight="1">
      <c r="A605" s="8"/>
      <c r="B605" s="8"/>
      <c r="C605" s="30"/>
      <c r="D605" s="8"/>
      <c r="E605" s="8"/>
      <c r="F605" s="8"/>
      <c r="G605" s="8"/>
      <c r="H605" s="8"/>
      <c r="I605" s="8"/>
      <c r="J605" s="8"/>
      <c r="K605" s="8"/>
      <c r="L605" s="8"/>
      <c r="M605" s="8"/>
      <c r="N605" s="8"/>
      <c r="O605" s="8"/>
      <c r="P605" s="8"/>
    </row>
    <row r="606" spans="1:16" ht="12.75" customHeight="1">
      <c r="A606" s="8"/>
      <c r="B606" s="8"/>
      <c r="C606" s="30"/>
      <c r="D606" s="8"/>
      <c r="E606" s="8"/>
      <c r="F606" s="8"/>
      <c r="G606" s="8"/>
      <c r="H606" s="8"/>
      <c r="I606" s="8"/>
      <c r="J606" s="8"/>
      <c r="K606" s="8"/>
      <c r="L606" s="8"/>
      <c r="M606" s="8"/>
      <c r="N606" s="8"/>
      <c r="O606" s="8"/>
      <c r="P606" s="8"/>
    </row>
    <row r="607" spans="1:16" ht="12.75" customHeight="1">
      <c r="A607" s="8"/>
      <c r="B607" s="8"/>
      <c r="C607" s="30"/>
      <c r="D607" s="8"/>
      <c r="E607" s="8"/>
      <c r="F607" s="8"/>
      <c r="G607" s="8"/>
      <c r="H607" s="8"/>
      <c r="I607" s="8"/>
      <c r="J607" s="8"/>
      <c r="K607" s="8"/>
      <c r="L607" s="8"/>
      <c r="M607" s="8"/>
      <c r="N607" s="8"/>
      <c r="O607" s="8"/>
      <c r="P607" s="8"/>
    </row>
    <row r="608" spans="1:16" ht="12.75" customHeight="1">
      <c r="A608" s="8"/>
      <c r="B608" s="8"/>
      <c r="C608" s="30"/>
      <c r="D608" s="8"/>
      <c r="E608" s="8"/>
      <c r="F608" s="8"/>
      <c r="G608" s="8"/>
      <c r="H608" s="8"/>
      <c r="I608" s="8"/>
      <c r="J608" s="8"/>
      <c r="K608" s="8"/>
      <c r="L608" s="8"/>
      <c r="M608" s="8"/>
      <c r="N608" s="8"/>
      <c r="O608" s="8"/>
      <c r="P608" s="8"/>
    </row>
    <row r="609" spans="1:16" ht="12.75" customHeight="1">
      <c r="A609" s="8"/>
      <c r="B609" s="8"/>
      <c r="C609" s="30"/>
      <c r="D609" s="8"/>
      <c r="E609" s="8"/>
      <c r="F609" s="8"/>
      <c r="G609" s="8"/>
      <c r="H609" s="8"/>
      <c r="I609" s="8"/>
      <c r="J609" s="8"/>
      <c r="K609" s="8"/>
      <c r="L609" s="8"/>
      <c r="M609" s="8"/>
      <c r="N609" s="8"/>
      <c r="O609" s="8"/>
      <c r="P609" s="8"/>
    </row>
    <row r="610" spans="1:16" ht="12.75" customHeight="1">
      <c r="A610" s="8"/>
      <c r="B610" s="8"/>
      <c r="C610" s="30"/>
      <c r="D610" s="8"/>
      <c r="E610" s="8"/>
      <c r="F610" s="8"/>
      <c r="G610" s="8"/>
      <c r="H610" s="8"/>
      <c r="I610" s="8"/>
      <c r="J610" s="8"/>
      <c r="K610" s="8"/>
      <c r="L610" s="8"/>
      <c r="M610" s="8"/>
      <c r="N610" s="8"/>
      <c r="O610" s="8"/>
      <c r="P610" s="8"/>
    </row>
    <row r="611" spans="1:16" ht="12.75" customHeight="1">
      <c r="A611" s="8"/>
      <c r="B611" s="8"/>
      <c r="C611" s="30"/>
      <c r="D611" s="8"/>
      <c r="E611" s="8"/>
      <c r="F611" s="8"/>
      <c r="G611" s="8"/>
      <c r="H611" s="8"/>
      <c r="I611" s="8"/>
      <c r="J611" s="8"/>
      <c r="K611" s="8"/>
      <c r="L611" s="8"/>
      <c r="M611" s="8"/>
      <c r="N611" s="8"/>
      <c r="O611" s="8"/>
      <c r="P611" s="8"/>
    </row>
    <row r="612" spans="1:16" ht="12.75" customHeight="1">
      <c r="A612" s="8"/>
      <c r="B612" s="8"/>
      <c r="C612" s="30"/>
      <c r="D612" s="8"/>
      <c r="E612" s="8"/>
      <c r="F612" s="8"/>
      <c r="G612" s="8"/>
      <c r="H612" s="8"/>
      <c r="I612" s="8"/>
      <c r="J612" s="8"/>
      <c r="K612" s="8"/>
      <c r="L612" s="8"/>
      <c r="M612" s="8"/>
      <c r="N612" s="8"/>
      <c r="O612" s="8"/>
      <c r="P612" s="8"/>
    </row>
    <row r="613" spans="1:16" ht="12.75" customHeight="1">
      <c r="A613" s="8"/>
      <c r="B613" s="8"/>
      <c r="C613" s="30"/>
      <c r="D613" s="8"/>
      <c r="E613" s="8"/>
      <c r="F613" s="8"/>
      <c r="G613" s="8"/>
      <c r="H613" s="8"/>
      <c r="I613" s="8"/>
      <c r="J613" s="8"/>
      <c r="K613" s="8"/>
      <c r="L613" s="8"/>
      <c r="M613" s="8"/>
      <c r="N613" s="8"/>
      <c r="O613" s="8"/>
      <c r="P613" s="8"/>
    </row>
    <row r="614" spans="1:16" ht="12.75" customHeight="1">
      <c r="A614" s="8"/>
      <c r="B614" s="8"/>
      <c r="C614" s="30"/>
      <c r="D614" s="8"/>
      <c r="E614" s="8"/>
      <c r="F614" s="8"/>
      <c r="G614" s="8"/>
      <c r="H614" s="8"/>
      <c r="I614" s="8"/>
      <c r="J614" s="8"/>
      <c r="K614" s="8"/>
      <c r="L614" s="8"/>
      <c r="M614" s="8"/>
      <c r="N614" s="8"/>
      <c r="O614" s="8"/>
      <c r="P614" s="8"/>
    </row>
    <row r="615" spans="1:16" ht="12.75" customHeight="1">
      <c r="A615" s="8"/>
      <c r="B615" s="8"/>
      <c r="C615" s="30"/>
      <c r="D615" s="8"/>
      <c r="E615" s="8"/>
      <c r="F615" s="8"/>
      <c r="G615" s="8"/>
      <c r="H615" s="8"/>
      <c r="I615" s="8"/>
      <c r="J615" s="8"/>
      <c r="K615" s="8"/>
      <c r="L615" s="8"/>
      <c r="M615" s="8"/>
      <c r="N615" s="8"/>
      <c r="O615" s="8"/>
      <c r="P615" s="8"/>
    </row>
    <row r="616" spans="1:16" ht="12.75" customHeight="1">
      <c r="A616" s="8"/>
      <c r="B616" s="8"/>
      <c r="C616" s="30"/>
      <c r="D616" s="8"/>
      <c r="E616" s="8"/>
      <c r="F616" s="8"/>
      <c r="G616" s="8"/>
      <c r="H616" s="8"/>
      <c r="I616" s="8"/>
      <c r="J616" s="8"/>
      <c r="K616" s="8"/>
      <c r="L616" s="8"/>
      <c r="M616" s="8"/>
      <c r="N616" s="8"/>
      <c r="O616" s="8"/>
      <c r="P616" s="8"/>
    </row>
    <row r="617" spans="1:16" ht="12.75" customHeight="1">
      <c r="A617" s="8"/>
      <c r="B617" s="8"/>
      <c r="C617" s="30"/>
      <c r="D617" s="8"/>
      <c r="E617" s="8"/>
      <c r="F617" s="8"/>
      <c r="G617" s="8"/>
      <c r="H617" s="8"/>
      <c r="I617" s="8"/>
      <c r="J617" s="8"/>
      <c r="K617" s="8"/>
      <c r="L617" s="8"/>
      <c r="M617" s="8"/>
      <c r="N617" s="8"/>
      <c r="O617" s="8"/>
      <c r="P617" s="8"/>
    </row>
    <row r="618" spans="1:16" ht="12.75" customHeight="1">
      <c r="A618" s="8"/>
      <c r="B618" s="8"/>
      <c r="C618" s="30"/>
      <c r="D618" s="8"/>
      <c r="E618" s="8"/>
      <c r="F618" s="8"/>
      <c r="G618" s="8"/>
      <c r="H618" s="8"/>
      <c r="I618" s="8"/>
      <c r="J618" s="8"/>
      <c r="K618" s="8"/>
      <c r="L618" s="8"/>
      <c r="M618" s="8"/>
      <c r="N618" s="8"/>
      <c r="O618" s="8"/>
      <c r="P618" s="8"/>
    </row>
    <row r="619" spans="1:16" ht="12.75" customHeight="1">
      <c r="A619" s="8"/>
      <c r="B619" s="8"/>
      <c r="C619" s="30"/>
      <c r="D619" s="8"/>
      <c r="E619" s="8"/>
      <c r="F619" s="8"/>
      <c r="G619" s="8"/>
      <c r="H619" s="8"/>
      <c r="I619" s="8"/>
      <c r="J619" s="8"/>
      <c r="K619" s="8"/>
      <c r="L619" s="8"/>
      <c r="M619" s="8"/>
      <c r="N619" s="8"/>
      <c r="O619" s="8"/>
      <c r="P619" s="8"/>
    </row>
    <row r="620" spans="1:16" ht="12.75" customHeight="1">
      <c r="A620" s="8"/>
      <c r="B620" s="8"/>
      <c r="C620" s="30"/>
      <c r="D620" s="8"/>
      <c r="E620" s="8"/>
      <c r="F620" s="8"/>
      <c r="G620" s="8"/>
      <c r="H620" s="8"/>
      <c r="I620" s="8"/>
      <c r="J620" s="8"/>
      <c r="K620" s="8"/>
      <c r="L620" s="8"/>
      <c r="M620" s="8"/>
      <c r="N620" s="8"/>
      <c r="O620" s="8"/>
      <c r="P620" s="8"/>
    </row>
    <row r="621" spans="1:16" ht="12.75" customHeight="1">
      <c r="A621" s="8"/>
      <c r="B621" s="8"/>
      <c r="C621" s="30"/>
      <c r="D621" s="8"/>
      <c r="E621" s="8"/>
      <c r="F621" s="8"/>
      <c r="G621" s="8"/>
      <c r="H621" s="8"/>
      <c r="I621" s="8"/>
      <c r="J621" s="8"/>
      <c r="K621" s="8"/>
      <c r="L621" s="8"/>
      <c r="M621" s="8"/>
      <c r="N621" s="8"/>
      <c r="O621" s="8"/>
      <c r="P621" s="8"/>
    </row>
    <row r="622" spans="1:16" ht="12.75" customHeight="1">
      <c r="A622" s="8"/>
      <c r="B622" s="8"/>
      <c r="C622" s="30"/>
      <c r="D622" s="8"/>
      <c r="E622" s="8"/>
      <c r="F622" s="8"/>
      <c r="G622" s="8"/>
      <c r="H622" s="8"/>
      <c r="I622" s="8"/>
      <c r="J622" s="8"/>
      <c r="K622" s="8"/>
      <c r="L622" s="8"/>
      <c r="M622" s="8"/>
      <c r="N622" s="8"/>
      <c r="O622" s="8"/>
      <c r="P622" s="8"/>
    </row>
    <row r="623" spans="1:16" ht="12.75" customHeight="1">
      <c r="A623" s="8"/>
      <c r="B623" s="8"/>
      <c r="C623" s="30"/>
      <c r="D623" s="8"/>
      <c r="E623" s="8"/>
      <c r="F623" s="8"/>
      <c r="G623" s="8"/>
      <c r="H623" s="8"/>
      <c r="I623" s="8"/>
      <c r="J623" s="8"/>
      <c r="K623" s="8"/>
      <c r="L623" s="8"/>
      <c r="M623" s="8"/>
      <c r="N623" s="8"/>
      <c r="O623" s="8"/>
      <c r="P623" s="8"/>
    </row>
    <row r="624" spans="1:16" ht="12.75" customHeight="1">
      <c r="A624" s="8"/>
      <c r="B624" s="8"/>
      <c r="C624" s="30"/>
      <c r="D624" s="8"/>
      <c r="E624" s="8"/>
      <c r="F624" s="8"/>
      <c r="G624" s="8"/>
      <c r="H624" s="8"/>
      <c r="I624" s="8"/>
      <c r="J624" s="8"/>
      <c r="K624" s="8"/>
      <c r="L624" s="8"/>
      <c r="M624" s="8"/>
      <c r="N624" s="8"/>
      <c r="O624" s="8"/>
      <c r="P624" s="8"/>
    </row>
    <row r="625" spans="1:16" ht="12.75" customHeight="1">
      <c r="A625" s="8"/>
      <c r="B625" s="8"/>
      <c r="C625" s="30"/>
      <c r="D625" s="8"/>
      <c r="E625" s="8"/>
      <c r="F625" s="8"/>
      <c r="G625" s="8"/>
      <c r="H625" s="8"/>
      <c r="I625" s="8"/>
      <c r="J625" s="8"/>
      <c r="K625" s="8"/>
      <c r="L625" s="8"/>
      <c r="M625" s="8"/>
      <c r="N625" s="8"/>
      <c r="O625" s="8"/>
      <c r="P625" s="8"/>
    </row>
    <row r="626" spans="1:16" ht="12.75" customHeight="1">
      <c r="A626" s="8"/>
      <c r="B626" s="8"/>
      <c r="C626" s="30"/>
      <c r="D626" s="8"/>
      <c r="E626" s="8"/>
      <c r="F626" s="8"/>
      <c r="G626" s="8"/>
      <c r="H626" s="8"/>
      <c r="I626" s="8"/>
      <c r="J626" s="8"/>
      <c r="K626" s="8"/>
      <c r="L626" s="8"/>
      <c r="M626" s="8"/>
      <c r="N626" s="8"/>
      <c r="O626" s="8"/>
      <c r="P626" s="8"/>
    </row>
    <row r="627" spans="1:16" ht="12.75" customHeight="1">
      <c r="A627" s="8"/>
      <c r="B627" s="8"/>
      <c r="C627" s="30"/>
      <c r="D627" s="8"/>
      <c r="E627" s="8"/>
      <c r="F627" s="8"/>
      <c r="G627" s="8"/>
      <c r="H627" s="8"/>
      <c r="I627" s="8"/>
      <c r="J627" s="8"/>
      <c r="K627" s="8"/>
      <c r="L627" s="8"/>
      <c r="M627" s="8"/>
      <c r="N627" s="8"/>
      <c r="O627" s="8"/>
      <c r="P627" s="8"/>
    </row>
    <row r="628" spans="1:16" ht="12.75" customHeight="1">
      <c r="A628" s="8"/>
      <c r="B628" s="8"/>
      <c r="C628" s="30"/>
      <c r="D628" s="8"/>
      <c r="E628" s="8"/>
      <c r="F628" s="8"/>
      <c r="G628" s="8"/>
      <c r="H628" s="8"/>
      <c r="I628" s="8"/>
      <c r="J628" s="8"/>
      <c r="K628" s="8"/>
      <c r="L628" s="8"/>
      <c r="M628" s="8"/>
      <c r="N628" s="8"/>
      <c r="O628" s="8"/>
      <c r="P628" s="8"/>
    </row>
    <row r="629" spans="1:16" ht="12.75" customHeight="1">
      <c r="A629" s="8"/>
      <c r="B629" s="8"/>
      <c r="C629" s="30"/>
      <c r="D629" s="8"/>
      <c r="E629" s="8"/>
      <c r="F629" s="8"/>
      <c r="G629" s="8"/>
      <c r="H629" s="8"/>
      <c r="I629" s="8"/>
      <c r="J629" s="8"/>
      <c r="K629" s="8"/>
      <c r="L629" s="8"/>
      <c r="M629" s="8"/>
      <c r="N629" s="8"/>
      <c r="O629" s="8"/>
      <c r="P629" s="8"/>
    </row>
    <row r="630" spans="1:16" ht="12.75" customHeight="1">
      <c r="A630" s="8"/>
      <c r="B630" s="8"/>
      <c r="C630" s="30"/>
      <c r="D630" s="8"/>
      <c r="E630" s="8"/>
      <c r="F630" s="8"/>
      <c r="G630" s="8"/>
      <c r="H630" s="8"/>
      <c r="I630" s="8"/>
      <c r="J630" s="8"/>
      <c r="K630" s="8"/>
      <c r="L630" s="8"/>
      <c r="M630" s="8"/>
      <c r="N630" s="8"/>
      <c r="O630" s="8"/>
      <c r="P630" s="8"/>
    </row>
    <row r="631" spans="1:16" ht="12.75" customHeight="1">
      <c r="A631" s="8"/>
      <c r="B631" s="8"/>
      <c r="C631" s="30"/>
      <c r="D631" s="8"/>
      <c r="E631" s="8"/>
      <c r="F631" s="8"/>
      <c r="G631" s="8"/>
      <c r="H631" s="8"/>
      <c r="I631" s="8"/>
      <c r="J631" s="8"/>
      <c r="K631" s="8"/>
      <c r="L631" s="8"/>
      <c r="M631" s="8"/>
      <c r="N631" s="8"/>
      <c r="O631" s="8"/>
      <c r="P631" s="8"/>
    </row>
    <row r="632" spans="1:16" ht="12.75" customHeight="1">
      <c r="A632" s="8"/>
      <c r="B632" s="8"/>
      <c r="C632" s="30"/>
      <c r="D632" s="8"/>
      <c r="E632" s="8"/>
      <c r="F632" s="8"/>
      <c r="G632" s="8"/>
      <c r="H632" s="8"/>
      <c r="I632" s="8"/>
      <c r="J632" s="8"/>
      <c r="K632" s="8"/>
      <c r="L632" s="8"/>
      <c r="M632" s="8"/>
      <c r="N632" s="8"/>
      <c r="O632" s="8"/>
      <c r="P632" s="8"/>
    </row>
    <row r="633" spans="1:16" ht="12.75" customHeight="1">
      <c r="A633" s="8"/>
      <c r="B633" s="8"/>
      <c r="C633" s="30"/>
      <c r="D633" s="8"/>
      <c r="E633" s="8"/>
      <c r="F633" s="8"/>
      <c r="G633" s="8"/>
      <c r="H633" s="8"/>
      <c r="I633" s="8"/>
      <c r="J633" s="8"/>
      <c r="K633" s="8"/>
      <c r="L633" s="8"/>
      <c r="M633" s="8"/>
      <c r="N633" s="8"/>
      <c r="O633" s="8"/>
      <c r="P633" s="8"/>
    </row>
    <row r="634" spans="1:16" ht="12.75" customHeight="1">
      <c r="A634" s="8"/>
      <c r="B634" s="8"/>
      <c r="C634" s="30"/>
      <c r="D634" s="8"/>
      <c r="E634" s="8"/>
      <c r="F634" s="8"/>
      <c r="G634" s="8"/>
      <c r="H634" s="8"/>
      <c r="I634" s="8"/>
      <c r="J634" s="8"/>
      <c r="K634" s="8"/>
      <c r="L634" s="8"/>
      <c r="M634" s="8"/>
      <c r="N634" s="8"/>
      <c r="O634" s="8"/>
      <c r="P634" s="8"/>
    </row>
    <row r="635" spans="1:16" ht="12.75" customHeight="1">
      <c r="A635" s="8"/>
      <c r="B635" s="8"/>
      <c r="C635" s="30"/>
      <c r="D635" s="8"/>
      <c r="E635" s="8"/>
      <c r="F635" s="8"/>
      <c r="G635" s="8"/>
      <c r="H635" s="8"/>
      <c r="I635" s="8"/>
      <c r="J635" s="8"/>
      <c r="K635" s="8"/>
      <c r="L635" s="8"/>
      <c r="M635" s="8"/>
      <c r="N635" s="8"/>
      <c r="O635" s="8"/>
      <c r="P635" s="8"/>
    </row>
    <row r="636" spans="1:16" ht="12.75" customHeight="1">
      <c r="A636" s="8"/>
      <c r="B636" s="8"/>
      <c r="C636" s="30"/>
      <c r="D636" s="8"/>
      <c r="E636" s="8"/>
      <c r="F636" s="8"/>
      <c r="G636" s="8"/>
      <c r="H636" s="8"/>
      <c r="I636" s="8"/>
      <c r="J636" s="8"/>
      <c r="K636" s="8"/>
      <c r="L636" s="8"/>
      <c r="M636" s="8"/>
      <c r="N636" s="8"/>
      <c r="O636" s="8"/>
      <c r="P636" s="8"/>
    </row>
    <row r="637" spans="1:16" ht="12.75" customHeight="1">
      <c r="A637" s="8"/>
      <c r="B637" s="8"/>
      <c r="C637" s="30"/>
      <c r="D637" s="8"/>
      <c r="E637" s="8"/>
      <c r="F637" s="8"/>
      <c r="G637" s="8"/>
      <c r="H637" s="8"/>
      <c r="I637" s="8"/>
      <c r="J637" s="8"/>
      <c r="K637" s="8"/>
      <c r="L637" s="8"/>
      <c r="M637" s="8"/>
      <c r="N637" s="8"/>
      <c r="O637" s="8"/>
      <c r="P637" s="8"/>
    </row>
    <row r="638" spans="1:16" ht="12.75" customHeight="1">
      <c r="A638" s="8"/>
      <c r="B638" s="8"/>
      <c r="C638" s="30"/>
      <c r="D638" s="8"/>
      <c r="E638" s="8"/>
      <c r="F638" s="8"/>
      <c r="G638" s="8"/>
      <c r="H638" s="8"/>
      <c r="I638" s="8"/>
      <c r="J638" s="8"/>
      <c r="K638" s="8"/>
      <c r="L638" s="8"/>
      <c r="M638" s="8"/>
      <c r="N638" s="8"/>
      <c r="O638" s="8"/>
      <c r="P638" s="8"/>
    </row>
    <row r="639" spans="1:16" ht="12.75" customHeight="1">
      <c r="A639" s="8"/>
      <c r="B639" s="8"/>
      <c r="C639" s="30"/>
      <c r="D639" s="8"/>
      <c r="E639" s="8"/>
      <c r="F639" s="8"/>
      <c r="G639" s="8"/>
      <c r="H639" s="8"/>
      <c r="I639" s="8"/>
      <c r="J639" s="8"/>
      <c r="K639" s="8"/>
      <c r="L639" s="8"/>
      <c r="M639" s="8"/>
      <c r="N639" s="8"/>
      <c r="O639" s="8"/>
      <c r="P639" s="8"/>
    </row>
    <row r="640" spans="1:16" ht="12.75" customHeight="1">
      <c r="A640" s="8"/>
      <c r="B640" s="8"/>
      <c r="C640" s="30"/>
      <c r="D640" s="8"/>
      <c r="E640" s="8"/>
      <c r="F640" s="8"/>
      <c r="G640" s="8"/>
      <c r="H640" s="8"/>
      <c r="I640" s="8"/>
      <c r="J640" s="8"/>
      <c r="K640" s="8"/>
      <c r="L640" s="8"/>
      <c r="M640" s="8"/>
      <c r="N640" s="8"/>
      <c r="O640" s="8"/>
      <c r="P640" s="8"/>
    </row>
    <row r="641" spans="1:16" ht="12.75" customHeight="1">
      <c r="A641" s="8"/>
      <c r="B641" s="8"/>
      <c r="C641" s="30"/>
      <c r="D641" s="8"/>
      <c r="E641" s="8"/>
      <c r="F641" s="8"/>
      <c r="G641" s="8"/>
      <c r="H641" s="8"/>
      <c r="I641" s="8"/>
      <c r="J641" s="8"/>
      <c r="K641" s="8"/>
      <c r="L641" s="8"/>
      <c r="M641" s="8"/>
      <c r="N641" s="8"/>
      <c r="O641" s="8"/>
      <c r="P641" s="8"/>
    </row>
    <row r="642" spans="1:16" ht="12.75" customHeight="1">
      <c r="A642" s="8"/>
      <c r="B642" s="8"/>
      <c r="C642" s="30"/>
      <c r="D642" s="8"/>
      <c r="E642" s="8"/>
      <c r="F642" s="8"/>
      <c r="G642" s="8"/>
      <c r="H642" s="8"/>
      <c r="I642" s="8"/>
      <c r="J642" s="8"/>
      <c r="K642" s="8"/>
      <c r="L642" s="8"/>
      <c r="M642" s="8"/>
      <c r="N642" s="8"/>
      <c r="O642" s="8"/>
      <c r="P642" s="8"/>
    </row>
    <row r="643" spans="1:16" ht="12.75" customHeight="1">
      <c r="A643" s="8"/>
      <c r="B643" s="8"/>
      <c r="C643" s="30"/>
      <c r="D643" s="8"/>
      <c r="E643" s="8"/>
      <c r="F643" s="8"/>
      <c r="G643" s="8"/>
      <c r="H643" s="8"/>
      <c r="I643" s="8"/>
      <c r="J643" s="8"/>
      <c r="K643" s="8"/>
      <c r="L643" s="8"/>
      <c r="M643" s="8"/>
      <c r="N643" s="8"/>
      <c r="O643" s="8"/>
      <c r="P643" s="8"/>
    </row>
    <row r="644" spans="1:16" ht="12.75" customHeight="1">
      <c r="A644" s="8"/>
      <c r="B644" s="8"/>
      <c r="C644" s="30"/>
      <c r="D644" s="8"/>
      <c r="E644" s="8"/>
      <c r="F644" s="8"/>
      <c r="G644" s="8"/>
      <c r="H644" s="8"/>
      <c r="I644" s="8"/>
      <c r="J644" s="8"/>
      <c r="K644" s="8"/>
      <c r="L644" s="8"/>
      <c r="M644" s="8"/>
      <c r="N644" s="8"/>
      <c r="O644" s="8"/>
      <c r="P644" s="8"/>
    </row>
    <row r="645" spans="1:16" ht="12.75" customHeight="1">
      <c r="A645" s="8"/>
      <c r="B645" s="8"/>
      <c r="C645" s="30"/>
      <c r="D645" s="8"/>
      <c r="E645" s="8"/>
      <c r="F645" s="8"/>
      <c r="G645" s="8"/>
      <c r="H645" s="8"/>
      <c r="I645" s="8"/>
      <c r="J645" s="8"/>
      <c r="K645" s="8"/>
      <c r="L645" s="8"/>
      <c r="M645" s="8"/>
      <c r="N645" s="8"/>
      <c r="O645" s="8"/>
      <c r="P645" s="8"/>
    </row>
    <row r="646" spans="1:16" ht="12.75" customHeight="1">
      <c r="A646" s="8"/>
      <c r="B646" s="8"/>
      <c r="C646" s="30"/>
      <c r="D646" s="8"/>
      <c r="E646" s="8"/>
      <c r="F646" s="8"/>
      <c r="G646" s="8"/>
      <c r="H646" s="8"/>
      <c r="I646" s="8"/>
      <c r="J646" s="8"/>
      <c r="K646" s="8"/>
      <c r="L646" s="8"/>
      <c r="M646" s="8"/>
      <c r="N646" s="8"/>
      <c r="O646" s="8"/>
      <c r="P646" s="8"/>
    </row>
    <row r="647" spans="1:16" ht="12.75" customHeight="1">
      <c r="A647" s="8"/>
      <c r="B647" s="8"/>
      <c r="C647" s="30"/>
      <c r="D647" s="8"/>
      <c r="E647" s="8"/>
      <c r="F647" s="8"/>
      <c r="G647" s="8"/>
      <c r="H647" s="8"/>
      <c r="I647" s="8"/>
      <c r="J647" s="8"/>
      <c r="K647" s="8"/>
      <c r="L647" s="8"/>
      <c r="M647" s="8"/>
      <c r="N647" s="8"/>
      <c r="O647" s="8"/>
      <c r="P647" s="8"/>
    </row>
    <row r="648" spans="1:16" ht="12.75" customHeight="1">
      <c r="A648" s="8"/>
      <c r="B648" s="8"/>
      <c r="C648" s="30"/>
      <c r="D648" s="8"/>
      <c r="E648" s="8"/>
      <c r="F648" s="8"/>
      <c r="G648" s="8"/>
      <c r="H648" s="8"/>
      <c r="I648" s="8"/>
      <c r="J648" s="8"/>
      <c r="K648" s="8"/>
      <c r="L648" s="8"/>
      <c r="M648" s="8"/>
      <c r="N648" s="8"/>
      <c r="O648" s="8"/>
      <c r="P648" s="8"/>
    </row>
    <row r="649" spans="1:16" ht="12.75" customHeight="1">
      <c r="A649" s="8"/>
      <c r="B649" s="8"/>
      <c r="C649" s="30"/>
      <c r="D649" s="8"/>
      <c r="E649" s="8"/>
      <c r="F649" s="8"/>
      <c r="G649" s="8"/>
      <c r="H649" s="8"/>
      <c r="I649" s="8"/>
      <c r="J649" s="8"/>
      <c r="K649" s="8"/>
      <c r="L649" s="8"/>
      <c r="M649" s="8"/>
      <c r="N649" s="8"/>
      <c r="O649" s="8"/>
      <c r="P649" s="8"/>
    </row>
    <row r="650" spans="1:16" ht="12.75" customHeight="1">
      <c r="A650" s="8"/>
      <c r="B650" s="8"/>
      <c r="C650" s="30"/>
      <c r="D650" s="8"/>
      <c r="E650" s="8"/>
      <c r="F650" s="8"/>
      <c r="G650" s="8"/>
      <c r="H650" s="8"/>
      <c r="I650" s="8"/>
      <c r="J650" s="8"/>
      <c r="K650" s="8"/>
      <c r="L650" s="8"/>
      <c r="M650" s="8"/>
      <c r="N650" s="8"/>
      <c r="O650" s="8"/>
      <c r="P650" s="8"/>
    </row>
    <row r="651" spans="1:16" ht="12.75" customHeight="1">
      <c r="A651" s="8"/>
      <c r="B651" s="8"/>
      <c r="C651" s="30"/>
      <c r="D651" s="8"/>
      <c r="E651" s="8"/>
      <c r="F651" s="8"/>
      <c r="G651" s="8"/>
      <c r="H651" s="8"/>
      <c r="I651" s="8"/>
      <c r="J651" s="8"/>
      <c r="K651" s="8"/>
      <c r="L651" s="8"/>
      <c r="M651" s="8"/>
      <c r="N651" s="8"/>
      <c r="O651" s="8"/>
      <c r="P651" s="8"/>
    </row>
    <row r="652" spans="1:16" ht="12.75" customHeight="1">
      <c r="A652" s="8"/>
      <c r="B652" s="8"/>
      <c r="C652" s="30"/>
      <c r="D652" s="8"/>
      <c r="E652" s="8"/>
      <c r="F652" s="8"/>
      <c r="G652" s="8"/>
      <c r="H652" s="8"/>
      <c r="I652" s="8"/>
      <c r="J652" s="8"/>
      <c r="K652" s="8"/>
      <c r="L652" s="8"/>
      <c r="M652" s="8"/>
      <c r="N652" s="8"/>
      <c r="O652" s="8"/>
      <c r="P652" s="8"/>
    </row>
    <row r="653" spans="1:16" ht="12.75" customHeight="1">
      <c r="A653" s="8"/>
      <c r="B653" s="8"/>
      <c r="C653" s="30"/>
      <c r="D653" s="8"/>
      <c r="E653" s="8"/>
      <c r="F653" s="8"/>
      <c r="G653" s="8"/>
      <c r="H653" s="8"/>
      <c r="I653" s="8"/>
      <c r="J653" s="8"/>
      <c r="K653" s="8"/>
      <c r="L653" s="8"/>
      <c r="M653" s="8"/>
      <c r="N653" s="8"/>
      <c r="O653" s="8"/>
      <c r="P653" s="8"/>
    </row>
    <row r="654" spans="1:16" ht="12.75" customHeight="1">
      <c r="A654" s="8"/>
      <c r="B654" s="8"/>
      <c r="C654" s="30"/>
      <c r="D654" s="8"/>
      <c r="E654" s="8"/>
      <c r="F654" s="8"/>
      <c r="G654" s="8"/>
      <c r="H654" s="8"/>
      <c r="I654" s="8"/>
      <c r="J654" s="8"/>
      <c r="K654" s="8"/>
      <c r="L654" s="8"/>
      <c r="M654" s="8"/>
      <c r="N654" s="8"/>
      <c r="O654" s="8"/>
      <c r="P654" s="8"/>
    </row>
    <row r="655" spans="1:16" ht="12.75" customHeight="1">
      <c r="A655" s="8"/>
      <c r="B655" s="8"/>
      <c r="C655" s="30"/>
      <c r="D655" s="8"/>
      <c r="E655" s="8"/>
      <c r="F655" s="8"/>
      <c r="G655" s="8"/>
      <c r="H655" s="8"/>
      <c r="I655" s="8"/>
      <c r="J655" s="8"/>
      <c r="K655" s="8"/>
      <c r="L655" s="8"/>
      <c r="M655" s="8"/>
      <c r="N655" s="8"/>
      <c r="O655" s="8"/>
      <c r="P655" s="8"/>
    </row>
    <row r="656" spans="1:16" ht="12.75" customHeight="1">
      <c r="A656" s="8"/>
      <c r="B656" s="8"/>
      <c r="C656" s="30"/>
      <c r="D656" s="8"/>
      <c r="E656" s="8"/>
      <c r="F656" s="8"/>
      <c r="G656" s="8"/>
      <c r="H656" s="8"/>
      <c r="I656" s="8"/>
      <c r="J656" s="8"/>
      <c r="K656" s="8"/>
      <c r="L656" s="8"/>
      <c r="M656" s="8"/>
      <c r="N656" s="8"/>
      <c r="O656" s="8"/>
      <c r="P656" s="8"/>
    </row>
    <row r="657" spans="1:16" ht="12.75" customHeight="1">
      <c r="A657" s="8"/>
      <c r="B657" s="8"/>
      <c r="C657" s="30"/>
      <c r="D657" s="8"/>
      <c r="E657" s="8"/>
      <c r="F657" s="8"/>
      <c r="G657" s="8"/>
      <c r="H657" s="8"/>
      <c r="I657" s="8"/>
      <c r="J657" s="8"/>
      <c r="K657" s="8"/>
      <c r="L657" s="8"/>
      <c r="M657" s="8"/>
      <c r="N657" s="8"/>
      <c r="O657" s="8"/>
      <c r="P657" s="8"/>
    </row>
    <row r="658" spans="1:16" ht="12.75" customHeight="1">
      <c r="A658" s="8"/>
      <c r="B658" s="8"/>
      <c r="C658" s="30"/>
      <c r="D658" s="8"/>
      <c r="E658" s="8"/>
      <c r="F658" s="8"/>
      <c r="G658" s="8"/>
      <c r="H658" s="8"/>
      <c r="I658" s="8"/>
      <c r="J658" s="8"/>
      <c r="K658" s="8"/>
      <c r="L658" s="8"/>
      <c r="M658" s="8"/>
      <c r="N658" s="8"/>
      <c r="O658" s="8"/>
      <c r="P658" s="8"/>
    </row>
    <row r="659" spans="1:16" ht="12.75" customHeight="1">
      <c r="A659" s="8"/>
      <c r="B659" s="8"/>
      <c r="C659" s="30"/>
      <c r="D659" s="8"/>
      <c r="E659" s="8"/>
      <c r="F659" s="8"/>
      <c r="G659" s="8"/>
      <c r="H659" s="8"/>
      <c r="I659" s="8"/>
      <c r="J659" s="8"/>
      <c r="K659" s="8"/>
      <c r="L659" s="8"/>
      <c r="M659" s="8"/>
      <c r="N659" s="8"/>
      <c r="O659" s="8"/>
      <c r="P659" s="8"/>
    </row>
    <row r="660" spans="1:16" ht="12.75" customHeight="1">
      <c r="A660" s="8"/>
      <c r="B660" s="8"/>
      <c r="C660" s="30"/>
      <c r="D660" s="8"/>
      <c r="E660" s="8"/>
      <c r="F660" s="8"/>
      <c r="G660" s="8"/>
      <c r="H660" s="8"/>
      <c r="I660" s="8"/>
      <c r="J660" s="8"/>
      <c r="K660" s="8"/>
      <c r="L660" s="8"/>
      <c r="M660" s="8"/>
      <c r="N660" s="8"/>
      <c r="O660" s="8"/>
      <c r="P660" s="8"/>
    </row>
    <row r="661" spans="1:16" ht="12.75" customHeight="1">
      <c r="A661" s="8"/>
      <c r="B661" s="8"/>
      <c r="C661" s="30"/>
      <c r="D661" s="8"/>
      <c r="E661" s="8"/>
      <c r="F661" s="8"/>
      <c r="G661" s="8"/>
      <c r="H661" s="8"/>
      <c r="I661" s="8"/>
      <c r="J661" s="8"/>
      <c r="K661" s="8"/>
      <c r="L661" s="8"/>
      <c r="M661" s="8"/>
      <c r="N661" s="8"/>
      <c r="O661" s="8"/>
      <c r="P661" s="8"/>
    </row>
    <row r="662" spans="1:16" ht="12.75" customHeight="1">
      <c r="A662" s="8"/>
      <c r="B662" s="8"/>
      <c r="C662" s="30"/>
      <c r="D662" s="8"/>
      <c r="E662" s="8"/>
      <c r="F662" s="8"/>
      <c r="G662" s="8"/>
      <c r="H662" s="8"/>
      <c r="I662" s="8"/>
      <c r="J662" s="8"/>
      <c r="K662" s="8"/>
      <c r="L662" s="8"/>
      <c r="M662" s="8"/>
      <c r="N662" s="8"/>
      <c r="O662" s="8"/>
      <c r="P662" s="8"/>
    </row>
    <row r="663" spans="1:16" ht="12.75" customHeight="1">
      <c r="A663" s="8"/>
      <c r="B663" s="8"/>
      <c r="C663" s="30"/>
      <c r="D663" s="8"/>
      <c r="E663" s="8"/>
      <c r="F663" s="8"/>
      <c r="G663" s="8"/>
      <c r="H663" s="8"/>
      <c r="I663" s="8"/>
      <c r="J663" s="8"/>
      <c r="K663" s="8"/>
      <c r="L663" s="8"/>
      <c r="M663" s="8"/>
      <c r="N663" s="8"/>
      <c r="O663" s="8"/>
      <c r="P663" s="8"/>
    </row>
    <row r="664" spans="1:16" ht="12.75" customHeight="1">
      <c r="A664" s="8"/>
      <c r="B664" s="8"/>
      <c r="C664" s="30"/>
      <c r="D664" s="8"/>
      <c r="E664" s="8"/>
      <c r="F664" s="8"/>
      <c r="G664" s="8"/>
      <c r="H664" s="8"/>
      <c r="I664" s="8"/>
      <c r="J664" s="8"/>
      <c r="K664" s="8"/>
      <c r="L664" s="8"/>
      <c r="M664" s="8"/>
      <c r="N664" s="8"/>
      <c r="O664" s="8"/>
      <c r="P664" s="8"/>
    </row>
    <row r="665" spans="1:16" ht="12.75" customHeight="1">
      <c r="A665" s="8"/>
      <c r="B665" s="8"/>
      <c r="C665" s="30"/>
      <c r="D665" s="8"/>
      <c r="E665" s="8"/>
      <c r="F665" s="8"/>
      <c r="G665" s="8"/>
      <c r="H665" s="8"/>
      <c r="I665" s="8"/>
      <c r="J665" s="8"/>
      <c r="K665" s="8"/>
      <c r="L665" s="8"/>
      <c r="M665" s="8"/>
      <c r="N665" s="8"/>
      <c r="O665" s="8"/>
      <c r="P665" s="8"/>
    </row>
    <row r="666" spans="1:16" ht="12.75" customHeight="1">
      <c r="A666" s="8"/>
      <c r="B666" s="8"/>
      <c r="C666" s="30"/>
      <c r="D666" s="8"/>
      <c r="E666" s="8"/>
      <c r="F666" s="8"/>
      <c r="G666" s="8"/>
      <c r="H666" s="8"/>
      <c r="I666" s="8"/>
      <c r="J666" s="8"/>
      <c r="K666" s="8"/>
      <c r="L666" s="8"/>
      <c r="M666" s="8"/>
      <c r="N666" s="8"/>
      <c r="O666" s="8"/>
      <c r="P666" s="8"/>
    </row>
    <row r="667" spans="1:16" ht="12.75" customHeight="1">
      <c r="A667" s="8"/>
      <c r="B667" s="8"/>
      <c r="C667" s="30"/>
      <c r="D667" s="8"/>
      <c r="E667" s="8"/>
      <c r="F667" s="8"/>
      <c r="G667" s="8"/>
      <c r="H667" s="8"/>
      <c r="I667" s="8"/>
      <c r="J667" s="8"/>
      <c r="K667" s="8"/>
      <c r="L667" s="8"/>
      <c r="M667" s="8"/>
      <c r="N667" s="8"/>
      <c r="O667" s="8"/>
      <c r="P667" s="8"/>
    </row>
    <row r="668" spans="1:16" ht="12.75" customHeight="1">
      <c r="A668" s="8"/>
      <c r="B668" s="8"/>
      <c r="C668" s="30"/>
      <c r="D668" s="8"/>
      <c r="E668" s="8"/>
      <c r="F668" s="8"/>
      <c r="G668" s="8"/>
      <c r="H668" s="8"/>
      <c r="I668" s="8"/>
      <c r="J668" s="8"/>
      <c r="K668" s="8"/>
      <c r="L668" s="8"/>
      <c r="M668" s="8"/>
      <c r="N668" s="8"/>
      <c r="O668" s="8"/>
      <c r="P668" s="8"/>
    </row>
    <row r="669" spans="1:16" ht="12.75" customHeight="1">
      <c r="A669" s="8"/>
      <c r="B669" s="8"/>
      <c r="C669" s="30"/>
      <c r="D669" s="8"/>
      <c r="E669" s="8"/>
      <c r="F669" s="8"/>
      <c r="G669" s="8"/>
      <c r="H669" s="8"/>
      <c r="I669" s="8"/>
      <c r="J669" s="8"/>
      <c r="K669" s="8"/>
      <c r="L669" s="8"/>
      <c r="M669" s="8"/>
      <c r="N669" s="8"/>
      <c r="O669" s="8"/>
      <c r="P669" s="8"/>
    </row>
    <row r="670" spans="1:16" ht="12.75" customHeight="1">
      <c r="A670" s="8"/>
      <c r="B670" s="8"/>
      <c r="C670" s="30"/>
      <c r="D670" s="8"/>
      <c r="E670" s="8"/>
      <c r="F670" s="8"/>
      <c r="G670" s="8"/>
      <c r="H670" s="8"/>
      <c r="I670" s="8"/>
      <c r="J670" s="8"/>
      <c r="K670" s="8"/>
      <c r="L670" s="8"/>
      <c r="M670" s="8"/>
      <c r="N670" s="8"/>
      <c r="O670" s="8"/>
      <c r="P670" s="8"/>
    </row>
    <row r="671" spans="1:16" ht="12.75" customHeight="1">
      <c r="A671" s="8"/>
      <c r="B671" s="8"/>
      <c r="C671" s="30"/>
      <c r="D671" s="8"/>
      <c r="E671" s="8"/>
      <c r="F671" s="8"/>
      <c r="G671" s="8"/>
      <c r="H671" s="8"/>
      <c r="I671" s="8"/>
      <c r="J671" s="8"/>
      <c r="K671" s="8"/>
      <c r="L671" s="8"/>
      <c r="M671" s="8"/>
      <c r="N671" s="8"/>
      <c r="O671" s="8"/>
      <c r="P671" s="8"/>
    </row>
    <row r="672" spans="1:16" ht="12.75" customHeight="1">
      <c r="A672" s="8"/>
      <c r="B672" s="8"/>
      <c r="C672" s="30"/>
      <c r="D672" s="8"/>
      <c r="E672" s="8"/>
      <c r="F672" s="8"/>
      <c r="G672" s="8"/>
      <c r="H672" s="8"/>
      <c r="I672" s="8"/>
      <c r="J672" s="8"/>
      <c r="K672" s="8"/>
      <c r="L672" s="8"/>
      <c r="M672" s="8"/>
      <c r="N672" s="8"/>
      <c r="O672" s="8"/>
      <c r="P672" s="8"/>
    </row>
    <row r="673" spans="1:16" ht="12.75" customHeight="1">
      <c r="A673" s="8"/>
      <c r="B673" s="8"/>
      <c r="C673" s="30"/>
      <c r="D673" s="8"/>
      <c r="E673" s="8"/>
      <c r="F673" s="8"/>
      <c r="G673" s="8"/>
      <c r="H673" s="8"/>
      <c r="I673" s="8"/>
      <c r="J673" s="8"/>
      <c r="K673" s="8"/>
      <c r="L673" s="8"/>
      <c r="M673" s="8"/>
      <c r="N673" s="8"/>
      <c r="O673" s="8"/>
      <c r="P673" s="8"/>
    </row>
    <row r="674" spans="1:16" ht="12.75" customHeight="1">
      <c r="A674" s="8"/>
      <c r="B674" s="8"/>
      <c r="C674" s="30"/>
      <c r="D674" s="8"/>
      <c r="E674" s="8"/>
      <c r="F674" s="8"/>
      <c r="G674" s="8"/>
      <c r="H674" s="8"/>
      <c r="I674" s="8"/>
      <c r="J674" s="8"/>
      <c r="K674" s="8"/>
      <c r="L674" s="8"/>
      <c r="M674" s="8"/>
      <c r="N674" s="8"/>
      <c r="O674" s="8"/>
      <c r="P674" s="8"/>
    </row>
    <row r="675" spans="1:16" ht="12.75" customHeight="1">
      <c r="A675" s="8"/>
      <c r="B675" s="8"/>
      <c r="C675" s="30"/>
      <c r="D675" s="8"/>
      <c r="E675" s="8"/>
      <c r="F675" s="8"/>
      <c r="G675" s="8"/>
      <c r="H675" s="8"/>
      <c r="I675" s="8"/>
      <c r="J675" s="8"/>
      <c r="K675" s="8"/>
      <c r="L675" s="8"/>
      <c r="M675" s="8"/>
      <c r="N675" s="8"/>
      <c r="O675" s="8"/>
      <c r="P675" s="8"/>
    </row>
    <row r="676" spans="1:16" ht="12.75" customHeight="1">
      <c r="A676" s="8"/>
      <c r="B676" s="8"/>
      <c r="C676" s="30"/>
      <c r="D676" s="8"/>
      <c r="E676" s="8"/>
      <c r="F676" s="8"/>
      <c r="G676" s="8"/>
      <c r="H676" s="8"/>
      <c r="I676" s="8"/>
      <c r="J676" s="8"/>
      <c r="K676" s="8"/>
      <c r="L676" s="8"/>
      <c r="M676" s="8"/>
      <c r="N676" s="8"/>
      <c r="O676" s="8"/>
      <c r="P676" s="8"/>
    </row>
    <row r="677" spans="1:16" ht="12.75" customHeight="1">
      <c r="A677" s="8"/>
      <c r="B677" s="8"/>
      <c r="C677" s="30"/>
      <c r="D677" s="8"/>
      <c r="E677" s="8"/>
      <c r="F677" s="8"/>
      <c r="G677" s="8"/>
      <c r="H677" s="8"/>
      <c r="I677" s="8"/>
      <c r="J677" s="8"/>
      <c r="K677" s="8"/>
      <c r="L677" s="8"/>
      <c r="M677" s="8"/>
      <c r="N677" s="8"/>
      <c r="O677" s="8"/>
      <c r="P677" s="8"/>
    </row>
    <row r="678" spans="1:16" ht="12.75" customHeight="1">
      <c r="A678" s="8"/>
      <c r="B678" s="8"/>
      <c r="C678" s="30"/>
      <c r="D678" s="8"/>
      <c r="E678" s="8"/>
      <c r="F678" s="8"/>
      <c r="G678" s="8"/>
      <c r="H678" s="8"/>
      <c r="I678" s="8"/>
      <c r="J678" s="8"/>
      <c r="K678" s="8"/>
      <c r="L678" s="8"/>
      <c r="M678" s="8"/>
      <c r="N678" s="8"/>
      <c r="O678" s="8"/>
      <c r="P678" s="8"/>
    </row>
    <row r="679" spans="1:16" ht="12.75" customHeight="1">
      <c r="A679" s="8"/>
      <c r="B679" s="8"/>
      <c r="C679" s="30"/>
      <c r="D679" s="8"/>
      <c r="E679" s="8"/>
      <c r="F679" s="8"/>
      <c r="G679" s="8"/>
      <c r="H679" s="8"/>
      <c r="I679" s="8"/>
      <c r="J679" s="8"/>
      <c r="K679" s="8"/>
      <c r="L679" s="8"/>
      <c r="M679" s="8"/>
      <c r="N679" s="8"/>
      <c r="O679" s="8"/>
      <c r="P679" s="8"/>
    </row>
    <row r="680" spans="1:16" ht="12.75" customHeight="1">
      <c r="A680" s="8"/>
      <c r="B680" s="8"/>
      <c r="C680" s="30"/>
      <c r="D680" s="8"/>
      <c r="E680" s="8"/>
      <c r="F680" s="8"/>
      <c r="G680" s="8"/>
      <c r="H680" s="8"/>
      <c r="I680" s="8"/>
      <c r="J680" s="8"/>
      <c r="K680" s="8"/>
      <c r="L680" s="8"/>
      <c r="M680" s="8"/>
      <c r="N680" s="8"/>
      <c r="O680" s="8"/>
      <c r="P680" s="8"/>
    </row>
    <row r="681" spans="1:16" ht="12.75" customHeight="1">
      <c r="A681" s="8"/>
      <c r="B681" s="8"/>
      <c r="C681" s="30"/>
      <c r="D681" s="8"/>
      <c r="E681" s="8"/>
      <c r="F681" s="8"/>
      <c r="G681" s="8"/>
      <c r="H681" s="8"/>
      <c r="I681" s="8"/>
      <c r="J681" s="8"/>
      <c r="K681" s="8"/>
      <c r="L681" s="8"/>
      <c r="M681" s="8"/>
      <c r="N681" s="8"/>
      <c r="O681" s="8"/>
      <c r="P681" s="8"/>
    </row>
    <row r="682" spans="1:16" ht="12.75" customHeight="1">
      <c r="A682" s="8"/>
      <c r="B682" s="8"/>
      <c r="C682" s="30"/>
      <c r="D682" s="8"/>
      <c r="E682" s="8"/>
      <c r="F682" s="8"/>
      <c r="G682" s="8"/>
      <c r="H682" s="8"/>
      <c r="I682" s="8"/>
      <c r="J682" s="8"/>
      <c r="K682" s="8"/>
      <c r="L682" s="8"/>
      <c r="M682" s="8"/>
      <c r="N682" s="8"/>
      <c r="O682" s="8"/>
      <c r="P682" s="8"/>
    </row>
    <row r="683" spans="1:16" ht="12.75" customHeight="1">
      <c r="A683" s="8"/>
      <c r="B683" s="8"/>
      <c r="C683" s="30"/>
      <c r="D683" s="8"/>
      <c r="E683" s="8"/>
      <c r="F683" s="8"/>
      <c r="G683" s="8"/>
      <c r="H683" s="8"/>
      <c r="I683" s="8"/>
      <c r="J683" s="8"/>
      <c r="K683" s="8"/>
      <c r="L683" s="8"/>
      <c r="M683" s="8"/>
      <c r="N683" s="8"/>
      <c r="O683" s="8"/>
      <c r="P683" s="8"/>
    </row>
    <row r="684" spans="1:16" ht="12.75" customHeight="1">
      <c r="A684" s="8"/>
      <c r="B684" s="8"/>
      <c r="C684" s="30"/>
      <c r="D684" s="8"/>
      <c r="E684" s="8"/>
      <c r="F684" s="8"/>
      <c r="G684" s="8"/>
      <c r="H684" s="8"/>
      <c r="I684" s="8"/>
      <c r="J684" s="8"/>
      <c r="K684" s="8"/>
      <c r="L684" s="8"/>
      <c r="M684" s="8"/>
      <c r="N684" s="8"/>
      <c r="O684" s="8"/>
      <c r="P684" s="8"/>
    </row>
    <row r="685" spans="1:16" ht="12.75" customHeight="1">
      <c r="A685" s="8"/>
      <c r="B685" s="8"/>
      <c r="C685" s="30"/>
      <c r="D685" s="8"/>
      <c r="E685" s="8"/>
      <c r="F685" s="8"/>
      <c r="G685" s="8"/>
      <c r="H685" s="8"/>
      <c r="I685" s="8"/>
      <c r="J685" s="8"/>
      <c r="K685" s="8"/>
      <c r="L685" s="8"/>
      <c r="M685" s="8"/>
      <c r="N685" s="8"/>
      <c r="O685" s="8"/>
      <c r="P685" s="8"/>
    </row>
    <row r="686" spans="1:16" ht="12.75" customHeight="1">
      <c r="A686" s="8"/>
      <c r="B686" s="8"/>
      <c r="C686" s="30"/>
      <c r="D686" s="8"/>
      <c r="E686" s="8"/>
      <c r="F686" s="8"/>
      <c r="G686" s="8"/>
      <c r="H686" s="8"/>
      <c r="I686" s="8"/>
      <c r="J686" s="8"/>
      <c r="K686" s="8"/>
      <c r="L686" s="8"/>
      <c r="M686" s="8"/>
      <c r="N686" s="8"/>
      <c r="O686" s="8"/>
      <c r="P686" s="8"/>
    </row>
    <row r="687" spans="1:16" ht="12.75" customHeight="1">
      <c r="A687" s="8"/>
      <c r="B687" s="8"/>
      <c r="C687" s="30"/>
      <c r="D687" s="8"/>
      <c r="E687" s="8"/>
      <c r="F687" s="8"/>
      <c r="G687" s="8"/>
      <c r="H687" s="8"/>
      <c r="I687" s="8"/>
      <c r="J687" s="8"/>
      <c r="K687" s="8"/>
      <c r="L687" s="8"/>
      <c r="M687" s="8"/>
      <c r="N687" s="8"/>
      <c r="O687" s="8"/>
      <c r="P687" s="8"/>
    </row>
    <row r="688" spans="1:16" ht="12.75" customHeight="1">
      <c r="A688" s="8"/>
      <c r="B688" s="8"/>
      <c r="C688" s="30"/>
      <c r="D688" s="8"/>
      <c r="E688" s="8"/>
      <c r="F688" s="8"/>
      <c r="G688" s="8"/>
      <c r="H688" s="8"/>
      <c r="I688" s="8"/>
      <c r="J688" s="8"/>
      <c r="K688" s="8"/>
      <c r="L688" s="8"/>
      <c r="M688" s="8"/>
      <c r="N688" s="8"/>
      <c r="O688" s="8"/>
      <c r="P688" s="8"/>
    </row>
    <row r="689" spans="1:16" ht="12.75" customHeight="1">
      <c r="A689" s="8"/>
      <c r="B689" s="8"/>
      <c r="C689" s="30"/>
      <c r="D689" s="8"/>
      <c r="E689" s="8"/>
      <c r="F689" s="8"/>
      <c r="G689" s="8"/>
      <c r="H689" s="8"/>
      <c r="I689" s="8"/>
      <c r="J689" s="8"/>
      <c r="K689" s="8"/>
      <c r="L689" s="8"/>
      <c r="M689" s="8"/>
      <c r="N689" s="8"/>
      <c r="O689" s="8"/>
      <c r="P689" s="8"/>
    </row>
    <row r="690" spans="1:16" ht="12.75" customHeight="1">
      <c r="A690" s="8"/>
      <c r="B690" s="8"/>
      <c r="C690" s="30"/>
      <c r="D690" s="8"/>
      <c r="E690" s="8"/>
      <c r="F690" s="8"/>
      <c r="G690" s="8"/>
      <c r="H690" s="8"/>
      <c r="I690" s="8"/>
      <c r="J690" s="8"/>
      <c r="K690" s="8"/>
      <c r="L690" s="8"/>
      <c r="M690" s="8"/>
      <c r="N690" s="8"/>
      <c r="O690" s="8"/>
      <c r="P690" s="8"/>
    </row>
    <row r="691" spans="1:16" ht="12.75" customHeight="1">
      <c r="A691" s="8"/>
      <c r="B691" s="8"/>
      <c r="C691" s="30"/>
      <c r="D691" s="8"/>
      <c r="E691" s="8"/>
      <c r="F691" s="8"/>
      <c r="G691" s="8"/>
      <c r="H691" s="8"/>
      <c r="I691" s="8"/>
      <c r="J691" s="8"/>
      <c r="K691" s="8"/>
      <c r="L691" s="8"/>
      <c r="M691" s="8"/>
      <c r="N691" s="8"/>
      <c r="O691" s="8"/>
      <c r="P691" s="8"/>
    </row>
    <row r="692" spans="1:16" ht="12.75" customHeight="1">
      <c r="A692" s="8"/>
      <c r="B692" s="8"/>
      <c r="C692" s="30"/>
      <c r="D692" s="8"/>
      <c r="E692" s="8"/>
      <c r="F692" s="8"/>
      <c r="G692" s="8"/>
      <c r="H692" s="8"/>
      <c r="I692" s="8"/>
      <c r="J692" s="8"/>
      <c r="K692" s="8"/>
      <c r="L692" s="8"/>
      <c r="M692" s="8"/>
      <c r="N692" s="8"/>
      <c r="O692" s="8"/>
      <c r="P692" s="8"/>
    </row>
    <row r="693" spans="1:16" ht="12.75" customHeight="1">
      <c r="A693" s="8"/>
      <c r="B693" s="8"/>
      <c r="C693" s="30"/>
      <c r="D693" s="8"/>
      <c r="E693" s="8"/>
      <c r="F693" s="8"/>
      <c r="G693" s="8"/>
      <c r="H693" s="8"/>
      <c r="I693" s="8"/>
      <c r="J693" s="8"/>
      <c r="K693" s="8"/>
      <c r="L693" s="8"/>
      <c r="M693" s="8"/>
      <c r="N693" s="8"/>
      <c r="O693" s="8"/>
      <c r="P693" s="8"/>
    </row>
    <row r="694" spans="1:16" ht="12.75" customHeight="1">
      <c r="A694" s="8"/>
      <c r="B694" s="8"/>
      <c r="C694" s="30"/>
      <c r="D694" s="8"/>
      <c r="E694" s="8"/>
      <c r="F694" s="8"/>
      <c r="G694" s="8"/>
      <c r="H694" s="8"/>
      <c r="I694" s="8"/>
      <c r="J694" s="8"/>
      <c r="K694" s="8"/>
      <c r="L694" s="8"/>
      <c r="M694" s="8"/>
      <c r="N694" s="8"/>
      <c r="O694" s="8"/>
      <c r="P694" s="8"/>
    </row>
    <row r="695" spans="1:16" ht="12.75" customHeight="1">
      <c r="A695" s="8"/>
      <c r="B695" s="8"/>
      <c r="C695" s="30"/>
      <c r="D695" s="8"/>
      <c r="E695" s="8"/>
      <c r="F695" s="8"/>
      <c r="G695" s="8"/>
      <c r="H695" s="8"/>
      <c r="I695" s="8"/>
      <c r="J695" s="8"/>
      <c r="K695" s="8"/>
      <c r="L695" s="8"/>
      <c r="M695" s="8"/>
      <c r="N695" s="8"/>
      <c r="O695" s="8"/>
      <c r="P695" s="8"/>
    </row>
    <row r="696" spans="1:16" ht="12.75" customHeight="1">
      <c r="A696" s="8"/>
      <c r="B696" s="8"/>
      <c r="C696" s="30"/>
      <c r="D696" s="8"/>
      <c r="E696" s="8"/>
      <c r="F696" s="8"/>
      <c r="G696" s="8"/>
      <c r="H696" s="8"/>
      <c r="I696" s="8"/>
      <c r="J696" s="8"/>
      <c r="K696" s="8"/>
      <c r="L696" s="8"/>
      <c r="M696" s="8"/>
      <c r="N696" s="8"/>
      <c r="O696" s="8"/>
      <c r="P696" s="8"/>
    </row>
    <row r="697" spans="1:16" ht="12.75" customHeight="1">
      <c r="A697" s="8"/>
      <c r="B697" s="8"/>
      <c r="C697" s="30"/>
      <c r="D697" s="8"/>
      <c r="E697" s="8"/>
      <c r="F697" s="8"/>
      <c r="G697" s="8"/>
      <c r="H697" s="8"/>
      <c r="I697" s="8"/>
      <c r="J697" s="8"/>
      <c r="K697" s="8"/>
      <c r="L697" s="8"/>
      <c r="M697" s="8"/>
      <c r="N697" s="8"/>
      <c r="O697" s="8"/>
      <c r="P697" s="8"/>
    </row>
    <row r="698" spans="1:16" ht="12.75" customHeight="1">
      <c r="A698" s="8"/>
      <c r="B698" s="8"/>
      <c r="C698" s="30"/>
      <c r="D698" s="8"/>
      <c r="E698" s="8"/>
      <c r="F698" s="8"/>
      <c r="G698" s="8"/>
      <c r="H698" s="8"/>
      <c r="I698" s="8"/>
      <c r="J698" s="8"/>
      <c r="K698" s="8"/>
      <c r="L698" s="8"/>
      <c r="M698" s="8"/>
      <c r="N698" s="8"/>
      <c r="O698" s="8"/>
      <c r="P698" s="8"/>
    </row>
    <row r="699" spans="1:16" ht="12.75" customHeight="1">
      <c r="A699" s="8"/>
      <c r="B699" s="8"/>
      <c r="C699" s="30"/>
      <c r="D699" s="8"/>
      <c r="E699" s="8"/>
      <c r="F699" s="8"/>
      <c r="G699" s="8"/>
      <c r="H699" s="8"/>
      <c r="I699" s="8"/>
      <c r="J699" s="8"/>
      <c r="K699" s="8"/>
      <c r="L699" s="8"/>
      <c r="M699" s="8"/>
      <c r="N699" s="8"/>
      <c r="O699" s="8"/>
      <c r="P699" s="8"/>
    </row>
    <row r="700" spans="1:16" ht="12.75" customHeight="1">
      <c r="A700" s="8"/>
      <c r="B700" s="8"/>
      <c r="C700" s="30"/>
      <c r="D700" s="8"/>
      <c r="E700" s="8"/>
      <c r="F700" s="8"/>
      <c r="G700" s="8"/>
      <c r="H700" s="8"/>
      <c r="I700" s="8"/>
      <c r="J700" s="8"/>
      <c r="K700" s="8"/>
      <c r="L700" s="8"/>
      <c r="M700" s="8"/>
      <c r="N700" s="8"/>
      <c r="O700" s="8"/>
      <c r="P700" s="8"/>
    </row>
    <row r="701" spans="1:16" ht="12.75" customHeight="1">
      <c r="A701" s="8"/>
      <c r="B701" s="8"/>
      <c r="C701" s="30"/>
      <c r="D701" s="8"/>
      <c r="E701" s="8"/>
      <c r="F701" s="8"/>
      <c r="G701" s="8"/>
      <c r="H701" s="8"/>
      <c r="I701" s="8"/>
      <c r="J701" s="8"/>
      <c r="K701" s="8"/>
      <c r="L701" s="8"/>
      <c r="M701" s="8"/>
      <c r="N701" s="8"/>
      <c r="O701" s="8"/>
      <c r="P701" s="8"/>
    </row>
    <row r="702" spans="1:16" ht="12.75" customHeight="1">
      <c r="A702" s="8"/>
      <c r="B702" s="8"/>
      <c r="C702" s="30"/>
      <c r="D702" s="8"/>
      <c r="E702" s="8"/>
      <c r="F702" s="8"/>
      <c r="G702" s="8"/>
      <c r="H702" s="8"/>
      <c r="I702" s="8"/>
      <c r="J702" s="8"/>
      <c r="K702" s="8"/>
      <c r="L702" s="8"/>
      <c r="M702" s="8"/>
      <c r="N702" s="8"/>
      <c r="O702" s="8"/>
      <c r="P702" s="8"/>
    </row>
    <row r="703" spans="1:16" ht="12.75" customHeight="1">
      <c r="A703" s="8"/>
      <c r="B703" s="8"/>
      <c r="C703" s="30"/>
      <c r="D703" s="8"/>
      <c r="E703" s="8"/>
      <c r="F703" s="8"/>
      <c r="G703" s="8"/>
      <c r="H703" s="8"/>
      <c r="I703" s="8"/>
      <c r="J703" s="8"/>
      <c r="K703" s="8"/>
      <c r="L703" s="8"/>
      <c r="M703" s="8"/>
      <c r="N703" s="8"/>
      <c r="O703" s="8"/>
      <c r="P703" s="8"/>
    </row>
    <row r="704" spans="1:16" ht="12.75" customHeight="1">
      <c r="A704" s="8"/>
      <c r="B704" s="8"/>
      <c r="C704" s="30"/>
      <c r="D704" s="8"/>
      <c r="E704" s="8"/>
      <c r="F704" s="8"/>
      <c r="G704" s="8"/>
      <c r="H704" s="8"/>
      <c r="I704" s="8"/>
      <c r="J704" s="8"/>
      <c r="K704" s="8"/>
      <c r="L704" s="8"/>
      <c r="M704" s="8"/>
      <c r="N704" s="8"/>
      <c r="O704" s="8"/>
      <c r="P704" s="8"/>
    </row>
    <row r="705" spans="1:16" ht="12.75" customHeight="1">
      <c r="A705" s="8"/>
      <c r="B705" s="8"/>
      <c r="C705" s="30"/>
      <c r="D705" s="8"/>
      <c r="E705" s="8"/>
      <c r="F705" s="8"/>
      <c r="G705" s="8"/>
      <c r="H705" s="8"/>
      <c r="I705" s="8"/>
      <c r="J705" s="8"/>
      <c r="K705" s="8"/>
      <c r="L705" s="8"/>
      <c r="M705" s="8"/>
      <c r="N705" s="8"/>
      <c r="O705" s="8"/>
      <c r="P705" s="8"/>
    </row>
    <row r="706" spans="1:16" ht="12.75" customHeight="1">
      <c r="A706" s="8"/>
      <c r="B706" s="8"/>
      <c r="C706" s="30"/>
      <c r="D706" s="8"/>
      <c r="E706" s="8"/>
      <c r="F706" s="8"/>
      <c r="G706" s="8"/>
      <c r="H706" s="8"/>
      <c r="I706" s="8"/>
      <c r="J706" s="8"/>
      <c r="K706" s="8"/>
      <c r="L706" s="8"/>
      <c r="M706" s="8"/>
      <c r="N706" s="8"/>
      <c r="O706" s="8"/>
      <c r="P706" s="8"/>
    </row>
    <row r="707" spans="1:16" ht="12.75" customHeight="1">
      <c r="A707" s="8"/>
      <c r="B707" s="8"/>
      <c r="C707" s="30"/>
      <c r="D707" s="8"/>
      <c r="E707" s="8"/>
      <c r="F707" s="8"/>
      <c r="G707" s="8"/>
      <c r="H707" s="8"/>
      <c r="I707" s="8"/>
      <c r="J707" s="8"/>
      <c r="K707" s="8"/>
      <c r="L707" s="8"/>
      <c r="M707" s="8"/>
      <c r="N707" s="8"/>
      <c r="O707" s="8"/>
      <c r="P707" s="8"/>
    </row>
    <row r="708" spans="1:16" ht="12.75" customHeight="1">
      <c r="A708" s="8"/>
      <c r="B708" s="8"/>
      <c r="C708" s="30"/>
      <c r="D708" s="8"/>
      <c r="E708" s="8"/>
      <c r="F708" s="8"/>
      <c r="G708" s="8"/>
      <c r="H708" s="8"/>
      <c r="I708" s="8"/>
      <c r="J708" s="8"/>
      <c r="K708" s="8"/>
      <c r="L708" s="8"/>
      <c r="M708" s="8"/>
      <c r="N708" s="8"/>
      <c r="O708" s="8"/>
      <c r="P708" s="8"/>
    </row>
    <row r="709" spans="1:16" ht="12.75" customHeight="1">
      <c r="A709" s="8"/>
      <c r="B709" s="8"/>
      <c r="C709" s="30"/>
      <c r="D709" s="8"/>
      <c r="E709" s="8"/>
      <c r="F709" s="8"/>
      <c r="G709" s="8"/>
      <c r="H709" s="8"/>
      <c r="I709" s="8"/>
      <c r="J709" s="8"/>
      <c r="K709" s="8"/>
      <c r="L709" s="8"/>
      <c r="M709" s="8"/>
      <c r="N709" s="8"/>
      <c r="O709" s="8"/>
      <c r="P709" s="8"/>
    </row>
    <row r="710" spans="1:16" ht="12.75" customHeight="1">
      <c r="A710" s="8"/>
      <c r="B710" s="8"/>
      <c r="C710" s="30"/>
      <c r="D710" s="8"/>
      <c r="E710" s="8"/>
      <c r="F710" s="8"/>
      <c r="G710" s="8"/>
      <c r="H710" s="8"/>
      <c r="I710" s="8"/>
      <c r="J710" s="8"/>
      <c r="K710" s="8"/>
      <c r="L710" s="8"/>
      <c r="M710" s="8"/>
      <c r="N710" s="8"/>
      <c r="O710" s="8"/>
      <c r="P710" s="8"/>
    </row>
    <row r="711" spans="1:16" ht="12.75" customHeight="1">
      <c r="A711" s="8"/>
      <c r="B711" s="8"/>
      <c r="C711" s="30"/>
      <c r="D711" s="8"/>
      <c r="E711" s="8"/>
      <c r="F711" s="8"/>
      <c r="G711" s="8"/>
      <c r="H711" s="8"/>
      <c r="I711" s="8"/>
      <c r="J711" s="8"/>
      <c r="K711" s="8"/>
      <c r="L711" s="8"/>
      <c r="M711" s="8"/>
      <c r="N711" s="8"/>
      <c r="O711" s="8"/>
      <c r="P711" s="8"/>
    </row>
    <row r="712" spans="1:16" ht="12.75" customHeight="1">
      <c r="A712" s="8"/>
      <c r="B712" s="8"/>
      <c r="C712" s="30"/>
      <c r="D712" s="8"/>
      <c r="E712" s="8"/>
      <c r="F712" s="8"/>
      <c r="G712" s="8"/>
      <c r="H712" s="8"/>
      <c r="I712" s="8"/>
      <c r="J712" s="8"/>
      <c r="K712" s="8"/>
      <c r="L712" s="8"/>
      <c r="M712" s="8"/>
      <c r="N712" s="8"/>
      <c r="O712" s="8"/>
      <c r="P712" s="8"/>
    </row>
    <row r="713" spans="1:16" ht="12.75" customHeight="1">
      <c r="A713" s="8"/>
      <c r="B713" s="8"/>
      <c r="C713" s="30"/>
      <c r="D713" s="8"/>
      <c r="E713" s="8"/>
      <c r="F713" s="8"/>
      <c r="G713" s="8"/>
      <c r="H713" s="8"/>
      <c r="I713" s="8"/>
      <c r="J713" s="8"/>
      <c r="K713" s="8"/>
      <c r="L713" s="8"/>
      <c r="M713" s="8"/>
      <c r="N713" s="8"/>
      <c r="O713" s="8"/>
      <c r="P713" s="8"/>
    </row>
    <row r="714" spans="1:16" ht="12.75" customHeight="1">
      <c r="A714" s="8"/>
      <c r="B714" s="8"/>
      <c r="C714" s="30"/>
      <c r="D714" s="8"/>
      <c r="E714" s="8"/>
      <c r="F714" s="8"/>
      <c r="G714" s="8"/>
      <c r="H714" s="8"/>
      <c r="I714" s="8"/>
      <c r="J714" s="8"/>
      <c r="K714" s="8"/>
      <c r="L714" s="8"/>
      <c r="M714" s="8"/>
      <c r="N714" s="8"/>
      <c r="O714" s="8"/>
      <c r="P714" s="8"/>
    </row>
    <row r="715" spans="1:16" ht="12.75" customHeight="1">
      <c r="A715" s="8"/>
      <c r="B715" s="8"/>
      <c r="C715" s="30"/>
      <c r="D715" s="8"/>
      <c r="E715" s="8"/>
      <c r="F715" s="8"/>
      <c r="G715" s="8"/>
      <c r="H715" s="8"/>
      <c r="I715" s="8"/>
      <c r="J715" s="8"/>
      <c r="K715" s="8"/>
      <c r="L715" s="8"/>
      <c r="M715" s="8"/>
      <c r="N715" s="8"/>
      <c r="O715" s="8"/>
      <c r="P715" s="8"/>
    </row>
    <row r="716" spans="1:16" ht="12.75" customHeight="1">
      <c r="A716" s="8"/>
      <c r="B716" s="8"/>
      <c r="C716" s="30"/>
      <c r="D716" s="8"/>
      <c r="E716" s="8"/>
      <c r="F716" s="8"/>
      <c r="G716" s="8"/>
      <c r="H716" s="8"/>
      <c r="I716" s="8"/>
      <c r="J716" s="8"/>
      <c r="K716" s="8"/>
      <c r="L716" s="8"/>
      <c r="M716" s="8"/>
      <c r="N716" s="8"/>
      <c r="O716" s="8"/>
      <c r="P716" s="8"/>
    </row>
    <row r="717" spans="1:16" ht="12.75" customHeight="1">
      <c r="A717" s="8"/>
      <c r="B717" s="8"/>
      <c r="C717" s="30"/>
      <c r="D717" s="8"/>
      <c r="E717" s="8"/>
      <c r="F717" s="8"/>
      <c r="G717" s="8"/>
      <c r="H717" s="8"/>
      <c r="I717" s="8"/>
      <c r="J717" s="8"/>
      <c r="K717" s="8"/>
      <c r="L717" s="8"/>
      <c r="M717" s="8"/>
      <c r="N717" s="8"/>
      <c r="O717" s="8"/>
      <c r="P717" s="8"/>
    </row>
    <row r="718" spans="1:16" ht="12.75" customHeight="1">
      <c r="A718" s="8"/>
      <c r="B718" s="8"/>
      <c r="C718" s="30"/>
      <c r="D718" s="8"/>
      <c r="E718" s="8"/>
      <c r="F718" s="8"/>
      <c r="G718" s="8"/>
      <c r="H718" s="8"/>
      <c r="I718" s="8"/>
      <c r="J718" s="8"/>
      <c r="K718" s="8"/>
      <c r="L718" s="8"/>
      <c r="M718" s="8"/>
      <c r="N718" s="8"/>
      <c r="O718" s="8"/>
      <c r="P718" s="8"/>
    </row>
    <row r="719" spans="1:16" ht="12.75" customHeight="1">
      <c r="A719" s="8"/>
      <c r="B719" s="8"/>
      <c r="C719" s="30"/>
      <c r="D719" s="8"/>
      <c r="E719" s="8"/>
      <c r="F719" s="8"/>
      <c r="G719" s="8"/>
      <c r="H719" s="8"/>
      <c r="I719" s="8"/>
      <c r="J719" s="8"/>
      <c r="K719" s="8"/>
      <c r="L719" s="8"/>
      <c r="M719" s="8"/>
      <c r="N719" s="8"/>
      <c r="O719" s="8"/>
      <c r="P719" s="8"/>
    </row>
    <row r="720" spans="1:16" ht="12.75" customHeight="1">
      <c r="A720" s="8"/>
      <c r="B720" s="8"/>
      <c r="C720" s="30"/>
      <c r="D720" s="8"/>
      <c r="E720" s="8"/>
      <c r="F720" s="8"/>
      <c r="G720" s="8"/>
      <c r="H720" s="8"/>
      <c r="I720" s="8"/>
      <c r="J720" s="8"/>
      <c r="K720" s="8"/>
      <c r="L720" s="8"/>
      <c r="M720" s="8"/>
      <c r="N720" s="8"/>
      <c r="O720" s="8"/>
      <c r="P720" s="8"/>
    </row>
    <row r="721" spans="1:16" ht="12.75" customHeight="1">
      <c r="A721" s="8"/>
      <c r="B721" s="8"/>
      <c r="C721" s="30"/>
      <c r="D721" s="8"/>
      <c r="E721" s="8"/>
      <c r="F721" s="8"/>
      <c r="G721" s="8"/>
      <c r="H721" s="8"/>
      <c r="I721" s="8"/>
      <c r="J721" s="8"/>
      <c r="K721" s="8"/>
      <c r="L721" s="8"/>
      <c r="M721" s="8"/>
      <c r="N721" s="8"/>
      <c r="O721" s="8"/>
      <c r="P721" s="8"/>
    </row>
    <row r="722" spans="1:16" ht="12.75" customHeight="1">
      <c r="A722" s="8"/>
      <c r="B722" s="8"/>
      <c r="C722" s="30"/>
      <c r="D722" s="8"/>
      <c r="E722" s="8"/>
      <c r="F722" s="8"/>
      <c r="G722" s="8"/>
      <c r="H722" s="8"/>
      <c r="I722" s="8"/>
      <c r="J722" s="8"/>
      <c r="K722" s="8"/>
      <c r="L722" s="8"/>
      <c r="M722" s="8"/>
      <c r="N722" s="8"/>
      <c r="O722" s="8"/>
      <c r="P722" s="8"/>
    </row>
    <row r="723" spans="1:16" ht="12.75" customHeight="1">
      <c r="A723" s="8"/>
      <c r="B723" s="8"/>
      <c r="C723" s="30"/>
      <c r="D723" s="8"/>
      <c r="E723" s="8"/>
      <c r="F723" s="8"/>
      <c r="G723" s="8"/>
      <c r="H723" s="8"/>
      <c r="I723" s="8"/>
      <c r="J723" s="8"/>
      <c r="K723" s="8"/>
      <c r="L723" s="8"/>
      <c r="M723" s="8"/>
      <c r="N723" s="8"/>
      <c r="O723" s="8"/>
      <c r="P723" s="8"/>
    </row>
    <row r="724" spans="1:16" ht="12.75" customHeight="1">
      <c r="A724" s="8"/>
      <c r="B724" s="8"/>
      <c r="C724" s="30"/>
      <c r="D724" s="8"/>
      <c r="E724" s="8"/>
      <c r="F724" s="8"/>
      <c r="G724" s="8"/>
      <c r="H724" s="8"/>
      <c r="I724" s="8"/>
      <c r="J724" s="8"/>
      <c r="K724" s="8"/>
      <c r="L724" s="8"/>
      <c r="M724" s="8"/>
      <c r="N724" s="8"/>
      <c r="O724" s="8"/>
      <c r="P724" s="8"/>
    </row>
    <row r="725" spans="1:16" ht="12.75" customHeight="1">
      <c r="A725" s="8"/>
      <c r="B725" s="8"/>
      <c r="C725" s="30"/>
      <c r="D725" s="8"/>
      <c r="E725" s="8"/>
      <c r="F725" s="8"/>
      <c r="G725" s="8"/>
      <c r="H725" s="8"/>
      <c r="I725" s="8"/>
      <c r="J725" s="8"/>
      <c r="K725" s="8"/>
      <c r="L725" s="8"/>
      <c r="M725" s="8"/>
      <c r="N725" s="8"/>
      <c r="O725" s="8"/>
      <c r="P725" s="8"/>
    </row>
    <row r="726" spans="1:16" ht="12.75" customHeight="1">
      <c r="A726" s="8"/>
      <c r="B726" s="8"/>
      <c r="C726" s="30"/>
      <c r="D726" s="8"/>
      <c r="E726" s="8"/>
      <c r="F726" s="8"/>
      <c r="G726" s="8"/>
      <c r="H726" s="8"/>
      <c r="I726" s="8"/>
      <c r="J726" s="8"/>
      <c r="K726" s="8"/>
      <c r="L726" s="8"/>
      <c r="M726" s="8"/>
      <c r="N726" s="8"/>
      <c r="O726" s="8"/>
      <c r="P726" s="8"/>
    </row>
    <row r="727" spans="1:16" ht="12.75" customHeight="1">
      <c r="A727" s="8"/>
      <c r="B727" s="8"/>
      <c r="C727" s="30"/>
      <c r="D727" s="8"/>
      <c r="E727" s="8"/>
      <c r="F727" s="8"/>
      <c r="G727" s="8"/>
      <c r="H727" s="8"/>
      <c r="I727" s="8"/>
      <c r="J727" s="8"/>
      <c r="K727" s="8"/>
      <c r="L727" s="8"/>
      <c r="M727" s="8"/>
      <c r="N727" s="8"/>
      <c r="O727" s="8"/>
      <c r="P727" s="8"/>
    </row>
    <row r="728" spans="1:16" ht="12.75" customHeight="1">
      <c r="A728" s="8"/>
      <c r="B728" s="8"/>
      <c r="C728" s="30"/>
      <c r="D728" s="8"/>
      <c r="E728" s="8"/>
      <c r="F728" s="8"/>
      <c r="G728" s="8"/>
      <c r="H728" s="8"/>
      <c r="I728" s="8"/>
      <c r="J728" s="8"/>
      <c r="K728" s="8"/>
      <c r="L728" s="8"/>
      <c r="M728" s="8"/>
      <c r="N728" s="8"/>
      <c r="O728" s="8"/>
      <c r="P728" s="8"/>
    </row>
    <row r="729" spans="1:16" ht="12.75" customHeight="1">
      <c r="A729" s="8"/>
      <c r="B729" s="8"/>
      <c r="C729" s="30"/>
      <c r="D729" s="8"/>
      <c r="E729" s="8"/>
      <c r="F729" s="8"/>
      <c r="G729" s="8"/>
      <c r="H729" s="8"/>
      <c r="I729" s="8"/>
      <c r="J729" s="8"/>
      <c r="K729" s="8"/>
      <c r="L729" s="8"/>
      <c r="M729" s="8"/>
      <c r="N729" s="8"/>
      <c r="O729" s="8"/>
      <c r="P729" s="8"/>
    </row>
    <row r="730" spans="1:16" ht="12.75" customHeight="1">
      <c r="A730" s="8"/>
      <c r="B730" s="8"/>
      <c r="C730" s="30"/>
      <c r="D730" s="8"/>
      <c r="E730" s="8"/>
      <c r="F730" s="8"/>
      <c r="G730" s="8"/>
      <c r="H730" s="8"/>
      <c r="I730" s="8"/>
      <c r="J730" s="8"/>
      <c r="K730" s="8"/>
      <c r="L730" s="8"/>
      <c r="M730" s="8"/>
      <c r="N730" s="8"/>
      <c r="O730" s="8"/>
      <c r="P730" s="8"/>
    </row>
    <row r="731" spans="1:16" ht="12.75" customHeight="1">
      <c r="A731" s="8"/>
      <c r="B731" s="8"/>
      <c r="C731" s="30"/>
      <c r="D731" s="8"/>
      <c r="E731" s="8"/>
      <c r="F731" s="8"/>
      <c r="G731" s="8"/>
      <c r="H731" s="8"/>
      <c r="I731" s="8"/>
      <c r="J731" s="8"/>
      <c r="K731" s="8"/>
      <c r="L731" s="8"/>
      <c r="M731" s="8"/>
      <c r="N731" s="8"/>
      <c r="O731" s="8"/>
      <c r="P731" s="8"/>
    </row>
    <row r="732" spans="1:16" ht="12.75" customHeight="1">
      <c r="A732" s="8"/>
      <c r="B732" s="8"/>
      <c r="C732" s="30"/>
      <c r="D732" s="8"/>
      <c r="E732" s="8"/>
      <c r="F732" s="8"/>
      <c r="G732" s="8"/>
      <c r="H732" s="8"/>
      <c r="I732" s="8"/>
      <c r="J732" s="8"/>
      <c r="K732" s="8"/>
      <c r="L732" s="8"/>
      <c r="M732" s="8"/>
      <c r="N732" s="8"/>
      <c r="O732" s="8"/>
      <c r="P732" s="8"/>
    </row>
    <row r="733" spans="1:16" ht="12.75" customHeight="1">
      <c r="A733" s="8"/>
      <c r="B733" s="8"/>
      <c r="C733" s="30"/>
      <c r="D733" s="8"/>
      <c r="E733" s="8"/>
      <c r="F733" s="8"/>
      <c r="G733" s="8"/>
      <c r="H733" s="8"/>
      <c r="I733" s="8"/>
      <c r="J733" s="8"/>
      <c r="K733" s="8"/>
      <c r="L733" s="8"/>
      <c r="M733" s="8"/>
      <c r="N733" s="8"/>
      <c r="O733" s="8"/>
      <c r="P733" s="8"/>
    </row>
    <row r="734" spans="1:16" ht="12.75" customHeight="1">
      <c r="A734" s="8"/>
      <c r="B734" s="8"/>
      <c r="C734" s="30"/>
      <c r="D734" s="8"/>
      <c r="E734" s="8"/>
      <c r="F734" s="8"/>
      <c r="G734" s="8"/>
      <c r="H734" s="8"/>
      <c r="I734" s="8"/>
      <c r="J734" s="8"/>
      <c r="K734" s="8"/>
      <c r="L734" s="8"/>
      <c r="M734" s="8"/>
      <c r="N734" s="8"/>
      <c r="O734" s="8"/>
      <c r="P734" s="8"/>
    </row>
    <row r="735" spans="1:16" ht="12.75" customHeight="1">
      <c r="A735" s="8"/>
      <c r="B735" s="8"/>
      <c r="C735" s="30"/>
      <c r="D735" s="8"/>
      <c r="E735" s="8"/>
      <c r="F735" s="8"/>
      <c r="G735" s="8"/>
      <c r="H735" s="8"/>
      <c r="I735" s="8"/>
      <c r="J735" s="8"/>
      <c r="K735" s="8"/>
      <c r="L735" s="8"/>
      <c r="M735" s="8"/>
      <c r="N735" s="8"/>
      <c r="O735" s="8"/>
      <c r="P735" s="8"/>
    </row>
    <row r="736" spans="1:16" ht="12.75" customHeight="1">
      <c r="A736" s="8"/>
      <c r="B736" s="8"/>
      <c r="C736" s="30"/>
      <c r="D736" s="8"/>
      <c r="E736" s="8"/>
      <c r="F736" s="8"/>
      <c r="G736" s="8"/>
      <c r="H736" s="8"/>
      <c r="I736" s="8"/>
      <c r="J736" s="8"/>
      <c r="K736" s="8"/>
      <c r="L736" s="8"/>
      <c r="M736" s="8"/>
      <c r="N736" s="8"/>
      <c r="O736" s="8"/>
      <c r="P736" s="8"/>
    </row>
    <row r="737" spans="1:16" ht="12.75" customHeight="1">
      <c r="A737" s="8"/>
      <c r="B737" s="8"/>
      <c r="C737" s="30"/>
      <c r="D737" s="8"/>
      <c r="E737" s="8"/>
      <c r="F737" s="8"/>
      <c r="G737" s="8"/>
      <c r="H737" s="8"/>
      <c r="I737" s="8"/>
      <c r="J737" s="8"/>
      <c r="K737" s="8"/>
      <c r="L737" s="8"/>
      <c r="M737" s="8"/>
      <c r="N737" s="8"/>
      <c r="O737" s="8"/>
      <c r="P737" s="8"/>
    </row>
    <row r="738" spans="1:16" ht="12.75" customHeight="1">
      <c r="A738" s="8"/>
      <c r="B738" s="8"/>
      <c r="C738" s="30"/>
      <c r="D738" s="8"/>
      <c r="E738" s="8"/>
      <c r="F738" s="8"/>
      <c r="G738" s="8"/>
      <c r="H738" s="8"/>
      <c r="I738" s="8"/>
      <c r="J738" s="8"/>
      <c r="K738" s="8"/>
      <c r="L738" s="8"/>
      <c r="M738" s="8"/>
      <c r="N738" s="8"/>
      <c r="O738" s="8"/>
      <c r="P738" s="8"/>
    </row>
    <row r="739" spans="1:16" ht="12.75" customHeight="1">
      <c r="A739" s="8"/>
      <c r="B739" s="8"/>
      <c r="C739" s="30"/>
      <c r="D739" s="8"/>
      <c r="E739" s="8"/>
      <c r="F739" s="8"/>
      <c r="G739" s="8"/>
      <c r="H739" s="8"/>
      <c r="I739" s="8"/>
      <c r="J739" s="8"/>
      <c r="K739" s="8"/>
      <c r="L739" s="8"/>
      <c r="M739" s="8"/>
      <c r="N739" s="8"/>
      <c r="O739" s="8"/>
      <c r="P739" s="8"/>
    </row>
    <row r="740" spans="1:16" ht="12.75" customHeight="1">
      <c r="A740" s="8"/>
      <c r="B740" s="8"/>
      <c r="C740" s="30"/>
      <c r="D740" s="8"/>
      <c r="E740" s="8"/>
      <c r="F740" s="8"/>
      <c r="G740" s="8"/>
      <c r="H740" s="8"/>
      <c r="I740" s="8"/>
      <c r="J740" s="8"/>
      <c r="K740" s="8"/>
      <c r="L740" s="8"/>
      <c r="M740" s="8"/>
      <c r="N740" s="8"/>
      <c r="O740" s="8"/>
      <c r="P740" s="8"/>
    </row>
    <row r="741" spans="1:16" ht="12.75" customHeight="1">
      <c r="A741" s="8"/>
      <c r="B741" s="8"/>
      <c r="C741" s="30"/>
      <c r="D741" s="8"/>
      <c r="E741" s="8"/>
      <c r="F741" s="8"/>
      <c r="G741" s="8"/>
      <c r="H741" s="8"/>
      <c r="I741" s="8"/>
      <c r="J741" s="8"/>
      <c r="K741" s="8"/>
      <c r="L741" s="8"/>
      <c r="M741" s="8"/>
      <c r="N741" s="8"/>
      <c r="O741" s="8"/>
      <c r="P741" s="8"/>
    </row>
    <row r="742" spans="1:16" ht="12.75" customHeight="1">
      <c r="A742" s="8"/>
      <c r="B742" s="8"/>
      <c r="C742" s="30"/>
      <c r="D742" s="8"/>
      <c r="E742" s="8"/>
      <c r="F742" s="8"/>
      <c r="G742" s="8"/>
      <c r="H742" s="8"/>
      <c r="I742" s="8"/>
      <c r="J742" s="8"/>
      <c r="K742" s="8"/>
      <c r="L742" s="8"/>
      <c r="M742" s="8"/>
      <c r="N742" s="8"/>
      <c r="O742" s="8"/>
      <c r="P742" s="8"/>
    </row>
    <row r="743" spans="1:16" ht="12.75" customHeight="1">
      <c r="A743" s="8"/>
      <c r="B743" s="8"/>
      <c r="C743" s="30"/>
      <c r="D743" s="8"/>
      <c r="E743" s="8"/>
      <c r="F743" s="8"/>
      <c r="G743" s="8"/>
      <c r="H743" s="8"/>
      <c r="I743" s="8"/>
      <c r="J743" s="8"/>
      <c r="K743" s="8"/>
      <c r="L743" s="8"/>
      <c r="M743" s="8"/>
      <c r="N743" s="8"/>
      <c r="O743" s="8"/>
      <c r="P743" s="8"/>
    </row>
    <row r="744" spans="1:16" ht="12.75" customHeight="1">
      <c r="A744" s="8"/>
      <c r="B744" s="8"/>
      <c r="C744" s="30"/>
      <c r="D744" s="8"/>
      <c r="E744" s="8"/>
      <c r="F744" s="8"/>
      <c r="G744" s="8"/>
      <c r="H744" s="8"/>
      <c r="I744" s="8"/>
      <c r="J744" s="8"/>
      <c r="K744" s="8"/>
      <c r="L744" s="8"/>
      <c r="M744" s="8"/>
      <c r="N744" s="8"/>
      <c r="O744" s="8"/>
      <c r="P744" s="8"/>
    </row>
    <row r="745" spans="1:16" ht="12.75" customHeight="1">
      <c r="A745" s="8"/>
      <c r="B745" s="8"/>
      <c r="C745" s="30"/>
      <c r="D745" s="8"/>
      <c r="E745" s="8"/>
      <c r="F745" s="8"/>
      <c r="G745" s="8"/>
      <c r="H745" s="8"/>
      <c r="I745" s="8"/>
      <c r="J745" s="8"/>
      <c r="K745" s="8"/>
      <c r="L745" s="8"/>
      <c r="M745" s="8"/>
      <c r="N745" s="8"/>
      <c r="O745" s="8"/>
      <c r="P745" s="8"/>
    </row>
    <row r="746" spans="1:16" ht="12.75" customHeight="1">
      <c r="A746" s="8"/>
      <c r="B746" s="8"/>
      <c r="C746" s="30"/>
      <c r="D746" s="8"/>
      <c r="E746" s="8"/>
      <c r="F746" s="8"/>
      <c r="G746" s="8"/>
      <c r="H746" s="8"/>
      <c r="I746" s="8"/>
      <c r="J746" s="8"/>
      <c r="K746" s="8"/>
      <c r="L746" s="8"/>
      <c r="M746" s="8"/>
      <c r="N746" s="8"/>
      <c r="O746" s="8"/>
      <c r="P746" s="8"/>
    </row>
    <row r="747" spans="1:16" ht="12.75" customHeight="1">
      <c r="A747" s="8"/>
      <c r="B747" s="8"/>
      <c r="C747" s="30"/>
      <c r="D747" s="8"/>
      <c r="E747" s="8"/>
      <c r="F747" s="8"/>
      <c r="G747" s="8"/>
      <c r="H747" s="8"/>
      <c r="I747" s="8"/>
      <c r="J747" s="8"/>
      <c r="K747" s="8"/>
      <c r="L747" s="8"/>
      <c r="M747" s="8"/>
      <c r="N747" s="8"/>
      <c r="O747" s="8"/>
      <c r="P747" s="8"/>
    </row>
    <row r="748" spans="1:16" ht="12.75" customHeight="1">
      <c r="A748" s="8"/>
      <c r="B748" s="8"/>
      <c r="C748" s="30"/>
      <c r="D748" s="8"/>
      <c r="E748" s="8"/>
      <c r="F748" s="8"/>
      <c r="G748" s="8"/>
      <c r="H748" s="8"/>
      <c r="I748" s="8"/>
      <c r="J748" s="8"/>
      <c r="K748" s="8"/>
      <c r="L748" s="8"/>
      <c r="M748" s="8"/>
      <c r="N748" s="8"/>
      <c r="O748" s="8"/>
      <c r="P748" s="8"/>
    </row>
    <row r="749" spans="1:16" ht="12.75" customHeight="1">
      <c r="A749" s="8"/>
      <c r="B749" s="8"/>
      <c r="C749" s="30"/>
      <c r="D749" s="8"/>
      <c r="E749" s="8"/>
      <c r="F749" s="8"/>
      <c r="G749" s="8"/>
      <c r="H749" s="8"/>
      <c r="I749" s="8"/>
      <c r="J749" s="8"/>
      <c r="K749" s="8"/>
      <c r="L749" s="8"/>
      <c r="M749" s="8"/>
      <c r="N749" s="8"/>
      <c r="O749" s="8"/>
      <c r="P749" s="8"/>
    </row>
    <row r="750" spans="1:16" ht="12.75" customHeight="1">
      <c r="A750" s="8"/>
      <c r="B750" s="8"/>
      <c r="C750" s="30"/>
      <c r="D750" s="8"/>
      <c r="E750" s="8"/>
      <c r="F750" s="8"/>
      <c r="G750" s="8"/>
      <c r="H750" s="8"/>
      <c r="I750" s="8"/>
      <c r="J750" s="8"/>
      <c r="K750" s="8"/>
      <c r="L750" s="8"/>
      <c r="M750" s="8"/>
      <c r="N750" s="8"/>
      <c r="O750" s="8"/>
      <c r="P750" s="8"/>
    </row>
    <row r="751" spans="1:16" ht="12.75" customHeight="1">
      <c r="A751" s="8"/>
      <c r="B751" s="8"/>
      <c r="C751" s="30"/>
      <c r="D751" s="8"/>
      <c r="E751" s="8"/>
      <c r="F751" s="8"/>
      <c r="G751" s="8"/>
      <c r="H751" s="8"/>
      <c r="I751" s="8"/>
      <c r="J751" s="8"/>
      <c r="K751" s="8"/>
      <c r="L751" s="8"/>
      <c r="M751" s="8"/>
      <c r="N751" s="8"/>
      <c r="O751" s="8"/>
      <c r="P751" s="8"/>
    </row>
    <row r="752" spans="1:16" ht="12.75" customHeight="1">
      <c r="A752" s="8"/>
      <c r="B752" s="8"/>
      <c r="C752" s="30"/>
      <c r="D752" s="8"/>
      <c r="E752" s="8"/>
      <c r="F752" s="8"/>
      <c r="G752" s="8"/>
      <c r="H752" s="8"/>
      <c r="I752" s="8"/>
      <c r="J752" s="8"/>
      <c r="K752" s="8"/>
      <c r="L752" s="8"/>
      <c r="M752" s="8"/>
      <c r="N752" s="8"/>
      <c r="O752" s="8"/>
      <c r="P752" s="8"/>
    </row>
    <row r="753" spans="1:16" ht="12.75" customHeight="1">
      <c r="A753" s="8"/>
      <c r="B753" s="8"/>
      <c r="C753" s="30"/>
      <c r="D753" s="8"/>
      <c r="E753" s="8"/>
      <c r="F753" s="8"/>
      <c r="G753" s="8"/>
      <c r="H753" s="8"/>
      <c r="I753" s="8"/>
      <c r="J753" s="8"/>
      <c r="K753" s="8"/>
      <c r="L753" s="8"/>
      <c r="M753" s="8"/>
      <c r="N753" s="8"/>
      <c r="O753" s="8"/>
      <c r="P753" s="8"/>
    </row>
    <row r="754" spans="1:16" ht="12.75" customHeight="1">
      <c r="A754" s="8"/>
      <c r="B754" s="8"/>
      <c r="C754" s="30"/>
      <c r="D754" s="8"/>
      <c r="E754" s="8"/>
      <c r="F754" s="8"/>
      <c r="G754" s="8"/>
      <c r="H754" s="8"/>
      <c r="I754" s="8"/>
      <c r="J754" s="8"/>
      <c r="K754" s="8"/>
      <c r="L754" s="8"/>
      <c r="M754" s="8"/>
      <c r="N754" s="8"/>
      <c r="O754" s="8"/>
      <c r="P754" s="8"/>
    </row>
    <row r="755" spans="1:16" ht="12.75" customHeight="1">
      <c r="A755" s="8"/>
      <c r="B755" s="8"/>
      <c r="C755" s="30"/>
      <c r="D755" s="8"/>
      <c r="E755" s="8"/>
      <c r="F755" s="8"/>
      <c r="G755" s="8"/>
      <c r="H755" s="8"/>
      <c r="I755" s="8"/>
      <c r="J755" s="8"/>
      <c r="K755" s="8"/>
      <c r="L755" s="8"/>
      <c r="M755" s="8"/>
      <c r="N755" s="8"/>
      <c r="O755" s="8"/>
      <c r="P755" s="8"/>
    </row>
    <row r="756" spans="1:16" ht="12.75" customHeight="1">
      <c r="A756" s="8"/>
      <c r="B756" s="8"/>
      <c r="C756" s="30"/>
      <c r="D756" s="8"/>
      <c r="E756" s="8"/>
      <c r="F756" s="8"/>
      <c r="G756" s="8"/>
      <c r="H756" s="8"/>
      <c r="I756" s="8"/>
      <c r="J756" s="8"/>
      <c r="K756" s="8"/>
      <c r="L756" s="8"/>
      <c r="M756" s="8"/>
      <c r="N756" s="8"/>
      <c r="O756" s="8"/>
      <c r="P756" s="8"/>
    </row>
    <row r="757" spans="1:16" ht="12.75" customHeight="1">
      <c r="A757" s="8"/>
      <c r="B757" s="8"/>
      <c r="C757" s="30"/>
      <c r="D757" s="8"/>
      <c r="E757" s="8"/>
      <c r="F757" s="8"/>
      <c r="G757" s="8"/>
      <c r="H757" s="8"/>
      <c r="I757" s="8"/>
      <c r="J757" s="8"/>
      <c r="K757" s="8"/>
      <c r="L757" s="8"/>
      <c r="M757" s="8"/>
      <c r="N757" s="8"/>
      <c r="O757" s="8"/>
      <c r="P757" s="8"/>
    </row>
    <row r="758" spans="1:16" ht="12.75" customHeight="1">
      <c r="A758" s="8"/>
      <c r="B758" s="8"/>
      <c r="C758" s="30"/>
      <c r="D758" s="8"/>
      <c r="E758" s="8"/>
      <c r="F758" s="8"/>
      <c r="G758" s="8"/>
      <c r="H758" s="8"/>
      <c r="I758" s="8"/>
      <c r="J758" s="8"/>
      <c r="K758" s="8"/>
      <c r="L758" s="8"/>
      <c r="M758" s="8"/>
      <c r="N758" s="8"/>
      <c r="O758" s="8"/>
      <c r="P758" s="8"/>
    </row>
    <row r="759" spans="1:16" ht="12.75" customHeight="1">
      <c r="A759" s="8"/>
      <c r="B759" s="8"/>
      <c r="C759" s="30"/>
      <c r="D759" s="8"/>
      <c r="E759" s="8"/>
      <c r="F759" s="8"/>
      <c r="G759" s="8"/>
      <c r="H759" s="8"/>
      <c r="I759" s="8"/>
      <c r="J759" s="8"/>
      <c r="K759" s="8"/>
      <c r="L759" s="8"/>
      <c r="M759" s="8"/>
      <c r="N759" s="8"/>
      <c r="O759" s="8"/>
      <c r="P759" s="8"/>
    </row>
    <row r="760" spans="1:16" ht="12.75" customHeight="1">
      <c r="A760" s="8"/>
      <c r="B760" s="8"/>
      <c r="C760" s="30"/>
      <c r="D760" s="8"/>
      <c r="E760" s="8"/>
      <c r="F760" s="8"/>
      <c r="G760" s="8"/>
      <c r="H760" s="8"/>
      <c r="I760" s="8"/>
      <c r="J760" s="8"/>
      <c r="K760" s="8"/>
      <c r="L760" s="8"/>
      <c r="M760" s="8"/>
      <c r="N760" s="8"/>
      <c r="O760" s="8"/>
      <c r="P760" s="8"/>
    </row>
    <row r="761" spans="1:16" ht="12.75" customHeight="1">
      <c r="A761" s="8"/>
      <c r="B761" s="8"/>
      <c r="C761" s="30"/>
      <c r="D761" s="8"/>
      <c r="E761" s="8"/>
      <c r="F761" s="8"/>
      <c r="G761" s="8"/>
      <c r="H761" s="8"/>
      <c r="I761" s="8"/>
      <c r="J761" s="8"/>
      <c r="K761" s="8"/>
      <c r="L761" s="8"/>
      <c r="M761" s="8"/>
      <c r="N761" s="8"/>
      <c r="O761" s="8"/>
      <c r="P761" s="8"/>
    </row>
    <row r="762" spans="1:16" ht="12.75" customHeight="1">
      <c r="A762" s="8"/>
      <c r="B762" s="8"/>
      <c r="C762" s="30"/>
      <c r="D762" s="8"/>
      <c r="E762" s="8"/>
      <c r="F762" s="8"/>
      <c r="G762" s="8"/>
      <c r="H762" s="8"/>
      <c r="I762" s="8"/>
      <c r="J762" s="8"/>
      <c r="K762" s="8"/>
      <c r="L762" s="8"/>
      <c r="M762" s="8"/>
      <c r="N762" s="8"/>
      <c r="O762" s="8"/>
      <c r="P762" s="8"/>
    </row>
    <row r="763" spans="1:16" ht="12.75" customHeight="1">
      <c r="A763" s="8"/>
      <c r="B763" s="8"/>
      <c r="C763" s="30"/>
      <c r="D763" s="8"/>
      <c r="E763" s="8"/>
      <c r="F763" s="8"/>
      <c r="G763" s="8"/>
      <c r="H763" s="8"/>
      <c r="I763" s="8"/>
      <c r="J763" s="8"/>
      <c r="K763" s="8"/>
      <c r="L763" s="8"/>
      <c r="M763" s="8"/>
      <c r="N763" s="8"/>
      <c r="O763" s="8"/>
      <c r="P763" s="8"/>
    </row>
    <row r="764" spans="1:16" ht="12.75" customHeight="1">
      <c r="A764" s="8"/>
      <c r="B764" s="8"/>
      <c r="C764" s="30"/>
      <c r="D764" s="8"/>
      <c r="E764" s="8"/>
      <c r="F764" s="8"/>
      <c r="G764" s="8"/>
      <c r="H764" s="8"/>
      <c r="I764" s="8"/>
      <c r="J764" s="8"/>
      <c r="K764" s="8"/>
      <c r="L764" s="8"/>
      <c r="M764" s="8"/>
      <c r="N764" s="8"/>
      <c r="O764" s="8"/>
      <c r="P764" s="8"/>
    </row>
    <row r="765" spans="1:16" ht="12.75" customHeight="1">
      <c r="A765" s="8"/>
      <c r="B765" s="8"/>
      <c r="C765" s="30"/>
      <c r="D765" s="8"/>
      <c r="E765" s="8"/>
      <c r="F765" s="8"/>
      <c r="G765" s="8"/>
      <c r="H765" s="8"/>
      <c r="I765" s="8"/>
      <c r="J765" s="8"/>
      <c r="K765" s="8"/>
      <c r="L765" s="8"/>
      <c r="M765" s="8"/>
      <c r="N765" s="8"/>
      <c r="O765" s="8"/>
      <c r="P765" s="8"/>
    </row>
    <row r="766" spans="1:16" ht="12.75" customHeight="1">
      <c r="A766" s="8"/>
      <c r="B766" s="8"/>
      <c r="C766" s="30"/>
      <c r="D766" s="8"/>
      <c r="E766" s="8"/>
      <c r="F766" s="8"/>
      <c r="G766" s="8"/>
      <c r="H766" s="8"/>
      <c r="I766" s="8"/>
      <c r="J766" s="8"/>
      <c r="K766" s="8"/>
      <c r="L766" s="8"/>
      <c r="M766" s="8"/>
      <c r="N766" s="8"/>
      <c r="O766" s="8"/>
      <c r="P766" s="8"/>
    </row>
    <row r="767" spans="1:16" ht="12.75" customHeight="1">
      <c r="A767" s="8"/>
      <c r="B767" s="8"/>
      <c r="C767" s="30"/>
      <c r="D767" s="8"/>
      <c r="E767" s="8"/>
      <c r="F767" s="8"/>
      <c r="G767" s="8"/>
      <c r="H767" s="8"/>
      <c r="I767" s="8"/>
      <c r="J767" s="8"/>
      <c r="K767" s="8"/>
      <c r="L767" s="8"/>
      <c r="M767" s="8"/>
      <c r="N767" s="8"/>
      <c r="O767" s="8"/>
      <c r="P767" s="8"/>
    </row>
    <row r="768" spans="1:16" ht="12.75" customHeight="1">
      <c r="A768" s="8"/>
      <c r="B768" s="8"/>
      <c r="C768" s="30"/>
      <c r="D768" s="8"/>
      <c r="E768" s="8"/>
      <c r="F768" s="8"/>
      <c r="G768" s="8"/>
      <c r="H768" s="8"/>
      <c r="I768" s="8"/>
      <c r="J768" s="8"/>
      <c r="K768" s="8"/>
      <c r="L768" s="8"/>
      <c r="M768" s="8"/>
      <c r="N768" s="8"/>
      <c r="O768" s="8"/>
      <c r="P768" s="8"/>
    </row>
    <row r="769" spans="1:16" ht="12.75" customHeight="1">
      <c r="A769" s="8"/>
      <c r="B769" s="8"/>
      <c r="C769" s="30"/>
      <c r="D769" s="8"/>
      <c r="E769" s="8"/>
      <c r="F769" s="8"/>
      <c r="G769" s="8"/>
      <c r="H769" s="8"/>
      <c r="I769" s="8"/>
      <c r="J769" s="8"/>
      <c r="K769" s="8"/>
      <c r="L769" s="8"/>
      <c r="M769" s="8"/>
      <c r="N769" s="8"/>
      <c r="O769" s="8"/>
      <c r="P769" s="8"/>
    </row>
    <row r="770" spans="1:16" ht="12.75" customHeight="1">
      <c r="A770" s="8"/>
      <c r="B770" s="8"/>
      <c r="C770" s="30"/>
      <c r="D770" s="8"/>
      <c r="E770" s="8"/>
      <c r="F770" s="8"/>
      <c r="G770" s="8"/>
      <c r="H770" s="8"/>
      <c r="I770" s="8"/>
      <c r="J770" s="8"/>
      <c r="K770" s="8"/>
      <c r="L770" s="8"/>
      <c r="M770" s="8"/>
      <c r="N770" s="8"/>
      <c r="O770" s="8"/>
      <c r="P770" s="8"/>
    </row>
    <row r="771" spans="1:16" ht="12.75" customHeight="1">
      <c r="A771" s="8"/>
      <c r="B771" s="8"/>
      <c r="C771" s="30"/>
      <c r="D771" s="8"/>
      <c r="E771" s="8"/>
      <c r="F771" s="8"/>
      <c r="G771" s="8"/>
      <c r="H771" s="8"/>
      <c r="I771" s="8"/>
      <c r="J771" s="8"/>
      <c r="K771" s="8"/>
      <c r="L771" s="8"/>
      <c r="M771" s="8"/>
      <c r="N771" s="8"/>
      <c r="O771" s="8"/>
      <c r="P771" s="8"/>
    </row>
    <row r="772" spans="1:16" ht="12.75" customHeight="1">
      <c r="A772" s="8"/>
      <c r="B772" s="8"/>
      <c r="C772" s="30"/>
      <c r="D772" s="8"/>
      <c r="E772" s="8"/>
      <c r="F772" s="8"/>
      <c r="G772" s="8"/>
      <c r="H772" s="8"/>
      <c r="I772" s="8"/>
      <c r="J772" s="8"/>
      <c r="K772" s="8"/>
      <c r="L772" s="8"/>
      <c r="M772" s="8"/>
      <c r="N772" s="8"/>
      <c r="O772" s="8"/>
      <c r="P772" s="8"/>
    </row>
    <row r="773" spans="1:16" ht="12.75" customHeight="1">
      <c r="A773" s="8"/>
      <c r="B773" s="8"/>
      <c r="C773" s="30"/>
      <c r="D773" s="8"/>
      <c r="E773" s="8"/>
      <c r="F773" s="8"/>
      <c r="G773" s="8"/>
      <c r="H773" s="8"/>
      <c r="I773" s="8"/>
      <c r="J773" s="8"/>
      <c r="K773" s="8"/>
      <c r="L773" s="8"/>
      <c r="M773" s="8"/>
      <c r="N773" s="8"/>
      <c r="O773" s="8"/>
      <c r="P773" s="8"/>
    </row>
    <row r="774" spans="1:16" ht="12.75" customHeight="1">
      <c r="A774" s="8"/>
      <c r="B774" s="8"/>
      <c r="C774" s="30"/>
      <c r="D774" s="8"/>
      <c r="E774" s="8"/>
      <c r="F774" s="8"/>
      <c r="G774" s="8"/>
      <c r="H774" s="8"/>
      <c r="I774" s="8"/>
      <c r="J774" s="8"/>
      <c r="K774" s="8"/>
      <c r="L774" s="8"/>
      <c r="M774" s="8"/>
      <c r="N774" s="8"/>
      <c r="O774" s="8"/>
      <c r="P774" s="8"/>
    </row>
    <row r="775" spans="1:16" ht="12.75" customHeight="1">
      <c r="A775" s="8"/>
      <c r="B775" s="8"/>
      <c r="C775" s="30"/>
      <c r="D775" s="8"/>
      <c r="E775" s="8"/>
      <c r="F775" s="8"/>
      <c r="G775" s="8"/>
      <c r="H775" s="8"/>
      <c r="I775" s="8"/>
      <c r="J775" s="8"/>
      <c r="K775" s="8"/>
      <c r="L775" s="8"/>
      <c r="M775" s="8"/>
      <c r="N775" s="8"/>
      <c r="O775" s="8"/>
      <c r="P775" s="8"/>
    </row>
    <row r="776" spans="1:16" ht="12.75" customHeight="1">
      <c r="A776" s="8"/>
      <c r="B776" s="8"/>
      <c r="C776" s="30"/>
      <c r="D776" s="8"/>
      <c r="E776" s="8"/>
      <c r="F776" s="8"/>
      <c r="G776" s="8"/>
      <c r="H776" s="8"/>
      <c r="I776" s="8"/>
      <c r="J776" s="8"/>
      <c r="K776" s="8"/>
      <c r="L776" s="8"/>
      <c r="M776" s="8"/>
      <c r="N776" s="8"/>
      <c r="O776" s="8"/>
      <c r="P776" s="8"/>
    </row>
    <row r="777" spans="1:16" ht="12.75" customHeight="1">
      <c r="A777" s="8"/>
      <c r="B777" s="8"/>
      <c r="C777" s="30"/>
      <c r="D777" s="8"/>
      <c r="E777" s="8"/>
      <c r="F777" s="8"/>
      <c r="G777" s="8"/>
      <c r="H777" s="8"/>
      <c r="I777" s="8"/>
      <c r="J777" s="8"/>
      <c r="K777" s="8"/>
      <c r="L777" s="8"/>
      <c r="M777" s="8"/>
      <c r="N777" s="8"/>
      <c r="O777" s="8"/>
      <c r="P777" s="8"/>
    </row>
    <row r="778" spans="1:16" ht="12.75" customHeight="1">
      <c r="A778" s="8"/>
      <c r="B778" s="8"/>
      <c r="C778" s="30"/>
      <c r="D778" s="8"/>
      <c r="E778" s="8"/>
      <c r="F778" s="8"/>
      <c r="G778" s="8"/>
      <c r="H778" s="8"/>
      <c r="I778" s="8"/>
      <c r="J778" s="8"/>
      <c r="K778" s="8"/>
      <c r="L778" s="8"/>
      <c r="M778" s="8"/>
      <c r="N778" s="8"/>
      <c r="O778" s="8"/>
      <c r="P778" s="8"/>
    </row>
    <row r="779" spans="1:16" ht="12.75" customHeight="1">
      <c r="A779" s="8"/>
      <c r="B779" s="8"/>
      <c r="C779" s="30"/>
      <c r="D779" s="8"/>
      <c r="E779" s="8"/>
      <c r="F779" s="8"/>
      <c r="G779" s="8"/>
      <c r="H779" s="8"/>
      <c r="I779" s="8"/>
      <c r="J779" s="8"/>
      <c r="K779" s="8"/>
      <c r="L779" s="8"/>
      <c r="M779" s="8"/>
      <c r="N779" s="8"/>
      <c r="O779" s="8"/>
      <c r="P779" s="8"/>
    </row>
    <row r="780" spans="1:16" ht="12.75" customHeight="1">
      <c r="A780" s="8"/>
      <c r="B780" s="8"/>
      <c r="C780" s="30"/>
      <c r="D780" s="8"/>
      <c r="E780" s="8"/>
      <c r="F780" s="8"/>
      <c r="G780" s="8"/>
      <c r="H780" s="8"/>
      <c r="I780" s="8"/>
      <c r="J780" s="8"/>
      <c r="K780" s="8"/>
      <c r="L780" s="8"/>
      <c r="M780" s="8"/>
      <c r="N780" s="8"/>
      <c r="O780" s="8"/>
      <c r="P780" s="8"/>
    </row>
    <row r="781" spans="1:16" ht="12.75" customHeight="1">
      <c r="A781" s="8"/>
      <c r="B781" s="8"/>
      <c r="C781" s="30"/>
      <c r="D781" s="8"/>
      <c r="E781" s="8"/>
      <c r="F781" s="8"/>
      <c r="G781" s="8"/>
      <c r="H781" s="8"/>
      <c r="I781" s="8"/>
      <c r="J781" s="8"/>
      <c r="K781" s="8"/>
      <c r="L781" s="8"/>
      <c r="M781" s="8"/>
      <c r="N781" s="8"/>
      <c r="O781" s="8"/>
      <c r="P781" s="8"/>
    </row>
    <row r="782" spans="1:16" ht="12.75" customHeight="1">
      <c r="A782" s="8"/>
      <c r="B782" s="8"/>
      <c r="C782" s="30"/>
      <c r="D782" s="8"/>
      <c r="E782" s="8"/>
      <c r="F782" s="8"/>
      <c r="G782" s="8"/>
      <c r="H782" s="8"/>
      <c r="I782" s="8"/>
      <c r="J782" s="8"/>
      <c r="K782" s="8"/>
      <c r="L782" s="8"/>
      <c r="M782" s="8"/>
      <c r="N782" s="8"/>
      <c r="O782" s="8"/>
      <c r="P782" s="8"/>
    </row>
    <row r="783" spans="1:16" ht="12.75" customHeight="1">
      <c r="A783" s="8"/>
      <c r="B783" s="8"/>
      <c r="C783" s="30"/>
      <c r="D783" s="8"/>
      <c r="E783" s="8"/>
      <c r="F783" s="8"/>
      <c r="G783" s="8"/>
      <c r="H783" s="8"/>
      <c r="I783" s="8"/>
      <c r="J783" s="8"/>
      <c r="K783" s="8"/>
      <c r="L783" s="8"/>
      <c r="M783" s="8"/>
      <c r="N783" s="8"/>
      <c r="O783" s="8"/>
      <c r="P783" s="8"/>
    </row>
    <row r="784" spans="1:16" ht="12.75" customHeight="1">
      <c r="A784" s="8"/>
      <c r="B784" s="8"/>
      <c r="C784" s="30"/>
      <c r="D784" s="8"/>
      <c r="E784" s="8"/>
      <c r="F784" s="8"/>
      <c r="G784" s="8"/>
      <c r="H784" s="8"/>
      <c r="I784" s="8"/>
      <c r="J784" s="8"/>
      <c r="K784" s="8"/>
      <c r="L784" s="8"/>
      <c r="M784" s="8"/>
      <c r="N784" s="8"/>
      <c r="O784" s="8"/>
      <c r="P784" s="8"/>
    </row>
    <row r="785" spans="1:16" ht="12.75" customHeight="1">
      <c r="A785" s="8"/>
      <c r="B785" s="8"/>
      <c r="C785" s="30"/>
      <c r="D785" s="8"/>
      <c r="E785" s="8"/>
      <c r="F785" s="8"/>
      <c r="G785" s="8"/>
      <c r="H785" s="8"/>
      <c r="I785" s="8"/>
      <c r="J785" s="8"/>
      <c r="K785" s="8"/>
      <c r="L785" s="8"/>
      <c r="M785" s="8"/>
      <c r="N785" s="8"/>
      <c r="O785" s="8"/>
      <c r="P785" s="8"/>
    </row>
    <row r="786" spans="1:16" ht="12.75" customHeight="1">
      <c r="A786" s="8"/>
      <c r="B786" s="8"/>
      <c r="C786" s="30"/>
      <c r="D786" s="8"/>
      <c r="E786" s="8"/>
      <c r="F786" s="8"/>
      <c r="G786" s="8"/>
      <c r="H786" s="8"/>
      <c r="I786" s="8"/>
      <c r="J786" s="8"/>
      <c r="K786" s="8"/>
      <c r="L786" s="8"/>
      <c r="M786" s="8"/>
      <c r="N786" s="8"/>
      <c r="O786" s="8"/>
      <c r="P786" s="8"/>
    </row>
    <row r="787" spans="1:16" ht="12.75" customHeight="1">
      <c r="A787" s="8"/>
      <c r="B787" s="8"/>
      <c r="C787" s="30"/>
      <c r="D787" s="8"/>
      <c r="E787" s="8"/>
      <c r="F787" s="8"/>
      <c r="G787" s="8"/>
      <c r="H787" s="8"/>
      <c r="I787" s="8"/>
      <c r="J787" s="8"/>
      <c r="K787" s="8"/>
      <c r="L787" s="8"/>
      <c r="M787" s="8"/>
      <c r="N787" s="8"/>
      <c r="O787" s="8"/>
      <c r="P787" s="8"/>
    </row>
    <row r="788" spans="1:16" ht="12.75" customHeight="1">
      <c r="A788" s="8"/>
      <c r="B788" s="8"/>
      <c r="C788" s="30"/>
      <c r="D788" s="8"/>
      <c r="E788" s="8"/>
      <c r="F788" s="8"/>
      <c r="G788" s="8"/>
      <c r="H788" s="8"/>
      <c r="I788" s="8"/>
      <c r="J788" s="8"/>
      <c r="K788" s="8"/>
      <c r="L788" s="8"/>
      <c r="M788" s="8"/>
      <c r="N788" s="8"/>
      <c r="O788" s="8"/>
      <c r="P788" s="8"/>
    </row>
    <row r="789" spans="1:16" ht="12.75" customHeight="1">
      <c r="A789" s="8"/>
      <c r="B789" s="8"/>
      <c r="C789" s="30"/>
      <c r="D789" s="8"/>
      <c r="E789" s="8"/>
      <c r="F789" s="8"/>
      <c r="G789" s="8"/>
      <c r="H789" s="8"/>
      <c r="I789" s="8"/>
      <c r="J789" s="8"/>
      <c r="K789" s="8"/>
      <c r="L789" s="8"/>
      <c r="M789" s="8"/>
      <c r="N789" s="8"/>
      <c r="O789" s="8"/>
      <c r="P789" s="8"/>
    </row>
    <row r="790" spans="1:16" ht="12.75" customHeight="1">
      <c r="A790" s="8"/>
      <c r="B790" s="8"/>
      <c r="C790" s="30"/>
      <c r="D790" s="8"/>
      <c r="E790" s="8"/>
      <c r="F790" s="8"/>
      <c r="G790" s="8"/>
      <c r="H790" s="8"/>
      <c r="I790" s="8"/>
      <c r="J790" s="8"/>
      <c r="K790" s="8"/>
      <c r="L790" s="8"/>
      <c r="M790" s="8"/>
      <c r="N790" s="8"/>
      <c r="O790" s="8"/>
      <c r="P790" s="8"/>
    </row>
    <row r="791" spans="1:16" ht="12.75" customHeight="1">
      <c r="A791" s="8"/>
      <c r="B791" s="8"/>
      <c r="C791" s="30"/>
      <c r="D791" s="8"/>
      <c r="E791" s="8"/>
      <c r="F791" s="8"/>
      <c r="G791" s="8"/>
      <c r="H791" s="8"/>
      <c r="I791" s="8"/>
      <c r="J791" s="8"/>
      <c r="K791" s="8"/>
      <c r="L791" s="8"/>
      <c r="M791" s="8"/>
      <c r="N791" s="8"/>
      <c r="O791" s="8"/>
      <c r="P791" s="8"/>
    </row>
    <row r="792" spans="1:16" ht="12.75" customHeight="1">
      <c r="A792" s="8"/>
      <c r="B792" s="8"/>
      <c r="C792" s="30"/>
      <c r="D792" s="8"/>
      <c r="E792" s="8"/>
      <c r="F792" s="8"/>
      <c r="G792" s="8"/>
      <c r="H792" s="8"/>
      <c r="I792" s="8"/>
      <c r="J792" s="8"/>
      <c r="K792" s="8"/>
      <c r="L792" s="8"/>
      <c r="M792" s="8"/>
      <c r="N792" s="8"/>
      <c r="O792" s="8"/>
      <c r="P792" s="8"/>
    </row>
    <row r="793" spans="1:16" ht="12.75" customHeight="1">
      <c r="A793" s="8"/>
      <c r="B793" s="8"/>
      <c r="C793" s="30"/>
      <c r="D793" s="8"/>
      <c r="E793" s="8"/>
      <c r="F793" s="8"/>
      <c r="G793" s="8"/>
      <c r="H793" s="8"/>
      <c r="I793" s="8"/>
      <c r="J793" s="8"/>
      <c r="K793" s="8"/>
      <c r="L793" s="8"/>
      <c r="M793" s="8"/>
      <c r="N793" s="8"/>
      <c r="O793" s="8"/>
      <c r="P793" s="8"/>
    </row>
    <row r="794" spans="1:16" ht="12.75" customHeight="1">
      <c r="A794" s="8"/>
      <c r="B794" s="8"/>
      <c r="C794" s="30"/>
      <c r="D794" s="8"/>
      <c r="E794" s="8"/>
      <c r="F794" s="8"/>
      <c r="G794" s="8"/>
      <c r="H794" s="8"/>
      <c r="I794" s="8"/>
      <c r="J794" s="8"/>
      <c r="K794" s="8"/>
      <c r="L794" s="8"/>
      <c r="M794" s="8"/>
      <c r="N794" s="8"/>
      <c r="O794" s="8"/>
      <c r="P794" s="8"/>
    </row>
    <row r="795" spans="1:16" ht="12.75" customHeight="1">
      <c r="A795" s="8"/>
      <c r="B795" s="8"/>
      <c r="C795" s="30"/>
      <c r="D795" s="8"/>
      <c r="E795" s="8"/>
      <c r="F795" s="8"/>
      <c r="G795" s="8"/>
      <c r="H795" s="8"/>
      <c r="I795" s="8"/>
      <c r="J795" s="8"/>
      <c r="K795" s="8"/>
      <c r="L795" s="8"/>
      <c r="M795" s="8"/>
      <c r="N795" s="8"/>
      <c r="O795" s="8"/>
      <c r="P795" s="8"/>
    </row>
    <row r="796" spans="1:16" ht="12.75" customHeight="1">
      <c r="A796" s="8"/>
      <c r="B796" s="8"/>
      <c r="C796" s="30"/>
      <c r="D796" s="8"/>
      <c r="E796" s="8"/>
      <c r="F796" s="8"/>
      <c r="G796" s="8"/>
      <c r="H796" s="8"/>
      <c r="I796" s="8"/>
      <c r="J796" s="8"/>
      <c r="K796" s="8"/>
      <c r="L796" s="8"/>
      <c r="M796" s="8"/>
      <c r="N796" s="8"/>
      <c r="O796" s="8"/>
      <c r="P796" s="8"/>
    </row>
    <row r="797" spans="1:16" ht="12.75" customHeight="1">
      <c r="A797" s="8"/>
      <c r="B797" s="8"/>
      <c r="C797" s="30"/>
      <c r="D797" s="8"/>
      <c r="E797" s="8"/>
      <c r="F797" s="8"/>
      <c r="G797" s="8"/>
      <c r="H797" s="8"/>
      <c r="I797" s="8"/>
      <c r="J797" s="8"/>
      <c r="K797" s="8"/>
      <c r="L797" s="8"/>
      <c r="M797" s="8"/>
      <c r="N797" s="8"/>
      <c r="O797" s="8"/>
      <c r="P797" s="8"/>
    </row>
    <row r="798" spans="1:16" ht="12.75" customHeight="1">
      <c r="A798" s="8"/>
      <c r="B798" s="8"/>
      <c r="C798" s="30"/>
      <c r="D798" s="8"/>
      <c r="E798" s="8"/>
      <c r="F798" s="8"/>
      <c r="G798" s="8"/>
      <c r="H798" s="8"/>
      <c r="I798" s="8"/>
      <c r="J798" s="8"/>
      <c r="K798" s="8"/>
      <c r="L798" s="8"/>
      <c r="M798" s="8"/>
      <c r="N798" s="8"/>
      <c r="O798" s="8"/>
      <c r="P798" s="8"/>
    </row>
    <row r="799" spans="1:16" ht="12.75" customHeight="1">
      <c r="A799" s="8"/>
      <c r="B799" s="8"/>
      <c r="C799" s="30"/>
      <c r="D799" s="8"/>
      <c r="E799" s="8"/>
      <c r="F799" s="8"/>
      <c r="G799" s="8"/>
      <c r="H799" s="8"/>
      <c r="I799" s="8"/>
      <c r="J799" s="8"/>
      <c r="K799" s="8"/>
      <c r="L799" s="8"/>
      <c r="M799" s="8"/>
      <c r="N799" s="8"/>
      <c r="O799" s="8"/>
      <c r="P799" s="8"/>
    </row>
    <row r="800" spans="1:16" ht="12.75" customHeight="1">
      <c r="A800" s="8"/>
      <c r="B800" s="8"/>
      <c r="C800" s="30"/>
      <c r="D800" s="8"/>
      <c r="E800" s="8"/>
      <c r="F800" s="8"/>
      <c r="G800" s="8"/>
      <c r="H800" s="8"/>
      <c r="I800" s="8"/>
      <c r="J800" s="8"/>
      <c r="K800" s="8"/>
      <c r="L800" s="8"/>
      <c r="M800" s="8"/>
      <c r="N800" s="8"/>
      <c r="O800" s="8"/>
      <c r="P800" s="8"/>
    </row>
    <row r="801" spans="1:16" ht="12.75" customHeight="1">
      <c r="A801" s="8"/>
      <c r="B801" s="8"/>
      <c r="C801" s="30"/>
      <c r="D801" s="8"/>
      <c r="E801" s="8"/>
      <c r="F801" s="8"/>
      <c r="G801" s="8"/>
      <c r="H801" s="8"/>
      <c r="I801" s="8"/>
      <c r="J801" s="8"/>
      <c r="K801" s="8"/>
      <c r="L801" s="8"/>
      <c r="M801" s="8"/>
      <c r="N801" s="8"/>
      <c r="O801" s="8"/>
      <c r="P801" s="8"/>
    </row>
    <row r="802" spans="1:16" ht="12.75" customHeight="1">
      <c r="A802" s="8"/>
      <c r="B802" s="8"/>
      <c r="C802" s="30"/>
      <c r="D802" s="8"/>
      <c r="E802" s="8"/>
      <c r="F802" s="8"/>
      <c r="G802" s="8"/>
      <c r="H802" s="8"/>
      <c r="I802" s="8"/>
      <c r="J802" s="8"/>
      <c r="K802" s="8"/>
      <c r="L802" s="8"/>
      <c r="M802" s="8"/>
      <c r="N802" s="8"/>
      <c r="O802" s="8"/>
      <c r="P802" s="8"/>
    </row>
    <row r="803" spans="1:16" ht="12.75" customHeight="1">
      <c r="A803" s="8"/>
      <c r="B803" s="8"/>
      <c r="C803" s="30"/>
      <c r="D803" s="8"/>
      <c r="E803" s="8"/>
      <c r="F803" s="8"/>
      <c r="G803" s="8"/>
      <c r="H803" s="8"/>
      <c r="I803" s="8"/>
      <c r="J803" s="8"/>
      <c r="K803" s="8"/>
      <c r="L803" s="8"/>
      <c r="M803" s="8"/>
      <c r="N803" s="8"/>
      <c r="O803" s="8"/>
      <c r="P803" s="8"/>
    </row>
    <row r="804" spans="1:16" ht="12.75" customHeight="1">
      <c r="A804" s="8"/>
      <c r="B804" s="8"/>
      <c r="C804" s="30"/>
      <c r="D804" s="8"/>
      <c r="E804" s="8"/>
      <c r="F804" s="8"/>
      <c r="G804" s="8"/>
      <c r="H804" s="8"/>
      <c r="I804" s="8"/>
      <c r="J804" s="8"/>
      <c r="K804" s="8"/>
      <c r="L804" s="8"/>
      <c r="M804" s="8"/>
      <c r="N804" s="8"/>
      <c r="O804" s="8"/>
      <c r="P804" s="8"/>
    </row>
    <row r="805" spans="1:16" ht="12.75" customHeight="1">
      <c r="A805" s="8"/>
      <c r="B805" s="8"/>
      <c r="C805" s="30"/>
      <c r="D805" s="8"/>
      <c r="E805" s="8"/>
      <c r="F805" s="8"/>
      <c r="G805" s="8"/>
      <c r="H805" s="8"/>
      <c r="I805" s="8"/>
      <c r="J805" s="8"/>
      <c r="K805" s="8"/>
      <c r="L805" s="8"/>
      <c r="M805" s="8"/>
      <c r="N805" s="8"/>
      <c r="O805" s="8"/>
      <c r="P805" s="8"/>
    </row>
    <row r="806" spans="1:16" ht="12.75" customHeight="1">
      <c r="A806" s="8"/>
      <c r="B806" s="8"/>
      <c r="C806" s="30"/>
      <c r="D806" s="8"/>
      <c r="E806" s="8"/>
      <c r="F806" s="8"/>
      <c r="G806" s="8"/>
      <c r="H806" s="8"/>
      <c r="I806" s="8"/>
      <c r="J806" s="8"/>
      <c r="K806" s="8"/>
      <c r="L806" s="8"/>
      <c r="M806" s="8"/>
      <c r="N806" s="8"/>
      <c r="O806" s="8"/>
      <c r="P806" s="8"/>
    </row>
    <row r="807" spans="1:16" ht="12.75" customHeight="1">
      <c r="A807" s="8"/>
      <c r="B807" s="8"/>
      <c r="C807" s="30"/>
      <c r="D807" s="8"/>
      <c r="E807" s="8"/>
      <c r="F807" s="8"/>
      <c r="G807" s="8"/>
      <c r="H807" s="8"/>
      <c r="I807" s="8"/>
      <c r="J807" s="8"/>
      <c r="K807" s="8"/>
      <c r="L807" s="8"/>
      <c r="M807" s="8"/>
      <c r="N807" s="8"/>
      <c r="O807" s="8"/>
      <c r="P807" s="8"/>
    </row>
    <row r="808" spans="1:16" ht="12.75" customHeight="1">
      <c r="A808" s="8"/>
      <c r="B808" s="8"/>
      <c r="C808" s="30"/>
      <c r="D808" s="8"/>
      <c r="E808" s="8"/>
      <c r="F808" s="8"/>
      <c r="G808" s="8"/>
      <c r="H808" s="8"/>
      <c r="I808" s="8"/>
      <c r="J808" s="8"/>
      <c r="K808" s="8"/>
      <c r="L808" s="8"/>
      <c r="M808" s="8"/>
      <c r="N808" s="8"/>
      <c r="O808" s="8"/>
      <c r="P808" s="8"/>
    </row>
    <row r="809" spans="1:16" ht="12.75" customHeight="1">
      <c r="A809" s="8"/>
      <c r="B809" s="8"/>
      <c r="C809" s="30"/>
      <c r="D809" s="8"/>
      <c r="E809" s="8"/>
      <c r="F809" s="8"/>
      <c r="G809" s="8"/>
      <c r="H809" s="8"/>
      <c r="I809" s="8"/>
      <c r="J809" s="8"/>
      <c r="K809" s="8"/>
      <c r="L809" s="8"/>
      <c r="M809" s="8"/>
      <c r="N809" s="8"/>
      <c r="O809" s="8"/>
      <c r="P809" s="8"/>
    </row>
    <row r="810" spans="1:16" ht="12.75" customHeight="1">
      <c r="A810" s="8"/>
      <c r="B810" s="8"/>
      <c r="C810" s="30"/>
      <c r="D810" s="8"/>
      <c r="E810" s="8"/>
      <c r="F810" s="8"/>
      <c r="G810" s="8"/>
      <c r="H810" s="8"/>
      <c r="I810" s="8"/>
      <c r="J810" s="8"/>
      <c r="K810" s="8"/>
      <c r="L810" s="8"/>
      <c r="M810" s="8"/>
      <c r="N810" s="8"/>
      <c r="O810" s="8"/>
      <c r="P810" s="8"/>
    </row>
    <row r="811" spans="1:16" ht="12.75" customHeight="1">
      <c r="A811" s="8"/>
      <c r="B811" s="8"/>
      <c r="C811" s="30"/>
      <c r="D811" s="8"/>
      <c r="E811" s="8"/>
      <c r="F811" s="8"/>
      <c r="G811" s="8"/>
      <c r="H811" s="8"/>
      <c r="I811" s="8"/>
      <c r="J811" s="8"/>
      <c r="K811" s="8"/>
      <c r="L811" s="8"/>
      <c r="M811" s="8"/>
      <c r="N811" s="8"/>
      <c r="O811" s="8"/>
      <c r="P811" s="8"/>
    </row>
    <row r="812" spans="1:16" ht="12.75" customHeight="1">
      <c r="A812" s="8"/>
      <c r="B812" s="8"/>
      <c r="C812" s="30"/>
      <c r="D812" s="8"/>
      <c r="E812" s="8"/>
      <c r="F812" s="8"/>
      <c r="G812" s="8"/>
      <c r="H812" s="8"/>
      <c r="I812" s="8"/>
      <c r="J812" s="8"/>
      <c r="K812" s="8"/>
      <c r="L812" s="8"/>
      <c r="M812" s="8"/>
      <c r="N812" s="8"/>
      <c r="O812" s="8"/>
      <c r="P812" s="8"/>
    </row>
    <row r="813" spans="1:16" ht="12.75" customHeight="1">
      <c r="A813" s="8"/>
      <c r="B813" s="8"/>
      <c r="C813" s="30"/>
      <c r="D813" s="8"/>
      <c r="E813" s="8"/>
      <c r="F813" s="8"/>
      <c r="G813" s="8"/>
      <c r="H813" s="8"/>
      <c r="I813" s="8"/>
      <c r="J813" s="8"/>
      <c r="K813" s="8"/>
      <c r="L813" s="8"/>
      <c r="M813" s="8"/>
      <c r="N813" s="8"/>
      <c r="O813" s="8"/>
      <c r="P813" s="8"/>
    </row>
    <row r="814" spans="1:16" ht="12.75" customHeight="1">
      <c r="A814" s="8"/>
      <c r="B814" s="8"/>
      <c r="C814" s="30"/>
      <c r="D814" s="8"/>
      <c r="E814" s="8"/>
      <c r="F814" s="8"/>
      <c r="G814" s="8"/>
      <c r="H814" s="8"/>
      <c r="I814" s="8"/>
      <c r="J814" s="8"/>
      <c r="K814" s="8"/>
      <c r="L814" s="8"/>
      <c r="M814" s="8"/>
      <c r="N814" s="8"/>
      <c r="O814" s="8"/>
      <c r="P814" s="8"/>
    </row>
    <row r="815" spans="1:16" ht="12.75" customHeight="1">
      <c r="A815" s="8"/>
      <c r="B815" s="8"/>
      <c r="C815" s="30"/>
      <c r="D815" s="8"/>
      <c r="E815" s="8"/>
      <c r="F815" s="8"/>
      <c r="G815" s="8"/>
      <c r="H815" s="8"/>
      <c r="I815" s="8"/>
      <c r="J815" s="8"/>
      <c r="K815" s="8"/>
      <c r="L815" s="8"/>
      <c r="M815" s="8"/>
      <c r="N815" s="8"/>
      <c r="O815" s="8"/>
      <c r="P815" s="8"/>
    </row>
    <row r="816" spans="1:16" ht="12.75" customHeight="1">
      <c r="A816" s="8"/>
      <c r="B816" s="8"/>
      <c r="C816" s="30"/>
      <c r="D816" s="8"/>
      <c r="E816" s="8"/>
      <c r="F816" s="8"/>
      <c r="G816" s="8"/>
      <c r="H816" s="8"/>
      <c r="I816" s="8"/>
      <c r="J816" s="8"/>
      <c r="K816" s="8"/>
      <c r="L816" s="8"/>
      <c r="M816" s="8"/>
      <c r="N816" s="8"/>
      <c r="O816" s="8"/>
      <c r="P816" s="8"/>
    </row>
    <row r="817" spans="1:16" ht="12.75" customHeight="1">
      <c r="A817" s="8"/>
      <c r="B817" s="8"/>
      <c r="C817" s="30"/>
      <c r="D817" s="8"/>
      <c r="E817" s="8"/>
      <c r="F817" s="8"/>
      <c r="G817" s="8"/>
      <c r="H817" s="8"/>
      <c r="I817" s="8"/>
      <c r="J817" s="8"/>
      <c r="K817" s="8"/>
      <c r="L817" s="8"/>
      <c r="M817" s="8"/>
      <c r="N817" s="8"/>
      <c r="O817" s="8"/>
      <c r="P817" s="8"/>
    </row>
    <row r="818" spans="1:16" ht="12.75" customHeight="1">
      <c r="A818" s="8"/>
      <c r="B818" s="8"/>
      <c r="C818" s="30"/>
      <c r="D818" s="8"/>
      <c r="E818" s="8"/>
      <c r="F818" s="8"/>
      <c r="G818" s="8"/>
      <c r="H818" s="8"/>
      <c r="I818" s="8"/>
      <c r="J818" s="8"/>
      <c r="K818" s="8"/>
      <c r="L818" s="8"/>
      <c r="M818" s="8"/>
      <c r="N818" s="8"/>
      <c r="O818" s="8"/>
      <c r="P818" s="8"/>
    </row>
    <row r="819" spans="1:16" ht="12.75" customHeight="1">
      <c r="A819" s="8"/>
      <c r="B819" s="8"/>
      <c r="C819" s="30"/>
      <c r="D819" s="8"/>
      <c r="E819" s="8"/>
      <c r="F819" s="8"/>
      <c r="G819" s="8"/>
      <c r="H819" s="8"/>
      <c r="I819" s="8"/>
      <c r="J819" s="8"/>
      <c r="K819" s="8"/>
      <c r="L819" s="8"/>
      <c r="M819" s="8"/>
      <c r="N819" s="8"/>
      <c r="O819" s="8"/>
      <c r="P819" s="8"/>
    </row>
    <row r="820" spans="1:16" ht="12.75" customHeight="1">
      <c r="A820" s="8"/>
      <c r="B820" s="8"/>
      <c r="C820" s="30"/>
      <c r="D820" s="8"/>
      <c r="E820" s="8"/>
      <c r="F820" s="8"/>
      <c r="G820" s="8"/>
      <c r="H820" s="8"/>
      <c r="I820" s="8"/>
      <c r="J820" s="8"/>
      <c r="K820" s="8"/>
      <c r="L820" s="8"/>
      <c r="M820" s="8"/>
      <c r="N820" s="8"/>
      <c r="O820" s="8"/>
      <c r="P820" s="8"/>
    </row>
    <row r="821" spans="1:16" ht="12.75" customHeight="1">
      <c r="A821" s="8"/>
      <c r="B821" s="8"/>
      <c r="C821" s="30"/>
      <c r="D821" s="8"/>
      <c r="E821" s="8"/>
      <c r="F821" s="8"/>
      <c r="G821" s="8"/>
      <c r="H821" s="8"/>
      <c r="I821" s="8"/>
      <c r="J821" s="8"/>
      <c r="K821" s="8"/>
      <c r="L821" s="8"/>
      <c r="M821" s="8"/>
      <c r="N821" s="8"/>
      <c r="O821" s="8"/>
      <c r="P821" s="8"/>
    </row>
    <row r="822" spans="1:16" ht="12.75" customHeight="1">
      <c r="A822" s="8"/>
      <c r="B822" s="8"/>
      <c r="C822" s="30"/>
      <c r="D822" s="8"/>
      <c r="E822" s="8"/>
      <c r="F822" s="8"/>
      <c r="G822" s="8"/>
      <c r="H822" s="8"/>
      <c r="I822" s="8"/>
      <c r="J822" s="8"/>
      <c r="K822" s="8"/>
      <c r="L822" s="8"/>
      <c r="M822" s="8"/>
      <c r="N822" s="8"/>
      <c r="O822" s="8"/>
      <c r="P822" s="8"/>
    </row>
    <row r="823" spans="1:16" ht="12.75" customHeight="1">
      <c r="A823" s="8"/>
      <c r="B823" s="8"/>
      <c r="C823" s="30"/>
      <c r="D823" s="8"/>
      <c r="E823" s="8"/>
      <c r="F823" s="8"/>
      <c r="G823" s="8"/>
      <c r="H823" s="8"/>
      <c r="I823" s="8"/>
      <c r="J823" s="8"/>
      <c r="K823" s="8"/>
      <c r="L823" s="8"/>
      <c r="M823" s="8"/>
      <c r="N823" s="8"/>
      <c r="O823" s="8"/>
      <c r="P823" s="8"/>
    </row>
    <row r="824" spans="1:16" ht="12.75" customHeight="1">
      <c r="A824" s="8"/>
      <c r="B824" s="8"/>
      <c r="C824" s="30"/>
      <c r="D824" s="8"/>
      <c r="E824" s="8"/>
      <c r="F824" s="8"/>
      <c r="G824" s="8"/>
      <c r="H824" s="8"/>
      <c r="I824" s="8"/>
      <c r="J824" s="8"/>
      <c r="K824" s="8"/>
      <c r="L824" s="8"/>
      <c r="M824" s="8"/>
      <c r="N824" s="8"/>
      <c r="O824" s="8"/>
      <c r="P824" s="8"/>
    </row>
    <row r="825" spans="1:16" ht="12.75" customHeight="1">
      <c r="A825" s="8"/>
      <c r="B825" s="8"/>
      <c r="C825" s="30"/>
      <c r="D825" s="8"/>
      <c r="E825" s="8"/>
      <c r="F825" s="8"/>
      <c r="G825" s="8"/>
      <c r="H825" s="8"/>
      <c r="I825" s="8"/>
      <c r="J825" s="8"/>
      <c r="K825" s="8"/>
      <c r="L825" s="8"/>
      <c r="M825" s="8"/>
      <c r="N825" s="8"/>
      <c r="O825" s="8"/>
      <c r="P825" s="8"/>
    </row>
    <row r="826" spans="1:16" ht="12.75" customHeight="1">
      <c r="A826" s="8"/>
      <c r="B826" s="8"/>
      <c r="C826" s="30"/>
      <c r="D826" s="8"/>
      <c r="E826" s="8"/>
      <c r="F826" s="8"/>
      <c r="G826" s="8"/>
      <c r="H826" s="8"/>
      <c r="I826" s="8"/>
      <c r="J826" s="8"/>
      <c r="K826" s="8"/>
      <c r="L826" s="8"/>
      <c r="M826" s="8"/>
      <c r="N826" s="8"/>
      <c r="O826" s="8"/>
      <c r="P826" s="8"/>
    </row>
    <row r="827" spans="1:16" ht="12.75" customHeight="1">
      <c r="A827" s="8"/>
      <c r="B827" s="8"/>
      <c r="C827" s="30"/>
      <c r="D827" s="8"/>
      <c r="E827" s="8"/>
      <c r="F827" s="8"/>
      <c r="G827" s="8"/>
      <c r="H827" s="8"/>
      <c r="I827" s="8"/>
      <c r="J827" s="8"/>
      <c r="K827" s="8"/>
      <c r="L827" s="8"/>
      <c r="M827" s="8"/>
      <c r="N827" s="8"/>
      <c r="O827" s="8"/>
      <c r="P827" s="8"/>
    </row>
    <row r="828" spans="1:16" ht="12.75" customHeight="1">
      <c r="A828" s="8"/>
      <c r="B828" s="8"/>
      <c r="C828" s="30"/>
      <c r="D828" s="8"/>
      <c r="E828" s="8"/>
      <c r="F828" s="8"/>
      <c r="G828" s="8"/>
      <c r="H828" s="8"/>
      <c r="I828" s="8"/>
      <c r="J828" s="8"/>
      <c r="K828" s="8"/>
      <c r="L828" s="8"/>
      <c r="M828" s="8"/>
      <c r="N828" s="8"/>
      <c r="O828" s="8"/>
      <c r="P828" s="8"/>
    </row>
    <row r="829" spans="1:16" ht="12.75" customHeight="1">
      <c r="A829" s="8"/>
      <c r="B829" s="8"/>
      <c r="C829" s="30"/>
      <c r="D829" s="8"/>
      <c r="E829" s="8"/>
      <c r="F829" s="8"/>
      <c r="G829" s="8"/>
      <c r="H829" s="8"/>
      <c r="I829" s="8"/>
      <c r="J829" s="8"/>
      <c r="K829" s="8"/>
      <c r="L829" s="8"/>
      <c r="M829" s="8"/>
      <c r="N829" s="8"/>
      <c r="O829" s="8"/>
      <c r="P829" s="8"/>
    </row>
    <row r="830" spans="1:16" ht="12.75" customHeight="1">
      <c r="A830" s="8"/>
      <c r="B830" s="8"/>
      <c r="C830" s="30"/>
      <c r="D830" s="8"/>
      <c r="E830" s="8"/>
      <c r="F830" s="8"/>
      <c r="G830" s="8"/>
      <c r="H830" s="8"/>
      <c r="I830" s="8"/>
      <c r="J830" s="8"/>
      <c r="K830" s="8"/>
      <c r="L830" s="8"/>
      <c r="M830" s="8"/>
      <c r="N830" s="8"/>
      <c r="O830" s="8"/>
      <c r="P830" s="8"/>
    </row>
    <row r="831" spans="1:16" ht="12.75" customHeight="1">
      <c r="A831" s="8"/>
      <c r="B831" s="8"/>
      <c r="C831" s="30"/>
      <c r="D831" s="8"/>
      <c r="E831" s="8"/>
      <c r="F831" s="8"/>
      <c r="G831" s="8"/>
      <c r="H831" s="8"/>
      <c r="I831" s="8"/>
      <c r="J831" s="8"/>
      <c r="K831" s="8"/>
      <c r="L831" s="8"/>
      <c r="M831" s="8"/>
      <c r="N831" s="8"/>
      <c r="O831" s="8"/>
      <c r="P831" s="8"/>
    </row>
    <row r="832" spans="1:16" ht="12.75" customHeight="1">
      <c r="A832" s="8"/>
      <c r="B832" s="8"/>
      <c r="C832" s="30"/>
      <c r="D832" s="8"/>
      <c r="E832" s="8"/>
      <c r="F832" s="8"/>
      <c r="G832" s="8"/>
      <c r="H832" s="8"/>
      <c r="I832" s="8"/>
      <c r="J832" s="8"/>
      <c r="K832" s="8"/>
      <c r="L832" s="8"/>
      <c r="M832" s="8"/>
      <c r="N832" s="8"/>
      <c r="O832" s="8"/>
      <c r="P832" s="8"/>
    </row>
    <row r="833" spans="1:16" ht="12.75" customHeight="1">
      <c r="A833" s="8"/>
      <c r="B833" s="8"/>
      <c r="C833" s="30"/>
      <c r="D833" s="8"/>
      <c r="E833" s="8"/>
      <c r="F833" s="8"/>
      <c r="G833" s="8"/>
      <c r="H833" s="8"/>
      <c r="I833" s="8"/>
      <c r="J833" s="8"/>
      <c r="K833" s="8"/>
      <c r="L833" s="8"/>
      <c r="M833" s="8"/>
      <c r="N833" s="8"/>
      <c r="O833" s="8"/>
      <c r="P833" s="8"/>
    </row>
    <row r="834" spans="1:16" ht="12.75" customHeight="1">
      <c r="A834" s="8"/>
      <c r="B834" s="8"/>
      <c r="C834" s="30"/>
      <c r="D834" s="8"/>
      <c r="E834" s="8"/>
      <c r="F834" s="8"/>
      <c r="G834" s="8"/>
      <c r="H834" s="8"/>
      <c r="I834" s="8"/>
      <c r="J834" s="8"/>
      <c r="K834" s="8"/>
      <c r="L834" s="8"/>
      <c r="M834" s="8"/>
      <c r="N834" s="8"/>
      <c r="O834" s="8"/>
      <c r="P834" s="8"/>
    </row>
    <row r="835" spans="1:16" ht="12.75" customHeight="1">
      <c r="A835" s="8"/>
      <c r="B835" s="8"/>
      <c r="C835" s="30"/>
      <c r="D835" s="8"/>
      <c r="E835" s="8"/>
      <c r="F835" s="8"/>
      <c r="G835" s="8"/>
      <c r="H835" s="8"/>
      <c r="I835" s="8"/>
      <c r="J835" s="8"/>
      <c r="K835" s="8"/>
      <c r="L835" s="8"/>
      <c r="M835" s="8"/>
      <c r="N835" s="8"/>
      <c r="O835" s="8"/>
      <c r="P835" s="8"/>
    </row>
    <row r="836" spans="1:16" ht="12.75" customHeight="1">
      <c r="A836" s="8"/>
      <c r="B836" s="8"/>
      <c r="C836" s="30"/>
      <c r="D836" s="8"/>
      <c r="E836" s="8"/>
      <c r="F836" s="8"/>
      <c r="G836" s="8"/>
      <c r="H836" s="8"/>
      <c r="I836" s="8"/>
      <c r="J836" s="8"/>
      <c r="K836" s="8"/>
      <c r="L836" s="8"/>
      <c r="M836" s="8"/>
      <c r="N836" s="8"/>
      <c r="O836" s="8"/>
      <c r="P836" s="8"/>
    </row>
    <row r="837" spans="1:16" ht="12.75" customHeight="1">
      <c r="A837" s="8"/>
      <c r="B837" s="8"/>
      <c r="C837" s="30"/>
      <c r="D837" s="8"/>
      <c r="E837" s="8"/>
      <c r="F837" s="8"/>
      <c r="G837" s="8"/>
      <c r="H837" s="8"/>
      <c r="I837" s="8"/>
      <c r="J837" s="8"/>
      <c r="K837" s="8"/>
      <c r="L837" s="8"/>
      <c r="M837" s="8"/>
      <c r="N837" s="8"/>
      <c r="O837" s="8"/>
      <c r="P837" s="8"/>
    </row>
    <row r="838" spans="1:16" ht="12.75" customHeight="1">
      <c r="A838" s="8"/>
      <c r="B838" s="8"/>
      <c r="C838" s="30"/>
      <c r="D838" s="8"/>
      <c r="E838" s="8"/>
      <c r="F838" s="8"/>
      <c r="G838" s="8"/>
      <c r="H838" s="8"/>
      <c r="I838" s="8"/>
      <c r="J838" s="8"/>
      <c r="K838" s="8"/>
      <c r="L838" s="8"/>
      <c r="M838" s="8"/>
      <c r="N838" s="8"/>
      <c r="O838" s="8"/>
      <c r="P838" s="8"/>
    </row>
    <row r="839" spans="1:16" ht="12.75" customHeight="1">
      <c r="A839" s="8"/>
      <c r="B839" s="8"/>
      <c r="C839" s="30"/>
      <c r="D839" s="8"/>
      <c r="E839" s="8"/>
      <c r="F839" s="8"/>
      <c r="G839" s="8"/>
      <c r="H839" s="8"/>
      <c r="I839" s="8"/>
      <c r="J839" s="8"/>
      <c r="K839" s="8"/>
      <c r="L839" s="8"/>
      <c r="M839" s="8"/>
      <c r="N839" s="8"/>
      <c r="O839" s="8"/>
      <c r="P839" s="8"/>
    </row>
    <row r="840" spans="1:16" ht="12.75" customHeight="1">
      <c r="A840" s="8"/>
      <c r="B840" s="8"/>
      <c r="C840" s="30"/>
      <c r="D840" s="8"/>
      <c r="E840" s="8"/>
      <c r="F840" s="8"/>
      <c r="G840" s="8"/>
      <c r="H840" s="8"/>
      <c r="I840" s="8"/>
      <c r="J840" s="8"/>
      <c r="K840" s="8"/>
      <c r="L840" s="8"/>
      <c r="M840" s="8"/>
      <c r="N840" s="8"/>
      <c r="O840" s="8"/>
      <c r="P840" s="8"/>
    </row>
    <row r="841" spans="1:16" ht="12.75" customHeight="1">
      <c r="A841" s="8"/>
      <c r="B841" s="8"/>
      <c r="C841" s="30"/>
      <c r="D841" s="8"/>
      <c r="E841" s="8"/>
      <c r="F841" s="8"/>
      <c r="G841" s="8"/>
      <c r="H841" s="8"/>
      <c r="I841" s="8"/>
      <c r="J841" s="8"/>
      <c r="K841" s="8"/>
      <c r="L841" s="8"/>
      <c r="M841" s="8"/>
      <c r="N841" s="8"/>
      <c r="O841" s="8"/>
      <c r="P841" s="8"/>
    </row>
    <row r="842" spans="1:16" ht="12.75" customHeight="1">
      <c r="A842" s="8"/>
      <c r="B842" s="8"/>
      <c r="C842" s="30"/>
      <c r="D842" s="8"/>
      <c r="E842" s="8"/>
      <c r="F842" s="8"/>
      <c r="G842" s="8"/>
      <c r="H842" s="8"/>
      <c r="I842" s="8"/>
      <c r="J842" s="8"/>
      <c r="K842" s="8"/>
      <c r="L842" s="8"/>
      <c r="M842" s="8"/>
      <c r="N842" s="8"/>
      <c r="O842" s="8"/>
      <c r="P842" s="8"/>
    </row>
    <row r="843" spans="1:16" ht="12.75" customHeight="1">
      <c r="A843" s="8"/>
      <c r="B843" s="8"/>
      <c r="C843" s="30"/>
      <c r="D843" s="8"/>
      <c r="E843" s="8"/>
      <c r="F843" s="8"/>
      <c r="G843" s="8"/>
      <c r="H843" s="8"/>
      <c r="I843" s="8"/>
      <c r="J843" s="8"/>
      <c r="K843" s="8"/>
      <c r="L843" s="8"/>
      <c r="M843" s="8"/>
      <c r="N843" s="8"/>
      <c r="O843" s="8"/>
      <c r="P843" s="8"/>
    </row>
    <row r="844" spans="1:16" ht="12.75" customHeight="1">
      <c r="A844" s="8"/>
      <c r="B844" s="8"/>
      <c r="C844" s="30"/>
      <c r="D844" s="8"/>
      <c r="E844" s="8"/>
      <c r="F844" s="8"/>
      <c r="G844" s="8"/>
      <c r="H844" s="8"/>
      <c r="I844" s="8"/>
      <c r="J844" s="8"/>
      <c r="K844" s="8"/>
      <c r="L844" s="8"/>
      <c r="M844" s="8"/>
      <c r="N844" s="8"/>
      <c r="O844" s="8"/>
      <c r="P844" s="8"/>
    </row>
    <row r="845" spans="1:16" ht="12.75" customHeight="1">
      <c r="A845" s="8"/>
      <c r="B845" s="8"/>
      <c r="C845" s="30"/>
      <c r="D845" s="8"/>
      <c r="E845" s="8"/>
      <c r="F845" s="8"/>
      <c r="G845" s="8"/>
      <c r="H845" s="8"/>
      <c r="I845" s="8"/>
      <c r="J845" s="8"/>
      <c r="K845" s="8"/>
      <c r="L845" s="8"/>
      <c r="M845" s="8"/>
      <c r="N845" s="8"/>
      <c r="O845" s="8"/>
      <c r="P845" s="8"/>
    </row>
    <row r="846" spans="1:16" ht="12.75" customHeight="1">
      <c r="A846" s="8"/>
      <c r="B846" s="8"/>
      <c r="C846" s="30"/>
      <c r="D846" s="8"/>
      <c r="E846" s="8"/>
      <c r="F846" s="8"/>
      <c r="G846" s="8"/>
      <c r="H846" s="8"/>
      <c r="I846" s="8"/>
      <c r="J846" s="8"/>
      <c r="K846" s="8"/>
      <c r="L846" s="8"/>
      <c r="M846" s="8"/>
      <c r="N846" s="8"/>
      <c r="O846" s="8"/>
      <c r="P846" s="8"/>
    </row>
    <row r="847" spans="1:16" ht="12.75" customHeight="1">
      <c r="A847" s="8"/>
      <c r="B847" s="8"/>
      <c r="C847" s="30"/>
      <c r="D847" s="8"/>
      <c r="E847" s="8"/>
      <c r="F847" s="8"/>
      <c r="G847" s="8"/>
      <c r="H847" s="8"/>
      <c r="I847" s="8"/>
      <c r="J847" s="8"/>
      <c r="K847" s="8"/>
      <c r="L847" s="8"/>
      <c r="M847" s="8"/>
      <c r="N847" s="8"/>
      <c r="O847" s="8"/>
      <c r="P847" s="8"/>
    </row>
    <row r="848" spans="1:16" ht="12.75" customHeight="1">
      <c r="A848" s="8"/>
      <c r="B848" s="8"/>
      <c r="C848" s="30"/>
      <c r="D848" s="8"/>
      <c r="E848" s="8"/>
      <c r="F848" s="8"/>
      <c r="G848" s="8"/>
      <c r="H848" s="8"/>
      <c r="I848" s="8"/>
      <c r="J848" s="8"/>
      <c r="K848" s="8"/>
      <c r="L848" s="8"/>
      <c r="M848" s="8"/>
      <c r="N848" s="8"/>
      <c r="O848" s="8"/>
      <c r="P848" s="8"/>
    </row>
    <row r="849" spans="1:16" ht="12.75" customHeight="1">
      <c r="A849" s="8"/>
      <c r="B849" s="8"/>
      <c r="C849" s="30"/>
      <c r="D849" s="8"/>
      <c r="E849" s="8"/>
      <c r="F849" s="8"/>
      <c r="G849" s="8"/>
      <c r="H849" s="8"/>
      <c r="I849" s="8"/>
      <c r="J849" s="8"/>
      <c r="K849" s="8"/>
      <c r="L849" s="8"/>
      <c r="M849" s="8"/>
      <c r="N849" s="8"/>
      <c r="O849" s="8"/>
      <c r="P849" s="8"/>
    </row>
    <row r="850" spans="1:16" ht="12.75" customHeight="1">
      <c r="A850" s="8"/>
      <c r="B850" s="8"/>
      <c r="C850" s="30"/>
      <c r="D850" s="8"/>
      <c r="E850" s="8"/>
      <c r="F850" s="8"/>
      <c r="G850" s="8"/>
      <c r="H850" s="8"/>
      <c r="I850" s="8"/>
      <c r="J850" s="8"/>
      <c r="K850" s="8"/>
      <c r="L850" s="8"/>
      <c r="M850" s="8"/>
      <c r="N850" s="8"/>
      <c r="O850" s="8"/>
      <c r="P850" s="8"/>
    </row>
    <row r="851" spans="1:16" ht="12.75" customHeight="1">
      <c r="A851" s="8"/>
      <c r="B851" s="8"/>
      <c r="C851" s="30"/>
      <c r="D851" s="8"/>
      <c r="E851" s="8"/>
      <c r="F851" s="8"/>
      <c r="G851" s="8"/>
      <c r="H851" s="8"/>
      <c r="I851" s="8"/>
      <c r="J851" s="8"/>
      <c r="K851" s="8"/>
      <c r="L851" s="8"/>
      <c r="M851" s="8"/>
      <c r="N851" s="8"/>
      <c r="O851" s="8"/>
      <c r="P851" s="8"/>
    </row>
    <row r="852" spans="1:16" ht="12.75" customHeight="1">
      <c r="A852" s="8"/>
      <c r="B852" s="8"/>
      <c r="C852" s="30"/>
      <c r="D852" s="8"/>
      <c r="E852" s="8"/>
      <c r="F852" s="8"/>
      <c r="G852" s="8"/>
      <c r="H852" s="8"/>
      <c r="I852" s="8"/>
      <c r="J852" s="8"/>
      <c r="K852" s="8"/>
      <c r="L852" s="8"/>
      <c r="M852" s="8"/>
      <c r="N852" s="8"/>
      <c r="O852" s="8"/>
      <c r="P852" s="8"/>
    </row>
    <row r="853" spans="1:16" ht="12.75" customHeight="1">
      <c r="A853" s="8"/>
      <c r="B853" s="8"/>
      <c r="C853" s="30"/>
      <c r="D853" s="8"/>
      <c r="E853" s="8"/>
      <c r="F853" s="8"/>
      <c r="G853" s="8"/>
      <c r="H853" s="8"/>
      <c r="I853" s="8"/>
      <c r="J853" s="8"/>
      <c r="K853" s="8"/>
      <c r="L853" s="8"/>
      <c r="M853" s="8"/>
      <c r="N853" s="8"/>
      <c r="O853" s="8"/>
      <c r="P853" s="8"/>
    </row>
    <row r="854" spans="1:16" ht="12.75" customHeight="1">
      <c r="A854" s="8"/>
      <c r="B854" s="8"/>
      <c r="C854" s="30"/>
      <c r="D854" s="8"/>
      <c r="E854" s="8"/>
      <c r="F854" s="8"/>
      <c r="G854" s="8"/>
      <c r="H854" s="8"/>
      <c r="I854" s="8"/>
      <c r="J854" s="8"/>
      <c r="K854" s="8"/>
      <c r="L854" s="8"/>
      <c r="M854" s="8"/>
      <c r="N854" s="8"/>
      <c r="O854" s="8"/>
      <c r="P854" s="8"/>
    </row>
    <row r="855" spans="1:16" ht="12.75" customHeight="1">
      <c r="A855" s="8"/>
      <c r="B855" s="8"/>
      <c r="C855" s="30"/>
      <c r="D855" s="8"/>
      <c r="E855" s="8"/>
      <c r="F855" s="8"/>
      <c r="G855" s="8"/>
      <c r="H855" s="8"/>
      <c r="I855" s="8"/>
      <c r="J855" s="8"/>
      <c r="K855" s="8"/>
      <c r="L855" s="8"/>
      <c r="M855" s="8"/>
      <c r="N855" s="8"/>
      <c r="O855" s="8"/>
      <c r="P855" s="8"/>
    </row>
    <row r="856" spans="1:16" ht="12.75" customHeight="1">
      <c r="A856" s="8"/>
      <c r="B856" s="8"/>
      <c r="C856" s="30"/>
      <c r="D856" s="8"/>
      <c r="E856" s="8"/>
      <c r="F856" s="8"/>
      <c r="G856" s="8"/>
      <c r="H856" s="8"/>
      <c r="I856" s="8"/>
      <c r="J856" s="8"/>
      <c r="K856" s="8"/>
      <c r="L856" s="8"/>
      <c r="M856" s="8"/>
      <c r="N856" s="8"/>
      <c r="O856" s="8"/>
      <c r="P856" s="8"/>
    </row>
    <row r="857" spans="1:16" ht="12.75" customHeight="1">
      <c r="A857" s="8"/>
      <c r="B857" s="8"/>
      <c r="C857" s="30"/>
      <c r="D857" s="8"/>
      <c r="E857" s="8"/>
      <c r="F857" s="8"/>
      <c r="G857" s="8"/>
      <c r="H857" s="8"/>
      <c r="I857" s="8"/>
      <c r="J857" s="8"/>
      <c r="K857" s="8"/>
      <c r="L857" s="8"/>
      <c r="M857" s="8"/>
      <c r="N857" s="8"/>
      <c r="O857" s="8"/>
      <c r="P857" s="8"/>
    </row>
    <row r="858" spans="1:16" ht="12.75" customHeight="1">
      <c r="A858" s="8"/>
      <c r="B858" s="8"/>
      <c r="C858" s="30"/>
      <c r="D858" s="8"/>
      <c r="E858" s="8"/>
      <c r="F858" s="8"/>
      <c r="G858" s="8"/>
      <c r="H858" s="8"/>
      <c r="I858" s="8"/>
      <c r="J858" s="8"/>
      <c r="K858" s="8"/>
      <c r="L858" s="8"/>
      <c r="M858" s="8"/>
      <c r="N858" s="8"/>
      <c r="O858" s="8"/>
      <c r="P858" s="8"/>
    </row>
    <row r="859" spans="1:16" ht="12.75" customHeight="1">
      <c r="A859" s="8"/>
      <c r="B859" s="8"/>
      <c r="C859" s="30"/>
      <c r="D859" s="8"/>
      <c r="E859" s="8"/>
      <c r="F859" s="8"/>
      <c r="G859" s="8"/>
      <c r="H859" s="8"/>
      <c r="I859" s="8"/>
      <c r="J859" s="8"/>
      <c r="K859" s="8"/>
      <c r="L859" s="8"/>
      <c r="M859" s="8"/>
      <c r="N859" s="8"/>
      <c r="O859" s="8"/>
      <c r="P859" s="8"/>
    </row>
    <row r="860" spans="1:16" ht="12.75" customHeight="1">
      <c r="A860" s="8"/>
      <c r="B860" s="8"/>
      <c r="C860" s="30"/>
      <c r="D860" s="8"/>
      <c r="E860" s="8"/>
      <c r="F860" s="8"/>
      <c r="G860" s="8"/>
      <c r="H860" s="8"/>
      <c r="I860" s="8"/>
      <c r="J860" s="8"/>
      <c r="K860" s="8"/>
      <c r="L860" s="8"/>
      <c r="M860" s="8"/>
      <c r="N860" s="8"/>
      <c r="O860" s="8"/>
      <c r="P860" s="8"/>
    </row>
    <row r="861" spans="1:16" ht="12.75" customHeight="1">
      <c r="A861" s="8"/>
      <c r="B861" s="8"/>
      <c r="C861" s="30"/>
      <c r="D861" s="8"/>
      <c r="E861" s="8"/>
      <c r="F861" s="8"/>
      <c r="G861" s="8"/>
      <c r="H861" s="8"/>
      <c r="I861" s="8"/>
      <c r="J861" s="8"/>
      <c r="K861" s="8"/>
      <c r="L861" s="8"/>
      <c r="M861" s="8"/>
      <c r="N861" s="8"/>
      <c r="O861" s="8"/>
      <c r="P861" s="8"/>
    </row>
    <row r="862" spans="1:16" ht="12.75" customHeight="1">
      <c r="A862" s="8"/>
      <c r="B862" s="8"/>
      <c r="C862" s="30"/>
      <c r="D862" s="8"/>
      <c r="E862" s="8"/>
      <c r="F862" s="8"/>
      <c r="G862" s="8"/>
      <c r="H862" s="8"/>
      <c r="I862" s="8"/>
      <c r="J862" s="8"/>
      <c r="K862" s="8"/>
      <c r="L862" s="8"/>
      <c r="M862" s="8"/>
      <c r="N862" s="8"/>
      <c r="O862" s="8"/>
      <c r="P862" s="8"/>
    </row>
    <row r="863" spans="1:16" ht="12.75" customHeight="1">
      <c r="A863" s="8"/>
      <c r="B863" s="8"/>
      <c r="C863" s="30"/>
      <c r="D863" s="8"/>
      <c r="E863" s="8"/>
      <c r="F863" s="8"/>
      <c r="G863" s="8"/>
      <c r="H863" s="8"/>
      <c r="I863" s="8"/>
      <c r="J863" s="8"/>
      <c r="K863" s="8"/>
      <c r="L863" s="8"/>
      <c r="M863" s="8"/>
      <c r="N863" s="8"/>
      <c r="O863" s="8"/>
      <c r="P863" s="8"/>
    </row>
    <row r="864" spans="1:16" ht="12.75" customHeight="1">
      <c r="A864" s="8"/>
      <c r="B864" s="8"/>
      <c r="C864" s="30"/>
      <c r="D864" s="8"/>
      <c r="E864" s="8"/>
      <c r="F864" s="8"/>
      <c r="G864" s="8"/>
      <c r="H864" s="8"/>
      <c r="I864" s="8"/>
      <c r="J864" s="8"/>
      <c r="K864" s="8"/>
      <c r="L864" s="8"/>
      <c r="M864" s="8"/>
      <c r="N864" s="8"/>
      <c r="O864" s="8"/>
      <c r="P864" s="8"/>
    </row>
    <row r="865" spans="1:16" ht="12.75" customHeight="1">
      <c r="A865" s="8"/>
      <c r="B865" s="8"/>
      <c r="C865" s="30"/>
      <c r="D865" s="8"/>
      <c r="E865" s="8"/>
      <c r="F865" s="8"/>
      <c r="G865" s="8"/>
      <c r="H865" s="8"/>
      <c r="I865" s="8"/>
      <c r="J865" s="8"/>
      <c r="K865" s="8"/>
      <c r="L865" s="8"/>
      <c r="M865" s="8"/>
      <c r="N865" s="8"/>
      <c r="O865" s="8"/>
      <c r="P865" s="8"/>
    </row>
    <row r="866" spans="1:16" ht="12.75" customHeight="1">
      <c r="A866" s="8"/>
      <c r="B866" s="8"/>
      <c r="C866" s="30"/>
      <c r="D866" s="8"/>
      <c r="E866" s="8"/>
      <c r="F866" s="8"/>
      <c r="G866" s="8"/>
      <c r="H866" s="8"/>
      <c r="I866" s="8"/>
      <c r="J866" s="8"/>
      <c r="K866" s="8"/>
      <c r="L866" s="8"/>
      <c r="M866" s="8"/>
      <c r="N866" s="8"/>
      <c r="O866" s="8"/>
      <c r="P866" s="8"/>
    </row>
    <row r="867" spans="1:16" ht="12.75" customHeight="1">
      <c r="A867" s="8"/>
      <c r="B867" s="8"/>
      <c r="C867" s="30"/>
      <c r="D867" s="8"/>
      <c r="E867" s="8"/>
      <c r="F867" s="8"/>
      <c r="G867" s="8"/>
      <c r="H867" s="8"/>
      <c r="I867" s="8"/>
      <c r="J867" s="8"/>
      <c r="K867" s="8"/>
      <c r="L867" s="8"/>
      <c r="M867" s="8"/>
      <c r="N867" s="8"/>
      <c r="O867" s="8"/>
      <c r="P867" s="8"/>
    </row>
    <row r="868" spans="1:16" ht="12.75" customHeight="1">
      <c r="A868" s="8"/>
      <c r="B868" s="8"/>
      <c r="C868" s="30"/>
      <c r="D868" s="8"/>
      <c r="E868" s="8"/>
      <c r="F868" s="8"/>
      <c r="G868" s="8"/>
      <c r="H868" s="8"/>
      <c r="I868" s="8"/>
      <c r="J868" s="8"/>
      <c r="K868" s="8"/>
      <c r="L868" s="8"/>
      <c r="M868" s="8"/>
      <c r="N868" s="8"/>
      <c r="O868" s="8"/>
      <c r="P868" s="8"/>
    </row>
    <row r="869" spans="1:16" ht="12.75" customHeight="1">
      <c r="A869" s="8"/>
      <c r="B869" s="8"/>
      <c r="C869" s="30"/>
      <c r="D869" s="8"/>
      <c r="E869" s="8"/>
      <c r="F869" s="8"/>
      <c r="G869" s="8"/>
      <c r="H869" s="8"/>
      <c r="I869" s="8"/>
      <c r="J869" s="8"/>
      <c r="K869" s="8"/>
      <c r="L869" s="8"/>
      <c r="M869" s="8"/>
      <c r="N869" s="8"/>
      <c r="O869" s="8"/>
      <c r="P869" s="8"/>
    </row>
    <row r="870" spans="1:16" ht="12.75" customHeight="1">
      <c r="A870" s="8"/>
      <c r="B870" s="8"/>
      <c r="C870" s="30"/>
      <c r="D870" s="8"/>
      <c r="E870" s="8"/>
      <c r="F870" s="8"/>
      <c r="G870" s="8"/>
      <c r="H870" s="8"/>
      <c r="I870" s="8"/>
      <c r="J870" s="8"/>
      <c r="K870" s="8"/>
      <c r="L870" s="8"/>
      <c r="M870" s="8"/>
      <c r="N870" s="8"/>
      <c r="O870" s="8"/>
      <c r="P870" s="8"/>
    </row>
    <row r="871" spans="1:16" ht="12.75" customHeight="1">
      <c r="A871" s="8"/>
      <c r="B871" s="8"/>
      <c r="C871" s="30"/>
      <c r="D871" s="8"/>
      <c r="E871" s="8"/>
      <c r="F871" s="8"/>
      <c r="G871" s="8"/>
      <c r="H871" s="8"/>
      <c r="I871" s="8"/>
      <c r="J871" s="8"/>
      <c r="K871" s="8"/>
      <c r="L871" s="8"/>
      <c r="M871" s="8"/>
      <c r="N871" s="8"/>
      <c r="O871" s="8"/>
      <c r="P871" s="8"/>
    </row>
    <row r="872" spans="1:16" ht="12.75" customHeight="1">
      <c r="A872" s="8"/>
      <c r="B872" s="8"/>
      <c r="C872" s="30"/>
      <c r="D872" s="8"/>
      <c r="E872" s="8"/>
      <c r="F872" s="8"/>
      <c r="G872" s="8"/>
      <c r="H872" s="8"/>
      <c r="I872" s="8"/>
      <c r="J872" s="8"/>
      <c r="K872" s="8"/>
      <c r="L872" s="8"/>
      <c r="M872" s="8"/>
      <c r="N872" s="8"/>
      <c r="O872" s="8"/>
      <c r="P872" s="8"/>
    </row>
    <row r="873" spans="1:16" ht="12.75" customHeight="1">
      <c r="A873" s="8"/>
      <c r="B873" s="8"/>
      <c r="C873" s="30"/>
      <c r="D873" s="8"/>
      <c r="E873" s="8"/>
      <c r="F873" s="8"/>
      <c r="G873" s="8"/>
      <c r="H873" s="8"/>
      <c r="I873" s="8"/>
      <c r="J873" s="8"/>
      <c r="K873" s="8"/>
      <c r="L873" s="8"/>
      <c r="M873" s="8"/>
      <c r="N873" s="8"/>
      <c r="O873" s="8"/>
      <c r="P873" s="8"/>
    </row>
    <row r="874" spans="1:16" ht="12.75" customHeight="1">
      <c r="A874" s="8"/>
      <c r="B874" s="8"/>
      <c r="C874" s="30"/>
      <c r="D874" s="8"/>
      <c r="E874" s="8"/>
      <c r="F874" s="8"/>
      <c r="G874" s="8"/>
      <c r="H874" s="8"/>
      <c r="I874" s="8"/>
      <c r="J874" s="8"/>
      <c r="K874" s="8"/>
      <c r="L874" s="8"/>
      <c r="M874" s="8"/>
      <c r="N874" s="8"/>
      <c r="O874" s="8"/>
      <c r="P874" s="8"/>
    </row>
    <row r="875" spans="1:16" ht="12.75" customHeight="1">
      <c r="A875" s="8"/>
      <c r="B875" s="8"/>
      <c r="C875" s="30"/>
      <c r="D875" s="8"/>
      <c r="E875" s="8"/>
      <c r="F875" s="8"/>
      <c r="G875" s="8"/>
      <c r="H875" s="8"/>
      <c r="I875" s="8"/>
      <c r="J875" s="8"/>
      <c r="K875" s="8"/>
      <c r="L875" s="8"/>
      <c r="M875" s="8"/>
      <c r="N875" s="8"/>
      <c r="O875" s="8"/>
      <c r="P875" s="8"/>
    </row>
    <row r="876" spans="1:16" ht="12.75" customHeight="1">
      <c r="A876" s="8"/>
      <c r="B876" s="8"/>
      <c r="C876" s="30"/>
      <c r="D876" s="8"/>
      <c r="E876" s="8"/>
      <c r="F876" s="8"/>
      <c r="G876" s="8"/>
      <c r="H876" s="8"/>
      <c r="I876" s="8"/>
      <c r="J876" s="8"/>
      <c r="K876" s="8"/>
      <c r="L876" s="8"/>
      <c r="M876" s="8"/>
      <c r="N876" s="8"/>
      <c r="O876" s="8"/>
      <c r="P876" s="8"/>
    </row>
    <row r="877" spans="1:16" ht="12.75" customHeight="1">
      <c r="A877" s="8"/>
      <c r="B877" s="8"/>
      <c r="C877" s="30"/>
      <c r="D877" s="8"/>
      <c r="E877" s="8"/>
      <c r="F877" s="8"/>
      <c r="G877" s="8"/>
      <c r="H877" s="8"/>
      <c r="I877" s="8"/>
      <c r="J877" s="8"/>
      <c r="K877" s="8"/>
      <c r="L877" s="8"/>
      <c r="M877" s="8"/>
      <c r="N877" s="8"/>
      <c r="O877" s="8"/>
      <c r="P877" s="8"/>
    </row>
    <row r="878" spans="1:16" ht="12.75" customHeight="1">
      <c r="A878" s="8"/>
      <c r="B878" s="8"/>
      <c r="C878" s="30"/>
      <c r="D878" s="8"/>
      <c r="E878" s="8"/>
      <c r="F878" s="8"/>
      <c r="G878" s="8"/>
      <c r="H878" s="8"/>
      <c r="I878" s="8"/>
      <c r="J878" s="8"/>
      <c r="K878" s="8"/>
      <c r="L878" s="8"/>
      <c r="M878" s="8"/>
      <c r="N878" s="8"/>
      <c r="O878" s="8"/>
      <c r="P878" s="8"/>
    </row>
    <row r="879" spans="1:16" ht="12.75" customHeight="1">
      <c r="A879" s="8"/>
      <c r="B879" s="8"/>
      <c r="C879" s="30"/>
      <c r="D879" s="8"/>
      <c r="E879" s="8"/>
      <c r="F879" s="8"/>
      <c r="G879" s="8"/>
      <c r="H879" s="8"/>
      <c r="I879" s="8"/>
      <c r="J879" s="8"/>
      <c r="K879" s="8"/>
      <c r="L879" s="8"/>
      <c r="M879" s="8"/>
      <c r="N879" s="8"/>
      <c r="O879" s="8"/>
      <c r="P879" s="8"/>
    </row>
    <row r="880" spans="1:16" ht="12.75" customHeight="1">
      <c r="A880" s="8"/>
      <c r="B880" s="8"/>
      <c r="C880" s="30"/>
      <c r="D880" s="8"/>
      <c r="E880" s="8"/>
      <c r="F880" s="8"/>
      <c r="G880" s="8"/>
      <c r="H880" s="8"/>
      <c r="I880" s="8"/>
      <c r="J880" s="8"/>
      <c r="K880" s="8"/>
      <c r="L880" s="8"/>
      <c r="M880" s="8"/>
      <c r="N880" s="8"/>
      <c r="O880" s="8"/>
      <c r="P880" s="8"/>
    </row>
    <row r="881" spans="1:16" ht="12.75" customHeight="1">
      <c r="A881" s="8"/>
      <c r="B881" s="8"/>
      <c r="C881" s="30"/>
      <c r="D881" s="8"/>
      <c r="E881" s="8"/>
      <c r="F881" s="8"/>
      <c r="G881" s="8"/>
      <c r="H881" s="8"/>
      <c r="I881" s="8"/>
      <c r="J881" s="8"/>
      <c r="K881" s="8"/>
      <c r="L881" s="8"/>
      <c r="M881" s="8"/>
      <c r="N881" s="8"/>
      <c r="O881" s="8"/>
      <c r="P881" s="8"/>
    </row>
    <row r="882" spans="1:16" ht="12.75" customHeight="1">
      <c r="A882" s="8"/>
      <c r="B882" s="8"/>
      <c r="C882" s="30"/>
      <c r="D882" s="8"/>
      <c r="E882" s="8"/>
      <c r="F882" s="8"/>
      <c r="G882" s="8"/>
      <c r="H882" s="8"/>
      <c r="I882" s="8"/>
      <c r="J882" s="8"/>
      <c r="K882" s="8"/>
      <c r="L882" s="8"/>
      <c r="M882" s="8"/>
      <c r="N882" s="8"/>
      <c r="O882" s="8"/>
      <c r="P882" s="8"/>
    </row>
    <row r="883" spans="1:16" ht="12.75" customHeight="1">
      <c r="A883" s="8"/>
      <c r="B883" s="8"/>
      <c r="C883" s="30"/>
      <c r="D883" s="8"/>
      <c r="E883" s="8"/>
      <c r="F883" s="8"/>
      <c r="G883" s="8"/>
      <c r="H883" s="8"/>
      <c r="I883" s="8"/>
      <c r="J883" s="8"/>
      <c r="K883" s="8"/>
      <c r="L883" s="8"/>
      <c r="M883" s="8"/>
      <c r="N883" s="8"/>
      <c r="O883" s="8"/>
      <c r="P883" s="8"/>
    </row>
    <row r="884" spans="1:16" ht="12.75" customHeight="1">
      <c r="A884" s="8"/>
      <c r="B884" s="8"/>
      <c r="C884" s="30"/>
      <c r="D884" s="8"/>
      <c r="E884" s="8"/>
      <c r="F884" s="8"/>
      <c r="G884" s="8"/>
      <c r="H884" s="8"/>
      <c r="I884" s="8"/>
      <c r="J884" s="8"/>
      <c r="K884" s="8"/>
      <c r="L884" s="8"/>
      <c r="M884" s="8"/>
      <c r="N884" s="8"/>
      <c r="O884" s="8"/>
      <c r="P884" s="8"/>
    </row>
    <row r="885" spans="1:16" ht="12.75" customHeight="1">
      <c r="A885" s="8"/>
      <c r="B885" s="8"/>
      <c r="C885" s="30"/>
      <c r="D885" s="8"/>
      <c r="E885" s="8"/>
      <c r="F885" s="8"/>
      <c r="G885" s="8"/>
      <c r="H885" s="8"/>
      <c r="I885" s="8"/>
      <c r="J885" s="8"/>
      <c r="K885" s="8"/>
      <c r="L885" s="8"/>
      <c r="M885" s="8"/>
      <c r="N885" s="8"/>
      <c r="O885" s="8"/>
      <c r="P885" s="8"/>
    </row>
    <row r="886" spans="1:16" ht="12.75" customHeight="1">
      <c r="A886" s="8"/>
      <c r="B886" s="8"/>
      <c r="C886" s="30"/>
      <c r="D886" s="8"/>
      <c r="E886" s="8"/>
      <c r="F886" s="8"/>
      <c r="G886" s="8"/>
      <c r="H886" s="8"/>
      <c r="I886" s="8"/>
      <c r="J886" s="8"/>
      <c r="K886" s="8"/>
      <c r="L886" s="8"/>
      <c r="M886" s="8"/>
      <c r="N886" s="8"/>
      <c r="O886" s="8"/>
      <c r="P886" s="8"/>
    </row>
    <row r="887" spans="1:16" ht="12.75" customHeight="1">
      <c r="A887" s="8"/>
      <c r="B887" s="8"/>
      <c r="C887" s="30"/>
      <c r="D887" s="8"/>
      <c r="E887" s="8"/>
      <c r="F887" s="8"/>
      <c r="G887" s="8"/>
      <c r="H887" s="8"/>
      <c r="I887" s="8"/>
      <c r="J887" s="8"/>
      <c r="K887" s="8"/>
      <c r="L887" s="8"/>
      <c r="M887" s="8"/>
      <c r="N887" s="8"/>
      <c r="O887" s="8"/>
      <c r="P887" s="8"/>
    </row>
    <row r="888" spans="1:16" ht="12.75" customHeight="1">
      <c r="A888" s="8"/>
      <c r="B888" s="8"/>
      <c r="C888" s="30"/>
      <c r="D888" s="8"/>
      <c r="E888" s="8"/>
      <c r="F888" s="8"/>
      <c r="G888" s="8"/>
      <c r="H888" s="8"/>
      <c r="I888" s="8"/>
      <c r="J888" s="8"/>
      <c r="K888" s="8"/>
      <c r="L888" s="8"/>
      <c r="M888" s="8"/>
      <c r="N888" s="8"/>
      <c r="O888" s="8"/>
      <c r="P888" s="8"/>
    </row>
    <row r="889" spans="1:16" ht="12.75" customHeight="1">
      <c r="A889" s="8"/>
      <c r="B889" s="8"/>
      <c r="C889" s="30"/>
      <c r="D889" s="8"/>
      <c r="E889" s="8"/>
      <c r="F889" s="8"/>
      <c r="G889" s="8"/>
      <c r="H889" s="8"/>
      <c r="I889" s="8"/>
      <c r="J889" s="8"/>
      <c r="K889" s="8"/>
      <c r="L889" s="8"/>
      <c r="M889" s="8"/>
      <c r="N889" s="8"/>
      <c r="O889" s="8"/>
      <c r="P889" s="8"/>
    </row>
    <row r="890" spans="1:16" ht="12.75" customHeight="1">
      <c r="A890" s="8"/>
      <c r="B890" s="8"/>
      <c r="C890" s="30"/>
      <c r="D890" s="8"/>
      <c r="E890" s="8"/>
      <c r="F890" s="8"/>
      <c r="G890" s="8"/>
      <c r="H890" s="8"/>
      <c r="I890" s="8"/>
      <c r="J890" s="8"/>
      <c r="K890" s="8"/>
      <c r="L890" s="8"/>
      <c r="M890" s="8"/>
      <c r="N890" s="8"/>
      <c r="O890" s="8"/>
      <c r="P890" s="8"/>
    </row>
    <row r="891" spans="1:16" ht="12.75" customHeight="1">
      <c r="A891" s="8"/>
      <c r="B891" s="8"/>
      <c r="C891" s="30"/>
      <c r="D891" s="8"/>
      <c r="E891" s="8"/>
      <c r="F891" s="8"/>
      <c r="G891" s="8"/>
      <c r="H891" s="8"/>
      <c r="I891" s="8"/>
      <c r="J891" s="8"/>
      <c r="K891" s="8"/>
      <c r="L891" s="8"/>
      <c r="M891" s="8"/>
      <c r="N891" s="8"/>
      <c r="O891" s="8"/>
      <c r="P891" s="8"/>
    </row>
    <row r="892" spans="1:16" ht="12.75" customHeight="1">
      <c r="A892" s="8"/>
      <c r="B892" s="8"/>
      <c r="C892" s="30"/>
      <c r="D892" s="8"/>
      <c r="E892" s="8"/>
      <c r="F892" s="8"/>
      <c r="G892" s="8"/>
      <c r="H892" s="8"/>
      <c r="I892" s="8"/>
      <c r="J892" s="8"/>
      <c r="K892" s="8"/>
      <c r="L892" s="8"/>
      <c r="M892" s="8"/>
      <c r="N892" s="8"/>
      <c r="O892" s="8"/>
      <c r="P892" s="8"/>
    </row>
    <row r="893" spans="1:16" ht="12.75" customHeight="1">
      <c r="A893" s="8"/>
      <c r="B893" s="8"/>
      <c r="C893" s="30"/>
      <c r="D893" s="8"/>
      <c r="E893" s="8"/>
      <c r="F893" s="8"/>
      <c r="G893" s="8"/>
      <c r="H893" s="8"/>
      <c r="I893" s="8"/>
      <c r="J893" s="8"/>
      <c r="K893" s="8"/>
      <c r="L893" s="8"/>
      <c r="M893" s="8"/>
      <c r="N893" s="8"/>
      <c r="O893" s="8"/>
      <c r="P893" s="8"/>
    </row>
    <row r="894" spans="1:16" ht="12.75" customHeight="1">
      <c r="A894" s="8"/>
      <c r="B894" s="8"/>
      <c r="C894" s="30"/>
      <c r="D894" s="8"/>
      <c r="E894" s="8"/>
      <c r="F894" s="8"/>
      <c r="G894" s="8"/>
      <c r="H894" s="8"/>
      <c r="I894" s="8"/>
      <c r="J894" s="8"/>
      <c r="K894" s="8"/>
      <c r="L894" s="8"/>
      <c r="M894" s="8"/>
      <c r="N894" s="8"/>
      <c r="O894" s="8"/>
      <c r="P894" s="8"/>
    </row>
    <row r="895" spans="1:16" ht="12.75" customHeight="1">
      <c r="A895" s="8"/>
      <c r="B895" s="8"/>
      <c r="C895" s="30"/>
      <c r="D895" s="8"/>
      <c r="E895" s="8"/>
      <c r="F895" s="8"/>
      <c r="G895" s="8"/>
      <c r="H895" s="8"/>
      <c r="I895" s="8"/>
      <c r="J895" s="8"/>
      <c r="K895" s="8"/>
      <c r="L895" s="8"/>
      <c r="M895" s="8"/>
      <c r="N895" s="8"/>
      <c r="O895" s="8"/>
      <c r="P895" s="8"/>
    </row>
    <row r="896" spans="1:16" ht="12.75" customHeight="1">
      <c r="A896" s="8"/>
      <c r="B896" s="8"/>
      <c r="C896" s="30"/>
      <c r="D896" s="8"/>
      <c r="E896" s="8"/>
      <c r="F896" s="8"/>
      <c r="G896" s="8"/>
      <c r="H896" s="8"/>
      <c r="I896" s="8"/>
      <c r="J896" s="8"/>
      <c r="K896" s="8"/>
      <c r="L896" s="8"/>
      <c r="M896" s="8"/>
      <c r="N896" s="8"/>
      <c r="O896" s="8"/>
      <c r="P896" s="8"/>
    </row>
    <row r="897" spans="1:16" ht="12.75" customHeight="1">
      <c r="A897" s="8"/>
      <c r="B897" s="8"/>
      <c r="C897" s="30"/>
      <c r="D897" s="8"/>
      <c r="E897" s="8"/>
      <c r="F897" s="8"/>
      <c r="G897" s="8"/>
      <c r="H897" s="8"/>
      <c r="I897" s="8"/>
      <c r="J897" s="8"/>
      <c r="K897" s="8"/>
      <c r="L897" s="8"/>
      <c r="M897" s="8"/>
      <c r="N897" s="8"/>
      <c r="O897" s="8"/>
      <c r="P897" s="8"/>
    </row>
    <row r="898" spans="1:16" ht="12.75" customHeight="1">
      <c r="A898" s="8"/>
      <c r="B898" s="8"/>
      <c r="C898" s="30"/>
      <c r="D898" s="8"/>
      <c r="E898" s="8"/>
      <c r="F898" s="8"/>
      <c r="G898" s="8"/>
      <c r="H898" s="8"/>
      <c r="I898" s="8"/>
      <c r="J898" s="8"/>
      <c r="K898" s="8"/>
      <c r="L898" s="8"/>
      <c r="M898" s="8"/>
      <c r="N898" s="8"/>
      <c r="O898" s="8"/>
      <c r="P898" s="8"/>
    </row>
    <row r="899" spans="1:16" ht="12.75" customHeight="1">
      <c r="A899" s="8"/>
      <c r="B899" s="8"/>
      <c r="C899" s="30"/>
      <c r="D899" s="8"/>
      <c r="E899" s="8"/>
      <c r="F899" s="8"/>
      <c r="G899" s="8"/>
      <c r="H899" s="8"/>
      <c r="I899" s="8"/>
      <c r="J899" s="8"/>
      <c r="K899" s="8"/>
      <c r="L899" s="8"/>
      <c r="M899" s="8"/>
      <c r="N899" s="8"/>
      <c r="O899" s="8"/>
      <c r="P899" s="8"/>
    </row>
    <row r="900" spans="1:16" ht="12.75" customHeight="1">
      <c r="A900" s="8"/>
      <c r="B900" s="8"/>
      <c r="C900" s="30"/>
      <c r="D900" s="8"/>
      <c r="E900" s="8"/>
      <c r="F900" s="8"/>
      <c r="G900" s="8"/>
      <c r="H900" s="8"/>
      <c r="I900" s="8"/>
      <c r="J900" s="8"/>
      <c r="K900" s="8"/>
      <c r="L900" s="8"/>
      <c r="M900" s="8"/>
      <c r="N900" s="8"/>
      <c r="O900" s="8"/>
      <c r="P900" s="8"/>
    </row>
    <row r="901" spans="1:16" ht="12.75" customHeight="1">
      <c r="A901" s="8"/>
      <c r="B901" s="8"/>
      <c r="C901" s="30"/>
      <c r="D901" s="8"/>
      <c r="E901" s="8"/>
      <c r="F901" s="8"/>
      <c r="G901" s="8"/>
      <c r="H901" s="8"/>
      <c r="I901" s="8"/>
      <c r="J901" s="8"/>
      <c r="K901" s="8"/>
      <c r="L901" s="8"/>
      <c r="M901" s="8"/>
      <c r="N901" s="8"/>
      <c r="O901" s="8"/>
      <c r="P901" s="8"/>
    </row>
    <row r="902" spans="1:16" ht="12.75" customHeight="1">
      <c r="A902" s="8"/>
      <c r="B902" s="8"/>
      <c r="C902" s="30"/>
      <c r="D902" s="8"/>
      <c r="E902" s="8"/>
      <c r="F902" s="8"/>
      <c r="G902" s="8"/>
      <c r="H902" s="8"/>
      <c r="I902" s="8"/>
      <c r="J902" s="8"/>
      <c r="K902" s="8"/>
      <c r="L902" s="8"/>
      <c r="M902" s="8"/>
      <c r="N902" s="8"/>
      <c r="O902" s="8"/>
      <c r="P902" s="8"/>
    </row>
    <row r="903" spans="1:16" ht="12.75" customHeight="1">
      <c r="A903" s="8"/>
      <c r="B903" s="8"/>
      <c r="C903" s="30"/>
      <c r="D903" s="8"/>
      <c r="E903" s="8"/>
      <c r="F903" s="8"/>
      <c r="G903" s="8"/>
      <c r="H903" s="8"/>
      <c r="I903" s="8"/>
      <c r="J903" s="8"/>
      <c r="K903" s="8"/>
      <c r="L903" s="8"/>
      <c r="M903" s="8"/>
      <c r="N903" s="8"/>
      <c r="O903" s="8"/>
      <c r="P903" s="8"/>
    </row>
    <row r="904" spans="1:16" ht="12.75" customHeight="1">
      <c r="A904" s="8"/>
      <c r="B904" s="8"/>
      <c r="C904" s="30"/>
      <c r="D904" s="8"/>
      <c r="E904" s="8"/>
      <c r="F904" s="8"/>
      <c r="G904" s="8"/>
      <c r="H904" s="8"/>
      <c r="I904" s="8"/>
      <c r="J904" s="8"/>
      <c r="K904" s="8"/>
      <c r="L904" s="8"/>
      <c r="M904" s="8"/>
      <c r="N904" s="8"/>
      <c r="O904" s="8"/>
      <c r="P904" s="8"/>
    </row>
    <row r="905" spans="1:16" ht="12.75" customHeight="1">
      <c r="A905" s="8"/>
      <c r="B905" s="8"/>
      <c r="C905" s="30"/>
      <c r="D905" s="8"/>
      <c r="E905" s="8"/>
      <c r="F905" s="8"/>
      <c r="G905" s="8"/>
      <c r="H905" s="8"/>
      <c r="I905" s="8"/>
      <c r="J905" s="8"/>
      <c r="K905" s="8"/>
      <c r="L905" s="8"/>
      <c r="M905" s="8"/>
      <c r="N905" s="8"/>
      <c r="O905" s="8"/>
      <c r="P905" s="8"/>
    </row>
    <row r="906" spans="1:16" ht="12.75" customHeight="1">
      <c r="A906" s="8"/>
      <c r="B906" s="8"/>
      <c r="C906" s="30"/>
      <c r="D906" s="8"/>
      <c r="E906" s="8"/>
      <c r="F906" s="8"/>
      <c r="G906" s="8"/>
      <c r="H906" s="8"/>
      <c r="I906" s="8"/>
      <c r="J906" s="8"/>
      <c r="K906" s="8"/>
      <c r="L906" s="8"/>
      <c r="M906" s="8"/>
      <c r="N906" s="8"/>
      <c r="O906" s="8"/>
      <c r="P906" s="8"/>
    </row>
    <row r="907" spans="1:16" ht="12.75" customHeight="1">
      <c r="A907" s="8"/>
      <c r="B907" s="8"/>
      <c r="C907" s="30"/>
      <c r="D907" s="8"/>
      <c r="E907" s="8"/>
      <c r="F907" s="8"/>
      <c r="G907" s="8"/>
      <c r="H907" s="8"/>
      <c r="I907" s="8"/>
      <c r="J907" s="8"/>
      <c r="K907" s="8"/>
      <c r="L907" s="8"/>
      <c r="M907" s="8"/>
      <c r="N907" s="8"/>
      <c r="O907" s="8"/>
      <c r="P907" s="8"/>
    </row>
    <row r="908" spans="1:16" ht="12.75" customHeight="1">
      <c r="A908" s="8"/>
      <c r="B908" s="8"/>
      <c r="C908" s="30"/>
      <c r="D908" s="8"/>
      <c r="E908" s="8"/>
      <c r="F908" s="8"/>
      <c r="G908" s="8"/>
      <c r="H908" s="8"/>
      <c r="I908" s="8"/>
      <c r="J908" s="8"/>
      <c r="K908" s="8"/>
      <c r="L908" s="8"/>
      <c r="M908" s="8"/>
      <c r="N908" s="8"/>
      <c r="O908" s="8"/>
      <c r="P908" s="8"/>
    </row>
    <row r="909" spans="1:16" ht="12.75" customHeight="1">
      <c r="A909" s="8"/>
      <c r="B909" s="8"/>
      <c r="C909" s="30"/>
      <c r="D909" s="8"/>
      <c r="E909" s="8"/>
      <c r="F909" s="8"/>
      <c r="G909" s="8"/>
      <c r="H909" s="8"/>
      <c r="I909" s="8"/>
      <c r="J909" s="8"/>
      <c r="K909" s="8"/>
      <c r="L909" s="8"/>
      <c r="M909" s="8"/>
      <c r="N909" s="8"/>
      <c r="O909" s="8"/>
      <c r="P909" s="8"/>
    </row>
    <row r="910" spans="1:16" ht="12.75" customHeight="1">
      <c r="A910" s="8"/>
      <c r="B910" s="8"/>
      <c r="C910" s="30"/>
      <c r="D910" s="8"/>
      <c r="E910" s="8"/>
      <c r="F910" s="8"/>
      <c r="G910" s="8"/>
      <c r="H910" s="8"/>
      <c r="I910" s="8"/>
      <c r="J910" s="8"/>
      <c r="K910" s="8"/>
      <c r="L910" s="8"/>
      <c r="M910" s="8"/>
      <c r="N910" s="8"/>
      <c r="O910" s="8"/>
      <c r="P910" s="8"/>
    </row>
    <row r="911" spans="1:16" ht="12.75" customHeight="1">
      <c r="A911" s="8"/>
      <c r="B911" s="8"/>
      <c r="C911" s="30"/>
      <c r="D911" s="8"/>
      <c r="E911" s="8"/>
      <c r="F911" s="8"/>
      <c r="G911" s="8"/>
      <c r="H911" s="8"/>
      <c r="I911" s="8"/>
      <c r="J911" s="8"/>
      <c r="K911" s="8"/>
      <c r="L911" s="8"/>
      <c r="M911" s="8"/>
      <c r="N911" s="8"/>
      <c r="O911" s="8"/>
      <c r="P911" s="8"/>
    </row>
    <row r="912" spans="1:16" ht="12.75" customHeight="1">
      <c r="A912" s="8"/>
      <c r="B912" s="8"/>
      <c r="C912" s="30"/>
      <c r="D912" s="8"/>
      <c r="E912" s="8"/>
      <c r="F912" s="8"/>
      <c r="G912" s="8"/>
      <c r="H912" s="8"/>
      <c r="I912" s="8"/>
      <c r="J912" s="8"/>
      <c r="K912" s="8"/>
      <c r="L912" s="8"/>
      <c r="M912" s="8"/>
      <c r="N912" s="8"/>
      <c r="O912" s="8"/>
      <c r="P912" s="8"/>
    </row>
    <row r="913" spans="1:16" ht="12.75" customHeight="1">
      <c r="A913" s="8"/>
      <c r="B913" s="8"/>
      <c r="C913" s="30"/>
      <c r="D913" s="8"/>
      <c r="E913" s="8"/>
      <c r="F913" s="8"/>
      <c r="G913" s="8"/>
      <c r="H913" s="8"/>
      <c r="I913" s="8"/>
      <c r="J913" s="8"/>
      <c r="K913" s="8"/>
      <c r="L913" s="8"/>
      <c r="M913" s="8"/>
      <c r="N913" s="8"/>
      <c r="O913" s="8"/>
      <c r="P913" s="8"/>
    </row>
    <row r="914" spans="1:16" ht="12.75" customHeight="1">
      <c r="A914" s="8"/>
      <c r="B914" s="8"/>
      <c r="C914" s="30"/>
      <c r="D914" s="8"/>
      <c r="E914" s="8"/>
      <c r="F914" s="8"/>
      <c r="G914" s="8"/>
      <c r="H914" s="8"/>
      <c r="I914" s="8"/>
      <c r="J914" s="8"/>
      <c r="K914" s="8"/>
      <c r="L914" s="8"/>
      <c r="M914" s="8"/>
      <c r="N914" s="8"/>
      <c r="O914" s="8"/>
      <c r="P914" s="8"/>
    </row>
    <row r="915" spans="1:16" ht="12.75" customHeight="1">
      <c r="A915" s="8"/>
      <c r="B915" s="8"/>
      <c r="C915" s="30"/>
      <c r="D915" s="8"/>
      <c r="E915" s="8"/>
      <c r="F915" s="8"/>
      <c r="G915" s="8"/>
      <c r="H915" s="8"/>
      <c r="I915" s="8"/>
      <c r="J915" s="8"/>
      <c r="K915" s="8"/>
      <c r="L915" s="8"/>
      <c r="M915" s="8"/>
      <c r="N915" s="8"/>
      <c r="O915" s="8"/>
      <c r="P915" s="8"/>
    </row>
    <row r="916" spans="1:16" ht="12.75" customHeight="1">
      <c r="A916" s="8"/>
      <c r="B916" s="8"/>
      <c r="C916" s="30"/>
      <c r="D916" s="8"/>
      <c r="E916" s="8"/>
      <c r="F916" s="8"/>
      <c r="G916" s="8"/>
      <c r="H916" s="8"/>
      <c r="I916" s="8"/>
      <c r="J916" s="8"/>
      <c r="K916" s="8"/>
      <c r="L916" s="8"/>
      <c r="M916" s="8"/>
      <c r="N916" s="8"/>
      <c r="O916" s="8"/>
      <c r="P916" s="8"/>
    </row>
    <row r="917" spans="1:16" ht="12.75" customHeight="1">
      <c r="A917" s="8"/>
      <c r="B917" s="8"/>
      <c r="C917" s="30"/>
      <c r="D917" s="8"/>
      <c r="E917" s="8"/>
      <c r="F917" s="8"/>
      <c r="G917" s="8"/>
      <c r="H917" s="8"/>
      <c r="I917" s="8"/>
      <c r="J917" s="8"/>
      <c r="K917" s="8"/>
      <c r="L917" s="8"/>
      <c r="M917" s="8"/>
      <c r="N917" s="8"/>
      <c r="O917" s="8"/>
      <c r="P917" s="8"/>
    </row>
    <row r="918" spans="1:16" ht="12.75" customHeight="1">
      <c r="A918" s="8"/>
      <c r="B918" s="8"/>
      <c r="C918" s="30"/>
      <c r="D918" s="8"/>
      <c r="E918" s="8"/>
      <c r="F918" s="8"/>
      <c r="G918" s="8"/>
      <c r="H918" s="8"/>
      <c r="I918" s="8"/>
      <c r="J918" s="8"/>
      <c r="K918" s="8"/>
      <c r="L918" s="8"/>
      <c r="M918" s="8"/>
      <c r="N918" s="8"/>
      <c r="O918" s="8"/>
      <c r="P918" s="8"/>
    </row>
    <row r="919" spans="1:16" ht="12.75" customHeight="1">
      <c r="A919" s="8"/>
      <c r="B919" s="8"/>
      <c r="C919" s="30"/>
      <c r="D919" s="8"/>
      <c r="E919" s="8"/>
      <c r="F919" s="8"/>
      <c r="G919" s="8"/>
      <c r="H919" s="8"/>
      <c r="I919" s="8"/>
      <c r="J919" s="8"/>
      <c r="K919" s="8"/>
      <c r="L919" s="8"/>
      <c r="M919" s="8"/>
      <c r="N919" s="8"/>
      <c r="O919" s="8"/>
      <c r="P919" s="8"/>
    </row>
    <row r="920" spans="1:16" ht="12.75" customHeight="1">
      <c r="A920" s="8"/>
      <c r="B920" s="8"/>
      <c r="C920" s="30"/>
      <c r="D920" s="8"/>
      <c r="E920" s="8"/>
      <c r="F920" s="8"/>
      <c r="G920" s="8"/>
      <c r="H920" s="8"/>
      <c r="I920" s="8"/>
      <c r="J920" s="8"/>
      <c r="K920" s="8"/>
      <c r="L920" s="8"/>
      <c r="M920" s="8"/>
      <c r="N920" s="8"/>
      <c r="O920" s="8"/>
      <c r="P920" s="8"/>
    </row>
    <row r="921" spans="1:16" ht="12.75" customHeight="1">
      <c r="A921" s="8"/>
      <c r="B921" s="8"/>
      <c r="C921" s="30"/>
      <c r="D921" s="8"/>
      <c r="E921" s="8"/>
      <c r="F921" s="8"/>
      <c r="G921" s="8"/>
      <c r="H921" s="8"/>
      <c r="I921" s="8"/>
      <c r="J921" s="8"/>
      <c r="K921" s="8"/>
      <c r="L921" s="8"/>
      <c r="M921" s="8"/>
      <c r="N921" s="8"/>
      <c r="O921" s="8"/>
      <c r="P921" s="8"/>
    </row>
    <row r="922" spans="1:16" ht="12.75" customHeight="1">
      <c r="A922" s="8"/>
      <c r="B922" s="8"/>
      <c r="C922" s="30"/>
      <c r="D922" s="8"/>
      <c r="E922" s="8"/>
      <c r="F922" s="8"/>
      <c r="G922" s="8"/>
      <c r="H922" s="8"/>
      <c r="I922" s="8"/>
      <c r="J922" s="8"/>
      <c r="K922" s="8"/>
      <c r="L922" s="8"/>
      <c r="M922" s="8"/>
      <c r="N922" s="8"/>
      <c r="O922" s="8"/>
      <c r="P922" s="8"/>
    </row>
    <row r="923" spans="1:16" ht="12.75" customHeight="1">
      <c r="A923" s="8"/>
      <c r="B923" s="8"/>
      <c r="C923" s="30"/>
      <c r="D923" s="8"/>
      <c r="E923" s="8"/>
      <c r="F923" s="8"/>
      <c r="G923" s="8"/>
      <c r="H923" s="8"/>
      <c r="I923" s="8"/>
      <c r="J923" s="8"/>
      <c r="K923" s="8"/>
      <c r="L923" s="8"/>
      <c r="M923" s="8"/>
      <c r="N923" s="8"/>
      <c r="O923" s="8"/>
      <c r="P923" s="8"/>
    </row>
    <row r="924" spans="1:16" ht="12.75" customHeight="1">
      <c r="A924" s="8"/>
      <c r="B924" s="8"/>
      <c r="C924" s="30"/>
      <c r="D924" s="8"/>
      <c r="E924" s="8"/>
      <c r="F924" s="8"/>
      <c r="G924" s="8"/>
      <c r="H924" s="8"/>
      <c r="I924" s="8"/>
      <c r="J924" s="8"/>
      <c r="K924" s="8"/>
      <c r="L924" s="8"/>
      <c r="M924" s="8"/>
      <c r="N924" s="8"/>
      <c r="O924" s="8"/>
      <c r="P924" s="8"/>
    </row>
    <row r="925" spans="1:16" ht="12.75" customHeight="1">
      <c r="A925" s="8"/>
      <c r="B925" s="8"/>
      <c r="C925" s="30"/>
      <c r="D925" s="8"/>
      <c r="E925" s="8"/>
      <c r="F925" s="8"/>
      <c r="G925" s="8"/>
      <c r="H925" s="8"/>
      <c r="I925" s="8"/>
      <c r="J925" s="8"/>
      <c r="K925" s="8"/>
      <c r="L925" s="8"/>
      <c r="M925" s="8"/>
      <c r="N925" s="8"/>
      <c r="O925" s="8"/>
      <c r="P925" s="8"/>
    </row>
    <row r="926" spans="1:16" ht="12.75" customHeight="1">
      <c r="A926" s="8"/>
      <c r="B926" s="8"/>
      <c r="C926" s="30"/>
      <c r="D926" s="8"/>
      <c r="E926" s="8"/>
      <c r="F926" s="8"/>
      <c r="G926" s="8"/>
      <c r="H926" s="8"/>
      <c r="I926" s="8"/>
      <c r="J926" s="8"/>
      <c r="K926" s="8"/>
      <c r="L926" s="8"/>
      <c r="M926" s="8"/>
      <c r="N926" s="8"/>
      <c r="O926" s="8"/>
      <c r="P926" s="8"/>
    </row>
    <row r="927" spans="1:16" ht="12.75" customHeight="1">
      <c r="A927" s="8"/>
      <c r="B927" s="8"/>
      <c r="C927" s="30"/>
      <c r="D927" s="8"/>
      <c r="E927" s="8"/>
      <c r="F927" s="8"/>
      <c r="G927" s="8"/>
      <c r="H927" s="8"/>
      <c r="I927" s="8"/>
      <c r="J927" s="8"/>
      <c r="K927" s="8"/>
      <c r="L927" s="8"/>
      <c r="M927" s="8"/>
      <c r="N927" s="8"/>
      <c r="O927" s="8"/>
      <c r="P927" s="8"/>
    </row>
    <row r="928" spans="1:16" ht="12.75" customHeight="1">
      <c r="A928" s="8"/>
      <c r="B928" s="8"/>
      <c r="C928" s="30"/>
      <c r="D928" s="8"/>
      <c r="E928" s="8"/>
      <c r="F928" s="8"/>
      <c r="G928" s="8"/>
      <c r="H928" s="8"/>
      <c r="I928" s="8"/>
      <c r="J928" s="8"/>
      <c r="K928" s="8"/>
      <c r="L928" s="8"/>
      <c r="M928" s="8"/>
      <c r="N928" s="8"/>
      <c r="O928" s="8"/>
      <c r="P928" s="8"/>
    </row>
    <row r="929" spans="1:16" ht="12.75" customHeight="1">
      <c r="A929" s="8"/>
      <c r="B929" s="8"/>
      <c r="C929" s="30"/>
      <c r="D929" s="8"/>
      <c r="E929" s="8"/>
      <c r="F929" s="8"/>
      <c r="G929" s="8"/>
      <c r="H929" s="8"/>
      <c r="I929" s="8"/>
      <c r="J929" s="8"/>
      <c r="K929" s="8"/>
      <c r="L929" s="8"/>
      <c r="M929" s="8"/>
      <c r="N929" s="8"/>
      <c r="O929" s="8"/>
      <c r="P929" s="8"/>
    </row>
    <row r="930" spans="1:16" ht="12.75" customHeight="1">
      <c r="A930" s="8"/>
      <c r="B930" s="8"/>
      <c r="C930" s="30"/>
      <c r="D930" s="8"/>
      <c r="E930" s="8"/>
      <c r="F930" s="8"/>
      <c r="G930" s="8"/>
      <c r="H930" s="8"/>
      <c r="I930" s="8"/>
      <c r="J930" s="8"/>
      <c r="K930" s="8"/>
      <c r="L930" s="8"/>
      <c r="M930" s="8"/>
      <c r="N930" s="8"/>
      <c r="O930" s="8"/>
      <c r="P930" s="8"/>
    </row>
    <row r="931" spans="1:16" ht="12.75" customHeight="1">
      <c r="A931" s="8"/>
      <c r="B931" s="8"/>
      <c r="C931" s="30"/>
      <c r="D931" s="8"/>
      <c r="E931" s="8"/>
      <c r="F931" s="8"/>
      <c r="G931" s="8"/>
      <c r="H931" s="8"/>
      <c r="I931" s="8"/>
      <c r="J931" s="8"/>
      <c r="K931" s="8"/>
      <c r="L931" s="8"/>
      <c r="M931" s="8"/>
      <c r="N931" s="8"/>
      <c r="O931" s="8"/>
      <c r="P931" s="8"/>
    </row>
    <row r="932" spans="1:16" ht="12.75" customHeight="1">
      <c r="A932" s="8"/>
      <c r="B932" s="8"/>
      <c r="C932" s="30"/>
      <c r="D932" s="8"/>
      <c r="E932" s="8"/>
      <c r="F932" s="8"/>
      <c r="G932" s="8"/>
      <c r="H932" s="8"/>
      <c r="I932" s="8"/>
      <c r="J932" s="8"/>
      <c r="K932" s="8"/>
      <c r="L932" s="8"/>
      <c r="M932" s="8"/>
      <c r="N932" s="8"/>
      <c r="O932" s="8"/>
      <c r="P932" s="8"/>
    </row>
    <row r="933" spans="1:16" ht="12.75" customHeight="1">
      <c r="A933" s="8"/>
      <c r="B933" s="8"/>
      <c r="C933" s="30"/>
      <c r="D933" s="8"/>
      <c r="E933" s="8"/>
      <c r="F933" s="8"/>
      <c r="G933" s="8"/>
      <c r="H933" s="8"/>
      <c r="I933" s="8"/>
      <c r="J933" s="8"/>
      <c r="K933" s="8"/>
      <c r="L933" s="8"/>
      <c r="M933" s="8"/>
      <c r="N933" s="8"/>
      <c r="O933" s="8"/>
      <c r="P933" s="8"/>
    </row>
    <row r="934" spans="1:16" ht="12.75" customHeight="1">
      <c r="A934" s="8"/>
      <c r="B934" s="8"/>
      <c r="C934" s="30"/>
      <c r="D934" s="8"/>
      <c r="E934" s="8"/>
      <c r="F934" s="8"/>
      <c r="G934" s="8"/>
      <c r="H934" s="8"/>
      <c r="I934" s="8"/>
      <c r="J934" s="8"/>
      <c r="K934" s="8"/>
      <c r="L934" s="8"/>
      <c r="M934" s="8"/>
      <c r="N934" s="8"/>
      <c r="O934" s="8"/>
      <c r="P934" s="8"/>
    </row>
    <row r="935" spans="1:16" ht="12.75" customHeight="1">
      <c r="A935" s="8"/>
      <c r="B935" s="8"/>
      <c r="C935" s="30"/>
      <c r="D935" s="8"/>
      <c r="E935" s="8"/>
      <c r="F935" s="8"/>
      <c r="G935" s="8"/>
      <c r="H935" s="8"/>
      <c r="I935" s="8"/>
      <c r="J935" s="8"/>
      <c r="K935" s="8"/>
      <c r="L935" s="8"/>
      <c r="M935" s="8"/>
      <c r="N935" s="8"/>
      <c r="O935" s="8"/>
      <c r="P935" s="8"/>
    </row>
    <row r="936" spans="1:16" ht="12.75" customHeight="1">
      <c r="A936" s="8"/>
      <c r="B936" s="8"/>
      <c r="C936" s="30"/>
      <c r="D936" s="8"/>
      <c r="E936" s="8"/>
      <c r="F936" s="8"/>
      <c r="G936" s="8"/>
      <c r="H936" s="8"/>
      <c r="I936" s="8"/>
      <c r="J936" s="8"/>
      <c r="K936" s="8"/>
      <c r="L936" s="8"/>
      <c r="M936" s="8"/>
      <c r="N936" s="8"/>
      <c r="O936" s="8"/>
      <c r="P936" s="8"/>
    </row>
    <row r="937" spans="1:16" ht="12.75" customHeight="1">
      <c r="A937" s="8"/>
      <c r="B937" s="8"/>
      <c r="C937" s="30"/>
      <c r="D937" s="8"/>
      <c r="E937" s="8"/>
      <c r="F937" s="8"/>
      <c r="G937" s="8"/>
      <c r="H937" s="8"/>
      <c r="I937" s="8"/>
      <c r="J937" s="8"/>
      <c r="K937" s="8"/>
      <c r="L937" s="8"/>
      <c r="M937" s="8"/>
      <c r="N937" s="8"/>
      <c r="O937" s="8"/>
      <c r="P937" s="8"/>
    </row>
    <row r="938" spans="1:16" ht="12.75" customHeight="1">
      <c r="A938" s="8"/>
      <c r="B938" s="8"/>
      <c r="C938" s="30"/>
      <c r="D938" s="8"/>
      <c r="E938" s="8"/>
      <c r="F938" s="8"/>
      <c r="G938" s="8"/>
      <c r="H938" s="8"/>
      <c r="I938" s="8"/>
      <c r="J938" s="8"/>
      <c r="K938" s="8"/>
      <c r="L938" s="8"/>
      <c r="M938" s="8"/>
      <c r="N938" s="8"/>
      <c r="O938" s="8"/>
      <c r="P938" s="8"/>
    </row>
    <row r="939" spans="1:16" ht="12.75" customHeight="1">
      <c r="A939" s="8"/>
      <c r="B939" s="8"/>
      <c r="C939" s="30"/>
      <c r="D939" s="8"/>
      <c r="E939" s="8"/>
      <c r="F939" s="8"/>
      <c r="G939" s="8"/>
      <c r="H939" s="8"/>
      <c r="I939" s="8"/>
      <c r="J939" s="8"/>
      <c r="K939" s="8"/>
      <c r="L939" s="8"/>
      <c r="M939" s="8"/>
      <c r="N939" s="8"/>
      <c r="O939" s="8"/>
      <c r="P939" s="8"/>
    </row>
    <row r="940" spans="1:16" ht="12.75" customHeight="1">
      <c r="A940" s="8"/>
      <c r="B940" s="8"/>
      <c r="C940" s="30"/>
      <c r="D940" s="8"/>
      <c r="E940" s="8"/>
      <c r="F940" s="8"/>
      <c r="G940" s="8"/>
      <c r="H940" s="8"/>
      <c r="I940" s="8"/>
      <c r="J940" s="8"/>
      <c r="K940" s="8"/>
      <c r="L940" s="8"/>
      <c r="M940" s="8"/>
      <c r="N940" s="8"/>
      <c r="O940" s="8"/>
      <c r="P940" s="8"/>
    </row>
    <row r="941" spans="1:16" ht="12.75" customHeight="1">
      <c r="A941" s="8"/>
      <c r="B941" s="8"/>
      <c r="C941" s="30"/>
      <c r="D941" s="8"/>
      <c r="E941" s="8"/>
      <c r="F941" s="8"/>
      <c r="G941" s="8"/>
      <c r="H941" s="8"/>
      <c r="I941" s="8"/>
      <c r="J941" s="8"/>
      <c r="K941" s="8"/>
      <c r="L941" s="8"/>
      <c r="M941" s="8"/>
      <c r="N941" s="8"/>
      <c r="O941" s="8"/>
      <c r="P941" s="8"/>
    </row>
    <row r="942" spans="1:16" ht="12.75" customHeight="1">
      <c r="A942" s="8"/>
      <c r="B942" s="8"/>
      <c r="C942" s="30"/>
      <c r="D942" s="8"/>
      <c r="E942" s="8"/>
      <c r="F942" s="8"/>
      <c r="G942" s="8"/>
      <c r="H942" s="8"/>
      <c r="I942" s="8"/>
      <c r="J942" s="8"/>
      <c r="K942" s="8"/>
      <c r="L942" s="8"/>
      <c r="M942" s="8"/>
      <c r="N942" s="8"/>
      <c r="O942" s="8"/>
      <c r="P942" s="8"/>
    </row>
    <row r="943" spans="1:16" ht="12.75" customHeight="1">
      <c r="A943" s="8"/>
      <c r="B943" s="8"/>
      <c r="C943" s="30"/>
      <c r="D943" s="8"/>
      <c r="E943" s="8"/>
      <c r="F943" s="8"/>
      <c r="G943" s="8"/>
      <c r="H943" s="8"/>
      <c r="I943" s="8"/>
      <c r="J943" s="8"/>
      <c r="K943" s="8"/>
      <c r="L943" s="8"/>
      <c r="M943" s="8"/>
      <c r="N943" s="8"/>
      <c r="O943" s="8"/>
      <c r="P943" s="8"/>
    </row>
    <row r="944" spans="1:16" ht="12.75" customHeight="1">
      <c r="A944" s="8"/>
      <c r="B944" s="8"/>
      <c r="C944" s="30"/>
      <c r="D944" s="8"/>
      <c r="E944" s="8"/>
      <c r="F944" s="8"/>
      <c r="G944" s="8"/>
      <c r="H944" s="8"/>
      <c r="I944" s="8"/>
      <c r="J944" s="8"/>
      <c r="K944" s="8"/>
      <c r="L944" s="8"/>
      <c r="M944" s="8"/>
      <c r="N944" s="8"/>
      <c r="O944" s="8"/>
      <c r="P944" s="8"/>
    </row>
    <row r="945" spans="1:16" ht="12.75" customHeight="1">
      <c r="A945" s="8"/>
      <c r="B945" s="8"/>
      <c r="C945" s="30"/>
      <c r="D945" s="8"/>
      <c r="E945" s="8"/>
      <c r="F945" s="8"/>
      <c r="G945" s="8"/>
      <c r="H945" s="8"/>
      <c r="I945" s="8"/>
      <c r="J945" s="8"/>
      <c r="K945" s="8"/>
      <c r="L945" s="8"/>
      <c r="M945" s="8"/>
      <c r="N945" s="8"/>
      <c r="O945" s="8"/>
      <c r="P945" s="8"/>
    </row>
    <row r="946" spans="1:16" ht="12.75" customHeight="1">
      <c r="A946" s="8"/>
      <c r="B946" s="8"/>
      <c r="C946" s="30"/>
      <c r="D946" s="8"/>
      <c r="E946" s="8"/>
      <c r="F946" s="8"/>
      <c r="G946" s="8"/>
      <c r="H946" s="8"/>
      <c r="I946" s="8"/>
      <c r="J946" s="8"/>
      <c r="K946" s="8"/>
      <c r="L946" s="8"/>
      <c r="M946" s="8"/>
      <c r="N946" s="8"/>
      <c r="O946" s="8"/>
      <c r="P946" s="8"/>
    </row>
    <row r="947" spans="1:16" ht="12.75" customHeight="1">
      <c r="A947" s="8"/>
      <c r="B947" s="8"/>
      <c r="C947" s="30"/>
      <c r="D947" s="8"/>
      <c r="E947" s="8"/>
      <c r="F947" s="8"/>
      <c r="G947" s="8"/>
      <c r="H947" s="8"/>
      <c r="I947" s="8"/>
      <c r="J947" s="8"/>
      <c r="K947" s="8"/>
      <c r="L947" s="8"/>
      <c r="M947" s="8"/>
      <c r="N947" s="8"/>
      <c r="O947" s="8"/>
      <c r="P947" s="8"/>
    </row>
    <row r="948" spans="1:16" ht="12.75" customHeight="1">
      <c r="A948" s="8"/>
      <c r="B948" s="8"/>
      <c r="C948" s="30"/>
      <c r="D948" s="8"/>
      <c r="E948" s="8"/>
      <c r="F948" s="8"/>
      <c r="G948" s="8"/>
      <c r="H948" s="8"/>
      <c r="I948" s="8"/>
      <c r="J948" s="8"/>
      <c r="K948" s="8"/>
      <c r="L948" s="8"/>
      <c r="M948" s="8"/>
      <c r="N948" s="8"/>
      <c r="O948" s="8"/>
      <c r="P948" s="8"/>
    </row>
    <row r="949" spans="1:16" ht="12.75" customHeight="1">
      <c r="A949" s="8"/>
      <c r="B949" s="8"/>
      <c r="C949" s="30"/>
      <c r="D949" s="8"/>
      <c r="E949" s="8"/>
      <c r="F949" s="8"/>
      <c r="G949" s="8"/>
      <c r="H949" s="8"/>
      <c r="I949" s="8"/>
      <c r="J949" s="8"/>
      <c r="K949" s="8"/>
      <c r="L949" s="8"/>
      <c r="M949" s="8"/>
      <c r="N949" s="8"/>
      <c r="O949" s="8"/>
      <c r="P949" s="8"/>
    </row>
    <row r="950" spans="1:16" ht="12.75" customHeight="1">
      <c r="A950" s="8"/>
      <c r="B950" s="8"/>
      <c r="C950" s="30"/>
      <c r="D950" s="8"/>
      <c r="E950" s="8"/>
      <c r="F950" s="8"/>
      <c r="G950" s="8"/>
      <c r="H950" s="8"/>
      <c r="I950" s="8"/>
      <c r="J950" s="8"/>
      <c r="K950" s="8"/>
      <c r="L950" s="8"/>
      <c r="M950" s="8"/>
      <c r="N950" s="8"/>
      <c r="O950" s="8"/>
      <c r="P950" s="8"/>
    </row>
    <row r="951" spans="1:16" ht="12.75" customHeight="1">
      <c r="A951" s="8"/>
      <c r="B951" s="8"/>
      <c r="C951" s="30"/>
      <c r="D951" s="8"/>
      <c r="E951" s="8"/>
      <c r="F951" s="8"/>
      <c r="G951" s="8"/>
      <c r="H951" s="8"/>
      <c r="I951" s="8"/>
      <c r="J951" s="8"/>
      <c r="K951" s="8"/>
      <c r="L951" s="8"/>
      <c r="M951" s="8"/>
      <c r="N951" s="8"/>
      <c r="O951" s="8"/>
      <c r="P951" s="8"/>
    </row>
    <row r="952" spans="1:16" ht="12.75" customHeight="1">
      <c r="A952" s="8"/>
      <c r="B952" s="8"/>
      <c r="C952" s="30"/>
      <c r="D952" s="8"/>
      <c r="E952" s="8"/>
      <c r="F952" s="8"/>
      <c r="G952" s="8"/>
      <c r="H952" s="8"/>
      <c r="I952" s="8"/>
      <c r="J952" s="8"/>
      <c r="K952" s="8"/>
      <c r="L952" s="8"/>
      <c r="M952" s="8"/>
      <c r="N952" s="8"/>
      <c r="O952" s="8"/>
      <c r="P952" s="8"/>
    </row>
    <row r="953" spans="1:16" ht="12.75" customHeight="1">
      <c r="A953" s="8"/>
      <c r="B953" s="8"/>
      <c r="C953" s="30"/>
      <c r="D953" s="8"/>
      <c r="E953" s="8"/>
      <c r="F953" s="8"/>
      <c r="G953" s="8"/>
      <c r="H953" s="8"/>
      <c r="I953" s="8"/>
      <c r="J953" s="8"/>
      <c r="K953" s="8"/>
      <c r="L953" s="8"/>
      <c r="M953" s="8"/>
      <c r="N953" s="8"/>
      <c r="O953" s="8"/>
      <c r="P953" s="8"/>
    </row>
    <row r="954" spans="1:16" ht="12.75" customHeight="1">
      <c r="A954" s="8"/>
      <c r="B954" s="8"/>
      <c r="C954" s="30"/>
      <c r="D954" s="8"/>
      <c r="E954" s="8"/>
      <c r="F954" s="8"/>
      <c r="G954" s="8"/>
      <c r="H954" s="8"/>
      <c r="I954" s="8"/>
      <c r="J954" s="8"/>
      <c r="K954" s="8"/>
      <c r="L954" s="8"/>
      <c r="M954" s="8"/>
      <c r="N954" s="8"/>
      <c r="O954" s="8"/>
      <c r="P954" s="8"/>
    </row>
    <row r="955" spans="1:16" ht="12.75" customHeight="1">
      <c r="A955" s="8"/>
      <c r="B955" s="8"/>
      <c r="C955" s="30"/>
      <c r="D955" s="8"/>
      <c r="E955" s="8"/>
      <c r="F955" s="8"/>
      <c r="G955" s="8"/>
      <c r="H955" s="8"/>
      <c r="I955" s="8"/>
      <c r="J955" s="8"/>
      <c r="K955" s="8"/>
      <c r="L955" s="8"/>
      <c r="M955" s="8"/>
      <c r="N955" s="8"/>
      <c r="O955" s="8"/>
      <c r="P955" s="8"/>
    </row>
    <row r="956" spans="1:16" ht="12.75" customHeight="1">
      <c r="A956" s="8"/>
      <c r="B956" s="8"/>
      <c r="C956" s="30"/>
      <c r="D956" s="8"/>
      <c r="E956" s="8"/>
      <c r="F956" s="8"/>
      <c r="G956" s="8"/>
      <c r="H956" s="8"/>
      <c r="I956" s="8"/>
      <c r="J956" s="8"/>
      <c r="K956" s="8"/>
      <c r="L956" s="8"/>
      <c r="M956" s="8"/>
      <c r="N956" s="8"/>
      <c r="O956" s="8"/>
      <c r="P956" s="8"/>
    </row>
    <row r="957" spans="1:16" ht="12.75" customHeight="1">
      <c r="A957" s="8"/>
      <c r="B957" s="8"/>
      <c r="C957" s="30"/>
      <c r="D957" s="8"/>
      <c r="E957" s="8"/>
      <c r="F957" s="8"/>
      <c r="G957" s="8"/>
      <c r="H957" s="8"/>
      <c r="I957" s="8"/>
      <c r="J957" s="8"/>
      <c r="K957" s="8"/>
      <c r="L957" s="8"/>
      <c r="M957" s="8"/>
      <c r="N957" s="8"/>
      <c r="O957" s="8"/>
      <c r="P957" s="8"/>
    </row>
    <row r="958" spans="1:16" ht="12.75" customHeight="1">
      <c r="A958" s="8"/>
      <c r="B958" s="8"/>
      <c r="C958" s="30"/>
      <c r="D958" s="8"/>
      <c r="E958" s="8"/>
      <c r="F958" s="8"/>
      <c r="G958" s="8"/>
      <c r="H958" s="8"/>
      <c r="I958" s="8"/>
      <c r="J958" s="8"/>
      <c r="K958" s="8"/>
      <c r="L958" s="8"/>
      <c r="M958" s="8"/>
      <c r="N958" s="8"/>
      <c r="O958" s="8"/>
      <c r="P958" s="8"/>
    </row>
    <row r="959" spans="1:16" ht="12.75" customHeight="1">
      <c r="A959" s="8"/>
      <c r="B959" s="8"/>
      <c r="C959" s="30"/>
      <c r="D959" s="8"/>
      <c r="E959" s="8"/>
      <c r="F959" s="8"/>
      <c r="G959" s="8"/>
      <c r="H959" s="8"/>
      <c r="I959" s="8"/>
      <c r="J959" s="8"/>
      <c r="K959" s="8"/>
      <c r="L959" s="8"/>
      <c r="M959" s="8"/>
      <c r="N959" s="8"/>
      <c r="O959" s="8"/>
      <c r="P959" s="8"/>
    </row>
    <row r="960" spans="1:16" ht="12.75" customHeight="1">
      <c r="A960" s="8"/>
      <c r="B960" s="8"/>
      <c r="C960" s="30"/>
      <c r="D960" s="8"/>
      <c r="E960" s="8"/>
      <c r="F960" s="8"/>
      <c r="G960" s="8"/>
      <c r="H960" s="8"/>
      <c r="I960" s="8"/>
      <c r="J960" s="8"/>
      <c r="K960" s="8"/>
      <c r="L960" s="8"/>
      <c r="M960" s="8"/>
      <c r="N960" s="8"/>
      <c r="O960" s="8"/>
      <c r="P960" s="8"/>
    </row>
    <row r="961" spans="1:16" ht="12.75" customHeight="1">
      <c r="A961" s="8"/>
      <c r="B961" s="8"/>
      <c r="C961" s="30"/>
      <c r="D961" s="8"/>
      <c r="E961" s="8"/>
      <c r="F961" s="8"/>
      <c r="G961" s="8"/>
      <c r="H961" s="8"/>
      <c r="I961" s="8"/>
      <c r="J961" s="8"/>
      <c r="K961" s="8"/>
      <c r="L961" s="8"/>
      <c r="M961" s="8"/>
      <c r="N961" s="8"/>
      <c r="O961" s="8"/>
      <c r="P961" s="8"/>
    </row>
    <row r="962" spans="1:16" ht="12.75" customHeight="1">
      <c r="A962" s="8"/>
      <c r="B962" s="8"/>
      <c r="C962" s="30"/>
      <c r="D962" s="8"/>
      <c r="E962" s="8"/>
      <c r="F962" s="8"/>
      <c r="G962" s="8"/>
      <c r="H962" s="8"/>
      <c r="I962" s="8"/>
      <c r="J962" s="8"/>
      <c r="K962" s="8"/>
      <c r="L962" s="8"/>
      <c r="M962" s="8"/>
      <c r="N962" s="8"/>
      <c r="O962" s="8"/>
      <c r="P962" s="8"/>
    </row>
    <row r="963" spans="1:16" ht="12.75" customHeight="1">
      <c r="A963" s="8"/>
      <c r="B963" s="8"/>
      <c r="C963" s="30"/>
      <c r="D963" s="8"/>
      <c r="E963" s="8"/>
      <c r="F963" s="8"/>
      <c r="G963" s="8"/>
      <c r="H963" s="8"/>
      <c r="I963" s="8"/>
      <c r="J963" s="8"/>
      <c r="K963" s="8"/>
      <c r="L963" s="8"/>
      <c r="M963" s="8"/>
      <c r="N963" s="8"/>
      <c r="O963" s="8"/>
      <c r="P963" s="8"/>
    </row>
    <row r="964" spans="1:16" ht="12.75" customHeight="1">
      <c r="A964" s="8"/>
      <c r="B964" s="8"/>
      <c r="C964" s="30"/>
      <c r="D964" s="8"/>
      <c r="E964" s="8"/>
      <c r="F964" s="8"/>
      <c r="G964" s="8"/>
      <c r="H964" s="8"/>
      <c r="I964" s="8"/>
      <c r="J964" s="8"/>
      <c r="K964" s="8"/>
      <c r="L964" s="8"/>
      <c r="M964" s="8"/>
      <c r="N964" s="8"/>
      <c r="O964" s="8"/>
      <c r="P964" s="8"/>
    </row>
    <row r="965" spans="1:16" ht="12.75" customHeight="1">
      <c r="A965" s="8"/>
      <c r="B965" s="8"/>
      <c r="C965" s="30"/>
      <c r="D965" s="8"/>
      <c r="E965" s="8"/>
      <c r="F965" s="8"/>
      <c r="G965" s="8"/>
      <c r="H965" s="8"/>
      <c r="I965" s="8"/>
      <c r="J965" s="8"/>
      <c r="K965" s="8"/>
      <c r="L965" s="8"/>
      <c r="M965" s="8"/>
      <c r="N965" s="8"/>
      <c r="O965" s="8"/>
      <c r="P965" s="8"/>
    </row>
    <row r="966" spans="1:16" ht="12.75" customHeight="1">
      <c r="A966" s="8"/>
      <c r="B966" s="8"/>
      <c r="C966" s="30"/>
      <c r="D966" s="8"/>
      <c r="E966" s="8"/>
      <c r="F966" s="8"/>
      <c r="G966" s="8"/>
      <c r="H966" s="8"/>
      <c r="I966" s="8"/>
      <c r="J966" s="8"/>
      <c r="K966" s="8"/>
      <c r="L966" s="8"/>
      <c r="M966" s="8"/>
      <c r="N966" s="8"/>
      <c r="O966" s="8"/>
      <c r="P966" s="8"/>
    </row>
    <row r="967" spans="1:16" ht="12.75" customHeight="1">
      <c r="A967" s="8"/>
      <c r="B967" s="8"/>
      <c r="C967" s="30"/>
      <c r="D967" s="8"/>
      <c r="E967" s="8"/>
      <c r="F967" s="8"/>
      <c r="G967" s="8"/>
      <c r="H967" s="8"/>
      <c r="I967" s="8"/>
      <c r="J967" s="8"/>
      <c r="K967" s="8"/>
      <c r="L967" s="8"/>
      <c r="M967" s="8"/>
      <c r="N967" s="8"/>
      <c r="O967" s="8"/>
      <c r="P967" s="8"/>
    </row>
    <row r="968" spans="1:16" ht="12.75" customHeight="1">
      <c r="A968" s="8"/>
      <c r="B968" s="8"/>
      <c r="C968" s="30"/>
      <c r="D968" s="8"/>
      <c r="E968" s="8"/>
      <c r="F968" s="8"/>
      <c r="G968" s="8"/>
      <c r="H968" s="8"/>
      <c r="I968" s="8"/>
      <c r="J968" s="8"/>
      <c r="K968" s="8"/>
      <c r="L968" s="8"/>
      <c r="M968" s="8"/>
      <c r="N968" s="8"/>
      <c r="O968" s="8"/>
      <c r="P968" s="8"/>
    </row>
    <row r="969" spans="1:16" ht="12.75" customHeight="1">
      <c r="A969" s="8"/>
      <c r="B969" s="8"/>
      <c r="C969" s="30"/>
      <c r="D969" s="8"/>
      <c r="E969" s="8"/>
      <c r="F969" s="8"/>
      <c r="G969" s="8"/>
      <c r="H969" s="8"/>
      <c r="I969" s="8"/>
      <c r="J969" s="8"/>
      <c r="K969" s="8"/>
      <c r="L969" s="8"/>
      <c r="M969" s="8"/>
      <c r="N969" s="8"/>
      <c r="O969" s="8"/>
      <c r="P969" s="8"/>
    </row>
    <row r="970" spans="1:16" ht="12.75" customHeight="1">
      <c r="A970" s="8"/>
      <c r="B970" s="8"/>
      <c r="C970" s="30"/>
      <c r="D970" s="8"/>
      <c r="E970" s="8"/>
      <c r="F970" s="8"/>
      <c r="G970" s="8"/>
      <c r="H970" s="8"/>
      <c r="I970" s="8"/>
      <c r="J970" s="8"/>
      <c r="K970" s="8"/>
      <c r="L970" s="8"/>
      <c r="M970" s="8"/>
      <c r="N970" s="8"/>
      <c r="O970" s="8"/>
      <c r="P970" s="8"/>
    </row>
    <row r="971" spans="1:16" ht="12.75" customHeight="1">
      <c r="A971" s="8"/>
      <c r="B971" s="8"/>
      <c r="C971" s="30"/>
      <c r="D971" s="8"/>
      <c r="E971" s="8"/>
      <c r="F971" s="8"/>
      <c r="G971" s="8"/>
      <c r="H971" s="8"/>
      <c r="I971" s="8"/>
      <c r="J971" s="8"/>
      <c r="K971" s="8"/>
      <c r="L971" s="8"/>
      <c r="M971" s="8"/>
      <c r="N971" s="8"/>
      <c r="O971" s="8"/>
      <c r="P971" s="8"/>
    </row>
    <row r="972" spans="1:16" ht="12.75" customHeight="1">
      <c r="A972" s="8"/>
      <c r="B972" s="8"/>
      <c r="C972" s="30"/>
      <c r="D972" s="8"/>
      <c r="E972" s="8"/>
      <c r="F972" s="8"/>
      <c r="G972" s="8"/>
      <c r="H972" s="8"/>
      <c r="I972" s="8"/>
      <c r="J972" s="8"/>
      <c r="K972" s="8"/>
      <c r="L972" s="8"/>
      <c r="M972" s="8"/>
      <c r="N972" s="8"/>
      <c r="O972" s="8"/>
      <c r="P972" s="8"/>
    </row>
    <row r="973" spans="1:16" ht="12.75" customHeight="1">
      <c r="A973" s="8"/>
      <c r="B973" s="8"/>
      <c r="C973" s="30"/>
      <c r="D973" s="8"/>
      <c r="E973" s="8"/>
      <c r="F973" s="8"/>
      <c r="G973" s="8"/>
      <c r="H973" s="8"/>
      <c r="I973" s="8"/>
      <c r="J973" s="8"/>
      <c r="K973" s="8"/>
      <c r="L973" s="8"/>
      <c r="M973" s="8"/>
      <c r="N973" s="8"/>
      <c r="O973" s="8"/>
      <c r="P973" s="8"/>
    </row>
    <row r="974" spans="1:16" ht="12.75" customHeight="1">
      <c r="A974" s="8"/>
      <c r="B974" s="8"/>
      <c r="C974" s="30"/>
      <c r="D974" s="8"/>
      <c r="E974" s="8"/>
      <c r="F974" s="8"/>
      <c r="G974" s="8"/>
      <c r="H974" s="8"/>
      <c r="I974" s="8"/>
      <c r="J974" s="8"/>
      <c r="K974" s="8"/>
      <c r="L974" s="8"/>
      <c r="M974" s="8"/>
      <c r="N974" s="8"/>
      <c r="O974" s="8"/>
      <c r="P974" s="8"/>
    </row>
    <row r="975" spans="1:16" ht="12.75" customHeight="1">
      <c r="A975" s="8"/>
      <c r="B975" s="8"/>
      <c r="C975" s="30"/>
      <c r="D975" s="8"/>
      <c r="E975" s="8"/>
      <c r="F975" s="8"/>
      <c r="G975" s="8"/>
      <c r="H975" s="8"/>
      <c r="I975" s="8"/>
      <c r="J975" s="8"/>
      <c r="K975" s="8"/>
      <c r="L975" s="8"/>
      <c r="M975" s="8"/>
      <c r="N975" s="8"/>
      <c r="O975" s="8"/>
      <c r="P975" s="8"/>
    </row>
    <row r="976" spans="1:16" ht="12.75" customHeight="1">
      <c r="A976" s="8"/>
      <c r="B976" s="8"/>
      <c r="C976" s="30"/>
      <c r="D976" s="8"/>
      <c r="E976" s="8"/>
      <c r="F976" s="8"/>
      <c r="G976" s="8"/>
      <c r="H976" s="8"/>
      <c r="I976" s="8"/>
      <c r="J976" s="8"/>
      <c r="K976" s="8"/>
      <c r="L976" s="8"/>
      <c r="M976" s="8"/>
      <c r="N976" s="8"/>
      <c r="O976" s="8"/>
      <c r="P976" s="8"/>
    </row>
    <row r="977" spans="1:16" ht="12.75" customHeight="1">
      <c r="A977" s="8"/>
      <c r="B977" s="8"/>
      <c r="C977" s="30"/>
      <c r="D977" s="8"/>
      <c r="E977" s="8"/>
      <c r="F977" s="8"/>
      <c r="G977" s="8"/>
      <c r="H977" s="8"/>
      <c r="I977" s="8"/>
      <c r="J977" s="8"/>
      <c r="K977" s="8"/>
      <c r="L977" s="8"/>
      <c r="M977" s="8"/>
      <c r="N977" s="8"/>
      <c r="O977" s="8"/>
      <c r="P977" s="8"/>
    </row>
    <row r="978" spans="1:16" ht="12.75" customHeight="1">
      <c r="A978" s="8"/>
      <c r="B978" s="8"/>
      <c r="C978" s="30"/>
      <c r="D978" s="8"/>
      <c r="E978" s="8"/>
      <c r="F978" s="8"/>
      <c r="G978" s="8"/>
      <c r="H978" s="8"/>
      <c r="I978" s="8"/>
      <c r="J978" s="8"/>
      <c r="K978" s="8"/>
      <c r="L978" s="8"/>
      <c r="M978" s="8"/>
      <c r="N978" s="8"/>
      <c r="O978" s="8"/>
      <c r="P978" s="8"/>
    </row>
    <row r="979" spans="1:16" ht="12.75" customHeight="1">
      <c r="A979" s="8"/>
      <c r="B979" s="8"/>
      <c r="C979" s="30"/>
      <c r="D979" s="8"/>
      <c r="E979" s="8"/>
      <c r="F979" s="8"/>
      <c r="G979" s="8"/>
      <c r="H979" s="8"/>
      <c r="I979" s="8"/>
      <c r="J979" s="8"/>
      <c r="K979" s="8"/>
      <c r="L979" s="8"/>
      <c r="M979" s="8"/>
      <c r="N979" s="8"/>
      <c r="O979" s="8"/>
      <c r="P979" s="8"/>
    </row>
    <row r="980" spans="1:16" ht="12.75" customHeight="1">
      <c r="A980" s="8"/>
      <c r="B980" s="8"/>
      <c r="C980" s="30"/>
      <c r="D980" s="8"/>
      <c r="E980" s="8"/>
      <c r="F980" s="8"/>
      <c r="G980" s="8"/>
      <c r="H980" s="8"/>
      <c r="I980" s="8"/>
      <c r="J980" s="8"/>
      <c r="K980" s="8"/>
      <c r="L980" s="8"/>
      <c r="M980" s="8"/>
      <c r="N980" s="8"/>
      <c r="O980" s="8"/>
      <c r="P980" s="8"/>
    </row>
    <row r="981" spans="1:16" ht="12.75" customHeight="1">
      <c r="A981" s="8"/>
      <c r="B981" s="8"/>
      <c r="C981" s="30"/>
      <c r="D981" s="8"/>
      <c r="E981" s="8"/>
      <c r="F981" s="8"/>
      <c r="G981" s="8"/>
      <c r="H981" s="8"/>
      <c r="I981" s="8"/>
      <c r="J981" s="8"/>
      <c r="K981" s="8"/>
      <c r="L981" s="8"/>
      <c r="M981" s="8"/>
      <c r="N981" s="8"/>
      <c r="O981" s="8"/>
      <c r="P981" s="8"/>
    </row>
    <row r="982" spans="1:16" ht="12.75" customHeight="1">
      <c r="A982" s="8"/>
      <c r="B982" s="8"/>
      <c r="C982" s="30"/>
      <c r="D982" s="8"/>
      <c r="E982" s="8"/>
      <c r="F982" s="8"/>
      <c r="G982" s="8"/>
      <c r="H982" s="8"/>
      <c r="I982" s="8"/>
      <c r="J982" s="8"/>
      <c r="K982" s="8"/>
      <c r="L982" s="8"/>
      <c r="M982" s="8"/>
      <c r="N982" s="8"/>
      <c r="O982" s="8"/>
      <c r="P982" s="8"/>
    </row>
    <row r="983" spans="1:16" ht="12.75" customHeight="1">
      <c r="A983" s="8"/>
      <c r="B983" s="8"/>
      <c r="C983" s="30"/>
      <c r="D983" s="8"/>
      <c r="E983" s="8"/>
      <c r="F983" s="8"/>
      <c r="G983" s="8"/>
      <c r="H983" s="8"/>
      <c r="I983" s="8"/>
      <c r="J983" s="8"/>
      <c r="K983" s="8"/>
      <c r="L983" s="8"/>
      <c r="M983" s="8"/>
      <c r="N983" s="8"/>
      <c r="O983" s="8"/>
      <c r="P983" s="8"/>
    </row>
    <row r="984" spans="1:16" ht="12.75" customHeight="1">
      <c r="A984" s="8"/>
      <c r="B984" s="8"/>
      <c r="C984" s="30"/>
      <c r="D984" s="8"/>
      <c r="E984" s="8"/>
      <c r="F984" s="8"/>
      <c r="G984" s="8"/>
      <c r="H984" s="8"/>
      <c r="I984" s="8"/>
      <c r="J984" s="8"/>
      <c r="K984" s="8"/>
      <c r="L984" s="8"/>
      <c r="M984" s="8"/>
      <c r="N984" s="8"/>
      <c r="O984" s="8"/>
      <c r="P984" s="8"/>
    </row>
    <row r="985" spans="1:16" ht="12.75" customHeight="1">
      <c r="A985" s="8"/>
      <c r="B985" s="8"/>
      <c r="C985" s="30"/>
      <c r="D985" s="8"/>
      <c r="E985" s="8"/>
      <c r="F985" s="8"/>
      <c r="G985" s="8"/>
      <c r="H985" s="8"/>
      <c r="I985" s="8"/>
      <c r="J985" s="8"/>
      <c r="K985" s="8"/>
      <c r="L985" s="8"/>
      <c r="M985" s="8"/>
      <c r="N985" s="8"/>
      <c r="O985" s="8"/>
      <c r="P985" s="8"/>
    </row>
    <row r="986" spans="1:16" ht="12.75" customHeight="1">
      <c r="A986" s="8"/>
      <c r="B986" s="8"/>
      <c r="C986" s="30"/>
      <c r="D986" s="8"/>
      <c r="E986" s="8"/>
      <c r="F986" s="8"/>
      <c r="G986" s="8"/>
      <c r="H986" s="8"/>
      <c r="I986" s="8"/>
      <c r="J986" s="8"/>
      <c r="K986" s="8"/>
      <c r="L986" s="8"/>
      <c r="M986" s="8"/>
      <c r="N986" s="8"/>
      <c r="O986" s="8"/>
      <c r="P986" s="8"/>
    </row>
    <row r="987" spans="1:16" ht="12.75" customHeight="1">
      <c r="A987" s="8"/>
      <c r="B987" s="8"/>
      <c r="C987" s="30"/>
      <c r="D987" s="8"/>
      <c r="E987" s="8"/>
      <c r="F987" s="8"/>
      <c r="G987" s="8"/>
      <c r="H987" s="8"/>
      <c r="I987" s="8"/>
      <c r="J987" s="8"/>
      <c r="K987" s="8"/>
      <c r="L987" s="8"/>
      <c r="M987" s="8"/>
      <c r="N987" s="8"/>
      <c r="O987" s="8"/>
      <c r="P987" s="8"/>
    </row>
    <row r="988" spans="1:16" ht="12.75" customHeight="1">
      <c r="A988" s="8"/>
      <c r="B988" s="8"/>
      <c r="C988" s="30"/>
      <c r="D988" s="8"/>
      <c r="E988" s="8"/>
      <c r="F988" s="8"/>
      <c r="G988" s="8"/>
      <c r="H988" s="8"/>
      <c r="I988" s="8"/>
      <c r="J988" s="8"/>
      <c r="K988" s="8"/>
      <c r="L988" s="8"/>
      <c r="M988" s="8"/>
      <c r="N988" s="8"/>
      <c r="O988" s="8"/>
      <c r="P988" s="8"/>
    </row>
    <row r="989" spans="1:16" ht="12.75" customHeight="1">
      <c r="A989" s="8"/>
      <c r="B989" s="8"/>
      <c r="C989" s="30"/>
      <c r="D989" s="8"/>
      <c r="E989" s="8"/>
      <c r="F989" s="8"/>
      <c r="G989" s="8"/>
      <c r="H989" s="8"/>
      <c r="I989" s="8"/>
      <c r="J989" s="8"/>
      <c r="K989" s="8"/>
      <c r="L989" s="8"/>
      <c r="M989" s="8"/>
      <c r="N989" s="8"/>
      <c r="O989" s="8"/>
      <c r="P989" s="8"/>
    </row>
    <row r="990" spans="1:16" ht="12.75" customHeight="1">
      <c r="A990" s="8"/>
      <c r="B990" s="8"/>
      <c r="C990" s="30"/>
      <c r="D990" s="8"/>
      <c r="E990" s="8"/>
      <c r="F990" s="8"/>
      <c r="G990" s="8"/>
      <c r="H990" s="8"/>
      <c r="I990" s="8"/>
      <c r="J990" s="8"/>
      <c r="K990" s="8"/>
      <c r="L990" s="8"/>
      <c r="M990" s="8"/>
      <c r="N990" s="8"/>
      <c r="O990" s="8"/>
      <c r="P990" s="8"/>
    </row>
    <row r="991" spans="1:16" ht="12.75" customHeight="1">
      <c r="A991" s="8"/>
      <c r="B991" s="8"/>
      <c r="C991" s="30"/>
      <c r="D991" s="8"/>
      <c r="E991" s="8"/>
      <c r="F991" s="8"/>
      <c r="G991" s="8"/>
      <c r="H991" s="8"/>
      <c r="I991" s="8"/>
      <c r="J991" s="8"/>
      <c r="K991" s="8"/>
      <c r="L991" s="8"/>
      <c r="M991" s="8"/>
      <c r="N991" s="8"/>
      <c r="O991" s="8"/>
      <c r="P991" s="8"/>
    </row>
    <row r="992" spans="1:16" ht="12.75" customHeight="1">
      <c r="A992" s="8"/>
      <c r="B992" s="8"/>
      <c r="C992" s="30"/>
      <c r="D992" s="8"/>
      <c r="E992" s="8"/>
      <c r="F992" s="8"/>
      <c r="G992" s="8"/>
      <c r="H992" s="8"/>
      <c r="I992" s="8"/>
      <c r="J992" s="8"/>
      <c r="K992" s="8"/>
      <c r="L992" s="8"/>
      <c r="M992" s="8"/>
      <c r="N992" s="8"/>
      <c r="O992" s="8"/>
      <c r="P992" s="8"/>
    </row>
    <row r="993" spans="1:16" ht="12.75" customHeight="1">
      <c r="A993" s="8"/>
      <c r="B993" s="8"/>
      <c r="C993" s="30"/>
      <c r="D993" s="8"/>
      <c r="E993" s="8"/>
      <c r="F993" s="8"/>
      <c r="G993" s="8"/>
      <c r="H993" s="8"/>
      <c r="I993" s="8"/>
      <c r="J993" s="8"/>
      <c r="K993" s="8"/>
      <c r="L993" s="8"/>
      <c r="M993" s="8"/>
      <c r="N993" s="8"/>
      <c r="O993" s="8"/>
      <c r="P993" s="8"/>
    </row>
    <row r="994" spans="1:16" ht="12.75" customHeight="1">
      <c r="A994" s="8"/>
      <c r="B994" s="8"/>
      <c r="C994" s="30"/>
      <c r="D994" s="8"/>
      <c r="E994" s="8"/>
      <c r="F994" s="8"/>
      <c r="G994" s="8"/>
      <c r="H994" s="8"/>
      <c r="I994" s="8"/>
      <c r="J994" s="8"/>
      <c r="K994" s="8"/>
      <c r="L994" s="8"/>
      <c r="M994" s="8"/>
      <c r="N994" s="8"/>
      <c r="O994" s="8"/>
      <c r="P994" s="8"/>
    </row>
    <row r="995" spans="1:16" ht="12.75" customHeight="1">
      <c r="A995" s="8"/>
      <c r="B995" s="8"/>
      <c r="C995" s="30"/>
      <c r="D995" s="8"/>
      <c r="E995" s="8"/>
      <c r="F995" s="8"/>
      <c r="G995" s="8"/>
      <c r="H995" s="8"/>
      <c r="I995" s="8"/>
      <c r="J995" s="8"/>
      <c r="K995" s="8"/>
      <c r="L995" s="8"/>
      <c r="M995" s="8"/>
      <c r="N995" s="8"/>
      <c r="O995" s="8"/>
      <c r="P995" s="8"/>
    </row>
    <row r="996" spans="1:16" ht="12.75" customHeight="1">
      <c r="A996" s="8"/>
      <c r="B996" s="8"/>
      <c r="C996" s="30"/>
      <c r="D996" s="8"/>
      <c r="E996" s="8"/>
      <c r="F996" s="8"/>
      <c r="G996" s="8"/>
      <c r="H996" s="8"/>
      <c r="I996" s="8"/>
      <c r="J996" s="8"/>
      <c r="K996" s="8"/>
      <c r="L996" s="8"/>
      <c r="M996" s="8"/>
      <c r="N996" s="8"/>
      <c r="O996" s="8"/>
      <c r="P996" s="8"/>
    </row>
    <row r="997" spans="1:16" ht="12.75" customHeight="1">
      <c r="A997" s="8"/>
      <c r="B997" s="8"/>
      <c r="C997" s="30"/>
      <c r="D997" s="8"/>
      <c r="E997" s="8"/>
      <c r="F997" s="8"/>
      <c r="G997" s="8"/>
      <c r="H997" s="8"/>
      <c r="I997" s="8"/>
      <c r="J997" s="8"/>
      <c r="K997" s="8"/>
      <c r="L997" s="8"/>
      <c r="M997" s="8"/>
      <c r="N997" s="8"/>
      <c r="O997" s="8"/>
      <c r="P997" s="8"/>
    </row>
    <row r="998" spans="1:16" ht="12.75" customHeight="1">
      <c r="A998" s="8"/>
      <c r="B998" s="8"/>
      <c r="C998" s="30"/>
      <c r="D998" s="8"/>
      <c r="E998" s="8"/>
      <c r="F998" s="8"/>
      <c r="G998" s="8"/>
      <c r="H998" s="8"/>
      <c r="I998" s="8"/>
      <c r="J998" s="8"/>
      <c r="K998" s="8"/>
      <c r="L998" s="8"/>
      <c r="M998" s="8"/>
      <c r="N998" s="8"/>
      <c r="O998" s="8"/>
      <c r="P998" s="8"/>
    </row>
  </sheetData>
  <mergeCells count="4">
    <mergeCell ref="A5:C7"/>
    <mergeCell ref="A14:B14"/>
    <mergeCell ref="A30:B30"/>
    <mergeCell ref="A42:B42"/>
  </mergeCells>
  <printOptions horizontalCentered="1"/>
  <pageMargins left="0.78740157480314965" right="0.59055118110236227" top="0.78740157480314965" bottom="0.78740157480314965" header="0" footer="0"/>
  <pageSetup paperSize="9" scale="90" orientation="portrait" r:id="rId1"/>
  <headerFooter>
    <oddHeader>&amp;L&amp;"Arial Narrow,Negrita"MUNICIPALIDAD DE VILLA MARÍA&amp;R&amp;"Arial Narrow,Negrita"PRESUPUESTO 2024</oddHeader>
    <oddFooter>&amp;R&amp;"Arial Narrow,Normal"&amp;P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33"/>
  </sheetPr>
  <dimension ref="A1:L999"/>
  <sheetViews>
    <sheetView zoomScaleNormal="100" workbookViewId="0">
      <selection activeCell="B53" sqref="B53"/>
    </sheetView>
  </sheetViews>
  <sheetFormatPr baseColWidth="10" defaultColWidth="14.42578125" defaultRowHeight="15" customHeight="1"/>
  <cols>
    <col min="1" max="1" width="10.7109375" customWidth="1"/>
    <col min="2" max="2" width="50.7109375" customWidth="1"/>
    <col min="3" max="3" width="15.7109375" customWidth="1"/>
    <col min="4" max="4" width="10.7109375" customWidth="1"/>
    <col min="5" max="5" width="12.7109375" customWidth="1"/>
    <col min="6" max="6" width="14.28515625" customWidth="1"/>
    <col min="7" max="7" width="10.7109375" customWidth="1"/>
    <col min="8" max="8" width="15.28515625" customWidth="1"/>
    <col min="9" max="12" width="10.7109375" customWidth="1"/>
  </cols>
  <sheetData>
    <row r="1" spans="1:12" ht="15" customHeight="1" thickBot="1">
      <c r="A1" s="1555" t="s">
        <v>987</v>
      </c>
      <c r="B1" s="1556"/>
      <c r="C1" s="1557"/>
    </row>
    <row r="2" spans="1:12" ht="13.5" customHeight="1" thickBot="1">
      <c r="A2" s="23"/>
      <c r="B2" s="46"/>
      <c r="C2" s="24"/>
      <c r="D2" s="13"/>
      <c r="E2" s="13"/>
      <c r="F2" s="13"/>
      <c r="G2" s="13"/>
      <c r="H2" s="13"/>
      <c r="I2" s="13"/>
      <c r="J2" s="13"/>
      <c r="K2" s="13"/>
      <c r="L2" s="13"/>
    </row>
    <row r="3" spans="1:12" ht="13.5" customHeight="1">
      <c r="A3" s="1116" t="s">
        <v>239</v>
      </c>
      <c r="B3" s="1117"/>
      <c r="C3" s="1112">
        <v>8001</v>
      </c>
      <c r="D3" s="13"/>
      <c r="E3" s="13"/>
      <c r="F3" s="13"/>
      <c r="G3" s="13"/>
      <c r="H3" s="13"/>
      <c r="I3" s="13"/>
      <c r="J3" s="13"/>
      <c r="K3" s="13"/>
      <c r="L3" s="13"/>
    </row>
    <row r="4" spans="1:12" ht="13.5" customHeight="1" thickBot="1">
      <c r="A4" s="1119"/>
      <c r="B4" s="1120"/>
      <c r="C4" s="1121"/>
      <c r="D4" s="13"/>
      <c r="E4" s="13"/>
      <c r="F4" s="13"/>
      <c r="G4" s="13"/>
      <c r="H4" s="13"/>
      <c r="I4" s="13"/>
      <c r="J4" s="13"/>
      <c r="K4" s="13"/>
      <c r="L4" s="13"/>
    </row>
    <row r="5" spans="1:12" ht="13.5" customHeight="1">
      <c r="A5" s="1291" t="s">
        <v>240</v>
      </c>
      <c r="B5" s="1465"/>
      <c r="C5" s="1466"/>
      <c r="D5" s="13"/>
      <c r="E5" s="13"/>
      <c r="F5" s="13"/>
      <c r="G5" s="13"/>
      <c r="H5" s="13"/>
      <c r="I5" s="13"/>
      <c r="J5" s="13"/>
      <c r="K5" s="13"/>
      <c r="L5" s="13"/>
    </row>
    <row r="6" spans="1:12" ht="13.5" customHeight="1" thickBot="1">
      <c r="A6" s="1448"/>
      <c r="B6" s="1449"/>
      <c r="C6" s="1450"/>
      <c r="D6" s="13"/>
      <c r="E6" s="13"/>
      <c r="F6" s="13"/>
      <c r="G6" s="13"/>
      <c r="H6" s="13"/>
      <c r="I6" s="13"/>
      <c r="J6" s="13"/>
      <c r="K6" s="13"/>
      <c r="L6" s="13"/>
    </row>
    <row r="7" spans="1:12" ht="13.5" customHeight="1">
      <c r="A7" s="1122" t="s">
        <v>696</v>
      </c>
      <c r="B7" s="1123"/>
      <c r="C7" s="1124"/>
      <c r="D7" s="13"/>
      <c r="E7" s="13"/>
      <c r="F7" s="13"/>
      <c r="G7" s="13"/>
      <c r="H7" s="13"/>
      <c r="I7" s="13"/>
      <c r="J7" s="13"/>
      <c r="K7" s="13"/>
      <c r="L7" s="13"/>
    </row>
    <row r="8" spans="1:12" ht="13.5" customHeight="1">
      <c r="A8" s="1028" t="s">
        <v>241</v>
      </c>
      <c r="B8" s="1072"/>
      <c r="C8" s="1029"/>
      <c r="D8" s="13"/>
      <c r="E8" s="13"/>
      <c r="F8" s="13"/>
      <c r="G8" s="13"/>
      <c r="H8" s="13"/>
      <c r="I8" s="13"/>
      <c r="J8" s="13"/>
      <c r="K8" s="13"/>
      <c r="L8" s="13"/>
    </row>
    <row r="9" spans="1:12" ht="13.5" customHeight="1">
      <c r="A9" s="1028" t="s">
        <v>242</v>
      </c>
      <c r="B9" s="1072"/>
      <c r="C9" s="1029"/>
      <c r="D9" s="13"/>
      <c r="E9" s="13"/>
      <c r="F9" s="13"/>
      <c r="G9" s="13"/>
      <c r="H9" s="13"/>
      <c r="I9" s="13"/>
      <c r="J9" s="13"/>
      <c r="K9" s="13"/>
      <c r="L9" s="13"/>
    </row>
    <row r="10" spans="1:12" ht="13.5" customHeight="1" thickBot="1">
      <c r="A10" s="1125" t="s">
        <v>59</v>
      </c>
      <c r="B10" s="983"/>
      <c r="C10" s="1101"/>
      <c r="D10" s="13"/>
      <c r="E10" s="13"/>
      <c r="F10" s="13"/>
      <c r="G10" s="13"/>
      <c r="H10" s="13"/>
      <c r="I10" s="13"/>
      <c r="J10" s="13"/>
      <c r="K10" s="13"/>
      <c r="L10" s="13"/>
    </row>
    <row r="11" spans="1:12" ht="13.5" customHeight="1" thickBot="1">
      <c r="A11" s="1126" t="s">
        <v>60</v>
      </c>
      <c r="B11" s="1127"/>
      <c r="C11" s="1128">
        <f>C13+C19+C26</f>
        <v>1710000</v>
      </c>
      <c r="D11" s="13"/>
      <c r="E11" s="13"/>
      <c r="F11" s="13"/>
      <c r="G11" s="13"/>
      <c r="H11" s="13"/>
      <c r="I11" s="13"/>
      <c r="J11" s="13"/>
      <c r="K11" s="13"/>
      <c r="L11" s="13"/>
    </row>
    <row r="12" spans="1:12" ht="13.5" customHeight="1" thickBot="1">
      <c r="A12" s="21"/>
      <c r="B12" s="119"/>
      <c r="C12" s="26"/>
      <c r="D12" s="986"/>
      <c r="E12" s="986"/>
      <c r="F12" s="986"/>
      <c r="G12" s="986"/>
      <c r="H12" s="986"/>
      <c r="I12" s="986"/>
      <c r="J12" s="13"/>
      <c r="K12" s="13"/>
      <c r="L12" s="13"/>
    </row>
    <row r="13" spans="1:12" ht="13.5" customHeight="1" thickBot="1">
      <c r="A13" s="1297" t="s">
        <v>9</v>
      </c>
      <c r="B13" s="1281"/>
      <c r="C13" s="62">
        <f>C14+C16</f>
        <v>200000</v>
      </c>
      <c r="D13" s="808"/>
      <c r="E13" s="808"/>
      <c r="F13" s="808"/>
      <c r="G13" s="808"/>
      <c r="H13" s="808"/>
      <c r="I13" s="986"/>
      <c r="J13" s="13"/>
      <c r="K13" s="13"/>
      <c r="L13" s="13"/>
    </row>
    <row r="14" spans="1:12" ht="13.5" customHeight="1">
      <c r="A14" s="48">
        <v>211204</v>
      </c>
      <c r="B14" s="15" t="s">
        <v>463</v>
      </c>
      <c r="C14" s="49">
        <f>SUM(C15)</f>
        <v>100000</v>
      </c>
      <c r="D14" s="1106"/>
      <c r="E14" s="1106"/>
      <c r="F14" s="1106"/>
      <c r="G14" s="1106"/>
      <c r="H14" s="1106"/>
      <c r="I14" s="993"/>
      <c r="J14" s="40"/>
      <c r="K14" s="40"/>
      <c r="L14" s="40"/>
    </row>
    <row r="15" spans="1:12" ht="13.5" customHeight="1">
      <c r="A15" s="33">
        <v>21120401</v>
      </c>
      <c r="B15" s="24" t="s">
        <v>464</v>
      </c>
      <c r="C15" s="24">
        <v>100000</v>
      </c>
      <c r="D15" s="1107"/>
      <c r="E15" s="1107"/>
      <c r="F15" s="1107"/>
      <c r="G15" s="1107"/>
      <c r="H15" s="1107"/>
      <c r="I15" s="1108"/>
      <c r="J15" s="8"/>
      <c r="K15" s="8"/>
      <c r="L15" s="8"/>
    </row>
    <row r="16" spans="1:12" ht="13.5" customHeight="1">
      <c r="A16" s="48">
        <v>211209</v>
      </c>
      <c r="B16" s="26" t="s">
        <v>477</v>
      </c>
      <c r="C16" s="26">
        <f>SUM(C17)</f>
        <v>100000</v>
      </c>
      <c r="D16" s="1039"/>
      <c r="E16" s="1039"/>
      <c r="F16" s="1039"/>
      <c r="G16" s="1039"/>
      <c r="H16" s="1039"/>
      <c r="I16" s="1108"/>
      <c r="J16" s="8"/>
      <c r="K16" s="8"/>
      <c r="L16" s="8"/>
    </row>
    <row r="17" spans="1:12" ht="13.5" customHeight="1">
      <c r="A17" s="33">
        <v>21120906</v>
      </c>
      <c r="B17" s="24" t="s">
        <v>479</v>
      </c>
      <c r="C17" s="14">
        <v>100000</v>
      </c>
      <c r="D17" s="1039"/>
      <c r="E17" s="1039"/>
      <c r="F17" s="1039"/>
      <c r="G17" s="1039"/>
      <c r="H17" s="1039"/>
      <c r="I17" s="1108"/>
      <c r="J17" s="8"/>
      <c r="K17" s="8"/>
      <c r="L17" s="8"/>
    </row>
    <row r="18" spans="1:12" ht="13.5" customHeight="1" thickBot="1">
      <c r="A18" s="33"/>
      <c r="B18" s="24"/>
      <c r="C18" s="14"/>
      <c r="D18" s="1039"/>
      <c r="E18" s="1039"/>
      <c r="F18" s="1109"/>
      <c r="G18" s="1039"/>
      <c r="H18" s="1039"/>
      <c r="I18" s="1108"/>
      <c r="J18" s="8"/>
      <c r="K18" s="8"/>
      <c r="L18" s="8"/>
    </row>
    <row r="19" spans="1:12" ht="13.5" customHeight="1" thickBot="1">
      <c r="A19" s="1298" t="s">
        <v>4</v>
      </c>
      <c r="B19" s="1281"/>
      <c r="C19" s="64">
        <f>C20+C22</f>
        <v>660000</v>
      </c>
      <c r="D19" s="808"/>
      <c r="E19" s="808"/>
      <c r="F19" s="808"/>
      <c r="G19" s="808"/>
      <c r="H19" s="808"/>
      <c r="I19" s="986"/>
      <c r="J19" s="13"/>
      <c r="K19" s="13"/>
      <c r="L19" s="13"/>
    </row>
    <row r="20" spans="1:12" ht="13.5" customHeight="1">
      <c r="A20" s="48">
        <v>211301</v>
      </c>
      <c r="B20" s="48" t="s">
        <v>518</v>
      </c>
      <c r="C20" s="49">
        <f>SUM(C21)</f>
        <v>60000</v>
      </c>
      <c r="D20" s="33"/>
      <c r="E20" s="33"/>
      <c r="F20" s="33"/>
      <c r="G20" s="33"/>
      <c r="H20" s="33"/>
      <c r="I20" s="33"/>
      <c r="J20" s="33"/>
      <c r="K20" s="33"/>
      <c r="L20" s="33"/>
    </row>
    <row r="21" spans="1:12" ht="13.5" customHeight="1">
      <c r="A21" s="33">
        <v>21130105</v>
      </c>
      <c r="B21" s="23" t="s">
        <v>609</v>
      </c>
      <c r="C21" s="25">
        <v>60000</v>
      </c>
      <c r="D21" s="23"/>
      <c r="E21" s="23"/>
      <c r="F21" s="23"/>
      <c r="G21" s="23"/>
      <c r="H21" s="23"/>
      <c r="I21" s="23"/>
      <c r="J21" s="23"/>
      <c r="K21" s="23"/>
      <c r="L21" s="23"/>
    </row>
    <row r="22" spans="1:12" ht="13.5" customHeight="1">
      <c r="A22" s="22">
        <v>211309</v>
      </c>
      <c r="B22" s="26" t="s">
        <v>496</v>
      </c>
      <c r="C22" s="49">
        <f>SUM(C23:C24)</f>
        <v>600000</v>
      </c>
      <c r="D22" s="40"/>
      <c r="E22" s="40"/>
      <c r="F22" s="40"/>
      <c r="G22" s="40"/>
      <c r="H22" s="40"/>
      <c r="I22" s="40"/>
      <c r="J22" s="40"/>
      <c r="K22" s="40"/>
      <c r="L22" s="40"/>
    </row>
    <row r="23" spans="1:12" ht="13.5" customHeight="1">
      <c r="A23" s="33">
        <v>21130901</v>
      </c>
      <c r="B23" s="24" t="s">
        <v>497</v>
      </c>
      <c r="C23" s="24">
        <v>300000</v>
      </c>
      <c r="D23" s="13"/>
      <c r="E23" s="13"/>
      <c r="F23" s="13"/>
      <c r="G23" s="13"/>
      <c r="H23" s="13"/>
      <c r="I23" s="13"/>
      <c r="J23" s="13"/>
      <c r="K23" s="13"/>
      <c r="L23" s="13"/>
    </row>
    <row r="24" spans="1:12" ht="13.5" customHeight="1">
      <c r="A24" s="33">
        <v>21130908</v>
      </c>
      <c r="B24" s="24" t="s">
        <v>500</v>
      </c>
      <c r="C24" s="14">
        <v>300000</v>
      </c>
      <c r="D24" s="13"/>
      <c r="E24" s="13"/>
      <c r="F24" s="13"/>
      <c r="G24" s="13"/>
      <c r="H24" s="13"/>
      <c r="I24" s="13"/>
      <c r="J24" s="13"/>
      <c r="K24" s="13"/>
      <c r="L24" s="13"/>
    </row>
    <row r="25" spans="1:12" ht="13.5" customHeight="1" thickBot="1">
      <c r="A25" s="23"/>
      <c r="B25" s="24"/>
      <c r="C25" s="14"/>
      <c r="D25" s="13"/>
      <c r="E25" s="13"/>
      <c r="F25" s="13"/>
      <c r="G25" s="13"/>
      <c r="H25" s="13"/>
      <c r="I25" s="13"/>
      <c r="J25" s="13"/>
      <c r="K25" s="13"/>
      <c r="L25" s="13"/>
    </row>
    <row r="26" spans="1:12" ht="13.5" customHeight="1" thickBot="1">
      <c r="A26" s="1299" t="s">
        <v>48</v>
      </c>
      <c r="B26" s="1281"/>
      <c r="C26" s="65">
        <f>C27+C29</f>
        <v>850000</v>
      </c>
      <c r="D26" s="13"/>
      <c r="E26" s="13"/>
      <c r="F26" s="13"/>
      <c r="G26" s="13"/>
      <c r="H26" s="13"/>
      <c r="I26" s="13"/>
      <c r="J26" s="13"/>
      <c r="K26" s="13"/>
      <c r="L26" s="13"/>
    </row>
    <row r="27" spans="1:12" ht="13.5" customHeight="1">
      <c r="A27" s="48">
        <v>221104</v>
      </c>
      <c r="B27" s="22" t="s">
        <v>510</v>
      </c>
      <c r="C27" s="49">
        <f>SUM(C28)</f>
        <v>800000</v>
      </c>
      <c r="D27" s="40"/>
      <c r="E27" s="40"/>
      <c r="F27" s="40"/>
      <c r="G27" s="40"/>
      <c r="H27" s="40"/>
      <c r="I27" s="40"/>
      <c r="J27" s="40"/>
      <c r="K27" s="40"/>
      <c r="L27" s="40"/>
    </row>
    <row r="28" spans="1:12" ht="13.5" customHeight="1">
      <c r="A28" s="40">
        <v>22110401</v>
      </c>
      <c r="B28" s="13" t="s">
        <v>511</v>
      </c>
      <c r="C28" s="14">
        <v>800000</v>
      </c>
      <c r="D28" s="8"/>
      <c r="E28" s="8"/>
      <c r="F28" s="8"/>
      <c r="G28" s="8"/>
      <c r="H28" s="8"/>
      <c r="I28" s="8"/>
      <c r="J28" s="8"/>
      <c r="K28" s="8"/>
      <c r="L28" s="8"/>
    </row>
    <row r="29" spans="1:12" ht="13.5" customHeight="1">
      <c r="A29" s="48">
        <v>221107</v>
      </c>
      <c r="B29" s="26" t="s">
        <v>514</v>
      </c>
      <c r="C29" s="16">
        <f>SUM(C30)</f>
        <v>50000</v>
      </c>
      <c r="D29" s="8"/>
      <c r="E29" s="8"/>
      <c r="F29" s="8"/>
      <c r="G29" s="8"/>
      <c r="H29" s="8"/>
      <c r="I29" s="8"/>
      <c r="J29" s="8"/>
      <c r="K29" s="8"/>
      <c r="L29" s="8"/>
    </row>
    <row r="30" spans="1:12" ht="13.5" customHeight="1">
      <c r="A30" s="33">
        <v>22110702</v>
      </c>
      <c r="B30" s="24" t="s">
        <v>515</v>
      </c>
      <c r="C30" s="14">
        <v>50000</v>
      </c>
      <c r="D30" s="8"/>
      <c r="E30" s="8"/>
      <c r="F30" s="8"/>
      <c r="G30" s="8"/>
      <c r="H30" s="8"/>
      <c r="I30" s="8"/>
      <c r="J30" s="8"/>
      <c r="K30" s="8"/>
      <c r="L30" s="8"/>
    </row>
    <row r="31" spans="1:12" ht="13.5" customHeight="1">
      <c r="A31" s="23"/>
      <c r="B31" s="23"/>
      <c r="C31" s="24"/>
      <c r="D31" s="13"/>
      <c r="E31" s="13"/>
      <c r="F31" s="13"/>
      <c r="G31" s="13"/>
      <c r="H31" s="13"/>
      <c r="I31" s="13"/>
      <c r="J31" s="13"/>
      <c r="K31" s="13"/>
      <c r="L31" s="13"/>
    </row>
    <row r="32" spans="1:12" ht="13.5" customHeight="1">
      <c r="A32" s="183"/>
      <c r="B32" s="599"/>
      <c r="C32" s="180"/>
      <c r="D32" s="8"/>
      <c r="E32" s="8"/>
      <c r="F32" s="8"/>
      <c r="G32" s="8"/>
      <c r="H32" s="8"/>
      <c r="I32" s="8"/>
      <c r="J32" s="8"/>
      <c r="K32" s="8"/>
      <c r="L32" s="8"/>
    </row>
    <row r="33" spans="1:12" ht="13.5" customHeight="1">
      <c r="A33" s="183"/>
      <c r="B33" s="600"/>
      <c r="C33" s="3"/>
      <c r="D33" s="8"/>
      <c r="E33" s="8"/>
      <c r="F33" s="8"/>
      <c r="G33" s="8"/>
      <c r="H33" s="8"/>
      <c r="I33" s="8"/>
      <c r="J33" s="8"/>
      <c r="K33" s="8"/>
      <c r="L33" s="8"/>
    </row>
    <row r="34" spans="1:12" ht="13.5" customHeight="1">
      <c r="A34" s="183"/>
      <c r="B34" s="599"/>
      <c r="C34" s="180"/>
      <c r="D34" s="8"/>
      <c r="E34" s="8"/>
      <c r="F34" s="8"/>
      <c r="G34" s="8"/>
      <c r="H34" s="8"/>
      <c r="I34" s="8"/>
      <c r="J34" s="8"/>
      <c r="K34" s="8"/>
      <c r="L34" s="8"/>
    </row>
    <row r="35" spans="1:12" ht="13.5" customHeight="1">
      <c r="A35" s="183"/>
      <c r="B35" s="599"/>
      <c r="C35" s="180"/>
      <c r="D35" s="8"/>
      <c r="E35" s="8"/>
      <c r="F35" s="8"/>
      <c r="G35" s="8"/>
      <c r="H35" s="8"/>
      <c r="I35" s="8"/>
      <c r="J35" s="8"/>
      <c r="K35" s="8"/>
      <c r="L35" s="8"/>
    </row>
    <row r="36" spans="1:12" ht="13.5" customHeight="1">
      <c r="A36" s="183"/>
      <c r="B36" s="599"/>
      <c r="C36" s="180"/>
      <c r="D36" s="8"/>
      <c r="E36" s="8"/>
      <c r="F36" s="8"/>
      <c r="G36" s="8"/>
      <c r="H36" s="8"/>
      <c r="I36" s="8"/>
      <c r="J36" s="8"/>
      <c r="K36" s="8"/>
      <c r="L36" s="8"/>
    </row>
    <row r="37" spans="1:12" ht="13.5" customHeight="1">
      <c r="A37" s="183"/>
      <c r="B37" s="599"/>
      <c r="C37" s="180"/>
      <c r="D37" s="8"/>
      <c r="E37" s="8"/>
      <c r="F37" s="8"/>
      <c r="G37" s="8"/>
      <c r="H37" s="8"/>
      <c r="I37" s="8"/>
      <c r="J37" s="8"/>
      <c r="K37" s="8"/>
      <c r="L37" s="8"/>
    </row>
    <row r="38" spans="1:12" ht="13.5" customHeight="1">
      <c r="A38" s="23"/>
      <c r="B38" s="46"/>
      <c r="C38" s="24"/>
      <c r="D38" s="13"/>
      <c r="E38" s="13"/>
      <c r="F38" s="13"/>
      <c r="G38" s="13"/>
      <c r="H38" s="13"/>
      <c r="I38" s="13"/>
      <c r="J38" s="13"/>
      <c r="K38" s="13"/>
      <c r="L38" s="13"/>
    </row>
    <row r="39" spans="1:12" ht="13.5" customHeight="1">
      <c r="A39" s="23"/>
      <c r="B39" s="46"/>
      <c r="C39" s="24"/>
      <c r="D39" s="13"/>
      <c r="E39" s="13"/>
      <c r="F39" s="13"/>
      <c r="G39" s="13"/>
      <c r="H39" s="13"/>
      <c r="I39" s="13"/>
      <c r="J39" s="13"/>
      <c r="K39" s="13"/>
      <c r="L39" s="13"/>
    </row>
    <row r="40" spans="1:12" ht="13.5" customHeight="1">
      <c r="A40" s="23"/>
      <c r="B40" s="46"/>
      <c r="C40" s="24"/>
      <c r="D40" s="13"/>
      <c r="E40" s="13"/>
      <c r="F40" s="13"/>
      <c r="G40" s="13"/>
      <c r="H40" s="13"/>
      <c r="I40" s="13"/>
      <c r="J40" s="13"/>
      <c r="K40" s="13"/>
      <c r="L40" s="13"/>
    </row>
    <row r="41" spans="1:12" ht="13.5" customHeight="1">
      <c r="A41" s="23"/>
      <c r="B41" s="46"/>
      <c r="C41" s="24"/>
      <c r="D41" s="13"/>
      <c r="E41" s="13"/>
      <c r="F41" s="13"/>
      <c r="G41" s="13"/>
      <c r="H41" s="13"/>
      <c r="I41" s="13"/>
      <c r="J41" s="13"/>
      <c r="K41" s="13"/>
      <c r="L41" s="13"/>
    </row>
    <row r="42" spans="1:12" ht="13.5" customHeight="1">
      <c r="A42" s="23"/>
      <c r="B42" s="46"/>
      <c r="C42" s="24"/>
      <c r="D42" s="13"/>
      <c r="E42" s="13"/>
      <c r="F42" s="13"/>
      <c r="G42" s="13"/>
      <c r="H42" s="13"/>
      <c r="I42" s="13"/>
      <c r="J42" s="13"/>
      <c r="K42" s="13"/>
      <c r="L42" s="13"/>
    </row>
    <row r="43" spans="1:12" ht="13.5" customHeight="1">
      <c r="A43" s="23"/>
      <c r="B43" s="46"/>
      <c r="C43" s="24"/>
      <c r="D43" s="13"/>
      <c r="E43" s="13"/>
      <c r="F43" s="13"/>
      <c r="G43" s="13"/>
      <c r="H43" s="13"/>
      <c r="I43" s="13"/>
      <c r="J43" s="13"/>
      <c r="K43" s="13"/>
      <c r="L43" s="13"/>
    </row>
    <row r="44" spans="1:12" ht="13.5" customHeight="1">
      <c r="A44" s="23"/>
      <c r="B44" s="46"/>
      <c r="C44" s="24"/>
      <c r="D44" s="13"/>
      <c r="E44" s="13"/>
      <c r="F44" s="13"/>
      <c r="G44" s="13"/>
      <c r="H44" s="13"/>
      <c r="I44" s="13"/>
      <c r="J44" s="13"/>
      <c r="K44" s="13"/>
      <c r="L44" s="13"/>
    </row>
    <row r="45" spans="1:12" ht="13.5" customHeight="1">
      <c r="A45" s="23"/>
      <c r="B45" s="46"/>
      <c r="C45" s="24"/>
      <c r="D45" s="13"/>
      <c r="E45" s="13"/>
      <c r="F45" s="13"/>
      <c r="G45" s="13"/>
      <c r="H45" s="13"/>
      <c r="I45" s="13"/>
      <c r="J45" s="13"/>
      <c r="K45" s="13"/>
      <c r="L45" s="13"/>
    </row>
    <row r="46" spans="1:12" ht="13.5" customHeight="1">
      <c r="A46" s="23"/>
      <c r="B46" s="46"/>
      <c r="C46" s="24"/>
      <c r="D46" s="13"/>
      <c r="E46" s="13"/>
      <c r="F46" s="13"/>
      <c r="G46" s="13"/>
      <c r="H46" s="13"/>
      <c r="I46" s="13"/>
      <c r="J46" s="13"/>
      <c r="K46" s="13"/>
      <c r="L46" s="13"/>
    </row>
    <row r="47" spans="1:12" ht="13.5" customHeight="1">
      <c r="A47" s="23"/>
      <c r="B47" s="46"/>
      <c r="C47" s="24"/>
      <c r="D47" s="13"/>
      <c r="E47" s="13"/>
      <c r="F47" s="13"/>
      <c r="G47" s="13"/>
      <c r="H47" s="13"/>
      <c r="I47" s="13"/>
      <c r="J47" s="13"/>
      <c r="K47" s="13"/>
      <c r="L47" s="13"/>
    </row>
    <row r="48" spans="1:12" ht="13.5" customHeight="1">
      <c r="A48" s="23"/>
      <c r="B48" s="46"/>
      <c r="C48" s="24"/>
      <c r="D48" s="13"/>
      <c r="E48" s="13"/>
      <c r="F48" s="13"/>
      <c r="G48" s="13"/>
      <c r="H48" s="13"/>
      <c r="I48" s="13"/>
      <c r="J48" s="13"/>
      <c r="K48" s="13"/>
      <c r="L48" s="13"/>
    </row>
    <row r="49" spans="1:12" ht="13.5" customHeight="1">
      <c r="A49" s="183"/>
      <c r="B49" s="599"/>
      <c r="C49" s="180"/>
      <c r="D49" s="8"/>
      <c r="E49" s="8"/>
      <c r="F49" s="8"/>
      <c r="G49" s="8"/>
      <c r="H49" s="8"/>
      <c r="I49" s="8"/>
      <c r="J49" s="8"/>
      <c r="K49" s="8"/>
      <c r="L49" s="8"/>
    </row>
    <row r="50" spans="1:12" ht="13.5" customHeight="1">
      <c r="A50" s="183"/>
      <c r="B50" s="599"/>
      <c r="C50" s="180"/>
      <c r="D50" s="8"/>
      <c r="E50" s="8"/>
      <c r="F50" s="8"/>
      <c r="G50" s="8"/>
      <c r="H50" s="8"/>
      <c r="I50" s="8"/>
      <c r="J50" s="8"/>
      <c r="K50" s="8"/>
      <c r="L50" s="8"/>
    </row>
    <row r="51" spans="1:12" ht="13.5" customHeight="1">
      <c r="A51" s="183"/>
      <c r="B51" s="599"/>
      <c r="C51" s="180"/>
      <c r="D51" s="8"/>
      <c r="E51" s="8"/>
      <c r="F51" s="8"/>
      <c r="G51" s="8"/>
      <c r="H51" s="8"/>
      <c r="I51" s="8"/>
      <c r="J51" s="8"/>
      <c r="K51" s="8"/>
      <c r="L51" s="8"/>
    </row>
    <row r="52" spans="1:12" ht="13.5" customHeight="1">
      <c r="A52" s="183"/>
      <c r="B52" s="599"/>
      <c r="C52" s="180"/>
      <c r="D52" s="8"/>
      <c r="E52" s="8"/>
      <c r="F52" s="8"/>
      <c r="G52" s="8"/>
      <c r="H52" s="8"/>
      <c r="I52" s="8"/>
      <c r="J52" s="8"/>
      <c r="K52" s="8"/>
      <c r="L52" s="8"/>
    </row>
    <row r="53" spans="1:12" ht="13.5" customHeight="1">
      <c r="A53" s="183"/>
      <c r="B53" s="599"/>
      <c r="C53" s="180"/>
      <c r="D53" s="8"/>
      <c r="E53" s="8"/>
      <c r="F53" s="8"/>
      <c r="G53" s="8"/>
      <c r="H53" s="8"/>
      <c r="I53" s="8"/>
      <c r="J53" s="8"/>
      <c r="K53" s="8"/>
      <c r="L53" s="8"/>
    </row>
    <row r="54" spans="1:12" ht="13.5" customHeight="1">
      <c r="A54" s="183"/>
      <c r="B54" s="599"/>
      <c r="C54" s="180"/>
      <c r="D54" s="8"/>
      <c r="E54" s="8"/>
      <c r="F54" s="8"/>
      <c r="G54" s="8"/>
      <c r="H54" s="8"/>
      <c r="I54" s="8"/>
      <c r="J54" s="8"/>
      <c r="K54" s="8"/>
      <c r="L54" s="8"/>
    </row>
    <row r="55" spans="1:12" ht="13.5" customHeight="1">
      <c r="A55" s="183"/>
      <c r="B55" s="599"/>
      <c r="C55" s="180"/>
      <c r="D55" s="8"/>
      <c r="E55" s="8"/>
      <c r="F55" s="8"/>
      <c r="G55" s="8"/>
      <c r="H55" s="8"/>
      <c r="I55" s="8"/>
      <c r="J55" s="8"/>
      <c r="K55" s="8"/>
      <c r="L55" s="8"/>
    </row>
    <row r="56" spans="1:12" ht="13.5" customHeight="1">
      <c r="A56" s="183"/>
      <c r="B56" s="599"/>
      <c r="C56" s="180"/>
      <c r="D56" s="8"/>
      <c r="E56" s="8"/>
      <c r="F56" s="8"/>
      <c r="G56" s="8"/>
      <c r="H56" s="8"/>
      <c r="I56" s="8"/>
      <c r="J56" s="8"/>
      <c r="K56" s="8"/>
      <c r="L56" s="8"/>
    </row>
    <row r="57" spans="1:12" ht="13.5" customHeight="1">
      <c r="A57" s="183"/>
      <c r="B57" s="599"/>
      <c r="C57" s="180"/>
      <c r="D57" s="8"/>
      <c r="E57" s="8"/>
      <c r="F57" s="8"/>
      <c r="G57" s="8"/>
      <c r="H57" s="8"/>
      <c r="I57" s="8"/>
      <c r="J57" s="8"/>
      <c r="K57" s="8"/>
      <c r="L57" s="8"/>
    </row>
    <row r="58" spans="1:12" ht="13.5" customHeight="1">
      <c r="A58" s="183"/>
      <c r="B58" s="599"/>
      <c r="C58" s="180"/>
      <c r="D58" s="8"/>
      <c r="E58" s="8"/>
      <c r="F58" s="8"/>
      <c r="G58" s="8"/>
      <c r="H58" s="8"/>
      <c r="I58" s="8"/>
      <c r="J58" s="8"/>
      <c r="K58" s="8"/>
      <c r="L58" s="8"/>
    </row>
    <row r="59" spans="1:12" ht="13.5" customHeight="1">
      <c r="A59" s="183"/>
      <c r="B59" s="599"/>
      <c r="C59" s="180"/>
      <c r="D59" s="8"/>
      <c r="E59" s="8"/>
      <c r="F59" s="8"/>
      <c r="G59" s="8"/>
      <c r="H59" s="8"/>
      <c r="I59" s="8"/>
      <c r="J59" s="8"/>
      <c r="K59" s="8"/>
      <c r="L59" s="8"/>
    </row>
    <row r="60" spans="1:12" ht="13.5" customHeight="1">
      <c r="A60" s="183"/>
      <c r="B60" s="599"/>
      <c r="C60" s="180"/>
      <c r="D60" s="8"/>
      <c r="E60" s="8"/>
      <c r="F60" s="8"/>
      <c r="G60" s="8"/>
      <c r="H60" s="8"/>
      <c r="I60" s="8"/>
      <c r="J60" s="8"/>
      <c r="K60" s="8"/>
      <c r="L60" s="8"/>
    </row>
    <row r="61" spans="1:12" ht="13.5" customHeight="1">
      <c r="A61" s="183"/>
      <c r="B61" s="599"/>
      <c r="C61" s="180"/>
      <c r="D61" s="8"/>
      <c r="E61" s="8"/>
      <c r="F61" s="8"/>
      <c r="G61" s="8"/>
      <c r="H61" s="8"/>
      <c r="I61" s="8"/>
      <c r="J61" s="8"/>
      <c r="K61" s="8"/>
      <c r="L61" s="8"/>
    </row>
    <row r="62" spans="1:12" ht="13.5" customHeight="1">
      <c r="A62" s="183"/>
      <c r="B62" s="599"/>
      <c r="C62" s="180"/>
      <c r="D62" s="8"/>
      <c r="E62" s="8"/>
      <c r="F62" s="8"/>
      <c r="G62" s="8"/>
      <c r="H62" s="8"/>
      <c r="I62" s="8"/>
      <c r="J62" s="8"/>
      <c r="K62" s="8"/>
      <c r="L62" s="8"/>
    </row>
    <row r="63" spans="1:12" ht="13.5" customHeight="1">
      <c r="A63" s="183"/>
      <c r="B63" s="599"/>
      <c r="C63" s="180"/>
      <c r="D63" s="8"/>
      <c r="E63" s="8"/>
      <c r="F63" s="8"/>
      <c r="G63" s="8"/>
      <c r="H63" s="8"/>
      <c r="I63" s="8"/>
      <c r="J63" s="8"/>
      <c r="K63" s="8"/>
      <c r="L63" s="8"/>
    </row>
    <row r="64" spans="1:12" ht="13.5" customHeight="1">
      <c r="A64" s="183"/>
      <c r="B64" s="599"/>
      <c r="C64" s="180"/>
      <c r="D64" s="8"/>
      <c r="E64" s="8"/>
      <c r="F64" s="8"/>
      <c r="G64" s="8"/>
      <c r="H64" s="8"/>
      <c r="I64" s="8"/>
      <c r="J64" s="8"/>
      <c r="K64" s="8"/>
      <c r="L64" s="8"/>
    </row>
    <row r="65" spans="1:12" ht="13.5" customHeight="1">
      <c r="A65" s="183"/>
      <c r="B65" s="599"/>
      <c r="C65" s="180"/>
      <c r="D65" s="8"/>
      <c r="E65" s="8"/>
      <c r="F65" s="8"/>
      <c r="G65" s="8"/>
      <c r="H65" s="8"/>
      <c r="I65" s="8"/>
      <c r="J65" s="8"/>
      <c r="K65" s="8"/>
      <c r="L65" s="8"/>
    </row>
    <row r="66" spans="1:12" ht="13.5" customHeight="1">
      <c r="A66" s="183"/>
      <c r="B66" s="599"/>
      <c r="C66" s="180"/>
      <c r="D66" s="8"/>
      <c r="E66" s="8"/>
      <c r="F66" s="8"/>
      <c r="G66" s="8"/>
      <c r="H66" s="8"/>
      <c r="I66" s="8"/>
      <c r="J66" s="8"/>
      <c r="K66" s="8"/>
      <c r="L66" s="8"/>
    </row>
    <row r="67" spans="1:12" ht="13.5" customHeight="1">
      <c r="A67" s="183"/>
      <c r="B67" s="599"/>
      <c r="C67" s="180"/>
      <c r="D67" s="8"/>
      <c r="E67" s="8"/>
      <c r="F67" s="8"/>
      <c r="G67" s="8"/>
      <c r="H67" s="8"/>
      <c r="I67" s="8"/>
      <c r="J67" s="8"/>
      <c r="K67" s="8"/>
      <c r="L67" s="8"/>
    </row>
    <row r="68" spans="1:12" ht="13.5" customHeight="1">
      <c r="A68" s="183"/>
      <c r="B68" s="599"/>
      <c r="C68" s="180"/>
      <c r="D68" s="8"/>
      <c r="E68" s="8"/>
      <c r="F68" s="8"/>
      <c r="G68" s="8"/>
      <c r="H68" s="8"/>
      <c r="I68" s="8"/>
      <c r="J68" s="8"/>
      <c r="K68" s="8"/>
      <c r="L68" s="8"/>
    </row>
    <row r="69" spans="1:12" ht="13.5" customHeight="1">
      <c r="A69" s="183"/>
      <c r="B69" s="599"/>
      <c r="C69" s="180"/>
      <c r="D69" s="8"/>
      <c r="E69" s="8"/>
      <c r="F69" s="8"/>
      <c r="G69" s="8"/>
      <c r="H69" s="8"/>
      <c r="I69" s="8"/>
      <c r="J69" s="8"/>
      <c r="K69" s="8"/>
      <c r="L69" s="8"/>
    </row>
    <row r="70" spans="1:12" ht="13.5" customHeight="1">
      <c r="A70" s="183"/>
      <c r="B70" s="599"/>
      <c r="C70" s="180"/>
      <c r="D70" s="8"/>
      <c r="E70" s="8"/>
      <c r="F70" s="8"/>
      <c r="G70" s="8"/>
      <c r="H70" s="8"/>
      <c r="I70" s="8"/>
      <c r="J70" s="8"/>
      <c r="K70" s="8"/>
      <c r="L70" s="8"/>
    </row>
    <row r="71" spans="1:12" ht="13.5" customHeight="1">
      <c r="A71" s="183"/>
      <c r="B71" s="599"/>
      <c r="C71" s="180"/>
      <c r="D71" s="8"/>
      <c r="E71" s="8"/>
      <c r="F71" s="8"/>
      <c r="G71" s="8"/>
      <c r="H71" s="8"/>
      <c r="I71" s="8"/>
      <c r="J71" s="8"/>
      <c r="K71" s="8"/>
      <c r="L71" s="8"/>
    </row>
    <row r="72" spans="1:12" ht="13.5" customHeight="1">
      <c r="A72" s="183"/>
      <c r="B72" s="599"/>
      <c r="C72" s="180"/>
      <c r="D72" s="8"/>
      <c r="E72" s="8"/>
      <c r="F72" s="8"/>
      <c r="G72" s="8"/>
      <c r="H72" s="8"/>
      <c r="I72" s="8"/>
      <c r="J72" s="8"/>
      <c r="K72" s="8"/>
      <c r="L72" s="8"/>
    </row>
    <row r="73" spans="1:12" ht="13.5" customHeight="1">
      <c r="A73" s="183"/>
      <c r="B73" s="599"/>
      <c r="C73" s="180"/>
      <c r="D73" s="8"/>
      <c r="E73" s="8"/>
      <c r="F73" s="8"/>
      <c r="G73" s="8"/>
      <c r="H73" s="8"/>
      <c r="I73" s="8"/>
      <c r="J73" s="8"/>
      <c r="K73" s="8"/>
      <c r="L73" s="8"/>
    </row>
    <row r="74" spans="1:12" ht="13.5" customHeight="1">
      <c r="A74" s="183"/>
      <c r="B74" s="599"/>
      <c r="C74" s="180"/>
      <c r="D74" s="8"/>
      <c r="E74" s="8"/>
      <c r="F74" s="8"/>
      <c r="G74" s="8"/>
      <c r="H74" s="8"/>
      <c r="I74" s="8"/>
      <c r="J74" s="8"/>
      <c r="K74" s="8"/>
      <c r="L74" s="8"/>
    </row>
    <row r="75" spans="1:12" ht="13.5" customHeight="1">
      <c r="A75" s="183"/>
      <c r="B75" s="599"/>
      <c r="C75" s="180"/>
      <c r="D75" s="8"/>
      <c r="E75" s="8"/>
      <c r="F75" s="8"/>
      <c r="G75" s="8"/>
      <c r="H75" s="8"/>
      <c r="I75" s="8"/>
      <c r="J75" s="8"/>
      <c r="K75" s="8"/>
      <c r="L75" s="8"/>
    </row>
    <row r="76" spans="1:12" ht="13.5" customHeight="1">
      <c r="A76" s="183"/>
      <c r="B76" s="599"/>
      <c r="C76" s="180"/>
      <c r="D76" s="8"/>
      <c r="E76" s="8"/>
      <c r="F76" s="8"/>
      <c r="G76" s="8"/>
      <c r="H76" s="8"/>
      <c r="I76" s="8"/>
      <c r="J76" s="8"/>
      <c r="K76" s="8"/>
      <c r="L76" s="8"/>
    </row>
    <row r="77" spans="1:12" ht="13.5" customHeight="1">
      <c r="A77" s="183"/>
      <c r="B77" s="599"/>
      <c r="C77" s="180"/>
      <c r="D77" s="8"/>
      <c r="E77" s="8"/>
      <c r="F77" s="8"/>
      <c r="G77" s="8"/>
      <c r="H77" s="8"/>
      <c r="I77" s="8"/>
      <c r="J77" s="8"/>
      <c r="K77" s="8"/>
      <c r="L77" s="8"/>
    </row>
    <row r="78" spans="1:12" ht="13.5" customHeight="1">
      <c r="A78" s="183"/>
      <c r="B78" s="599"/>
      <c r="C78" s="180"/>
      <c r="D78" s="8"/>
      <c r="E78" s="8"/>
      <c r="F78" s="8"/>
      <c r="G78" s="8"/>
      <c r="H78" s="8"/>
      <c r="I78" s="8"/>
      <c r="J78" s="8"/>
      <c r="K78" s="8"/>
      <c r="L78" s="8"/>
    </row>
    <row r="79" spans="1:12" ht="13.5" customHeight="1">
      <c r="A79" s="183"/>
      <c r="B79" s="599"/>
      <c r="C79" s="180"/>
      <c r="D79" s="8"/>
      <c r="E79" s="8"/>
      <c r="F79" s="8"/>
      <c r="G79" s="8"/>
      <c r="H79" s="8"/>
      <c r="I79" s="8"/>
      <c r="J79" s="8"/>
      <c r="K79" s="8"/>
      <c r="L79" s="8"/>
    </row>
    <row r="80" spans="1:12" ht="13.5" customHeight="1">
      <c r="A80" s="183"/>
      <c r="B80" s="599"/>
      <c r="C80" s="180"/>
      <c r="D80" s="8"/>
      <c r="E80" s="8"/>
      <c r="F80" s="8"/>
      <c r="G80" s="8"/>
      <c r="H80" s="8"/>
      <c r="I80" s="8"/>
      <c r="J80" s="8"/>
      <c r="K80" s="8"/>
      <c r="L80" s="8"/>
    </row>
    <row r="81" spans="1:12" ht="13.5" customHeight="1">
      <c r="A81" s="183"/>
      <c r="B81" s="599"/>
      <c r="C81" s="180"/>
      <c r="D81" s="8"/>
      <c r="E81" s="8"/>
      <c r="F81" s="8"/>
      <c r="G81" s="8"/>
      <c r="H81" s="8"/>
      <c r="I81" s="8"/>
      <c r="J81" s="8"/>
      <c r="K81" s="8"/>
      <c r="L81" s="8"/>
    </row>
    <row r="82" spans="1:12" ht="13.5" customHeight="1">
      <c r="A82" s="183"/>
      <c r="B82" s="599"/>
      <c r="C82" s="180"/>
      <c r="D82" s="8"/>
      <c r="E82" s="8"/>
      <c r="F82" s="8"/>
      <c r="G82" s="8"/>
      <c r="H82" s="8"/>
      <c r="I82" s="8"/>
      <c r="J82" s="8"/>
      <c r="K82" s="8"/>
      <c r="L82" s="8"/>
    </row>
    <row r="83" spans="1:12" ht="13.5" customHeight="1">
      <c r="A83" s="183"/>
      <c r="B83" s="599"/>
      <c r="C83" s="180"/>
      <c r="D83" s="8"/>
      <c r="E83" s="8"/>
      <c r="F83" s="8"/>
      <c r="G83" s="8"/>
      <c r="H83" s="8"/>
      <c r="I83" s="8"/>
      <c r="J83" s="8"/>
      <c r="K83" s="8"/>
      <c r="L83" s="8"/>
    </row>
    <row r="84" spans="1:12" ht="13.5" customHeight="1">
      <c r="A84" s="183"/>
      <c r="B84" s="599"/>
      <c r="C84" s="180"/>
      <c r="D84" s="8"/>
      <c r="E84" s="8"/>
      <c r="F84" s="8"/>
      <c r="G84" s="8"/>
      <c r="H84" s="8"/>
      <c r="I84" s="8"/>
      <c r="J84" s="8"/>
      <c r="K84" s="8"/>
      <c r="L84" s="8"/>
    </row>
    <row r="85" spans="1:12" ht="13.5" customHeight="1">
      <c r="A85" s="183"/>
      <c r="B85" s="599"/>
      <c r="C85" s="180"/>
      <c r="D85" s="8"/>
      <c r="E85" s="8"/>
      <c r="F85" s="8"/>
      <c r="G85" s="8"/>
      <c r="H85" s="8"/>
      <c r="I85" s="8"/>
      <c r="J85" s="8"/>
      <c r="K85" s="8"/>
      <c r="L85" s="8"/>
    </row>
    <row r="86" spans="1:12" ht="13.5" customHeight="1">
      <c r="A86" s="183"/>
      <c r="B86" s="599"/>
      <c r="C86" s="180"/>
      <c r="D86" s="8"/>
      <c r="E86" s="8"/>
      <c r="F86" s="8"/>
      <c r="G86" s="8"/>
      <c r="H86" s="8"/>
      <c r="I86" s="8"/>
      <c r="J86" s="8"/>
      <c r="K86" s="8"/>
      <c r="L86" s="8"/>
    </row>
    <row r="87" spans="1:12" ht="13.5" customHeight="1">
      <c r="A87" s="183"/>
      <c r="B87" s="599"/>
      <c r="C87" s="180"/>
      <c r="D87" s="8"/>
      <c r="E87" s="8"/>
      <c r="F87" s="8"/>
      <c r="G87" s="8"/>
      <c r="H87" s="8"/>
      <c r="I87" s="8"/>
      <c r="J87" s="8"/>
      <c r="K87" s="8"/>
      <c r="L87" s="8"/>
    </row>
    <row r="88" spans="1:12" ht="13.5" customHeight="1">
      <c r="A88" s="183"/>
      <c r="B88" s="599"/>
      <c r="C88" s="180"/>
      <c r="D88" s="8"/>
      <c r="E88" s="8"/>
      <c r="F88" s="8"/>
      <c r="G88" s="8"/>
      <c r="H88" s="8"/>
      <c r="I88" s="8"/>
      <c r="J88" s="8"/>
      <c r="K88" s="8"/>
      <c r="L88" s="8"/>
    </row>
    <row r="89" spans="1:12" ht="13.5" customHeight="1">
      <c r="A89" s="183"/>
      <c r="B89" s="599"/>
      <c r="C89" s="180"/>
      <c r="D89" s="8"/>
      <c r="E89" s="8"/>
      <c r="F89" s="8"/>
      <c r="G89" s="8"/>
      <c r="H89" s="8"/>
      <c r="I89" s="8"/>
      <c r="J89" s="8"/>
      <c r="K89" s="8"/>
      <c r="L89" s="8"/>
    </row>
    <row r="90" spans="1:12" ht="13.5" customHeight="1">
      <c r="A90" s="183"/>
      <c r="B90" s="599"/>
      <c r="C90" s="180"/>
      <c r="D90" s="8"/>
      <c r="E90" s="8"/>
      <c r="F90" s="8"/>
      <c r="G90" s="8"/>
      <c r="H90" s="8"/>
      <c r="I90" s="8"/>
      <c r="J90" s="8"/>
      <c r="K90" s="8"/>
      <c r="L90" s="8"/>
    </row>
    <row r="91" spans="1:12" ht="13.5" customHeight="1">
      <c r="A91" s="183"/>
      <c r="B91" s="599"/>
      <c r="C91" s="180"/>
      <c r="D91" s="8"/>
      <c r="E91" s="8"/>
      <c r="F91" s="8"/>
      <c r="G91" s="8"/>
      <c r="H91" s="8"/>
      <c r="I91" s="8"/>
      <c r="J91" s="8"/>
      <c r="K91" s="8"/>
      <c r="L91" s="8"/>
    </row>
    <row r="92" spans="1:12" ht="13.5" customHeight="1">
      <c r="A92" s="183"/>
      <c r="B92" s="599"/>
      <c r="C92" s="180"/>
      <c r="D92" s="8"/>
      <c r="E92" s="8"/>
      <c r="F92" s="8"/>
      <c r="G92" s="8"/>
      <c r="H92" s="8"/>
      <c r="I92" s="8"/>
      <c r="J92" s="8"/>
      <c r="K92" s="8"/>
      <c r="L92" s="8"/>
    </row>
    <row r="93" spans="1:12" ht="13.5" customHeight="1">
      <c r="A93" s="183"/>
      <c r="B93" s="599"/>
      <c r="C93" s="180"/>
      <c r="D93" s="8"/>
      <c r="E93" s="8"/>
      <c r="F93" s="8"/>
      <c r="G93" s="8"/>
      <c r="H93" s="8"/>
      <c r="I93" s="8"/>
      <c r="J93" s="8"/>
      <c r="K93" s="8"/>
      <c r="L93" s="8"/>
    </row>
    <row r="94" spans="1:12" ht="13.5" customHeight="1">
      <c r="A94" s="183"/>
      <c r="B94" s="599"/>
      <c r="C94" s="180"/>
      <c r="D94" s="8"/>
      <c r="E94" s="8"/>
      <c r="F94" s="8"/>
      <c r="G94" s="8"/>
      <c r="H94" s="8"/>
      <c r="I94" s="8"/>
      <c r="J94" s="8"/>
      <c r="K94" s="8"/>
      <c r="L94" s="8"/>
    </row>
    <row r="95" spans="1:12" ht="13.5" customHeight="1">
      <c r="A95" s="183"/>
      <c r="B95" s="599"/>
      <c r="C95" s="180"/>
      <c r="D95" s="8"/>
      <c r="E95" s="8"/>
      <c r="F95" s="8"/>
      <c r="G95" s="8"/>
      <c r="H95" s="8"/>
      <c r="I95" s="8"/>
      <c r="J95" s="8"/>
      <c r="K95" s="8"/>
      <c r="L95" s="8"/>
    </row>
    <row r="96" spans="1:12" ht="13.5" customHeight="1">
      <c r="A96" s="183"/>
      <c r="B96" s="599"/>
      <c r="C96" s="180"/>
      <c r="D96" s="8"/>
      <c r="E96" s="8"/>
      <c r="F96" s="8"/>
      <c r="G96" s="8"/>
      <c r="H96" s="8"/>
      <c r="I96" s="8"/>
      <c r="J96" s="8"/>
      <c r="K96" s="8"/>
      <c r="L96" s="8"/>
    </row>
    <row r="97" spans="1:12" ht="13.5" customHeight="1">
      <c r="A97" s="183"/>
      <c r="B97" s="599"/>
      <c r="C97" s="180"/>
      <c r="D97" s="8"/>
      <c r="E97" s="8"/>
      <c r="F97" s="8"/>
      <c r="G97" s="8"/>
      <c r="H97" s="8"/>
      <c r="I97" s="8"/>
      <c r="J97" s="8"/>
      <c r="K97" s="8"/>
      <c r="L97" s="8"/>
    </row>
    <row r="98" spans="1:12" ht="13.5" customHeight="1">
      <c r="A98" s="183"/>
      <c r="B98" s="599"/>
      <c r="C98" s="180"/>
      <c r="D98" s="8"/>
      <c r="E98" s="8"/>
      <c r="F98" s="8"/>
      <c r="G98" s="8"/>
      <c r="H98" s="8"/>
      <c r="I98" s="8"/>
      <c r="J98" s="8"/>
      <c r="K98" s="8"/>
      <c r="L98" s="8"/>
    </row>
    <row r="99" spans="1:12" ht="13.5" customHeight="1">
      <c r="A99" s="183"/>
      <c r="B99" s="599"/>
      <c r="C99" s="180"/>
      <c r="D99" s="8"/>
      <c r="E99" s="8"/>
      <c r="F99" s="8"/>
      <c r="G99" s="8"/>
      <c r="H99" s="8"/>
      <c r="I99" s="8"/>
      <c r="J99" s="8"/>
      <c r="K99" s="8"/>
      <c r="L99" s="8"/>
    </row>
    <row r="100" spans="1:12" ht="13.5" customHeight="1">
      <c r="A100" s="183"/>
      <c r="B100" s="599"/>
      <c r="C100" s="180"/>
      <c r="D100" s="8"/>
      <c r="E100" s="8"/>
      <c r="F100" s="8"/>
      <c r="G100" s="8"/>
      <c r="H100" s="8"/>
      <c r="I100" s="8"/>
      <c r="J100" s="8"/>
      <c r="K100" s="8"/>
      <c r="L100" s="8"/>
    </row>
    <row r="101" spans="1:12" ht="13.5" customHeight="1">
      <c r="A101" s="183"/>
      <c r="B101" s="599"/>
      <c r="C101" s="180"/>
      <c r="D101" s="8"/>
      <c r="E101" s="8"/>
      <c r="F101" s="8"/>
      <c r="G101" s="8"/>
      <c r="H101" s="8"/>
      <c r="I101" s="8"/>
      <c r="J101" s="8"/>
      <c r="K101" s="8"/>
      <c r="L101" s="8"/>
    </row>
    <row r="102" spans="1:12" ht="13.5" customHeight="1">
      <c r="A102" s="183"/>
      <c r="B102" s="599"/>
      <c r="C102" s="180"/>
      <c r="D102" s="8"/>
      <c r="E102" s="8"/>
      <c r="F102" s="8"/>
      <c r="G102" s="8"/>
      <c r="H102" s="8"/>
      <c r="I102" s="8"/>
      <c r="J102" s="8"/>
      <c r="K102" s="8"/>
      <c r="L102" s="8"/>
    </row>
    <row r="103" spans="1:12" ht="13.5" customHeight="1">
      <c r="A103" s="183"/>
      <c r="B103" s="599"/>
      <c r="C103" s="180"/>
      <c r="D103" s="8"/>
      <c r="E103" s="8"/>
      <c r="F103" s="8"/>
      <c r="G103" s="8"/>
      <c r="H103" s="8"/>
      <c r="I103" s="8"/>
      <c r="J103" s="8"/>
      <c r="K103" s="8"/>
      <c r="L103" s="8"/>
    </row>
    <row r="104" spans="1:12" ht="13.5" customHeight="1">
      <c r="A104" s="183"/>
      <c r="B104" s="599"/>
      <c r="C104" s="180"/>
      <c r="D104" s="8"/>
      <c r="E104" s="8"/>
      <c r="F104" s="8"/>
      <c r="G104" s="8"/>
      <c r="H104" s="8"/>
      <c r="I104" s="8"/>
      <c r="J104" s="8"/>
      <c r="K104" s="8"/>
      <c r="L104" s="8"/>
    </row>
    <row r="105" spans="1:12" ht="13.5" customHeight="1">
      <c r="A105" s="183"/>
      <c r="B105" s="599"/>
      <c r="C105" s="180"/>
      <c r="D105" s="8"/>
      <c r="E105" s="8"/>
      <c r="F105" s="8"/>
      <c r="G105" s="8"/>
      <c r="H105" s="8"/>
      <c r="I105" s="8"/>
      <c r="J105" s="8"/>
      <c r="K105" s="8"/>
      <c r="L105" s="8"/>
    </row>
    <row r="106" spans="1:12" ht="13.5" customHeight="1">
      <c r="A106" s="183"/>
      <c r="B106" s="599"/>
      <c r="C106" s="180"/>
      <c r="D106" s="8"/>
      <c r="E106" s="8"/>
      <c r="F106" s="8"/>
      <c r="G106" s="8"/>
      <c r="H106" s="8"/>
      <c r="I106" s="8"/>
      <c r="J106" s="8"/>
      <c r="K106" s="8"/>
      <c r="L106" s="8"/>
    </row>
    <row r="107" spans="1:12" ht="13.5" customHeight="1">
      <c r="A107" s="183"/>
      <c r="B107" s="599"/>
      <c r="C107" s="180"/>
      <c r="D107" s="8"/>
      <c r="E107" s="8"/>
      <c r="F107" s="8"/>
      <c r="G107" s="8"/>
      <c r="H107" s="8"/>
      <c r="I107" s="8"/>
      <c r="J107" s="8"/>
      <c r="K107" s="8"/>
      <c r="L107" s="8"/>
    </row>
    <row r="108" spans="1:12" ht="13.5" customHeight="1">
      <c r="A108" s="183"/>
      <c r="B108" s="599"/>
      <c r="C108" s="180"/>
      <c r="D108" s="8"/>
      <c r="E108" s="8"/>
      <c r="F108" s="8"/>
      <c r="G108" s="8"/>
      <c r="H108" s="8"/>
      <c r="I108" s="8"/>
      <c r="J108" s="8"/>
      <c r="K108" s="8"/>
      <c r="L108" s="8"/>
    </row>
    <row r="109" spans="1:12" ht="13.5" customHeight="1">
      <c r="A109" s="183"/>
      <c r="B109" s="599"/>
      <c r="C109" s="180"/>
      <c r="D109" s="8"/>
      <c r="E109" s="8"/>
      <c r="F109" s="8"/>
      <c r="G109" s="8"/>
      <c r="H109" s="8"/>
      <c r="I109" s="8"/>
      <c r="J109" s="8"/>
      <c r="K109" s="8"/>
      <c r="L109" s="8"/>
    </row>
    <row r="110" spans="1:12" ht="13.5" customHeight="1">
      <c r="A110" s="183"/>
      <c r="B110" s="599"/>
      <c r="C110" s="180"/>
      <c r="D110" s="8"/>
      <c r="E110" s="8"/>
      <c r="F110" s="8"/>
      <c r="G110" s="8"/>
      <c r="H110" s="8"/>
      <c r="I110" s="8"/>
      <c r="J110" s="8"/>
      <c r="K110" s="8"/>
      <c r="L110" s="8"/>
    </row>
    <row r="111" spans="1:12" ht="13.5" customHeight="1">
      <c r="A111" s="183"/>
      <c r="B111" s="599"/>
      <c r="C111" s="180"/>
      <c r="D111" s="8"/>
      <c r="E111" s="8"/>
      <c r="F111" s="8"/>
      <c r="G111" s="8"/>
      <c r="H111" s="8"/>
      <c r="I111" s="8"/>
      <c r="J111" s="8"/>
      <c r="K111" s="8"/>
      <c r="L111" s="8"/>
    </row>
    <row r="112" spans="1:12" ht="13.5" customHeight="1">
      <c r="A112" s="183"/>
      <c r="B112" s="599"/>
      <c r="C112" s="180"/>
      <c r="D112" s="8"/>
      <c r="E112" s="8"/>
      <c r="F112" s="8"/>
      <c r="G112" s="8"/>
      <c r="H112" s="8"/>
      <c r="I112" s="8"/>
      <c r="J112" s="8"/>
      <c r="K112" s="8"/>
      <c r="L112" s="8"/>
    </row>
    <row r="113" spans="1:12" ht="13.5" customHeight="1">
      <c r="A113" s="183"/>
      <c r="B113" s="599"/>
      <c r="C113" s="180"/>
      <c r="D113" s="8"/>
      <c r="E113" s="8"/>
      <c r="F113" s="8"/>
      <c r="G113" s="8"/>
      <c r="H113" s="8"/>
      <c r="I113" s="8"/>
      <c r="J113" s="8"/>
      <c r="K113" s="8"/>
      <c r="L113" s="8"/>
    </row>
    <row r="114" spans="1:12" ht="13.5" customHeight="1">
      <c r="A114" s="183"/>
      <c r="B114" s="599"/>
      <c r="C114" s="180"/>
      <c r="D114" s="8"/>
      <c r="E114" s="8"/>
      <c r="F114" s="8"/>
      <c r="G114" s="8"/>
      <c r="H114" s="8"/>
      <c r="I114" s="8"/>
      <c r="J114" s="8"/>
      <c r="K114" s="8"/>
      <c r="L114" s="8"/>
    </row>
    <row r="115" spans="1:12" ht="13.5" customHeight="1">
      <c r="A115" s="183"/>
      <c r="B115" s="599"/>
      <c r="C115" s="180"/>
      <c r="D115" s="8"/>
      <c r="E115" s="8"/>
      <c r="F115" s="8"/>
      <c r="G115" s="8"/>
      <c r="H115" s="8"/>
      <c r="I115" s="8"/>
      <c r="J115" s="8"/>
      <c r="K115" s="8"/>
      <c r="L115" s="8"/>
    </row>
    <row r="116" spans="1:12" ht="13.5" customHeight="1">
      <c r="A116" s="183"/>
      <c r="B116" s="599"/>
      <c r="C116" s="180"/>
      <c r="D116" s="8"/>
      <c r="E116" s="8"/>
      <c r="F116" s="8"/>
      <c r="G116" s="8"/>
      <c r="H116" s="8"/>
      <c r="I116" s="8"/>
      <c r="J116" s="8"/>
      <c r="K116" s="8"/>
      <c r="L116" s="8"/>
    </row>
    <row r="117" spans="1:12" ht="13.5" customHeight="1">
      <c r="A117" s="183"/>
      <c r="B117" s="599"/>
      <c r="C117" s="180"/>
      <c r="D117" s="8"/>
      <c r="E117" s="8"/>
      <c r="F117" s="8"/>
      <c r="G117" s="8"/>
      <c r="H117" s="8"/>
      <c r="I117" s="8"/>
      <c r="J117" s="8"/>
      <c r="K117" s="8"/>
      <c r="L117" s="8"/>
    </row>
    <row r="118" spans="1:12" ht="13.5" customHeight="1">
      <c r="A118" s="183"/>
      <c r="B118" s="599"/>
      <c r="C118" s="180"/>
      <c r="D118" s="8"/>
      <c r="E118" s="8"/>
      <c r="F118" s="8"/>
      <c r="G118" s="8"/>
      <c r="H118" s="8"/>
      <c r="I118" s="8"/>
      <c r="J118" s="8"/>
      <c r="K118" s="8"/>
      <c r="L118" s="8"/>
    </row>
    <row r="119" spans="1:12" ht="13.5" customHeight="1">
      <c r="A119" s="183"/>
      <c r="B119" s="599"/>
      <c r="C119" s="180"/>
      <c r="D119" s="8"/>
      <c r="E119" s="8"/>
      <c r="F119" s="8"/>
      <c r="G119" s="8"/>
      <c r="H119" s="8"/>
      <c r="I119" s="8"/>
      <c r="J119" s="8"/>
      <c r="K119" s="8"/>
      <c r="L119" s="8"/>
    </row>
    <row r="120" spans="1:12" ht="13.5" customHeight="1">
      <c r="A120" s="183"/>
      <c r="B120" s="599"/>
      <c r="C120" s="180"/>
      <c r="D120" s="8"/>
      <c r="E120" s="8"/>
      <c r="F120" s="8"/>
      <c r="G120" s="8"/>
      <c r="H120" s="8"/>
      <c r="I120" s="8"/>
      <c r="J120" s="8"/>
      <c r="K120" s="8"/>
      <c r="L120" s="8"/>
    </row>
    <row r="121" spans="1:12" ht="13.5" customHeight="1">
      <c r="A121" s="183"/>
      <c r="B121" s="599"/>
      <c r="C121" s="180"/>
      <c r="D121" s="8"/>
      <c r="E121" s="8"/>
      <c r="F121" s="8"/>
      <c r="G121" s="8"/>
      <c r="H121" s="8"/>
      <c r="I121" s="8"/>
      <c r="J121" s="8"/>
      <c r="K121" s="8"/>
      <c r="L121" s="8"/>
    </row>
    <row r="122" spans="1:12" ht="13.5" customHeight="1">
      <c r="A122" s="183"/>
      <c r="B122" s="599"/>
      <c r="C122" s="180"/>
      <c r="D122" s="8"/>
      <c r="E122" s="8"/>
      <c r="F122" s="8"/>
      <c r="G122" s="8"/>
      <c r="H122" s="8"/>
      <c r="I122" s="8"/>
      <c r="J122" s="8"/>
      <c r="K122" s="8"/>
      <c r="L122" s="8"/>
    </row>
    <row r="123" spans="1:12" ht="13.5" customHeight="1">
      <c r="A123" s="183"/>
      <c r="B123" s="599"/>
      <c r="C123" s="180"/>
      <c r="D123" s="8"/>
      <c r="E123" s="8"/>
      <c r="F123" s="8"/>
      <c r="G123" s="8"/>
      <c r="H123" s="8"/>
      <c r="I123" s="8"/>
      <c r="J123" s="8"/>
      <c r="K123" s="8"/>
      <c r="L123" s="8"/>
    </row>
    <row r="124" spans="1:12" ht="13.5" customHeight="1">
      <c r="A124" s="183"/>
      <c r="B124" s="599"/>
      <c r="C124" s="180"/>
      <c r="D124" s="8"/>
      <c r="E124" s="8"/>
      <c r="F124" s="8"/>
      <c r="G124" s="8"/>
      <c r="H124" s="8"/>
      <c r="I124" s="8"/>
      <c r="J124" s="8"/>
      <c r="K124" s="8"/>
      <c r="L124" s="8"/>
    </row>
    <row r="125" spans="1:12" ht="13.5" customHeight="1">
      <c r="A125" s="183"/>
      <c r="B125" s="599"/>
      <c r="C125" s="180"/>
      <c r="D125" s="8"/>
      <c r="E125" s="8"/>
      <c r="F125" s="8"/>
      <c r="G125" s="8"/>
      <c r="H125" s="8"/>
      <c r="I125" s="8"/>
      <c r="J125" s="8"/>
      <c r="K125" s="8"/>
      <c r="L125" s="8"/>
    </row>
    <row r="126" spans="1:12" ht="13.5" customHeight="1">
      <c r="A126" s="183"/>
      <c r="B126" s="599"/>
      <c r="C126" s="180"/>
      <c r="D126" s="8"/>
      <c r="E126" s="8"/>
      <c r="F126" s="8"/>
      <c r="G126" s="8"/>
      <c r="H126" s="8"/>
      <c r="I126" s="8"/>
      <c r="J126" s="8"/>
      <c r="K126" s="8"/>
      <c r="L126" s="8"/>
    </row>
    <row r="127" spans="1:12" ht="13.5" customHeight="1">
      <c r="A127" s="183"/>
      <c r="B127" s="599"/>
      <c r="C127" s="180"/>
      <c r="D127" s="8"/>
      <c r="E127" s="8"/>
      <c r="F127" s="8"/>
      <c r="G127" s="8"/>
      <c r="H127" s="8"/>
      <c r="I127" s="8"/>
      <c r="J127" s="8"/>
      <c r="K127" s="8"/>
      <c r="L127" s="8"/>
    </row>
    <row r="128" spans="1:12" ht="13.5" customHeight="1">
      <c r="A128" s="183"/>
      <c r="B128" s="599"/>
      <c r="C128" s="180"/>
      <c r="D128" s="8"/>
      <c r="E128" s="8"/>
      <c r="F128" s="8"/>
      <c r="G128" s="8"/>
      <c r="H128" s="8"/>
      <c r="I128" s="8"/>
      <c r="J128" s="8"/>
      <c r="K128" s="8"/>
      <c r="L128" s="8"/>
    </row>
    <row r="129" spans="1:12" ht="13.5" customHeight="1">
      <c r="A129" s="183"/>
      <c r="B129" s="599"/>
      <c r="C129" s="180"/>
      <c r="D129" s="8"/>
      <c r="E129" s="8"/>
      <c r="F129" s="8"/>
      <c r="G129" s="8"/>
      <c r="H129" s="8"/>
      <c r="I129" s="8"/>
      <c r="J129" s="8"/>
      <c r="K129" s="8"/>
      <c r="L129" s="8"/>
    </row>
    <row r="130" spans="1:12" ht="13.5" customHeight="1">
      <c r="A130" s="183"/>
      <c r="B130" s="599"/>
      <c r="C130" s="180"/>
      <c r="D130" s="8"/>
      <c r="E130" s="8"/>
      <c r="F130" s="8"/>
      <c r="G130" s="8"/>
      <c r="H130" s="8"/>
      <c r="I130" s="8"/>
      <c r="J130" s="8"/>
      <c r="K130" s="8"/>
      <c r="L130" s="8"/>
    </row>
    <row r="131" spans="1:12" ht="13.5" customHeight="1">
      <c r="A131" s="183"/>
      <c r="B131" s="599"/>
      <c r="C131" s="180"/>
      <c r="D131" s="8"/>
      <c r="E131" s="8"/>
      <c r="F131" s="8"/>
      <c r="G131" s="8"/>
      <c r="H131" s="8"/>
      <c r="I131" s="8"/>
      <c r="J131" s="8"/>
      <c r="K131" s="8"/>
      <c r="L131" s="8"/>
    </row>
    <row r="132" spans="1:12" ht="13.5" customHeight="1">
      <c r="A132" s="183"/>
      <c r="B132" s="599"/>
      <c r="C132" s="180"/>
      <c r="D132" s="8"/>
      <c r="E132" s="8"/>
      <c r="F132" s="8"/>
      <c r="G132" s="8"/>
      <c r="H132" s="8"/>
      <c r="I132" s="8"/>
      <c r="J132" s="8"/>
      <c r="K132" s="8"/>
      <c r="L132" s="8"/>
    </row>
    <row r="133" spans="1:12" ht="13.5" customHeight="1">
      <c r="A133" s="183"/>
      <c r="B133" s="599"/>
      <c r="C133" s="180"/>
      <c r="D133" s="8"/>
      <c r="E133" s="8"/>
      <c r="F133" s="8"/>
      <c r="G133" s="8"/>
      <c r="H133" s="8"/>
      <c r="I133" s="8"/>
      <c r="J133" s="8"/>
      <c r="K133" s="8"/>
      <c r="L133" s="8"/>
    </row>
    <row r="134" spans="1:12" ht="13.5" customHeight="1">
      <c r="A134" s="183"/>
      <c r="B134" s="599"/>
      <c r="C134" s="180"/>
      <c r="D134" s="8"/>
      <c r="E134" s="8"/>
      <c r="F134" s="8"/>
      <c r="G134" s="8"/>
      <c r="H134" s="8"/>
      <c r="I134" s="8"/>
      <c r="J134" s="8"/>
      <c r="K134" s="8"/>
      <c r="L134" s="8"/>
    </row>
    <row r="135" spans="1:12" ht="13.5" customHeight="1">
      <c r="A135" s="183"/>
      <c r="B135" s="599"/>
      <c r="C135" s="180"/>
      <c r="D135" s="8"/>
      <c r="E135" s="8"/>
      <c r="F135" s="8"/>
      <c r="G135" s="8"/>
      <c r="H135" s="8"/>
      <c r="I135" s="8"/>
      <c r="J135" s="8"/>
      <c r="K135" s="8"/>
      <c r="L135" s="8"/>
    </row>
    <row r="136" spans="1:12" ht="13.5" customHeight="1">
      <c r="A136" s="183"/>
      <c r="B136" s="599"/>
      <c r="C136" s="180"/>
      <c r="D136" s="8"/>
      <c r="E136" s="8"/>
      <c r="F136" s="8"/>
      <c r="G136" s="8"/>
      <c r="H136" s="8"/>
      <c r="I136" s="8"/>
      <c r="J136" s="8"/>
      <c r="K136" s="8"/>
      <c r="L136" s="8"/>
    </row>
    <row r="137" spans="1:12" ht="13.5" customHeight="1">
      <c r="A137" s="183"/>
      <c r="B137" s="599"/>
      <c r="C137" s="180"/>
      <c r="D137" s="8"/>
      <c r="E137" s="8"/>
      <c r="F137" s="8"/>
      <c r="G137" s="8"/>
      <c r="H137" s="8"/>
      <c r="I137" s="8"/>
      <c r="J137" s="8"/>
      <c r="K137" s="8"/>
      <c r="L137" s="8"/>
    </row>
    <row r="138" spans="1:12" ht="13.5" customHeight="1">
      <c r="A138" s="183"/>
      <c r="B138" s="599"/>
      <c r="C138" s="180"/>
      <c r="D138" s="8"/>
      <c r="E138" s="8"/>
      <c r="F138" s="8"/>
      <c r="G138" s="8"/>
      <c r="H138" s="8"/>
      <c r="I138" s="8"/>
      <c r="J138" s="8"/>
      <c r="K138" s="8"/>
      <c r="L138" s="8"/>
    </row>
    <row r="139" spans="1:12" ht="13.5" customHeight="1">
      <c r="A139" s="183"/>
      <c r="B139" s="599"/>
      <c r="C139" s="180"/>
      <c r="D139" s="8"/>
      <c r="E139" s="8"/>
      <c r="F139" s="8"/>
      <c r="G139" s="8"/>
      <c r="H139" s="8"/>
      <c r="I139" s="8"/>
      <c r="J139" s="8"/>
      <c r="K139" s="8"/>
      <c r="L139" s="8"/>
    </row>
    <row r="140" spans="1:12" ht="13.5" customHeight="1">
      <c r="A140" s="183"/>
      <c r="B140" s="599"/>
      <c r="C140" s="180"/>
      <c r="D140" s="8"/>
      <c r="E140" s="8"/>
      <c r="F140" s="8"/>
      <c r="G140" s="8"/>
      <c r="H140" s="8"/>
      <c r="I140" s="8"/>
      <c r="J140" s="8"/>
      <c r="K140" s="8"/>
      <c r="L140" s="8"/>
    </row>
    <row r="141" spans="1:12" ht="13.5" customHeight="1">
      <c r="A141" s="183"/>
      <c r="B141" s="599"/>
      <c r="C141" s="180"/>
      <c r="D141" s="8"/>
      <c r="E141" s="8"/>
      <c r="F141" s="8"/>
      <c r="G141" s="8"/>
      <c r="H141" s="8"/>
      <c r="I141" s="8"/>
      <c r="J141" s="8"/>
      <c r="K141" s="8"/>
      <c r="L141" s="8"/>
    </row>
    <row r="142" spans="1:12" ht="13.5" customHeight="1">
      <c r="A142" s="183"/>
      <c r="B142" s="599"/>
      <c r="C142" s="180"/>
      <c r="D142" s="8"/>
      <c r="E142" s="8"/>
      <c r="F142" s="8"/>
      <c r="G142" s="8"/>
      <c r="H142" s="8"/>
      <c r="I142" s="8"/>
      <c r="J142" s="8"/>
      <c r="K142" s="8"/>
      <c r="L142" s="8"/>
    </row>
    <row r="143" spans="1:12" ht="13.5" customHeight="1">
      <c r="A143" s="183"/>
      <c r="B143" s="599"/>
      <c r="C143" s="180"/>
      <c r="D143" s="8"/>
      <c r="E143" s="8"/>
      <c r="F143" s="8"/>
      <c r="G143" s="8"/>
      <c r="H143" s="8"/>
      <c r="I143" s="8"/>
      <c r="J143" s="8"/>
      <c r="K143" s="8"/>
      <c r="L143" s="8"/>
    </row>
    <row r="144" spans="1:12" ht="13.5" customHeight="1">
      <c r="A144" s="183"/>
      <c r="B144" s="599"/>
      <c r="C144" s="180"/>
      <c r="D144" s="8"/>
      <c r="E144" s="8"/>
      <c r="F144" s="8"/>
      <c r="G144" s="8"/>
      <c r="H144" s="8"/>
      <c r="I144" s="8"/>
      <c r="J144" s="8"/>
      <c r="K144" s="8"/>
      <c r="L144" s="8"/>
    </row>
    <row r="145" spans="1:12" ht="13.5" customHeight="1">
      <c r="A145" s="183"/>
      <c r="B145" s="599"/>
      <c r="C145" s="180"/>
      <c r="D145" s="8"/>
      <c r="E145" s="8"/>
      <c r="F145" s="8"/>
      <c r="G145" s="8"/>
      <c r="H145" s="8"/>
      <c r="I145" s="8"/>
      <c r="J145" s="8"/>
      <c r="K145" s="8"/>
      <c r="L145" s="8"/>
    </row>
    <row r="146" spans="1:12" ht="13.5" customHeight="1">
      <c r="A146" s="183"/>
      <c r="B146" s="599"/>
      <c r="C146" s="180"/>
      <c r="D146" s="8"/>
      <c r="E146" s="8"/>
      <c r="F146" s="8"/>
      <c r="G146" s="8"/>
      <c r="H146" s="8"/>
      <c r="I146" s="8"/>
      <c r="J146" s="8"/>
      <c r="K146" s="8"/>
      <c r="L146" s="8"/>
    </row>
    <row r="147" spans="1:12" ht="13.5" customHeight="1">
      <c r="A147" s="183"/>
      <c r="B147" s="599"/>
      <c r="C147" s="180"/>
      <c r="D147" s="8"/>
      <c r="E147" s="8"/>
      <c r="F147" s="8"/>
      <c r="G147" s="8"/>
      <c r="H147" s="8"/>
      <c r="I147" s="8"/>
      <c r="J147" s="8"/>
      <c r="K147" s="8"/>
      <c r="L147" s="8"/>
    </row>
    <row r="148" spans="1:12" ht="13.5" customHeight="1">
      <c r="A148" s="183"/>
      <c r="B148" s="599"/>
      <c r="C148" s="180"/>
      <c r="D148" s="8"/>
      <c r="E148" s="8"/>
      <c r="F148" s="8"/>
      <c r="G148" s="8"/>
      <c r="H148" s="8"/>
      <c r="I148" s="8"/>
      <c r="J148" s="8"/>
      <c r="K148" s="8"/>
      <c r="L148" s="8"/>
    </row>
    <row r="149" spans="1:12" ht="13.5" customHeight="1">
      <c r="A149" s="183"/>
      <c r="B149" s="599"/>
      <c r="C149" s="180"/>
      <c r="D149" s="8"/>
      <c r="E149" s="8"/>
      <c r="F149" s="8"/>
      <c r="G149" s="8"/>
      <c r="H149" s="8"/>
      <c r="I149" s="8"/>
      <c r="J149" s="8"/>
      <c r="K149" s="8"/>
      <c r="L149" s="8"/>
    </row>
    <row r="150" spans="1:12" ht="13.5" customHeight="1">
      <c r="A150" s="183"/>
      <c r="B150" s="599"/>
      <c r="C150" s="180"/>
      <c r="D150" s="8"/>
      <c r="E150" s="8"/>
      <c r="F150" s="8"/>
      <c r="G150" s="8"/>
      <c r="H150" s="8"/>
      <c r="I150" s="8"/>
      <c r="J150" s="8"/>
      <c r="K150" s="8"/>
      <c r="L150" s="8"/>
    </row>
    <row r="151" spans="1:12" ht="13.5" customHeight="1">
      <c r="A151" s="183"/>
      <c r="B151" s="599"/>
      <c r="C151" s="180"/>
      <c r="D151" s="8"/>
      <c r="E151" s="8"/>
      <c r="F151" s="8"/>
      <c r="G151" s="8"/>
      <c r="H151" s="8"/>
      <c r="I151" s="8"/>
      <c r="J151" s="8"/>
      <c r="K151" s="8"/>
      <c r="L151" s="8"/>
    </row>
    <row r="152" spans="1:12" ht="13.5" customHeight="1">
      <c r="A152" s="183"/>
      <c r="B152" s="599"/>
      <c r="C152" s="180"/>
      <c r="D152" s="8"/>
      <c r="E152" s="8"/>
      <c r="F152" s="8"/>
      <c r="G152" s="8"/>
      <c r="H152" s="8"/>
      <c r="I152" s="8"/>
      <c r="J152" s="8"/>
      <c r="K152" s="8"/>
      <c r="L152" s="8"/>
    </row>
    <row r="153" spans="1:12" ht="13.5" customHeight="1">
      <c r="A153" s="183"/>
      <c r="B153" s="599"/>
      <c r="C153" s="180"/>
      <c r="D153" s="8"/>
      <c r="E153" s="8"/>
      <c r="F153" s="8"/>
      <c r="G153" s="8"/>
      <c r="H153" s="8"/>
      <c r="I153" s="8"/>
      <c r="J153" s="8"/>
      <c r="K153" s="8"/>
      <c r="L153" s="8"/>
    </row>
    <row r="154" spans="1:12" ht="13.5" customHeight="1">
      <c r="A154" s="183"/>
      <c r="B154" s="599"/>
      <c r="C154" s="180"/>
      <c r="D154" s="8"/>
      <c r="E154" s="8"/>
      <c r="F154" s="8"/>
      <c r="G154" s="8"/>
      <c r="H154" s="8"/>
      <c r="I154" s="8"/>
      <c r="J154" s="8"/>
      <c r="K154" s="8"/>
      <c r="L154" s="8"/>
    </row>
    <row r="155" spans="1:12" ht="13.5" customHeight="1">
      <c r="A155" s="183"/>
      <c r="B155" s="599"/>
      <c r="C155" s="180"/>
      <c r="D155" s="8"/>
      <c r="E155" s="8"/>
      <c r="F155" s="8"/>
      <c r="G155" s="8"/>
      <c r="H155" s="8"/>
      <c r="I155" s="8"/>
      <c r="J155" s="8"/>
      <c r="K155" s="8"/>
      <c r="L155" s="8"/>
    </row>
    <row r="156" spans="1:12" ht="13.5" customHeight="1">
      <c r="A156" s="183"/>
      <c r="B156" s="599"/>
      <c r="C156" s="180"/>
      <c r="D156" s="8"/>
      <c r="E156" s="8"/>
      <c r="F156" s="8"/>
      <c r="G156" s="8"/>
      <c r="H156" s="8"/>
      <c r="I156" s="8"/>
      <c r="J156" s="8"/>
      <c r="K156" s="8"/>
      <c r="L156" s="8"/>
    </row>
    <row r="157" spans="1:12" ht="13.5" customHeight="1">
      <c r="A157" s="183"/>
      <c r="B157" s="599"/>
      <c r="C157" s="180"/>
      <c r="D157" s="8"/>
      <c r="E157" s="8"/>
      <c r="F157" s="8"/>
      <c r="G157" s="8"/>
      <c r="H157" s="8"/>
      <c r="I157" s="8"/>
      <c r="J157" s="8"/>
      <c r="K157" s="8"/>
      <c r="L157" s="8"/>
    </row>
    <row r="158" spans="1:12" ht="13.5" customHeight="1">
      <c r="A158" s="183"/>
      <c r="B158" s="599"/>
      <c r="C158" s="180"/>
      <c r="D158" s="8"/>
      <c r="E158" s="8"/>
      <c r="F158" s="8"/>
      <c r="G158" s="8"/>
      <c r="H158" s="8"/>
      <c r="I158" s="8"/>
      <c r="J158" s="8"/>
      <c r="K158" s="8"/>
      <c r="L158" s="8"/>
    </row>
    <row r="159" spans="1:12" ht="13.5" customHeight="1">
      <c r="A159" s="183"/>
      <c r="B159" s="599"/>
      <c r="C159" s="180"/>
      <c r="D159" s="8"/>
      <c r="E159" s="8"/>
      <c r="F159" s="8"/>
      <c r="G159" s="8"/>
      <c r="H159" s="8"/>
      <c r="I159" s="8"/>
      <c r="J159" s="8"/>
      <c r="K159" s="8"/>
      <c r="L159" s="8"/>
    </row>
    <row r="160" spans="1:12" ht="13.5" customHeight="1">
      <c r="A160" s="183"/>
      <c r="B160" s="599"/>
      <c r="C160" s="180"/>
      <c r="D160" s="8"/>
      <c r="E160" s="8"/>
      <c r="F160" s="8"/>
      <c r="G160" s="8"/>
      <c r="H160" s="8"/>
      <c r="I160" s="8"/>
      <c r="J160" s="8"/>
      <c r="K160" s="8"/>
      <c r="L160" s="8"/>
    </row>
    <row r="161" spans="1:12" ht="13.5" customHeight="1">
      <c r="A161" s="183"/>
      <c r="B161" s="599"/>
      <c r="C161" s="180"/>
      <c r="D161" s="8"/>
      <c r="E161" s="8"/>
      <c r="F161" s="8"/>
      <c r="G161" s="8"/>
      <c r="H161" s="8"/>
      <c r="I161" s="8"/>
      <c r="J161" s="8"/>
      <c r="K161" s="8"/>
      <c r="L161" s="8"/>
    </row>
    <row r="162" spans="1:12" ht="13.5" customHeight="1">
      <c r="A162" s="183"/>
      <c r="B162" s="599"/>
      <c r="C162" s="180"/>
      <c r="D162" s="8"/>
      <c r="E162" s="8"/>
      <c r="F162" s="8"/>
      <c r="G162" s="8"/>
      <c r="H162" s="8"/>
      <c r="I162" s="8"/>
      <c r="J162" s="8"/>
      <c r="K162" s="8"/>
      <c r="L162" s="8"/>
    </row>
    <row r="163" spans="1:12" ht="13.5" customHeight="1">
      <c r="A163" s="183"/>
      <c r="B163" s="599"/>
      <c r="C163" s="180"/>
      <c r="D163" s="8"/>
      <c r="E163" s="8"/>
      <c r="F163" s="8"/>
      <c r="G163" s="8"/>
      <c r="H163" s="8"/>
      <c r="I163" s="8"/>
      <c r="J163" s="8"/>
      <c r="K163" s="8"/>
      <c r="L163" s="8"/>
    </row>
    <row r="164" spans="1:12" ht="13.5" customHeight="1">
      <c r="A164" s="183"/>
      <c r="B164" s="599"/>
      <c r="C164" s="180"/>
      <c r="D164" s="8"/>
      <c r="E164" s="8"/>
      <c r="F164" s="8"/>
      <c r="G164" s="8"/>
      <c r="H164" s="8"/>
      <c r="I164" s="8"/>
      <c r="J164" s="8"/>
      <c r="K164" s="8"/>
      <c r="L164" s="8"/>
    </row>
    <row r="165" spans="1:12" ht="13.5" customHeight="1">
      <c r="A165" s="183"/>
      <c r="B165" s="599"/>
      <c r="C165" s="180"/>
      <c r="D165" s="8"/>
      <c r="E165" s="8"/>
      <c r="F165" s="8"/>
      <c r="G165" s="8"/>
      <c r="H165" s="8"/>
      <c r="I165" s="8"/>
      <c r="J165" s="8"/>
      <c r="K165" s="8"/>
      <c r="L165" s="8"/>
    </row>
    <row r="166" spans="1:12" ht="13.5" customHeight="1">
      <c r="A166" s="183"/>
      <c r="B166" s="599"/>
      <c r="C166" s="180"/>
      <c r="D166" s="8"/>
      <c r="E166" s="8"/>
      <c r="F166" s="8"/>
      <c r="G166" s="8"/>
      <c r="H166" s="8"/>
      <c r="I166" s="8"/>
      <c r="J166" s="8"/>
      <c r="K166" s="8"/>
      <c r="L166" s="8"/>
    </row>
    <row r="167" spans="1:12" ht="13.5" customHeight="1">
      <c r="A167" s="183"/>
      <c r="B167" s="599"/>
      <c r="C167" s="180"/>
      <c r="D167" s="8"/>
      <c r="E167" s="8"/>
      <c r="F167" s="8"/>
      <c r="G167" s="8"/>
      <c r="H167" s="8"/>
      <c r="I167" s="8"/>
      <c r="J167" s="8"/>
      <c r="K167" s="8"/>
      <c r="L167" s="8"/>
    </row>
    <row r="168" spans="1:12" ht="13.5" customHeight="1">
      <c r="A168" s="183"/>
      <c r="B168" s="599"/>
      <c r="C168" s="180"/>
      <c r="D168" s="8"/>
      <c r="E168" s="8"/>
      <c r="F168" s="8"/>
      <c r="G168" s="8"/>
      <c r="H168" s="8"/>
      <c r="I168" s="8"/>
      <c r="J168" s="8"/>
      <c r="K168" s="8"/>
      <c r="L168" s="8"/>
    </row>
    <row r="169" spans="1:12" ht="13.5" customHeight="1">
      <c r="A169" s="183"/>
      <c r="B169" s="599"/>
      <c r="C169" s="180"/>
      <c r="D169" s="8"/>
      <c r="E169" s="8"/>
      <c r="F169" s="8"/>
      <c r="G169" s="8"/>
      <c r="H169" s="8"/>
      <c r="I169" s="8"/>
      <c r="J169" s="8"/>
      <c r="K169" s="8"/>
      <c r="L169" s="8"/>
    </row>
    <row r="170" spans="1:12" ht="13.5" customHeight="1">
      <c r="A170" s="183"/>
      <c r="B170" s="599"/>
      <c r="C170" s="180"/>
      <c r="D170" s="8"/>
      <c r="E170" s="8"/>
      <c r="F170" s="8"/>
      <c r="G170" s="8"/>
      <c r="H170" s="8"/>
      <c r="I170" s="8"/>
      <c r="J170" s="8"/>
      <c r="K170" s="8"/>
      <c r="L170" s="8"/>
    </row>
    <row r="171" spans="1:12" ht="13.5" customHeight="1">
      <c r="A171" s="183"/>
      <c r="B171" s="599"/>
      <c r="C171" s="180"/>
      <c r="D171" s="8"/>
      <c r="E171" s="8"/>
      <c r="F171" s="8"/>
      <c r="G171" s="8"/>
      <c r="H171" s="8"/>
      <c r="I171" s="8"/>
      <c r="J171" s="8"/>
      <c r="K171" s="8"/>
      <c r="L171" s="8"/>
    </row>
    <row r="172" spans="1:12" ht="13.5" customHeight="1">
      <c r="A172" s="183"/>
      <c r="B172" s="599"/>
      <c r="C172" s="180"/>
      <c r="D172" s="8"/>
      <c r="E172" s="8"/>
      <c r="F172" s="8"/>
      <c r="G172" s="8"/>
      <c r="H172" s="8"/>
      <c r="I172" s="8"/>
      <c r="J172" s="8"/>
      <c r="K172" s="8"/>
      <c r="L172" s="8"/>
    </row>
    <row r="173" spans="1:12" ht="13.5" customHeight="1">
      <c r="A173" s="183"/>
      <c r="B173" s="599"/>
      <c r="C173" s="180"/>
      <c r="D173" s="8"/>
      <c r="E173" s="8"/>
      <c r="F173" s="8"/>
      <c r="G173" s="8"/>
      <c r="H173" s="8"/>
      <c r="I173" s="8"/>
      <c r="J173" s="8"/>
      <c r="K173" s="8"/>
      <c r="L173" s="8"/>
    </row>
    <row r="174" spans="1:12" ht="13.5" customHeight="1">
      <c r="A174" s="183"/>
      <c r="B174" s="599"/>
      <c r="C174" s="180"/>
      <c r="D174" s="8"/>
      <c r="E174" s="8"/>
      <c r="F174" s="8"/>
      <c r="G174" s="8"/>
      <c r="H174" s="8"/>
      <c r="I174" s="8"/>
      <c r="J174" s="8"/>
      <c r="K174" s="8"/>
      <c r="L174" s="8"/>
    </row>
    <row r="175" spans="1:12" ht="13.5" customHeight="1">
      <c r="A175" s="183"/>
      <c r="B175" s="599"/>
      <c r="C175" s="180"/>
      <c r="D175" s="8"/>
      <c r="E175" s="8"/>
      <c r="F175" s="8"/>
      <c r="G175" s="8"/>
      <c r="H175" s="8"/>
      <c r="I175" s="8"/>
      <c r="J175" s="8"/>
      <c r="K175" s="8"/>
      <c r="L175" s="8"/>
    </row>
    <row r="176" spans="1:12" ht="13.5" customHeight="1">
      <c r="A176" s="183"/>
      <c r="B176" s="599"/>
      <c r="C176" s="180"/>
      <c r="D176" s="8"/>
      <c r="E176" s="8"/>
      <c r="F176" s="8"/>
      <c r="G176" s="8"/>
      <c r="H176" s="8"/>
      <c r="I176" s="8"/>
      <c r="J176" s="8"/>
      <c r="K176" s="8"/>
      <c r="L176" s="8"/>
    </row>
    <row r="177" spans="1:12" ht="13.5" customHeight="1">
      <c r="A177" s="183"/>
      <c r="B177" s="599"/>
      <c r="C177" s="180"/>
      <c r="D177" s="8"/>
      <c r="E177" s="8"/>
      <c r="F177" s="8"/>
      <c r="G177" s="8"/>
      <c r="H177" s="8"/>
      <c r="I177" s="8"/>
      <c r="J177" s="8"/>
      <c r="K177" s="8"/>
      <c r="L177" s="8"/>
    </row>
    <row r="178" spans="1:12" ht="13.5" customHeight="1">
      <c r="A178" s="183"/>
      <c r="B178" s="599"/>
      <c r="C178" s="180"/>
      <c r="D178" s="8"/>
      <c r="E178" s="8"/>
      <c r="F178" s="8"/>
      <c r="G178" s="8"/>
      <c r="H178" s="8"/>
      <c r="I178" s="8"/>
      <c r="J178" s="8"/>
      <c r="K178" s="8"/>
      <c r="L178" s="8"/>
    </row>
    <row r="179" spans="1:12" ht="13.5" customHeight="1">
      <c r="A179" s="183"/>
      <c r="B179" s="599"/>
      <c r="C179" s="180"/>
      <c r="D179" s="8"/>
      <c r="E179" s="8"/>
      <c r="F179" s="8"/>
      <c r="G179" s="8"/>
      <c r="H179" s="8"/>
      <c r="I179" s="8"/>
      <c r="J179" s="8"/>
      <c r="K179" s="8"/>
      <c r="L179" s="8"/>
    </row>
    <row r="180" spans="1:12" ht="13.5" customHeight="1">
      <c r="A180" s="183"/>
      <c r="B180" s="599"/>
      <c r="C180" s="180"/>
      <c r="D180" s="8"/>
      <c r="E180" s="8"/>
      <c r="F180" s="8"/>
      <c r="G180" s="8"/>
      <c r="H180" s="8"/>
      <c r="I180" s="8"/>
      <c r="J180" s="8"/>
      <c r="K180" s="8"/>
      <c r="L180" s="8"/>
    </row>
    <row r="181" spans="1:12" ht="13.5" customHeight="1">
      <c r="A181" s="183"/>
      <c r="B181" s="599"/>
      <c r="C181" s="180"/>
      <c r="D181" s="8"/>
      <c r="E181" s="8"/>
      <c r="F181" s="8"/>
      <c r="G181" s="8"/>
      <c r="H181" s="8"/>
      <c r="I181" s="8"/>
      <c r="J181" s="8"/>
      <c r="K181" s="8"/>
      <c r="L181" s="8"/>
    </row>
    <row r="182" spans="1:12" ht="13.5" customHeight="1">
      <c r="A182" s="183"/>
      <c r="B182" s="599"/>
      <c r="C182" s="180"/>
      <c r="D182" s="8"/>
      <c r="E182" s="8"/>
      <c r="F182" s="8"/>
      <c r="G182" s="8"/>
      <c r="H182" s="8"/>
      <c r="I182" s="8"/>
      <c r="J182" s="8"/>
      <c r="K182" s="8"/>
      <c r="L182" s="8"/>
    </row>
    <row r="183" spans="1:12" ht="13.5" customHeight="1">
      <c r="A183" s="183"/>
      <c r="B183" s="599"/>
      <c r="C183" s="180"/>
      <c r="D183" s="8"/>
      <c r="E183" s="8"/>
      <c r="F183" s="8"/>
      <c r="G183" s="8"/>
      <c r="H183" s="8"/>
      <c r="I183" s="8"/>
      <c r="J183" s="8"/>
      <c r="K183" s="8"/>
      <c r="L183" s="8"/>
    </row>
    <row r="184" spans="1:12" ht="13.5" customHeight="1">
      <c r="A184" s="183"/>
      <c r="B184" s="599"/>
      <c r="C184" s="180"/>
      <c r="D184" s="8"/>
      <c r="E184" s="8"/>
      <c r="F184" s="8"/>
      <c r="G184" s="8"/>
      <c r="H184" s="8"/>
      <c r="I184" s="8"/>
      <c r="J184" s="8"/>
      <c r="K184" s="8"/>
      <c r="L184" s="8"/>
    </row>
    <row r="185" spans="1:12" ht="13.5" customHeight="1">
      <c r="A185" s="183"/>
      <c r="B185" s="599"/>
      <c r="C185" s="180"/>
      <c r="D185" s="8"/>
      <c r="E185" s="8"/>
      <c r="F185" s="8"/>
      <c r="G185" s="8"/>
      <c r="H185" s="8"/>
      <c r="I185" s="8"/>
      <c r="J185" s="8"/>
      <c r="K185" s="8"/>
      <c r="L185" s="8"/>
    </row>
    <row r="186" spans="1:12" ht="13.5" customHeight="1">
      <c r="A186" s="183"/>
      <c r="B186" s="599"/>
      <c r="C186" s="180"/>
      <c r="D186" s="8"/>
      <c r="E186" s="8"/>
      <c r="F186" s="8"/>
      <c r="G186" s="8"/>
      <c r="H186" s="8"/>
      <c r="I186" s="8"/>
      <c r="J186" s="8"/>
      <c r="K186" s="8"/>
      <c r="L186" s="8"/>
    </row>
    <row r="187" spans="1:12" ht="13.5" customHeight="1">
      <c r="A187" s="183"/>
      <c r="B187" s="599"/>
      <c r="C187" s="180"/>
      <c r="D187" s="8"/>
      <c r="E187" s="8"/>
      <c r="F187" s="8"/>
      <c r="G187" s="8"/>
      <c r="H187" s="8"/>
      <c r="I187" s="8"/>
      <c r="J187" s="8"/>
      <c r="K187" s="8"/>
      <c r="L187" s="8"/>
    </row>
    <row r="188" spans="1:12" ht="13.5" customHeight="1">
      <c r="A188" s="183"/>
      <c r="B188" s="599"/>
      <c r="C188" s="180"/>
      <c r="D188" s="8"/>
      <c r="E188" s="8"/>
      <c r="F188" s="8"/>
      <c r="G188" s="8"/>
      <c r="H188" s="8"/>
      <c r="I188" s="8"/>
      <c r="J188" s="8"/>
      <c r="K188" s="8"/>
      <c r="L188" s="8"/>
    </row>
    <row r="189" spans="1:12" ht="13.5" customHeight="1">
      <c r="A189" s="183"/>
      <c r="B189" s="599"/>
      <c r="C189" s="180"/>
      <c r="D189" s="8"/>
      <c r="E189" s="8"/>
      <c r="F189" s="8"/>
      <c r="G189" s="8"/>
      <c r="H189" s="8"/>
      <c r="I189" s="8"/>
      <c r="J189" s="8"/>
      <c r="K189" s="8"/>
      <c r="L189" s="8"/>
    </row>
    <row r="190" spans="1:12" ht="13.5" customHeight="1">
      <c r="A190" s="183"/>
      <c r="B190" s="599"/>
      <c r="C190" s="180"/>
      <c r="D190" s="8"/>
      <c r="E190" s="8"/>
      <c r="F190" s="8"/>
      <c r="G190" s="8"/>
      <c r="H190" s="8"/>
      <c r="I190" s="8"/>
      <c r="J190" s="8"/>
      <c r="K190" s="8"/>
      <c r="L190" s="8"/>
    </row>
    <row r="191" spans="1:12" ht="13.5" customHeight="1">
      <c r="A191" s="183"/>
      <c r="B191" s="599"/>
      <c r="C191" s="180"/>
      <c r="D191" s="8"/>
      <c r="E191" s="8"/>
      <c r="F191" s="8"/>
      <c r="G191" s="8"/>
      <c r="H191" s="8"/>
      <c r="I191" s="8"/>
      <c r="J191" s="8"/>
      <c r="K191" s="8"/>
      <c r="L191" s="8"/>
    </row>
    <row r="192" spans="1:12" ht="13.5" customHeight="1">
      <c r="A192" s="183"/>
      <c r="B192" s="599"/>
      <c r="C192" s="180"/>
      <c r="D192" s="8"/>
      <c r="E192" s="8"/>
      <c r="F192" s="8"/>
      <c r="G192" s="8"/>
      <c r="H192" s="8"/>
      <c r="I192" s="8"/>
      <c r="J192" s="8"/>
      <c r="K192" s="8"/>
      <c r="L192" s="8"/>
    </row>
    <row r="193" spans="1:12" ht="13.5" customHeight="1">
      <c r="A193" s="183"/>
      <c r="B193" s="599"/>
      <c r="C193" s="180"/>
      <c r="D193" s="8"/>
      <c r="E193" s="8"/>
      <c r="F193" s="8"/>
      <c r="G193" s="8"/>
      <c r="H193" s="8"/>
      <c r="I193" s="8"/>
      <c r="J193" s="8"/>
      <c r="K193" s="8"/>
      <c r="L193" s="8"/>
    </row>
    <row r="194" spans="1:12" ht="13.5" customHeight="1">
      <c r="A194" s="183"/>
      <c r="B194" s="599"/>
      <c r="C194" s="180"/>
      <c r="D194" s="8"/>
      <c r="E194" s="8"/>
      <c r="F194" s="8"/>
      <c r="G194" s="8"/>
      <c r="H194" s="8"/>
      <c r="I194" s="8"/>
      <c r="J194" s="8"/>
      <c r="K194" s="8"/>
      <c r="L194" s="8"/>
    </row>
    <row r="195" spans="1:12" ht="13.5" customHeight="1">
      <c r="A195" s="183"/>
      <c r="B195" s="599"/>
      <c r="C195" s="180"/>
      <c r="D195" s="8"/>
      <c r="E195" s="8"/>
      <c r="F195" s="8"/>
      <c r="G195" s="8"/>
      <c r="H195" s="8"/>
      <c r="I195" s="8"/>
      <c r="J195" s="8"/>
      <c r="K195" s="8"/>
      <c r="L195" s="8"/>
    </row>
    <row r="196" spans="1:12" ht="13.5" customHeight="1">
      <c r="A196" s="183"/>
      <c r="B196" s="599"/>
      <c r="C196" s="180"/>
      <c r="D196" s="8"/>
      <c r="E196" s="8"/>
      <c r="F196" s="8"/>
      <c r="G196" s="8"/>
      <c r="H196" s="8"/>
      <c r="I196" s="8"/>
      <c r="J196" s="8"/>
      <c r="K196" s="8"/>
      <c r="L196" s="8"/>
    </row>
    <row r="197" spans="1:12" ht="13.5" customHeight="1">
      <c r="A197" s="183"/>
      <c r="B197" s="599"/>
      <c r="C197" s="180"/>
      <c r="D197" s="8"/>
      <c r="E197" s="8"/>
      <c r="F197" s="8"/>
      <c r="G197" s="8"/>
      <c r="H197" s="8"/>
      <c r="I197" s="8"/>
      <c r="J197" s="8"/>
      <c r="K197" s="8"/>
      <c r="L197" s="8"/>
    </row>
    <row r="198" spans="1:12" ht="13.5" customHeight="1">
      <c r="A198" s="183"/>
      <c r="B198" s="599"/>
      <c r="C198" s="180"/>
      <c r="D198" s="8"/>
      <c r="E198" s="8"/>
      <c r="F198" s="8"/>
      <c r="G198" s="8"/>
      <c r="H198" s="8"/>
      <c r="I198" s="8"/>
      <c r="J198" s="8"/>
      <c r="K198" s="8"/>
      <c r="L198" s="8"/>
    </row>
    <row r="199" spans="1:12" ht="13.5" customHeight="1">
      <c r="A199" s="183"/>
      <c r="B199" s="599"/>
      <c r="C199" s="180"/>
      <c r="D199" s="8"/>
      <c r="E199" s="8"/>
      <c r="F199" s="8"/>
      <c r="G199" s="8"/>
      <c r="H199" s="8"/>
      <c r="I199" s="8"/>
      <c r="J199" s="8"/>
      <c r="K199" s="8"/>
      <c r="L199" s="8"/>
    </row>
    <row r="200" spans="1:12" ht="13.5" customHeight="1">
      <c r="A200" s="183"/>
      <c r="B200" s="599"/>
      <c r="C200" s="180"/>
      <c r="D200" s="8"/>
      <c r="E200" s="8"/>
      <c r="F200" s="8"/>
      <c r="G200" s="8"/>
      <c r="H200" s="8"/>
      <c r="I200" s="8"/>
      <c r="J200" s="8"/>
      <c r="K200" s="8"/>
      <c r="L200" s="8"/>
    </row>
    <row r="201" spans="1:12" ht="13.5" customHeight="1">
      <c r="A201" s="183"/>
      <c r="B201" s="599"/>
      <c r="C201" s="180"/>
      <c r="D201" s="8"/>
      <c r="E201" s="8"/>
      <c r="F201" s="8"/>
      <c r="G201" s="8"/>
      <c r="H201" s="8"/>
      <c r="I201" s="8"/>
      <c r="J201" s="8"/>
      <c r="K201" s="8"/>
      <c r="L201" s="8"/>
    </row>
    <row r="202" spans="1:12" ht="13.5" customHeight="1">
      <c r="A202" s="183"/>
      <c r="B202" s="599"/>
      <c r="C202" s="180"/>
      <c r="D202" s="8"/>
      <c r="E202" s="8"/>
      <c r="F202" s="8"/>
      <c r="G202" s="8"/>
      <c r="H202" s="8"/>
      <c r="I202" s="8"/>
      <c r="J202" s="8"/>
      <c r="K202" s="8"/>
      <c r="L202" s="8"/>
    </row>
    <row r="203" spans="1:12" ht="13.5" customHeight="1">
      <c r="A203" s="183"/>
      <c r="B203" s="599"/>
      <c r="C203" s="180"/>
      <c r="D203" s="8"/>
      <c r="E203" s="8"/>
      <c r="F203" s="8"/>
      <c r="G203" s="8"/>
      <c r="H203" s="8"/>
      <c r="I203" s="8"/>
      <c r="J203" s="8"/>
      <c r="K203" s="8"/>
      <c r="L203" s="8"/>
    </row>
    <row r="204" spans="1:12" ht="13.5" customHeight="1">
      <c r="A204" s="183"/>
      <c r="B204" s="599"/>
      <c r="C204" s="180"/>
      <c r="D204" s="8"/>
      <c r="E204" s="8"/>
      <c r="F204" s="8"/>
      <c r="G204" s="8"/>
      <c r="H204" s="8"/>
      <c r="I204" s="8"/>
      <c r="J204" s="8"/>
      <c r="K204" s="8"/>
      <c r="L204" s="8"/>
    </row>
    <row r="205" spans="1:12" ht="13.5" customHeight="1">
      <c r="A205" s="183"/>
      <c r="B205" s="599"/>
      <c r="C205" s="180"/>
      <c r="D205" s="8"/>
      <c r="E205" s="8"/>
      <c r="F205" s="8"/>
      <c r="G205" s="8"/>
      <c r="H205" s="8"/>
      <c r="I205" s="8"/>
      <c r="J205" s="8"/>
      <c r="K205" s="8"/>
      <c r="L205" s="8"/>
    </row>
    <row r="206" spans="1:12" ht="13.5" customHeight="1">
      <c r="A206" s="183"/>
      <c r="B206" s="599"/>
      <c r="C206" s="180"/>
      <c r="D206" s="8"/>
      <c r="E206" s="8"/>
      <c r="F206" s="8"/>
      <c r="G206" s="8"/>
      <c r="H206" s="8"/>
      <c r="I206" s="8"/>
      <c r="J206" s="8"/>
      <c r="K206" s="8"/>
      <c r="L206" s="8"/>
    </row>
    <row r="207" spans="1:12" ht="13.5" customHeight="1">
      <c r="A207" s="183"/>
      <c r="B207" s="599"/>
      <c r="C207" s="180"/>
      <c r="D207" s="8"/>
      <c r="E207" s="8"/>
      <c r="F207" s="8"/>
      <c r="G207" s="8"/>
      <c r="H207" s="8"/>
      <c r="I207" s="8"/>
      <c r="J207" s="8"/>
      <c r="K207" s="8"/>
      <c r="L207" s="8"/>
    </row>
    <row r="208" spans="1:12" ht="13.5" customHeight="1">
      <c r="A208" s="183"/>
      <c r="B208" s="599"/>
      <c r="C208" s="180"/>
      <c r="D208" s="8"/>
      <c r="E208" s="8"/>
      <c r="F208" s="8"/>
      <c r="G208" s="8"/>
      <c r="H208" s="8"/>
      <c r="I208" s="8"/>
      <c r="J208" s="8"/>
      <c r="K208" s="8"/>
      <c r="L208" s="8"/>
    </row>
    <row r="209" spans="1:12" ht="13.5" customHeight="1">
      <c r="A209" s="183"/>
      <c r="B209" s="599"/>
      <c r="C209" s="180"/>
      <c r="D209" s="8"/>
      <c r="E209" s="8"/>
      <c r="F209" s="8"/>
      <c r="G209" s="8"/>
      <c r="H209" s="8"/>
      <c r="I209" s="8"/>
      <c r="J209" s="8"/>
      <c r="K209" s="8"/>
      <c r="L209" s="8"/>
    </row>
    <row r="210" spans="1:12" ht="13.5" customHeight="1">
      <c r="A210" s="183"/>
      <c r="B210" s="599"/>
      <c r="C210" s="180"/>
      <c r="D210" s="8"/>
      <c r="E210" s="8"/>
      <c r="F210" s="8"/>
      <c r="G210" s="8"/>
      <c r="H210" s="8"/>
      <c r="I210" s="8"/>
      <c r="J210" s="8"/>
      <c r="K210" s="8"/>
      <c r="L210" s="8"/>
    </row>
    <row r="211" spans="1:12" ht="13.5" customHeight="1">
      <c r="A211" s="183"/>
      <c r="B211" s="599"/>
      <c r="C211" s="180"/>
      <c r="D211" s="8"/>
      <c r="E211" s="8"/>
      <c r="F211" s="8"/>
      <c r="G211" s="8"/>
      <c r="H211" s="8"/>
      <c r="I211" s="8"/>
      <c r="J211" s="8"/>
      <c r="K211" s="8"/>
      <c r="L211" s="8"/>
    </row>
    <row r="212" spans="1:12" ht="13.5" customHeight="1">
      <c r="A212" s="183"/>
      <c r="B212" s="599"/>
      <c r="C212" s="180"/>
      <c r="D212" s="8"/>
      <c r="E212" s="8"/>
      <c r="F212" s="8"/>
      <c r="G212" s="8"/>
      <c r="H212" s="8"/>
      <c r="I212" s="8"/>
      <c r="J212" s="8"/>
      <c r="K212" s="8"/>
      <c r="L212" s="8"/>
    </row>
    <row r="213" spans="1:12" ht="13.5" customHeight="1">
      <c r="A213" s="183"/>
      <c r="B213" s="599"/>
      <c r="C213" s="180"/>
      <c r="D213" s="8"/>
      <c r="E213" s="8"/>
      <c r="F213" s="8"/>
      <c r="G213" s="8"/>
      <c r="H213" s="8"/>
      <c r="I213" s="8"/>
      <c r="J213" s="8"/>
      <c r="K213" s="8"/>
      <c r="L213" s="8"/>
    </row>
    <row r="214" spans="1:12" ht="13.5" customHeight="1">
      <c r="A214" s="183"/>
      <c r="B214" s="599"/>
      <c r="C214" s="180"/>
      <c r="D214" s="8"/>
      <c r="E214" s="8"/>
      <c r="F214" s="8"/>
      <c r="G214" s="8"/>
      <c r="H214" s="8"/>
      <c r="I214" s="8"/>
      <c r="J214" s="8"/>
      <c r="K214" s="8"/>
      <c r="L214" s="8"/>
    </row>
    <row r="215" spans="1:12" ht="13.5" customHeight="1">
      <c r="A215" s="183"/>
      <c r="B215" s="599"/>
      <c r="C215" s="180"/>
      <c r="D215" s="8"/>
      <c r="E215" s="8"/>
      <c r="F215" s="8"/>
      <c r="G215" s="8"/>
      <c r="H215" s="8"/>
      <c r="I215" s="8"/>
      <c r="J215" s="8"/>
      <c r="K215" s="8"/>
      <c r="L215" s="8"/>
    </row>
    <row r="216" spans="1:12" ht="13.5" customHeight="1">
      <c r="A216" s="183"/>
      <c r="B216" s="599"/>
      <c r="C216" s="180"/>
      <c r="D216" s="8"/>
      <c r="E216" s="8"/>
      <c r="F216" s="8"/>
      <c r="G216" s="8"/>
      <c r="H216" s="8"/>
      <c r="I216" s="8"/>
      <c r="J216" s="8"/>
      <c r="K216" s="8"/>
      <c r="L216" s="8"/>
    </row>
    <row r="217" spans="1:12" ht="13.5" customHeight="1">
      <c r="A217" s="183"/>
      <c r="B217" s="599"/>
      <c r="C217" s="180"/>
      <c r="D217" s="8"/>
      <c r="E217" s="8"/>
      <c r="F217" s="8"/>
      <c r="G217" s="8"/>
      <c r="H217" s="8"/>
      <c r="I217" s="8"/>
      <c r="J217" s="8"/>
      <c r="K217" s="8"/>
      <c r="L217" s="8"/>
    </row>
    <row r="218" spans="1:12" ht="13.5" customHeight="1">
      <c r="A218" s="183"/>
      <c r="B218" s="599"/>
      <c r="C218" s="180"/>
      <c r="D218" s="8"/>
      <c r="E218" s="8"/>
      <c r="F218" s="8"/>
      <c r="G218" s="8"/>
      <c r="H218" s="8"/>
      <c r="I218" s="8"/>
      <c r="J218" s="8"/>
      <c r="K218" s="8"/>
      <c r="L218" s="8"/>
    </row>
    <row r="219" spans="1:12" ht="13.5" customHeight="1">
      <c r="A219" s="183"/>
      <c r="B219" s="599"/>
      <c r="C219" s="180"/>
      <c r="D219" s="8"/>
      <c r="E219" s="8"/>
      <c r="F219" s="8"/>
      <c r="G219" s="8"/>
      <c r="H219" s="8"/>
      <c r="I219" s="8"/>
      <c r="J219" s="8"/>
      <c r="K219" s="8"/>
      <c r="L219" s="8"/>
    </row>
    <row r="220" spans="1:12" ht="13.5" customHeight="1">
      <c r="A220" s="183"/>
      <c r="B220" s="599"/>
      <c r="C220" s="180"/>
      <c r="D220" s="8"/>
      <c r="E220" s="8"/>
      <c r="F220" s="8"/>
      <c r="G220" s="8"/>
      <c r="H220" s="8"/>
      <c r="I220" s="8"/>
      <c r="J220" s="8"/>
      <c r="K220" s="8"/>
      <c r="L220" s="8"/>
    </row>
    <row r="221" spans="1:12" ht="13.5" customHeight="1">
      <c r="A221" s="183"/>
      <c r="B221" s="599"/>
      <c r="C221" s="180"/>
      <c r="D221" s="8"/>
      <c r="E221" s="8"/>
      <c r="F221" s="8"/>
      <c r="G221" s="8"/>
      <c r="H221" s="8"/>
      <c r="I221" s="8"/>
      <c r="J221" s="8"/>
      <c r="K221" s="8"/>
      <c r="L221" s="8"/>
    </row>
    <row r="222" spans="1:12" ht="13.5" customHeight="1">
      <c r="A222" s="183"/>
      <c r="B222" s="599"/>
      <c r="C222" s="180"/>
      <c r="D222" s="8"/>
      <c r="E222" s="8"/>
      <c r="F222" s="8"/>
      <c r="G222" s="8"/>
      <c r="H222" s="8"/>
      <c r="I222" s="8"/>
      <c r="J222" s="8"/>
      <c r="K222" s="8"/>
      <c r="L222" s="8"/>
    </row>
    <row r="223" spans="1:12" ht="13.5" customHeight="1">
      <c r="A223" s="183"/>
      <c r="B223" s="599"/>
      <c r="C223" s="180"/>
      <c r="D223" s="8"/>
      <c r="E223" s="8"/>
      <c r="F223" s="8"/>
      <c r="G223" s="8"/>
      <c r="H223" s="8"/>
      <c r="I223" s="8"/>
      <c r="J223" s="8"/>
      <c r="K223" s="8"/>
      <c r="L223" s="8"/>
    </row>
    <row r="224" spans="1:12" ht="13.5" customHeight="1">
      <c r="A224" s="183"/>
      <c r="B224" s="599"/>
      <c r="C224" s="180"/>
      <c r="D224" s="8"/>
      <c r="E224" s="8"/>
      <c r="F224" s="8"/>
      <c r="G224" s="8"/>
      <c r="H224" s="8"/>
      <c r="I224" s="8"/>
      <c r="J224" s="8"/>
      <c r="K224" s="8"/>
      <c r="L224" s="8"/>
    </row>
    <row r="225" spans="1:12" ht="13.5" customHeight="1">
      <c r="A225" s="183"/>
      <c r="B225" s="599"/>
      <c r="C225" s="180"/>
      <c r="D225" s="8"/>
      <c r="E225" s="8"/>
      <c r="F225" s="8"/>
      <c r="G225" s="8"/>
      <c r="H225" s="8"/>
      <c r="I225" s="8"/>
      <c r="J225" s="8"/>
      <c r="K225" s="8"/>
      <c r="L225" s="8"/>
    </row>
    <row r="226" spans="1:12" ht="13.5" customHeight="1">
      <c r="A226" s="183"/>
      <c r="B226" s="599"/>
      <c r="C226" s="180"/>
      <c r="D226" s="8"/>
      <c r="E226" s="8"/>
      <c r="F226" s="8"/>
      <c r="G226" s="8"/>
      <c r="H226" s="8"/>
      <c r="I226" s="8"/>
      <c r="J226" s="8"/>
      <c r="K226" s="8"/>
      <c r="L226" s="8"/>
    </row>
    <row r="227" spans="1:12" ht="13.5" customHeight="1">
      <c r="A227" s="183"/>
      <c r="B227" s="599"/>
      <c r="C227" s="180"/>
      <c r="D227" s="8"/>
      <c r="E227" s="8"/>
      <c r="F227" s="8"/>
      <c r="G227" s="8"/>
      <c r="H227" s="8"/>
      <c r="I227" s="8"/>
      <c r="J227" s="8"/>
      <c r="K227" s="8"/>
      <c r="L227" s="8"/>
    </row>
    <row r="228" spans="1:12" ht="13.5" customHeight="1">
      <c r="A228" s="183"/>
      <c r="B228" s="599"/>
      <c r="C228" s="180"/>
      <c r="D228" s="8"/>
      <c r="E228" s="8"/>
      <c r="F228" s="8"/>
      <c r="G228" s="8"/>
      <c r="H228" s="8"/>
      <c r="I228" s="8"/>
      <c r="J228" s="8"/>
      <c r="K228" s="8"/>
      <c r="L228" s="8"/>
    </row>
    <row r="229" spans="1:12" ht="13.5" customHeight="1">
      <c r="A229" s="183"/>
      <c r="B229" s="599"/>
      <c r="C229" s="180"/>
      <c r="D229" s="8"/>
      <c r="E229" s="8"/>
      <c r="F229" s="8"/>
      <c r="G229" s="8"/>
      <c r="H229" s="8"/>
      <c r="I229" s="8"/>
      <c r="J229" s="8"/>
      <c r="K229" s="8"/>
      <c r="L229" s="8"/>
    </row>
    <row r="230" spans="1:12" ht="13.5" customHeight="1">
      <c r="A230" s="183"/>
      <c r="B230" s="599"/>
      <c r="C230" s="180"/>
      <c r="D230" s="8"/>
      <c r="E230" s="8"/>
      <c r="F230" s="8"/>
      <c r="G230" s="8"/>
      <c r="H230" s="8"/>
      <c r="I230" s="8"/>
      <c r="J230" s="8"/>
      <c r="K230" s="8"/>
      <c r="L230" s="8"/>
    </row>
    <row r="231" spans="1:12" ht="13.5" customHeight="1">
      <c r="A231" s="183"/>
      <c r="B231" s="599"/>
      <c r="C231" s="180"/>
      <c r="D231" s="8"/>
      <c r="E231" s="8"/>
      <c r="F231" s="8"/>
      <c r="G231" s="8"/>
      <c r="H231" s="8"/>
      <c r="I231" s="8"/>
      <c r="J231" s="8"/>
      <c r="K231" s="8"/>
      <c r="L231" s="8"/>
    </row>
    <row r="232" spans="1:12" ht="13.5" customHeight="1">
      <c r="A232" s="183"/>
      <c r="B232" s="599"/>
      <c r="C232" s="180"/>
      <c r="D232" s="8"/>
      <c r="E232" s="8"/>
      <c r="F232" s="8"/>
      <c r="G232" s="8"/>
      <c r="H232" s="8"/>
      <c r="I232" s="8"/>
      <c r="J232" s="8"/>
      <c r="K232" s="8"/>
      <c r="L232" s="8"/>
    </row>
    <row r="233" spans="1:12" ht="13.5" customHeight="1">
      <c r="A233" s="183"/>
      <c r="B233" s="599"/>
      <c r="C233" s="180"/>
      <c r="D233" s="8"/>
      <c r="E233" s="8"/>
      <c r="F233" s="8"/>
      <c r="G233" s="8"/>
      <c r="H233" s="8"/>
      <c r="I233" s="8"/>
      <c r="J233" s="8"/>
      <c r="K233" s="8"/>
      <c r="L233" s="8"/>
    </row>
    <row r="234" spans="1:12" ht="13.5" customHeight="1">
      <c r="A234" s="183"/>
      <c r="B234" s="599"/>
      <c r="C234" s="180"/>
      <c r="D234" s="8"/>
      <c r="E234" s="8"/>
      <c r="F234" s="8"/>
      <c r="G234" s="8"/>
      <c r="H234" s="8"/>
      <c r="I234" s="8"/>
      <c r="J234" s="8"/>
      <c r="K234" s="8"/>
      <c r="L234" s="8"/>
    </row>
    <row r="235" spans="1:12" ht="13.5" customHeight="1">
      <c r="A235" s="183"/>
      <c r="B235" s="599"/>
      <c r="C235" s="180"/>
      <c r="D235" s="8"/>
      <c r="E235" s="8"/>
      <c r="F235" s="8"/>
      <c r="G235" s="8"/>
      <c r="H235" s="8"/>
      <c r="I235" s="8"/>
      <c r="J235" s="8"/>
      <c r="K235" s="8"/>
      <c r="L235" s="8"/>
    </row>
    <row r="236" spans="1:12" ht="13.5" customHeight="1">
      <c r="A236" s="183"/>
      <c r="B236" s="599"/>
      <c r="C236" s="180"/>
      <c r="D236" s="8"/>
      <c r="E236" s="8"/>
      <c r="F236" s="8"/>
      <c r="G236" s="8"/>
      <c r="H236" s="8"/>
      <c r="I236" s="8"/>
      <c r="J236" s="8"/>
      <c r="K236" s="8"/>
      <c r="L236" s="8"/>
    </row>
    <row r="237" spans="1:12" ht="13.5" customHeight="1">
      <c r="A237" s="183"/>
      <c r="B237" s="599"/>
      <c r="C237" s="180"/>
      <c r="D237" s="8"/>
      <c r="E237" s="8"/>
      <c r="F237" s="8"/>
      <c r="G237" s="8"/>
      <c r="H237" s="8"/>
      <c r="I237" s="8"/>
      <c r="J237" s="8"/>
      <c r="K237" s="8"/>
      <c r="L237" s="8"/>
    </row>
    <row r="238" spans="1:12" ht="13.5" customHeight="1">
      <c r="A238" s="183"/>
      <c r="B238" s="599"/>
      <c r="C238" s="180"/>
      <c r="D238" s="8"/>
      <c r="E238" s="8"/>
      <c r="F238" s="8"/>
      <c r="G238" s="8"/>
      <c r="H238" s="8"/>
      <c r="I238" s="8"/>
      <c r="J238" s="8"/>
      <c r="K238" s="8"/>
      <c r="L238" s="8"/>
    </row>
    <row r="239" spans="1:12" ht="13.5" customHeight="1">
      <c r="A239" s="183"/>
      <c r="B239" s="599"/>
      <c r="C239" s="180"/>
      <c r="D239" s="8"/>
      <c r="E239" s="8"/>
      <c r="F239" s="8"/>
      <c r="G239" s="8"/>
      <c r="H239" s="8"/>
      <c r="I239" s="8"/>
      <c r="J239" s="8"/>
      <c r="K239" s="8"/>
      <c r="L239" s="8"/>
    </row>
    <row r="240" spans="1:12" ht="13.5" customHeight="1">
      <c r="A240" s="183"/>
      <c r="B240" s="599"/>
      <c r="C240" s="180"/>
      <c r="D240" s="8"/>
      <c r="E240" s="8"/>
      <c r="F240" s="8"/>
      <c r="G240" s="8"/>
      <c r="H240" s="8"/>
      <c r="I240" s="8"/>
      <c r="J240" s="8"/>
      <c r="K240" s="8"/>
      <c r="L240" s="8"/>
    </row>
    <row r="241" spans="1:12" ht="13.5" customHeight="1">
      <c r="A241" s="183"/>
      <c r="B241" s="599"/>
      <c r="C241" s="180"/>
      <c r="D241" s="8"/>
      <c r="E241" s="8"/>
      <c r="F241" s="8"/>
      <c r="G241" s="8"/>
      <c r="H241" s="8"/>
      <c r="I241" s="8"/>
      <c r="J241" s="8"/>
      <c r="K241" s="8"/>
      <c r="L241" s="8"/>
    </row>
    <row r="242" spans="1:12" ht="13.5" customHeight="1">
      <c r="A242" s="183"/>
      <c r="B242" s="599"/>
      <c r="C242" s="180"/>
      <c r="D242" s="8"/>
      <c r="E242" s="8"/>
      <c r="F242" s="8"/>
      <c r="G242" s="8"/>
      <c r="H242" s="8"/>
      <c r="I242" s="8"/>
      <c r="J242" s="8"/>
      <c r="K242" s="8"/>
      <c r="L242" s="8"/>
    </row>
    <row r="243" spans="1:12" ht="13.5" customHeight="1">
      <c r="A243" s="183"/>
      <c r="B243" s="599"/>
      <c r="C243" s="180"/>
      <c r="D243" s="8"/>
      <c r="E243" s="8"/>
      <c r="F243" s="8"/>
      <c r="G243" s="8"/>
      <c r="H243" s="8"/>
      <c r="I243" s="8"/>
      <c r="J243" s="8"/>
      <c r="K243" s="8"/>
      <c r="L243" s="8"/>
    </row>
    <row r="244" spans="1:12" ht="13.5" customHeight="1">
      <c r="A244" s="183"/>
      <c r="B244" s="599"/>
      <c r="C244" s="180"/>
      <c r="D244" s="8"/>
      <c r="E244" s="8"/>
      <c r="F244" s="8"/>
      <c r="G244" s="8"/>
      <c r="H244" s="8"/>
      <c r="I244" s="8"/>
      <c r="J244" s="8"/>
      <c r="K244" s="8"/>
      <c r="L244" s="8"/>
    </row>
    <row r="245" spans="1:12" ht="13.5" customHeight="1">
      <c r="A245" s="183"/>
      <c r="B245" s="599"/>
      <c r="C245" s="180"/>
      <c r="D245" s="8"/>
      <c r="E245" s="8"/>
      <c r="F245" s="8"/>
      <c r="G245" s="8"/>
      <c r="H245" s="8"/>
      <c r="I245" s="8"/>
      <c r="J245" s="8"/>
      <c r="K245" s="8"/>
      <c r="L245" s="8"/>
    </row>
    <row r="246" spans="1:12" ht="13.5" customHeight="1">
      <c r="A246" s="183"/>
      <c r="B246" s="599"/>
      <c r="C246" s="180"/>
      <c r="D246" s="8"/>
      <c r="E246" s="8"/>
      <c r="F246" s="8"/>
      <c r="G246" s="8"/>
      <c r="H246" s="8"/>
      <c r="I246" s="8"/>
      <c r="J246" s="8"/>
      <c r="K246" s="8"/>
      <c r="L246" s="8"/>
    </row>
    <row r="247" spans="1:12" ht="13.5" customHeight="1">
      <c r="A247" s="183"/>
      <c r="B247" s="599"/>
      <c r="C247" s="180"/>
      <c r="D247" s="8"/>
      <c r="E247" s="8"/>
      <c r="F247" s="8"/>
      <c r="G247" s="8"/>
      <c r="H247" s="8"/>
      <c r="I247" s="8"/>
      <c r="J247" s="8"/>
      <c r="K247" s="8"/>
      <c r="L247" s="8"/>
    </row>
    <row r="248" spans="1:12" ht="13.5" customHeight="1">
      <c r="A248" s="183"/>
      <c r="B248" s="599"/>
      <c r="C248" s="180"/>
      <c r="D248" s="8"/>
      <c r="E248" s="8"/>
      <c r="F248" s="8"/>
      <c r="G248" s="8"/>
      <c r="H248" s="8"/>
      <c r="I248" s="8"/>
      <c r="J248" s="8"/>
      <c r="K248" s="8"/>
      <c r="L248" s="8"/>
    </row>
    <row r="249" spans="1:12" ht="13.5" customHeight="1">
      <c r="A249" s="183"/>
      <c r="B249" s="599"/>
      <c r="C249" s="180"/>
      <c r="D249" s="8"/>
      <c r="E249" s="8"/>
      <c r="F249" s="8"/>
      <c r="G249" s="8"/>
      <c r="H249" s="8"/>
      <c r="I249" s="8"/>
      <c r="J249" s="8"/>
      <c r="K249" s="8"/>
      <c r="L249" s="8"/>
    </row>
    <row r="250" spans="1:12" ht="13.5" customHeight="1">
      <c r="A250" s="183"/>
      <c r="B250" s="599"/>
      <c r="C250" s="180"/>
      <c r="D250" s="8"/>
      <c r="E250" s="8"/>
      <c r="F250" s="8"/>
      <c r="G250" s="8"/>
      <c r="H250" s="8"/>
      <c r="I250" s="8"/>
      <c r="J250" s="8"/>
      <c r="K250" s="8"/>
      <c r="L250" s="8"/>
    </row>
    <row r="251" spans="1:12" ht="13.5" customHeight="1">
      <c r="A251" s="183"/>
      <c r="B251" s="599"/>
      <c r="C251" s="180"/>
      <c r="D251" s="8"/>
      <c r="E251" s="8"/>
      <c r="F251" s="8"/>
      <c r="G251" s="8"/>
      <c r="H251" s="8"/>
      <c r="I251" s="8"/>
      <c r="J251" s="8"/>
      <c r="K251" s="8"/>
      <c r="L251" s="8"/>
    </row>
    <row r="252" spans="1:12" ht="13.5" customHeight="1">
      <c r="A252" s="183"/>
      <c r="B252" s="599"/>
      <c r="C252" s="180"/>
      <c r="D252" s="8"/>
      <c r="E252" s="8"/>
      <c r="F252" s="8"/>
      <c r="G252" s="8"/>
      <c r="H252" s="8"/>
      <c r="I252" s="8"/>
      <c r="J252" s="8"/>
      <c r="K252" s="8"/>
      <c r="L252" s="8"/>
    </row>
    <row r="253" spans="1:12" ht="13.5" customHeight="1">
      <c r="A253" s="183"/>
      <c r="B253" s="599"/>
      <c r="C253" s="180"/>
      <c r="D253" s="8"/>
      <c r="E253" s="8"/>
      <c r="F253" s="8"/>
      <c r="G253" s="8"/>
      <c r="H253" s="8"/>
      <c r="I253" s="8"/>
      <c r="J253" s="8"/>
      <c r="K253" s="8"/>
      <c r="L253" s="8"/>
    </row>
    <row r="254" spans="1:12" ht="13.5" customHeight="1">
      <c r="A254" s="183"/>
      <c r="B254" s="599"/>
      <c r="C254" s="180"/>
      <c r="D254" s="8"/>
      <c r="E254" s="8"/>
      <c r="F254" s="8"/>
      <c r="G254" s="8"/>
      <c r="H254" s="8"/>
      <c r="I254" s="8"/>
      <c r="J254" s="8"/>
      <c r="K254" s="8"/>
      <c r="L254" s="8"/>
    </row>
    <row r="255" spans="1:12" ht="13.5" customHeight="1">
      <c r="A255" s="183"/>
      <c r="B255" s="599"/>
      <c r="C255" s="180"/>
      <c r="D255" s="8"/>
      <c r="E255" s="8"/>
      <c r="F255" s="8"/>
      <c r="G255" s="8"/>
      <c r="H255" s="8"/>
      <c r="I255" s="8"/>
      <c r="J255" s="8"/>
      <c r="K255" s="8"/>
      <c r="L255" s="8"/>
    </row>
    <row r="256" spans="1:12" ht="13.5" customHeight="1">
      <c r="A256" s="183"/>
      <c r="B256" s="599"/>
      <c r="C256" s="180"/>
      <c r="D256" s="8"/>
      <c r="E256" s="8"/>
      <c r="F256" s="8"/>
      <c r="G256" s="8"/>
      <c r="H256" s="8"/>
      <c r="I256" s="8"/>
      <c r="J256" s="8"/>
      <c r="K256" s="8"/>
      <c r="L256" s="8"/>
    </row>
    <row r="257" spans="1:12" ht="13.5" customHeight="1">
      <c r="A257" s="183"/>
      <c r="B257" s="599"/>
      <c r="C257" s="180"/>
      <c r="D257" s="8"/>
      <c r="E257" s="8"/>
      <c r="F257" s="8"/>
      <c r="G257" s="8"/>
      <c r="H257" s="8"/>
      <c r="I257" s="8"/>
      <c r="J257" s="8"/>
      <c r="K257" s="8"/>
      <c r="L257" s="8"/>
    </row>
    <row r="258" spans="1:12" ht="13.5" customHeight="1">
      <c r="A258" s="183"/>
      <c r="B258" s="599"/>
      <c r="C258" s="180"/>
      <c r="D258" s="8"/>
      <c r="E258" s="8"/>
      <c r="F258" s="8"/>
      <c r="G258" s="8"/>
      <c r="H258" s="8"/>
      <c r="I258" s="8"/>
      <c r="J258" s="8"/>
      <c r="K258" s="8"/>
      <c r="L258" s="8"/>
    </row>
    <row r="259" spans="1:12" ht="13.5" customHeight="1">
      <c r="A259" s="183"/>
      <c r="B259" s="599"/>
      <c r="C259" s="180"/>
      <c r="D259" s="8"/>
      <c r="E259" s="8"/>
      <c r="F259" s="8"/>
      <c r="G259" s="8"/>
      <c r="H259" s="8"/>
      <c r="I259" s="8"/>
      <c r="J259" s="8"/>
      <c r="K259" s="8"/>
      <c r="L259" s="8"/>
    </row>
    <row r="260" spans="1:12" ht="13.5" customHeight="1">
      <c r="A260" s="183"/>
      <c r="B260" s="599"/>
      <c r="C260" s="180"/>
      <c r="D260" s="8"/>
      <c r="E260" s="8"/>
      <c r="F260" s="8"/>
      <c r="G260" s="8"/>
      <c r="H260" s="8"/>
      <c r="I260" s="8"/>
      <c r="J260" s="8"/>
      <c r="K260" s="8"/>
      <c r="L260" s="8"/>
    </row>
    <row r="261" spans="1:12" ht="13.5" customHeight="1">
      <c r="A261" s="183"/>
      <c r="B261" s="599"/>
      <c r="C261" s="180"/>
      <c r="D261" s="8"/>
      <c r="E261" s="8"/>
      <c r="F261" s="8"/>
      <c r="G261" s="8"/>
      <c r="H261" s="8"/>
      <c r="I261" s="8"/>
      <c r="J261" s="8"/>
      <c r="K261" s="8"/>
      <c r="L261" s="8"/>
    </row>
    <row r="262" spans="1:12" ht="13.5" customHeight="1">
      <c r="A262" s="183"/>
      <c r="B262" s="599"/>
      <c r="C262" s="180"/>
      <c r="D262" s="8"/>
      <c r="E262" s="8"/>
      <c r="F262" s="8"/>
      <c r="G262" s="8"/>
      <c r="H262" s="8"/>
      <c r="I262" s="8"/>
      <c r="J262" s="8"/>
      <c r="K262" s="8"/>
      <c r="L262" s="8"/>
    </row>
    <row r="263" spans="1:12" ht="13.5" customHeight="1">
      <c r="A263" s="183"/>
      <c r="B263" s="599"/>
      <c r="C263" s="180"/>
      <c r="D263" s="8"/>
      <c r="E263" s="8"/>
      <c r="F263" s="8"/>
      <c r="G263" s="8"/>
      <c r="H263" s="8"/>
      <c r="I263" s="8"/>
      <c r="J263" s="8"/>
      <c r="K263" s="8"/>
      <c r="L263" s="8"/>
    </row>
    <row r="264" spans="1:12" ht="13.5" customHeight="1">
      <c r="A264" s="183"/>
      <c r="B264" s="599"/>
      <c r="C264" s="180"/>
      <c r="D264" s="8"/>
      <c r="E264" s="8"/>
      <c r="F264" s="8"/>
      <c r="G264" s="8"/>
      <c r="H264" s="8"/>
      <c r="I264" s="8"/>
      <c r="J264" s="8"/>
      <c r="K264" s="8"/>
      <c r="L264" s="8"/>
    </row>
    <row r="265" spans="1:12" ht="13.5" customHeight="1">
      <c r="A265" s="183"/>
      <c r="B265" s="599"/>
      <c r="C265" s="180"/>
      <c r="D265" s="8"/>
      <c r="E265" s="8"/>
      <c r="F265" s="8"/>
      <c r="G265" s="8"/>
      <c r="H265" s="8"/>
      <c r="I265" s="8"/>
      <c r="J265" s="8"/>
      <c r="K265" s="8"/>
      <c r="L265" s="8"/>
    </row>
    <row r="266" spans="1:12" ht="13.5" customHeight="1">
      <c r="A266" s="183"/>
      <c r="B266" s="599"/>
      <c r="C266" s="180"/>
      <c r="D266" s="8"/>
      <c r="E266" s="8"/>
      <c r="F266" s="8"/>
      <c r="G266" s="8"/>
      <c r="H266" s="8"/>
      <c r="I266" s="8"/>
      <c r="J266" s="8"/>
      <c r="K266" s="8"/>
      <c r="L266" s="8"/>
    </row>
    <row r="267" spans="1:12" ht="13.5" customHeight="1">
      <c r="A267" s="183"/>
      <c r="B267" s="599"/>
      <c r="C267" s="180"/>
      <c r="D267" s="8"/>
      <c r="E267" s="8"/>
      <c r="F267" s="8"/>
      <c r="G267" s="8"/>
      <c r="H267" s="8"/>
      <c r="I267" s="8"/>
      <c r="J267" s="8"/>
      <c r="K267" s="8"/>
      <c r="L267" s="8"/>
    </row>
    <row r="268" spans="1:12" ht="13.5" customHeight="1">
      <c r="A268" s="183"/>
      <c r="B268" s="599"/>
      <c r="C268" s="180"/>
      <c r="D268" s="8"/>
      <c r="E268" s="8"/>
      <c r="F268" s="8"/>
      <c r="G268" s="8"/>
      <c r="H268" s="8"/>
      <c r="I268" s="8"/>
      <c r="J268" s="8"/>
      <c r="K268" s="8"/>
      <c r="L268" s="8"/>
    </row>
    <row r="269" spans="1:12" ht="13.5" customHeight="1">
      <c r="A269" s="183"/>
      <c r="B269" s="599"/>
      <c r="C269" s="180"/>
      <c r="D269" s="8"/>
      <c r="E269" s="8"/>
      <c r="F269" s="8"/>
      <c r="G269" s="8"/>
      <c r="H269" s="8"/>
      <c r="I269" s="8"/>
      <c r="J269" s="8"/>
      <c r="K269" s="8"/>
      <c r="L269" s="8"/>
    </row>
    <row r="270" spans="1:12" ht="13.5" customHeight="1">
      <c r="A270" s="183"/>
      <c r="B270" s="599"/>
      <c r="C270" s="180"/>
      <c r="D270" s="8"/>
      <c r="E270" s="8"/>
      <c r="F270" s="8"/>
      <c r="G270" s="8"/>
      <c r="H270" s="8"/>
      <c r="I270" s="8"/>
      <c r="J270" s="8"/>
      <c r="K270" s="8"/>
      <c r="L270" s="8"/>
    </row>
    <row r="271" spans="1:12" ht="13.5" customHeight="1">
      <c r="A271" s="183"/>
      <c r="B271" s="599"/>
      <c r="C271" s="180"/>
      <c r="D271" s="8"/>
      <c r="E271" s="8"/>
      <c r="F271" s="8"/>
      <c r="G271" s="8"/>
      <c r="H271" s="8"/>
      <c r="I271" s="8"/>
      <c r="J271" s="8"/>
      <c r="K271" s="8"/>
      <c r="L271" s="8"/>
    </row>
    <row r="272" spans="1:12" ht="13.5" customHeight="1">
      <c r="A272" s="183"/>
      <c r="B272" s="599"/>
      <c r="C272" s="180"/>
      <c r="D272" s="8"/>
      <c r="E272" s="8"/>
      <c r="F272" s="8"/>
      <c r="G272" s="8"/>
      <c r="H272" s="8"/>
      <c r="I272" s="8"/>
      <c r="J272" s="8"/>
      <c r="K272" s="8"/>
      <c r="L272" s="8"/>
    </row>
    <row r="273" spans="1:12" ht="13.5" customHeight="1">
      <c r="A273" s="183"/>
      <c r="B273" s="599"/>
      <c r="C273" s="180"/>
      <c r="D273" s="8"/>
      <c r="E273" s="8"/>
      <c r="F273" s="8"/>
      <c r="G273" s="8"/>
      <c r="H273" s="8"/>
      <c r="I273" s="8"/>
      <c r="J273" s="8"/>
      <c r="K273" s="8"/>
      <c r="L273" s="8"/>
    </row>
    <row r="274" spans="1:12" ht="13.5" customHeight="1">
      <c r="A274" s="183"/>
      <c r="B274" s="599"/>
      <c r="C274" s="180"/>
      <c r="D274" s="8"/>
      <c r="E274" s="8"/>
      <c r="F274" s="8"/>
      <c r="G274" s="8"/>
      <c r="H274" s="8"/>
      <c r="I274" s="8"/>
      <c r="J274" s="8"/>
      <c r="K274" s="8"/>
      <c r="L274" s="8"/>
    </row>
    <row r="275" spans="1:12" ht="13.5" customHeight="1">
      <c r="A275" s="183"/>
      <c r="B275" s="599"/>
      <c r="C275" s="180"/>
      <c r="D275" s="8"/>
      <c r="E275" s="8"/>
      <c r="F275" s="8"/>
      <c r="G275" s="8"/>
      <c r="H275" s="8"/>
      <c r="I275" s="8"/>
      <c r="J275" s="8"/>
      <c r="K275" s="8"/>
      <c r="L275" s="8"/>
    </row>
    <row r="276" spans="1:12" ht="13.5" customHeight="1">
      <c r="A276" s="183"/>
      <c r="B276" s="599"/>
      <c r="C276" s="180"/>
      <c r="D276" s="8"/>
      <c r="E276" s="8"/>
      <c r="F276" s="8"/>
      <c r="G276" s="8"/>
      <c r="H276" s="8"/>
      <c r="I276" s="8"/>
      <c r="J276" s="8"/>
      <c r="K276" s="8"/>
      <c r="L276" s="8"/>
    </row>
    <row r="277" spans="1:12" ht="13.5" customHeight="1">
      <c r="A277" s="183"/>
      <c r="B277" s="599"/>
      <c r="C277" s="180"/>
      <c r="D277" s="8"/>
      <c r="E277" s="8"/>
      <c r="F277" s="8"/>
      <c r="G277" s="8"/>
      <c r="H277" s="8"/>
      <c r="I277" s="8"/>
      <c r="J277" s="8"/>
      <c r="K277" s="8"/>
      <c r="L277" s="8"/>
    </row>
    <row r="278" spans="1:12" ht="13.5" customHeight="1">
      <c r="A278" s="183"/>
      <c r="B278" s="599"/>
      <c r="C278" s="180"/>
      <c r="D278" s="8"/>
      <c r="E278" s="8"/>
      <c r="F278" s="8"/>
      <c r="G278" s="8"/>
      <c r="H278" s="8"/>
      <c r="I278" s="8"/>
      <c r="J278" s="8"/>
      <c r="K278" s="8"/>
      <c r="L278" s="8"/>
    </row>
    <row r="279" spans="1:12" ht="13.5" customHeight="1">
      <c r="A279" s="183"/>
      <c r="B279" s="599"/>
      <c r="C279" s="180"/>
      <c r="D279" s="8"/>
      <c r="E279" s="8"/>
      <c r="F279" s="8"/>
      <c r="G279" s="8"/>
      <c r="H279" s="8"/>
      <c r="I279" s="8"/>
      <c r="J279" s="8"/>
      <c r="K279" s="8"/>
      <c r="L279" s="8"/>
    </row>
    <row r="280" spans="1:12" ht="13.5" customHeight="1">
      <c r="A280" s="183"/>
      <c r="B280" s="599"/>
      <c r="C280" s="180"/>
      <c r="D280" s="8"/>
      <c r="E280" s="8"/>
      <c r="F280" s="8"/>
      <c r="G280" s="8"/>
      <c r="H280" s="8"/>
      <c r="I280" s="8"/>
      <c r="J280" s="8"/>
      <c r="K280" s="8"/>
      <c r="L280" s="8"/>
    </row>
    <row r="281" spans="1:12" ht="13.5" customHeight="1">
      <c r="A281" s="183"/>
      <c r="B281" s="599"/>
      <c r="C281" s="180"/>
      <c r="D281" s="8"/>
      <c r="E281" s="8"/>
      <c r="F281" s="8"/>
      <c r="G281" s="8"/>
      <c r="H281" s="8"/>
      <c r="I281" s="8"/>
      <c r="J281" s="8"/>
      <c r="K281" s="8"/>
      <c r="L281" s="8"/>
    </row>
    <row r="282" spans="1:12" ht="13.5" customHeight="1">
      <c r="A282" s="183"/>
      <c r="B282" s="599"/>
      <c r="C282" s="180"/>
      <c r="D282" s="8"/>
      <c r="E282" s="8"/>
      <c r="F282" s="8"/>
      <c r="G282" s="8"/>
      <c r="H282" s="8"/>
      <c r="I282" s="8"/>
      <c r="J282" s="8"/>
      <c r="K282" s="8"/>
      <c r="L282" s="8"/>
    </row>
    <row r="283" spans="1:12" ht="13.5" customHeight="1">
      <c r="A283" s="183"/>
      <c r="B283" s="599"/>
      <c r="C283" s="180"/>
      <c r="D283" s="8"/>
      <c r="E283" s="8"/>
      <c r="F283" s="8"/>
      <c r="G283" s="8"/>
      <c r="H283" s="8"/>
      <c r="I283" s="8"/>
      <c r="J283" s="8"/>
      <c r="K283" s="8"/>
      <c r="L283" s="8"/>
    </row>
    <row r="284" spans="1:12" ht="13.5" customHeight="1">
      <c r="A284" s="183"/>
      <c r="B284" s="599"/>
      <c r="C284" s="180"/>
      <c r="D284" s="8"/>
      <c r="E284" s="8"/>
      <c r="F284" s="8"/>
      <c r="G284" s="8"/>
      <c r="H284" s="8"/>
      <c r="I284" s="8"/>
      <c r="J284" s="8"/>
      <c r="K284" s="8"/>
      <c r="L284" s="8"/>
    </row>
    <row r="285" spans="1:12" ht="13.5" customHeight="1">
      <c r="A285" s="183"/>
      <c r="B285" s="599"/>
      <c r="C285" s="180"/>
      <c r="D285" s="8"/>
      <c r="E285" s="8"/>
      <c r="F285" s="8"/>
      <c r="G285" s="8"/>
      <c r="H285" s="8"/>
      <c r="I285" s="8"/>
      <c r="J285" s="8"/>
      <c r="K285" s="8"/>
      <c r="L285" s="8"/>
    </row>
    <row r="286" spans="1:12" ht="13.5" customHeight="1">
      <c r="A286" s="183"/>
      <c r="B286" s="599"/>
      <c r="C286" s="180"/>
      <c r="D286" s="8"/>
      <c r="E286" s="8"/>
      <c r="F286" s="8"/>
      <c r="G286" s="8"/>
      <c r="H286" s="8"/>
      <c r="I286" s="8"/>
      <c r="J286" s="8"/>
      <c r="K286" s="8"/>
      <c r="L286" s="8"/>
    </row>
    <row r="287" spans="1:12" ht="13.5" customHeight="1">
      <c r="A287" s="183"/>
      <c r="B287" s="599"/>
      <c r="C287" s="180"/>
      <c r="D287" s="8"/>
      <c r="E287" s="8"/>
      <c r="F287" s="8"/>
      <c r="G287" s="8"/>
      <c r="H287" s="8"/>
      <c r="I287" s="8"/>
      <c r="J287" s="8"/>
      <c r="K287" s="8"/>
      <c r="L287" s="8"/>
    </row>
    <row r="288" spans="1:12" ht="13.5" customHeight="1">
      <c r="A288" s="183"/>
      <c r="B288" s="599"/>
      <c r="C288" s="180"/>
      <c r="D288" s="8"/>
      <c r="E288" s="8"/>
      <c r="F288" s="8"/>
      <c r="G288" s="8"/>
      <c r="H288" s="8"/>
      <c r="I288" s="8"/>
      <c r="J288" s="8"/>
      <c r="K288" s="8"/>
      <c r="L288" s="8"/>
    </row>
    <row r="289" spans="1:12" ht="13.5" customHeight="1">
      <c r="A289" s="183"/>
      <c r="B289" s="599"/>
      <c r="C289" s="180"/>
      <c r="D289" s="8"/>
      <c r="E289" s="8"/>
      <c r="F289" s="8"/>
      <c r="G289" s="8"/>
      <c r="H289" s="8"/>
      <c r="I289" s="8"/>
      <c r="J289" s="8"/>
      <c r="K289" s="8"/>
      <c r="L289" s="8"/>
    </row>
    <row r="290" spans="1:12" ht="13.5" customHeight="1">
      <c r="A290" s="183"/>
      <c r="B290" s="599"/>
      <c r="C290" s="180"/>
      <c r="D290" s="8"/>
      <c r="E290" s="8"/>
      <c r="F290" s="8"/>
      <c r="G290" s="8"/>
      <c r="H290" s="8"/>
      <c r="I290" s="8"/>
      <c r="J290" s="8"/>
      <c r="K290" s="8"/>
      <c r="L290" s="8"/>
    </row>
    <row r="291" spans="1:12" ht="13.5" customHeight="1">
      <c r="A291" s="183"/>
      <c r="B291" s="599"/>
      <c r="C291" s="180"/>
      <c r="D291" s="8"/>
      <c r="E291" s="8"/>
      <c r="F291" s="8"/>
      <c r="G291" s="8"/>
      <c r="H291" s="8"/>
      <c r="I291" s="8"/>
      <c r="J291" s="8"/>
      <c r="K291" s="8"/>
      <c r="L291" s="8"/>
    </row>
    <row r="292" spans="1:12" ht="13.5" customHeight="1">
      <c r="A292" s="183"/>
      <c r="B292" s="599"/>
      <c r="C292" s="180"/>
      <c r="D292" s="8"/>
      <c r="E292" s="8"/>
      <c r="F292" s="8"/>
      <c r="G292" s="8"/>
      <c r="H292" s="8"/>
      <c r="I292" s="8"/>
      <c r="J292" s="8"/>
      <c r="K292" s="8"/>
      <c r="L292" s="8"/>
    </row>
    <row r="293" spans="1:12" ht="13.5" customHeight="1">
      <c r="A293" s="183"/>
      <c r="B293" s="599"/>
      <c r="C293" s="180"/>
      <c r="D293" s="8"/>
      <c r="E293" s="8"/>
      <c r="F293" s="8"/>
      <c r="G293" s="8"/>
      <c r="H293" s="8"/>
      <c r="I293" s="8"/>
      <c r="J293" s="8"/>
      <c r="K293" s="8"/>
      <c r="L293" s="8"/>
    </row>
    <row r="294" spans="1:12" ht="13.5" customHeight="1">
      <c r="A294" s="183"/>
      <c r="B294" s="599"/>
      <c r="C294" s="180"/>
      <c r="D294" s="8"/>
      <c r="E294" s="8"/>
      <c r="F294" s="8"/>
      <c r="G294" s="8"/>
      <c r="H294" s="8"/>
      <c r="I294" s="8"/>
      <c r="J294" s="8"/>
      <c r="K294" s="8"/>
      <c r="L294" s="8"/>
    </row>
    <row r="295" spans="1:12" ht="13.5" customHeight="1">
      <c r="A295" s="183"/>
      <c r="B295" s="599"/>
      <c r="C295" s="180"/>
      <c r="D295" s="8"/>
      <c r="E295" s="8"/>
      <c r="F295" s="8"/>
      <c r="G295" s="8"/>
      <c r="H295" s="8"/>
      <c r="I295" s="8"/>
      <c r="J295" s="8"/>
      <c r="K295" s="8"/>
      <c r="L295" s="8"/>
    </row>
    <row r="296" spans="1:12" ht="13.5" customHeight="1">
      <c r="A296" s="183"/>
      <c r="B296" s="599"/>
      <c r="C296" s="180"/>
      <c r="D296" s="8"/>
      <c r="E296" s="8"/>
      <c r="F296" s="8"/>
      <c r="G296" s="8"/>
      <c r="H296" s="8"/>
      <c r="I296" s="8"/>
      <c r="J296" s="8"/>
      <c r="K296" s="8"/>
      <c r="L296" s="8"/>
    </row>
    <row r="297" spans="1:12" ht="13.5" customHeight="1">
      <c r="A297" s="183"/>
      <c r="B297" s="599"/>
      <c r="C297" s="180"/>
      <c r="D297" s="8"/>
      <c r="E297" s="8"/>
      <c r="F297" s="8"/>
      <c r="G297" s="8"/>
      <c r="H297" s="8"/>
      <c r="I297" s="8"/>
      <c r="J297" s="8"/>
      <c r="K297" s="8"/>
      <c r="L297" s="8"/>
    </row>
    <row r="298" spans="1:12" ht="13.5" customHeight="1">
      <c r="A298" s="183"/>
      <c r="B298" s="599"/>
      <c r="C298" s="180"/>
      <c r="D298" s="8"/>
      <c r="E298" s="8"/>
      <c r="F298" s="8"/>
      <c r="G298" s="8"/>
      <c r="H298" s="8"/>
      <c r="I298" s="8"/>
      <c r="J298" s="8"/>
      <c r="K298" s="8"/>
      <c r="L298" s="8"/>
    </row>
    <row r="299" spans="1:12" ht="13.5" customHeight="1">
      <c r="A299" s="183"/>
      <c r="B299" s="599"/>
      <c r="C299" s="180"/>
      <c r="D299" s="8"/>
      <c r="E299" s="8"/>
      <c r="F299" s="8"/>
      <c r="G299" s="8"/>
      <c r="H299" s="8"/>
      <c r="I299" s="8"/>
      <c r="J299" s="8"/>
      <c r="K299" s="8"/>
      <c r="L299" s="8"/>
    </row>
    <row r="300" spans="1:12" ht="13.5" customHeight="1">
      <c r="A300" s="183"/>
      <c r="B300" s="599"/>
      <c r="C300" s="180"/>
      <c r="D300" s="8"/>
      <c r="E300" s="8"/>
      <c r="F300" s="8"/>
      <c r="G300" s="8"/>
      <c r="H300" s="8"/>
      <c r="I300" s="8"/>
      <c r="J300" s="8"/>
      <c r="K300" s="8"/>
      <c r="L300" s="8"/>
    </row>
    <row r="301" spans="1:12" ht="13.5" customHeight="1">
      <c r="A301" s="183"/>
      <c r="B301" s="599"/>
      <c r="C301" s="180"/>
      <c r="D301" s="8"/>
      <c r="E301" s="8"/>
      <c r="F301" s="8"/>
      <c r="G301" s="8"/>
      <c r="H301" s="8"/>
      <c r="I301" s="8"/>
      <c r="J301" s="8"/>
      <c r="K301" s="8"/>
      <c r="L301" s="8"/>
    </row>
    <row r="302" spans="1:12" ht="13.5" customHeight="1">
      <c r="A302" s="183"/>
      <c r="B302" s="599"/>
      <c r="C302" s="180"/>
      <c r="D302" s="8"/>
      <c r="E302" s="8"/>
      <c r="F302" s="8"/>
      <c r="G302" s="8"/>
      <c r="H302" s="8"/>
      <c r="I302" s="8"/>
      <c r="J302" s="8"/>
      <c r="K302" s="8"/>
      <c r="L302" s="8"/>
    </row>
    <row r="303" spans="1:12" ht="13.5" customHeight="1">
      <c r="A303" s="183"/>
      <c r="B303" s="599"/>
      <c r="C303" s="180"/>
      <c r="D303" s="8"/>
      <c r="E303" s="8"/>
      <c r="F303" s="8"/>
      <c r="G303" s="8"/>
      <c r="H303" s="8"/>
      <c r="I303" s="8"/>
      <c r="J303" s="8"/>
      <c r="K303" s="8"/>
      <c r="L303" s="8"/>
    </row>
    <row r="304" spans="1:12" ht="13.5" customHeight="1">
      <c r="A304" s="183"/>
      <c r="B304" s="599"/>
      <c r="C304" s="180"/>
      <c r="D304" s="8"/>
      <c r="E304" s="8"/>
      <c r="F304" s="8"/>
      <c r="G304" s="8"/>
      <c r="H304" s="8"/>
      <c r="I304" s="8"/>
      <c r="J304" s="8"/>
      <c r="K304" s="8"/>
      <c r="L304" s="8"/>
    </row>
    <row r="305" spans="1:12" ht="13.5" customHeight="1">
      <c r="A305" s="183"/>
      <c r="B305" s="599"/>
      <c r="C305" s="180"/>
      <c r="D305" s="8"/>
      <c r="E305" s="8"/>
      <c r="F305" s="8"/>
      <c r="G305" s="8"/>
      <c r="H305" s="8"/>
      <c r="I305" s="8"/>
      <c r="J305" s="8"/>
      <c r="K305" s="8"/>
      <c r="L305" s="8"/>
    </row>
    <row r="306" spans="1:12" ht="13.5" customHeight="1">
      <c r="A306" s="183"/>
      <c r="B306" s="599"/>
      <c r="C306" s="180"/>
      <c r="D306" s="8"/>
      <c r="E306" s="8"/>
      <c r="F306" s="8"/>
      <c r="G306" s="8"/>
      <c r="H306" s="8"/>
      <c r="I306" s="8"/>
      <c r="J306" s="8"/>
      <c r="K306" s="8"/>
      <c r="L306" s="8"/>
    </row>
    <row r="307" spans="1:12" ht="13.5" customHeight="1">
      <c r="A307" s="183"/>
      <c r="B307" s="599"/>
      <c r="C307" s="180"/>
      <c r="D307" s="8"/>
      <c r="E307" s="8"/>
      <c r="F307" s="8"/>
      <c r="G307" s="8"/>
      <c r="H307" s="8"/>
      <c r="I307" s="8"/>
      <c r="J307" s="8"/>
      <c r="K307" s="8"/>
      <c r="L307" s="8"/>
    </row>
    <row r="308" spans="1:12" ht="13.5" customHeight="1">
      <c r="A308" s="183"/>
      <c r="B308" s="599"/>
      <c r="C308" s="180"/>
      <c r="D308" s="8"/>
      <c r="E308" s="8"/>
      <c r="F308" s="8"/>
      <c r="G308" s="8"/>
      <c r="H308" s="8"/>
      <c r="I308" s="8"/>
      <c r="J308" s="8"/>
      <c r="K308" s="8"/>
      <c r="L308" s="8"/>
    </row>
    <row r="309" spans="1:12" ht="13.5" customHeight="1">
      <c r="A309" s="183"/>
      <c r="B309" s="599"/>
      <c r="C309" s="180"/>
      <c r="D309" s="8"/>
      <c r="E309" s="8"/>
      <c r="F309" s="8"/>
      <c r="G309" s="8"/>
      <c r="H309" s="8"/>
      <c r="I309" s="8"/>
      <c r="J309" s="8"/>
      <c r="K309" s="8"/>
      <c r="L309" s="8"/>
    </row>
    <row r="310" spans="1:12" ht="13.5" customHeight="1">
      <c r="A310" s="183"/>
      <c r="B310" s="599"/>
      <c r="C310" s="180"/>
      <c r="D310" s="8"/>
      <c r="E310" s="8"/>
      <c r="F310" s="8"/>
      <c r="G310" s="8"/>
      <c r="H310" s="8"/>
      <c r="I310" s="8"/>
      <c r="J310" s="8"/>
      <c r="K310" s="8"/>
      <c r="L310" s="8"/>
    </row>
    <row r="311" spans="1:12" ht="13.5" customHeight="1">
      <c r="A311" s="183"/>
      <c r="B311" s="599"/>
      <c r="C311" s="180"/>
      <c r="D311" s="8"/>
      <c r="E311" s="8"/>
      <c r="F311" s="8"/>
      <c r="G311" s="8"/>
      <c r="H311" s="8"/>
      <c r="I311" s="8"/>
      <c r="J311" s="8"/>
      <c r="K311" s="8"/>
      <c r="L311" s="8"/>
    </row>
    <row r="312" spans="1:12" ht="13.5" customHeight="1">
      <c r="A312" s="183"/>
      <c r="B312" s="599"/>
      <c r="C312" s="180"/>
      <c r="D312" s="8"/>
      <c r="E312" s="8"/>
      <c r="F312" s="8"/>
      <c r="G312" s="8"/>
      <c r="H312" s="8"/>
      <c r="I312" s="8"/>
      <c r="J312" s="8"/>
      <c r="K312" s="8"/>
      <c r="L312" s="8"/>
    </row>
    <row r="313" spans="1:12" ht="13.5" customHeight="1">
      <c r="A313" s="183"/>
      <c r="B313" s="599"/>
      <c r="C313" s="180"/>
      <c r="D313" s="8"/>
      <c r="E313" s="8"/>
      <c r="F313" s="8"/>
      <c r="G313" s="8"/>
      <c r="H313" s="8"/>
      <c r="I313" s="8"/>
      <c r="J313" s="8"/>
      <c r="K313" s="8"/>
      <c r="L313" s="8"/>
    </row>
    <row r="314" spans="1:12" ht="13.5" customHeight="1">
      <c r="A314" s="183"/>
      <c r="B314" s="599"/>
      <c r="C314" s="180"/>
      <c r="D314" s="8"/>
      <c r="E314" s="8"/>
      <c r="F314" s="8"/>
      <c r="G314" s="8"/>
      <c r="H314" s="8"/>
      <c r="I314" s="8"/>
      <c r="J314" s="8"/>
      <c r="K314" s="8"/>
      <c r="L314" s="8"/>
    </row>
    <row r="315" spans="1:12" ht="13.5" customHeight="1">
      <c r="A315" s="183"/>
      <c r="B315" s="599"/>
      <c r="C315" s="180"/>
      <c r="D315" s="8"/>
      <c r="E315" s="8"/>
      <c r="F315" s="8"/>
      <c r="G315" s="8"/>
      <c r="H315" s="8"/>
      <c r="I315" s="8"/>
      <c r="J315" s="8"/>
      <c r="K315" s="8"/>
      <c r="L315" s="8"/>
    </row>
    <row r="316" spans="1:12" ht="13.5" customHeight="1">
      <c r="A316" s="183"/>
      <c r="B316" s="599"/>
      <c r="C316" s="180"/>
      <c r="D316" s="8"/>
      <c r="E316" s="8"/>
      <c r="F316" s="8"/>
      <c r="G316" s="8"/>
      <c r="H316" s="8"/>
      <c r="I316" s="8"/>
      <c r="J316" s="8"/>
      <c r="K316" s="8"/>
      <c r="L316" s="8"/>
    </row>
    <row r="317" spans="1:12" ht="13.5" customHeight="1">
      <c r="A317" s="183"/>
      <c r="B317" s="599"/>
      <c r="C317" s="180"/>
      <c r="D317" s="8"/>
      <c r="E317" s="8"/>
      <c r="F317" s="8"/>
      <c r="G317" s="8"/>
      <c r="H317" s="8"/>
      <c r="I317" s="8"/>
      <c r="J317" s="8"/>
      <c r="K317" s="8"/>
      <c r="L317" s="8"/>
    </row>
    <row r="318" spans="1:12" ht="13.5" customHeight="1">
      <c r="A318" s="183"/>
      <c r="B318" s="599"/>
      <c r="C318" s="180"/>
      <c r="D318" s="8"/>
      <c r="E318" s="8"/>
      <c r="F318" s="8"/>
      <c r="G318" s="8"/>
      <c r="H318" s="8"/>
      <c r="I318" s="8"/>
      <c r="J318" s="8"/>
      <c r="K318" s="8"/>
      <c r="L318" s="8"/>
    </row>
    <row r="319" spans="1:12" ht="13.5" customHeight="1">
      <c r="A319" s="183"/>
      <c r="B319" s="599"/>
      <c r="C319" s="180"/>
      <c r="D319" s="8"/>
      <c r="E319" s="8"/>
      <c r="F319" s="8"/>
      <c r="G319" s="8"/>
      <c r="H319" s="8"/>
      <c r="I319" s="8"/>
      <c r="J319" s="8"/>
      <c r="K319" s="8"/>
      <c r="L319" s="8"/>
    </row>
    <row r="320" spans="1:12" ht="13.5" customHeight="1">
      <c r="A320" s="183"/>
      <c r="B320" s="599"/>
      <c r="C320" s="180"/>
      <c r="D320" s="8"/>
      <c r="E320" s="8"/>
      <c r="F320" s="8"/>
      <c r="G320" s="8"/>
      <c r="H320" s="8"/>
      <c r="I320" s="8"/>
      <c r="J320" s="8"/>
      <c r="K320" s="8"/>
      <c r="L320" s="8"/>
    </row>
    <row r="321" spans="1:12" ht="13.5" customHeight="1">
      <c r="A321" s="183"/>
      <c r="B321" s="599"/>
      <c r="C321" s="180"/>
      <c r="D321" s="8"/>
      <c r="E321" s="8"/>
      <c r="F321" s="8"/>
      <c r="G321" s="8"/>
      <c r="H321" s="8"/>
      <c r="I321" s="8"/>
      <c r="J321" s="8"/>
      <c r="K321" s="8"/>
      <c r="L321" s="8"/>
    </row>
    <row r="322" spans="1:12" ht="13.5" customHeight="1">
      <c r="A322" s="183"/>
      <c r="B322" s="599"/>
      <c r="C322" s="180"/>
      <c r="D322" s="8"/>
      <c r="E322" s="8"/>
      <c r="F322" s="8"/>
      <c r="G322" s="8"/>
      <c r="H322" s="8"/>
      <c r="I322" s="8"/>
      <c r="J322" s="8"/>
      <c r="K322" s="8"/>
      <c r="L322" s="8"/>
    </row>
    <row r="323" spans="1:12" ht="13.5" customHeight="1">
      <c r="A323" s="183"/>
      <c r="B323" s="599"/>
      <c r="C323" s="180"/>
      <c r="D323" s="8"/>
      <c r="E323" s="8"/>
      <c r="F323" s="8"/>
      <c r="G323" s="8"/>
      <c r="H323" s="8"/>
      <c r="I323" s="8"/>
      <c r="J323" s="8"/>
      <c r="K323" s="8"/>
      <c r="L323" s="8"/>
    </row>
    <row r="324" spans="1:12" ht="13.5" customHeight="1">
      <c r="A324" s="183"/>
      <c r="B324" s="599"/>
      <c r="C324" s="180"/>
      <c r="D324" s="8"/>
      <c r="E324" s="8"/>
      <c r="F324" s="8"/>
      <c r="G324" s="8"/>
      <c r="H324" s="8"/>
      <c r="I324" s="8"/>
      <c r="J324" s="8"/>
      <c r="K324" s="8"/>
      <c r="L324" s="8"/>
    </row>
    <row r="325" spans="1:12" ht="13.5" customHeight="1">
      <c r="A325" s="183"/>
      <c r="B325" s="599"/>
      <c r="C325" s="180"/>
      <c r="D325" s="8"/>
      <c r="E325" s="8"/>
      <c r="F325" s="8"/>
      <c r="G325" s="8"/>
      <c r="H325" s="8"/>
      <c r="I325" s="8"/>
      <c r="J325" s="8"/>
      <c r="K325" s="8"/>
      <c r="L325" s="8"/>
    </row>
    <row r="326" spans="1:12" ht="13.5" customHeight="1">
      <c r="A326" s="183"/>
      <c r="B326" s="599"/>
      <c r="C326" s="180"/>
      <c r="D326" s="8"/>
      <c r="E326" s="8"/>
      <c r="F326" s="8"/>
      <c r="G326" s="8"/>
      <c r="H326" s="8"/>
      <c r="I326" s="8"/>
      <c r="J326" s="8"/>
      <c r="K326" s="8"/>
      <c r="L326" s="8"/>
    </row>
    <row r="327" spans="1:12" ht="13.5" customHeight="1">
      <c r="A327" s="183"/>
      <c r="B327" s="599"/>
      <c r="C327" s="180"/>
      <c r="D327" s="8"/>
      <c r="E327" s="8"/>
      <c r="F327" s="8"/>
      <c r="G327" s="8"/>
      <c r="H327" s="8"/>
      <c r="I327" s="8"/>
      <c r="J327" s="8"/>
      <c r="K327" s="8"/>
      <c r="L327" s="8"/>
    </row>
    <row r="328" spans="1:12" ht="13.5" customHeight="1">
      <c r="A328" s="183"/>
      <c r="B328" s="599"/>
      <c r="C328" s="180"/>
      <c r="D328" s="8"/>
      <c r="E328" s="8"/>
      <c r="F328" s="8"/>
      <c r="G328" s="8"/>
      <c r="H328" s="8"/>
      <c r="I328" s="8"/>
      <c r="J328" s="8"/>
      <c r="K328" s="8"/>
      <c r="L328" s="8"/>
    </row>
    <row r="329" spans="1:12" ht="13.5" customHeight="1">
      <c r="A329" s="183"/>
      <c r="B329" s="599"/>
      <c r="C329" s="180"/>
      <c r="D329" s="8"/>
      <c r="E329" s="8"/>
      <c r="F329" s="8"/>
      <c r="G329" s="8"/>
      <c r="H329" s="8"/>
      <c r="I329" s="8"/>
      <c r="J329" s="8"/>
      <c r="K329" s="8"/>
      <c r="L329" s="8"/>
    </row>
    <row r="330" spans="1:12" ht="13.5" customHeight="1">
      <c r="A330" s="183"/>
      <c r="B330" s="599"/>
      <c r="C330" s="180"/>
      <c r="D330" s="8"/>
      <c r="E330" s="8"/>
      <c r="F330" s="8"/>
      <c r="G330" s="8"/>
      <c r="H330" s="8"/>
      <c r="I330" s="8"/>
      <c r="J330" s="8"/>
      <c r="K330" s="8"/>
      <c r="L330" s="8"/>
    </row>
    <row r="331" spans="1:12" ht="13.5" customHeight="1">
      <c r="A331" s="183"/>
      <c r="B331" s="599"/>
      <c r="C331" s="180"/>
      <c r="D331" s="8"/>
      <c r="E331" s="8"/>
      <c r="F331" s="8"/>
      <c r="G331" s="8"/>
      <c r="H331" s="8"/>
      <c r="I331" s="8"/>
      <c r="J331" s="8"/>
      <c r="K331" s="8"/>
      <c r="L331" s="8"/>
    </row>
    <row r="332" spans="1:12" ht="13.5" customHeight="1">
      <c r="A332" s="183"/>
      <c r="B332" s="599"/>
      <c r="C332" s="180"/>
      <c r="D332" s="8"/>
      <c r="E332" s="8"/>
      <c r="F332" s="8"/>
      <c r="G332" s="8"/>
      <c r="H332" s="8"/>
      <c r="I332" s="8"/>
      <c r="J332" s="8"/>
      <c r="K332" s="8"/>
      <c r="L332" s="8"/>
    </row>
    <row r="333" spans="1:12" ht="13.5" customHeight="1">
      <c r="A333" s="183"/>
      <c r="B333" s="599"/>
      <c r="C333" s="180"/>
      <c r="D333" s="8"/>
      <c r="E333" s="8"/>
      <c r="F333" s="8"/>
      <c r="G333" s="8"/>
      <c r="H333" s="8"/>
      <c r="I333" s="8"/>
      <c r="J333" s="8"/>
      <c r="K333" s="8"/>
      <c r="L333" s="8"/>
    </row>
    <row r="334" spans="1:12" ht="13.5" customHeight="1">
      <c r="A334" s="183"/>
      <c r="B334" s="599"/>
      <c r="C334" s="180"/>
      <c r="D334" s="8"/>
      <c r="E334" s="8"/>
      <c r="F334" s="8"/>
      <c r="G334" s="8"/>
      <c r="H334" s="8"/>
      <c r="I334" s="8"/>
      <c r="J334" s="8"/>
      <c r="K334" s="8"/>
      <c r="L334" s="8"/>
    </row>
    <row r="335" spans="1:12" ht="13.5" customHeight="1">
      <c r="A335" s="183"/>
      <c r="B335" s="599"/>
      <c r="C335" s="180"/>
      <c r="D335" s="8"/>
      <c r="E335" s="8"/>
      <c r="F335" s="8"/>
      <c r="G335" s="8"/>
      <c r="H335" s="8"/>
      <c r="I335" s="8"/>
      <c r="J335" s="8"/>
      <c r="K335" s="8"/>
      <c r="L335" s="8"/>
    </row>
    <row r="336" spans="1:12" ht="13.5" customHeight="1">
      <c r="A336" s="183"/>
      <c r="B336" s="599"/>
      <c r="C336" s="180"/>
      <c r="D336" s="8"/>
      <c r="E336" s="8"/>
      <c r="F336" s="8"/>
      <c r="G336" s="8"/>
      <c r="H336" s="8"/>
      <c r="I336" s="8"/>
      <c r="J336" s="8"/>
      <c r="K336" s="8"/>
      <c r="L336" s="8"/>
    </row>
    <row r="337" spans="1:12" ht="13.5" customHeight="1">
      <c r="A337" s="183"/>
      <c r="B337" s="599"/>
      <c r="C337" s="180"/>
      <c r="D337" s="8"/>
      <c r="E337" s="8"/>
      <c r="F337" s="8"/>
      <c r="G337" s="8"/>
      <c r="H337" s="8"/>
      <c r="I337" s="8"/>
      <c r="J337" s="8"/>
      <c r="K337" s="8"/>
      <c r="L337" s="8"/>
    </row>
    <row r="338" spans="1:12" ht="13.5" customHeight="1">
      <c r="A338" s="183"/>
      <c r="B338" s="599"/>
      <c r="C338" s="180"/>
      <c r="D338" s="8"/>
      <c r="E338" s="8"/>
      <c r="F338" s="8"/>
      <c r="G338" s="8"/>
      <c r="H338" s="8"/>
      <c r="I338" s="8"/>
      <c r="J338" s="8"/>
      <c r="K338" s="8"/>
      <c r="L338" s="8"/>
    </row>
    <row r="339" spans="1:12" ht="13.5" customHeight="1">
      <c r="A339" s="183"/>
      <c r="B339" s="599"/>
      <c r="C339" s="180"/>
      <c r="D339" s="8"/>
      <c r="E339" s="8"/>
      <c r="F339" s="8"/>
      <c r="G339" s="8"/>
      <c r="H339" s="8"/>
      <c r="I339" s="8"/>
      <c r="J339" s="8"/>
      <c r="K339" s="8"/>
      <c r="L339" s="8"/>
    </row>
    <row r="340" spans="1:12" ht="13.5" customHeight="1">
      <c r="A340" s="183"/>
      <c r="B340" s="599"/>
      <c r="C340" s="180"/>
      <c r="D340" s="8"/>
      <c r="E340" s="8"/>
      <c r="F340" s="8"/>
      <c r="G340" s="8"/>
      <c r="H340" s="8"/>
      <c r="I340" s="8"/>
      <c r="J340" s="8"/>
      <c r="K340" s="8"/>
      <c r="L340" s="8"/>
    </row>
    <row r="341" spans="1:12" ht="13.5" customHeight="1">
      <c r="A341" s="183"/>
      <c r="B341" s="599"/>
      <c r="C341" s="180"/>
      <c r="D341" s="8"/>
      <c r="E341" s="8"/>
      <c r="F341" s="8"/>
      <c r="G341" s="8"/>
      <c r="H341" s="8"/>
      <c r="I341" s="8"/>
      <c r="J341" s="8"/>
      <c r="K341" s="8"/>
      <c r="L341" s="8"/>
    </row>
    <row r="342" spans="1:12" ht="13.5" customHeight="1">
      <c r="A342" s="183"/>
      <c r="B342" s="599"/>
      <c r="C342" s="180"/>
      <c r="D342" s="8"/>
      <c r="E342" s="8"/>
      <c r="F342" s="8"/>
      <c r="G342" s="8"/>
      <c r="H342" s="8"/>
      <c r="I342" s="8"/>
      <c r="J342" s="8"/>
      <c r="K342" s="8"/>
      <c r="L342" s="8"/>
    </row>
    <row r="343" spans="1:12" ht="13.5" customHeight="1">
      <c r="A343" s="183"/>
      <c r="B343" s="599"/>
      <c r="C343" s="180"/>
      <c r="D343" s="8"/>
      <c r="E343" s="8"/>
      <c r="F343" s="8"/>
      <c r="G343" s="8"/>
      <c r="H343" s="8"/>
      <c r="I343" s="8"/>
      <c r="J343" s="8"/>
      <c r="K343" s="8"/>
      <c r="L343" s="8"/>
    </row>
    <row r="344" spans="1:12" ht="13.5" customHeight="1">
      <c r="A344" s="183"/>
      <c r="B344" s="599"/>
      <c r="C344" s="180"/>
      <c r="D344" s="8"/>
      <c r="E344" s="8"/>
      <c r="F344" s="8"/>
      <c r="G344" s="8"/>
      <c r="H344" s="8"/>
      <c r="I344" s="8"/>
      <c r="J344" s="8"/>
      <c r="K344" s="8"/>
      <c r="L344" s="8"/>
    </row>
    <row r="345" spans="1:12" ht="13.5" customHeight="1">
      <c r="A345" s="183"/>
      <c r="B345" s="599"/>
      <c r="C345" s="180"/>
      <c r="D345" s="8"/>
      <c r="E345" s="8"/>
      <c r="F345" s="8"/>
      <c r="G345" s="8"/>
      <c r="H345" s="8"/>
      <c r="I345" s="8"/>
      <c r="J345" s="8"/>
      <c r="K345" s="8"/>
      <c r="L345" s="8"/>
    </row>
    <row r="346" spans="1:12" ht="13.5" customHeight="1">
      <c r="A346" s="183"/>
      <c r="B346" s="599"/>
      <c r="C346" s="180"/>
      <c r="D346" s="8"/>
      <c r="E346" s="8"/>
      <c r="F346" s="8"/>
      <c r="G346" s="8"/>
      <c r="H346" s="8"/>
      <c r="I346" s="8"/>
      <c r="J346" s="8"/>
      <c r="K346" s="8"/>
      <c r="L346" s="8"/>
    </row>
    <row r="347" spans="1:12" ht="13.5" customHeight="1">
      <c r="A347" s="183"/>
      <c r="B347" s="599"/>
      <c r="C347" s="180"/>
      <c r="D347" s="8"/>
      <c r="E347" s="8"/>
      <c r="F347" s="8"/>
      <c r="G347" s="8"/>
      <c r="H347" s="8"/>
      <c r="I347" s="8"/>
      <c r="J347" s="8"/>
      <c r="K347" s="8"/>
      <c r="L347" s="8"/>
    </row>
    <row r="348" spans="1:12" ht="13.5" customHeight="1">
      <c r="A348" s="183"/>
      <c r="B348" s="599"/>
      <c r="C348" s="180"/>
      <c r="D348" s="8"/>
      <c r="E348" s="8"/>
      <c r="F348" s="8"/>
      <c r="G348" s="8"/>
      <c r="H348" s="8"/>
      <c r="I348" s="8"/>
      <c r="J348" s="8"/>
      <c r="K348" s="8"/>
      <c r="L348" s="8"/>
    </row>
    <row r="349" spans="1:12" ht="13.5" customHeight="1">
      <c r="A349" s="183"/>
      <c r="B349" s="599"/>
      <c r="C349" s="180"/>
      <c r="D349" s="8"/>
      <c r="E349" s="8"/>
      <c r="F349" s="8"/>
      <c r="G349" s="8"/>
      <c r="H349" s="8"/>
      <c r="I349" s="8"/>
      <c r="J349" s="8"/>
      <c r="K349" s="8"/>
      <c r="L349" s="8"/>
    </row>
    <row r="350" spans="1:12" ht="13.5" customHeight="1">
      <c r="A350" s="183"/>
      <c r="B350" s="599"/>
      <c r="C350" s="180"/>
      <c r="D350" s="8"/>
      <c r="E350" s="8"/>
      <c r="F350" s="8"/>
      <c r="G350" s="8"/>
      <c r="H350" s="8"/>
      <c r="I350" s="8"/>
      <c r="J350" s="8"/>
      <c r="K350" s="8"/>
      <c r="L350" s="8"/>
    </row>
    <row r="351" spans="1:12" ht="13.5" customHeight="1">
      <c r="A351" s="183"/>
      <c r="B351" s="599"/>
      <c r="C351" s="180"/>
      <c r="D351" s="8"/>
      <c r="E351" s="8"/>
      <c r="F351" s="8"/>
      <c r="G351" s="8"/>
      <c r="H351" s="8"/>
      <c r="I351" s="8"/>
      <c r="J351" s="8"/>
      <c r="K351" s="8"/>
      <c r="L351" s="8"/>
    </row>
    <row r="352" spans="1:12" ht="13.5" customHeight="1">
      <c r="A352" s="183"/>
      <c r="B352" s="599"/>
      <c r="C352" s="180"/>
      <c r="D352" s="8"/>
      <c r="E352" s="8"/>
      <c r="F352" s="8"/>
      <c r="G352" s="8"/>
      <c r="H352" s="8"/>
      <c r="I352" s="8"/>
      <c r="J352" s="8"/>
      <c r="K352" s="8"/>
      <c r="L352" s="8"/>
    </row>
    <row r="353" spans="1:12" ht="13.5" customHeight="1">
      <c r="A353" s="183"/>
      <c r="B353" s="599"/>
      <c r="C353" s="180"/>
      <c r="D353" s="8"/>
      <c r="E353" s="8"/>
      <c r="F353" s="8"/>
      <c r="G353" s="8"/>
      <c r="H353" s="8"/>
      <c r="I353" s="8"/>
      <c r="J353" s="8"/>
      <c r="K353" s="8"/>
      <c r="L353" s="8"/>
    </row>
    <row r="354" spans="1:12" ht="13.5" customHeight="1">
      <c r="A354" s="183"/>
      <c r="B354" s="599"/>
      <c r="C354" s="180"/>
      <c r="D354" s="8"/>
      <c r="E354" s="8"/>
      <c r="F354" s="8"/>
      <c r="G354" s="8"/>
      <c r="H354" s="8"/>
      <c r="I354" s="8"/>
      <c r="J354" s="8"/>
      <c r="K354" s="8"/>
      <c r="L354" s="8"/>
    </row>
    <row r="355" spans="1:12" ht="13.5" customHeight="1">
      <c r="A355" s="183"/>
      <c r="B355" s="599"/>
      <c r="C355" s="180"/>
      <c r="D355" s="8"/>
      <c r="E355" s="8"/>
      <c r="F355" s="8"/>
      <c r="G355" s="8"/>
      <c r="H355" s="8"/>
      <c r="I355" s="8"/>
      <c r="J355" s="8"/>
      <c r="K355" s="8"/>
      <c r="L355" s="8"/>
    </row>
    <row r="356" spans="1:12" ht="13.5" customHeight="1">
      <c r="A356" s="183"/>
      <c r="B356" s="599"/>
      <c r="C356" s="180"/>
      <c r="D356" s="8"/>
      <c r="E356" s="8"/>
      <c r="F356" s="8"/>
      <c r="G356" s="8"/>
      <c r="H356" s="8"/>
      <c r="I356" s="8"/>
      <c r="J356" s="8"/>
      <c r="K356" s="8"/>
      <c r="L356" s="8"/>
    </row>
    <row r="357" spans="1:12" ht="13.5" customHeight="1">
      <c r="A357" s="183"/>
      <c r="B357" s="599"/>
      <c r="C357" s="180"/>
      <c r="D357" s="8"/>
      <c r="E357" s="8"/>
      <c r="F357" s="8"/>
      <c r="G357" s="8"/>
      <c r="H357" s="8"/>
      <c r="I357" s="8"/>
      <c r="J357" s="8"/>
      <c r="K357" s="8"/>
      <c r="L357" s="8"/>
    </row>
    <row r="358" spans="1:12" ht="13.5" customHeight="1">
      <c r="A358" s="183"/>
      <c r="B358" s="599"/>
      <c r="C358" s="180"/>
      <c r="D358" s="8"/>
      <c r="E358" s="8"/>
      <c r="F358" s="8"/>
      <c r="G358" s="8"/>
      <c r="H358" s="8"/>
      <c r="I358" s="8"/>
      <c r="J358" s="8"/>
      <c r="K358" s="8"/>
      <c r="L358" s="8"/>
    </row>
    <row r="359" spans="1:12" ht="13.5" customHeight="1">
      <c r="A359" s="183"/>
      <c r="B359" s="599"/>
      <c r="C359" s="180"/>
      <c r="D359" s="8"/>
      <c r="E359" s="8"/>
      <c r="F359" s="8"/>
      <c r="G359" s="8"/>
      <c r="H359" s="8"/>
      <c r="I359" s="8"/>
      <c r="J359" s="8"/>
      <c r="K359" s="8"/>
      <c r="L359" s="8"/>
    </row>
    <row r="360" spans="1:12" ht="13.5" customHeight="1">
      <c r="A360" s="183"/>
      <c r="B360" s="599"/>
      <c r="C360" s="180"/>
      <c r="D360" s="8"/>
      <c r="E360" s="8"/>
      <c r="F360" s="8"/>
      <c r="G360" s="8"/>
      <c r="H360" s="8"/>
      <c r="I360" s="8"/>
      <c r="J360" s="8"/>
      <c r="K360" s="8"/>
      <c r="L360" s="8"/>
    </row>
    <row r="361" spans="1:12" ht="13.5" customHeight="1">
      <c r="A361" s="183"/>
      <c r="B361" s="599"/>
      <c r="C361" s="180"/>
      <c r="D361" s="8"/>
      <c r="E361" s="8"/>
      <c r="F361" s="8"/>
      <c r="G361" s="8"/>
      <c r="H361" s="8"/>
      <c r="I361" s="8"/>
      <c r="J361" s="8"/>
      <c r="K361" s="8"/>
      <c r="L361" s="8"/>
    </row>
    <row r="362" spans="1:12" ht="13.5" customHeight="1">
      <c r="A362" s="183"/>
      <c r="B362" s="599"/>
      <c r="C362" s="180"/>
      <c r="D362" s="8"/>
      <c r="E362" s="8"/>
      <c r="F362" s="8"/>
      <c r="G362" s="8"/>
      <c r="H362" s="8"/>
      <c r="I362" s="8"/>
      <c r="J362" s="8"/>
      <c r="K362" s="8"/>
      <c r="L362" s="8"/>
    </row>
    <row r="363" spans="1:12" ht="13.5" customHeight="1">
      <c r="A363" s="183"/>
      <c r="B363" s="599"/>
      <c r="C363" s="180"/>
      <c r="D363" s="8"/>
      <c r="E363" s="8"/>
      <c r="F363" s="8"/>
      <c r="G363" s="8"/>
      <c r="H363" s="8"/>
      <c r="I363" s="8"/>
      <c r="J363" s="8"/>
      <c r="K363" s="8"/>
      <c r="L363" s="8"/>
    </row>
    <row r="364" spans="1:12" ht="13.5" customHeight="1">
      <c r="A364" s="183"/>
      <c r="B364" s="599"/>
      <c r="C364" s="180"/>
      <c r="D364" s="8"/>
      <c r="E364" s="8"/>
      <c r="F364" s="8"/>
      <c r="G364" s="8"/>
      <c r="H364" s="8"/>
      <c r="I364" s="8"/>
      <c r="J364" s="8"/>
      <c r="K364" s="8"/>
      <c r="L364" s="8"/>
    </row>
    <row r="365" spans="1:12" ht="13.5" customHeight="1">
      <c r="A365" s="183"/>
      <c r="B365" s="599"/>
      <c r="C365" s="180"/>
      <c r="D365" s="8"/>
      <c r="E365" s="8"/>
      <c r="F365" s="8"/>
      <c r="G365" s="8"/>
      <c r="H365" s="8"/>
      <c r="I365" s="8"/>
      <c r="J365" s="8"/>
      <c r="K365" s="8"/>
      <c r="L365" s="8"/>
    </row>
    <row r="366" spans="1:12" ht="13.5" customHeight="1">
      <c r="A366" s="183"/>
      <c r="B366" s="599"/>
      <c r="C366" s="180"/>
      <c r="D366" s="8"/>
      <c r="E366" s="8"/>
      <c r="F366" s="8"/>
      <c r="G366" s="8"/>
      <c r="H366" s="8"/>
      <c r="I366" s="8"/>
      <c r="J366" s="8"/>
      <c r="K366" s="8"/>
      <c r="L366" s="8"/>
    </row>
    <row r="367" spans="1:12" ht="13.5" customHeight="1">
      <c r="A367" s="183"/>
      <c r="B367" s="599"/>
      <c r="C367" s="180"/>
      <c r="D367" s="8"/>
      <c r="E367" s="8"/>
      <c r="F367" s="8"/>
      <c r="G367" s="8"/>
      <c r="H367" s="8"/>
      <c r="I367" s="8"/>
      <c r="J367" s="8"/>
      <c r="K367" s="8"/>
      <c r="L367" s="8"/>
    </row>
    <row r="368" spans="1:12" ht="13.5" customHeight="1">
      <c r="A368" s="183"/>
      <c r="B368" s="599"/>
      <c r="C368" s="180"/>
      <c r="D368" s="8"/>
      <c r="E368" s="8"/>
      <c r="F368" s="8"/>
      <c r="G368" s="8"/>
      <c r="H368" s="8"/>
      <c r="I368" s="8"/>
      <c r="J368" s="8"/>
      <c r="K368" s="8"/>
      <c r="L368" s="8"/>
    </row>
    <row r="369" spans="1:12" ht="13.5" customHeight="1">
      <c r="A369" s="183"/>
      <c r="B369" s="599"/>
      <c r="C369" s="180"/>
      <c r="D369" s="8"/>
      <c r="E369" s="8"/>
      <c r="F369" s="8"/>
      <c r="G369" s="8"/>
      <c r="H369" s="8"/>
      <c r="I369" s="8"/>
      <c r="J369" s="8"/>
      <c r="K369" s="8"/>
      <c r="L369" s="8"/>
    </row>
    <row r="370" spans="1:12" ht="13.5" customHeight="1">
      <c r="A370" s="183"/>
      <c r="B370" s="599"/>
      <c r="C370" s="180"/>
      <c r="D370" s="8"/>
      <c r="E370" s="8"/>
      <c r="F370" s="8"/>
      <c r="G370" s="8"/>
      <c r="H370" s="8"/>
      <c r="I370" s="8"/>
      <c r="J370" s="8"/>
      <c r="K370" s="8"/>
      <c r="L370" s="8"/>
    </row>
    <row r="371" spans="1:12" ht="13.5" customHeight="1">
      <c r="A371" s="183"/>
      <c r="B371" s="599"/>
      <c r="C371" s="180"/>
      <c r="D371" s="8"/>
      <c r="E371" s="8"/>
      <c r="F371" s="8"/>
      <c r="G371" s="8"/>
      <c r="H371" s="8"/>
      <c r="I371" s="8"/>
      <c r="J371" s="8"/>
      <c r="K371" s="8"/>
      <c r="L371" s="8"/>
    </row>
    <row r="372" spans="1:12" ht="13.5" customHeight="1">
      <c r="A372" s="183"/>
      <c r="B372" s="599"/>
      <c r="C372" s="180"/>
      <c r="D372" s="8"/>
      <c r="E372" s="8"/>
      <c r="F372" s="8"/>
      <c r="G372" s="8"/>
      <c r="H372" s="8"/>
      <c r="I372" s="8"/>
      <c r="J372" s="8"/>
      <c r="K372" s="8"/>
      <c r="L372" s="8"/>
    </row>
    <row r="373" spans="1:12" ht="13.5" customHeight="1">
      <c r="A373" s="183"/>
      <c r="B373" s="599"/>
      <c r="C373" s="180"/>
      <c r="D373" s="8"/>
      <c r="E373" s="8"/>
      <c r="F373" s="8"/>
      <c r="G373" s="8"/>
      <c r="H373" s="8"/>
      <c r="I373" s="8"/>
      <c r="J373" s="8"/>
      <c r="K373" s="8"/>
      <c r="L373" s="8"/>
    </row>
    <row r="374" spans="1:12" ht="13.5" customHeight="1">
      <c r="A374" s="183"/>
      <c r="B374" s="599"/>
      <c r="C374" s="180"/>
      <c r="D374" s="8"/>
      <c r="E374" s="8"/>
      <c r="F374" s="8"/>
      <c r="G374" s="8"/>
      <c r="H374" s="8"/>
      <c r="I374" s="8"/>
      <c r="J374" s="8"/>
      <c r="K374" s="8"/>
      <c r="L374" s="8"/>
    </row>
    <row r="375" spans="1:12" ht="13.5" customHeight="1">
      <c r="A375" s="183"/>
      <c r="B375" s="599"/>
      <c r="C375" s="180"/>
      <c r="D375" s="8"/>
      <c r="E375" s="8"/>
      <c r="F375" s="8"/>
      <c r="G375" s="8"/>
      <c r="H375" s="8"/>
      <c r="I375" s="8"/>
      <c r="J375" s="8"/>
      <c r="K375" s="8"/>
      <c r="L375" s="8"/>
    </row>
    <row r="376" spans="1:12" ht="13.5" customHeight="1">
      <c r="A376" s="183"/>
      <c r="B376" s="599"/>
      <c r="C376" s="180"/>
      <c r="D376" s="8"/>
      <c r="E376" s="8"/>
      <c r="F376" s="8"/>
      <c r="G376" s="8"/>
      <c r="H376" s="8"/>
      <c r="I376" s="8"/>
      <c r="J376" s="8"/>
      <c r="K376" s="8"/>
      <c r="L376" s="8"/>
    </row>
    <row r="377" spans="1:12" ht="13.5" customHeight="1">
      <c r="A377" s="183"/>
      <c r="B377" s="599"/>
      <c r="C377" s="180"/>
      <c r="D377" s="8"/>
      <c r="E377" s="8"/>
      <c r="F377" s="8"/>
      <c r="G377" s="8"/>
      <c r="H377" s="8"/>
      <c r="I377" s="8"/>
      <c r="J377" s="8"/>
      <c r="K377" s="8"/>
      <c r="L377" s="8"/>
    </row>
    <row r="378" spans="1:12" ht="13.5" customHeight="1">
      <c r="A378" s="183"/>
      <c r="B378" s="599"/>
      <c r="C378" s="180"/>
      <c r="D378" s="8"/>
      <c r="E378" s="8"/>
      <c r="F378" s="8"/>
      <c r="G378" s="8"/>
      <c r="H378" s="8"/>
      <c r="I378" s="8"/>
      <c r="J378" s="8"/>
      <c r="K378" s="8"/>
      <c r="L378" s="8"/>
    </row>
    <row r="379" spans="1:12" ht="13.5" customHeight="1">
      <c r="A379" s="183"/>
      <c r="B379" s="599"/>
      <c r="C379" s="180"/>
      <c r="D379" s="8"/>
      <c r="E379" s="8"/>
      <c r="F379" s="8"/>
      <c r="G379" s="8"/>
      <c r="H379" s="8"/>
      <c r="I379" s="8"/>
      <c r="J379" s="8"/>
      <c r="K379" s="8"/>
      <c r="L379" s="8"/>
    </row>
    <row r="380" spans="1:12" ht="13.5" customHeight="1">
      <c r="A380" s="183"/>
      <c r="B380" s="599"/>
      <c r="C380" s="180"/>
      <c r="D380" s="8"/>
      <c r="E380" s="8"/>
      <c r="F380" s="8"/>
      <c r="G380" s="8"/>
      <c r="H380" s="8"/>
      <c r="I380" s="8"/>
      <c r="J380" s="8"/>
      <c r="K380" s="8"/>
      <c r="L380" s="8"/>
    </row>
    <row r="381" spans="1:12" ht="13.5" customHeight="1">
      <c r="A381" s="183"/>
      <c r="B381" s="599"/>
      <c r="C381" s="180"/>
      <c r="D381" s="8"/>
      <c r="E381" s="8"/>
      <c r="F381" s="8"/>
      <c r="G381" s="8"/>
      <c r="H381" s="8"/>
      <c r="I381" s="8"/>
      <c r="J381" s="8"/>
      <c r="K381" s="8"/>
      <c r="L381" s="8"/>
    </row>
    <row r="382" spans="1:12" ht="13.5" customHeight="1">
      <c r="A382" s="183"/>
      <c r="B382" s="599"/>
      <c r="C382" s="180"/>
      <c r="D382" s="8"/>
      <c r="E382" s="8"/>
      <c r="F382" s="8"/>
      <c r="G382" s="8"/>
      <c r="H382" s="8"/>
      <c r="I382" s="8"/>
      <c r="J382" s="8"/>
      <c r="K382" s="8"/>
      <c r="L382" s="8"/>
    </row>
    <row r="383" spans="1:12" ht="13.5" customHeight="1">
      <c r="A383" s="183"/>
      <c r="B383" s="599"/>
      <c r="C383" s="180"/>
      <c r="D383" s="8"/>
      <c r="E383" s="8"/>
      <c r="F383" s="8"/>
      <c r="G383" s="8"/>
      <c r="H383" s="8"/>
      <c r="I383" s="8"/>
      <c r="J383" s="8"/>
      <c r="K383" s="8"/>
      <c r="L383" s="8"/>
    </row>
    <row r="384" spans="1:12" ht="13.5" customHeight="1">
      <c r="A384" s="183"/>
      <c r="B384" s="599"/>
      <c r="C384" s="180"/>
      <c r="D384" s="8"/>
      <c r="E384" s="8"/>
      <c r="F384" s="8"/>
      <c r="G384" s="8"/>
      <c r="H384" s="8"/>
      <c r="I384" s="8"/>
      <c r="J384" s="8"/>
      <c r="K384" s="8"/>
      <c r="L384" s="8"/>
    </row>
    <row r="385" spans="1:12" ht="13.5" customHeight="1">
      <c r="A385" s="183"/>
      <c r="B385" s="599"/>
      <c r="C385" s="180"/>
      <c r="D385" s="8"/>
      <c r="E385" s="8"/>
      <c r="F385" s="8"/>
      <c r="G385" s="8"/>
      <c r="H385" s="8"/>
      <c r="I385" s="8"/>
      <c r="J385" s="8"/>
      <c r="K385" s="8"/>
      <c r="L385" s="8"/>
    </row>
    <row r="386" spans="1:12" ht="13.5" customHeight="1">
      <c r="A386" s="183"/>
      <c r="B386" s="599"/>
      <c r="C386" s="180"/>
      <c r="D386" s="8"/>
      <c r="E386" s="8"/>
      <c r="F386" s="8"/>
      <c r="G386" s="8"/>
      <c r="H386" s="8"/>
      <c r="I386" s="8"/>
      <c r="J386" s="8"/>
      <c r="K386" s="8"/>
      <c r="L386" s="8"/>
    </row>
    <row r="387" spans="1:12" ht="13.5" customHeight="1">
      <c r="A387" s="183"/>
      <c r="B387" s="599"/>
      <c r="C387" s="180"/>
      <c r="D387" s="8"/>
      <c r="E387" s="8"/>
      <c r="F387" s="8"/>
      <c r="G387" s="8"/>
      <c r="H387" s="8"/>
      <c r="I387" s="8"/>
      <c r="J387" s="8"/>
      <c r="K387" s="8"/>
      <c r="L387" s="8"/>
    </row>
    <row r="388" spans="1:12" ht="13.5" customHeight="1">
      <c r="A388" s="183"/>
      <c r="B388" s="599"/>
      <c r="C388" s="180"/>
      <c r="D388" s="8"/>
      <c r="E388" s="8"/>
      <c r="F388" s="8"/>
      <c r="G388" s="8"/>
      <c r="H388" s="8"/>
      <c r="I388" s="8"/>
      <c r="J388" s="8"/>
      <c r="K388" s="8"/>
      <c r="L388" s="8"/>
    </row>
    <row r="389" spans="1:12" ht="13.5" customHeight="1">
      <c r="A389" s="183"/>
      <c r="B389" s="599"/>
      <c r="C389" s="180"/>
      <c r="D389" s="8"/>
      <c r="E389" s="8"/>
      <c r="F389" s="8"/>
      <c r="G389" s="8"/>
      <c r="H389" s="8"/>
      <c r="I389" s="8"/>
      <c r="J389" s="8"/>
      <c r="K389" s="8"/>
      <c r="L389" s="8"/>
    </row>
    <row r="390" spans="1:12" ht="13.5" customHeight="1">
      <c r="A390" s="183"/>
      <c r="B390" s="599"/>
      <c r="C390" s="180"/>
      <c r="D390" s="8"/>
      <c r="E390" s="8"/>
      <c r="F390" s="8"/>
      <c r="G390" s="8"/>
      <c r="H390" s="8"/>
      <c r="I390" s="8"/>
      <c r="J390" s="8"/>
      <c r="K390" s="8"/>
      <c r="L390" s="8"/>
    </row>
    <row r="391" spans="1:12" ht="13.5" customHeight="1">
      <c r="A391" s="183"/>
      <c r="B391" s="599"/>
      <c r="C391" s="180"/>
      <c r="D391" s="8"/>
      <c r="E391" s="8"/>
      <c r="F391" s="8"/>
      <c r="G391" s="8"/>
      <c r="H391" s="8"/>
      <c r="I391" s="8"/>
      <c r="J391" s="8"/>
      <c r="K391" s="8"/>
      <c r="L391" s="8"/>
    </row>
    <row r="392" spans="1:12" ht="13.5" customHeight="1">
      <c r="A392" s="183"/>
      <c r="B392" s="599"/>
      <c r="C392" s="180"/>
      <c r="D392" s="8"/>
      <c r="E392" s="8"/>
      <c r="F392" s="8"/>
      <c r="G392" s="8"/>
      <c r="H392" s="8"/>
      <c r="I392" s="8"/>
      <c r="J392" s="8"/>
      <c r="K392" s="8"/>
      <c r="L392" s="8"/>
    </row>
    <row r="393" spans="1:12" ht="13.5" customHeight="1">
      <c r="A393" s="183"/>
      <c r="B393" s="599"/>
      <c r="C393" s="180"/>
      <c r="D393" s="8"/>
      <c r="E393" s="8"/>
      <c r="F393" s="8"/>
      <c r="G393" s="8"/>
      <c r="H393" s="8"/>
      <c r="I393" s="8"/>
      <c r="J393" s="8"/>
      <c r="K393" s="8"/>
      <c r="L393" s="8"/>
    </row>
    <row r="394" spans="1:12" ht="13.5" customHeight="1">
      <c r="A394" s="183"/>
      <c r="B394" s="599"/>
      <c r="C394" s="180"/>
      <c r="D394" s="8"/>
      <c r="E394" s="8"/>
      <c r="F394" s="8"/>
      <c r="G394" s="8"/>
      <c r="H394" s="8"/>
      <c r="I394" s="8"/>
      <c r="J394" s="8"/>
      <c r="K394" s="8"/>
      <c r="L394" s="8"/>
    </row>
    <row r="395" spans="1:12" ht="13.5" customHeight="1">
      <c r="A395" s="183"/>
      <c r="B395" s="599"/>
      <c r="C395" s="180"/>
      <c r="D395" s="8"/>
      <c r="E395" s="8"/>
      <c r="F395" s="8"/>
      <c r="G395" s="8"/>
      <c r="H395" s="8"/>
      <c r="I395" s="8"/>
      <c r="J395" s="8"/>
      <c r="K395" s="8"/>
      <c r="L395" s="8"/>
    </row>
    <row r="396" spans="1:12" ht="13.5" customHeight="1">
      <c r="A396" s="183"/>
      <c r="B396" s="599"/>
      <c r="C396" s="180"/>
      <c r="D396" s="8"/>
      <c r="E396" s="8"/>
      <c r="F396" s="8"/>
      <c r="G396" s="8"/>
      <c r="H396" s="8"/>
      <c r="I396" s="8"/>
      <c r="J396" s="8"/>
      <c r="K396" s="8"/>
      <c r="L396" s="8"/>
    </row>
    <row r="397" spans="1:12" ht="13.5" customHeight="1">
      <c r="A397" s="183"/>
      <c r="B397" s="599"/>
      <c r="C397" s="180"/>
      <c r="D397" s="8"/>
      <c r="E397" s="8"/>
      <c r="F397" s="8"/>
      <c r="G397" s="8"/>
      <c r="H397" s="8"/>
      <c r="I397" s="8"/>
      <c r="J397" s="8"/>
      <c r="K397" s="8"/>
      <c r="L397" s="8"/>
    </row>
    <row r="398" spans="1:12" ht="13.5" customHeight="1">
      <c r="A398" s="183"/>
      <c r="B398" s="599"/>
      <c r="C398" s="180"/>
      <c r="D398" s="8"/>
      <c r="E398" s="8"/>
      <c r="F398" s="8"/>
      <c r="G398" s="8"/>
      <c r="H398" s="8"/>
      <c r="I398" s="8"/>
      <c r="J398" s="8"/>
      <c r="K398" s="8"/>
      <c r="L398" s="8"/>
    </row>
    <row r="399" spans="1:12" ht="13.5" customHeight="1">
      <c r="A399" s="183"/>
      <c r="B399" s="599"/>
      <c r="C399" s="180"/>
      <c r="D399" s="8"/>
      <c r="E399" s="8"/>
      <c r="F399" s="8"/>
      <c r="G399" s="8"/>
      <c r="H399" s="8"/>
      <c r="I399" s="8"/>
      <c r="J399" s="8"/>
      <c r="K399" s="8"/>
      <c r="L399" s="8"/>
    </row>
    <row r="400" spans="1:12" ht="13.5" customHeight="1">
      <c r="A400" s="183"/>
      <c r="B400" s="599"/>
      <c r="C400" s="180"/>
      <c r="D400" s="8"/>
      <c r="E400" s="8"/>
      <c r="F400" s="8"/>
      <c r="G400" s="8"/>
      <c r="H400" s="8"/>
      <c r="I400" s="8"/>
      <c r="J400" s="8"/>
      <c r="K400" s="8"/>
      <c r="L400" s="8"/>
    </row>
    <row r="401" spans="1:12" ht="13.5" customHeight="1">
      <c r="A401" s="183"/>
      <c r="B401" s="599"/>
      <c r="C401" s="180"/>
      <c r="D401" s="8"/>
      <c r="E401" s="8"/>
      <c r="F401" s="8"/>
      <c r="G401" s="8"/>
      <c r="H401" s="8"/>
      <c r="I401" s="8"/>
      <c r="J401" s="8"/>
      <c r="K401" s="8"/>
      <c r="L401" s="8"/>
    </row>
    <row r="402" spans="1:12" ht="13.5" customHeight="1">
      <c r="A402" s="183"/>
      <c r="B402" s="599"/>
      <c r="C402" s="180"/>
      <c r="D402" s="8"/>
      <c r="E402" s="8"/>
      <c r="F402" s="8"/>
      <c r="G402" s="8"/>
      <c r="H402" s="8"/>
      <c r="I402" s="8"/>
      <c r="J402" s="8"/>
      <c r="K402" s="8"/>
      <c r="L402" s="8"/>
    </row>
    <row r="403" spans="1:12" ht="13.5" customHeight="1">
      <c r="A403" s="183"/>
      <c r="B403" s="599"/>
      <c r="C403" s="180"/>
      <c r="D403" s="8"/>
      <c r="E403" s="8"/>
      <c r="F403" s="8"/>
      <c r="G403" s="8"/>
      <c r="H403" s="8"/>
      <c r="I403" s="8"/>
      <c r="J403" s="8"/>
      <c r="K403" s="8"/>
      <c r="L403" s="8"/>
    </row>
    <row r="404" spans="1:12" ht="13.5" customHeight="1">
      <c r="A404" s="183"/>
      <c r="B404" s="599"/>
      <c r="C404" s="180"/>
      <c r="D404" s="8"/>
      <c r="E404" s="8"/>
      <c r="F404" s="8"/>
      <c r="G404" s="8"/>
      <c r="H404" s="8"/>
      <c r="I404" s="8"/>
      <c r="J404" s="8"/>
      <c r="K404" s="8"/>
      <c r="L404" s="8"/>
    </row>
    <row r="405" spans="1:12" ht="13.5" customHeight="1">
      <c r="A405" s="183"/>
      <c r="B405" s="599"/>
      <c r="C405" s="180"/>
      <c r="D405" s="8"/>
      <c r="E405" s="8"/>
      <c r="F405" s="8"/>
      <c r="G405" s="8"/>
      <c r="H405" s="8"/>
      <c r="I405" s="8"/>
      <c r="J405" s="8"/>
      <c r="K405" s="8"/>
      <c r="L405" s="8"/>
    </row>
    <row r="406" spans="1:12" ht="13.5" customHeight="1">
      <c r="A406" s="183"/>
      <c r="B406" s="599"/>
      <c r="C406" s="180"/>
      <c r="D406" s="8"/>
      <c r="E406" s="8"/>
      <c r="F406" s="8"/>
      <c r="G406" s="8"/>
      <c r="H406" s="8"/>
      <c r="I406" s="8"/>
      <c r="J406" s="8"/>
      <c r="K406" s="8"/>
      <c r="L406" s="8"/>
    </row>
    <row r="407" spans="1:12" ht="13.5" customHeight="1">
      <c r="A407" s="183"/>
      <c r="B407" s="599"/>
      <c r="C407" s="180"/>
      <c r="D407" s="8"/>
      <c r="E407" s="8"/>
      <c r="F407" s="8"/>
      <c r="G407" s="8"/>
      <c r="H407" s="8"/>
      <c r="I407" s="8"/>
      <c r="J407" s="8"/>
      <c r="K407" s="8"/>
      <c r="L407" s="8"/>
    </row>
    <row r="408" spans="1:12" ht="13.5" customHeight="1">
      <c r="A408" s="183"/>
      <c r="B408" s="599"/>
      <c r="C408" s="180"/>
      <c r="D408" s="8"/>
      <c r="E408" s="8"/>
      <c r="F408" s="8"/>
      <c r="G408" s="8"/>
      <c r="H408" s="8"/>
      <c r="I408" s="8"/>
      <c r="J408" s="8"/>
      <c r="K408" s="8"/>
      <c r="L408" s="8"/>
    </row>
    <row r="409" spans="1:12" ht="13.5" customHeight="1">
      <c r="A409" s="183"/>
      <c r="B409" s="599"/>
      <c r="C409" s="180"/>
      <c r="D409" s="8"/>
      <c r="E409" s="8"/>
      <c r="F409" s="8"/>
      <c r="G409" s="8"/>
      <c r="H409" s="8"/>
      <c r="I409" s="8"/>
      <c r="J409" s="8"/>
      <c r="K409" s="8"/>
      <c r="L409" s="8"/>
    </row>
    <row r="410" spans="1:12" ht="13.5" customHeight="1">
      <c r="A410" s="183"/>
      <c r="B410" s="599"/>
      <c r="C410" s="180"/>
      <c r="D410" s="8"/>
      <c r="E410" s="8"/>
      <c r="F410" s="8"/>
      <c r="G410" s="8"/>
      <c r="H410" s="8"/>
      <c r="I410" s="8"/>
      <c r="J410" s="8"/>
      <c r="K410" s="8"/>
      <c r="L410" s="8"/>
    </row>
    <row r="411" spans="1:12" ht="13.5" customHeight="1">
      <c r="A411" s="183"/>
      <c r="B411" s="599"/>
      <c r="C411" s="180"/>
      <c r="D411" s="8"/>
      <c r="E411" s="8"/>
      <c r="F411" s="8"/>
      <c r="G411" s="8"/>
      <c r="H411" s="8"/>
      <c r="I411" s="8"/>
      <c r="J411" s="8"/>
      <c r="K411" s="8"/>
      <c r="L411" s="8"/>
    </row>
    <row r="412" spans="1:12" ht="13.5" customHeight="1">
      <c r="A412" s="183"/>
      <c r="B412" s="599"/>
      <c r="C412" s="180"/>
      <c r="D412" s="8"/>
      <c r="E412" s="8"/>
      <c r="F412" s="8"/>
      <c r="G412" s="8"/>
      <c r="H412" s="8"/>
      <c r="I412" s="8"/>
      <c r="J412" s="8"/>
      <c r="K412" s="8"/>
      <c r="L412" s="8"/>
    </row>
    <row r="413" spans="1:12" ht="13.5" customHeight="1">
      <c r="A413" s="183"/>
      <c r="B413" s="599"/>
      <c r="C413" s="180"/>
      <c r="D413" s="8"/>
      <c r="E413" s="8"/>
      <c r="F413" s="8"/>
      <c r="G413" s="8"/>
      <c r="H413" s="8"/>
      <c r="I413" s="8"/>
      <c r="J413" s="8"/>
      <c r="K413" s="8"/>
      <c r="L413" s="8"/>
    </row>
    <row r="414" spans="1:12" ht="13.5" customHeight="1">
      <c r="A414" s="183"/>
      <c r="B414" s="599"/>
      <c r="C414" s="180"/>
      <c r="D414" s="8"/>
      <c r="E414" s="8"/>
      <c r="F414" s="8"/>
      <c r="G414" s="8"/>
      <c r="H414" s="8"/>
      <c r="I414" s="8"/>
      <c r="J414" s="8"/>
      <c r="K414" s="8"/>
      <c r="L414" s="8"/>
    </row>
    <row r="415" spans="1:12" ht="13.5" customHeight="1">
      <c r="A415" s="183"/>
      <c r="B415" s="599"/>
      <c r="C415" s="180"/>
      <c r="D415" s="8"/>
      <c r="E415" s="8"/>
      <c r="F415" s="8"/>
      <c r="G415" s="8"/>
      <c r="H415" s="8"/>
      <c r="I415" s="8"/>
      <c r="J415" s="8"/>
      <c r="K415" s="8"/>
      <c r="L415" s="8"/>
    </row>
    <row r="416" spans="1:12" ht="13.5" customHeight="1">
      <c r="A416" s="183"/>
      <c r="B416" s="599"/>
      <c r="C416" s="180"/>
      <c r="D416" s="8"/>
      <c r="E416" s="8"/>
      <c r="F416" s="8"/>
      <c r="G416" s="8"/>
      <c r="H416" s="8"/>
      <c r="I416" s="8"/>
      <c r="J416" s="8"/>
      <c r="K416" s="8"/>
      <c r="L416" s="8"/>
    </row>
    <row r="417" spans="1:12" ht="13.5" customHeight="1">
      <c r="A417" s="183"/>
      <c r="B417" s="599"/>
      <c r="C417" s="180"/>
      <c r="D417" s="8"/>
      <c r="E417" s="8"/>
      <c r="F417" s="8"/>
      <c r="G417" s="8"/>
      <c r="H417" s="8"/>
      <c r="I417" s="8"/>
      <c r="J417" s="8"/>
      <c r="K417" s="8"/>
      <c r="L417" s="8"/>
    </row>
    <row r="418" spans="1:12" ht="13.5" customHeight="1">
      <c r="A418" s="183"/>
      <c r="B418" s="599"/>
      <c r="C418" s="180"/>
      <c r="D418" s="8"/>
      <c r="E418" s="8"/>
      <c r="F418" s="8"/>
      <c r="G418" s="8"/>
      <c r="H418" s="8"/>
      <c r="I418" s="8"/>
      <c r="J418" s="8"/>
      <c r="K418" s="8"/>
      <c r="L418" s="8"/>
    </row>
    <row r="419" spans="1:12" ht="13.5" customHeight="1">
      <c r="A419" s="183"/>
      <c r="B419" s="599"/>
      <c r="C419" s="180"/>
      <c r="D419" s="8"/>
      <c r="E419" s="8"/>
      <c r="F419" s="8"/>
      <c r="G419" s="8"/>
      <c r="H419" s="8"/>
      <c r="I419" s="8"/>
      <c r="J419" s="8"/>
      <c r="K419" s="8"/>
      <c r="L419" s="8"/>
    </row>
    <row r="420" spans="1:12" ht="13.5" customHeight="1">
      <c r="A420" s="183"/>
      <c r="B420" s="599"/>
      <c r="C420" s="180"/>
      <c r="D420" s="8"/>
      <c r="E420" s="8"/>
      <c r="F420" s="8"/>
      <c r="G420" s="8"/>
      <c r="H420" s="8"/>
      <c r="I420" s="8"/>
      <c r="J420" s="8"/>
      <c r="K420" s="8"/>
      <c r="L420" s="8"/>
    </row>
    <row r="421" spans="1:12" ht="13.5" customHeight="1">
      <c r="A421" s="183"/>
      <c r="B421" s="599"/>
      <c r="C421" s="180"/>
      <c r="D421" s="8"/>
      <c r="E421" s="8"/>
      <c r="F421" s="8"/>
      <c r="G421" s="8"/>
      <c r="H421" s="8"/>
      <c r="I421" s="8"/>
      <c r="J421" s="8"/>
      <c r="K421" s="8"/>
      <c r="L421" s="8"/>
    </row>
    <row r="422" spans="1:12" ht="13.5" customHeight="1">
      <c r="A422" s="183"/>
      <c r="B422" s="599"/>
      <c r="C422" s="180"/>
      <c r="D422" s="8"/>
      <c r="E422" s="8"/>
      <c r="F422" s="8"/>
      <c r="G422" s="8"/>
      <c r="H422" s="8"/>
      <c r="I422" s="8"/>
      <c r="J422" s="8"/>
      <c r="K422" s="8"/>
      <c r="L422" s="8"/>
    </row>
    <row r="423" spans="1:12" ht="13.5" customHeight="1">
      <c r="A423" s="183"/>
      <c r="B423" s="599"/>
      <c r="C423" s="180"/>
      <c r="D423" s="8"/>
      <c r="E423" s="8"/>
      <c r="F423" s="8"/>
      <c r="G423" s="8"/>
      <c r="H423" s="8"/>
      <c r="I423" s="8"/>
      <c r="J423" s="8"/>
      <c r="K423" s="8"/>
      <c r="L423" s="8"/>
    </row>
    <row r="424" spans="1:12" ht="13.5" customHeight="1">
      <c r="A424" s="183"/>
      <c r="B424" s="599"/>
      <c r="C424" s="180"/>
      <c r="D424" s="8"/>
      <c r="E424" s="8"/>
      <c r="F424" s="8"/>
      <c r="G424" s="8"/>
      <c r="H424" s="8"/>
      <c r="I424" s="8"/>
      <c r="J424" s="8"/>
      <c r="K424" s="8"/>
      <c r="L424" s="8"/>
    </row>
    <row r="425" spans="1:12" ht="13.5" customHeight="1">
      <c r="A425" s="183"/>
      <c r="B425" s="599"/>
      <c r="C425" s="180"/>
      <c r="D425" s="8"/>
      <c r="E425" s="8"/>
      <c r="F425" s="8"/>
      <c r="G425" s="8"/>
      <c r="H425" s="8"/>
      <c r="I425" s="8"/>
      <c r="J425" s="8"/>
      <c r="K425" s="8"/>
      <c r="L425" s="8"/>
    </row>
    <row r="426" spans="1:12" ht="13.5" customHeight="1">
      <c r="A426" s="183"/>
      <c r="B426" s="599"/>
      <c r="C426" s="180"/>
      <c r="D426" s="8"/>
      <c r="E426" s="8"/>
      <c r="F426" s="8"/>
      <c r="G426" s="8"/>
      <c r="H426" s="8"/>
      <c r="I426" s="8"/>
      <c r="J426" s="8"/>
      <c r="K426" s="8"/>
      <c r="L426" s="8"/>
    </row>
    <row r="427" spans="1:12" ht="13.5" customHeight="1">
      <c r="A427" s="183"/>
      <c r="B427" s="599"/>
      <c r="C427" s="180"/>
      <c r="D427" s="8"/>
      <c r="E427" s="8"/>
      <c r="F427" s="8"/>
      <c r="G427" s="8"/>
      <c r="H427" s="8"/>
      <c r="I427" s="8"/>
      <c r="J427" s="8"/>
      <c r="K427" s="8"/>
      <c r="L427" s="8"/>
    </row>
    <row r="428" spans="1:12" ht="13.5" customHeight="1">
      <c r="A428" s="183"/>
      <c r="B428" s="599"/>
      <c r="C428" s="180"/>
      <c r="D428" s="8"/>
      <c r="E428" s="8"/>
      <c r="F428" s="8"/>
      <c r="G428" s="8"/>
      <c r="H428" s="8"/>
      <c r="I428" s="8"/>
      <c r="J428" s="8"/>
      <c r="K428" s="8"/>
      <c r="L428" s="8"/>
    </row>
    <row r="429" spans="1:12" ht="13.5" customHeight="1">
      <c r="A429" s="183"/>
      <c r="B429" s="599"/>
      <c r="C429" s="180"/>
      <c r="D429" s="8"/>
      <c r="E429" s="8"/>
      <c r="F429" s="8"/>
      <c r="G429" s="8"/>
      <c r="H429" s="8"/>
      <c r="I429" s="8"/>
      <c r="J429" s="8"/>
      <c r="K429" s="8"/>
      <c r="L429" s="8"/>
    </row>
    <row r="430" spans="1:12" ht="13.5" customHeight="1">
      <c r="A430" s="183"/>
      <c r="B430" s="599"/>
      <c r="C430" s="180"/>
      <c r="D430" s="8"/>
      <c r="E430" s="8"/>
      <c r="F430" s="8"/>
      <c r="G430" s="8"/>
      <c r="H430" s="8"/>
      <c r="I430" s="8"/>
      <c r="J430" s="8"/>
      <c r="K430" s="8"/>
      <c r="L430" s="8"/>
    </row>
    <row r="431" spans="1:12" ht="13.5" customHeight="1">
      <c r="A431" s="183"/>
      <c r="B431" s="599"/>
      <c r="C431" s="180"/>
      <c r="D431" s="8"/>
      <c r="E431" s="8"/>
      <c r="F431" s="8"/>
      <c r="G431" s="8"/>
      <c r="H431" s="8"/>
      <c r="I431" s="8"/>
      <c r="J431" s="8"/>
      <c r="K431" s="8"/>
      <c r="L431" s="8"/>
    </row>
    <row r="432" spans="1:12" ht="13.5" customHeight="1">
      <c r="A432" s="183"/>
      <c r="B432" s="599"/>
      <c r="C432" s="180"/>
      <c r="D432" s="8"/>
      <c r="E432" s="8"/>
      <c r="F432" s="8"/>
      <c r="G432" s="8"/>
      <c r="H432" s="8"/>
      <c r="I432" s="8"/>
      <c r="J432" s="8"/>
      <c r="K432" s="8"/>
      <c r="L432" s="8"/>
    </row>
    <row r="433" spans="1:12" ht="13.5" customHeight="1">
      <c r="A433" s="183"/>
      <c r="B433" s="599"/>
      <c r="C433" s="180"/>
      <c r="D433" s="8"/>
      <c r="E433" s="8"/>
      <c r="F433" s="8"/>
      <c r="G433" s="8"/>
      <c r="H433" s="8"/>
      <c r="I433" s="8"/>
      <c r="J433" s="8"/>
      <c r="K433" s="8"/>
      <c r="L433" s="8"/>
    </row>
    <row r="434" spans="1:12" ht="13.5" customHeight="1">
      <c r="A434" s="183"/>
      <c r="B434" s="599"/>
      <c r="C434" s="180"/>
      <c r="D434" s="8"/>
      <c r="E434" s="8"/>
      <c r="F434" s="8"/>
      <c r="G434" s="8"/>
      <c r="H434" s="8"/>
      <c r="I434" s="8"/>
      <c r="J434" s="8"/>
      <c r="K434" s="8"/>
      <c r="L434" s="8"/>
    </row>
    <row r="435" spans="1:12" ht="13.5" customHeight="1">
      <c r="A435" s="183"/>
      <c r="B435" s="599"/>
      <c r="C435" s="180"/>
      <c r="D435" s="8"/>
      <c r="E435" s="8"/>
      <c r="F435" s="8"/>
      <c r="G435" s="8"/>
      <c r="H435" s="8"/>
      <c r="I435" s="8"/>
      <c r="J435" s="8"/>
      <c r="K435" s="8"/>
      <c r="L435" s="8"/>
    </row>
    <row r="436" spans="1:12" ht="13.5" customHeight="1">
      <c r="A436" s="183"/>
      <c r="B436" s="599"/>
      <c r="C436" s="180"/>
      <c r="D436" s="8"/>
      <c r="E436" s="8"/>
      <c r="F436" s="8"/>
      <c r="G436" s="8"/>
      <c r="H436" s="8"/>
      <c r="I436" s="8"/>
      <c r="J436" s="8"/>
      <c r="K436" s="8"/>
      <c r="L436" s="8"/>
    </row>
    <row r="437" spans="1:12" ht="13.5" customHeight="1">
      <c r="A437" s="183"/>
      <c r="B437" s="599"/>
      <c r="C437" s="180"/>
      <c r="D437" s="8"/>
      <c r="E437" s="8"/>
      <c r="F437" s="8"/>
      <c r="G437" s="8"/>
      <c r="H437" s="8"/>
      <c r="I437" s="8"/>
      <c r="J437" s="8"/>
      <c r="K437" s="8"/>
      <c r="L437" s="8"/>
    </row>
    <row r="438" spans="1:12" ht="13.5" customHeight="1">
      <c r="A438" s="183"/>
      <c r="B438" s="599"/>
      <c r="C438" s="180"/>
      <c r="D438" s="8"/>
      <c r="E438" s="8"/>
      <c r="F438" s="8"/>
      <c r="G438" s="8"/>
      <c r="H438" s="8"/>
      <c r="I438" s="8"/>
      <c r="J438" s="8"/>
      <c r="K438" s="8"/>
      <c r="L438" s="8"/>
    </row>
    <row r="439" spans="1:12" ht="13.5" customHeight="1">
      <c r="A439" s="183"/>
      <c r="B439" s="599"/>
      <c r="C439" s="180"/>
      <c r="D439" s="8"/>
      <c r="E439" s="8"/>
      <c r="F439" s="8"/>
      <c r="G439" s="8"/>
      <c r="H439" s="8"/>
      <c r="I439" s="8"/>
      <c r="J439" s="8"/>
      <c r="K439" s="8"/>
      <c r="L439" s="8"/>
    </row>
    <row r="440" spans="1:12" ht="13.5" customHeight="1">
      <c r="A440" s="183"/>
      <c r="B440" s="599"/>
      <c r="C440" s="180"/>
      <c r="D440" s="8"/>
      <c r="E440" s="8"/>
      <c r="F440" s="8"/>
      <c r="G440" s="8"/>
      <c r="H440" s="8"/>
      <c r="I440" s="8"/>
      <c r="J440" s="8"/>
      <c r="K440" s="8"/>
      <c r="L440" s="8"/>
    </row>
    <row r="441" spans="1:12" ht="13.5" customHeight="1">
      <c r="A441" s="183"/>
      <c r="B441" s="599"/>
      <c r="C441" s="180"/>
      <c r="D441" s="8"/>
      <c r="E441" s="8"/>
      <c r="F441" s="8"/>
      <c r="G441" s="8"/>
      <c r="H441" s="8"/>
      <c r="I441" s="8"/>
      <c r="J441" s="8"/>
      <c r="K441" s="8"/>
      <c r="L441" s="8"/>
    </row>
    <row r="442" spans="1:12" ht="13.5" customHeight="1">
      <c r="A442" s="183"/>
      <c r="B442" s="599"/>
      <c r="C442" s="180"/>
      <c r="D442" s="8"/>
      <c r="E442" s="8"/>
      <c r="F442" s="8"/>
      <c r="G442" s="8"/>
      <c r="H442" s="8"/>
      <c r="I442" s="8"/>
      <c r="J442" s="8"/>
      <c r="K442" s="8"/>
      <c r="L442" s="8"/>
    </row>
    <row r="443" spans="1:12" ht="13.5" customHeight="1">
      <c r="A443" s="183"/>
      <c r="B443" s="599"/>
      <c r="C443" s="180"/>
      <c r="D443" s="8"/>
      <c r="E443" s="8"/>
      <c r="F443" s="8"/>
      <c r="G443" s="8"/>
      <c r="H443" s="8"/>
      <c r="I443" s="8"/>
      <c r="J443" s="8"/>
      <c r="K443" s="8"/>
      <c r="L443" s="8"/>
    </row>
    <row r="444" spans="1:12" ht="13.5" customHeight="1">
      <c r="A444" s="183"/>
      <c r="B444" s="599"/>
      <c r="C444" s="180"/>
      <c r="D444" s="8"/>
      <c r="E444" s="8"/>
      <c r="F444" s="8"/>
      <c r="G444" s="8"/>
      <c r="H444" s="8"/>
      <c r="I444" s="8"/>
      <c r="J444" s="8"/>
      <c r="K444" s="8"/>
      <c r="L444" s="8"/>
    </row>
    <row r="445" spans="1:12" ht="13.5" customHeight="1">
      <c r="A445" s="183"/>
      <c r="B445" s="599"/>
      <c r="C445" s="180"/>
      <c r="D445" s="8"/>
      <c r="E445" s="8"/>
      <c r="F445" s="8"/>
      <c r="G445" s="8"/>
      <c r="H445" s="8"/>
      <c r="I445" s="8"/>
      <c r="J445" s="8"/>
      <c r="K445" s="8"/>
      <c r="L445" s="8"/>
    </row>
    <row r="446" spans="1:12" ht="13.5" customHeight="1">
      <c r="A446" s="183"/>
      <c r="B446" s="599"/>
      <c r="C446" s="180"/>
      <c r="D446" s="8"/>
      <c r="E446" s="8"/>
      <c r="F446" s="8"/>
      <c r="G446" s="8"/>
      <c r="H446" s="8"/>
      <c r="I446" s="8"/>
      <c r="J446" s="8"/>
      <c r="K446" s="8"/>
      <c r="L446" s="8"/>
    </row>
    <row r="447" spans="1:12" ht="13.5" customHeight="1">
      <c r="A447" s="183"/>
      <c r="B447" s="599"/>
      <c r="C447" s="180"/>
      <c r="D447" s="8"/>
      <c r="E447" s="8"/>
      <c r="F447" s="8"/>
      <c r="G447" s="8"/>
      <c r="H447" s="8"/>
      <c r="I447" s="8"/>
      <c r="J447" s="8"/>
      <c r="K447" s="8"/>
      <c r="L447" s="8"/>
    </row>
    <row r="448" spans="1:12" ht="13.5" customHeight="1">
      <c r="A448" s="183"/>
      <c r="B448" s="599"/>
      <c r="C448" s="180"/>
      <c r="D448" s="8"/>
      <c r="E448" s="8"/>
      <c r="F448" s="8"/>
      <c r="G448" s="8"/>
      <c r="H448" s="8"/>
      <c r="I448" s="8"/>
      <c r="J448" s="8"/>
      <c r="K448" s="8"/>
      <c r="L448" s="8"/>
    </row>
    <row r="449" spans="1:12" ht="13.5" customHeight="1">
      <c r="A449" s="183"/>
      <c r="B449" s="599"/>
      <c r="C449" s="180"/>
      <c r="D449" s="8"/>
      <c r="E449" s="8"/>
      <c r="F449" s="8"/>
      <c r="G449" s="8"/>
      <c r="H449" s="8"/>
      <c r="I449" s="8"/>
      <c r="J449" s="8"/>
      <c r="K449" s="8"/>
      <c r="L449" s="8"/>
    </row>
    <row r="450" spans="1:12" ht="13.5" customHeight="1">
      <c r="A450" s="183"/>
      <c r="B450" s="599"/>
      <c r="C450" s="180"/>
      <c r="D450" s="8"/>
      <c r="E450" s="8"/>
      <c r="F450" s="8"/>
      <c r="G450" s="8"/>
      <c r="H450" s="8"/>
      <c r="I450" s="8"/>
      <c r="J450" s="8"/>
      <c r="K450" s="8"/>
      <c r="L450" s="8"/>
    </row>
    <row r="451" spans="1:12" ht="13.5" customHeight="1">
      <c r="A451" s="183"/>
      <c r="B451" s="599"/>
      <c r="C451" s="180"/>
      <c r="D451" s="8"/>
      <c r="E451" s="8"/>
      <c r="F451" s="8"/>
      <c r="G451" s="8"/>
      <c r="H451" s="8"/>
      <c r="I451" s="8"/>
      <c r="J451" s="8"/>
      <c r="K451" s="8"/>
      <c r="L451" s="8"/>
    </row>
    <row r="452" spans="1:12" ht="13.5" customHeight="1">
      <c r="A452" s="183"/>
      <c r="B452" s="599"/>
      <c r="C452" s="180"/>
      <c r="D452" s="8"/>
      <c r="E452" s="8"/>
      <c r="F452" s="8"/>
      <c r="G452" s="8"/>
      <c r="H452" s="8"/>
      <c r="I452" s="8"/>
      <c r="J452" s="8"/>
      <c r="K452" s="8"/>
      <c r="L452" s="8"/>
    </row>
    <row r="453" spans="1:12" ht="13.5" customHeight="1">
      <c r="A453" s="183"/>
      <c r="B453" s="599"/>
      <c r="C453" s="180"/>
      <c r="D453" s="8"/>
      <c r="E453" s="8"/>
      <c r="F453" s="8"/>
      <c r="G453" s="8"/>
      <c r="H453" s="8"/>
      <c r="I453" s="8"/>
      <c r="J453" s="8"/>
      <c r="K453" s="8"/>
      <c r="L453" s="8"/>
    </row>
    <row r="454" spans="1:12" ht="13.5" customHeight="1">
      <c r="A454" s="183"/>
      <c r="B454" s="599"/>
      <c r="C454" s="180"/>
      <c r="D454" s="8"/>
      <c r="E454" s="8"/>
      <c r="F454" s="8"/>
      <c r="G454" s="8"/>
      <c r="H454" s="8"/>
      <c r="I454" s="8"/>
      <c r="J454" s="8"/>
      <c r="K454" s="8"/>
      <c r="L454" s="8"/>
    </row>
    <row r="455" spans="1:12" ht="13.5" customHeight="1">
      <c r="A455" s="183"/>
      <c r="B455" s="599"/>
      <c r="C455" s="180"/>
      <c r="D455" s="8"/>
      <c r="E455" s="8"/>
      <c r="F455" s="8"/>
      <c r="G455" s="8"/>
      <c r="H455" s="8"/>
      <c r="I455" s="8"/>
      <c r="J455" s="8"/>
      <c r="K455" s="8"/>
      <c r="L455" s="8"/>
    </row>
    <row r="456" spans="1:12" ht="13.5" customHeight="1">
      <c r="A456" s="183"/>
      <c r="B456" s="599"/>
      <c r="C456" s="180"/>
      <c r="D456" s="8"/>
      <c r="E456" s="8"/>
      <c r="F456" s="8"/>
      <c r="G456" s="8"/>
      <c r="H456" s="8"/>
      <c r="I456" s="8"/>
      <c r="J456" s="8"/>
      <c r="K456" s="8"/>
      <c r="L456" s="8"/>
    </row>
    <row r="457" spans="1:12" ht="13.5" customHeight="1">
      <c r="A457" s="183"/>
      <c r="B457" s="599"/>
      <c r="C457" s="180"/>
      <c r="D457" s="8"/>
      <c r="E457" s="8"/>
      <c r="F457" s="8"/>
      <c r="G457" s="8"/>
      <c r="H457" s="8"/>
      <c r="I457" s="8"/>
      <c r="J457" s="8"/>
      <c r="K457" s="8"/>
      <c r="L457" s="8"/>
    </row>
    <row r="458" spans="1:12" ht="13.5" customHeight="1">
      <c r="A458" s="183"/>
      <c r="B458" s="599"/>
      <c r="C458" s="180"/>
      <c r="D458" s="8"/>
      <c r="E458" s="8"/>
      <c r="F458" s="8"/>
      <c r="G458" s="8"/>
      <c r="H458" s="8"/>
      <c r="I458" s="8"/>
      <c r="J458" s="8"/>
      <c r="K458" s="8"/>
      <c r="L458" s="8"/>
    </row>
    <row r="459" spans="1:12" ht="13.5" customHeight="1">
      <c r="A459" s="183"/>
      <c r="B459" s="599"/>
      <c r="C459" s="180"/>
      <c r="D459" s="8"/>
      <c r="E459" s="8"/>
      <c r="F459" s="8"/>
      <c r="G459" s="8"/>
      <c r="H459" s="8"/>
      <c r="I459" s="8"/>
      <c r="J459" s="8"/>
      <c r="K459" s="8"/>
      <c r="L459" s="8"/>
    </row>
    <row r="460" spans="1:12" ht="13.5" customHeight="1">
      <c r="A460" s="183"/>
      <c r="B460" s="599"/>
      <c r="C460" s="180"/>
      <c r="D460" s="8"/>
      <c r="E460" s="8"/>
      <c r="F460" s="8"/>
      <c r="G460" s="8"/>
      <c r="H460" s="8"/>
      <c r="I460" s="8"/>
      <c r="J460" s="8"/>
      <c r="K460" s="8"/>
      <c r="L460" s="8"/>
    </row>
    <row r="461" spans="1:12" ht="13.5" customHeight="1">
      <c r="A461" s="183"/>
      <c r="B461" s="599"/>
      <c r="C461" s="180"/>
      <c r="D461" s="8"/>
      <c r="E461" s="8"/>
      <c r="F461" s="8"/>
      <c r="G461" s="8"/>
      <c r="H461" s="8"/>
      <c r="I461" s="8"/>
      <c r="J461" s="8"/>
      <c r="K461" s="8"/>
      <c r="L461" s="8"/>
    </row>
    <row r="462" spans="1:12" ht="13.5" customHeight="1">
      <c r="A462" s="183"/>
      <c r="B462" s="599"/>
      <c r="C462" s="180"/>
      <c r="D462" s="8"/>
      <c r="E462" s="8"/>
      <c r="F462" s="8"/>
      <c r="G462" s="8"/>
      <c r="H462" s="8"/>
      <c r="I462" s="8"/>
      <c r="J462" s="8"/>
      <c r="K462" s="8"/>
      <c r="L462" s="8"/>
    </row>
    <row r="463" spans="1:12" ht="13.5" customHeight="1">
      <c r="A463" s="183"/>
      <c r="B463" s="599"/>
      <c r="C463" s="180"/>
      <c r="D463" s="8"/>
      <c r="E463" s="8"/>
      <c r="F463" s="8"/>
      <c r="G463" s="8"/>
      <c r="H463" s="8"/>
      <c r="I463" s="8"/>
      <c r="J463" s="8"/>
      <c r="K463" s="8"/>
      <c r="L463" s="8"/>
    </row>
    <row r="464" spans="1:12" ht="13.5" customHeight="1">
      <c r="A464" s="183"/>
      <c r="B464" s="599"/>
      <c r="C464" s="180"/>
      <c r="D464" s="8"/>
      <c r="E464" s="8"/>
      <c r="F464" s="8"/>
      <c r="G464" s="8"/>
      <c r="H464" s="8"/>
      <c r="I464" s="8"/>
      <c r="J464" s="8"/>
      <c r="K464" s="8"/>
      <c r="L464" s="8"/>
    </row>
    <row r="465" spans="1:12" ht="13.5" customHeight="1">
      <c r="A465" s="183"/>
      <c r="B465" s="599"/>
      <c r="C465" s="180"/>
      <c r="D465" s="8"/>
      <c r="E465" s="8"/>
      <c r="F465" s="8"/>
      <c r="G465" s="8"/>
      <c r="H465" s="8"/>
      <c r="I465" s="8"/>
      <c r="J465" s="8"/>
      <c r="K465" s="8"/>
      <c r="L465" s="8"/>
    </row>
    <row r="466" spans="1:12" ht="13.5" customHeight="1">
      <c r="A466" s="183"/>
      <c r="B466" s="599"/>
      <c r="C466" s="180"/>
      <c r="D466" s="8"/>
      <c r="E466" s="8"/>
      <c r="F466" s="8"/>
      <c r="G466" s="8"/>
      <c r="H466" s="8"/>
      <c r="I466" s="8"/>
      <c r="J466" s="8"/>
      <c r="K466" s="8"/>
      <c r="L466" s="8"/>
    </row>
    <row r="467" spans="1:12" ht="13.5" customHeight="1">
      <c r="A467" s="183"/>
      <c r="B467" s="599"/>
      <c r="C467" s="180"/>
      <c r="D467" s="8"/>
      <c r="E467" s="8"/>
      <c r="F467" s="8"/>
      <c r="G467" s="8"/>
      <c r="H467" s="8"/>
      <c r="I467" s="8"/>
      <c r="J467" s="8"/>
      <c r="K467" s="8"/>
      <c r="L467" s="8"/>
    </row>
    <row r="468" spans="1:12" ht="13.5" customHeight="1">
      <c r="A468" s="183"/>
      <c r="B468" s="599"/>
      <c r="C468" s="180"/>
      <c r="D468" s="8"/>
      <c r="E468" s="8"/>
      <c r="F468" s="8"/>
      <c r="G468" s="8"/>
      <c r="H468" s="8"/>
      <c r="I468" s="8"/>
      <c r="J468" s="8"/>
      <c r="K468" s="8"/>
      <c r="L468" s="8"/>
    </row>
    <row r="469" spans="1:12" ht="13.5" customHeight="1">
      <c r="A469" s="183"/>
      <c r="B469" s="599"/>
      <c r="C469" s="180"/>
      <c r="D469" s="8"/>
      <c r="E469" s="8"/>
      <c r="F469" s="8"/>
      <c r="G469" s="8"/>
      <c r="H469" s="8"/>
      <c r="I469" s="8"/>
      <c r="J469" s="8"/>
      <c r="K469" s="8"/>
      <c r="L469" s="8"/>
    </row>
    <row r="470" spans="1:12" ht="13.5" customHeight="1">
      <c r="A470" s="183"/>
      <c r="B470" s="599"/>
      <c r="C470" s="180"/>
      <c r="D470" s="8"/>
      <c r="E470" s="8"/>
      <c r="F470" s="8"/>
      <c r="G470" s="8"/>
      <c r="H470" s="8"/>
      <c r="I470" s="8"/>
      <c r="J470" s="8"/>
      <c r="K470" s="8"/>
      <c r="L470" s="8"/>
    </row>
    <row r="471" spans="1:12" ht="13.5" customHeight="1">
      <c r="A471" s="183"/>
      <c r="B471" s="599"/>
      <c r="C471" s="180"/>
      <c r="D471" s="8"/>
      <c r="E471" s="8"/>
      <c r="F471" s="8"/>
      <c r="G471" s="8"/>
      <c r="H471" s="8"/>
      <c r="I471" s="8"/>
      <c r="J471" s="8"/>
      <c r="K471" s="8"/>
      <c r="L471" s="8"/>
    </row>
    <row r="472" spans="1:12" ht="13.5" customHeight="1">
      <c r="A472" s="183"/>
      <c r="B472" s="599"/>
      <c r="C472" s="180"/>
      <c r="D472" s="8"/>
      <c r="E472" s="8"/>
      <c r="F472" s="8"/>
      <c r="G472" s="8"/>
      <c r="H472" s="8"/>
      <c r="I472" s="8"/>
      <c r="J472" s="8"/>
      <c r="K472" s="8"/>
      <c r="L472" s="8"/>
    </row>
    <row r="473" spans="1:12" ht="13.5" customHeight="1">
      <c r="A473" s="183"/>
      <c r="B473" s="599"/>
      <c r="C473" s="180"/>
      <c r="D473" s="8"/>
      <c r="E473" s="8"/>
      <c r="F473" s="8"/>
      <c r="G473" s="8"/>
      <c r="H473" s="8"/>
      <c r="I473" s="8"/>
      <c r="J473" s="8"/>
      <c r="K473" s="8"/>
      <c r="L473" s="8"/>
    </row>
    <row r="474" spans="1:12" ht="13.5" customHeight="1">
      <c r="A474" s="183"/>
      <c r="B474" s="599"/>
      <c r="C474" s="180"/>
      <c r="D474" s="8"/>
      <c r="E474" s="8"/>
      <c r="F474" s="8"/>
      <c r="G474" s="8"/>
      <c r="H474" s="8"/>
      <c r="I474" s="8"/>
      <c r="J474" s="8"/>
      <c r="K474" s="8"/>
      <c r="L474" s="8"/>
    </row>
    <row r="475" spans="1:12" ht="13.5" customHeight="1">
      <c r="A475" s="183"/>
      <c r="B475" s="599"/>
      <c r="C475" s="180"/>
      <c r="D475" s="8"/>
      <c r="E475" s="8"/>
      <c r="F475" s="8"/>
      <c r="G475" s="8"/>
      <c r="H475" s="8"/>
      <c r="I475" s="8"/>
      <c r="J475" s="8"/>
      <c r="K475" s="8"/>
      <c r="L475" s="8"/>
    </row>
    <row r="476" spans="1:12" ht="13.5" customHeight="1">
      <c r="A476" s="183"/>
      <c r="B476" s="599"/>
      <c r="C476" s="180"/>
      <c r="D476" s="8"/>
      <c r="E476" s="8"/>
      <c r="F476" s="8"/>
      <c r="G476" s="8"/>
      <c r="H476" s="8"/>
      <c r="I476" s="8"/>
      <c r="J476" s="8"/>
      <c r="K476" s="8"/>
      <c r="L476" s="8"/>
    </row>
    <row r="477" spans="1:12" ht="13.5" customHeight="1">
      <c r="A477" s="183"/>
      <c r="B477" s="599"/>
      <c r="C477" s="180"/>
      <c r="D477" s="8"/>
      <c r="E477" s="8"/>
      <c r="F477" s="8"/>
      <c r="G477" s="8"/>
      <c r="H477" s="8"/>
      <c r="I477" s="8"/>
      <c r="J477" s="8"/>
      <c r="K477" s="8"/>
      <c r="L477" s="8"/>
    </row>
    <row r="478" spans="1:12" ht="13.5" customHeight="1">
      <c r="A478" s="183"/>
      <c r="B478" s="599"/>
      <c r="C478" s="180"/>
      <c r="D478" s="8"/>
      <c r="E478" s="8"/>
      <c r="F478" s="8"/>
      <c r="G478" s="8"/>
      <c r="H478" s="8"/>
      <c r="I478" s="8"/>
      <c r="J478" s="8"/>
      <c r="K478" s="8"/>
      <c r="L478" s="8"/>
    </row>
    <row r="479" spans="1:12" ht="13.5" customHeight="1">
      <c r="A479" s="183"/>
      <c r="B479" s="599"/>
      <c r="C479" s="180"/>
      <c r="D479" s="8"/>
      <c r="E479" s="8"/>
      <c r="F479" s="8"/>
      <c r="G479" s="8"/>
      <c r="H479" s="8"/>
      <c r="I479" s="8"/>
      <c r="J479" s="8"/>
      <c r="K479" s="8"/>
      <c r="L479" s="8"/>
    </row>
    <row r="480" spans="1:12" ht="13.5" customHeight="1">
      <c r="A480" s="183"/>
      <c r="B480" s="599"/>
      <c r="C480" s="180"/>
      <c r="D480" s="8"/>
      <c r="E480" s="8"/>
      <c r="F480" s="8"/>
      <c r="G480" s="8"/>
      <c r="H480" s="8"/>
      <c r="I480" s="8"/>
      <c r="J480" s="8"/>
      <c r="K480" s="8"/>
      <c r="L480" s="8"/>
    </row>
    <row r="481" spans="1:12" ht="13.5" customHeight="1">
      <c r="A481" s="183"/>
      <c r="B481" s="599"/>
      <c r="C481" s="180"/>
      <c r="D481" s="8"/>
      <c r="E481" s="8"/>
      <c r="F481" s="8"/>
      <c r="G481" s="8"/>
      <c r="H481" s="8"/>
      <c r="I481" s="8"/>
      <c r="J481" s="8"/>
      <c r="K481" s="8"/>
      <c r="L481" s="8"/>
    </row>
    <row r="482" spans="1:12" ht="13.5" customHeight="1">
      <c r="A482" s="183"/>
      <c r="B482" s="599"/>
      <c r="C482" s="180"/>
      <c r="D482" s="8"/>
      <c r="E482" s="8"/>
      <c r="F482" s="8"/>
      <c r="G482" s="8"/>
      <c r="H482" s="8"/>
      <c r="I482" s="8"/>
      <c r="J482" s="8"/>
      <c r="K482" s="8"/>
      <c r="L482" s="8"/>
    </row>
    <row r="483" spans="1:12" ht="13.5" customHeight="1">
      <c r="A483" s="183"/>
      <c r="B483" s="599"/>
      <c r="C483" s="180"/>
      <c r="D483" s="8"/>
      <c r="E483" s="8"/>
      <c r="F483" s="8"/>
      <c r="G483" s="8"/>
      <c r="H483" s="8"/>
      <c r="I483" s="8"/>
      <c r="J483" s="8"/>
      <c r="K483" s="8"/>
      <c r="L483" s="8"/>
    </row>
    <row r="484" spans="1:12" ht="13.5" customHeight="1">
      <c r="A484" s="183"/>
      <c r="B484" s="599"/>
      <c r="C484" s="180"/>
      <c r="D484" s="8"/>
      <c r="E484" s="8"/>
      <c r="F484" s="8"/>
      <c r="G484" s="8"/>
      <c r="H484" s="8"/>
      <c r="I484" s="8"/>
      <c r="J484" s="8"/>
      <c r="K484" s="8"/>
      <c r="L484" s="8"/>
    </row>
    <row r="485" spans="1:12" ht="13.5" customHeight="1">
      <c r="A485" s="183"/>
      <c r="B485" s="599"/>
      <c r="C485" s="180"/>
      <c r="D485" s="8"/>
      <c r="E485" s="8"/>
      <c r="F485" s="8"/>
      <c r="G485" s="8"/>
      <c r="H485" s="8"/>
      <c r="I485" s="8"/>
      <c r="J485" s="8"/>
      <c r="K485" s="8"/>
      <c r="L485" s="8"/>
    </row>
    <row r="486" spans="1:12" ht="13.5" customHeight="1">
      <c r="A486" s="183"/>
      <c r="B486" s="599"/>
      <c r="C486" s="180"/>
      <c r="D486" s="8"/>
      <c r="E486" s="8"/>
      <c r="F486" s="8"/>
      <c r="G486" s="8"/>
      <c r="H486" s="8"/>
      <c r="I486" s="8"/>
      <c r="J486" s="8"/>
      <c r="K486" s="8"/>
      <c r="L486" s="8"/>
    </row>
    <row r="487" spans="1:12" ht="13.5" customHeight="1">
      <c r="A487" s="183"/>
      <c r="B487" s="599"/>
      <c r="C487" s="180"/>
      <c r="D487" s="8"/>
      <c r="E487" s="8"/>
      <c r="F487" s="8"/>
      <c r="G487" s="8"/>
      <c r="H487" s="8"/>
      <c r="I487" s="8"/>
      <c r="J487" s="8"/>
      <c r="K487" s="8"/>
      <c r="L487" s="8"/>
    </row>
    <row r="488" spans="1:12" ht="13.5" customHeight="1">
      <c r="A488" s="183"/>
      <c r="B488" s="599"/>
      <c r="C488" s="180"/>
      <c r="D488" s="8"/>
      <c r="E488" s="8"/>
      <c r="F488" s="8"/>
      <c r="G488" s="8"/>
      <c r="H488" s="8"/>
      <c r="I488" s="8"/>
      <c r="J488" s="8"/>
      <c r="K488" s="8"/>
      <c r="L488" s="8"/>
    </row>
    <row r="489" spans="1:12" ht="13.5" customHeight="1">
      <c r="A489" s="183"/>
      <c r="B489" s="599"/>
      <c r="C489" s="180"/>
      <c r="D489" s="8"/>
      <c r="E489" s="8"/>
      <c r="F489" s="8"/>
      <c r="G489" s="8"/>
      <c r="H489" s="8"/>
      <c r="I489" s="8"/>
      <c r="J489" s="8"/>
      <c r="K489" s="8"/>
      <c r="L489" s="8"/>
    </row>
    <row r="490" spans="1:12" ht="13.5" customHeight="1">
      <c r="A490" s="183"/>
      <c r="B490" s="599"/>
      <c r="C490" s="180"/>
      <c r="D490" s="8"/>
      <c r="E490" s="8"/>
      <c r="F490" s="8"/>
      <c r="G490" s="8"/>
      <c r="H490" s="8"/>
      <c r="I490" s="8"/>
      <c r="J490" s="8"/>
      <c r="K490" s="8"/>
      <c r="L490" s="8"/>
    </row>
    <row r="491" spans="1:12" ht="13.5" customHeight="1">
      <c r="A491" s="183"/>
      <c r="B491" s="599"/>
      <c r="C491" s="180"/>
      <c r="D491" s="8"/>
      <c r="E491" s="8"/>
      <c r="F491" s="8"/>
      <c r="G491" s="8"/>
      <c r="H491" s="8"/>
      <c r="I491" s="8"/>
      <c r="J491" s="8"/>
      <c r="K491" s="8"/>
      <c r="L491" s="8"/>
    </row>
    <row r="492" spans="1:12" ht="13.5" customHeight="1">
      <c r="A492" s="183"/>
      <c r="B492" s="599"/>
      <c r="C492" s="180"/>
      <c r="D492" s="8"/>
      <c r="E492" s="8"/>
      <c r="F492" s="8"/>
      <c r="G492" s="8"/>
      <c r="H492" s="8"/>
      <c r="I492" s="8"/>
      <c r="J492" s="8"/>
      <c r="K492" s="8"/>
      <c r="L492" s="8"/>
    </row>
    <row r="493" spans="1:12" ht="13.5" customHeight="1">
      <c r="A493" s="183"/>
      <c r="B493" s="599"/>
      <c r="C493" s="180"/>
      <c r="D493" s="8"/>
      <c r="E493" s="8"/>
      <c r="F493" s="8"/>
      <c r="G493" s="8"/>
      <c r="H493" s="8"/>
      <c r="I493" s="8"/>
      <c r="J493" s="8"/>
      <c r="K493" s="8"/>
      <c r="L493" s="8"/>
    </row>
    <row r="494" spans="1:12" ht="13.5" customHeight="1">
      <c r="A494" s="183"/>
      <c r="B494" s="599"/>
      <c r="C494" s="180"/>
      <c r="D494" s="8"/>
      <c r="E494" s="8"/>
      <c r="F494" s="8"/>
      <c r="G494" s="8"/>
      <c r="H494" s="8"/>
      <c r="I494" s="8"/>
      <c r="J494" s="8"/>
      <c r="K494" s="8"/>
      <c r="L494" s="8"/>
    </row>
    <row r="495" spans="1:12" ht="13.5" customHeight="1">
      <c r="A495" s="183"/>
      <c r="B495" s="599"/>
      <c r="C495" s="180"/>
      <c r="D495" s="8"/>
      <c r="E495" s="8"/>
      <c r="F495" s="8"/>
      <c r="G495" s="8"/>
      <c r="H495" s="8"/>
      <c r="I495" s="8"/>
      <c r="J495" s="8"/>
      <c r="K495" s="8"/>
      <c r="L495" s="8"/>
    </row>
    <row r="496" spans="1:12" ht="13.5" customHeight="1">
      <c r="A496" s="183"/>
      <c r="B496" s="599"/>
      <c r="C496" s="180"/>
      <c r="D496" s="8"/>
      <c r="E496" s="8"/>
      <c r="F496" s="8"/>
      <c r="G496" s="8"/>
      <c r="H496" s="8"/>
      <c r="I496" s="8"/>
      <c r="J496" s="8"/>
      <c r="K496" s="8"/>
      <c r="L496" s="8"/>
    </row>
    <row r="497" spans="1:12" ht="13.5" customHeight="1">
      <c r="A497" s="183"/>
      <c r="B497" s="599"/>
      <c r="C497" s="180"/>
      <c r="D497" s="8"/>
      <c r="E497" s="8"/>
      <c r="F497" s="8"/>
      <c r="G497" s="8"/>
      <c r="H497" s="8"/>
      <c r="I497" s="8"/>
      <c r="J497" s="8"/>
      <c r="K497" s="8"/>
      <c r="L497" s="8"/>
    </row>
    <row r="498" spans="1:12" ht="13.5" customHeight="1">
      <c r="A498" s="183"/>
      <c r="B498" s="599"/>
      <c r="C498" s="180"/>
      <c r="D498" s="8"/>
      <c r="E498" s="8"/>
      <c r="F498" s="8"/>
      <c r="G498" s="8"/>
      <c r="H498" s="8"/>
      <c r="I498" s="8"/>
      <c r="J498" s="8"/>
      <c r="K498" s="8"/>
      <c r="L498" s="8"/>
    </row>
    <row r="499" spans="1:12" ht="13.5" customHeight="1">
      <c r="A499" s="183"/>
      <c r="B499" s="599"/>
      <c r="C499" s="180"/>
      <c r="D499" s="8"/>
      <c r="E499" s="8"/>
      <c r="F499" s="8"/>
      <c r="G499" s="8"/>
      <c r="H499" s="8"/>
      <c r="I499" s="8"/>
      <c r="J499" s="8"/>
      <c r="K499" s="8"/>
      <c r="L499" s="8"/>
    </row>
    <row r="500" spans="1:12" ht="13.5" customHeight="1">
      <c r="A500" s="183"/>
      <c r="B500" s="599"/>
      <c r="C500" s="180"/>
      <c r="D500" s="8"/>
      <c r="E500" s="8"/>
      <c r="F500" s="8"/>
      <c r="G500" s="8"/>
      <c r="H500" s="8"/>
      <c r="I500" s="8"/>
      <c r="J500" s="8"/>
      <c r="K500" s="8"/>
      <c r="L500" s="8"/>
    </row>
    <row r="501" spans="1:12" ht="13.5" customHeight="1">
      <c r="A501" s="183"/>
      <c r="B501" s="599"/>
      <c r="C501" s="180"/>
      <c r="D501" s="8"/>
      <c r="E501" s="8"/>
      <c r="F501" s="8"/>
      <c r="G501" s="8"/>
      <c r="H501" s="8"/>
      <c r="I501" s="8"/>
      <c r="J501" s="8"/>
      <c r="K501" s="8"/>
      <c r="L501" s="8"/>
    </row>
    <row r="502" spans="1:12" ht="13.5" customHeight="1">
      <c r="A502" s="183"/>
      <c r="B502" s="599"/>
      <c r="C502" s="180"/>
      <c r="D502" s="8"/>
      <c r="E502" s="8"/>
      <c r="F502" s="8"/>
      <c r="G502" s="8"/>
      <c r="H502" s="8"/>
      <c r="I502" s="8"/>
      <c r="J502" s="8"/>
      <c r="K502" s="8"/>
      <c r="L502" s="8"/>
    </row>
    <row r="503" spans="1:12" ht="13.5" customHeight="1">
      <c r="A503" s="183"/>
      <c r="B503" s="599"/>
      <c r="C503" s="180"/>
      <c r="D503" s="8"/>
      <c r="E503" s="8"/>
      <c r="F503" s="8"/>
      <c r="G503" s="8"/>
      <c r="H503" s="8"/>
      <c r="I503" s="8"/>
      <c r="J503" s="8"/>
      <c r="K503" s="8"/>
      <c r="L503" s="8"/>
    </row>
    <row r="504" spans="1:12" ht="13.5" customHeight="1">
      <c r="A504" s="183"/>
      <c r="B504" s="599"/>
      <c r="C504" s="180"/>
      <c r="D504" s="8"/>
      <c r="E504" s="8"/>
      <c r="F504" s="8"/>
      <c r="G504" s="8"/>
      <c r="H504" s="8"/>
      <c r="I504" s="8"/>
      <c r="J504" s="8"/>
      <c r="K504" s="8"/>
      <c r="L504" s="8"/>
    </row>
    <row r="505" spans="1:12" ht="13.5" customHeight="1">
      <c r="A505" s="183"/>
      <c r="B505" s="599"/>
      <c r="C505" s="180"/>
      <c r="D505" s="8"/>
      <c r="E505" s="8"/>
      <c r="F505" s="8"/>
      <c r="G505" s="8"/>
      <c r="H505" s="8"/>
      <c r="I505" s="8"/>
      <c r="J505" s="8"/>
      <c r="K505" s="8"/>
      <c r="L505" s="8"/>
    </row>
    <row r="506" spans="1:12" ht="13.5" customHeight="1">
      <c r="A506" s="183"/>
      <c r="B506" s="599"/>
      <c r="C506" s="180"/>
      <c r="D506" s="8"/>
      <c r="E506" s="8"/>
      <c r="F506" s="8"/>
      <c r="G506" s="8"/>
      <c r="H506" s="8"/>
      <c r="I506" s="8"/>
      <c r="J506" s="8"/>
      <c r="K506" s="8"/>
      <c r="L506" s="8"/>
    </row>
    <row r="507" spans="1:12" ht="13.5" customHeight="1">
      <c r="A507" s="183"/>
      <c r="B507" s="599"/>
      <c r="C507" s="180"/>
      <c r="D507" s="8"/>
      <c r="E507" s="8"/>
      <c r="F507" s="8"/>
      <c r="G507" s="8"/>
      <c r="H507" s="8"/>
      <c r="I507" s="8"/>
      <c r="J507" s="8"/>
      <c r="K507" s="8"/>
      <c r="L507" s="8"/>
    </row>
    <row r="508" spans="1:12" ht="13.5" customHeight="1">
      <c r="A508" s="183"/>
      <c r="B508" s="599"/>
      <c r="C508" s="180"/>
      <c r="D508" s="8"/>
      <c r="E508" s="8"/>
      <c r="F508" s="8"/>
      <c r="G508" s="8"/>
      <c r="H508" s="8"/>
      <c r="I508" s="8"/>
      <c r="J508" s="8"/>
      <c r="K508" s="8"/>
      <c r="L508" s="8"/>
    </row>
    <row r="509" spans="1:12" ht="13.5" customHeight="1">
      <c r="A509" s="183"/>
      <c r="B509" s="599"/>
      <c r="C509" s="180"/>
      <c r="D509" s="8"/>
      <c r="E509" s="8"/>
      <c r="F509" s="8"/>
      <c r="G509" s="8"/>
      <c r="H509" s="8"/>
      <c r="I509" s="8"/>
      <c r="J509" s="8"/>
      <c r="K509" s="8"/>
      <c r="L509" s="8"/>
    </row>
    <row r="510" spans="1:12" ht="13.5" customHeight="1">
      <c r="A510" s="183"/>
      <c r="B510" s="599"/>
      <c r="C510" s="180"/>
      <c r="D510" s="8"/>
      <c r="E510" s="8"/>
      <c r="F510" s="8"/>
      <c r="G510" s="8"/>
      <c r="H510" s="8"/>
      <c r="I510" s="8"/>
      <c r="J510" s="8"/>
      <c r="K510" s="8"/>
      <c r="L510" s="8"/>
    </row>
    <row r="511" spans="1:12" ht="13.5" customHeight="1">
      <c r="A511" s="183"/>
      <c r="B511" s="599"/>
      <c r="C511" s="180"/>
      <c r="D511" s="8"/>
      <c r="E511" s="8"/>
      <c r="F511" s="8"/>
      <c r="G511" s="8"/>
      <c r="H511" s="8"/>
      <c r="I511" s="8"/>
      <c r="J511" s="8"/>
      <c r="K511" s="8"/>
      <c r="L511" s="8"/>
    </row>
    <row r="512" spans="1:12" ht="13.5" customHeight="1">
      <c r="A512" s="183"/>
      <c r="B512" s="599"/>
      <c r="C512" s="180"/>
      <c r="D512" s="8"/>
      <c r="E512" s="8"/>
      <c r="F512" s="8"/>
      <c r="G512" s="8"/>
      <c r="H512" s="8"/>
      <c r="I512" s="8"/>
      <c r="J512" s="8"/>
      <c r="K512" s="8"/>
      <c r="L512" s="8"/>
    </row>
    <row r="513" spans="1:12" ht="13.5" customHeight="1">
      <c r="A513" s="183"/>
      <c r="B513" s="599"/>
      <c r="C513" s="180"/>
      <c r="D513" s="8"/>
      <c r="E513" s="8"/>
      <c r="F513" s="8"/>
      <c r="G513" s="8"/>
      <c r="H513" s="8"/>
      <c r="I513" s="8"/>
      <c r="J513" s="8"/>
      <c r="K513" s="8"/>
      <c r="L513" s="8"/>
    </row>
    <row r="514" spans="1:12" ht="13.5" customHeight="1">
      <c r="A514" s="183"/>
      <c r="B514" s="599"/>
      <c r="C514" s="180"/>
      <c r="D514" s="8"/>
      <c r="E514" s="8"/>
      <c r="F514" s="8"/>
      <c r="G514" s="8"/>
      <c r="H514" s="8"/>
      <c r="I514" s="8"/>
      <c r="J514" s="8"/>
      <c r="K514" s="8"/>
      <c r="L514" s="8"/>
    </row>
    <row r="515" spans="1:12" ht="13.5" customHeight="1">
      <c r="A515" s="183"/>
      <c r="B515" s="599"/>
      <c r="C515" s="180"/>
      <c r="D515" s="8"/>
      <c r="E515" s="8"/>
      <c r="F515" s="8"/>
      <c r="G515" s="8"/>
      <c r="H515" s="8"/>
      <c r="I515" s="8"/>
      <c r="J515" s="8"/>
      <c r="K515" s="8"/>
      <c r="L515" s="8"/>
    </row>
    <row r="516" spans="1:12" ht="13.5" customHeight="1">
      <c r="A516" s="183"/>
      <c r="B516" s="599"/>
      <c r="C516" s="180"/>
      <c r="D516" s="8"/>
      <c r="E516" s="8"/>
      <c r="F516" s="8"/>
      <c r="G516" s="8"/>
      <c r="H516" s="8"/>
      <c r="I516" s="8"/>
      <c r="J516" s="8"/>
      <c r="K516" s="8"/>
      <c r="L516" s="8"/>
    </row>
    <row r="517" spans="1:12" ht="13.5" customHeight="1">
      <c r="A517" s="183"/>
      <c r="B517" s="599"/>
      <c r="C517" s="180"/>
      <c r="D517" s="8"/>
      <c r="E517" s="8"/>
      <c r="F517" s="8"/>
      <c r="G517" s="8"/>
      <c r="H517" s="8"/>
      <c r="I517" s="8"/>
      <c r="J517" s="8"/>
      <c r="K517" s="8"/>
      <c r="L517" s="8"/>
    </row>
    <row r="518" spans="1:12" ht="13.5" customHeight="1">
      <c r="A518" s="183"/>
      <c r="B518" s="599"/>
      <c r="C518" s="180"/>
      <c r="D518" s="8"/>
      <c r="E518" s="8"/>
      <c r="F518" s="8"/>
      <c r="G518" s="8"/>
      <c r="H518" s="8"/>
      <c r="I518" s="8"/>
      <c r="J518" s="8"/>
      <c r="K518" s="8"/>
      <c r="L518" s="8"/>
    </row>
    <row r="519" spans="1:12" ht="13.5" customHeight="1">
      <c r="A519" s="183"/>
      <c r="B519" s="599"/>
      <c r="C519" s="180"/>
      <c r="D519" s="8"/>
      <c r="E519" s="8"/>
      <c r="F519" s="8"/>
      <c r="G519" s="8"/>
      <c r="H519" s="8"/>
      <c r="I519" s="8"/>
      <c r="J519" s="8"/>
      <c r="K519" s="8"/>
      <c r="L519" s="8"/>
    </row>
    <row r="520" spans="1:12" ht="13.5" customHeight="1">
      <c r="A520" s="183"/>
      <c r="B520" s="599"/>
      <c r="C520" s="180"/>
      <c r="D520" s="8"/>
      <c r="E520" s="8"/>
      <c r="F520" s="8"/>
      <c r="G520" s="8"/>
      <c r="H520" s="8"/>
      <c r="I520" s="8"/>
      <c r="J520" s="8"/>
      <c r="K520" s="8"/>
      <c r="L520" s="8"/>
    </row>
    <row r="521" spans="1:12" ht="13.5" customHeight="1">
      <c r="A521" s="183"/>
      <c r="B521" s="599"/>
      <c r="C521" s="180"/>
      <c r="D521" s="8"/>
      <c r="E521" s="8"/>
      <c r="F521" s="8"/>
      <c r="G521" s="8"/>
      <c r="H521" s="8"/>
      <c r="I521" s="8"/>
      <c r="J521" s="8"/>
      <c r="K521" s="8"/>
      <c r="L521" s="8"/>
    </row>
    <row r="522" spans="1:12" ht="13.5" customHeight="1">
      <c r="A522" s="183"/>
      <c r="B522" s="599"/>
      <c r="C522" s="180"/>
      <c r="D522" s="8"/>
      <c r="E522" s="8"/>
      <c r="F522" s="8"/>
      <c r="G522" s="8"/>
      <c r="H522" s="8"/>
      <c r="I522" s="8"/>
      <c r="J522" s="8"/>
      <c r="K522" s="8"/>
      <c r="L522" s="8"/>
    </row>
    <row r="523" spans="1:12" ht="13.5" customHeight="1">
      <c r="A523" s="183"/>
      <c r="B523" s="599"/>
      <c r="C523" s="180"/>
      <c r="D523" s="8"/>
      <c r="E523" s="8"/>
      <c r="F523" s="8"/>
      <c r="G523" s="8"/>
      <c r="H523" s="8"/>
      <c r="I523" s="8"/>
      <c r="J523" s="8"/>
      <c r="K523" s="8"/>
      <c r="L523" s="8"/>
    </row>
    <row r="524" spans="1:12" ht="13.5" customHeight="1">
      <c r="A524" s="183"/>
      <c r="B524" s="599"/>
      <c r="C524" s="180"/>
      <c r="D524" s="8"/>
      <c r="E524" s="8"/>
      <c r="F524" s="8"/>
      <c r="G524" s="8"/>
      <c r="H524" s="8"/>
      <c r="I524" s="8"/>
      <c r="J524" s="8"/>
      <c r="K524" s="8"/>
      <c r="L524" s="8"/>
    </row>
    <row r="525" spans="1:12" ht="13.5" customHeight="1">
      <c r="A525" s="183"/>
      <c r="B525" s="599"/>
      <c r="C525" s="180"/>
      <c r="D525" s="8"/>
      <c r="E525" s="8"/>
      <c r="F525" s="8"/>
      <c r="G525" s="8"/>
      <c r="H525" s="8"/>
      <c r="I525" s="8"/>
      <c r="J525" s="8"/>
      <c r="K525" s="8"/>
      <c r="L525" s="8"/>
    </row>
    <row r="526" spans="1:12" ht="13.5" customHeight="1">
      <c r="A526" s="183"/>
      <c r="B526" s="599"/>
      <c r="C526" s="180"/>
      <c r="D526" s="8"/>
      <c r="E526" s="8"/>
      <c r="F526" s="8"/>
      <c r="G526" s="8"/>
      <c r="H526" s="8"/>
      <c r="I526" s="8"/>
      <c r="J526" s="8"/>
      <c r="K526" s="8"/>
      <c r="L526" s="8"/>
    </row>
    <row r="527" spans="1:12" ht="13.5" customHeight="1">
      <c r="A527" s="183"/>
      <c r="B527" s="599"/>
      <c r="C527" s="180"/>
      <c r="D527" s="8"/>
      <c r="E527" s="8"/>
      <c r="F527" s="8"/>
      <c r="G527" s="8"/>
      <c r="H527" s="8"/>
      <c r="I527" s="8"/>
      <c r="J527" s="8"/>
      <c r="K527" s="8"/>
      <c r="L527" s="8"/>
    </row>
    <row r="528" spans="1:12" ht="13.5" customHeight="1">
      <c r="A528" s="183"/>
      <c r="B528" s="599"/>
      <c r="C528" s="180"/>
      <c r="D528" s="8"/>
      <c r="E528" s="8"/>
      <c r="F528" s="8"/>
      <c r="G528" s="8"/>
      <c r="H528" s="8"/>
      <c r="I528" s="8"/>
      <c r="J528" s="8"/>
      <c r="K528" s="8"/>
      <c r="L528" s="8"/>
    </row>
    <row r="529" spans="1:12" ht="13.5" customHeight="1">
      <c r="A529" s="183"/>
      <c r="B529" s="599"/>
      <c r="C529" s="180"/>
      <c r="D529" s="8"/>
      <c r="E529" s="8"/>
      <c r="F529" s="8"/>
      <c r="G529" s="8"/>
      <c r="H529" s="8"/>
      <c r="I529" s="8"/>
      <c r="J529" s="8"/>
      <c r="K529" s="8"/>
      <c r="L529" s="8"/>
    </row>
    <row r="530" spans="1:12" ht="13.5" customHeight="1">
      <c r="A530" s="183"/>
      <c r="B530" s="599"/>
      <c r="C530" s="180"/>
      <c r="D530" s="8"/>
      <c r="E530" s="8"/>
      <c r="F530" s="8"/>
      <c r="G530" s="8"/>
      <c r="H530" s="8"/>
      <c r="I530" s="8"/>
      <c r="J530" s="8"/>
      <c r="K530" s="8"/>
      <c r="L530" s="8"/>
    </row>
    <row r="531" spans="1:12" ht="13.5" customHeight="1">
      <c r="A531" s="183"/>
      <c r="B531" s="599"/>
      <c r="C531" s="180"/>
      <c r="D531" s="8"/>
      <c r="E531" s="8"/>
      <c r="F531" s="8"/>
      <c r="G531" s="8"/>
      <c r="H531" s="8"/>
      <c r="I531" s="8"/>
      <c r="J531" s="8"/>
      <c r="K531" s="8"/>
      <c r="L531" s="8"/>
    </row>
    <row r="532" spans="1:12" ht="13.5" customHeight="1">
      <c r="A532" s="183"/>
      <c r="B532" s="599"/>
      <c r="C532" s="180"/>
      <c r="D532" s="8"/>
      <c r="E532" s="8"/>
      <c r="F532" s="8"/>
      <c r="G532" s="8"/>
      <c r="H532" s="8"/>
      <c r="I532" s="8"/>
      <c r="J532" s="8"/>
      <c r="K532" s="8"/>
      <c r="L532" s="8"/>
    </row>
    <row r="533" spans="1:12" ht="13.5" customHeight="1">
      <c r="A533" s="183"/>
      <c r="B533" s="599"/>
      <c r="C533" s="180"/>
      <c r="D533" s="8"/>
      <c r="E533" s="8"/>
      <c r="F533" s="8"/>
      <c r="G533" s="8"/>
      <c r="H533" s="8"/>
      <c r="I533" s="8"/>
      <c r="J533" s="8"/>
      <c r="K533" s="8"/>
      <c r="L533" s="8"/>
    </row>
    <row r="534" spans="1:12" ht="13.5" customHeight="1">
      <c r="A534" s="183"/>
      <c r="B534" s="599"/>
      <c r="C534" s="180"/>
      <c r="D534" s="8"/>
      <c r="E534" s="8"/>
      <c r="F534" s="8"/>
      <c r="G534" s="8"/>
      <c r="H534" s="8"/>
      <c r="I534" s="8"/>
      <c r="J534" s="8"/>
      <c r="K534" s="8"/>
      <c r="L534" s="8"/>
    </row>
    <row r="535" spans="1:12" ht="13.5" customHeight="1">
      <c r="A535" s="183"/>
      <c r="B535" s="599"/>
      <c r="C535" s="180"/>
      <c r="D535" s="8"/>
      <c r="E535" s="8"/>
      <c r="F535" s="8"/>
      <c r="G535" s="8"/>
      <c r="H535" s="8"/>
      <c r="I535" s="8"/>
      <c r="J535" s="8"/>
      <c r="K535" s="8"/>
      <c r="L535" s="8"/>
    </row>
    <row r="536" spans="1:12" ht="13.5" customHeight="1">
      <c r="A536" s="183"/>
      <c r="B536" s="599"/>
      <c r="C536" s="180"/>
      <c r="D536" s="8"/>
      <c r="E536" s="8"/>
      <c r="F536" s="8"/>
      <c r="G536" s="8"/>
      <c r="H536" s="8"/>
      <c r="I536" s="8"/>
      <c r="J536" s="8"/>
      <c r="K536" s="8"/>
      <c r="L536" s="8"/>
    </row>
    <row r="537" spans="1:12" ht="13.5" customHeight="1">
      <c r="A537" s="183"/>
      <c r="B537" s="599"/>
      <c r="C537" s="180"/>
      <c r="D537" s="8"/>
      <c r="E537" s="8"/>
      <c r="F537" s="8"/>
      <c r="G537" s="8"/>
      <c r="H537" s="8"/>
      <c r="I537" s="8"/>
      <c r="J537" s="8"/>
      <c r="K537" s="8"/>
      <c r="L537" s="8"/>
    </row>
    <row r="538" spans="1:12" ht="13.5" customHeight="1">
      <c r="A538" s="183"/>
      <c r="B538" s="599"/>
      <c r="C538" s="180"/>
      <c r="D538" s="8"/>
      <c r="E538" s="8"/>
      <c r="F538" s="8"/>
      <c r="G538" s="8"/>
      <c r="H538" s="8"/>
      <c r="I538" s="8"/>
      <c r="J538" s="8"/>
      <c r="K538" s="8"/>
      <c r="L538" s="8"/>
    </row>
    <row r="539" spans="1:12" ht="13.5" customHeight="1">
      <c r="A539" s="183"/>
      <c r="B539" s="599"/>
      <c r="C539" s="180"/>
      <c r="D539" s="8"/>
      <c r="E539" s="8"/>
      <c r="F539" s="8"/>
      <c r="G539" s="8"/>
      <c r="H539" s="8"/>
      <c r="I539" s="8"/>
      <c r="J539" s="8"/>
      <c r="K539" s="8"/>
      <c r="L539" s="8"/>
    </row>
    <row r="540" spans="1:12" ht="13.5" customHeight="1">
      <c r="A540" s="183"/>
      <c r="B540" s="599"/>
      <c r="C540" s="180"/>
      <c r="D540" s="8"/>
      <c r="E540" s="8"/>
      <c r="F540" s="8"/>
      <c r="G540" s="8"/>
      <c r="H540" s="8"/>
      <c r="I540" s="8"/>
      <c r="J540" s="8"/>
      <c r="K540" s="8"/>
      <c r="L540" s="8"/>
    </row>
    <row r="541" spans="1:12" ht="13.5" customHeight="1">
      <c r="A541" s="183"/>
      <c r="B541" s="599"/>
      <c r="C541" s="180"/>
      <c r="D541" s="8"/>
      <c r="E541" s="8"/>
      <c r="F541" s="8"/>
      <c r="G541" s="8"/>
      <c r="H541" s="8"/>
      <c r="I541" s="8"/>
      <c r="J541" s="8"/>
      <c r="K541" s="8"/>
      <c r="L541" s="8"/>
    </row>
    <row r="542" spans="1:12" ht="13.5" customHeight="1">
      <c r="A542" s="183"/>
      <c r="B542" s="599"/>
      <c r="C542" s="180"/>
      <c r="D542" s="8"/>
      <c r="E542" s="8"/>
      <c r="F542" s="8"/>
      <c r="G542" s="8"/>
      <c r="H542" s="8"/>
      <c r="I542" s="8"/>
      <c r="J542" s="8"/>
      <c r="K542" s="8"/>
      <c r="L542" s="8"/>
    </row>
    <row r="543" spans="1:12" ht="13.5" customHeight="1">
      <c r="A543" s="183"/>
      <c r="B543" s="599"/>
      <c r="C543" s="180"/>
      <c r="D543" s="8"/>
      <c r="E543" s="8"/>
      <c r="F543" s="8"/>
      <c r="G543" s="8"/>
      <c r="H543" s="8"/>
      <c r="I543" s="8"/>
      <c r="J543" s="8"/>
      <c r="K543" s="8"/>
      <c r="L543" s="8"/>
    </row>
    <row r="544" spans="1:12" ht="13.5" customHeight="1">
      <c r="A544" s="183"/>
      <c r="B544" s="599"/>
      <c r="C544" s="180"/>
      <c r="D544" s="8"/>
      <c r="E544" s="8"/>
      <c r="F544" s="8"/>
      <c r="G544" s="8"/>
      <c r="H544" s="8"/>
      <c r="I544" s="8"/>
      <c r="J544" s="8"/>
      <c r="K544" s="8"/>
      <c r="L544" s="8"/>
    </row>
    <row r="545" spans="1:12" ht="13.5" customHeight="1">
      <c r="A545" s="183"/>
      <c r="B545" s="599"/>
      <c r="C545" s="180"/>
      <c r="D545" s="8"/>
      <c r="E545" s="8"/>
      <c r="F545" s="8"/>
      <c r="G545" s="8"/>
      <c r="H545" s="8"/>
      <c r="I545" s="8"/>
      <c r="J545" s="8"/>
      <c r="K545" s="8"/>
      <c r="L545" s="8"/>
    </row>
    <row r="546" spans="1:12" ht="13.5" customHeight="1">
      <c r="A546" s="183"/>
      <c r="B546" s="599"/>
      <c r="C546" s="180"/>
      <c r="D546" s="8"/>
      <c r="E546" s="8"/>
      <c r="F546" s="8"/>
      <c r="G546" s="8"/>
      <c r="H546" s="8"/>
      <c r="I546" s="8"/>
      <c r="J546" s="8"/>
      <c r="K546" s="8"/>
      <c r="L546" s="8"/>
    </row>
    <row r="547" spans="1:12" ht="13.5" customHeight="1">
      <c r="A547" s="183"/>
      <c r="B547" s="599"/>
      <c r="C547" s="180"/>
      <c r="D547" s="8"/>
      <c r="E547" s="8"/>
      <c r="F547" s="8"/>
      <c r="G547" s="8"/>
      <c r="H547" s="8"/>
      <c r="I547" s="8"/>
      <c r="J547" s="8"/>
      <c r="K547" s="8"/>
      <c r="L547" s="8"/>
    </row>
    <row r="548" spans="1:12" ht="13.5" customHeight="1">
      <c r="A548" s="183"/>
      <c r="B548" s="599"/>
      <c r="C548" s="180"/>
      <c r="D548" s="8"/>
      <c r="E548" s="8"/>
      <c r="F548" s="8"/>
      <c r="G548" s="8"/>
      <c r="H548" s="8"/>
      <c r="I548" s="8"/>
      <c r="J548" s="8"/>
      <c r="K548" s="8"/>
      <c r="L548" s="8"/>
    </row>
    <row r="549" spans="1:12" ht="13.5" customHeight="1">
      <c r="A549" s="183"/>
      <c r="B549" s="599"/>
      <c r="C549" s="180"/>
      <c r="D549" s="8"/>
      <c r="E549" s="8"/>
      <c r="F549" s="8"/>
      <c r="G549" s="8"/>
      <c r="H549" s="8"/>
      <c r="I549" s="8"/>
      <c r="J549" s="8"/>
      <c r="K549" s="8"/>
      <c r="L549" s="8"/>
    </row>
    <row r="550" spans="1:12" ht="13.5" customHeight="1">
      <c r="A550" s="183"/>
      <c r="B550" s="599"/>
      <c r="C550" s="180"/>
      <c r="D550" s="8"/>
      <c r="E550" s="8"/>
      <c r="F550" s="8"/>
      <c r="G550" s="8"/>
      <c r="H550" s="8"/>
      <c r="I550" s="8"/>
      <c r="J550" s="8"/>
      <c r="K550" s="8"/>
      <c r="L550" s="8"/>
    </row>
    <row r="551" spans="1:12" ht="13.5" customHeight="1">
      <c r="A551" s="183"/>
      <c r="B551" s="599"/>
      <c r="C551" s="180"/>
      <c r="D551" s="8"/>
      <c r="E551" s="8"/>
      <c r="F551" s="8"/>
      <c r="G551" s="8"/>
      <c r="H551" s="8"/>
      <c r="I551" s="8"/>
      <c r="J551" s="8"/>
      <c r="K551" s="8"/>
      <c r="L551" s="8"/>
    </row>
    <row r="552" spans="1:12" ht="13.5" customHeight="1">
      <c r="A552" s="183"/>
      <c r="B552" s="599"/>
      <c r="C552" s="180"/>
      <c r="D552" s="8"/>
      <c r="E552" s="8"/>
      <c r="F552" s="8"/>
      <c r="G552" s="8"/>
      <c r="H552" s="8"/>
      <c r="I552" s="8"/>
      <c r="J552" s="8"/>
      <c r="K552" s="8"/>
      <c r="L552" s="8"/>
    </row>
    <row r="553" spans="1:12" ht="13.5" customHeight="1">
      <c r="A553" s="183"/>
      <c r="B553" s="599"/>
      <c r="C553" s="180"/>
      <c r="D553" s="8"/>
      <c r="E553" s="8"/>
      <c r="F553" s="8"/>
      <c r="G553" s="8"/>
      <c r="H553" s="8"/>
      <c r="I553" s="8"/>
      <c r="J553" s="8"/>
      <c r="K553" s="8"/>
      <c r="L553" s="8"/>
    </row>
    <row r="554" spans="1:12" ht="13.5" customHeight="1">
      <c r="A554" s="183"/>
      <c r="B554" s="599"/>
      <c r="C554" s="180"/>
      <c r="D554" s="8"/>
      <c r="E554" s="8"/>
      <c r="F554" s="8"/>
      <c r="G554" s="8"/>
      <c r="H554" s="8"/>
      <c r="I554" s="8"/>
      <c r="J554" s="8"/>
      <c r="K554" s="8"/>
      <c r="L554" s="8"/>
    </row>
    <row r="555" spans="1:12" ht="13.5" customHeight="1">
      <c r="A555" s="183"/>
      <c r="B555" s="599"/>
      <c r="C555" s="180"/>
      <c r="D555" s="8"/>
      <c r="E555" s="8"/>
      <c r="F555" s="8"/>
      <c r="G555" s="8"/>
      <c r="H555" s="8"/>
      <c r="I555" s="8"/>
      <c r="J555" s="8"/>
      <c r="K555" s="8"/>
      <c r="L555" s="8"/>
    </row>
    <row r="556" spans="1:12" ht="13.5" customHeight="1">
      <c r="A556" s="183"/>
      <c r="B556" s="599"/>
      <c r="C556" s="180"/>
      <c r="D556" s="8"/>
      <c r="E556" s="8"/>
      <c r="F556" s="8"/>
      <c r="G556" s="8"/>
      <c r="H556" s="8"/>
      <c r="I556" s="8"/>
      <c r="J556" s="8"/>
      <c r="K556" s="8"/>
      <c r="L556" s="8"/>
    </row>
    <row r="557" spans="1:12" ht="13.5" customHeight="1">
      <c r="A557" s="183"/>
      <c r="B557" s="599"/>
      <c r="C557" s="180"/>
      <c r="D557" s="8"/>
      <c r="E557" s="8"/>
      <c r="F557" s="8"/>
      <c r="G557" s="8"/>
      <c r="H557" s="8"/>
      <c r="I557" s="8"/>
      <c r="J557" s="8"/>
      <c r="K557" s="8"/>
      <c r="L557" s="8"/>
    </row>
    <row r="558" spans="1:12" ht="13.5" customHeight="1">
      <c r="A558" s="183"/>
      <c r="B558" s="599"/>
      <c r="C558" s="180"/>
      <c r="D558" s="8"/>
      <c r="E558" s="8"/>
      <c r="F558" s="8"/>
      <c r="G558" s="8"/>
      <c r="H558" s="8"/>
      <c r="I558" s="8"/>
      <c r="J558" s="8"/>
      <c r="K558" s="8"/>
      <c r="L558" s="8"/>
    </row>
    <row r="559" spans="1:12" ht="13.5" customHeight="1">
      <c r="A559" s="183"/>
      <c r="B559" s="599"/>
      <c r="C559" s="180"/>
      <c r="D559" s="8"/>
      <c r="E559" s="8"/>
      <c r="F559" s="8"/>
      <c r="G559" s="8"/>
      <c r="H559" s="8"/>
      <c r="I559" s="8"/>
      <c r="J559" s="8"/>
      <c r="K559" s="8"/>
      <c r="L559" s="8"/>
    </row>
    <row r="560" spans="1:12" ht="13.5" customHeight="1">
      <c r="A560" s="183"/>
      <c r="B560" s="599"/>
      <c r="C560" s="180"/>
      <c r="D560" s="8"/>
      <c r="E560" s="8"/>
      <c r="F560" s="8"/>
      <c r="G560" s="8"/>
      <c r="H560" s="8"/>
      <c r="I560" s="8"/>
      <c r="J560" s="8"/>
      <c r="K560" s="8"/>
      <c r="L560" s="8"/>
    </row>
    <row r="561" spans="1:12" ht="13.5" customHeight="1">
      <c r="A561" s="183"/>
      <c r="B561" s="599"/>
      <c r="C561" s="180"/>
      <c r="D561" s="8"/>
      <c r="E561" s="8"/>
      <c r="F561" s="8"/>
      <c r="G561" s="8"/>
      <c r="H561" s="8"/>
      <c r="I561" s="8"/>
      <c r="J561" s="8"/>
      <c r="K561" s="8"/>
      <c r="L561" s="8"/>
    </row>
    <row r="562" spans="1:12" ht="13.5" customHeight="1">
      <c r="A562" s="183"/>
      <c r="B562" s="599"/>
      <c r="C562" s="180"/>
      <c r="D562" s="8"/>
      <c r="E562" s="8"/>
      <c r="F562" s="8"/>
      <c r="G562" s="8"/>
      <c r="H562" s="8"/>
      <c r="I562" s="8"/>
      <c r="J562" s="8"/>
      <c r="K562" s="8"/>
      <c r="L562" s="8"/>
    </row>
    <row r="563" spans="1:12" ht="13.5" customHeight="1">
      <c r="A563" s="183"/>
      <c r="B563" s="599"/>
      <c r="C563" s="180"/>
      <c r="D563" s="8"/>
      <c r="E563" s="8"/>
      <c r="F563" s="8"/>
      <c r="G563" s="8"/>
      <c r="H563" s="8"/>
      <c r="I563" s="8"/>
      <c r="J563" s="8"/>
      <c r="K563" s="8"/>
      <c r="L563" s="8"/>
    </row>
    <row r="564" spans="1:12" ht="13.5" customHeight="1">
      <c r="A564" s="183"/>
      <c r="B564" s="599"/>
      <c r="C564" s="180"/>
      <c r="D564" s="8"/>
      <c r="E564" s="8"/>
      <c r="F564" s="8"/>
      <c r="G564" s="8"/>
      <c r="H564" s="8"/>
      <c r="I564" s="8"/>
      <c r="J564" s="8"/>
      <c r="K564" s="8"/>
      <c r="L564" s="8"/>
    </row>
    <row r="565" spans="1:12" ht="13.5" customHeight="1">
      <c r="A565" s="183"/>
      <c r="B565" s="599"/>
      <c r="C565" s="180"/>
      <c r="D565" s="8"/>
      <c r="E565" s="8"/>
      <c r="F565" s="8"/>
      <c r="G565" s="8"/>
      <c r="H565" s="8"/>
      <c r="I565" s="8"/>
      <c r="J565" s="8"/>
      <c r="K565" s="8"/>
      <c r="L565" s="8"/>
    </row>
    <row r="566" spans="1:12" ht="13.5" customHeight="1">
      <c r="A566" s="183"/>
      <c r="B566" s="599"/>
      <c r="C566" s="180"/>
      <c r="D566" s="8"/>
      <c r="E566" s="8"/>
      <c r="F566" s="8"/>
      <c r="G566" s="8"/>
      <c r="H566" s="8"/>
      <c r="I566" s="8"/>
      <c r="J566" s="8"/>
      <c r="K566" s="8"/>
      <c r="L566" s="8"/>
    </row>
    <row r="567" spans="1:12" ht="13.5" customHeight="1">
      <c r="A567" s="183"/>
      <c r="B567" s="599"/>
      <c r="C567" s="180"/>
      <c r="D567" s="8"/>
      <c r="E567" s="8"/>
      <c r="F567" s="8"/>
      <c r="G567" s="8"/>
      <c r="H567" s="8"/>
      <c r="I567" s="8"/>
      <c r="J567" s="8"/>
      <c r="K567" s="8"/>
      <c r="L567" s="8"/>
    </row>
    <row r="568" spans="1:12" ht="13.5" customHeight="1">
      <c r="A568" s="183"/>
      <c r="B568" s="599"/>
      <c r="C568" s="180"/>
      <c r="D568" s="8"/>
      <c r="E568" s="8"/>
      <c r="F568" s="8"/>
      <c r="G568" s="8"/>
      <c r="H568" s="8"/>
      <c r="I568" s="8"/>
      <c r="J568" s="8"/>
      <c r="K568" s="8"/>
      <c r="L568" s="8"/>
    </row>
    <row r="569" spans="1:12" ht="13.5" customHeight="1">
      <c r="A569" s="183"/>
      <c r="B569" s="599"/>
      <c r="C569" s="180"/>
      <c r="D569" s="8"/>
      <c r="E569" s="8"/>
      <c r="F569" s="8"/>
      <c r="G569" s="8"/>
      <c r="H569" s="8"/>
      <c r="I569" s="8"/>
      <c r="J569" s="8"/>
      <c r="K569" s="8"/>
      <c r="L569" s="8"/>
    </row>
    <row r="570" spans="1:12" ht="13.5" customHeight="1">
      <c r="A570" s="183"/>
      <c r="B570" s="599"/>
      <c r="C570" s="180"/>
      <c r="D570" s="8"/>
      <c r="E570" s="8"/>
      <c r="F570" s="8"/>
      <c r="G570" s="8"/>
      <c r="H570" s="8"/>
      <c r="I570" s="8"/>
      <c r="J570" s="8"/>
      <c r="K570" s="8"/>
      <c r="L570" s="8"/>
    </row>
    <row r="571" spans="1:12" ht="13.5" customHeight="1">
      <c r="A571" s="183"/>
      <c r="B571" s="599"/>
      <c r="C571" s="180"/>
      <c r="D571" s="8"/>
      <c r="E571" s="8"/>
      <c r="F571" s="8"/>
      <c r="G571" s="8"/>
      <c r="H571" s="8"/>
      <c r="I571" s="8"/>
      <c r="J571" s="8"/>
      <c r="K571" s="8"/>
      <c r="L571" s="8"/>
    </row>
    <row r="572" spans="1:12" ht="13.5" customHeight="1">
      <c r="A572" s="183"/>
      <c r="B572" s="599"/>
      <c r="C572" s="180"/>
      <c r="D572" s="8"/>
      <c r="E572" s="8"/>
      <c r="F572" s="8"/>
      <c r="G572" s="8"/>
      <c r="H572" s="8"/>
      <c r="I572" s="8"/>
      <c r="J572" s="8"/>
      <c r="K572" s="8"/>
      <c r="L572" s="8"/>
    </row>
    <row r="573" spans="1:12" ht="13.5" customHeight="1">
      <c r="A573" s="183"/>
      <c r="B573" s="599"/>
      <c r="C573" s="180"/>
      <c r="D573" s="8"/>
      <c r="E573" s="8"/>
      <c r="F573" s="8"/>
      <c r="G573" s="8"/>
      <c r="H573" s="8"/>
      <c r="I573" s="8"/>
      <c r="J573" s="8"/>
      <c r="K573" s="8"/>
      <c r="L573" s="8"/>
    </row>
    <row r="574" spans="1:12" ht="13.5" customHeight="1">
      <c r="A574" s="183"/>
      <c r="B574" s="599"/>
      <c r="C574" s="180"/>
      <c r="D574" s="8"/>
      <c r="E574" s="8"/>
      <c r="F574" s="8"/>
      <c r="G574" s="8"/>
      <c r="H574" s="8"/>
      <c r="I574" s="8"/>
      <c r="J574" s="8"/>
      <c r="K574" s="8"/>
      <c r="L574" s="8"/>
    </row>
    <row r="575" spans="1:12" ht="13.5" customHeight="1">
      <c r="A575" s="183"/>
      <c r="B575" s="599"/>
      <c r="C575" s="180"/>
      <c r="D575" s="8"/>
      <c r="E575" s="8"/>
      <c r="F575" s="8"/>
      <c r="G575" s="8"/>
      <c r="H575" s="8"/>
      <c r="I575" s="8"/>
      <c r="J575" s="8"/>
      <c r="K575" s="8"/>
      <c r="L575" s="8"/>
    </row>
    <row r="576" spans="1:12" ht="13.5" customHeight="1">
      <c r="A576" s="183"/>
      <c r="B576" s="599"/>
      <c r="C576" s="180"/>
      <c r="D576" s="8"/>
      <c r="E576" s="8"/>
      <c r="F576" s="8"/>
      <c r="G576" s="8"/>
      <c r="H576" s="8"/>
      <c r="I576" s="8"/>
      <c r="J576" s="8"/>
      <c r="K576" s="8"/>
      <c r="L576" s="8"/>
    </row>
    <row r="577" spans="1:12" ht="13.5" customHeight="1">
      <c r="A577" s="183"/>
      <c r="B577" s="599"/>
      <c r="C577" s="180"/>
      <c r="D577" s="8"/>
      <c r="E577" s="8"/>
      <c r="F577" s="8"/>
      <c r="G577" s="8"/>
      <c r="H577" s="8"/>
      <c r="I577" s="8"/>
      <c r="J577" s="8"/>
      <c r="K577" s="8"/>
      <c r="L577" s="8"/>
    </row>
    <row r="578" spans="1:12" ht="13.5" customHeight="1">
      <c r="A578" s="183"/>
      <c r="B578" s="599"/>
      <c r="C578" s="180"/>
      <c r="D578" s="8"/>
      <c r="E578" s="8"/>
      <c r="F578" s="8"/>
      <c r="G578" s="8"/>
      <c r="H578" s="8"/>
      <c r="I578" s="8"/>
      <c r="J578" s="8"/>
      <c r="K578" s="8"/>
      <c r="L578" s="8"/>
    </row>
    <row r="579" spans="1:12" ht="13.5" customHeight="1">
      <c r="A579" s="183"/>
      <c r="B579" s="599"/>
      <c r="C579" s="180"/>
      <c r="D579" s="8"/>
      <c r="E579" s="8"/>
      <c r="F579" s="8"/>
      <c r="G579" s="8"/>
      <c r="H579" s="8"/>
      <c r="I579" s="8"/>
      <c r="J579" s="8"/>
      <c r="K579" s="8"/>
      <c r="L579" s="8"/>
    </row>
    <row r="580" spans="1:12" ht="13.5" customHeight="1">
      <c r="A580" s="183"/>
      <c r="B580" s="599"/>
      <c r="C580" s="180"/>
      <c r="D580" s="8"/>
      <c r="E580" s="8"/>
      <c r="F580" s="8"/>
      <c r="G580" s="8"/>
      <c r="H580" s="8"/>
      <c r="I580" s="8"/>
      <c r="J580" s="8"/>
      <c r="K580" s="8"/>
      <c r="L580" s="8"/>
    </row>
    <row r="581" spans="1:12" ht="13.5" customHeight="1">
      <c r="A581" s="183"/>
      <c r="B581" s="599"/>
      <c r="C581" s="180"/>
      <c r="D581" s="8"/>
      <c r="E581" s="8"/>
      <c r="F581" s="8"/>
      <c r="G581" s="8"/>
      <c r="H581" s="8"/>
      <c r="I581" s="8"/>
      <c r="J581" s="8"/>
      <c r="K581" s="8"/>
      <c r="L581" s="8"/>
    </row>
    <row r="582" spans="1:12" ht="13.5" customHeight="1">
      <c r="A582" s="183"/>
      <c r="B582" s="599"/>
      <c r="C582" s="180"/>
      <c r="D582" s="8"/>
      <c r="E582" s="8"/>
      <c r="F582" s="8"/>
      <c r="G582" s="8"/>
      <c r="H582" s="8"/>
      <c r="I582" s="8"/>
      <c r="J582" s="8"/>
      <c r="K582" s="8"/>
      <c r="L582" s="8"/>
    </row>
    <row r="583" spans="1:12" ht="13.5" customHeight="1">
      <c r="A583" s="183"/>
      <c r="B583" s="599"/>
      <c r="C583" s="180"/>
      <c r="D583" s="8"/>
      <c r="E583" s="8"/>
      <c r="F583" s="8"/>
      <c r="G583" s="8"/>
      <c r="H583" s="8"/>
      <c r="I583" s="8"/>
      <c r="J583" s="8"/>
      <c r="K583" s="8"/>
      <c r="L583" s="8"/>
    </row>
    <row r="584" spans="1:12" ht="13.5" customHeight="1">
      <c r="A584" s="183"/>
      <c r="B584" s="599"/>
      <c r="C584" s="180"/>
      <c r="D584" s="8"/>
      <c r="E584" s="8"/>
      <c r="F584" s="8"/>
      <c r="G584" s="8"/>
      <c r="H584" s="8"/>
      <c r="I584" s="8"/>
      <c r="J584" s="8"/>
      <c r="K584" s="8"/>
      <c r="L584" s="8"/>
    </row>
    <row r="585" spans="1:12" ht="13.5" customHeight="1">
      <c r="A585" s="183"/>
      <c r="B585" s="599"/>
      <c r="C585" s="180"/>
      <c r="D585" s="8"/>
      <c r="E585" s="8"/>
      <c r="F585" s="8"/>
      <c r="G585" s="8"/>
      <c r="H585" s="8"/>
      <c r="I585" s="8"/>
      <c r="J585" s="8"/>
      <c r="K585" s="8"/>
      <c r="L585" s="8"/>
    </row>
    <row r="586" spans="1:12" ht="13.5" customHeight="1">
      <c r="A586" s="183"/>
      <c r="B586" s="599"/>
      <c r="C586" s="180"/>
      <c r="D586" s="8"/>
      <c r="E586" s="8"/>
      <c r="F586" s="8"/>
      <c r="G586" s="8"/>
      <c r="H586" s="8"/>
      <c r="I586" s="8"/>
      <c r="J586" s="8"/>
      <c r="K586" s="8"/>
      <c r="L586" s="8"/>
    </row>
    <row r="587" spans="1:12" ht="13.5" customHeight="1">
      <c r="A587" s="183"/>
      <c r="B587" s="599"/>
      <c r="C587" s="180"/>
      <c r="D587" s="8"/>
      <c r="E587" s="8"/>
      <c r="F587" s="8"/>
      <c r="G587" s="8"/>
      <c r="H587" s="8"/>
      <c r="I587" s="8"/>
      <c r="J587" s="8"/>
      <c r="K587" s="8"/>
      <c r="L587" s="8"/>
    </row>
    <row r="588" spans="1:12" ht="13.5" customHeight="1">
      <c r="A588" s="183"/>
      <c r="B588" s="599"/>
      <c r="C588" s="180"/>
      <c r="D588" s="8"/>
      <c r="E588" s="8"/>
      <c r="F588" s="8"/>
      <c r="G588" s="8"/>
      <c r="H588" s="8"/>
      <c r="I588" s="8"/>
      <c r="J588" s="8"/>
      <c r="K588" s="8"/>
      <c r="L588" s="8"/>
    </row>
    <row r="589" spans="1:12" ht="13.5" customHeight="1">
      <c r="A589" s="183"/>
      <c r="B589" s="599"/>
      <c r="C589" s="180"/>
      <c r="D589" s="8"/>
      <c r="E589" s="8"/>
      <c r="F589" s="8"/>
      <c r="G589" s="8"/>
      <c r="H589" s="8"/>
      <c r="I589" s="8"/>
      <c r="J589" s="8"/>
      <c r="K589" s="8"/>
      <c r="L589" s="8"/>
    </row>
    <row r="590" spans="1:12" ht="13.5" customHeight="1">
      <c r="A590" s="183"/>
      <c r="B590" s="599"/>
      <c r="C590" s="180"/>
      <c r="D590" s="8"/>
      <c r="E590" s="8"/>
      <c r="F590" s="8"/>
      <c r="G590" s="8"/>
      <c r="H590" s="8"/>
      <c r="I590" s="8"/>
      <c r="J590" s="8"/>
      <c r="K590" s="8"/>
      <c r="L590" s="8"/>
    </row>
    <row r="591" spans="1:12" ht="13.5" customHeight="1">
      <c r="A591" s="183"/>
      <c r="B591" s="599"/>
      <c r="C591" s="180"/>
      <c r="D591" s="8"/>
      <c r="E591" s="8"/>
      <c r="F591" s="8"/>
      <c r="G591" s="8"/>
      <c r="H591" s="8"/>
      <c r="I591" s="8"/>
      <c r="J591" s="8"/>
      <c r="K591" s="8"/>
      <c r="L591" s="8"/>
    </row>
    <row r="592" spans="1:12" ht="13.5" customHeight="1">
      <c r="A592" s="183"/>
      <c r="B592" s="599"/>
      <c r="C592" s="180"/>
      <c r="D592" s="8"/>
      <c r="E592" s="8"/>
      <c r="F592" s="8"/>
      <c r="G592" s="8"/>
      <c r="H592" s="8"/>
      <c r="I592" s="8"/>
      <c r="J592" s="8"/>
      <c r="K592" s="8"/>
      <c r="L592" s="8"/>
    </row>
    <row r="593" spans="1:12" ht="13.5" customHeight="1">
      <c r="A593" s="183"/>
      <c r="B593" s="599"/>
      <c r="C593" s="180"/>
      <c r="D593" s="8"/>
      <c r="E593" s="8"/>
      <c r="F593" s="8"/>
      <c r="G593" s="8"/>
      <c r="H593" s="8"/>
      <c r="I593" s="8"/>
      <c r="J593" s="8"/>
      <c r="K593" s="8"/>
      <c r="L593" s="8"/>
    </row>
    <row r="594" spans="1:12" ht="13.5" customHeight="1">
      <c r="A594" s="183"/>
      <c r="B594" s="599"/>
      <c r="C594" s="180"/>
      <c r="D594" s="8"/>
      <c r="E594" s="8"/>
      <c r="F594" s="8"/>
      <c r="G594" s="8"/>
      <c r="H594" s="8"/>
      <c r="I594" s="8"/>
      <c r="J594" s="8"/>
      <c r="K594" s="8"/>
      <c r="L594" s="8"/>
    </row>
    <row r="595" spans="1:12" ht="13.5" customHeight="1">
      <c r="A595" s="183"/>
      <c r="B595" s="599"/>
      <c r="C595" s="180"/>
      <c r="D595" s="8"/>
      <c r="E595" s="8"/>
      <c r="F595" s="8"/>
      <c r="G595" s="8"/>
      <c r="H595" s="8"/>
      <c r="I595" s="8"/>
      <c r="J595" s="8"/>
      <c r="K595" s="8"/>
      <c r="L595" s="8"/>
    </row>
    <row r="596" spans="1:12" ht="13.5" customHeight="1">
      <c r="A596" s="183"/>
      <c r="B596" s="599"/>
      <c r="C596" s="180"/>
      <c r="D596" s="8"/>
      <c r="E596" s="8"/>
      <c r="F596" s="8"/>
      <c r="G596" s="8"/>
      <c r="H596" s="8"/>
      <c r="I596" s="8"/>
      <c r="J596" s="8"/>
      <c r="K596" s="8"/>
      <c r="L596" s="8"/>
    </row>
    <row r="597" spans="1:12" ht="13.5" customHeight="1">
      <c r="A597" s="183"/>
      <c r="B597" s="599"/>
      <c r="C597" s="180"/>
      <c r="D597" s="8"/>
      <c r="E597" s="8"/>
      <c r="F597" s="8"/>
      <c r="G597" s="8"/>
      <c r="H597" s="8"/>
      <c r="I597" s="8"/>
      <c r="J597" s="8"/>
      <c r="K597" s="8"/>
      <c r="L597" s="8"/>
    </row>
    <row r="598" spans="1:12" ht="13.5" customHeight="1">
      <c r="A598" s="183"/>
      <c r="B598" s="599"/>
      <c r="C598" s="180"/>
      <c r="D598" s="8"/>
      <c r="E598" s="8"/>
      <c r="F598" s="8"/>
      <c r="G598" s="8"/>
      <c r="H598" s="8"/>
      <c r="I598" s="8"/>
      <c r="J598" s="8"/>
      <c r="K598" s="8"/>
      <c r="L598" s="8"/>
    </row>
    <row r="599" spans="1:12" ht="13.5" customHeight="1">
      <c r="A599" s="183"/>
      <c r="B599" s="599"/>
      <c r="C599" s="180"/>
      <c r="D599" s="8"/>
      <c r="E599" s="8"/>
      <c r="F599" s="8"/>
      <c r="G599" s="8"/>
      <c r="H599" s="8"/>
      <c r="I599" s="8"/>
      <c r="J599" s="8"/>
      <c r="K599" s="8"/>
      <c r="L599" s="8"/>
    </row>
    <row r="600" spans="1:12" ht="13.5" customHeight="1">
      <c r="A600" s="183"/>
      <c r="B600" s="599"/>
      <c r="C600" s="180"/>
      <c r="D600" s="8"/>
      <c r="E600" s="8"/>
      <c r="F600" s="8"/>
      <c r="G600" s="8"/>
      <c r="H600" s="8"/>
      <c r="I600" s="8"/>
      <c r="J600" s="8"/>
      <c r="K600" s="8"/>
      <c r="L600" s="8"/>
    </row>
    <row r="601" spans="1:12" ht="13.5" customHeight="1">
      <c r="A601" s="183"/>
      <c r="B601" s="599"/>
      <c r="C601" s="180"/>
      <c r="D601" s="8"/>
      <c r="E601" s="8"/>
      <c r="F601" s="8"/>
      <c r="G601" s="8"/>
      <c r="H601" s="8"/>
      <c r="I601" s="8"/>
      <c r="J601" s="8"/>
      <c r="K601" s="8"/>
      <c r="L601" s="8"/>
    </row>
    <row r="602" spans="1:12" ht="13.5" customHeight="1">
      <c r="A602" s="183"/>
      <c r="B602" s="599"/>
      <c r="C602" s="180"/>
      <c r="D602" s="8"/>
      <c r="E602" s="8"/>
      <c r="F602" s="8"/>
      <c r="G602" s="8"/>
      <c r="H602" s="8"/>
      <c r="I602" s="8"/>
      <c r="J602" s="8"/>
      <c r="K602" s="8"/>
      <c r="L602" s="8"/>
    </row>
    <row r="603" spans="1:12" ht="13.5" customHeight="1">
      <c r="A603" s="183"/>
      <c r="B603" s="599"/>
      <c r="C603" s="180"/>
      <c r="D603" s="8"/>
      <c r="E603" s="8"/>
      <c r="F603" s="8"/>
      <c r="G603" s="8"/>
      <c r="H603" s="8"/>
      <c r="I603" s="8"/>
      <c r="J603" s="8"/>
      <c r="K603" s="8"/>
      <c r="L603" s="8"/>
    </row>
    <row r="604" spans="1:12" ht="13.5" customHeight="1">
      <c r="A604" s="183"/>
      <c r="B604" s="599"/>
      <c r="C604" s="180"/>
      <c r="D604" s="8"/>
      <c r="E604" s="8"/>
      <c r="F604" s="8"/>
      <c r="G604" s="8"/>
      <c r="H604" s="8"/>
      <c r="I604" s="8"/>
      <c r="J604" s="8"/>
      <c r="K604" s="8"/>
      <c r="L604" s="8"/>
    </row>
    <row r="605" spans="1:12" ht="13.5" customHeight="1">
      <c r="A605" s="183"/>
      <c r="B605" s="599"/>
      <c r="C605" s="180"/>
      <c r="D605" s="8"/>
      <c r="E605" s="8"/>
      <c r="F605" s="8"/>
      <c r="G605" s="8"/>
      <c r="H605" s="8"/>
      <c r="I605" s="8"/>
      <c r="J605" s="8"/>
      <c r="K605" s="8"/>
      <c r="L605" s="8"/>
    </row>
    <row r="606" spans="1:12" ht="13.5" customHeight="1">
      <c r="A606" s="183"/>
      <c r="B606" s="599"/>
      <c r="C606" s="180"/>
      <c r="D606" s="8"/>
      <c r="E606" s="8"/>
      <c r="F606" s="8"/>
      <c r="G606" s="8"/>
      <c r="H606" s="8"/>
      <c r="I606" s="8"/>
      <c r="J606" s="8"/>
      <c r="K606" s="8"/>
      <c r="L606" s="8"/>
    </row>
    <row r="607" spans="1:12" ht="13.5" customHeight="1">
      <c r="A607" s="183"/>
      <c r="B607" s="599"/>
      <c r="C607" s="180"/>
      <c r="D607" s="8"/>
      <c r="E607" s="8"/>
      <c r="F607" s="8"/>
      <c r="G607" s="8"/>
      <c r="H607" s="8"/>
      <c r="I607" s="8"/>
      <c r="J607" s="8"/>
      <c r="K607" s="8"/>
      <c r="L607" s="8"/>
    </row>
    <row r="608" spans="1:12" ht="13.5" customHeight="1">
      <c r="A608" s="183"/>
      <c r="B608" s="599"/>
      <c r="C608" s="180"/>
      <c r="D608" s="8"/>
      <c r="E608" s="8"/>
      <c r="F608" s="8"/>
      <c r="G608" s="8"/>
      <c r="H608" s="8"/>
      <c r="I608" s="8"/>
      <c r="J608" s="8"/>
      <c r="K608" s="8"/>
      <c r="L608" s="8"/>
    </row>
    <row r="609" spans="1:12" ht="13.5" customHeight="1">
      <c r="A609" s="183"/>
      <c r="B609" s="599"/>
      <c r="C609" s="180"/>
      <c r="D609" s="8"/>
      <c r="E609" s="8"/>
      <c r="F609" s="8"/>
      <c r="G609" s="8"/>
      <c r="H609" s="8"/>
      <c r="I609" s="8"/>
      <c r="J609" s="8"/>
      <c r="K609" s="8"/>
      <c r="L609" s="8"/>
    </row>
    <row r="610" spans="1:12" ht="13.5" customHeight="1">
      <c r="A610" s="183"/>
      <c r="B610" s="599"/>
      <c r="C610" s="180"/>
      <c r="D610" s="8"/>
      <c r="E610" s="8"/>
      <c r="F610" s="8"/>
      <c r="G610" s="8"/>
      <c r="H610" s="8"/>
      <c r="I610" s="8"/>
      <c r="J610" s="8"/>
      <c r="K610" s="8"/>
      <c r="L610" s="8"/>
    </row>
    <row r="611" spans="1:12" ht="13.5" customHeight="1">
      <c r="A611" s="183"/>
      <c r="B611" s="599"/>
      <c r="C611" s="180"/>
      <c r="D611" s="8"/>
      <c r="E611" s="8"/>
      <c r="F611" s="8"/>
      <c r="G611" s="8"/>
      <c r="H611" s="8"/>
      <c r="I611" s="8"/>
      <c r="J611" s="8"/>
      <c r="K611" s="8"/>
      <c r="L611" s="8"/>
    </row>
    <row r="612" spans="1:12" ht="13.5" customHeight="1">
      <c r="A612" s="183"/>
      <c r="B612" s="599"/>
      <c r="C612" s="180"/>
      <c r="D612" s="8"/>
      <c r="E612" s="8"/>
      <c r="F612" s="8"/>
      <c r="G612" s="8"/>
      <c r="H612" s="8"/>
      <c r="I612" s="8"/>
      <c r="J612" s="8"/>
      <c r="K612" s="8"/>
      <c r="L612" s="8"/>
    </row>
    <row r="613" spans="1:12" ht="13.5" customHeight="1">
      <c r="A613" s="183"/>
      <c r="B613" s="599"/>
      <c r="C613" s="180"/>
      <c r="D613" s="8"/>
      <c r="E613" s="8"/>
      <c r="F613" s="8"/>
      <c r="G613" s="8"/>
      <c r="H613" s="8"/>
      <c r="I613" s="8"/>
      <c r="J613" s="8"/>
      <c r="K613" s="8"/>
      <c r="L613" s="8"/>
    </row>
    <row r="614" spans="1:12" ht="13.5" customHeight="1">
      <c r="A614" s="183"/>
      <c r="B614" s="599"/>
      <c r="C614" s="180"/>
      <c r="D614" s="8"/>
      <c r="E614" s="8"/>
      <c r="F614" s="8"/>
      <c r="G614" s="8"/>
      <c r="H614" s="8"/>
      <c r="I614" s="8"/>
      <c r="J614" s="8"/>
      <c r="K614" s="8"/>
      <c r="L614" s="8"/>
    </row>
    <row r="615" spans="1:12" ht="13.5" customHeight="1">
      <c r="A615" s="183"/>
      <c r="B615" s="599"/>
      <c r="C615" s="180"/>
      <c r="D615" s="8"/>
      <c r="E615" s="8"/>
      <c r="F615" s="8"/>
      <c r="G615" s="8"/>
      <c r="H615" s="8"/>
      <c r="I615" s="8"/>
      <c r="J615" s="8"/>
      <c r="K615" s="8"/>
      <c r="L615" s="8"/>
    </row>
    <row r="616" spans="1:12" ht="13.5" customHeight="1">
      <c r="A616" s="183"/>
      <c r="B616" s="599"/>
      <c r="C616" s="180"/>
      <c r="D616" s="8"/>
      <c r="E616" s="8"/>
      <c r="F616" s="8"/>
      <c r="G616" s="8"/>
      <c r="H616" s="8"/>
      <c r="I616" s="8"/>
      <c r="J616" s="8"/>
      <c r="K616" s="8"/>
      <c r="L616" s="8"/>
    </row>
    <row r="617" spans="1:12" ht="13.5" customHeight="1">
      <c r="A617" s="183"/>
      <c r="B617" s="599"/>
      <c r="C617" s="180"/>
      <c r="D617" s="8"/>
      <c r="E617" s="8"/>
      <c r="F617" s="8"/>
      <c r="G617" s="8"/>
      <c r="H617" s="8"/>
      <c r="I617" s="8"/>
      <c r="J617" s="8"/>
      <c r="K617" s="8"/>
      <c r="L617" s="8"/>
    </row>
    <row r="618" spans="1:12" ht="13.5" customHeight="1">
      <c r="A618" s="183"/>
      <c r="B618" s="599"/>
      <c r="C618" s="180"/>
      <c r="D618" s="8"/>
      <c r="E618" s="8"/>
      <c r="F618" s="8"/>
      <c r="G618" s="8"/>
      <c r="H618" s="8"/>
      <c r="I618" s="8"/>
      <c r="J618" s="8"/>
      <c r="K618" s="8"/>
      <c r="L618" s="8"/>
    </row>
    <row r="619" spans="1:12" ht="13.5" customHeight="1">
      <c r="A619" s="183"/>
      <c r="B619" s="599"/>
      <c r="C619" s="180"/>
      <c r="D619" s="8"/>
      <c r="E619" s="8"/>
      <c r="F619" s="8"/>
      <c r="G619" s="8"/>
      <c r="H619" s="8"/>
      <c r="I619" s="8"/>
      <c r="J619" s="8"/>
      <c r="K619" s="8"/>
      <c r="L619" s="8"/>
    </row>
    <row r="620" spans="1:12" ht="13.5" customHeight="1">
      <c r="A620" s="183"/>
      <c r="B620" s="599"/>
      <c r="C620" s="180"/>
      <c r="D620" s="8"/>
      <c r="E620" s="8"/>
      <c r="F620" s="8"/>
      <c r="G620" s="8"/>
      <c r="H620" s="8"/>
      <c r="I620" s="8"/>
      <c r="J620" s="8"/>
      <c r="K620" s="8"/>
      <c r="L620" s="8"/>
    </row>
    <row r="621" spans="1:12" ht="13.5" customHeight="1">
      <c r="A621" s="183"/>
      <c r="B621" s="599"/>
      <c r="C621" s="180"/>
      <c r="D621" s="8"/>
      <c r="E621" s="8"/>
      <c r="F621" s="8"/>
      <c r="G621" s="8"/>
      <c r="H621" s="8"/>
      <c r="I621" s="8"/>
      <c r="J621" s="8"/>
      <c r="K621" s="8"/>
      <c r="L621" s="8"/>
    </row>
    <row r="622" spans="1:12" ht="13.5" customHeight="1">
      <c r="A622" s="183"/>
      <c r="B622" s="599"/>
      <c r="C622" s="180"/>
      <c r="D622" s="8"/>
      <c r="E622" s="8"/>
      <c r="F622" s="8"/>
      <c r="G622" s="8"/>
      <c r="H622" s="8"/>
      <c r="I622" s="8"/>
      <c r="J622" s="8"/>
      <c r="K622" s="8"/>
      <c r="L622" s="8"/>
    </row>
    <row r="623" spans="1:12" ht="13.5" customHeight="1">
      <c r="A623" s="183"/>
      <c r="B623" s="599"/>
      <c r="C623" s="180"/>
      <c r="D623" s="8"/>
      <c r="E623" s="8"/>
      <c r="F623" s="8"/>
      <c r="G623" s="8"/>
      <c r="H623" s="8"/>
      <c r="I623" s="8"/>
      <c r="J623" s="8"/>
      <c r="K623" s="8"/>
      <c r="L623" s="8"/>
    </row>
    <row r="624" spans="1:12" ht="13.5" customHeight="1">
      <c r="A624" s="183"/>
      <c r="B624" s="599"/>
      <c r="C624" s="180"/>
      <c r="D624" s="8"/>
      <c r="E624" s="8"/>
      <c r="F624" s="8"/>
      <c r="G624" s="8"/>
      <c r="H624" s="8"/>
      <c r="I624" s="8"/>
      <c r="J624" s="8"/>
      <c r="K624" s="8"/>
      <c r="L624" s="8"/>
    </row>
    <row r="625" spans="1:12" ht="13.5" customHeight="1">
      <c r="A625" s="183"/>
      <c r="B625" s="599"/>
      <c r="C625" s="180"/>
      <c r="D625" s="8"/>
      <c r="E625" s="8"/>
      <c r="F625" s="8"/>
      <c r="G625" s="8"/>
      <c r="H625" s="8"/>
      <c r="I625" s="8"/>
      <c r="J625" s="8"/>
      <c r="K625" s="8"/>
      <c r="L625" s="8"/>
    </row>
    <row r="626" spans="1:12" ht="13.5" customHeight="1">
      <c r="A626" s="183"/>
      <c r="B626" s="599"/>
      <c r="C626" s="180"/>
      <c r="D626" s="8"/>
      <c r="E626" s="8"/>
      <c r="F626" s="8"/>
      <c r="G626" s="8"/>
      <c r="H626" s="8"/>
      <c r="I626" s="8"/>
      <c r="J626" s="8"/>
      <c r="K626" s="8"/>
      <c r="L626" s="8"/>
    </row>
    <row r="627" spans="1:12" ht="13.5" customHeight="1">
      <c r="A627" s="183"/>
      <c r="B627" s="599"/>
      <c r="C627" s="180"/>
      <c r="D627" s="8"/>
      <c r="E627" s="8"/>
      <c r="F627" s="8"/>
      <c r="G627" s="8"/>
      <c r="H627" s="8"/>
      <c r="I627" s="8"/>
      <c r="J627" s="8"/>
      <c r="K627" s="8"/>
      <c r="L627" s="8"/>
    </row>
    <row r="628" spans="1:12" ht="13.5" customHeight="1">
      <c r="A628" s="183"/>
      <c r="B628" s="599"/>
      <c r="C628" s="180"/>
      <c r="D628" s="8"/>
      <c r="E628" s="8"/>
      <c r="F628" s="8"/>
      <c r="G628" s="8"/>
      <c r="H628" s="8"/>
      <c r="I628" s="8"/>
      <c r="J628" s="8"/>
      <c r="K628" s="8"/>
      <c r="L628" s="8"/>
    </row>
    <row r="629" spans="1:12" ht="13.5" customHeight="1">
      <c r="A629" s="183"/>
      <c r="B629" s="599"/>
      <c r="C629" s="180"/>
      <c r="D629" s="8"/>
      <c r="E629" s="8"/>
      <c r="F629" s="8"/>
      <c r="G629" s="8"/>
      <c r="H629" s="8"/>
      <c r="I629" s="8"/>
      <c r="J629" s="8"/>
      <c r="K629" s="8"/>
      <c r="L629" s="8"/>
    </row>
    <row r="630" spans="1:12" ht="13.5" customHeight="1">
      <c r="A630" s="183"/>
      <c r="B630" s="599"/>
      <c r="C630" s="180"/>
      <c r="D630" s="8"/>
      <c r="E630" s="8"/>
      <c r="F630" s="8"/>
      <c r="G630" s="8"/>
      <c r="H630" s="8"/>
      <c r="I630" s="8"/>
      <c r="J630" s="8"/>
      <c r="K630" s="8"/>
      <c r="L630" s="8"/>
    </row>
    <row r="631" spans="1:12" ht="13.5" customHeight="1">
      <c r="A631" s="183"/>
      <c r="B631" s="599"/>
      <c r="C631" s="180"/>
      <c r="D631" s="8"/>
      <c r="E631" s="8"/>
      <c r="F631" s="8"/>
      <c r="G631" s="8"/>
      <c r="H631" s="8"/>
      <c r="I631" s="8"/>
      <c r="J631" s="8"/>
      <c r="K631" s="8"/>
      <c r="L631" s="8"/>
    </row>
    <row r="632" spans="1:12" ht="13.5" customHeight="1">
      <c r="A632" s="183"/>
      <c r="B632" s="599"/>
      <c r="C632" s="180"/>
      <c r="D632" s="8"/>
      <c r="E632" s="8"/>
      <c r="F632" s="8"/>
      <c r="G632" s="8"/>
      <c r="H632" s="8"/>
      <c r="I632" s="8"/>
      <c r="J632" s="8"/>
      <c r="K632" s="8"/>
      <c r="L632" s="8"/>
    </row>
    <row r="633" spans="1:12" ht="13.5" customHeight="1">
      <c r="A633" s="183"/>
      <c r="B633" s="599"/>
      <c r="C633" s="180"/>
      <c r="D633" s="8"/>
      <c r="E633" s="8"/>
      <c r="F633" s="8"/>
      <c r="G633" s="8"/>
      <c r="H633" s="8"/>
      <c r="I633" s="8"/>
      <c r="J633" s="8"/>
      <c r="K633" s="8"/>
      <c r="L633" s="8"/>
    </row>
    <row r="634" spans="1:12" ht="13.5" customHeight="1">
      <c r="A634" s="183"/>
      <c r="B634" s="599"/>
      <c r="C634" s="180"/>
      <c r="D634" s="8"/>
      <c r="E634" s="8"/>
      <c r="F634" s="8"/>
      <c r="G634" s="8"/>
      <c r="H634" s="8"/>
      <c r="I634" s="8"/>
      <c r="J634" s="8"/>
      <c r="K634" s="8"/>
      <c r="L634" s="8"/>
    </row>
    <row r="635" spans="1:12" ht="13.5" customHeight="1">
      <c r="A635" s="183"/>
      <c r="B635" s="599"/>
      <c r="C635" s="180"/>
      <c r="D635" s="8"/>
      <c r="E635" s="8"/>
      <c r="F635" s="8"/>
      <c r="G635" s="8"/>
      <c r="H635" s="8"/>
      <c r="I635" s="8"/>
      <c r="J635" s="8"/>
      <c r="K635" s="8"/>
      <c r="L635" s="8"/>
    </row>
    <row r="636" spans="1:12" ht="13.5" customHeight="1">
      <c r="A636" s="183"/>
      <c r="B636" s="599"/>
      <c r="C636" s="180"/>
      <c r="D636" s="8"/>
      <c r="E636" s="8"/>
      <c r="F636" s="8"/>
      <c r="G636" s="8"/>
      <c r="H636" s="8"/>
      <c r="I636" s="8"/>
      <c r="J636" s="8"/>
      <c r="K636" s="8"/>
      <c r="L636" s="8"/>
    </row>
    <row r="637" spans="1:12" ht="13.5" customHeight="1">
      <c r="A637" s="183"/>
      <c r="B637" s="599"/>
      <c r="C637" s="180"/>
      <c r="D637" s="8"/>
      <c r="E637" s="8"/>
      <c r="F637" s="8"/>
      <c r="G637" s="8"/>
      <c r="H637" s="8"/>
      <c r="I637" s="8"/>
      <c r="J637" s="8"/>
      <c r="K637" s="8"/>
      <c r="L637" s="8"/>
    </row>
    <row r="638" spans="1:12" ht="13.5" customHeight="1">
      <c r="A638" s="183"/>
      <c r="B638" s="599"/>
      <c r="C638" s="180"/>
      <c r="D638" s="8"/>
      <c r="E638" s="8"/>
      <c r="F638" s="8"/>
      <c r="G638" s="8"/>
      <c r="H638" s="8"/>
      <c r="I638" s="8"/>
      <c r="J638" s="8"/>
      <c r="K638" s="8"/>
      <c r="L638" s="8"/>
    </row>
    <row r="639" spans="1:12" ht="13.5" customHeight="1">
      <c r="A639" s="183"/>
      <c r="B639" s="599"/>
      <c r="C639" s="180"/>
      <c r="D639" s="8"/>
      <c r="E639" s="8"/>
      <c r="F639" s="8"/>
      <c r="G639" s="8"/>
      <c r="H639" s="8"/>
      <c r="I639" s="8"/>
      <c r="J639" s="8"/>
      <c r="K639" s="8"/>
      <c r="L639" s="8"/>
    </row>
    <row r="640" spans="1:12" ht="13.5" customHeight="1">
      <c r="A640" s="183"/>
      <c r="B640" s="599"/>
      <c r="C640" s="180"/>
      <c r="D640" s="8"/>
      <c r="E640" s="8"/>
      <c r="F640" s="8"/>
      <c r="G640" s="8"/>
      <c r="H640" s="8"/>
      <c r="I640" s="8"/>
      <c r="J640" s="8"/>
      <c r="K640" s="8"/>
      <c r="L640" s="8"/>
    </row>
    <row r="641" spans="1:12" ht="13.5" customHeight="1">
      <c r="A641" s="183"/>
      <c r="B641" s="599"/>
      <c r="C641" s="180"/>
      <c r="D641" s="8"/>
      <c r="E641" s="8"/>
      <c r="F641" s="8"/>
      <c r="G641" s="8"/>
      <c r="H641" s="8"/>
      <c r="I641" s="8"/>
      <c r="J641" s="8"/>
      <c r="K641" s="8"/>
      <c r="L641" s="8"/>
    </row>
    <row r="642" spans="1:12" ht="13.5" customHeight="1">
      <c r="A642" s="183"/>
      <c r="B642" s="599"/>
      <c r="C642" s="180"/>
      <c r="D642" s="8"/>
      <c r="E642" s="8"/>
      <c r="F642" s="8"/>
      <c r="G642" s="8"/>
      <c r="H642" s="8"/>
      <c r="I642" s="8"/>
      <c r="J642" s="8"/>
      <c r="K642" s="8"/>
      <c r="L642" s="8"/>
    </row>
    <row r="643" spans="1:12" ht="13.5" customHeight="1">
      <c r="A643" s="183"/>
      <c r="B643" s="599"/>
      <c r="C643" s="180"/>
      <c r="D643" s="8"/>
      <c r="E643" s="8"/>
      <c r="F643" s="8"/>
      <c r="G643" s="8"/>
      <c r="H643" s="8"/>
      <c r="I643" s="8"/>
      <c r="J643" s="8"/>
      <c r="K643" s="8"/>
      <c r="L643" s="8"/>
    </row>
    <row r="644" spans="1:12" ht="13.5" customHeight="1">
      <c r="A644" s="183"/>
      <c r="B644" s="599"/>
      <c r="C644" s="180"/>
      <c r="D644" s="8"/>
      <c r="E644" s="8"/>
      <c r="F644" s="8"/>
      <c r="G644" s="8"/>
      <c r="H644" s="8"/>
      <c r="I644" s="8"/>
      <c r="J644" s="8"/>
      <c r="K644" s="8"/>
      <c r="L644" s="8"/>
    </row>
    <row r="645" spans="1:12" ht="13.5" customHeight="1">
      <c r="A645" s="183"/>
      <c r="B645" s="599"/>
      <c r="C645" s="180"/>
      <c r="D645" s="8"/>
      <c r="E645" s="8"/>
      <c r="F645" s="8"/>
      <c r="G645" s="8"/>
      <c r="H645" s="8"/>
      <c r="I645" s="8"/>
      <c r="J645" s="8"/>
      <c r="K645" s="8"/>
      <c r="L645" s="8"/>
    </row>
    <row r="646" spans="1:12" ht="13.5" customHeight="1">
      <c r="A646" s="183"/>
      <c r="B646" s="599"/>
      <c r="C646" s="180"/>
      <c r="D646" s="8"/>
      <c r="E646" s="8"/>
      <c r="F646" s="8"/>
      <c r="G646" s="8"/>
      <c r="H646" s="8"/>
      <c r="I646" s="8"/>
      <c r="J646" s="8"/>
      <c r="K646" s="8"/>
      <c r="L646" s="8"/>
    </row>
    <row r="647" spans="1:12" ht="13.5" customHeight="1">
      <c r="A647" s="183"/>
      <c r="B647" s="599"/>
      <c r="C647" s="180"/>
      <c r="D647" s="8"/>
      <c r="E647" s="8"/>
      <c r="F647" s="8"/>
      <c r="G647" s="8"/>
      <c r="H647" s="8"/>
      <c r="I647" s="8"/>
      <c r="J647" s="8"/>
      <c r="K647" s="8"/>
      <c r="L647" s="8"/>
    </row>
    <row r="648" spans="1:12" ht="13.5" customHeight="1">
      <c r="A648" s="183"/>
      <c r="B648" s="599"/>
      <c r="C648" s="180"/>
      <c r="D648" s="8"/>
      <c r="E648" s="8"/>
      <c r="F648" s="8"/>
      <c r="G648" s="8"/>
      <c r="H648" s="8"/>
      <c r="I648" s="8"/>
      <c r="J648" s="8"/>
      <c r="K648" s="8"/>
      <c r="L648" s="8"/>
    </row>
    <row r="649" spans="1:12" ht="13.5" customHeight="1">
      <c r="A649" s="183"/>
      <c r="B649" s="599"/>
      <c r="C649" s="180"/>
      <c r="D649" s="8"/>
      <c r="E649" s="8"/>
      <c r="F649" s="8"/>
      <c r="G649" s="8"/>
      <c r="H649" s="8"/>
      <c r="I649" s="8"/>
      <c r="J649" s="8"/>
      <c r="K649" s="8"/>
      <c r="L649" s="8"/>
    </row>
    <row r="650" spans="1:12" ht="13.5" customHeight="1">
      <c r="A650" s="183"/>
      <c r="B650" s="599"/>
      <c r="C650" s="180"/>
      <c r="D650" s="8"/>
      <c r="E650" s="8"/>
      <c r="F650" s="8"/>
      <c r="G650" s="8"/>
      <c r="H650" s="8"/>
      <c r="I650" s="8"/>
      <c r="J650" s="8"/>
      <c r="K650" s="8"/>
      <c r="L650" s="8"/>
    </row>
    <row r="651" spans="1:12" ht="13.5" customHeight="1">
      <c r="A651" s="183"/>
      <c r="B651" s="599"/>
      <c r="C651" s="180"/>
      <c r="D651" s="8"/>
      <c r="E651" s="8"/>
      <c r="F651" s="8"/>
      <c r="G651" s="8"/>
      <c r="H651" s="8"/>
      <c r="I651" s="8"/>
      <c r="J651" s="8"/>
      <c r="K651" s="8"/>
      <c r="L651" s="8"/>
    </row>
    <row r="652" spans="1:12" ht="13.5" customHeight="1">
      <c r="A652" s="183"/>
      <c r="B652" s="599"/>
      <c r="C652" s="180"/>
      <c r="D652" s="8"/>
      <c r="E652" s="8"/>
      <c r="F652" s="8"/>
      <c r="G652" s="8"/>
      <c r="H652" s="8"/>
      <c r="I652" s="8"/>
      <c r="J652" s="8"/>
      <c r="K652" s="8"/>
      <c r="L652" s="8"/>
    </row>
    <row r="653" spans="1:12" ht="13.5" customHeight="1">
      <c r="A653" s="183"/>
      <c r="B653" s="599"/>
      <c r="C653" s="180"/>
      <c r="D653" s="8"/>
      <c r="E653" s="8"/>
      <c r="F653" s="8"/>
      <c r="G653" s="8"/>
      <c r="H653" s="8"/>
      <c r="I653" s="8"/>
      <c r="J653" s="8"/>
      <c r="K653" s="8"/>
      <c r="L653" s="8"/>
    </row>
    <row r="654" spans="1:12" ht="13.5" customHeight="1">
      <c r="A654" s="183"/>
      <c r="B654" s="599"/>
      <c r="C654" s="180"/>
      <c r="D654" s="8"/>
      <c r="E654" s="8"/>
      <c r="F654" s="8"/>
      <c r="G654" s="8"/>
      <c r="H654" s="8"/>
      <c r="I654" s="8"/>
      <c r="J654" s="8"/>
      <c r="K654" s="8"/>
      <c r="L654" s="8"/>
    </row>
    <row r="655" spans="1:12" ht="13.5" customHeight="1">
      <c r="A655" s="183"/>
      <c r="B655" s="599"/>
      <c r="C655" s="180"/>
      <c r="D655" s="8"/>
      <c r="E655" s="8"/>
      <c r="F655" s="8"/>
      <c r="G655" s="8"/>
      <c r="H655" s="8"/>
      <c r="I655" s="8"/>
      <c r="J655" s="8"/>
      <c r="K655" s="8"/>
      <c r="L655" s="8"/>
    </row>
    <row r="656" spans="1:12" ht="13.5" customHeight="1">
      <c r="A656" s="183"/>
      <c r="B656" s="599"/>
      <c r="C656" s="180"/>
      <c r="D656" s="8"/>
      <c r="E656" s="8"/>
      <c r="F656" s="8"/>
      <c r="G656" s="8"/>
      <c r="H656" s="8"/>
      <c r="I656" s="8"/>
      <c r="J656" s="8"/>
      <c r="K656" s="8"/>
      <c r="L656" s="8"/>
    </row>
    <row r="657" spans="1:12" ht="13.5" customHeight="1">
      <c r="A657" s="183"/>
      <c r="B657" s="599"/>
      <c r="C657" s="180"/>
      <c r="D657" s="8"/>
      <c r="E657" s="8"/>
      <c r="F657" s="8"/>
      <c r="G657" s="8"/>
      <c r="H657" s="8"/>
      <c r="I657" s="8"/>
      <c r="J657" s="8"/>
      <c r="K657" s="8"/>
      <c r="L657" s="8"/>
    </row>
    <row r="658" spans="1:12" ht="13.5" customHeight="1">
      <c r="A658" s="183"/>
      <c r="B658" s="599"/>
      <c r="C658" s="180"/>
      <c r="D658" s="8"/>
      <c r="E658" s="8"/>
      <c r="F658" s="8"/>
      <c r="G658" s="8"/>
      <c r="H658" s="8"/>
      <c r="I658" s="8"/>
      <c r="J658" s="8"/>
      <c r="K658" s="8"/>
      <c r="L658" s="8"/>
    </row>
    <row r="659" spans="1:12" ht="13.5" customHeight="1">
      <c r="A659" s="183"/>
      <c r="B659" s="599"/>
      <c r="C659" s="180"/>
      <c r="D659" s="8"/>
      <c r="E659" s="8"/>
      <c r="F659" s="8"/>
      <c r="G659" s="8"/>
      <c r="H659" s="8"/>
      <c r="I659" s="8"/>
      <c r="J659" s="8"/>
      <c r="K659" s="8"/>
      <c r="L659" s="8"/>
    </row>
    <row r="660" spans="1:12" ht="13.5" customHeight="1">
      <c r="A660" s="183"/>
      <c r="B660" s="599"/>
      <c r="C660" s="180"/>
      <c r="D660" s="8"/>
      <c r="E660" s="8"/>
      <c r="F660" s="8"/>
      <c r="G660" s="8"/>
      <c r="H660" s="8"/>
      <c r="I660" s="8"/>
      <c r="J660" s="8"/>
      <c r="K660" s="8"/>
      <c r="L660" s="8"/>
    </row>
    <row r="661" spans="1:12" ht="13.5" customHeight="1">
      <c r="A661" s="183"/>
      <c r="B661" s="599"/>
      <c r="C661" s="180"/>
      <c r="D661" s="8"/>
      <c r="E661" s="8"/>
      <c r="F661" s="8"/>
      <c r="G661" s="8"/>
      <c r="H661" s="8"/>
      <c r="I661" s="8"/>
      <c r="J661" s="8"/>
      <c r="K661" s="8"/>
      <c r="L661" s="8"/>
    </row>
    <row r="662" spans="1:12" ht="13.5" customHeight="1">
      <c r="A662" s="183"/>
      <c r="B662" s="599"/>
      <c r="C662" s="180"/>
      <c r="D662" s="8"/>
      <c r="E662" s="8"/>
      <c r="F662" s="8"/>
      <c r="G662" s="8"/>
      <c r="H662" s="8"/>
      <c r="I662" s="8"/>
      <c r="J662" s="8"/>
      <c r="K662" s="8"/>
      <c r="L662" s="8"/>
    </row>
    <row r="663" spans="1:12" ht="13.5" customHeight="1">
      <c r="A663" s="183"/>
      <c r="B663" s="599"/>
      <c r="C663" s="180"/>
      <c r="D663" s="8"/>
      <c r="E663" s="8"/>
      <c r="F663" s="8"/>
      <c r="G663" s="8"/>
      <c r="H663" s="8"/>
      <c r="I663" s="8"/>
      <c r="J663" s="8"/>
      <c r="K663" s="8"/>
      <c r="L663" s="8"/>
    </row>
    <row r="664" spans="1:12" ht="13.5" customHeight="1">
      <c r="A664" s="183"/>
      <c r="B664" s="599"/>
      <c r="C664" s="180"/>
      <c r="D664" s="8"/>
      <c r="E664" s="8"/>
      <c r="F664" s="8"/>
      <c r="G664" s="8"/>
      <c r="H664" s="8"/>
      <c r="I664" s="8"/>
      <c r="J664" s="8"/>
      <c r="K664" s="8"/>
      <c r="L664" s="8"/>
    </row>
    <row r="665" spans="1:12" ht="13.5" customHeight="1">
      <c r="A665" s="183"/>
      <c r="B665" s="599"/>
      <c r="C665" s="180"/>
      <c r="D665" s="8"/>
      <c r="E665" s="8"/>
      <c r="F665" s="8"/>
      <c r="G665" s="8"/>
      <c r="H665" s="8"/>
      <c r="I665" s="8"/>
      <c r="J665" s="8"/>
      <c r="K665" s="8"/>
      <c r="L665" s="8"/>
    </row>
    <row r="666" spans="1:12" ht="13.5" customHeight="1">
      <c r="A666" s="183"/>
      <c r="B666" s="599"/>
      <c r="C666" s="180"/>
      <c r="D666" s="8"/>
      <c r="E666" s="8"/>
      <c r="F666" s="8"/>
      <c r="G666" s="8"/>
      <c r="H666" s="8"/>
      <c r="I666" s="8"/>
      <c r="J666" s="8"/>
      <c r="K666" s="8"/>
      <c r="L666" s="8"/>
    </row>
    <row r="667" spans="1:12" ht="13.5" customHeight="1">
      <c r="A667" s="183"/>
      <c r="B667" s="599"/>
      <c r="C667" s="180"/>
      <c r="D667" s="8"/>
      <c r="E667" s="8"/>
      <c r="F667" s="8"/>
      <c r="G667" s="8"/>
      <c r="H667" s="8"/>
      <c r="I667" s="8"/>
      <c r="J667" s="8"/>
      <c r="K667" s="8"/>
      <c r="L667" s="8"/>
    </row>
    <row r="668" spans="1:12" ht="13.5" customHeight="1">
      <c r="A668" s="183"/>
      <c r="B668" s="599"/>
      <c r="C668" s="180"/>
      <c r="D668" s="8"/>
      <c r="E668" s="8"/>
      <c r="F668" s="8"/>
      <c r="G668" s="8"/>
      <c r="H668" s="8"/>
      <c r="I668" s="8"/>
      <c r="J668" s="8"/>
      <c r="K668" s="8"/>
      <c r="L668" s="8"/>
    </row>
    <row r="669" spans="1:12" ht="13.5" customHeight="1">
      <c r="A669" s="183"/>
      <c r="B669" s="599"/>
      <c r="C669" s="180"/>
      <c r="D669" s="8"/>
      <c r="E669" s="8"/>
      <c r="F669" s="8"/>
      <c r="G669" s="8"/>
      <c r="H669" s="8"/>
      <c r="I669" s="8"/>
      <c r="J669" s="8"/>
      <c r="K669" s="8"/>
      <c r="L669" s="8"/>
    </row>
    <row r="670" spans="1:12" ht="13.5" customHeight="1">
      <c r="A670" s="183"/>
      <c r="B670" s="599"/>
      <c r="C670" s="180"/>
      <c r="D670" s="8"/>
      <c r="E670" s="8"/>
      <c r="F670" s="8"/>
      <c r="G670" s="8"/>
      <c r="H670" s="8"/>
      <c r="I670" s="8"/>
      <c r="J670" s="8"/>
      <c r="K670" s="8"/>
      <c r="L670" s="8"/>
    </row>
    <row r="671" spans="1:12" ht="13.5" customHeight="1">
      <c r="A671" s="183"/>
      <c r="B671" s="599"/>
      <c r="C671" s="180"/>
      <c r="D671" s="8"/>
      <c r="E671" s="8"/>
      <c r="F671" s="8"/>
      <c r="G671" s="8"/>
      <c r="H671" s="8"/>
      <c r="I671" s="8"/>
      <c r="J671" s="8"/>
      <c r="K671" s="8"/>
      <c r="L671" s="8"/>
    </row>
    <row r="672" spans="1:12" ht="13.5" customHeight="1">
      <c r="A672" s="183"/>
      <c r="B672" s="599"/>
      <c r="C672" s="180"/>
      <c r="D672" s="8"/>
      <c r="E672" s="8"/>
      <c r="F672" s="8"/>
      <c r="G672" s="8"/>
      <c r="H672" s="8"/>
      <c r="I672" s="8"/>
      <c r="J672" s="8"/>
      <c r="K672" s="8"/>
      <c r="L672" s="8"/>
    </row>
    <row r="673" spans="1:12" ht="13.5" customHeight="1">
      <c r="A673" s="183"/>
      <c r="B673" s="599"/>
      <c r="C673" s="180"/>
      <c r="D673" s="8"/>
      <c r="E673" s="8"/>
      <c r="F673" s="8"/>
      <c r="G673" s="8"/>
      <c r="H673" s="8"/>
      <c r="I673" s="8"/>
      <c r="J673" s="8"/>
      <c r="K673" s="8"/>
      <c r="L673" s="8"/>
    </row>
    <row r="674" spans="1:12" ht="13.5" customHeight="1">
      <c r="A674" s="183"/>
      <c r="B674" s="599"/>
      <c r="C674" s="180"/>
      <c r="D674" s="8"/>
      <c r="E674" s="8"/>
      <c r="F674" s="8"/>
      <c r="G674" s="8"/>
      <c r="H674" s="8"/>
      <c r="I674" s="8"/>
      <c r="J674" s="8"/>
      <c r="K674" s="8"/>
      <c r="L674" s="8"/>
    </row>
    <row r="675" spans="1:12" ht="13.5" customHeight="1">
      <c r="A675" s="183"/>
      <c r="B675" s="599"/>
      <c r="C675" s="180"/>
      <c r="D675" s="8"/>
      <c r="E675" s="8"/>
      <c r="F675" s="8"/>
      <c r="G675" s="8"/>
      <c r="H675" s="8"/>
      <c r="I675" s="8"/>
      <c r="J675" s="8"/>
      <c r="K675" s="8"/>
      <c r="L675" s="8"/>
    </row>
    <row r="676" spans="1:12" ht="13.5" customHeight="1">
      <c r="A676" s="183"/>
      <c r="B676" s="599"/>
      <c r="C676" s="180"/>
      <c r="D676" s="8"/>
      <c r="E676" s="8"/>
      <c r="F676" s="8"/>
      <c r="G676" s="8"/>
      <c r="H676" s="8"/>
      <c r="I676" s="8"/>
      <c r="J676" s="8"/>
      <c r="K676" s="8"/>
      <c r="L676" s="8"/>
    </row>
    <row r="677" spans="1:12" ht="13.5" customHeight="1">
      <c r="A677" s="183"/>
      <c r="B677" s="599"/>
      <c r="C677" s="180"/>
      <c r="D677" s="8"/>
      <c r="E677" s="8"/>
      <c r="F677" s="8"/>
      <c r="G677" s="8"/>
      <c r="H677" s="8"/>
      <c r="I677" s="8"/>
      <c r="J677" s="8"/>
      <c r="K677" s="8"/>
      <c r="L677" s="8"/>
    </row>
    <row r="678" spans="1:12" ht="13.5" customHeight="1">
      <c r="A678" s="183"/>
      <c r="B678" s="599"/>
      <c r="C678" s="180"/>
      <c r="D678" s="8"/>
      <c r="E678" s="8"/>
      <c r="F678" s="8"/>
      <c r="G678" s="8"/>
      <c r="H678" s="8"/>
      <c r="I678" s="8"/>
      <c r="J678" s="8"/>
      <c r="K678" s="8"/>
      <c r="L678" s="8"/>
    </row>
    <row r="679" spans="1:12" ht="13.5" customHeight="1">
      <c r="A679" s="183"/>
      <c r="B679" s="599"/>
      <c r="C679" s="180"/>
      <c r="D679" s="8"/>
      <c r="E679" s="8"/>
      <c r="F679" s="8"/>
      <c r="G679" s="8"/>
      <c r="H679" s="8"/>
      <c r="I679" s="8"/>
      <c r="J679" s="8"/>
      <c r="K679" s="8"/>
      <c r="L679" s="8"/>
    </row>
    <row r="680" spans="1:12" ht="13.5" customHeight="1">
      <c r="A680" s="183"/>
      <c r="B680" s="599"/>
      <c r="C680" s="180"/>
      <c r="D680" s="8"/>
      <c r="E680" s="8"/>
      <c r="F680" s="8"/>
      <c r="G680" s="8"/>
      <c r="H680" s="8"/>
      <c r="I680" s="8"/>
      <c r="J680" s="8"/>
      <c r="K680" s="8"/>
      <c r="L680" s="8"/>
    </row>
    <row r="681" spans="1:12" ht="13.5" customHeight="1">
      <c r="A681" s="183"/>
      <c r="B681" s="599"/>
      <c r="C681" s="180"/>
      <c r="D681" s="8"/>
      <c r="E681" s="8"/>
      <c r="F681" s="8"/>
      <c r="G681" s="8"/>
      <c r="H681" s="8"/>
      <c r="I681" s="8"/>
      <c r="J681" s="8"/>
      <c r="K681" s="8"/>
      <c r="L681" s="8"/>
    </row>
    <row r="682" spans="1:12" ht="13.5" customHeight="1">
      <c r="A682" s="183"/>
      <c r="B682" s="599"/>
      <c r="C682" s="180"/>
      <c r="D682" s="8"/>
      <c r="E682" s="8"/>
      <c r="F682" s="8"/>
      <c r="G682" s="8"/>
      <c r="H682" s="8"/>
      <c r="I682" s="8"/>
      <c r="J682" s="8"/>
      <c r="K682" s="8"/>
      <c r="L682" s="8"/>
    </row>
    <row r="683" spans="1:12" ht="13.5" customHeight="1">
      <c r="A683" s="183"/>
      <c r="B683" s="599"/>
      <c r="C683" s="180"/>
      <c r="D683" s="8"/>
      <c r="E683" s="8"/>
      <c r="F683" s="8"/>
      <c r="G683" s="8"/>
      <c r="H683" s="8"/>
      <c r="I683" s="8"/>
      <c r="J683" s="8"/>
      <c r="K683" s="8"/>
      <c r="L683" s="8"/>
    </row>
    <row r="684" spans="1:12" ht="13.5" customHeight="1">
      <c r="A684" s="183"/>
      <c r="B684" s="599"/>
      <c r="C684" s="180"/>
      <c r="D684" s="8"/>
      <c r="E684" s="8"/>
      <c r="F684" s="8"/>
      <c r="G684" s="8"/>
      <c r="H684" s="8"/>
      <c r="I684" s="8"/>
      <c r="J684" s="8"/>
      <c r="K684" s="8"/>
      <c r="L684" s="8"/>
    </row>
    <row r="685" spans="1:12" ht="13.5" customHeight="1">
      <c r="A685" s="183"/>
      <c r="B685" s="599"/>
      <c r="C685" s="180"/>
      <c r="D685" s="8"/>
      <c r="E685" s="8"/>
      <c r="F685" s="8"/>
      <c r="G685" s="8"/>
      <c r="H685" s="8"/>
      <c r="I685" s="8"/>
      <c r="J685" s="8"/>
      <c r="K685" s="8"/>
      <c r="L685" s="8"/>
    </row>
    <row r="686" spans="1:12" ht="13.5" customHeight="1">
      <c r="A686" s="183"/>
      <c r="B686" s="599"/>
      <c r="C686" s="180"/>
      <c r="D686" s="8"/>
      <c r="E686" s="8"/>
      <c r="F686" s="8"/>
      <c r="G686" s="8"/>
      <c r="H686" s="8"/>
      <c r="I686" s="8"/>
      <c r="J686" s="8"/>
      <c r="K686" s="8"/>
      <c r="L686" s="8"/>
    </row>
    <row r="687" spans="1:12" ht="13.5" customHeight="1">
      <c r="A687" s="183"/>
      <c r="B687" s="599"/>
      <c r="C687" s="180"/>
      <c r="D687" s="8"/>
      <c r="E687" s="8"/>
      <c r="F687" s="8"/>
      <c r="G687" s="8"/>
      <c r="H687" s="8"/>
      <c r="I687" s="8"/>
      <c r="J687" s="8"/>
      <c r="K687" s="8"/>
      <c r="L687" s="8"/>
    </row>
    <row r="688" spans="1:12" ht="13.5" customHeight="1">
      <c r="A688" s="183"/>
      <c r="B688" s="599"/>
      <c r="C688" s="180"/>
      <c r="D688" s="8"/>
      <c r="E688" s="8"/>
      <c r="F688" s="8"/>
      <c r="G688" s="8"/>
      <c r="H688" s="8"/>
      <c r="I688" s="8"/>
      <c r="J688" s="8"/>
      <c r="K688" s="8"/>
      <c r="L688" s="8"/>
    </row>
    <row r="689" spans="1:12" ht="13.5" customHeight="1">
      <c r="A689" s="183"/>
      <c r="B689" s="599"/>
      <c r="C689" s="180"/>
      <c r="D689" s="8"/>
      <c r="E689" s="8"/>
      <c r="F689" s="8"/>
      <c r="G689" s="8"/>
      <c r="H689" s="8"/>
      <c r="I689" s="8"/>
      <c r="J689" s="8"/>
      <c r="K689" s="8"/>
      <c r="L689" s="8"/>
    </row>
    <row r="690" spans="1:12" ht="13.5" customHeight="1">
      <c r="A690" s="183"/>
      <c r="B690" s="599"/>
      <c r="C690" s="180"/>
      <c r="D690" s="8"/>
      <c r="E690" s="8"/>
      <c r="F690" s="8"/>
      <c r="G690" s="8"/>
      <c r="H690" s="8"/>
      <c r="I690" s="8"/>
      <c r="J690" s="8"/>
      <c r="K690" s="8"/>
      <c r="L690" s="8"/>
    </row>
    <row r="691" spans="1:12" ht="13.5" customHeight="1">
      <c r="A691" s="183"/>
      <c r="B691" s="599"/>
      <c r="C691" s="180"/>
      <c r="D691" s="8"/>
      <c r="E691" s="8"/>
      <c r="F691" s="8"/>
      <c r="G691" s="8"/>
      <c r="H691" s="8"/>
      <c r="I691" s="8"/>
      <c r="J691" s="8"/>
      <c r="K691" s="8"/>
      <c r="L691" s="8"/>
    </row>
    <row r="692" spans="1:12" ht="13.5" customHeight="1">
      <c r="A692" s="183"/>
      <c r="B692" s="599"/>
      <c r="C692" s="180"/>
      <c r="D692" s="8"/>
      <c r="E692" s="8"/>
      <c r="F692" s="8"/>
      <c r="G692" s="8"/>
      <c r="H692" s="8"/>
      <c r="I692" s="8"/>
      <c r="J692" s="8"/>
      <c r="K692" s="8"/>
      <c r="L692" s="8"/>
    </row>
    <row r="693" spans="1:12" ht="13.5" customHeight="1">
      <c r="A693" s="183"/>
      <c r="B693" s="599"/>
      <c r="C693" s="180"/>
      <c r="D693" s="8"/>
      <c r="E693" s="8"/>
      <c r="F693" s="8"/>
      <c r="G693" s="8"/>
      <c r="H693" s="8"/>
      <c r="I693" s="8"/>
      <c r="J693" s="8"/>
      <c r="K693" s="8"/>
      <c r="L693" s="8"/>
    </row>
    <row r="694" spans="1:12" ht="13.5" customHeight="1">
      <c r="A694" s="183"/>
      <c r="B694" s="599"/>
      <c r="C694" s="180"/>
      <c r="D694" s="8"/>
      <c r="E694" s="8"/>
      <c r="F694" s="8"/>
      <c r="G694" s="8"/>
      <c r="H694" s="8"/>
      <c r="I694" s="8"/>
      <c r="J694" s="8"/>
      <c r="K694" s="8"/>
      <c r="L694" s="8"/>
    </row>
    <row r="695" spans="1:12" ht="13.5" customHeight="1">
      <c r="A695" s="183"/>
      <c r="B695" s="599"/>
      <c r="C695" s="180"/>
      <c r="D695" s="8"/>
      <c r="E695" s="8"/>
      <c r="F695" s="8"/>
      <c r="G695" s="8"/>
      <c r="H695" s="8"/>
      <c r="I695" s="8"/>
      <c r="J695" s="8"/>
      <c r="K695" s="8"/>
      <c r="L695" s="8"/>
    </row>
    <row r="696" spans="1:12" ht="13.5" customHeight="1">
      <c r="A696" s="183"/>
      <c r="B696" s="599"/>
      <c r="C696" s="180"/>
      <c r="D696" s="8"/>
      <c r="E696" s="8"/>
      <c r="F696" s="8"/>
      <c r="G696" s="8"/>
      <c r="H696" s="8"/>
      <c r="I696" s="8"/>
      <c r="J696" s="8"/>
      <c r="K696" s="8"/>
      <c r="L696" s="8"/>
    </row>
    <row r="697" spans="1:12" ht="13.5" customHeight="1">
      <c r="A697" s="183"/>
      <c r="B697" s="599"/>
      <c r="C697" s="180"/>
      <c r="D697" s="8"/>
      <c r="E697" s="8"/>
      <c r="F697" s="8"/>
      <c r="G697" s="8"/>
      <c r="H697" s="8"/>
      <c r="I697" s="8"/>
      <c r="J697" s="8"/>
      <c r="K697" s="8"/>
      <c r="L697" s="8"/>
    </row>
    <row r="698" spans="1:12" ht="13.5" customHeight="1">
      <c r="A698" s="183"/>
      <c r="B698" s="599"/>
      <c r="C698" s="180"/>
      <c r="D698" s="8"/>
      <c r="E698" s="8"/>
      <c r="F698" s="8"/>
      <c r="G698" s="8"/>
      <c r="H698" s="8"/>
      <c r="I698" s="8"/>
      <c r="J698" s="8"/>
      <c r="K698" s="8"/>
      <c r="L698" s="8"/>
    </row>
    <row r="699" spans="1:12" ht="13.5" customHeight="1">
      <c r="A699" s="183"/>
      <c r="B699" s="599"/>
      <c r="C699" s="180"/>
      <c r="D699" s="8"/>
      <c r="E699" s="8"/>
      <c r="F699" s="8"/>
      <c r="G699" s="8"/>
      <c r="H699" s="8"/>
      <c r="I699" s="8"/>
      <c r="J699" s="8"/>
      <c r="K699" s="8"/>
      <c r="L699" s="8"/>
    </row>
    <row r="700" spans="1:12" ht="13.5" customHeight="1">
      <c r="A700" s="183"/>
      <c r="B700" s="599"/>
      <c r="C700" s="180"/>
      <c r="D700" s="8"/>
      <c r="E700" s="8"/>
      <c r="F700" s="8"/>
      <c r="G700" s="8"/>
      <c r="H700" s="8"/>
      <c r="I700" s="8"/>
      <c r="J700" s="8"/>
      <c r="K700" s="8"/>
      <c r="L700" s="8"/>
    </row>
    <row r="701" spans="1:12" ht="13.5" customHeight="1">
      <c r="A701" s="183"/>
      <c r="B701" s="599"/>
      <c r="C701" s="180"/>
      <c r="D701" s="8"/>
      <c r="E701" s="8"/>
      <c r="F701" s="8"/>
      <c r="G701" s="8"/>
      <c r="H701" s="8"/>
      <c r="I701" s="8"/>
      <c r="J701" s="8"/>
      <c r="K701" s="8"/>
      <c r="L701" s="8"/>
    </row>
    <row r="702" spans="1:12" ht="13.5" customHeight="1">
      <c r="A702" s="183"/>
      <c r="B702" s="599"/>
      <c r="C702" s="180"/>
      <c r="D702" s="8"/>
      <c r="E702" s="8"/>
      <c r="F702" s="8"/>
      <c r="G702" s="8"/>
      <c r="H702" s="8"/>
      <c r="I702" s="8"/>
      <c r="J702" s="8"/>
      <c r="K702" s="8"/>
      <c r="L702" s="8"/>
    </row>
    <row r="703" spans="1:12" ht="13.5" customHeight="1">
      <c r="A703" s="183"/>
      <c r="B703" s="599"/>
      <c r="C703" s="180"/>
      <c r="D703" s="8"/>
      <c r="E703" s="8"/>
      <c r="F703" s="8"/>
      <c r="G703" s="8"/>
      <c r="H703" s="8"/>
      <c r="I703" s="8"/>
      <c r="J703" s="8"/>
      <c r="K703" s="8"/>
      <c r="L703" s="8"/>
    </row>
    <row r="704" spans="1:12" ht="13.5" customHeight="1">
      <c r="A704" s="183"/>
      <c r="B704" s="599"/>
      <c r="C704" s="180"/>
      <c r="D704" s="8"/>
      <c r="E704" s="8"/>
      <c r="F704" s="8"/>
      <c r="G704" s="8"/>
      <c r="H704" s="8"/>
      <c r="I704" s="8"/>
      <c r="J704" s="8"/>
      <c r="K704" s="8"/>
      <c r="L704" s="8"/>
    </row>
    <row r="705" spans="1:12" ht="13.5" customHeight="1">
      <c r="A705" s="183"/>
      <c r="B705" s="599"/>
      <c r="C705" s="180"/>
      <c r="D705" s="8"/>
      <c r="E705" s="8"/>
      <c r="F705" s="8"/>
      <c r="G705" s="8"/>
      <c r="H705" s="8"/>
      <c r="I705" s="8"/>
      <c r="J705" s="8"/>
      <c r="K705" s="8"/>
      <c r="L705" s="8"/>
    </row>
    <row r="706" spans="1:12" ht="13.5" customHeight="1">
      <c r="A706" s="183"/>
      <c r="B706" s="599"/>
      <c r="C706" s="180"/>
      <c r="D706" s="8"/>
      <c r="E706" s="8"/>
      <c r="F706" s="8"/>
      <c r="G706" s="8"/>
      <c r="H706" s="8"/>
      <c r="I706" s="8"/>
      <c r="J706" s="8"/>
      <c r="K706" s="8"/>
      <c r="L706" s="8"/>
    </row>
    <row r="707" spans="1:12" ht="13.5" customHeight="1">
      <c r="A707" s="183"/>
      <c r="B707" s="599"/>
      <c r="C707" s="180"/>
      <c r="D707" s="8"/>
      <c r="E707" s="8"/>
      <c r="F707" s="8"/>
      <c r="G707" s="8"/>
      <c r="H707" s="8"/>
      <c r="I707" s="8"/>
      <c r="J707" s="8"/>
      <c r="K707" s="8"/>
      <c r="L707" s="8"/>
    </row>
    <row r="708" spans="1:12" ht="13.5" customHeight="1">
      <c r="A708" s="183"/>
      <c r="B708" s="599"/>
      <c r="C708" s="180"/>
      <c r="D708" s="8"/>
      <c r="E708" s="8"/>
      <c r="F708" s="8"/>
      <c r="G708" s="8"/>
      <c r="H708" s="8"/>
      <c r="I708" s="8"/>
      <c r="J708" s="8"/>
      <c r="K708" s="8"/>
      <c r="L708" s="8"/>
    </row>
    <row r="709" spans="1:12" ht="13.5" customHeight="1">
      <c r="A709" s="183"/>
      <c r="B709" s="599"/>
      <c r="C709" s="180"/>
      <c r="D709" s="8"/>
      <c r="E709" s="8"/>
      <c r="F709" s="8"/>
      <c r="G709" s="8"/>
      <c r="H709" s="8"/>
      <c r="I709" s="8"/>
      <c r="J709" s="8"/>
      <c r="K709" s="8"/>
      <c r="L709" s="8"/>
    </row>
    <row r="710" spans="1:12" ht="13.5" customHeight="1">
      <c r="A710" s="183"/>
      <c r="B710" s="599"/>
      <c r="C710" s="180"/>
      <c r="D710" s="8"/>
      <c r="E710" s="8"/>
      <c r="F710" s="8"/>
      <c r="G710" s="8"/>
      <c r="H710" s="8"/>
      <c r="I710" s="8"/>
      <c r="J710" s="8"/>
      <c r="K710" s="8"/>
      <c r="L710" s="8"/>
    </row>
    <row r="711" spans="1:12" ht="13.5" customHeight="1">
      <c r="A711" s="183"/>
      <c r="B711" s="599"/>
      <c r="C711" s="180"/>
      <c r="D711" s="8"/>
      <c r="E711" s="8"/>
      <c r="F711" s="8"/>
      <c r="G711" s="8"/>
      <c r="H711" s="8"/>
      <c r="I711" s="8"/>
      <c r="J711" s="8"/>
      <c r="K711" s="8"/>
      <c r="L711" s="8"/>
    </row>
    <row r="712" spans="1:12" ht="13.5" customHeight="1">
      <c r="A712" s="183"/>
      <c r="B712" s="599"/>
      <c r="C712" s="180"/>
      <c r="D712" s="8"/>
      <c r="E712" s="8"/>
      <c r="F712" s="8"/>
      <c r="G712" s="8"/>
      <c r="H712" s="8"/>
      <c r="I712" s="8"/>
      <c r="J712" s="8"/>
      <c r="K712" s="8"/>
      <c r="L712" s="8"/>
    </row>
    <row r="713" spans="1:12" ht="13.5" customHeight="1">
      <c r="A713" s="183"/>
      <c r="B713" s="599"/>
      <c r="C713" s="180"/>
      <c r="D713" s="8"/>
      <c r="E713" s="8"/>
      <c r="F713" s="8"/>
      <c r="G713" s="8"/>
      <c r="H713" s="8"/>
      <c r="I713" s="8"/>
      <c r="J713" s="8"/>
      <c r="K713" s="8"/>
      <c r="L713" s="8"/>
    </row>
    <row r="714" spans="1:12" ht="13.5" customHeight="1">
      <c r="A714" s="183"/>
      <c r="B714" s="599"/>
      <c r="C714" s="180"/>
      <c r="D714" s="8"/>
      <c r="E714" s="8"/>
      <c r="F714" s="8"/>
      <c r="G714" s="8"/>
      <c r="H714" s="8"/>
      <c r="I714" s="8"/>
      <c r="J714" s="8"/>
      <c r="K714" s="8"/>
      <c r="L714" s="8"/>
    </row>
    <row r="715" spans="1:12" ht="13.5" customHeight="1">
      <c r="A715" s="183"/>
      <c r="B715" s="599"/>
      <c r="C715" s="180"/>
      <c r="D715" s="8"/>
      <c r="E715" s="8"/>
      <c r="F715" s="8"/>
      <c r="G715" s="8"/>
      <c r="H715" s="8"/>
      <c r="I715" s="8"/>
      <c r="J715" s="8"/>
      <c r="K715" s="8"/>
      <c r="L715" s="8"/>
    </row>
    <row r="716" spans="1:12" ht="13.5" customHeight="1">
      <c r="A716" s="183"/>
      <c r="B716" s="599"/>
      <c r="C716" s="180"/>
      <c r="D716" s="8"/>
      <c r="E716" s="8"/>
      <c r="F716" s="8"/>
      <c r="G716" s="8"/>
      <c r="H716" s="8"/>
      <c r="I716" s="8"/>
      <c r="J716" s="8"/>
      <c r="K716" s="8"/>
      <c r="L716" s="8"/>
    </row>
    <row r="717" spans="1:12" ht="13.5" customHeight="1">
      <c r="A717" s="183"/>
      <c r="B717" s="599"/>
      <c r="C717" s="180"/>
      <c r="D717" s="8"/>
      <c r="E717" s="8"/>
      <c r="F717" s="8"/>
      <c r="G717" s="8"/>
      <c r="H717" s="8"/>
      <c r="I717" s="8"/>
      <c r="J717" s="8"/>
      <c r="K717" s="8"/>
      <c r="L717" s="8"/>
    </row>
    <row r="718" spans="1:12" ht="13.5" customHeight="1">
      <c r="A718" s="183"/>
      <c r="B718" s="599"/>
      <c r="C718" s="180"/>
      <c r="D718" s="8"/>
      <c r="E718" s="8"/>
      <c r="F718" s="8"/>
      <c r="G718" s="8"/>
      <c r="H718" s="8"/>
      <c r="I718" s="8"/>
      <c r="J718" s="8"/>
      <c r="K718" s="8"/>
      <c r="L718" s="8"/>
    </row>
    <row r="719" spans="1:12" ht="13.5" customHeight="1">
      <c r="A719" s="183"/>
      <c r="B719" s="599"/>
      <c r="C719" s="180"/>
      <c r="D719" s="8"/>
      <c r="E719" s="8"/>
      <c r="F719" s="8"/>
      <c r="G719" s="8"/>
      <c r="H719" s="8"/>
      <c r="I719" s="8"/>
      <c r="J719" s="8"/>
      <c r="K719" s="8"/>
      <c r="L719" s="8"/>
    </row>
    <row r="720" spans="1:12" ht="13.5" customHeight="1">
      <c r="A720" s="183"/>
      <c r="B720" s="599"/>
      <c r="C720" s="180"/>
      <c r="D720" s="8"/>
      <c r="E720" s="8"/>
      <c r="F720" s="8"/>
      <c r="G720" s="8"/>
      <c r="H720" s="8"/>
      <c r="I720" s="8"/>
      <c r="J720" s="8"/>
      <c r="K720" s="8"/>
      <c r="L720" s="8"/>
    </row>
    <row r="721" spans="1:12" ht="13.5" customHeight="1">
      <c r="A721" s="183"/>
      <c r="B721" s="599"/>
      <c r="C721" s="180"/>
      <c r="D721" s="8"/>
      <c r="E721" s="8"/>
      <c r="F721" s="8"/>
      <c r="G721" s="8"/>
      <c r="H721" s="8"/>
      <c r="I721" s="8"/>
      <c r="J721" s="8"/>
      <c r="K721" s="8"/>
      <c r="L721" s="8"/>
    </row>
    <row r="722" spans="1:12" ht="13.5" customHeight="1">
      <c r="A722" s="183"/>
      <c r="B722" s="599"/>
      <c r="C722" s="180"/>
      <c r="D722" s="8"/>
      <c r="E722" s="8"/>
      <c r="F722" s="8"/>
      <c r="G722" s="8"/>
      <c r="H722" s="8"/>
      <c r="I722" s="8"/>
      <c r="J722" s="8"/>
      <c r="K722" s="8"/>
      <c r="L722" s="8"/>
    </row>
    <row r="723" spans="1:12" ht="13.5" customHeight="1">
      <c r="A723" s="183"/>
      <c r="B723" s="599"/>
      <c r="C723" s="180"/>
      <c r="D723" s="8"/>
      <c r="E723" s="8"/>
      <c r="F723" s="8"/>
      <c r="G723" s="8"/>
      <c r="H723" s="8"/>
      <c r="I723" s="8"/>
      <c r="J723" s="8"/>
      <c r="K723" s="8"/>
      <c r="L723" s="8"/>
    </row>
    <row r="724" spans="1:12" ht="13.5" customHeight="1">
      <c r="A724" s="183"/>
      <c r="B724" s="599"/>
      <c r="C724" s="180"/>
      <c r="D724" s="8"/>
      <c r="E724" s="8"/>
      <c r="F724" s="8"/>
      <c r="G724" s="8"/>
      <c r="H724" s="8"/>
      <c r="I724" s="8"/>
      <c r="J724" s="8"/>
      <c r="K724" s="8"/>
      <c r="L724" s="8"/>
    </row>
    <row r="725" spans="1:12" ht="13.5" customHeight="1">
      <c r="A725" s="183"/>
      <c r="B725" s="599"/>
      <c r="C725" s="180"/>
      <c r="D725" s="8"/>
      <c r="E725" s="8"/>
      <c r="F725" s="8"/>
      <c r="G725" s="8"/>
      <c r="H725" s="8"/>
      <c r="I725" s="8"/>
      <c r="J725" s="8"/>
      <c r="K725" s="8"/>
      <c r="L725" s="8"/>
    </row>
    <row r="726" spans="1:12" ht="13.5" customHeight="1">
      <c r="A726" s="183"/>
      <c r="B726" s="599"/>
      <c r="C726" s="180"/>
      <c r="D726" s="8"/>
      <c r="E726" s="8"/>
      <c r="F726" s="8"/>
      <c r="G726" s="8"/>
      <c r="H726" s="8"/>
      <c r="I726" s="8"/>
      <c r="J726" s="8"/>
      <c r="K726" s="8"/>
      <c r="L726" s="8"/>
    </row>
    <row r="727" spans="1:12" ht="13.5" customHeight="1">
      <c r="A727" s="183"/>
      <c r="B727" s="599"/>
      <c r="C727" s="180"/>
      <c r="D727" s="8"/>
      <c r="E727" s="8"/>
      <c r="F727" s="8"/>
      <c r="G727" s="8"/>
      <c r="H727" s="8"/>
      <c r="I727" s="8"/>
      <c r="J727" s="8"/>
      <c r="K727" s="8"/>
      <c r="L727" s="8"/>
    </row>
    <row r="728" spans="1:12" ht="13.5" customHeight="1">
      <c r="A728" s="183"/>
      <c r="B728" s="599"/>
      <c r="C728" s="180"/>
      <c r="D728" s="8"/>
      <c r="E728" s="8"/>
      <c r="F728" s="8"/>
      <c r="G728" s="8"/>
      <c r="H728" s="8"/>
      <c r="I728" s="8"/>
      <c r="J728" s="8"/>
      <c r="K728" s="8"/>
      <c r="L728" s="8"/>
    </row>
    <row r="729" spans="1:12" ht="13.5" customHeight="1">
      <c r="A729" s="183"/>
      <c r="B729" s="599"/>
      <c r="C729" s="180"/>
      <c r="D729" s="8"/>
      <c r="E729" s="8"/>
      <c r="F729" s="8"/>
      <c r="G729" s="8"/>
      <c r="H729" s="8"/>
      <c r="I729" s="8"/>
      <c r="J729" s="8"/>
      <c r="K729" s="8"/>
      <c r="L729" s="8"/>
    </row>
    <row r="730" spans="1:12" ht="13.5" customHeight="1">
      <c r="A730" s="183"/>
      <c r="B730" s="599"/>
      <c r="C730" s="180"/>
      <c r="D730" s="8"/>
      <c r="E730" s="8"/>
      <c r="F730" s="8"/>
      <c r="G730" s="8"/>
      <c r="H730" s="8"/>
      <c r="I730" s="8"/>
      <c r="J730" s="8"/>
      <c r="K730" s="8"/>
      <c r="L730" s="8"/>
    </row>
    <row r="731" spans="1:12" ht="13.5" customHeight="1">
      <c r="A731" s="183"/>
      <c r="B731" s="599"/>
      <c r="C731" s="180"/>
      <c r="D731" s="8"/>
      <c r="E731" s="8"/>
      <c r="F731" s="8"/>
      <c r="G731" s="8"/>
      <c r="H731" s="8"/>
      <c r="I731" s="8"/>
      <c r="J731" s="8"/>
      <c r="K731" s="8"/>
      <c r="L731" s="8"/>
    </row>
    <row r="732" spans="1:12" ht="13.5" customHeight="1">
      <c r="A732" s="183"/>
      <c r="B732" s="599"/>
      <c r="C732" s="180"/>
      <c r="D732" s="8"/>
      <c r="E732" s="8"/>
      <c r="F732" s="8"/>
      <c r="G732" s="8"/>
      <c r="H732" s="8"/>
      <c r="I732" s="8"/>
      <c r="J732" s="8"/>
      <c r="K732" s="8"/>
      <c r="L732" s="8"/>
    </row>
    <row r="733" spans="1:12" ht="13.5" customHeight="1">
      <c r="A733" s="183"/>
      <c r="B733" s="599"/>
      <c r="C733" s="180"/>
      <c r="D733" s="8"/>
      <c r="E733" s="8"/>
      <c r="F733" s="8"/>
      <c r="G733" s="8"/>
      <c r="H733" s="8"/>
      <c r="I733" s="8"/>
      <c r="J733" s="8"/>
      <c r="K733" s="8"/>
      <c r="L733" s="8"/>
    </row>
    <row r="734" spans="1:12" ht="13.5" customHeight="1">
      <c r="A734" s="183"/>
      <c r="B734" s="599"/>
      <c r="C734" s="180"/>
      <c r="D734" s="8"/>
      <c r="E734" s="8"/>
      <c r="F734" s="8"/>
      <c r="G734" s="8"/>
      <c r="H734" s="8"/>
      <c r="I734" s="8"/>
      <c r="J734" s="8"/>
      <c r="K734" s="8"/>
      <c r="L734" s="8"/>
    </row>
    <row r="735" spans="1:12" ht="13.5" customHeight="1">
      <c r="A735" s="183"/>
      <c r="B735" s="599"/>
      <c r="C735" s="180"/>
      <c r="D735" s="8"/>
      <c r="E735" s="8"/>
      <c r="F735" s="8"/>
      <c r="G735" s="8"/>
      <c r="H735" s="8"/>
      <c r="I735" s="8"/>
      <c r="J735" s="8"/>
      <c r="K735" s="8"/>
      <c r="L735" s="8"/>
    </row>
    <row r="736" spans="1:12" ht="13.5" customHeight="1">
      <c r="A736" s="183"/>
      <c r="B736" s="599"/>
      <c r="C736" s="180"/>
      <c r="D736" s="8"/>
      <c r="E736" s="8"/>
      <c r="F736" s="8"/>
      <c r="G736" s="8"/>
      <c r="H736" s="8"/>
      <c r="I736" s="8"/>
      <c r="J736" s="8"/>
      <c r="K736" s="8"/>
      <c r="L736" s="8"/>
    </row>
    <row r="737" spans="1:12" ht="13.5" customHeight="1">
      <c r="A737" s="183"/>
      <c r="B737" s="599"/>
      <c r="C737" s="180"/>
      <c r="D737" s="8"/>
      <c r="E737" s="8"/>
      <c r="F737" s="8"/>
      <c r="G737" s="8"/>
      <c r="H737" s="8"/>
      <c r="I737" s="8"/>
      <c r="J737" s="8"/>
      <c r="K737" s="8"/>
      <c r="L737" s="8"/>
    </row>
    <row r="738" spans="1:12" ht="13.5" customHeight="1">
      <c r="A738" s="183"/>
      <c r="B738" s="599"/>
      <c r="C738" s="180"/>
      <c r="D738" s="8"/>
      <c r="E738" s="8"/>
      <c r="F738" s="8"/>
      <c r="G738" s="8"/>
      <c r="H738" s="8"/>
      <c r="I738" s="8"/>
      <c r="J738" s="8"/>
      <c r="K738" s="8"/>
      <c r="L738" s="8"/>
    </row>
    <row r="739" spans="1:12" ht="13.5" customHeight="1">
      <c r="A739" s="183"/>
      <c r="B739" s="599"/>
      <c r="C739" s="180"/>
      <c r="D739" s="8"/>
      <c r="E739" s="8"/>
      <c r="F739" s="8"/>
      <c r="G739" s="8"/>
      <c r="H739" s="8"/>
      <c r="I739" s="8"/>
      <c r="J739" s="8"/>
      <c r="K739" s="8"/>
      <c r="L739" s="8"/>
    </row>
    <row r="740" spans="1:12" ht="13.5" customHeight="1">
      <c r="A740" s="183"/>
      <c r="B740" s="599"/>
      <c r="C740" s="180"/>
      <c r="D740" s="8"/>
      <c r="E740" s="8"/>
      <c r="F740" s="8"/>
      <c r="G740" s="8"/>
      <c r="H740" s="8"/>
      <c r="I740" s="8"/>
      <c r="J740" s="8"/>
      <c r="K740" s="8"/>
      <c r="L740" s="8"/>
    </row>
    <row r="741" spans="1:12" ht="13.5" customHeight="1">
      <c r="A741" s="183"/>
      <c r="B741" s="599"/>
      <c r="C741" s="180"/>
      <c r="D741" s="8"/>
      <c r="E741" s="8"/>
      <c r="F741" s="8"/>
      <c r="G741" s="8"/>
      <c r="H741" s="8"/>
      <c r="I741" s="8"/>
      <c r="J741" s="8"/>
      <c r="K741" s="8"/>
      <c r="L741" s="8"/>
    </row>
    <row r="742" spans="1:12" ht="13.5" customHeight="1">
      <c r="A742" s="183"/>
      <c r="B742" s="599"/>
      <c r="C742" s="180"/>
      <c r="D742" s="8"/>
      <c r="E742" s="8"/>
      <c r="F742" s="8"/>
      <c r="G742" s="8"/>
      <c r="H742" s="8"/>
      <c r="I742" s="8"/>
      <c r="J742" s="8"/>
      <c r="K742" s="8"/>
      <c r="L742" s="8"/>
    </row>
    <row r="743" spans="1:12" ht="13.5" customHeight="1">
      <c r="A743" s="183"/>
      <c r="B743" s="599"/>
      <c r="C743" s="180"/>
      <c r="D743" s="8"/>
      <c r="E743" s="8"/>
      <c r="F743" s="8"/>
      <c r="G743" s="8"/>
      <c r="H743" s="8"/>
      <c r="I743" s="8"/>
      <c r="J743" s="8"/>
      <c r="K743" s="8"/>
      <c r="L743" s="8"/>
    </row>
    <row r="744" spans="1:12" ht="13.5" customHeight="1">
      <c r="A744" s="183"/>
      <c r="B744" s="599"/>
      <c r="C744" s="180"/>
      <c r="D744" s="8"/>
      <c r="E744" s="8"/>
      <c r="F744" s="8"/>
      <c r="G744" s="8"/>
      <c r="H744" s="8"/>
      <c r="I744" s="8"/>
      <c r="J744" s="8"/>
      <c r="K744" s="8"/>
      <c r="L744" s="8"/>
    </row>
    <row r="745" spans="1:12" ht="13.5" customHeight="1">
      <c r="A745" s="183"/>
      <c r="B745" s="599"/>
      <c r="C745" s="180"/>
      <c r="D745" s="8"/>
      <c r="E745" s="8"/>
      <c r="F745" s="8"/>
      <c r="G745" s="8"/>
      <c r="H745" s="8"/>
      <c r="I745" s="8"/>
      <c r="J745" s="8"/>
      <c r="K745" s="8"/>
      <c r="L745" s="8"/>
    </row>
    <row r="746" spans="1:12" ht="13.5" customHeight="1">
      <c r="A746" s="183"/>
      <c r="B746" s="599"/>
      <c r="C746" s="180"/>
      <c r="D746" s="8"/>
      <c r="E746" s="8"/>
      <c r="F746" s="8"/>
      <c r="G746" s="8"/>
      <c r="H746" s="8"/>
      <c r="I746" s="8"/>
      <c r="J746" s="8"/>
      <c r="K746" s="8"/>
      <c r="L746" s="8"/>
    </row>
    <row r="747" spans="1:12" ht="13.5" customHeight="1">
      <c r="A747" s="183"/>
      <c r="B747" s="599"/>
      <c r="C747" s="180"/>
      <c r="D747" s="8"/>
      <c r="E747" s="8"/>
      <c r="F747" s="8"/>
      <c r="G747" s="8"/>
      <c r="H747" s="8"/>
      <c r="I747" s="8"/>
      <c r="J747" s="8"/>
      <c r="K747" s="8"/>
      <c r="L747" s="8"/>
    </row>
    <row r="748" spans="1:12" ht="13.5" customHeight="1">
      <c r="A748" s="183"/>
      <c r="B748" s="599"/>
      <c r="C748" s="180"/>
      <c r="D748" s="8"/>
      <c r="E748" s="8"/>
      <c r="F748" s="8"/>
      <c r="G748" s="8"/>
      <c r="H748" s="8"/>
      <c r="I748" s="8"/>
      <c r="J748" s="8"/>
      <c r="K748" s="8"/>
      <c r="L748" s="8"/>
    </row>
    <row r="749" spans="1:12" ht="13.5" customHeight="1">
      <c r="A749" s="183"/>
      <c r="B749" s="599"/>
      <c r="C749" s="180"/>
      <c r="D749" s="8"/>
      <c r="E749" s="8"/>
      <c r="F749" s="8"/>
      <c r="G749" s="8"/>
      <c r="H749" s="8"/>
      <c r="I749" s="8"/>
      <c r="J749" s="8"/>
      <c r="K749" s="8"/>
      <c r="L749" s="8"/>
    </row>
    <row r="750" spans="1:12" ht="13.5" customHeight="1">
      <c r="A750" s="183"/>
      <c r="B750" s="599"/>
      <c r="C750" s="180"/>
      <c r="D750" s="8"/>
      <c r="E750" s="8"/>
      <c r="F750" s="8"/>
      <c r="G750" s="8"/>
      <c r="H750" s="8"/>
      <c r="I750" s="8"/>
      <c r="J750" s="8"/>
      <c r="K750" s="8"/>
      <c r="L750" s="8"/>
    </row>
    <row r="751" spans="1:12" ht="13.5" customHeight="1">
      <c r="A751" s="183"/>
      <c r="B751" s="599"/>
      <c r="C751" s="180"/>
      <c r="D751" s="8"/>
      <c r="E751" s="8"/>
      <c r="F751" s="8"/>
      <c r="G751" s="8"/>
      <c r="H751" s="8"/>
      <c r="I751" s="8"/>
      <c r="J751" s="8"/>
      <c r="K751" s="8"/>
      <c r="L751" s="8"/>
    </row>
    <row r="752" spans="1:12" ht="13.5" customHeight="1">
      <c r="A752" s="183"/>
      <c r="B752" s="599"/>
      <c r="C752" s="180"/>
      <c r="D752" s="8"/>
      <c r="E752" s="8"/>
      <c r="F752" s="8"/>
      <c r="G752" s="8"/>
      <c r="H752" s="8"/>
      <c r="I752" s="8"/>
      <c r="J752" s="8"/>
      <c r="K752" s="8"/>
      <c r="L752" s="8"/>
    </row>
    <row r="753" spans="1:12" ht="13.5" customHeight="1">
      <c r="A753" s="183"/>
      <c r="B753" s="599"/>
      <c r="C753" s="180"/>
      <c r="D753" s="8"/>
      <c r="E753" s="8"/>
      <c r="F753" s="8"/>
      <c r="G753" s="8"/>
      <c r="H753" s="8"/>
      <c r="I753" s="8"/>
      <c r="J753" s="8"/>
      <c r="K753" s="8"/>
      <c r="L753" s="8"/>
    </row>
    <row r="754" spans="1:12" ht="13.5" customHeight="1">
      <c r="A754" s="183"/>
      <c r="B754" s="599"/>
      <c r="C754" s="180"/>
      <c r="D754" s="8"/>
      <c r="E754" s="8"/>
      <c r="F754" s="8"/>
      <c r="G754" s="8"/>
      <c r="H754" s="8"/>
      <c r="I754" s="8"/>
      <c r="J754" s="8"/>
      <c r="K754" s="8"/>
      <c r="L754" s="8"/>
    </row>
    <row r="755" spans="1:12" ht="13.5" customHeight="1">
      <c r="A755" s="183"/>
      <c r="B755" s="599"/>
      <c r="C755" s="180"/>
      <c r="D755" s="8"/>
      <c r="E755" s="8"/>
      <c r="F755" s="8"/>
      <c r="G755" s="8"/>
      <c r="H755" s="8"/>
      <c r="I755" s="8"/>
      <c r="J755" s="8"/>
      <c r="K755" s="8"/>
      <c r="L755" s="8"/>
    </row>
    <row r="756" spans="1:12" ht="13.5" customHeight="1">
      <c r="A756" s="183"/>
      <c r="B756" s="599"/>
      <c r="C756" s="180"/>
      <c r="D756" s="8"/>
      <c r="E756" s="8"/>
      <c r="F756" s="8"/>
      <c r="G756" s="8"/>
      <c r="H756" s="8"/>
      <c r="I756" s="8"/>
      <c r="J756" s="8"/>
      <c r="K756" s="8"/>
      <c r="L756" s="8"/>
    </row>
    <row r="757" spans="1:12" ht="13.5" customHeight="1">
      <c r="A757" s="183"/>
      <c r="B757" s="599"/>
      <c r="C757" s="180"/>
      <c r="D757" s="8"/>
      <c r="E757" s="8"/>
      <c r="F757" s="8"/>
      <c r="G757" s="8"/>
      <c r="H757" s="8"/>
      <c r="I757" s="8"/>
      <c r="J757" s="8"/>
      <c r="K757" s="8"/>
      <c r="L757" s="8"/>
    </row>
    <row r="758" spans="1:12" ht="13.5" customHeight="1">
      <c r="A758" s="183"/>
      <c r="B758" s="599"/>
      <c r="C758" s="180"/>
      <c r="D758" s="8"/>
      <c r="E758" s="8"/>
      <c r="F758" s="8"/>
      <c r="G758" s="8"/>
      <c r="H758" s="8"/>
      <c r="I758" s="8"/>
      <c r="J758" s="8"/>
      <c r="K758" s="8"/>
      <c r="L758" s="8"/>
    </row>
    <row r="759" spans="1:12" ht="13.5" customHeight="1">
      <c r="A759" s="183"/>
      <c r="B759" s="599"/>
      <c r="C759" s="180"/>
      <c r="D759" s="8"/>
      <c r="E759" s="8"/>
      <c r="F759" s="8"/>
      <c r="G759" s="8"/>
      <c r="H759" s="8"/>
      <c r="I759" s="8"/>
      <c r="J759" s="8"/>
      <c r="K759" s="8"/>
      <c r="L759" s="8"/>
    </row>
    <row r="760" spans="1:12" ht="13.5" customHeight="1">
      <c r="A760" s="183"/>
      <c r="B760" s="599"/>
      <c r="C760" s="180"/>
      <c r="D760" s="8"/>
      <c r="E760" s="8"/>
      <c r="F760" s="8"/>
      <c r="G760" s="8"/>
      <c r="H760" s="8"/>
      <c r="I760" s="8"/>
      <c r="J760" s="8"/>
      <c r="K760" s="8"/>
      <c r="L760" s="8"/>
    </row>
    <row r="761" spans="1:12" ht="13.5" customHeight="1">
      <c r="A761" s="183"/>
      <c r="B761" s="599"/>
      <c r="C761" s="180"/>
      <c r="D761" s="8"/>
      <c r="E761" s="8"/>
      <c r="F761" s="8"/>
      <c r="G761" s="8"/>
      <c r="H761" s="8"/>
      <c r="I761" s="8"/>
      <c r="J761" s="8"/>
      <c r="K761" s="8"/>
      <c r="L761" s="8"/>
    </row>
    <row r="762" spans="1:12" ht="13.5" customHeight="1">
      <c r="A762" s="183"/>
      <c r="B762" s="599"/>
      <c r="C762" s="180"/>
      <c r="D762" s="8"/>
      <c r="E762" s="8"/>
      <c r="F762" s="8"/>
      <c r="G762" s="8"/>
      <c r="H762" s="8"/>
      <c r="I762" s="8"/>
      <c r="J762" s="8"/>
      <c r="K762" s="8"/>
      <c r="L762" s="8"/>
    </row>
    <row r="763" spans="1:12" ht="13.5" customHeight="1">
      <c r="A763" s="183"/>
      <c r="B763" s="599"/>
      <c r="C763" s="180"/>
      <c r="D763" s="8"/>
      <c r="E763" s="8"/>
      <c r="F763" s="8"/>
      <c r="G763" s="8"/>
      <c r="H763" s="8"/>
      <c r="I763" s="8"/>
      <c r="J763" s="8"/>
      <c r="K763" s="8"/>
      <c r="L763" s="8"/>
    </row>
    <row r="764" spans="1:12" ht="13.5" customHeight="1">
      <c r="A764" s="183"/>
      <c r="B764" s="599"/>
      <c r="C764" s="180"/>
      <c r="D764" s="8"/>
      <c r="E764" s="8"/>
      <c r="F764" s="8"/>
      <c r="G764" s="8"/>
      <c r="H764" s="8"/>
      <c r="I764" s="8"/>
      <c r="J764" s="8"/>
      <c r="K764" s="8"/>
      <c r="L764" s="8"/>
    </row>
    <row r="765" spans="1:12" ht="13.5" customHeight="1">
      <c r="A765" s="183"/>
      <c r="B765" s="599"/>
      <c r="C765" s="180"/>
      <c r="D765" s="8"/>
      <c r="E765" s="8"/>
      <c r="F765" s="8"/>
      <c r="G765" s="8"/>
      <c r="H765" s="8"/>
      <c r="I765" s="8"/>
      <c r="J765" s="8"/>
      <c r="K765" s="8"/>
      <c r="L765" s="8"/>
    </row>
    <row r="766" spans="1:12" ht="13.5" customHeight="1">
      <c r="A766" s="183"/>
      <c r="B766" s="599"/>
      <c r="C766" s="180"/>
      <c r="D766" s="8"/>
      <c r="E766" s="8"/>
      <c r="F766" s="8"/>
      <c r="G766" s="8"/>
      <c r="H766" s="8"/>
      <c r="I766" s="8"/>
      <c r="J766" s="8"/>
      <c r="K766" s="8"/>
      <c r="L766" s="8"/>
    </row>
    <row r="767" spans="1:12" ht="13.5" customHeight="1">
      <c r="A767" s="183"/>
      <c r="B767" s="599"/>
      <c r="C767" s="180"/>
      <c r="D767" s="8"/>
      <c r="E767" s="8"/>
      <c r="F767" s="8"/>
      <c r="G767" s="8"/>
      <c r="H767" s="8"/>
      <c r="I767" s="8"/>
      <c r="J767" s="8"/>
      <c r="K767" s="8"/>
      <c r="L767" s="8"/>
    </row>
    <row r="768" spans="1:12" ht="13.5" customHeight="1">
      <c r="A768" s="183"/>
      <c r="B768" s="599"/>
      <c r="C768" s="180"/>
      <c r="D768" s="8"/>
      <c r="E768" s="8"/>
      <c r="F768" s="8"/>
      <c r="G768" s="8"/>
      <c r="H768" s="8"/>
      <c r="I768" s="8"/>
      <c r="J768" s="8"/>
      <c r="K768" s="8"/>
      <c r="L768" s="8"/>
    </row>
    <row r="769" spans="1:12" ht="13.5" customHeight="1">
      <c r="A769" s="183"/>
      <c r="B769" s="599"/>
      <c r="C769" s="180"/>
      <c r="D769" s="8"/>
      <c r="E769" s="8"/>
      <c r="F769" s="8"/>
      <c r="G769" s="8"/>
      <c r="H769" s="8"/>
      <c r="I769" s="8"/>
      <c r="J769" s="8"/>
      <c r="K769" s="8"/>
      <c r="L769" s="8"/>
    </row>
    <row r="770" spans="1:12" ht="13.5" customHeight="1">
      <c r="A770" s="183"/>
      <c r="B770" s="599"/>
      <c r="C770" s="180"/>
      <c r="D770" s="8"/>
      <c r="E770" s="8"/>
      <c r="F770" s="8"/>
      <c r="G770" s="8"/>
      <c r="H770" s="8"/>
      <c r="I770" s="8"/>
      <c r="J770" s="8"/>
      <c r="K770" s="8"/>
      <c r="L770" s="8"/>
    </row>
    <row r="771" spans="1:12" ht="13.5" customHeight="1">
      <c r="A771" s="183"/>
      <c r="B771" s="599"/>
      <c r="C771" s="180"/>
      <c r="D771" s="8"/>
      <c r="E771" s="8"/>
      <c r="F771" s="8"/>
      <c r="G771" s="8"/>
      <c r="H771" s="8"/>
      <c r="I771" s="8"/>
      <c r="J771" s="8"/>
      <c r="K771" s="8"/>
      <c r="L771" s="8"/>
    </row>
    <row r="772" spans="1:12" ht="13.5" customHeight="1">
      <c r="A772" s="183"/>
      <c r="B772" s="599"/>
      <c r="C772" s="180"/>
      <c r="D772" s="8"/>
      <c r="E772" s="8"/>
      <c r="F772" s="8"/>
      <c r="G772" s="8"/>
      <c r="H772" s="8"/>
      <c r="I772" s="8"/>
      <c r="J772" s="8"/>
      <c r="K772" s="8"/>
      <c r="L772" s="8"/>
    </row>
    <row r="773" spans="1:12" ht="13.5" customHeight="1">
      <c r="A773" s="183"/>
      <c r="B773" s="599"/>
      <c r="C773" s="180"/>
      <c r="D773" s="8"/>
      <c r="E773" s="8"/>
      <c r="F773" s="8"/>
      <c r="G773" s="8"/>
      <c r="H773" s="8"/>
      <c r="I773" s="8"/>
      <c r="J773" s="8"/>
      <c r="K773" s="8"/>
      <c r="L773" s="8"/>
    </row>
    <row r="774" spans="1:12" ht="13.5" customHeight="1">
      <c r="A774" s="183"/>
      <c r="B774" s="599"/>
      <c r="C774" s="180"/>
      <c r="D774" s="8"/>
      <c r="E774" s="8"/>
      <c r="F774" s="8"/>
      <c r="G774" s="8"/>
      <c r="H774" s="8"/>
      <c r="I774" s="8"/>
      <c r="J774" s="8"/>
      <c r="K774" s="8"/>
      <c r="L774" s="8"/>
    </row>
    <row r="775" spans="1:12" ht="13.5" customHeight="1">
      <c r="A775" s="183"/>
      <c r="B775" s="599"/>
      <c r="C775" s="180"/>
      <c r="D775" s="8"/>
      <c r="E775" s="8"/>
      <c r="F775" s="8"/>
      <c r="G775" s="8"/>
      <c r="H775" s="8"/>
      <c r="I775" s="8"/>
      <c r="J775" s="8"/>
      <c r="K775" s="8"/>
      <c r="L775" s="8"/>
    </row>
    <row r="776" spans="1:12" ht="13.5" customHeight="1">
      <c r="A776" s="183"/>
      <c r="B776" s="599"/>
      <c r="C776" s="180"/>
      <c r="D776" s="8"/>
      <c r="E776" s="8"/>
      <c r="F776" s="8"/>
      <c r="G776" s="8"/>
      <c r="H776" s="8"/>
      <c r="I776" s="8"/>
      <c r="J776" s="8"/>
      <c r="K776" s="8"/>
      <c r="L776" s="8"/>
    </row>
    <row r="777" spans="1:12" ht="13.5" customHeight="1">
      <c r="A777" s="183"/>
      <c r="B777" s="599"/>
      <c r="C777" s="180"/>
      <c r="D777" s="8"/>
      <c r="E777" s="8"/>
      <c r="F777" s="8"/>
      <c r="G777" s="8"/>
      <c r="H777" s="8"/>
      <c r="I777" s="8"/>
      <c r="J777" s="8"/>
      <c r="K777" s="8"/>
      <c r="L777" s="8"/>
    </row>
    <row r="778" spans="1:12" ht="13.5" customHeight="1">
      <c r="A778" s="183"/>
      <c r="B778" s="599"/>
      <c r="C778" s="180"/>
      <c r="D778" s="8"/>
      <c r="E778" s="8"/>
      <c r="F778" s="8"/>
      <c r="G778" s="8"/>
      <c r="H778" s="8"/>
      <c r="I778" s="8"/>
      <c r="J778" s="8"/>
      <c r="K778" s="8"/>
      <c r="L778" s="8"/>
    </row>
    <row r="779" spans="1:12" ht="13.5" customHeight="1">
      <c r="A779" s="183"/>
      <c r="B779" s="599"/>
      <c r="C779" s="180"/>
      <c r="D779" s="8"/>
      <c r="E779" s="8"/>
      <c r="F779" s="8"/>
      <c r="G779" s="8"/>
      <c r="H779" s="8"/>
      <c r="I779" s="8"/>
      <c r="J779" s="8"/>
      <c r="K779" s="8"/>
      <c r="L779" s="8"/>
    </row>
    <row r="780" spans="1:12" ht="13.5" customHeight="1">
      <c r="A780" s="183"/>
      <c r="B780" s="599"/>
      <c r="C780" s="180"/>
      <c r="D780" s="8"/>
      <c r="E780" s="8"/>
      <c r="F780" s="8"/>
      <c r="G780" s="8"/>
      <c r="H780" s="8"/>
      <c r="I780" s="8"/>
      <c r="J780" s="8"/>
      <c r="K780" s="8"/>
      <c r="L780" s="8"/>
    </row>
    <row r="781" spans="1:12" ht="13.5" customHeight="1">
      <c r="A781" s="183"/>
      <c r="B781" s="599"/>
      <c r="C781" s="180"/>
      <c r="D781" s="8"/>
      <c r="E781" s="8"/>
      <c r="F781" s="8"/>
      <c r="G781" s="8"/>
      <c r="H781" s="8"/>
      <c r="I781" s="8"/>
      <c r="J781" s="8"/>
      <c r="K781" s="8"/>
      <c r="L781" s="8"/>
    </row>
    <row r="782" spans="1:12" ht="13.5" customHeight="1">
      <c r="A782" s="183"/>
      <c r="B782" s="599"/>
      <c r="C782" s="180"/>
      <c r="D782" s="8"/>
      <c r="E782" s="8"/>
      <c r="F782" s="8"/>
      <c r="G782" s="8"/>
      <c r="H782" s="8"/>
      <c r="I782" s="8"/>
      <c r="J782" s="8"/>
      <c r="K782" s="8"/>
      <c r="L782" s="8"/>
    </row>
    <row r="783" spans="1:12" ht="13.5" customHeight="1">
      <c r="A783" s="183"/>
      <c r="B783" s="599"/>
      <c r="C783" s="180"/>
      <c r="D783" s="8"/>
      <c r="E783" s="8"/>
      <c r="F783" s="8"/>
      <c r="G783" s="8"/>
      <c r="H783" s="8"/>
      <c r="I783" s="8"/>
      <c r="J783" s="8"/>
      <c r="K783" s="8"/>
      <c r="L783" s="8"/>
    </row>
    <row r="784" spans="1:12" ht="13.5" customHeight="1">
      <c r="A784" s="183"/>
      <c r="B784" s="599"/>
      <c r="C784" s="180"/>
      <c r="D784" s="8"/>
      <c r="E784" s="8"/>
      <c r="F784" s="8"/>
      <c r="G784" s="8"/>
      <c r="H784" s="8"/>
      <c r="I784" s="8"/>
      <c r="J784" s="8"/>
      <c r="K784" s="8"/>
      <c r="L784" s="8"/>
    </row>
    <row r="785" spans="1:12" ht="13.5" customHeight="1">
      <c r="A785" s="183"/>
      <c r="B785" s="599"/>
      <c r="C785" s="180"/>
      <c r="D785" s="8"/>
      <c r="E785" s="8"/>
      <c r="F785" s="8"/>
      <c r="G785" s="8"/>
      <c r="H785" s="8"/>
      <c r="I785" s="8"/>
      <c r="J785" s="8"/>
      <c r="K785" s="8"/>
      <c r="L785" s="8"/>
    </row>
    <row r="786" spans="1:12" ht="13.5" customHeight="1">
      <c r="A786" s="183"/>
      <c r="B786" s="599"/>
      <c r="C786" s="180"/>
      <c r="D786" s="8"/>
      <c r="E786" s="8"/>
      <c r="F786" s="8"/>
      <c r="G786" s="8"/>
      <c r="H786" s="8"/>
      <c r="I786" s="8"/>
      <c r="J786" s="8"/>
      <c r="K786" s="8"/>
      <c r="L786" s="8"/>
    </row>
    <row r="787" spans="1:12" ht="13.5" customHeight="1">
      <c r="A787" s="183"/>
      <c r="B787" s="599"/>
      <c r="C787" s="180"/>
      <c r="D787" s="8"/>
      <c r="E787" s="8"/>
      <c r="F787" s="8"/>
      <c r="G787" s="8"/>
      <c r="H787" s="8"/>
      <c r="I787" s="8"/>
      <c r="J787" s="8"/>
      <c r="K787" s="8"/>
      <c r="L787" s="8"/>
    </row>
    <row r="788" spans="1:12" ht="13.5" customHeight="1">
      <c r="A788" s="183"/>
      <c r="B788" s="599"/>
      <c r="C788" s="180"/>
      <c r="D788" s="8"/>
      <c r="E788" s="8"/>
      <c r="F788" s="8"/>
      <c r="G788" s="8"/>
      <c r="H788" s="8"/>
      <c r="I788" s="8"/>
      <c r="J788" s="8"/>
      <c r="K788" s="8"/>
      <c r="L788" s="8"/>
    </row>
    <row r="789" spans="1:12" ht="13.5" customHeight="1">
      <c r="A789" s="183"/>
      <c r="B789" s="599"/>
      <c r="C789" s="180"/>
      <c r="D789" s="8"/>
      <c r="E789" s="8"/>
      <c r="F789" s="8"/>
      <c r="G789" s="8"/>
      <c r="H789" s="8"/>
      <c r="I789" s="8"/>
      <c r="J789" s="8"/>
      <c r="K789" s="8"/>
      <c r="L789" s="8"/>
    </row>
    <row r="790" spans="1:12" ht="13.5" customHeight="1">
      <c r="A790" s="183"/>
      <c r="B790" s="599"/>
      <c r="C790" s="180"/>
      <c r="D790" s="8"/>
      <c r="E790" s="8"/>
      <c r="F790" s="8"/>
      <c r="G790" s="8"/>
      <c r="H790" s="8"/>
      <c r="I790" s="8"/>
      <c r="J790" s="8"/>
      <c r="K790" s="8"/>
      <c r="L790" s="8"/>
    </row>
    <row r="791" spans="1:12" ht="13.5" customHeight="1">
      <c r="A791" s="183"/>
      <c r="B791" s="599"/>
      <c r="C791" s="180"/>
      <c r="D791" s="8"/>
      <c r="E791" s="8"/>
      <c r="F791" s="8"/>
      <c r="G791" s="8"/>
      <c r="H791" s="8"/>
      <c r="I791" s="8"/>
      <c r="J791" s="8"/>
      <c r="K791" s="8"/>
      <c r="L791" s="8"/>
    </row>
    <row r="792" spans="1:12" ht="13.5" customHeight="1">
      <c r="A792" s="183"/>
      <c r="B792" s="599"/>
      <c r="C792" s="180"/>
      <c r="D792" s="8"/>
      <c r="E792" s="8"/>
      <c r="F792" s="8"/>
      <c r="G792" s="8"/>
      <c r="H792" s="8"/>
      <c r="I792" s="8"/>
      <c r="J792" s="8"/>
      <c r="K792" s="8"/>
      <c r="L792" s="8"/>
    </row>
    <row r="793" spans="1:12" ht="13.5" customHeight="1">
      <c r="A793" s="183"/>
      <c r="B793" s="599"/>
      <c r="C793" s="180"/>
      <c r="D793" s="8"/>
      <c r="E793" s="8"/>
      <c r="F793" s="8"/>
      <c r="G793" s="8"/>
      <c r="H793" s="8"/>
      <c r="I793" s="8"/>
      <c r="J793" s="8"/>
      <c r="K793" s="8"/>
      <c r="L793" s="8"/>
    </row>
    <row r="794" spans="1:12" ht="13.5" customHeight="1">
      <c r="A794" s="183"/>
      <c r="B794" s="599"/>
      <c r="C794" s="180"/>
      <c r="D794" s="8"/>
      <c r="E794" s="8"/>
      <c r="F794" s="8"/>
      <c r="G794" s="8"/>
      <c r="H794" s="8"/>
      <c r="I794" s="8"/>
      <c r="J794" s="8"/>
      <c r="K794" s="8"/>
      <c r="L794" s="8"/>
    </row>
    <row r="795" spans="1:12" ht="13.5" customHeight="1">
      <c r="A795" s="183"/>
      <c r="B795" s="599"/>
      <c r="C795" s="180"/>
      <c r="D795" s="8"/>
      <c r="E795" s="8"/>
      <c r="F795" s="8"/>
      <c r="G795" s="8"/>
      <c r="H795" s="8"/>
      <c r="I795" s="8"/>
      <c r="J795" s="8"/>
      <c r="K795" s="8"/>
      <c r="L795" s="8"/>
    </row>
    <row r="796" spans="1:12" ht="13.5" customHeight="1">
      <c r="A796" s="183"/>
      <c r="B796" s="599"/>
      <c r="C796" s="180"/>
      <c r="D796" s="8"/>
      <c r="E796" s="8"/>
      <c r="F796" s="8"/>
      <c r="G796" s="8"/>
      <c r="H796" s="8"/>
      <c r="I796" s="8"/>
      <c r="J796" s="8"/>
      <c r="K796" s="8"/>
      <c r="L796" s="8"/>
    </row>
    <row r="797" spans="1:12" ht="13.5" customHeight="1">
      <c r="A797" s="183"/>
      <c r="B797" s="599"/>
      <c r="C797" s="180"/>
      <c r="D797" s="8"/>
      <c r="E797" s="8"/>
      <c r="F797" s="8"/>
      <c r="G797" s="8"/>
      <c r="H797" s="8"/>
      <c r="I797" s="8"/>
      <c r="J797" s="8"/>
      <c r="K797" s="8"/>
      <c r="L797" s="8"/>
    </row>
    <row r="798" spans="1:12" ht="13.5" customHeight="1">
      <c r="A798" s="183"/>
      <c r="B798" s="599"/>
      <c r="C798" s="180"/>
      <c r="D798" s="8"/>
      <c r="E798" s="8"/>
      <c r="F798" s="8"/>
      <c r="G798" s="8"/>
      <c r="H798" s="8"/>
      <c r="I798" s="8"/>
      <c r="J798" s="8"/>
      <c r="K798" s="8"/>
      <c r="L798" s="8"/>
    </row>
    <row r="799" spans="1:12" ht="13.5" customHeight="1">
      <c r="A799" s="183"/>
      <c r="B799" s="599"/>
      <c r="C799" s="180"/>
      <c r="D799" s="8"/>
      <c r="E799" s="8"/>
      <c r="F799" s="8"/>
      <c r="G799" s="8"/>
      <c r="H799" s="8"/>
      <c r="I799" s="8"/>
      <c r="J799" s="8"/>
      <c r="K799" s="8"/>
      <c r="L799" s="8"/>
    </row>
    <row r="800" spans="1:12" ht="13.5" customHeight="1">
      <c r="A800" s="183"/>
      <c r="B800" s="599"/>
      <c r="C800" s="180"/>
      <c r="D800" s="8"/>
      <c r="E800" s="8"/>
      <c r="F800" s="8"/>
      <c r="G800" s="8"/>
      <c r="H800" s="8"/>
      <c r="I800" s="8"/>
      <c r="J800" s="8"/>
      <c r="K800" s="8"/>
      <c r="L800" s="8"/>
    </row>
    <row r="801" spans="1:12" ht="13.5" customHeight="1">
      <c r="A801" s="183"/>
      <c r="B801" s="599"/>
      <c r="C801" s="180"/>
      <c r="D801" s="8"/>
      <c r="E801" s="8"/>
      <c r="F801" s="8"/>
      <c r="G801" s="8"/>
      <c r="H801" s="8"/>
      <c r="I801" s="8"/>
      <c r="J801" s="8"/>
      <c r="K801" s="8"/>
      <c r="L801" s="8"/>
    </row>
    <row r="802" spans="1:12" ht="13.5" customHeight="1">
      <c r="A802" s="183"/>
      <c r="B802" s="599"/>
      <c r="C802" s="180"/>
      <c r="D802" s="8"/>
      <c r="E802" s="8"/>
      <c r="F802" s="8"/>
      <c r="G802" s="8"/>
      <c r="H802" s="8"/>
      <c r="I802" s="8"/>
      <c r="J802" s="8"/>
      <c r="K802" s="8"/>
      <c r="L802" s="8"/>
    </row>
    <row r="803" spans="1:12" ht="13.5" customHeight="1">
      <c r="A803" s="183"/>
      <c r="B803" s="599"/>
      <c r="C803" s="180"/>
      <c r="D803" s="8"/>
      <c r="E803" s="8"/>
      <c r="F803" s="8"/>
      <c r="G803" s="8"/>
      <c r="H803" s="8"/>
      <c r="I803" s="8"/>
      <c r="J803" s="8"/>
      <c r="K803" s="8"/>
      <c r="L803" s="8"/>
    </row>
    <row r="804" spans="1:12" ht="13.5" customHeight="1">
      <c r="A804" s="183"/>
      <c r="B804" s="599"/>
      <c r="C804" s="180"/>
      <c r="D804" s="8"/>
      <c r="E804" s="8"/>
      <c r="F804" s="8"/>
      <c r="G804" s="8"/>
      <c r="H804" s="8"/>
      <c r="I804" s="8"/>
      <c r="J804" s="8"/>
      <c r="K804" s="8"/>
      <c r="L804" s="8"/>
    </row>
    <row r="805" spans="1:12" ht="13.5" customHeight="1">
      <c r="A805" s="183"/>
      <c r="B805" s="599"/>
      <c r="C805" s="180"/>
      <c r="D805" s="8"/>
      <c r="E805" s="8"/>
      <c r="F805" s="8"/>
      <c r="G805" s="8"/>
      <c r="H805" s="8"/>
      <c r="I805" s="8"/>
      <c r="J805" s="8"/>
      <c r="K805" s="8"/>
      <c r="L805" s="8"/>
    </row>
    <row r="806" spans="1:12" ht="13.5" customHeight="1">
      <c r="A806" s="183"/>
      <c r="B806" s="599"/>
      <c r="C806" s="180"/>
      <c r="D806" s="8"/>
      <c r="E806" s="8"/>
      <c r="F806" s="8"/>
      <c r="G806" s="8"/>
      <c r="H806" s="8"/>
      <c r="I806" s="8"/>
      <c r="J806" s="8"/>
      <c r="K806" s="8"/>
      <c r="L806" s="8"/>
    </row>
    <row r="807" spans="1:12" ht="13.5" customHeight="1">
      <c r="A807" s="183"/>
      <c r="B807" s="599"/>
      <c r="C807" s="180"/>
      <c r="D807" s="8"/>
      <c r="E807" s="8"/>
      <c r="F807" s="8"/>
      <c r="G807" s="8"/>
      <c r="H807" s="8"/>
      <c r="I807" s="8"/>
      <c r="J807" s="8"/>
      <c r="K807" s="8"/>
      <c r="L807" s="8"/>
    </row>
    <row r="808" spans="1:12" ht="13.5" customHeight="1">
      <c r="A808" s="183"/>
      <c r="B808" s="599"/>
      <c r="C808" s="180"/>
      <c r="D808" s="8"/>
      <c r="E808" s="8"/>
      <c r="F808" s="8"/>
      <c r="G808" s="8"/>
      <c r="H808" s="8"/>
      <c r="I808" s="8"/>
      <c r="J808" s="8"/>
      <c r="K808" s="8"/>
      <c r="L808" s="8"/>
    </row>
    <row r="809" spans="1:12" ht="13.5" customHeight="1">
      <c r="A809" s="183"/>
      <c r="B809" s="599"/>
      <c r="C809" s="180"/>
      <c r="D809" s="8"/>
      <c r="E809" s="8"/>
      <c r="F809" s="8"/>
      <c r="G809" s="8"/>
      <c r="H809" s="8"/>
      <c r="I809" s="8"/>
      <c r="J809" s="8"/>
      <c r="K809" s="8"/>
      <c r="L809" s="8"/>
    </row>
    <row r="810" spans="1:12" ht="13.5" customHeight="1">
      <c r="A810" s="183"/>
      <c r="B810" s="599"/>
      <c r="C810" s="180"/>
      <c r="D810" s="8"/>
      <c r="E810" s="8"/>
      <c r="F810" s="8"/>
      <c r="G810" s="8"/>
      <c r="H810" s="8"/>
      <c r="I810" s="8"/>
      <c r="J810" s="8"/>
      <c r="K810" s="8"/>
      <c r="L810" s="8"/>
    </row>
    <row r="811" spans="1:12" ht="13.5" customHeight="1">
      <c r="A811" s="183"/>
      <c r="B811" s="599"/>
      <c r="C811" s="180"/>
      <c r="D811" s="8"/>
      <c r="E811" s="8"/>
      <c r="F811" s="8"/>
      <c r="G811" s="8"/>
      <c r="H811" s="8"/>
      <c r="I811" s="8"/>
      <c r="J811" s="8"/>
      <c r="K811" s="8"/>
      <c r="L811" s="8"/>
    </row>
    <row r="812" spans="1:12" ht="13.5" customHeight="1">
      <c r="A812" s="183"/>
      <c r="B812" s="599"/>
      <c r="C812" s="180"/>
      <c r="D812" s="8"/>
      <c r="E812" s="8"/>
      <c r="F812" s="8"/>
      <c r="G812" s="8"/>
      <c r="H812" s="8"/>
      <c r="I812" s="8"/>
      <c r="J812" s="8"/>
      <c r="K812" s="8"/>
      <c r="L812" s="8"/>
    </row>
    <row r="813" spans="1:12" ht="13.5" customHeight="1">
      <c r="A813" s="183"/>
      <c r="B813" s="599"/>
      <c r="C813" s="180"/>
      <c r="D813" s="8"/>
      <c r="E813" s="8"/>
      <c r="F813" s="8"/>
      <c r="G813" s="8"/>
      <c r="H813" s="8"/>
      <c r="I813" s="8"/>
      <c r="J813" s="8"/>
      <c r="K813" s="8"/>
      <c r="L813" s="8"/>
    </row>
    <row r="814" spans="1:12" ht="13.5" customHeight="1">
      <c r="A814" s="183"/>
      <c r="B814" s="599"/>
      <c r="C814" s="180"/>
      <c r="D814" s="8"/>
      <c r="E814" s="8"/>
      <c r="F814" s="8"/>
      <c r="G814" s="8"/>
      <c r="H814" s="8"/>
      <c r="I814" s="8"/>
      <c r="J814" s="8"/>
      <c r="K814" s="8"/>
      <c r="L814" s="8"/>
    </row>
    <row r="815" spans="1:12" ht="13.5" customHeight="1">
      <c r="A815" s="183"/>
      <c r="B815" s="599"/>
      <c r="C815" s="180"/>
      <c r="D815" s="8"/>
      <c r="E815" s="8"/>
      <c r="F815" s="8"/>
      <c r="G815" s="8"/>
      <c r="H815" s="8"/>
      <c r="I815" s="8"/>
      <c r="J815" s="8"/>
      <c r="K815" s="8"/>
      <c r="L815" s="8"/>
    </row>
    <row r="816" spans="1:12" ht="13.5" customHeight="1">
      <c r="A816" s="183"/>
      <c r="B816" s="599"/>
      <c r="C816" s="180"/>
      <c r="D816" s="8"/>
      <c r="E816" s="8"/>
      <c r="F816" s="8"/>
      <c r="G816" s="8"/>
      <c r="H816" s="8"/>
      <c r="I816" s="8"/>
      <c r="J816" s="8"/>
      <c r="K816" s="8"/>
      <c r="L816" s="8"/>
    </row>
    <row r="817" spans="1:12" ht="13.5" customHeight="1">
      <c r="A817" s="183"/>
      <c r="B817" s="599"/>
      <c r="C817" s="180"/>
      <c r="D817" s="8"/>
      <c r="E817" s="8"/>
      <c r="F817" s="8"/>
      <c r="G817" s="8"/>
      <c r="H817" s="8"/>
      <c r="I817" s="8"/>
      <c r="J817" s="8"/>
      <c r="K817" s="8"/>
      <c r="L817" s="8"/>
    </row>
    <row r="818" spans="1:12" ht="13.5" customHeight="1">
      <c r="A818" s="183"/>
      <c r="B818" s="599"/>
      <c r="C818" s="180"/>
      <c r="D818" s="8"/>
      <c r="E818" s="8"/>
      <c r="F818" s="8"/>
      <c r="G818" s="8"/>
      <c r="H818" s="8"/>
      <c r="I818" s="8"/>
      <c r="J818" s="8"/>
      <c r="K818" s="8"/>
      <c r="L818" s="8"/>
    </row>
    <row r="819" spans="1:12" ht="13.5" customHeight="1">
      <c r="A819" s="183"/>
      <c r="B819" s="599"/>
      <c r="C819" s="180"/>
      <c r="D819" s="8"/>
      <c r="E819" s="8"/>
      <c r="F819" s="8"/>
      <c r="G819" s="8"/>
      <c r="H819" s="8"/>
      <c r="I819" s="8"/>
      <c r="J819" s="8"/>
      <c r="K819" s="8"/>
      <c r="L819" s="8"/>
    </row>
    <row r="820" spans="1:12" ht="13.5" customHeight="1">
      <c r="A820" s="183"/>
      <c r="B820" s="599"/>
      <c r="C820" s="180"/>
      <c r="D820" s="8"/>
      <c r="E820" s="8"/>
      <c r="F820" s="8"/>
      <c r="G820" s="8"/>
      <c r="H820" s="8"/>
      <c r="I820" s="8"/>
      <c r="J820" s="8"/>
      <c r="K820" s="8"/>
      <c r="L820" s="8"/>
    </row>
    <row r="821" spans="1:12" ht="13.5" customHeight="1">
      <c r="A821" s="183"/>
      <c r="B821" s="599"/>
      <c r="C821" s="180"/>
      <c r="D821" s="8"/>
      <c r="E821" s="8"/>
      <c r="F821" s="8"/>
      <c r="G821" s="8"/>
      <c r="H821" s="8"/>
      <c r="I821" s="8"/>
      <c r="J821" s="8"/>
      <c r="K821" s="8"/>
      <c r="L821" s="8"/>
    </row>
    <row r="822" spans="1:12" ht="13.5" customHeight="1">
      <c r="A822" s="183"/>
      <c r="B822" s="599"/>
      <c r="C822" s="180"/>
      <c r="D822" s="8"/>
      <c r="E822" s="8"/>
      <c r="F822" s="8"/>
      <c r="G822" s="8"/>
      <c r="H822" s="8"/>
      <c r="I822" s="8"/>
      <c r="J822" s="8"/>
      <c r="K822" s="8"/>
      <c r="L822" s="8"/>
    </row>
    <row r="823" spans="1:12" ht="13.5" customHeight="1">
      <c r="A823" s="183"/>
      <c r="B823" s="599"/>
      <c r="C823" s="180"/>
      <c r="D823" s="8"/>
      <c r="E823" s="8"/>
      <c r="F823" s="8"/>
      <c r="G823" s="8"/>
      <c r="H823" s="8"/>
      <c r="I823" s="8"/>
      <c r="J823" s="8"/>
      <c r="K823" s="8"/>
      <c r="L823" s="8"/>
    </row>
    <row r="824" spans="1:12" ht="13.5" customHeight="1">
      <c r="A824" s="183"/>
      <c r="B824" s="599"/>
      <c r="C824" s="180"/>
      <c r="D824" s="8"/>
      <c r="E824" s="8"/>
      <c r="F824" s="8"/>
      <c r="G824" s="8"/>
      <c r="H824" s="8"/>
      <c r="I824" s="8"/>
      <c r="J824" s="8"/>
      <c r="K824" s="8"/>
      <c r="L824" s="8"/>
    </row>
    <row r="825" spans="1:12" ht="13.5" customHeight="1">
      <c r="A825" s="183"/>
      <c r="B825" s="599"/>
      <c r="C825" s="180"/>
      <c r="D825" s="8"/>
      <c r="E825" s="8"/>
      <c r="F825" s="8"/>
      <c r="G825" s="8"/>
      <c r="H825" s="8"/>
      <c r="I825" s="8"/>
      <c r="J825" s="8"/>
      <c r="K825" s="8"/>
      <c r="L825" s="8"/>
    </row>
    <row r="826" spans="1:12" ht="13.5" customHeight="1">
      <c r="A826" s="183"/>
      <c r="B826" s="599"/>
      <c r="C826" s="180"/>
      <c r="D826" s="8"/>
      <c r="E826" s="8"/>
      <c r="F826" s="8"/>
      <c r="G826" s="8"/>
      <c r="H826" s="8"/>
      <c r="I826" s="8"/>
      <c r="J826" s="8"/>
      <c r="K826" s="8"/>
      <c r="L826" s="8"/>
    </row>
    <row r="827" spans="1:12" ht="13.5" customHeight="1">
      <c r="A827" s="183"/>
      <c r="B827" s="599"/>
      <c r="C827" s="180"/>
      <c r="D827" s="8"/>
      <c r="E827" s="8"/>
      <c r="F827" s="8"/>
      <c r="G827" s="8"/>
      <c r="H827" s="8"/>
      <c r="I827" s="8"/>
      <c r="J827" s="8"/>
      <c r="K827" s="8"/>
      <c r="L827" s="8"/>
    </row>
    <row r="828" spans="1:12" ht="13.5" customHeight="1">
      <c r="A828" s="183"/>
      <c r="B828" s="599"/>
      <c r="C828" s="180"/>
      <c r="D828" s="8"/>
      <c r="E828" s="8"/>
      <c r="F828" s="8"/>
      <c r="G828" s="8"/>
      <c r="H828" s="8"/>
      <c r="I828" s="8"/>
      <c r="J828" s="8"/>
      <c r="K828" s="8"/>
      <c r="L828" s="8"/>
    </row>
    <row r="829" spans="1:12" ht="13.5" customHeight="1">
      <c r="A829" s="183"/>
      <c r="B829" s="599"/>
      <c r="C829" s="180"/>
      <c r="D829" s="8"/>
      <c r="E829" s="8"/>
      <c r="F829" s="8"/>
      <c r="G829" s="8"/>
      <c r="H829" s="8"/>
      <c r="I829" s="8"/>
      <c r="J829" s="8"/>
      <c r="K829" s="8"/>
      <c r="L829" s="8"/>
    </row>
    <row r="830" spans="1:12" ht="13.5" customHeight="1">
      <c r="A830" s="183"/>
      <c r="B830" s="599"/>
      <c r="C830" s="180"/>
      <c r="D830" s="8"/>
      <c r="E830" s="8"/>
      <c r="F830" s="8"/>
      <c r="G830" s="8"/>
      <c r="H830" s="8"/>
      <c r="I830" s="8"/>
      <c r="J830" s="8"/>
      <c r="K830" s="8"/>
      <c r="L830" s="8"/>
    </row>
    <row r="831" spans="1:12" ht="13.5" customHeight="1">
      <c r="A831" s="183"/>
      <c r="B831" s="599"/>
      <c r="C831" s="180"/>
      <c r="D831" s="8"/>
      <c r="E831" s="8"/>
      <c r="F831" s="8"/>
      <c r="G831" s="8"/>
      <c r="H831" s="8"/>
      <c r="I831" s="8"/>
      <c r="J831" s="8"/>
      <c r="K831" s="8"/>
      <c r="L831" s="8"/>
    </row>
    <row r="832" spans="1:12" ht="13.5" customHeight="1">
      <c r="A832" s="183"/>
      <c r="B832" s="599"/>
      <c r="C832" s="180"/>
      <c r="D832" s="8"/>
      <c r="E832" s="8"/>
      <c r="F832" s="8"/>
      <c r="G832" s="8"/>
      <c r="H832" s="8"/>
      <c r="I832" s="8"/>
      <c r="J832" s="8"/>
      <c r="K832" s="8"/>
      <c r="L832" s="8"/>
    </row>
    <row r="833" spans="1:12" ht="13.5" customHeight="1">
      <c r="A833" s="183"/>
      <c r="B833" s="599"/>
      <c r="C833" s="180"/>
      <c r="D833" s="8"/>
      <c r="E833" s="8"/>
      <c r="F833" s="8"/>
      <c r="G833" s="8"/>
      <c r="H833" s="8"/>
      <c r="I833" s="8"/>
      <c r="J833" s="8"/>
      <c r="K833" s="8"/>
      <c r="L833" s="8"/>
    </row>
    <row r="834" spans="1:12" ht="13.5" customHeight="1">
      <c r="A834" s="183"/>
      <c r="B834" s="599"/>
      <c r="C834" s="180"/>
      <c r="D834" s="8"/>
      <c r="E834" s="8"/>
      <c r="F834" s="8"/>
      <c r="G834" s="8"/>
      <c r="H834" s="8"/>
      <c r="I834" s="8"/>
      <c r="J834" s="8"/>
      <c r="K834" s="8"/>
      <c r="L834" s="8"/>
    </row>
    <row r="835" spans="1:12" ht="13.5" customHeight="1">
      <c r="A835" s="183"/>
      <c r="B835" s="599"/>
      <c r="C835" s="180"/>
      <c r="D835" s="8"/>
      <c r="E835" s="8"/>
      <c r="F835" s="8"/>
      <c r="G835" s="8"/>
      <c r="H835" s="8"/>
      <c r="I835" s="8"/>
      <c r="J835" s="8"/>
      <c r="K835" s="8"/>
      <c r="L835" s="8"/>
    </row>
    <row r="836" spans="1:12" ht="13.5" customHeight="1">
      <c r="A836" s="183"/>
      <c r="B836" s="599"/>
      <c r="C836" s="180"/>
      <c r="D836" s="8"/>
      <c r="E836" s="8"/>
      <c r="F836" s="8"/>
      <c r="G836" s="8"/>
      <c r="H836" s="8"/>
      <c r="I836" s="8"/>
      <c r="J836" s="8"/>
      <c r="K836" s="8"/>
      <c r="L836" s="8"/>
    </row>
    <row r="837" spans="1:12" ht="13.5" customHeight="1">
      <c r="A837" s="183"/>
      <c r="B837" s="599"/>
      <c r="C837" s="180"/>
      <c r="D837" s="8"/>
      <c r="E837" s="8"/>
      <c r="F837" s="8"/>
      <c r="G837" s="8"/>
      <c r="H837" s="8"/>
      <c r="I837" s="8"/>
      <c r="J837" s="8"/>
      <c r="K837" s="8"/>
      <c r="L837" s="8"/>
    </row>
    <row r="838" spans="1:12" ht="13.5" customHeight="1">
      <c r="A838" s="183"/>
      <c r="B838" s="599"/>
      <c r="C838" s="180"/>
      <c r="D838" s="8"/>
      <c r="E838" s="8"/>
      <c r="F838" s="8"/>
      <c r="G838" s="8"/>
      <c r="H838" s="8"/>
      <c r="I838" s="8"/>
      <c r="J838" s="8"/>
      <c r="K838" s="8"/>
      <c r="L838" s="8"/>
    </row>
    <row r="839" spans="1:12" ht="13.5" customHeight="1">
      <c r="A839" s="183"/>
      <c r="B839" s="599"/>
      <c r="C839" s="180"/>
      <c r="D839" s="8"/>
      <c r="E839" s="8"/>
      <c r="F839" s="8"/>
      <c r="G839" s="8"/>
      <c r="H839" s="8"/>
      <c r="I839" s="8"/>
      <c r="J839" s="8"/>
      <c r="K839" s="8"/>
      <c r="L839" s="8"/>
    </row>
    <row r="840" spans="1:12" ht="13.5" customHeight="1">
      <c r="A840" s="183"/>
      <c r="B840" s="599"/>
      <c r="C840" s="180"/>
      <c r="D840" s="8"/>
      <c r="E840" s="8"/>
      <c r="F840" s="8"/>
      <c r="G840" s="8"/>
      <c r="H840" s="8"/>
      <c r="I840" s="8"/>
      <c r="J840" s="8"/>
      <c r="K840" s="8"/>
      <c r="L840" s="8"/>
    </row>
    <row r="841" spans="1:12" ht="13.5" customHeight="1">
      <c r="A841" s="183"/>
      <c r="B841" s="599"/>
      <c r="C841" s="180"/>
      <c r="D841" s="8"/>
      <c r="E841" s="8"/>
      <c r="F841" s="8"/>
      <c r="G841" s="8"/>
      <c r="H841" s="8"/>
      <c r="I841" s="8"/>
      <c r="J841" s="8"/>
      <c r="K841" s="8"/>
      <c r="L841" s="8"/>
    </row>
    <row r="842" spans="1:12" ht="13.5" customHeight="1">
      <c r="A842" s="183"/>
      <c r="B842" s="599"/>
      <c r="C842" s="180"/>
      <c r="D842" s="8"/>
      <c r="E842" s="8"/>
      <c r="F842" s="8"/>
      <c r="G842" s="8"/>
      <c r="H842" s="8"/>
      <c r="I842" s="8"/>
      <c r="J842" s="8"/>
      <c r="K842" s="8"/>
      <c r="L842" s="8"/>
    </row>
    <row r="843" spans="1:12" ht="13.5" customHeight="1">
      <c r="A843" s="183"/>
      <c r="B843" s="599"/>
      <c r="C843" s="180"/>
      <c r="D843" s="8"/>
      <c r="E843" s="8"/>
      <c r="F843" s="8"/>
      <c r="G843" s="8"/>
      <c r="H843" s="8"/>
      <c r="I843" s="8"/>
      <c r="J843" s="8"/>
      <c r="K843" s="8"/>
      <c r="L843" s="8"/>
    </row>
    <row r="844" spans="1:12" ht="13.5" customHeight="1">
      <c r="A844" s="183"/>
      <c r="B844" s="599"/>
      <c r="C844" s="180"/>
      <c r="D844" s="8"/>
      <c r="E844" s="8"/>
      <c r="F844" s="8"/>
      <c r="G844" s="8"/>
      <c r="H844" s="8"/>
      <c r="I844" s="8"/>
      <c r="J844" s="8"/>
      <c r="K844" s="8"/>
      <c r="L844" s="8"/>
    </row>
    <row r="845" spans="1:12" ht="13.5" customHeight="1">
      <c r="A845" s="183"/>
      <c r="B845" s="599"/>
      <c r="C845" s="180"/>
      <c r="D845" s="8"/>
      <c r="E845" s="8"/>
      <c r="F845" s="8"/>
      <c r="G845" s="8"/>
      <c r="H845" s="8"/>
      <c r="I845" s="8"/>
      <c r="J845" s="8"/>
      <c r="K845" s="8"/>
      <c r="L845" s="8"/>
    </row>
    <row r="846" spans="1:12" ht="13.5" customHeight="1">
      <c r="A846" s="183"/>
      <c r="B846" s="599"/>
      <c r="C846" s="180"/>
      <c r="D846" s="8"/>
      <c r="E846" s="8"/>
      <c r="F846" s="8"/>
      <c r="G846" s="8"/>
      <c r="H846" s="8"/>
      <c r="I846" s="8"/>
      <c r="J846" s="8"/>
      <c r="K846" s="8"/>
      <c r="L846" s="8"/>
    </row>
    <row r="847" spans="1:12" ht="13.5" customHeight="1">
      <c r="A847" s="183"/>
      <c r="B847" s="599"/>
      <c r="C847" s="180"/>
      <c r="D847" s="8"/>
      <c r="E847" s="8"/>
      <c r="F847" s="8"/>
      <c r="G847" s="8"/>
      <c r="H847" s="8"/>
      <c r="I847" s="8"/>
      <c r="J847" s="8"/>
      <c r="K847" s="8"/>
      <c r="L847" s="8"/>
    </row>
    <row r="848" spans="1:12" ht="13.5" customHeight="1">
      <c r="A848" s="183"/>
      <c r="B848" s="599"/>
      <c r="C848" s="180"/>
      <c r="D848" s="8"/>
      <c r="E848" s="8"/>
      <c r="F848" s="8"/>
      <c r="G848" s="8"/>
      <c r="H848" s="8"/>
      <c r="I848" s="8"/>
      <c r="J848" s="8"/>
      <c r="K848" s="8"/>
      <c r="L848" s="8"/>
    </row>
    <row r="849" spans="1:12" ht="13.5" customHeight="1">
      <c r="A849" s="183"/>
      <c r="B849" s="599"/>
      <c r="C849" s="180"/>
      <c r="D849" s="8"/>
      <c r="E849" s="8"/>
      <c r="F849" s="8"/>
      <c r="G849" s="8"/>
      <c r="H849" s="8"/>
      <c r="I849" s="8"/>
      <c r="J849" s="8"/>
      <c r="K849" s="8"/>
      <c r="L849" s="8"/>
    </row>
    <row r="850" spans="1:12" ht="13.5" customHeight="1">
      <c r="A850" s="183"/>
      <c r="B850" s="599"/>
      <c r="C850" s="180"/>
      <c r="D850" s="8"/>
      <c r="E850" s="8"/>
      <c r="F850" s="8"/>
      <c r="G850" s="8"/>
      <c r="H850" s="8"/>
      <c r="I850" s="8"/>
      <c r="J850" s="8"/>
      <c r="K850" s="8"/>
      <c r="L850" s="8"/>
    </row>
    <row r="851" spans="1:12" ht="13.5" customHeight="1">
      <c r="A851" s="183"/>
      <c r="B851" s="599"/>
      <c r="C851" s="180"/>
      <c r="D851" s="8"/>
      <c r="E851" s="8"/>
      <c r="F851" s="8"/>
      <c r="G851" s="8"/>
      <c r="H851" s="8"/>
      <c r="I851" s="8"/>
      <c r="J851" s="8"/>
      <c r="K851" s="8"/>
      <c r="L851" s="8"/>
    </row>
    <row r="852" spans="1:12" ht="13.5" customHeight="1">
      <c r="A852" s="183"/>
      <c r="B852" s="599"/>
      <c r="C852" s="180"/>
      <c r="D852" s="8"/>
      <c r="E852" s="8"/>
      <c r="F852" s="8"/>
      <c r="G852" s="8"/>
      <c r="H852" s="8"/>
      <c r="I852" s="8"/>
      <c r="J852" s="8"/>
      <c r="K852" s="8"/>
      <c r="L852" s="8"/>
    </row>
    <row r="853" spans="1:12" ht="13.5" customHeight="1">
      <c r="A853" s="183"/>
      <c r="B853" s="599"/>
      <c r="C853" s="180"/>
      <c r="D853" s="8"/>
      <c r="E853" s="8"/>
      <c r="F853" s="8"/>
      <c r="G853" s="8"/>
      <c r="H853" s="8"/>
      <c r="I853" s="8"/>
      <c r="J853" s="8"/>
      <c r="K853" s="8"/>
      <c r="L853" s="8"/>
    </row>
    <row r="854" spans="1:12" ht="13.5" customHeight="1">
      <c r="A854" s="183"/>
      <c r="B854" s="599"/>
      <c r="C854" s="180"/>
      <c r="D854" s="8"/>
      <c r="E854" s="8"/>
      <c r="F854" s="8"/>
      <c r="G854" s="8"/>
      <c r="H854" s="8"/>
      <c r="I854" s="8"/>
      <c r="J854" s="8"/>
      <c r="K854" s="8"/>
      <c r="L854" s="8"/>
    </row>
    <row r="855" spans="1:12" ht="13.5" customHeight="1">
      <c r="A855" s="183"/>
      <c r="B855" s="599"/>
      <c r="C855" s="180"/>
      <c r="D855" s="8"/>
      <c r="E855" s="8"/>
      <c r="F855" s="8"/>
      <c r="G855" s="8"/>
      <c r="H855" s="8"/>
      <c r="I855" s="8"/>
      <c r="J855" s="8"/>
      <c r="K855" s="8"/>
      <c r="L855" s="8"/>
    </row>
    <row r="856" spans="1:12" ht="13.5" customHeight="1">
      <c r="A856" s="183"/>
      <c r="B856" s="599"/>
      <c r="C856" s="180"/>
      <c r="D856" s="8"/>
      <c r="E856" s="8"/>
      <c r="F856" s="8"/>
      <c r="G856" s="8"/>
      <c r="H856" s="8"/>
      <c r="I856" s="8"/>
      <c r="J856" s="8"/>
      <c r="K856" s="8"/>
      <c r="L856" s="8"/>
    </row>
    <row r="857" spans="1:12" ht="13.5" customHeight="1">
      <c r="A857" s="183"/>
      <c r="B857" s="599"/>
      <c r="C857" s="180"/>
      <c r="D857" s="8"/>
      <c r="E857" s="8"/>
      <c r="F857" s="8"/>
      <c r="G857" s="8"/>
      <c r="H857" s="8"/>
      <c r="I857" s="8"/>
      <c r="J857" s="8"/>
      <c r="K857" s="8"/>
      <c r="L857" s="8"/>
    </row>
    <row r="858" spans="1:12" ht="13.5" customHeight="1">
      <c r="A858" s="183"/>
      <c r="B858" s="599"/>
      <c r="C858" s="180"/>
      <c r="D858" s="8"/>
      <c r="E858" s="8"/>
      <c r="F858" s="8"/>
      <c r="G858" s="8"/>
      <c r="H858" s="8"/>
      <c r="I858" s="8"/>
      <c r="J858" s="8"/>
      <c r="K858" s="8"/>
      <c r="L858" s="8"/>
    </row>
    <row r="859" spans="1:12" ht="13.5" customHeight="1">
      <c r="A859" s="183"/>
      <c r="B859" s="599"/>
      <c r="C859" s="180"/>
      <c r="D859" s="8"/>
      <c r="E859" s="8"/>
      <c r="F859" s="8"/>
      <c r="G859" s="8"/>
      <c r="H859" s="8"/>
      <c r="I859" s="8"/>
      <c r="J859" s="8"/>
      <c r="K859" s="8"/>
      <c r="L859" s="8"/>
    </row>
    <row r="860" spans="1:12" ht="13.5" customHeight="1">
      <c r="A860" s="183"/>
      <c r="B860" s="599"/>
      <c r="C860" s="180"/>
      <c r="D860" s="8"/>
      <c r="E860" s="8"/>
      <c r="F860" s="8"/>
      <c r="G860" s="8"/>
      <c r="H860" s="8"/>
      <c r="I860" s="8"/>
      <c r="J860" s="8"/>
      <c r="K860" s="8"/>
      <c r="L860" s="8"/>
    </row>
    <row r="861" spans="1:12" ht="13.5" customHeight="1">
      <c r="A861" s="183"/>
      <c r="B861" s="599"/>
      <c r="C861" s="180"/>
      <c r="D861" s="8"/>
      <c r="E861" s="8"/>
      <c r="F861" s="8"/>
      <c r="G861" s="8"/>
      <c r="H861" s="8"/>
      <c r="I861" s="8"/>
      <c r="J861" s="8"/>
      <c r="K861" s="8"/>
      <c r="L861" s="8"/>
    </row>
    <row r="862" spans="1:12" ht="13.5" customHeight="1">
      <c r="A862" s="183"/>
      <c r="B862" s="599"/>
      <c r="C862" s="180"/>
      <c r="D862" s="8"/>
      <c r="E862" s="8"/>
      <c r="F862" s="8"/>
      <c r="G862" s="8"/>
      <c r="H862" s="8"/>
      <c r="I862" s="8"/>
      <c r="J862" s="8"/>
      <c r="K862" s="8"/>
      <c r="L862" s="8"/>
    </row>
    <row r="863" spans="1:12" ht="13.5" customHeight="1">
      <c r="A863" s="183"/>
      <c r="B863" s="599"/>
      <c r="C863" s="180"/>
      <c r="D863" s="8"/>
      <c r="E863" s="8"/>
      <c r="F863" s="8"/>
      <c r="G863" s="8"/>
      <c r="H863" s="8"/>
      <c r="I863" s="8"/>
      <c r="J863" s="8"/>
      <c r="K863" s="8"/>
      <c r="L863" s="8"/>
    </row>
    <row r="864" spans="1:12" ht="13.5" customHeight="1">
      <c r="A864" s="183"/>
      <c r="B864" s="599"/>
      <c r="C864" s="180"/>
      <c r="D864" s="8"/>
      <c r="E864" s="8"/>
      <c r="F864" s="8"/>
      <c r="G864" s="8"/>
      <c r="H864" s="8"/>
      <c r="I864" s="8"/>
      <c r="J864" s="8"/>
      <c r="K864" s="8"/>
      <c r="L864" s="8"/>
    </row>
    <row r="865" spans="1:12" ht="13.5" customHeight="1">
      <c r="A865" s="183"/>
      <c r="B865" s="599"/>
      <c r="C865" s="180"/>
      <c r="D865" s="8"/>
      <c r="E865" s="8"/>
      <c r="F865" s="8"/>
      <c r="G865" s="8"/>
      <c r="H865" s="8"/>
      <c r="I865" s="8"/>
      <c r="J865" s="8"/>
      <c r="K865" s="8"/>
      <c r="L865" s="8"/>
    </row>
    <row r="866" spans="1:12" ht="13.5" customHeight="1">
      <c r="A866" s="183"/>
      <c r="B866" s="599"/>
      <c r="C866" s="180"/>
      <c r="D866" s="8"/>
      <c r="E866" s="8"/>
      <c r="F866" s="8"/>
      <c r="G866" s="8"/>
      <c r="H866" s="8"/>
      <c r="I866" s="8"/>
      <c r="J866" s="8"/>
      <c r="K866" s="8"/>
      <c r="L866" s="8"/>
    </row>
    <row r="867" spans="1:12" ht="13.5" customHeight="1">
      <c r="A867" s="183"/>
      <c r="B867" s="599"/>
      <c r="C867" s="180"/>
      <c r="D867" s="8"/>
      <c r="E867" s="8"/>
      <c r="F867" s="8"/>
      <c r="G867" s="8"/>
      <c r="H867" s="8"/>
      <c r="I867" s="8"/>
      <c r="J867" s="8"/>
      <c r="K867" s="8"/>
      <c r="L867" s="8"/>
    </row>
    <row r="868" spans="1:12" ht="13.5" customHeight="1">
      <c r="A868" s="183"/>
      <c r="B868" s="599"/>
      <c r="C868" s="180"/>
      <c r="D868" s="8"/>
      <c r="E868" s="8"/>
      <c r="F868" s="8"/>
      <c r="G868" s="8"/>
      <c r="H868" s="8"/>
      <c r="I868" s="8"/>
      <c r="J868" s="8"/>
      <c r="K868" s="8"/>
      <c r="L868" s="8"/>
    </row>
    <row r="869" spans="1:12" ht="13.5" customHeight="1">
      <c r="A869" s="183"/>
      <c r="B869" s="599"/>
      <c r="C869" s="180"/>
      <c r="D869" s="8"/>
      <c r="E869" s="8"/>
      <c r="F869" s="8"/>
      <c r="G869" s="8"/>
      <c r="H869" s="8"/>
      <c r="I869" s="8"/>
      <c r="J869" s="8"/>
      <c r="K869" s="8"/>
      <c r="L869" s="8"/>
    </row>
    <row r="870" spans="1:12" ht="13.5" customHeight="1">
      <c r="A870" s="183"/>
      <c r="B870" s="599"/>
      <c r="C870" s="180"/>
      <c r="D870" s="8"/>
      <c r="E870" s="8"/>
      <c r="F870" s="8"/>
      <c r="G870" s="8"/>
      <c r="H870" s="8"/>
      <c r="I870" s="8"/>
      <c r="J870" s="8"/>
      <c r="K870" s="8"/>
      <c r="L870" s="8"/>
    </row>
    <row r="871" spans="1:12" ht="13.5" customHeight="1">
      <c r="A871" s="183"/>
      <c r="B871" s="599"/>
      <c r="C871" s="180"/>
      <c r="D871" s="8"/>
      <c r="E871" s="8"/>
      <c r="F871" s="8"/>
      <c r="G871" s="8"/>
      <c r="H871" s="8"/>
      <c r="I871" s="8"/>
      <c r="J871" s="8"/>
      <c r="K871" s="8"/>
      <c r="L871" s="8"/>
    </row>
    <row r="872" spans="1:12" ht="13.5" customHeight="1">
      <c r="A872" s="183"/>
      <c r="B872" s="599"/>
      <c r="C872" s="180"/>
      <c r="D872" s="8"/>
      <c r="E872" s="8"/>
      <c r="F872" s="8"/>
      <c r="G872" s="8"/>
      <c r="H872" s="8"/>
      <c r="I872" s="8"/>
      <c r="J872" s="8"/>
      <c r="K872" s="8"/>
      <c r="L872" s="8"/>
    </row>
    <row r="873" spans="1:12" ht="13.5" customHeight="1">
      <c r="A873" s="183"/>
      <c r="B873" s="599"/>
      <c r="C873" s="180"/>
      <c r="D873" s="8"/>
      <c r="E873" s="8"/>
      <c r="F873" s="8"/>
      <c r="G873" s="8"/>
      <c r="H873" s="8"/>
      <c r="I873" s="8"/>
      <c r="J873" s="8"/>
      <c r="K873" s="8"/>
      <c r="L873" s="8"/>
    </row>
    <row r="874" spans="1:12" ht="13.5" customHeight="1">
      <c r="A874" s="183"/>
      <c r="B874" s="599"/>
      <c r="C874" s="180"/>
      <c r="D874" s="8"/>
      <c r="E874" s="8"/>
      <c r="F874" s="8"/>
      <c r="G874" s="8"/>
      <c r="H874" s="8"/>
      <c r="I874" s="8"/>
      <c r="J874" s="8"/>
      <c r="K874" s="8"/>
      <c r="L874" s="8"/>
    </row>
    <row r="875" spans="1:12" ht="13.5" customHeight="1">
      <c r="A875" s="183"/>
      <c r="B875" s="599"/>
      <c r="C875" s="180"/>
      <c r="D875" s="8"/>
      <c r="E875" s="8"/>
      <c r="F875" s="8"/>
      <c r="G875" s="8"/>
      <c r="H875" s="8"/>
      <c r="I875" s="8"/>
      <c r="J875" s="8"/>
      <c r="K875" s="8"/>
      <c r="L875" s="8"/>
    </row>
    <row r="876" spans="1:12" ht="13.5" customHeight="1">
      <c r="A876" s="183"/>
      <c r="B876" s="599"/>
      <c r="C876" s="180"/>
      <c r="D876" s="8"/>
      <c r="E876" s="8"/>
      <c r="F876" s="8"/>
      <c r="G876" s="8"/>
      <c r="H876" s="8"/>
      <c r="I876" s="8"/>
      <c r="J876" s="8"/>
      <c r="K876" s="8"/>
      <c r="L876" s="8"/>
    </row>
    <row r="877" spans="1:12" ht="13.5" customHeight="1">
      <c r="A877" s="183"/>
      <c r="B877" s="599"/>
      <c r="C877" s="180"/>
      <c r="D877" s="8"/>
      <c r="E877" s="8"/>
      <c r="F877" s="8"/>
      <c r="G877" s="8"/>
      <c r="H877" s="8"/>
      <c r="I877" s="8"/>
      <c r="J877" s="8"/>
      <c r="K877" s="8"/>
      <c r="L877" s="8"/>
    </row>
    <row r="878" spans="1:12" ht="13.5" customHeight="1">
      <c r="A878" s="183"/>
      <c r="B878" s="599"/>
      <c r="C878" s="180"/>
      <c r="D878" s="8"/>
      <c r="E878" s="8"/>
      <c r="F878" s="8"/>
      <c r="G878" s="8"/>
      <c r="H878" s="8"/>
      <c r="I878" s="8"/>
      <c r="J878" s="8"/>
      <c r="K878" s="8"/>
      <c r="L878" s="8"/>
    </row>
    <row r="879" spans="1:12" ht="13.5" customHeight="1">
      <c r="A879" s="183"/>
      <c r="B879" s="599"/>
      <c r="C879" s="180"/>
      <c r="D879" s="8"/>
      <c r="E879" s="8"/>
      <c r="F879" s="8"/>
      <c r="G879" s="8"/>
      <c r="H879" s="8"/>
      <c r="I879" s="8"/>
      <c r="J879" s="8"/>
      <c r="K879" s="8"/>
      <c r="L879" s="8"/>
    </row>
    <row r="880" spans="1:12" ht="13.5" customHeight="1">
      <c r="A880" s="183"/>
      <c r="B880" s="599"/>
      <c r="C880" s="180"/>
      <c r="D880" s="8"/>
      <c r="E880" s="8"/>
      <c r="F880" s="8"/>
      <c r="G880" s="8"/>
      <c r="H880" s="8"/>
      <c r="I880" s="8"/>
      <c r="J880" s="8"/>
      <c r="K880" s="8"/>
      <c r="L880" s="8"/>
    </row>
    <row r="881" spans="1:12" ht="13.5" customHeight="1">
      <c r="A881" s="183"/>
      <c r="B881" s="599"/>
      <c r="C881" s="180"/>
      <c r="D881" s="8"/>
      <c r="E881" s="8"/>
      <c r="F881" s="8"/>
      <c r="G881" s="8"/>
      <c r="H881" s="8"/>
      <c r="I881" s="8"/>
      <c r="J881" s="8"/>
      <c r="K881" s="8"/>
      <c r="L881" s="8"/>
    </row>
    <row r="882" spans="1:12" ht="13.5" customHeight="1">
      <c r="A882" s="183"/>
      <c r="B882" s="599"/>
      <c r="C882" s="180"/>
      <c r="D882" s="8"/>
      <c r="E882" s="8"/>
      <c r="F882" s="8"/>
      <c r="G882" s="8"/>
      <c r="H882" s="8"/>
      <c r="I882" s="8"/>
      <c r="J882" s="8"/>
      <c r="K882" s="8"/>
      <c r="L882" s="8"/>
    </row>
    <row r="883" spans="1:12" ht="13.5" customHeight="1">
      <c r="A883" s="183"/>
      <c r="B883" s="599"/>
      <c r="C883" s="180"/>
      <c r="D883" s="8"/>
      <c r="E883" s="8"/>
      <c r="F883" s="8"/>
      <c r="G883" s="8"/>
      <c r="H883" s="8"/>
      <c r="I883" s="8"/>
      <c r="J883" s="8"/>
      <c r="K883" s="8"/>
      <c r="L883" s="8"/>
    </row>
    <row r="884" spans="1:12" ht="13.5" customHeight="1">
      <c r="A884" s="183"/>
      <c r="B884" s="599"/>
      <c r="C884" s="180"/>
      <c r="D884" s="8"/>
      <c r="E884" s="8"/>
      <c r="F884" s="8"/>
      <c r="G884" s="8"/>
      <c r="H884" s="8"/>
      <c r="I884" s="8"/>
      <c r="J884" s="8"/>
      <c r="K884" s="8"/>
      <c r="L884" s="8"/>
    </row>
    <row r="885" spans="1:12" ht="13.5" customHeight="1">
      <c r="A885" s="183"/>
      <c r="B885" s="599"/>
      <c r="C885" s="180"/>
      <c r="D885" s="8"/>
      <c r="E885" s="8"/>
      <c r="F885" s="8"/>
      <c r="G885" s="8"/>
      <c r="H885" s="8"/>
      <c r="I885" s="8"/>
      <c r="J885" s="8"/>
      <c r="K885" s="8"/>
      <c r="L885" s="8"/>
    </row>
    <row r="886" spans="1:12" ht="13.5" customHeight="1">
      <c r="A886" s="183"/>
      <c r="B886" s="599"/>
      <c r="C886" s="180"/>
      <c r="D886" s="8"/>
      <c r="E886" s="8"/>
      <c r="F886" s="8"/>
      <c r="G886" s="8"/>
      <c r="H886" s="8"/>
      <c r="I886" s="8"/>
      <c r="J886" s="8"/>
      <c r="K886" s="8"/>
      <c r="L886" s="8"/>
    </row>
    <row r="887" spans="1:12" ht="13.5" customHeight="1">
      <c r="A887" s="183"/>
      <c r="B887" s="599"/>
      <c r="C887" s="180"/>
      <c r="D887" s="8"/>
      <c r="E887" s="8"/>
      <c r="F887" s="8"/>
      <c r="G887" s="8"/>
      <c r="H887" s="8"/>
      <c r="I887" s="8"/>
      <c r="J887" s="8"/>
      <c r="K887" s="8"/>
      <c r="L887" s="8"/>
    </row>
    <row r="888" spans="1:12" ht="13.5" customHeight="1">
      <c r="A888" s="183"/>
      <c r="B888" s="599"/>
      <c r="C888" s="180"/>
      <c r="D888" s="8"/>
      <c r="E888" s="8"/>
      <c r="F888" s="8"/>
      <c r="G888" s="8"/>
      <c r="H888" s="8"/>
      <c r="I888" s="8"/>
      <c r="J888" s="8"/>
      <c r="K888" s="8"/>
      <c r="L888" s="8"/>
    </row>
    <row r="889" spans="1:12" ht="13.5" customHeight="1">
      <c r="A889" s="183"/>
      <c r="B889" s="599"/>
      <c r="C889" s="180"/>
      <c r="D889" s="8"/>
      <c r="E889" s="8"/>
      <c r="F889" s="8"/>
      <c r="G889" s="8"/>
      <c r="H889" s="8"/>
      <c r="I889" s="8"/>
      <c r="J889" s="8"/>
      <c r="K889" s="8"/>
      <c r="L889" s="8"/>
    </row>
    <row r="890" spans="1:12" ht="13.5" customHeight="1">
      <c r="A890" s="183"/>
      <c r="B890" s="599"/>
      <c r="C890" s="180"/>
      <c r="D890" s="8"/>
      <c r="E890" s="8"/>
      <c r="F890" s="8"/>
      <c r="G890" s="8"/>
      <c r="H890" s="8"/>
      <c r="I890" s="8"/>
      <c r="J890" s="8"/>
      <c r="K890" s="8"/>
      <c r="L890" s="8"/>
    </row>
    <row r="891" spans="1:12" ht="13.5" customHeight="1">
      <c r="A891" s="183"/>
      <c r="B891" s="599"/>
      <c r="C891" s="180"/>
      <c r="D891" s="8"/>
      <c r="E891" s="8"/>
      <c r="F891" s="8"/>
      <c r="G891" s="8"/>
      <c r="H891" s="8"/>
      <c r="I891" s="8"/>
      <c r="J891" s="8"/>
      <c r="K891" s="8"/>
      <c r="L891" s="8"/>
    </row>
    <row r="892" spans="1:12" ht="13.5" customHeight="1">
      <c r="A892" s="183"/>
      <c r="B892" s="599"/>
      <c r="C892" s="180"/>
      <c r="D892" s="8"/>
      <c r="E892" s="8"/>
      <c r="F892" s="8"/>
      <c r="G892" s="8"/>
      <c r="H892" s="8"/>
      <c r="I892" s="8"/>
      <c r="J892" s="8"/>
      <c r="K892" s="8"/>
      <c r="L892" s="8"/>
    </row>
    <row r="893" spans="1:12" ht="13.5" customHeight="1">
      <c r="A893" s="183"/>
      <c r="B893" s="599"/>
      <c r="C893" s="180"/>
      <c r="D893" s="8"/>
      <c r="E893" s="8"/>
      <c r="F893" s="8"/>
      <c r="G893" s="8"/>
      <c r="H893" s="8"/>
      <c r="I893" s="8"/>
      <c r="J893" s="8"/>
      <c r="K893" s="8"/>
      <c r="L893" s="8"/>
    </row>
    <row r="894" spans="1:12" ht="13.5" customHeight="1">
      <c r="A894" s="183"/>
      <c r="B894" s="599"/>
      <c r="C894" s="180"/>
      <c r="D894" s="8"/>
      <c r="E894" s="8"/>
      <c r="F894" s="8"/>
      <c r="G894" s="8"/>
      <c r="H894" s="8"/>
      <c r="I894" s="8"/>
      <c r="J894" s="8"/>
      <c r="K894" s="8"/>
      <c r="L894" s="8"/>
    </row>
    <row r="895" spans="1:12" ht="13.5" customHeight="1">
      <c r="A895" s="183"/>
      <c r="B895" s="599"/>
      <c r="C895" s="180"/>
      <c r="D895" s="8"/>
      <c r="E895" s="8"/>
      <c r="F895" s="8"/>
      <c r="G895" s="8"/>
      <c r="H895" s="8"/>
      <c r="I895" s="8"/>
      <c r="J895" s="8"/>
      <c r="K895" s="8"/>
      <c r="L895" s="8"/>
    </row>
    <row r="896" spans="1:12" ht="13.5" customHeight="1">
      <c r="A896" s="183"/>
      <c r="B896" s="599"/>
      <c r="C896" s="180"/>
      <c r="D896" s="8"/>
      <c r="E896" s="8"/>
      <c r="F896" s="8"/>
      <c r="G896" s="8"/>
      <c r="H896" s="8"/>
      <c r="I896" s="8"/>
      <c r="J896" s="8"/>
      <c r="K896" s="8"/>
      <c r="L896" s="8"/>
    </row>
    <row r="897" spans="1:12" ht="13.5" customHeight="1">
      <c r="A897" s="183"/>
      <c r="B897" s="599"/>
      <c r="C897" s="180"/>
      <c r="D897" s="8"/>
      <c r="E897" s="8"/>
      <c r="F897" s="8"/>
      <c r="G897" s="8"/>
      <c r="H897" s="8"/>
      <c r="I897" s="8"/>
      <c r="J897" s="8"/>
      <c r="K897" s="8"/>
      <c r="L897" s="8"/>
    </row>
    <row r="898" spans="1:12" ht="13.5" customHeight="1">
      <c r="A898" s="183"/>
      <c r="B898" s="599"/>
      <c r="C898" s="180"/>
      <c r="D898" s="8"/>
      <c r="E898" s="8"/>
      <c r="F898" s="8"/>
      <c r="G898" s="8"/>
      <c r="H898" s="8"/>
      <c r="I898" s="8"/>
      <c r="J898" s="8"/>
      <c r="K898" s="8"/>
      <c r="L898" s="8"/>
    </row>
    <row r="899" spans="1:12" ht="13.5" customHeight="1">
      <c r="A899" s="183"/>
      <c r="B899" s="599"/>
      <c r="C899" s="180"/>
      <c r="D899" s="8"/>
      <c r="E899" s="8"/>
      <c r="F899" s="8"/>
      <c r="G899" s="8"/>
      <c r="H899" s="8"/>
      <c r="I899" s="8"/>
      <c r="J899" s="8"/>
      <c r="K899" s="8"/>
      <c r="L899" s="8"/>
    </row>
    <row r="900" spans="1:12" ht="13.5" customHeight="1">
      <c r="A900" s="183"/>
      <c r="B900" s="599"/>
      <c r="C900" s="180"/>
      <c r="D900" s="8"/>
      <c r="E900" s="8"/>
      <c r="F900" s="8"/>
      <c r="G900" s="8"/>
      <c r="H900" s="8"/>
      <c r="I900" s="8"/>
      <c r="J900" s="8"/>
      <c r="K900" s="8"/>
      <c r="L900" s="8"/>
    </row>
    <row r="901" spans="1:12" ht="13.5" customHeight="1">
      <c r="A901" s="183"/>
      <c r="B901" s="599"/>
      <c r="C901" s="180"/>
      <c r="D901" s="8"/>
      <c r="E901" s="8"/>
      <c r="F901" s="8"/>
      <c r="G901" s="8"/>
      <c r="H901" s="8"/>
      <c r="I901" s="8"/>
      <c r="J901" s="8"/>
      <c r="K901" s="8"/>
      <c r="L901" s="8"/>
    </row>
    <row r="902" spans="1:12" ht="13.5" customHeight="1">
      <c r="A902" s="183"/>
      <c r="B902" s="599"/>
      <c r="C902" s="180"/>
      <c r="D902" s="8"/>
      <c r="E902" s="8"/>
      <c r="F902" s="8"/>
      <c r="G902" s="8"/>
      <c r="H902" s="8"/>
      <c r="I902" s="8"/>
      <c r="J902" s="8"/>
      <c r="K902" s="8"/>
      <c r="L902" s="8"/>
    </row>
    <row r="903" spans="1:12" ht="13.5" customHeight="1">
      <c r="A903" s="183"/>
      <c r="B903" s="599"/>
      <c r="C903" s="180"/>
      <c r="D903" s="8"/>
      <c r="E903" s="8"/>
      <c r="F903" s="8"/>
      <c r="G903" s="8"/>
      <c r="H903" s="8"/>
      <c r="I903" s="8"/>
      <c r="J903" s="8"/>
      <c r="K903" s="8"/>
      <c r="L903" s="8"/>
    </row>
    <row r="904" spans="1:12" ht="13.5" customHeight="1">
      <c r="A904" s="183"/>
      <c r="B904" s="599"/>
      <c r="C904" s="180"/>
      <c r="D904" s="8"/>
      <c r="E904" s="8"/>
      <c r="F904" s="8"/>
      <c r="G904" s="8"/>
      <c r="H904" s="8"/>
      <c r="I904" s="8"/>
      <c r="J904" s="8"/>
      <c r="K904" s="8"/>
      <c r="L904" s="8"/>
    </row>
    <row r="905" spans="1:12" ht="13.5" customHeight="1">
      <c r="A905" s="183"/>
      <c r="B905" s="599"/>
      <c r="C905" s="180"/>
      <c r="D905" s="8"/>
      <c r="E905" s="8"/>
      <c r="F905" s="8"/>
      <c r="G905" s="8"/>
      <c r="H905" s="8"/>
      <c r="I905" s="8"/>
      <c r="J905" s="8"/>
      <c r="K905" s="8"/>
      <c r="L905" s="8"/>
    </row>
    <row r="906" spans="1:12" ht="13.5" customHeight="1">
      <c r="A906" s="183"/>
      <c r="B906" s="599"/>
      <c r="C906" s="180"/>
      <c r="D906" s="8"/>
      <c r="E906" s="8"/>
      <c r="F906" s="8"/>
      <c r="G906" s="8"/>
      <c r="H906" s="8"/>
      <c r="I906" s="8"/>
      <c r="J906" s="8"/>
      <c r="K906" s="8"/>
      <c r="L906" s="8"/>
    </row>
    <row r="907" spans="1:12" ht="13.5" customHeight="1">
      <c r="A907" s="183"/>
      <c r="B907" s="599"/>
      <c r="C907" s="180"/>
      <c r="D907" s="8"/>
      <c r="E907" s="8"/>
      <c r="F907" s="8"/>
      <c r="G907" s="8"/>
      <c r="H907" s="8"/>
      <c r="I907" s="8"/>
      <c r="J907" s="8"/>
      <c r="K907" s="8"/>
      <c r="L907" s="8"/>
    </row>
    <row r="908" spans="1:12" ht="13.5" customHeight="1">
      <c r="A908" s="183"/>
      <c r="B908" s="599"/>
      <c r="C908" s="180"/>
      <c r="D908" s="8"/>
      <c r="E908" s="8"/>
      <c r="F908" s="8"/>
      <c r="G908" s="8"/>
      <c r="H908" s="8"/>
      <c r="I908" s="8"/>
      <c r="J908" s="8"/>
      <c r="K908" s="8"/>
      <c r="L908" s="8"/>
    </row>
    <row r="909" spans="1:12" ht="13.5" customHeight="1">
      <c r="A909" s="183"/>
      <c r="B909" s="599"/>
      <c r="C909" s="180"/>
      <c r="D909" s="8"/>
      <c r="E909" s="8"/>
      <c r="F909" s="8"/>
      <c r="G909" s="8"/>
      <c r="H909" s="8"/>
      <c r="I909" s="8"/>
      <c r="J909" s="8"/>
      <c r="K909" s="8"/>
      <c r="L909" s="8"/>
    </row>
    <row r="910" spans="1:12" ht="13.5" customHeight="1">
      <c r="A910" s="183"/>
      <c r="B910" s="599"/>
      <c r="C910" s="180"/>
      <c r="D910" s="8"/>
      <c r="E910" s="8"/>
      <c r="F910" s="8"/>
      <c r="G910" s="8"/>
      <c r="H910" s="8"/>
      <c r="I910" s="8"/>
      <c r="J910" s="8"/>
      <c r="K910" s="8"/>
      <c r="L910" s="8"/>
    </row>
    <row r="911" spans="1:12" ht="13.5" customHeight="1">
      <c r="A911" s="183"/>
      <c r="B911" s="599"/>
      <c r="C911" s="180"/>
      <c r="D911" s="8"/>
      <c r="E911" s="8"/>
      <c r="F911" s="8"/>
      <c r="G911" s="8"/>
      <c r="H911" s="8"/>
      <c r="I911" s="8"/>
      <c r="J911" s="8"/>
      <c r="K911" s="8"/>
      <c r="L911" s="8"/>
    </row>
    <row r="912" spans="1:12" ht="13.5" customHeight="1">
      <c r="A912" s="183"/>
      <c r="B912" s="599"/>
      <c r="C912" s="180"/>
      <c r="D912" s="8"/>
      <c r="E912" s="8"/>
      <c r="F912" s="8"/>
      <c r="G912" s="8"/>
      <c r="H912" s="8"/>
      <c r="I912" s="8"/>
      <c r="J912" s="8"/>
      <c r="K912" s="8"/>
      <c r="L912" s="8"/>
    </row>
    <row r="913" spans="1:12" ht="13.5" customHeight="1">
      <c r="A913" s="183"/>
      <c r="B913" s="599"/>
      <c r="C913" s="180"/>
      <c r="D913" s="8"/>
      <c r="E913" s="8"/>
      <c r="F913" s="8"/>
      <c r="G913" s="8"/>
      <c r="H913" s="8"/>
      <c r="I913" s="8"/>
      <c r="J913" s="8"/>
      <c r="K913" s="8"/>
      <c r="L913" s="8"/>
    </row>
    <row r="914" spans="1:12" ht="13.5" customHeight="1">
      <c r="A914" s="183"/>
      <c r="B914" s="599"/>
      <c r="C914" s="180"/>
      <c r="D914" s="8"/>
      <c r="E914" s="8"/>
      <c r="F914" s="8"/>
      <c r="G914" s="8"/>
      <c r="H914" s="8"/>
      <c r="I914" s="8"/>
      <c r="J914" s="8"/>
      <c r="K914" s="8"/>
      <c r="L914" s="8"/>
    </row>
    <row r="915" spans="1:12" ht="13.5" customHeight="1">
      <c r="A915" s="183"/>
      <c r="B915" s="599"/>
      <c r="C915" s="180"/>
      <c r="D915" s="8"/>
      <c r="E915" s="8"/>
      <c r="F915" s="8"/>
      <c r="G915" s="8"/>
      <c r="H915" s="8"/>
      <c r="I915" s="8"/>
      <c r="J915" s="8"/>
      <c r="K915" s="8"/>
      <c r="L915" s="8"/>
    </row>
    <row r="916" spans="1:12" ht="13.5" customHeight="1">
      <c r="A916" s="183"/>
      <c r="B916" s="599"/>
      <c r="C916" s="180"/>
      <c r="D916" s="8"/>
      <c r="E916" s="8"/>
      <c r="F916" s="8"/>
      <c r="G916" s="8"/>
      <c r="H916" s="8"/>
      <c r="I916" s="8"/>
      <c r="J916" s="8"/>
      <c r="K916" s="8"/>
      <c r="L916" s="8"/>
    </row>
    <row r="917" spans="1:12" ht="13.5" customHeight="1">
      <c r="A917" s="183"/>
      <c r="B917" s="599"/>
      <c r="C917" s="180"/>
      <c r="D917" s="8"/>
      <c r="E917" s="8"/>
      <c r="F917" s="8"/>
      <c r="G917" s="8"/>
      <c r="H917" s="8"/>
      <c r="I917" s="8"/>
      <c r="J917" s="8"/>
      <c r="K917" s="8"/>
      <c r="L917" s="8"/>
    </row>
    <row r="918" spans="1:12" ht="13.5" customHeight="1">
      <c r="A918" s="183"/>
      <c r="B918" s="599"/>
      <c r="C918" s="180"/>
      <c r="D918" s="8"/>
      <c r="E918" s="8"/>
      <c r="F918" s="8"/>
      <c r="G918" s="8"/>
      <c r="H918" s="8"/>
      <c r="I918" s="8"/>
      <c r="J918" s="8"/>
      <c r="K918" s="8"/>
      <c r="L918" s="8"/>
    </row>
    <row r="919" spans="1:12" ht="13.5" customHeight="1">
      <c r="A919" s="183"/>
      <c r="B919" s="599"/>
      <c r="C919" s="180"/>
      <c r="D919" s="8"/>
      <c r="E919" s="8"/>
      <c r="F919" s="8"/>
      <c r="G919" s="8"/>
      <c r="H919" s="8"/>
      <c r="I919" s="8"/>
      <c r="J919" s="8"/>
      <c r="K919" s="8"/>
      <c r="L919" s="8"/>
    </row>
    <row r="920" spans="1:12" ht="13.5" customHeight="1">
      <c r="A920" s="183"/>
      <c r="B920" s="599"/>
      <c r="C920" s="180"/>
      <c r="D920" s="8"/>
      <c r="E920" s="8"/>
      <c r="F920" s="8"/>
      <c r="G920" s="8"/>
      <c r="H920" s="8"/>
      <c r="I920" s="8"/>
      <c r="J920" s="8"/>
      <c r="K920" s="8"/>
      <c r="L920" s="8"/>
    </row>
    <row r="921" spans="1:12" ht="13.5" customHeight="1">
      <c r="A921" s="183"/>
      <c r="B921" s="599"/>
      <c r="C921" s="180"/>
      <c r="D921" s="8"/>
      <c r="E921" s="8"/>
      <c r="F921" s="8"/>
      <c r="G921" s="8"/>
      <c r="H921" s="8"/>
      <c r="I921" s="8"/>
      <c r="J921" s="8"/>
      <c r="K921" s="8"/>
      <c r="L921" s="8"/>
    </row>
    <row r="922" spans="1:12" ht="13.5" customHeight="1">
      <c r="A922" s="183"/>
      <c r="B922" s="599"/>
      <c r="C922" s="180"/>
      <c r="D922" s="8"/>
      <c r="E922" s="8"/>
      <c r="F922" s="8"/>
      <c r="G922" s="8"/>
      <c r="H922" s="8"/>
      <c r="I922" s="8"/>
      <c r="J922" s="8"/>
      <c r="K922" s="8"/>
      <c r="L922" s="8"/>
    </row>
    <row r="923" spans="1:12" ht="13.5" customHeight="1">
      <c r="A923" s="183"/>
      <c r="B923" s="599"/>
      <c r="C923" s="180"/>
      <c r="D923" s="8"/>
      <c r="E923" s="8"/>
      <c r="F923" s="8"/>
      <c r="G923" s="8"/>
      <c r="H923" s="8"/>
      <c r="I923" s="8"/>
      <c r="J923" s="8"/>
      <c r="K923" s="8"/>
      <c r="L923" s="8"/>
    </row>
    <row r="924" spans="1:12" ht="13.5" customHeight="1">
      <c r="A924" s="183"/>
      <c r="B924" s="599"/>
      <c r="C924" s="180"/>
      <c r="D924" s="8"/>
      <c r="E924" s="8"/>
      <c r="F924" s="8"/>
      <c r="G924" s="8"/>
      <c r="H924" s="8"/>
      <c r="I924" s="8"/>
      <c r="J924" s="8"/>
      <c r="K924" s="8"/>
      <c r="L924" s="8"/>
    </row>
    <row r="925" spans="1:12" ht="13.5" customHeight="1">
      <c r="A925" s="183"/>
      <c r="B925" s="599"/>
      <c r="C925" s="180"/>
      <c r="D925" s="8"/>
      <c r="E925" s="8"/>
      <c r="F925" s="8"/>
      <c r="G925" s="8"/>
      <c r="H925" s="8"/>
      <c r="I925" s="8"/>
      <c r="J925" s="8"/>
      <c r="K925" s="8"/>
      <c r="L925" s="8"/>
    </row>
    <row r="926" spans="1:12" ht="13.5" customHeight="1">
      <c r="A926" s="183"/>
      <c r="B926" s="599"/>
      <c r="C926" s="180"/>
      <c r="D926" s="8"/>
      <c r="E926" s="8"/>
      <c r="F926" s="8"/>
      <c r="G926" s="8"/>
      <c r="H926" s="8"/>
      <c r="I926" s="8"/>
      <c r="J926" s="8"/>
      <c r="K926" s="8"/>
      <c r="L926" s="8"/>
    </row>
    <row r="927" spans="1:12" ht="13.5" customHeight="1">
      <c r="A927" s="183"/>
      <c r="B927" s="599"/>
      <c r="C927" s="180"/>
      <c r="D927" s="8"/>
      <c r="E927" s="8"/>
      <c r="F927" s="8"/>
      <c r="G927" s="8"/>
      <c r="H927" s="8"/>
      <c r="I927" s="8"/>
      <c r="J927" s="8"/>
      <c r="K927" s="8"/>
      <c r="L927" s="8"/>
    </row>
    <row r="928" spans="1:12" ht="13.5" customHeight="1">
      <c r="A928" s="183"/>
      <c r="B928" s="599"/>
      <c r="C928" s="180"/>
      <c r="D928" s="8"/>
      <c r="E928" s="8"/>
      <c r="F928" s="8"/>
      <c r="G928" s="8"/>
      <c r="H928" s="8"/>
      <c r="I928" s="8"/>
      <c r="J928" s="8"/>
      <c r="K928" s="8"/>
      <c r="L928" s="8"/>
    </row>
    <row r="929" spans="1:12" ht="13.5" customHeight="1">
      <c r="A929" s="183"/>
      <c r="B929" s="599"/>
      <c r="C929" s="180"/>
      <c r="D929" s="8"/>
      <c r="E929" s="8"/>
      <c r="F929" s="8"/>
      <c r="G929" s="8"/>
      <c r="H929" s="8"/>
      <c r="I929" s="8"/>
      <c r="J929" s="8"/>
      <c r="K929" s="8"/>
      <c r="L929" s="8"/>
    </row>
    <row r="930" spans="1:12" ht="13.5" customHeight="1">
      <c r="A930" s="183"/>
      <c r="B930" s="599"/>
      <c r="C930" s="180"/>
      <c r="D930" s="8"/>
      <c r="E930" s="8"/>
      <c r="F930" s="8"/>
      <c r="G930" s="8"/>
      <c r="H930" s="8"/>
      <c r="I930" s="8"/>
      <c r="J930" s="8"/>
      <c r="K930" s="8"/>
      <c r="L930" s="8"/>
    </row>
    <row r="931" spans="1:12" ht="13.5" customHeight="1">
      <c r="A931" s="183"/>
      <c r="B931" s="599"/>
      <c r="C931" s="180"/>
      <c r="D931" s="8"/>
      <c r="E931" s="8"/>
      <c r="F931" s="8"/>
      <c r="G931" s="8"/>
      <c r="H931" s="8"/>
      <c r="I931" s="8"/>
      <c r="J931" s="8"/>
      <c r="K931" s="8"/>
      <c r="L931" s="8"/>
    </row>
    <row r="932" spans="1:12" ht="13.5" customHeight="1">
      <c r="A932" s="183"/>
      <c r="B932" s="599"/>
      <c r="C932" s="180"/>
      <c r="D932" s="8"/>
      <c r="E932" s="8"/>
      <c r="F932" s="8"/>
      <c r="G932" s="8"/>
      <c r="H932" s="8"/>
      <c r="I932" s="8"/>
      <c r="J932" s="8"/>
      <c r="K932" s="8"/>
      <c r="L932" s="8"/>
    </row>
    <row r="933" spans="1:12" ht="13.5" customHeight="1">
      <c r="A933" s="183"/>
      <c r="B933" s="599"/>
      <c r="C933" s="180"/>
      <c r="D933" s="8"/>
      <c r="E933" s="8"/>
      <c r="F933" s="8"/>
      <c r="G933" s="8"/>
      <c r="H933" s="8"/>
      <c r="I933" s="8"/>
      <c r="J933" s="8"/>
      <c r="K933" s="8"/>
      <c r="L933" s="8"/>
    </row>
    <row r="934" spans="1:12" ht="13.5" customHeight="1">
      <c r="A934" s="183"/>
      <c r="B934" s="599"/>
      <c r="C934" s="180"/>
      <c r="D934" s="8"/>
      <c r="E934" s="8"/>
      <c r="F934" s="8"/>
      <c r="G934" s="8"/>
      <c r="H934" s="8"/>
      <c r="I934" s="8"/>
      <c r="J934" s="8"/>
      <c r="K934" s="8"/>
      <c r="L934" s="8"/>
    </row>
    <row r="935" spans="1:12" ht="13.5" customHeight="1">
      <c r="A935" s="183"/>
      <c r="B935" s="599"/>
      <c r="C935" s="180"/>
      <c r="D935" s="8"/>
      <c r="E935" s="8"/>
      <c r="F935" s="8"/>
      <c r="G935" s="8"/>
      <c r="H935" s="8"/>
      <c r="I935" s="8"/>
      <c r="J935" s="8"/>
      <c r="K935" s="8"/>
      <c r="L935" s="8"/>
    </row>
    <row r="936" spans="1:12" ht="13.5" customHeight="1">
      <c r="A936" s="183"/>
      <c r="B936" s="599"/>
      <c r="C936" s="180"/>
      <c r="D936" s="8"/>
      <c r="E936" s="8"/>
      <c r="F936" s="8"/>
      <c r="G936" s="8"/>
      <c r="H936" s="8"/>
      <c r="I936" s="8"/>
      <c r="J936" s="8"/>
      <c r="K936" s="8"/>
      <c r="L936" s="8"/>
    </row>
    <row r="937" spans="1:12" ht="13.5" customHeight="1">
      <c r="A937" s="183"/>
      <c r="B937" s="599"/>
      <c r="C937" s="180"/>
      <c r="D937" s="8"/>
      <c r="E937" s="8"/>
      <c r="F937" s="8"/>
      <c r="G937" s="8"/>
      <c r="H937" s="8"/>
      <c r="I937" s="8"/>
      <c r="J937" s="8"/>
      <c r="K937" s="8"/>
      <c r="L937" s="8"/>
    </row>
    <row r="938" spans="1:12" ht="13.5" customHeight="1">
      <c r="A938" s="183"/>
      <c r="B938" s="599"/>
      <c r="C938" s="180"/>
      <c r="D938" s="8"/>
      <c r="E938" s="8"/>
      <c r="F938" s="8"/>
      <c r="G938" s="8"/>
      <c r="H938" s="8"/>
      <c r="I938" s="8"/>
      <c r="J938" s="8"/>
      <c r="K938" s="8"/>
      <c r="L938" s="8"/>
    </row>
    <row r="939" spans="1:12" ht="13.5" customHeight="1">
      <c r="A939" s="183"/>
      <c r="B939" s="599"/>
      <c r="C939" s="180"/>
      <c r="D939" s="8"/>
      <c r="E939" s="8"/>
      <c r="F939" s="8"/>
      <c r="G939" s="8"/>
      <c r="H939" s="8"/>
      <c r="I939" s="8"/>
      <c r="J939" s="8"/>
      <c r="K939" s="8"/>
      <c r="L939" s="8"/>
    </row>
    <row r="940" spans="1:12" ht="13.5" customHeight="1">
      <c r="A940" s="183"/>
      <c r="B940" s="599"/>
      <c r="C940" s="180"/>
      <c r="D940" s="8"/>
      <c r="E940" s="8"/>
      <c r="F940" s="8"/>
      <c r="G940" s="8"/>
      <c r="H940" s="8"/>
      <c r="I940" s="8"/>
      <c r="J940" s="8"/>
      <c r="K940" s="8"/>
      <c r="L940" s="8"/>
    </row>
    <row r="941" spans="1:12" ht="13.5" customHeight="1">
      <c r="A941" s="183"/>
      <c r="B941" s="599"/>
      <c r="C941" s="180"/>
      <c r="D941" s="8"/>
      <c r="E941" s="8"/>
      <c r="F941" s="8"/>
      <c r="G941" s="8"/>
      <c r="H941" s="8"/>
      <c r="I941" s="8"/>
      <c r="J941" s="8"/>
      <c r="K941" s="8"/>
      <c r="L941" s="8"/>
    </row>
    <row r="942" spans="1:12" ht="13.5" customHeight="1">
      <c r="A942" s="183"/>
      <c r="B942" s="599"/>
      <c r="C942" s="180"/>
      <c r="D942" s="8"/>
      <c r="E942" s="8"/>
      <c r="F942" s="8"/>
      <c r="G942" s="8"/>
      <c r="H942" s="8"/>
      <c r="I942" s="8"/>
      <c r="J942" s="8"/>
      <c r="K942" s="8"/>
      <c r="L942" s="8"/>
    </row>
    <row r="943" spans="1:12" ht="13.5" customHeight="1">
      <c r="A943" s="183"/>
      <c r="B943" s="599"/>
      <c r="C943" s="180"/>
      <c r="D943" s="8"/>
      <c r="E943" s="8"/>
      <c r="F943" s="8"/>
      <c r="G943" s="8"/>
      <c r="H943" s="8"/>
      <c r="I943" s="8"/>
      <c r="J943" s="8"/>
      <c r="K943" s="8"/>
      <c r="L943" s="8"/>
    </row>
    <row r="944" spans="1:12" ht="13.5" customHeight="1">
      <c r="A944" s="183"/>
      <c r="B944" s="599"/>
      <c r="C944" s="180"/>
      <c r="D944" s="8"/>
      <c r="E944" s="8"/>
      <c r="F944" s="8"/>
      <c r="G944" s="8"/>
      <c r="H944" s="8"/>
      <c r="I944" s="8"/>
      <c r="J944" s="8"/>
      <c r="K944" s="8"/>
      <c r="L944" s="8"/>
    </row>
    <row r="945" spans="1:12" ht="13.5" customHeight="1">
      <c r="A945" s="183"/>
      <c r="B945" s="599"/>
      <c r="C945" s="180"/>
      <c r="D945" s="8"/>
      <c r="E945" s="8"/>
      <c r="F945" s="8"/>
      <c r="G945" s="8"/>
      <c r="H945" s="8"/>
      <c r="I945" s="8"/>
      <c r="J945" s="8"/>
      <c r="K945" s="8"/>
      <c r="L945" s="8"/>
    </row>
    <row r="946" spans="1:12" ht="13.5" customHeight="1">
      <c r="A946" s="183"/>
      <c r="B946" s="599"/>
      <c r="C946" s="180"/>
      <c r="D946" s="8"/>
      <c r="E946" s="8"/>
      <c r="F946" s="8"/>
      <c r="G946" s="8"/>
      <c r="H946" s="8"/>
      <c r="I946" s="8"/>
      <c r="J946" s="8"/>
      <c r="K946" s="8"/>
      <c r="L946" s="8"/>
    </row>
    <row r="947" spans="1:12" ht="13.5" customHeight="1">
      <c r="A947" s="183"/>
      <c r="B947" s="599"/>
      <c r="C947" s="180"/>
      <c r="D947" s="8"/>
      <c r="E947" s="8"/>
      <c r="F947" s="8"/>
      <c r="G947" s="8"/>
      <c r="H947" s="8"/>
      <c r="I947" s="8"/>
      <c r="J947" s="8"/>
      <c r="K947" s="8"/>
      <c r="L947" s="8"/>
    </row>
    <row r="948" spans="1:12" ht="13.5" customHeight="1">
      <c r="A948" s="183"/>
      <c r="B948" s="599"/>
      <c r="C948" s="180"/>
      <c r="D948" s="8"/>
      <c r="E948" s="8"/>
      <c r="F948" s="8"/>
      <c r="G948" s="8"/>
      <c r="H948" s="8"/>
      <c r="I948" s="8"/>
      <c r="J948" s="8"/>
      <c r="K948" s="8"/>
      <c r="L948" s="8"/>
    </row>
    <row r="949" spans="1:12" ht="13.5" customHeight="1">
      <c r="A949" s="183"/>
      <c r="B949" s="599"/>
      <c r="C949" s="180"/>
      <c r="D949" s="8"/>
      <c r="E949" s="8"/>
      <c r="F949" s="8"/>
      <c r="G949" s="8"/>
      <c r="H949" s="8"/>
      <c r="I949" s="8"/>
      <c r="J949" s="8"/>
      <c r="K949" s="8"/>
      <c r="L949" s="8"/>
    </row>
    <row r="950" spans="1:12" ht="13.5" customHeight="1">
      <c r="A950" s="183"/>
      <c r="B950" s="599"/>
      <c r="C950" s="180"/>
      <c r="D950" s="8"/>
      <c r="E950" s="8"/>
      <c r="F950" s="8"/>
      <c r="G950" s="8"/>
      <c r="H950" s="8"/>
      <c r="I950" s="8"/>
      <c r="J950" s="8"/>
      <c r="K950" s="8"/>
      <c r="L950" s="8"/>
    </row>
    <row r="951" spans="1:12" ht="13.5" customHeight="1">
      <c r="A951" s="183"/>
      <c r="B951" s="599"/>
      <c r="C951" s="180"/>
      <c r="D951" s="8"/>
      <c r="E951" s="8"/>
      <c r="F951" s="8"/>
      <c r="G951" s="8"/>
      <c r="H951" s="8"/>
      <c r="I951" s="8"/>
      <c r="J951" s="8"/>
      <c r="K951" s="8"/>
      <c r="L951" s="8"/>
    </row>
    <row r="952" spans="1:12" ht="13.5" customHeight="1">
      <c r="A952" s="183"/>
      <c r="B952" s="599"/>
      <c r="C952" s="180"/>
      <c r="D952" s="8"/>
      <c r="E952" s="8"/>
      <c r="F952" s="8"/>
      <c r="G952" s="8"/>
      <c r="H952" s="8"/>
      <c r="I952" s="8"/>
      <c r="J952" s="8"/>
      <c r="K952" s="8"/>
      <c r="L952" s="8"/>
    </row>
    <row r="953" spans="1:12" ht="13.5" customHeight="1">
      <c r="A953" s="183"/>
      <c r="B953" s="599"/>
      <c r="C953" s="180"/>
      <c r="D953" s="8"/>
      <c r="E953" s="8"/>
      <c r="F953" s="8"/>
      <c r="G953" s="8"/>
      <c r="H953" s="8"/>
      <c r="I953" s="8"/>
      <c r="J953" s="8"/>
      <c r="K953" s="8"/>
      <c r="L953" s="8"/>
    </row>
    <row r="954" spans="1:12" ht="13.5" customHeight="1">
      <c r="A954" s="183"/>
      <c r="B954" s="599"/>
      <c r="C954" s="180"/>
      <c r="D954" s="8"/>
      <c r="E954" s="8"/>
      <c r="F954" s="8"/>
      <c r="G954" s="8"/>
      <c r="H954" s="8"/>
      <c r="I954" s="8"/>
      <c r="J954" s="8"/>
      <c r="K954" s="8"/>
      <c r="L954" s="8"/>
    </row>
    <row r="955" spans="1:12" ht="13.5" customHeight="1">
      <c r="A955" s="183"/>
      <c r="B955" s="599"/>
      <c r="C955" s="180"/>
      <c r="D955" s="8"/>
      <c r="E955" s="8"/>
      <c r="F955" s="8"/>
      <c r="G955" s="8"/>
      <c r="H955" s="8"/>
      <c r="I955" s="8"/>
      <c r="J955" s="8"/>
      <c r="K955" s="8"/>
      <c r="L955" s="8"/>
    </row>
    <row r="956" spans="1:12" ht="13.5" customHeight="1">
      <c r="A956" s="183"/>
      <c r="B956" s="599"/>
      <c r="C956" s="180"/>
      <c r="D956" s="8"/>
      <c r="E956" s="8"/>
      <c r="F956" s="8"/>
      <c r="G956" s="8"/>
      <c r="H956" s="8"/>
      <c r="I956" s="8"/>
      <c r="J956" s="8"/>
      <c r="K956" s="8"/>
      <c r="L956" s="8"/>
    </row>
    <row r="957" spans="1:12" ht="13.5" customHeight="1">
      <c r="A957" s="183"/>
      <c r="B957" s="599"/>
      <c r="C957" s="180"/>
      <c r="D957" s="8"/>
      <c r="E957" s="8"/>
      <c r="F957" s="8"/>
      <c r="G957" s="8"/>
      <c r="H957" s="8"/>
      <c r="I957" s="8"/>
      <c r="J957" s="8"/>
      <c r="K957" s="8"/>
      <c r="L957" s="8"/>
    </row>
    <row r="958" spans="1:12" ht="13.5" customHeight="1">
      <c r="A958" s="183"/>
      <c r="B958" s="599"/>
      <c r="C958" s="180"/>
      <c r="D958" s="8"/>
      <c r="E958" s="8"/>
      <c r="F958" s="8"/>
      <c r="G958" s="8"/>
      <c r="H958" s="8"/>
      <c r="I958" s="8"/>
      <c r="J958" s="8"/>
      <c r="K958" s="8"/>
      <c r="L958" s="8"/>
    </row>
    <row r="959" spans="1:12" ht="13.5" customHeight="1">
      <c r="A959" s="183"/>
      <c r="B959" s="599"/>
      <c r="C959" s="180"/>
      <c r="D959" s="8"/>
      <c r="E959" s="8"/>
      <c r="F959" s="8"/>
      <c r="G959" s="8"/>
      <c r="H959" s="8"/>
      <c r="I959" s="8"/>
      <c r="J959" s="8"/>
      <c r="K959" s="8"/>
      <c r="L959" s="8"/>
    </row>
    <row r="960" spans="1:12" ht="13.5" customHeight="1">
      <c r="A960" s="183"/>
      <c r="B960" s="599"/>
      <c r="C960" s="180"/>
      <c r="D960" s="8"/>
      <c r="E960" s="8"/>
      <c r="F960" s="8"/>
      <c r="G960" s="8"/>
      <c r="H960" s="8"/>
      <c r="I960" s="8"/>
      <c r="J960" s="8"/>
      <c r="K960" s="8"/>
      <c r="L960" s="8"/>
    </row>
    <row r="961" spans="1:12" ht="13.5" customHeight="1">
      <c r="A961" s="183"/>
      <c r="B961" s="599"/>
      <c r="C961" s="180"/>
      <c r="D961" s="8"/>
      <c r="E961" s="8"/>
      <c r="F961" s="8"/>
      <c r="G961" s="8"/>
      <c r="H961" s="8"/>
      <c r="I961" s="8"/>
      <c r="J961" s="8"/>
      <c r="K961" s="8"/>
      <c r="L961" s="8"/>
    </row>
    <row r="962" spans="1:12" ht="13.5" customHeight="1">
      <c r="A962" s="183"/>
      <c r="B962" s="599"/>
      <c r="C962" s="180"/>
      <c r="D962" s="8"/>
      <c r="E962" s="8"/>
      <c r="F962" s="8"/>
      <c r="G962" s="8"/>
      <c r="H962" s="8"/>
      <c r="I962" s="8"/>
      <c r="J962" s="8"/>
      <c r="K962" s="8"/>
      <c r="L962" s="8"/>
    </row>
    <row r="963" spans="1:12" ht="13.5" customHeight="1">
      <c r="A963" s="183"/>
      <c r="B963" s="599"/>
      <c r="C963" s="180"/>
      <c r="D963" s="8"/>
      <c r="E963" s="8"/>
      <c r="F963" s="8"/>
      <c r="G963" s="8"/>
      <c r="H963" s="8"/>
      <c r="I963" s="8"/>
      <c r="J963" s="8"/>
      <c r="K963" s="8"/>
      <c r="L963" s="8"/>
    </row>
    <row r="964" spans="1:12" ht="13.5" customHeight="1">
      <c r="A964" s="183"/>
      <c r="B964" s="599"/>
      <c r="C964" s="180"/>
      <c r="D964" s="8"/>
      <c r="E964" s="8"/>
      <c r="F964" s="8"/>
      <c r="G964" s="8"/>
      <c r="H964" s="8"/>
      <c r="I964" s="8"/>
      <c r="J964" s="8"/>
      <c r="K964" s="8"/>
      <c r="L964" s="8"/>
    </row>
    <row r="965" spans="1:12" ht="13.5" customHeight="1">
      <c r="A965" s="183"/>
      <c r="B965" s="599"/>
      <c r="C965" s="180"/>
      <c r="D965" s="8"/>
      <c r="E965" s="8"/>
      <c r="F965" s="8"/>
      <c r="G965" s="8"/>
      <c r="H965" s="8"/>
      <c r="I965" s="8"/>
      <c r="J965" s="8"/>
      <c r="K965" s="8"/>
      <c r="L965" s="8"/>
    </row>
    <row r="966" spans="1:12" ht="13.5" customHeight="1">
      <c r="A966" s="183"/>
      <c r="B966" s="599"/>
      <c r="C966" s="180"/>
      <c r="D966" s="8"/>
      <c r="E966" s="8"/>
      <c r="F966" s="8"/>
      <c r="G966" s="8"/>
      <c r="H966" s="8"/>
      <c r="I966" s="8"/>
      <c r="J966" s="8"/>
      <c r="K966" s="8"/>
      <c r="L966" s="8"/>
    </row>
    <row r="967" spans="1:12" ht="13.5" customHeight="1">
      <c r="A967" s="183"/>
      <c r="B967" s="599"/>
      <c r="C967" s="180"/>
      <c r="D967" s="8"/>
      <c r="E967" s="8"/>
      <c r="F967" s="8"/>
      <c r="G967" s="8"/>
      <c r="H967" s="8"/>
      <c r="I967" s="8"/>
      <c r="J967" s="8"/>
      <c r="K967" s="8"/>
      <c r="L967" s="8"/>
    </row>
    <row r="968" spans="1:12" ht="13.5" customHeight="1">
      <c r="A968" s="183"/>
      <c r="B968" s="599"/>
      <c r="C968" s="180"/>
      <c r="D968" s="8"/>
      <c r="E968" s="8"/>
      <c r="F968" s="8"/>
      <c r="G968" s="8"/>
      <c r="H968" s="8"/>
      <c r="I968" s="8"/>
      <c r="J968" s="8"/>
      <c r="K968" s="8"/>
      <c r="L968" s="8"/>
    </row>
    <row r="969" spans="1:12" ht="13.5" customHeight="1">
      <c r="A969" s="183"/>
      <c r="B969" s="599"/>
      <c r="C969" s="180"/>
      <c r="D969" s="8"/>
      <c r="E969" s="8"/>
      <c r="F969" s="8"/>
      <c r="G969" s="8"/>
      <c r="H969" s="8"/>
      <c r="I969" s="8"/>
      <c r="J969" s="8"/>
      <c r="K969" s="8"/>
      <c r="L969" s="8"/>
    </row>
    <row r="970" spans="1:12" ht="13.5" customHeight="1">
      <c r="A970" s="183"/>
      <c r="B970" s="599"/>
      <c r="C970" s="180"/>
      <c r="D970" s="8"/>
      <c r="E970" s="8"/>
      <c r="F970" s="8"/>
      <c r="G970" s="8"/>
      <c r="H970" s="8"/>
      <c r="I970" s="8"/>
      <c r="J970" s="8"/>
      <c r="K970" s="8"/>
      <c r="L970" s="8"/>
    </row>
    <row r="971" spans="1:12" ht="13.5" customHeight="1">
      <c r="A971" s="183"/>
      <c r="B971" s="599"/>
      <c r="C971" s="180"/>
      <c r="D971" s="8"/>
      <c r="E971" s="8"/>
      <c r="F971" s="8"/>
      <c r="G971" s="8"/>
      <c r="H971" s="8"/>
      <c r="I971" s="8"/>
      <c r="J971" s="8"/>
      <c r="K971" s="8"/>
      <c r="L971" s="8"/>
    </row>
    <row r="972" spans="1:12" ht="13.5" customHeight="1">
      <c r="A972" s="183"/>
      <c r="B972" s="599"/>
      <c r="C972" s="180"/>
      <c r="D972" s="8"/>
      <c r="E972" s="8"/>
      <c r="F972" s="8"/>
      <c r="G972" s="8"/>
      <c r="H972" s="8"/>
      <c r="I972" s="8"/>
      <c r="J972" s="8"/>
      <c r="K972" s="8"/>
      <c r="L972" s="8"/>
    </row>
    <row r="973" spans="1:12" ht="13.5" customHeight="1">
      <c r="A973" s="183"/>
      <c r="B973" s="599"/>
      <c r="C973" s="180"/>
      <c r="D973" s="8"/>
      <c r="E973" s="8"/>
      <c r="F973" s="8"/>
      <c r="G973" s="8"/>
      <c r="H973" s="8"/>
      <c r="I973" s="8"/>
      <c r="J973" s="8"/>
      <c r="K973" s="8"/>
      <c r="L973" s="8"/>
    </row>
    <row r="974" spans="1:12" ht="13.5" customHeight="1">
      <c r="A974" s="183"/>
      <c r="B974" s="599"/>
      <c r="C974" s="180"/>
      <c r="D974" s="8"/>
      <c r="E974" s="8"/>
      <c r="F974" s="8"/>
      <c r="G974" s="8"/>
      <c r="H974" s="8"/>
      <c r="I974" s="8"/>
      <c r="J974" s="8"/>
      <c r="K974" s="8"/>
      <c r="L974" s="8"/>
    </row>
    <row r="975" spans="1:12" ht="13.5" customHeight="1">
      <c r="A975" s="183"/>
      <c r="B975" s="599"/>
      <c r="C975" s="180"/>
      <c r="D975" s="8"/>
      <c r="E975" s="8"/>
      <c r="F975" s="8"/>
      <c r="G975" s="8"/>
      <c r="H975" s="8"/>
      <c r="I975" s="8"/>
      <c r="J975" s="8"/>
      <c r="K975" s="8"/>
      <c r="L975" s="8"/>
    </row>
    <row r="976" spans="1:12" ht="13.5" customHeight="1">
      <c r="A976" s="183"/>
      <c r="B976" s="599"/>
      <c r="C976" s="180"/>
      <c r="D976" s="8"/>
      <c r="E976" s="8"/>
      <c r="F976" s="8"/>
      <c r="G976" s="8"/>
      <c r="H976" s="8"/>
      <c r="I976" s="8"/>
      <c r="J976" s="8"/>
      <c r="K976" s="8"/>
      <c r="L976" s="8"/>
    </row>
    <row r="977" spans="1:12" ht="13.5" customHeight="1">
      <c r="A977" s="183"/>
      <c r="B977" s="599"/>
      <c r="C977" s="180"/>
      <c r="D977" s="8"/>
      <c r="E977" s="8"/>
      <c r="F977" s="8"/>
      <c r="G977" s="8"/>
      <c r="H977" s="8"/>
      <c r="I977" s="8"/>
      <c r="J977" s="8"/>
      <c r="K977" s="8"/>
      <c r="L977" s="8"/>
    </row>
    <row r="978" spans="1:12" ht="13.5" customHeight="1">
      <c r="A978" s="183"/>
      <c r="B978" s="599"/>
      <c r="C978" s="180"/>
      <c r="D978" s="8"/>
      <c r="E978" s="8"/>
      <c r="F978" s="8"/>
      <c r="G978" s="8"/>
      <c r="H978" s="8"/>
      <c r="I978" s="8"/>
      <c r="J978" s="8"/>
      <c r="K978" s="8"/>
      <c r="L978" s="8"/>
    </row>
    <row r="979" spans="1:12" ht="13.5" customHeight="1">
      <c r="A979" s="183"/>
      <c r="B979" s="599"/>
      <c r="C979" s="180"/>
      <c r="D979" s="8"/>
      <c r="E979" s="8"/>
      <c r="F979" s="8"/>
      <c r="G979" s="8"/>
      <c r="H979" s="8"/>
      <c r="I979" s="8"/>
      <c r="J979" s="8"/>
      <c r="K979" s="8"/>
      <c r="L979" s="8"/>
    </row>
    <row r="980" spans="1:12" ht="13.5" customHeight="1">
      <c r="A980" s="183"/>
      <c r="B980" s="599"/>
      <c r="C980" s="180"/>
      <c r="D980" s="8"/>
      <c r="E980" s="8"/>
      <c r="F980" s="8"/>
      <c r="G980" s="8"/>
      <c r="H980" s="8"/>
      <c r="I980" s="8"/>
      <c r="J980" s="8"/>
      <c r="K980" s="8"/>
      <c r="L980" s="8"/>
    </row>
    <row r="981" spans="1:12" ht="13.5" customHeight="1">
      <c r="A981" s="183"/>
      <c r="B981" s="599"/>
      <c r="C981" s="180"/>
      <c r="D981" s="8"/>
      <c r="E981" s="8"/>
      <c r="F981" s="8"/>
      <c r="G981" s="8"/>
      <c r="H981" s="8"/>
      <c r="I981" s="8"/>
      <c r="J981" s="8"/>
      <c r="K981" s="8"/>
      <c r="L981" s="8"/>
    </row>
    <row r="982" spans="1:12" ht="13.5" customHeight="1">
      <c r="A982" s="183"/>
      <c r="B982" s="599"/>
      <c r="C982" s="180"/>
      <c r="D982" s="8"/>
      <c r="E982" s="8"/>
      <c r="F982" s="8"/>
      <c r="G982" s="8"/>
      <c r="H982" s="8"/>
      <c r="I982" s="8"/>
      <c r="J982" s="8"/>
      <c r="K982" s="8"/>
      <c r="L982" s="8"/>
    </row>
    <row r="983" spans="1:12" ht="13.5" customHeight="1">
      <c r="A983" s="183"/>
      <c r="B983" s="599"/>
      <c r="C983" s="180"/>
      <c r="D983" s="8"/>
      <c r="E983" s="8"/>
      <c r="F983" s="8"/>
      <c r="G983" s="8"/>
      <c r="H983" s="8"/>
      <c r="I983" s="8"/>
      <c r="J983" s="8"/>
      <c r="K983" s="8"/>
      <c r="L983" s="8"/>
    </row>
    <row r="984" spans="1:12" ht="13.5" customHeight="1">
      <c r="A984" s="183"/>
      <c r="B984" s="599"/>
      <c r="C984" s="180"/>
      <c r="D984" s="8"/>
      <c r="E984" s="8"/>
      <c r="F984" s="8"/>
      <c r="G984" s="8"/>
      <c r="H984" s="8"/>
      <c r="I984" s="8"/>
      <c r="J984" s="8"/>
      <c r="K984" s="8"/>
      <c r="L984" s="8"/>
    </row>
    <row r="985" spans="1:12" ht="13.5" customHeight="1">
      <c r="A985" s="183"/>
      <c r="B985" s="599"/>
      <c r="C985" s="180"/>
      <c r="D985" s="8"/>
      <c r="E985" s="8"/>
      <c r="F985" s="8"/>
      <c r="G985" s="8"/>
      <c r="H985" s="8"/>
      <c r="I985" s="8"/>
      <c r="J985" s="8"/>
      <c r="K985" s="8"/>
      <c r="L985" s="8"/>
    </row>
    <row r="986" spans="1:12" ht="13.5" customHeight="1">
      <c r="A986" s="183"/>
      <c r="B986" s="599"/>
      <c r="C986" s="180"/>
      <c r="D986" s="8"/>
      <c r="E986" s="8"/>
      <c r="F986" s="8"/>
      <c r="G986" s="8"/>
      <c r="H986" s="8"/>
      <c r="I986" s="8"/>
      <c r="J986" s="8"/>
      <c r="K986" s="8"/>
      <c r="L986" s="8"/>
    </row>
    <row r="987" spans="1:12" ht="13.5" customHeight="1">
      <c r="A987" s="183"/>
      <c r="B987" s="599"/>
      <c r="C987" s="180"/>
      <c r="D987" s="8"/>
      <c r="E987" s="8"/>
      <c r="F987" s="8"/>
      <c r="G987" s="8"/>
      <c r="H987" s="8"/>
      <c r="I987" s="8"/>
      <c r="J987" s="8"/>
      <c r="K987" s="8"/>
      <c r="L987" s="8"/>
    </row>
    <row r="988" spans="1:12" ht="13.5" customHeight="1">
      <c r="A988" s="183"/>
      <c r="B988" s="599"/>
      <c r="C988" s="180"/>
      <c r="D988" s="8"/>
      <c r="E988" s="8"/>
      <c r="F988" s="8"/>
      <c r="G988" s="8"/>
      <c r="H988" s="8"/>
      <c r="I988" s="8"/>
      <c r="J988" s="8"/>
      <c r="K988" s="8"/>
      <c r="L988" s="8"/>
    </row>
    <row r="989" spans="1:12" ht="13.5" customHeight="1">
      <c r="A989" s="183"/>
      <c r="B989" s="599"/>
      <c r="C989" s="180"/>
      <c r="D989" s="8"/>
      <c r="E989" s="8"/>
      <c r="F989" s="8"/>
      <c r="G989" s="8"/>
      <c r="H989" s="8"/>
      <c r="I989" s="8"/>
      <c r="J989" s="8"/>
      <c r="K989" s="8"/>
      <c r="L989" s="8"/>
    </row>
    <row r="990" spans="1:12" ht="13.5" customHeight="1">
      <c r="A990" s="183"/>
      <c r="B990" s="599"/>
      <c r="C990" s="180"/>
      <c r="D990" s="8"/>
      <c r="E990" s="8"/>
      <c r="F990" s="8"/>
      <c r="G990" s="8"/>
      <c r="H990" s="8"/>
      <c r="I990" s="8"/>
      <c r="J990" s="8"/>
      <c r="K990" s="8"/>
      <c r="L990" s="8"/>
    </row>
    <row r="991" spans="1:12" ht="13.5" customHeight="1">
      <c r="A991" s="183"/>
      <c r="B991" s="599"/>
      <c r="C991" s="180"/>
      <c r="D991" s="8"/>
      <c r="E991" s="8"/>
      <c r="F991" s="8"/>
      <c r="G991" s="8"/>
      <c r="H991" s="8"/>
      <c r="I991" s="8"/>
      <c r="J991" s="8"/>
      <c r="K991" s="8"/>
      <c r="L991" s="8"/>
    </row>
    <row r="992" spans="1:12" ht="13.5" customHeight="1">
      <c r="A992" s="183"/>
      <c r="B992" s="599"/>
      <c r="C992" s="180"/>
      <c r="D992" s="8"/>
      <c r="E992" s="8"/>
      <c r="F992" s="8"/>
      <c r="G992" s="8"/>
      <c r="H992" s="8"/>
      <c r="I992" s="8"/>
      <c r="J992" s="8"/>
      <c r="K992" s="8"/>
      <c r="L992" s="8"/>
    </row>
    <row r="993" spans="1:12" ht="13.5" customHeight="1">
      <c r="A993" s="183"/>
      <c r="B993" s="599"/>
      <c r="C993" s="180"/>
      <c r="D993" s="8"/>
      <c r="E993" s="8"/>
      <c r="F993" s="8"/>
      <c r="G993" s="8"/>
      <c r="H993" s="8"/>
      <c r="I993" s="8"/>
      <c r="J993" s="8"/>
      <c r="K993" s="8"/>
      <c r="L993" s="8"/>
    </row>
    <row r="994" spans="1:12" ht="13.5" customHeight="1">
      <c r="A994" s="183"/>
      <c r="B994" s="599"/>
      <c r="C994" s="180"/>
      <c r="D994" s="8"/>
      <c r="E994" s="8"/>
      <c r="F994" s="8"/>
      <c r="G994" s="8"/>
      <c r="H994" s="8"/>
      <c r="I994" s="8"/>
      <c r="J994" s="8"/>
      <c r="K994" s="8"/>
      <c r="L994" s="8"/>
    </row>
    <row r="995" spans="1:12" ht="13.5" customHeight="1">
      <c r="A995" s="183"/>
      <c r="B995" s="599"/>
      <c r="C995" s="180"/>
      <c r="D995" s="8"/>
      <c r="E995" s="8"/>
      <c r="F995" s="8"/>
      <c r="G995" s="8"/>
      <c r="H995" s="8"/>
      <c r="I995" s="8"/>
      <c r="J995" s="8"/>
      <c r="K995" s="8"/>
      <c r="L995" s="8"/>
    </row>
    <row r="996" spans="1:12" ht="13.5" customHeight="1">
      <c r="A996" s="183"/>
      <c r="B996" s="599"/>
      <c r="C996" s="180"/>
      <c r="D996" s="8"/>
      <c r="E996" s="8"/>
      <c r="F996" s="8"/>
      <c r="G996" s="8"/>
      <c r="H996" s="8"/>
      <c r="I996" s="8"/>
      <c r="J996" s="8"/>
      <c r="K996" s="8"/>
      <c r="L996" s="8"/>
    </row>
    <row r="997" spans="1:12" ht="13.5" customHeight="1">
      <c r="A997" s="183"/>
      <c r="B997" s="599"/>
      <c r="C997" s="180"/>
      <c r="D997" s="8"/>
      <c r="E997" s="8"/>
      <c r="F997" s="8"/>
      <c r="G997" s="8"/>
      <c r="H997" s="8"/>
      <c r="I997" s="8"/>
      <c r="J997" s="8"/>
      <c r="K997" s="8"/>
      <c r="L997" s="8"/>
    </row>
    <row r="998" spans="1:12" ht="13.5" customHeight="1">
      <c r="A998" s="183"/>
      <c r="B998" s="599"/>
      <c r="C998" s="180"/>
      <c r="D998" s="8"/>
      <c r="E998" s="8"/>
      <c r="F998" s="8"/>
      <c r="G998" s="8"/>
      <c r="H998" s="8"/>
      <c r="I998" s="8"/>
      <c r="J998" s="8"/>
      <c r="K998" s="8"/>
      <c r="L998" s="8"/>
    </row>
    <row r="999" spans="1:12" ht="13.5" customHeight="1">
      <c r="A999" s="183"/>
      <c r="B999" s="599"/>
      <c r="C999" s="180"/>
      <c r="D999" s="8"/>
      <c r="E999" s="8"/>
      <c r="F999" s="8"/>
      <c r="G999" s="8"/>
      <c r="H999" s="8"/>
      <c r="I999" s="8"/>
      <c r="J999" s="8"/>
      <c r="K999" s="8"/>
      <c r="L999" s="8"/>
    </row>
  </sheetData>
  <mergeCells count="4">
    <mergeCell ref="A5:C6"/>
    <mergeCell ref="A13:B13"/>
    <mergeCell ref="A19:B19"/>
    <mergeCell ref="A26:B26"/>
  </mergeCells>
  <printOptions horizontalCentered="1"/>
  <pageMargins left="0.78740157480314965" right="0.59055118110236227" top="0.78740157480314965" bottom="0.78740157480314965" header="0" footer="0"/>
  <pageSetup paperSize="9" scale="90" orientation="portrait" r:id="rId1"/>
  <headerFooter>
    <oddHeader>&amp;L&amp;"Arial Narrow,Negrita"MUNICIPALIDAD DE VILLA MARÍA&amp;R&amp;"Arial Narrow,Negrita"PRESUPUESTO 2024</oddHeader>
    <oddFooter>&amp;R&amp;"Arial Narrow,Normal"&amp;P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R999"/>
  <sheetViews>
    <sheetView topLeftCell="A37" zoomScaleNormal="100" workbookViewId="0">
      <selection activeCell="D6" sqref="D6"/>
    </sheetView>
  </sheetViews>
  <sheetFormatPr baseColWidth="10" defaultColWidth="14.42578125" defaultRowHeight="15" customHeight="1"/>
  <cols>
    <col min="1" max="1" width="10.7109375" customWidth="1"/>
    <col min="2" max="2" width="50.7109375" customWidth="1"/>
    <col min="3" max="3" width="15.7109375" customWidth="1"/>
    <col min="4" max="4" width="10.7109375" customWidth="1"/>
    <col min="5" max="5" width="12.28515625" customWidth="1"/>
    <col min="6" max="6" width="12.5703125" customWidth="1"/>
    <col min="7" max="7" width="10.7109375" customWidth="1"/>
    <col min="8" max="8" width="14.28515625" customWidth="1"/>
    <col min="9" max="18" width="10.7109375" customWidth="1"/>
  </cols>
  <sheetData>
    <row r="1" spans="1:18" ht="15" customHeight="1" thickBot="1">
      <c r="A1" s="1555" t="s">
        <v>988</v>
      </c>
      <c r="B1" s="1556"/>
      <c r="C1" s="1557"/>
    </row>
    <row r="2" spans="1:18" ht="12.75" customHeight="1" thickBot="1">
      <c r="A2" s="4"/>
      <c r="B2" s="4"/>
      <c r="C2" s="3"/>
      <c r="D2" s="4"/>
      <c r="E2" s="4"/>
      <c r="F2" s="4"/>
      <c r="G2" s="4"/>
      <c r="H2" s="4"/>
      <c r="I2" s="4"/>
      <c r="J2" s="4"/>
      <c r="K2" s="4"/>
      <c r="L2" s="4"/>
      <c r="M2" s="4"/>
      <c r="N2" s="4"/>
      <c r="O2" s="4"/>
      <c r="P2" s="4"/>
      <c r="Q2" s="4"/>
      <c r="R2" s="4"/>
    </row>
    <row r="3" spans="1:18" ht="12.75" customHeight="1">
      <c r="A3" s="1116" t="s">
        <v>247</v>
      </c>
      <c r="B3" s="1135"/>
      <c r="C3" s="1129">
        <v>9001</v>
      </c>
      <c r="D3" s="4"/>
      <c r="E3" s="4"/>
      <c r="F3" s="4"/>
      <c r="G3" s="4"/>
      <c r="H3" s="4"/>
      <c r="I3" s="4"/>
      <c r="J3" s="4"/>
      <c r="K3" s="4"/>
      <c r="L3" s="4"/>
      <c r="M3" s="4"/>
      <c r="N3" s="4"/>
      <c r="O3" s="4"/>
      <c r="P3" s="4"/>
      <c r="Q3" s="4"/>
      <c r="R3" s="4"/>
    </row>
    <row r="4" spans="1:18" ht="12.75" customHeight="1" thickBot="1">
      <c r="A4" s="1118"/>
      <c r="B4" s="1136"/>
      <c r="C4" s="1130"/>
      <c r="D4" s="4"/>
      <c r="E4" s="4"/>
      <c r="F4" s="4"/>
      <c r="G4" s="4"/>
      <c r="H4" s="4"/>
      <c r="I4" s="4"/>
      <c r="J4" s="4"/>
      <c r="K4" s="4"/>
      <c r="L4" s="4"/>
      <c r="M4" s="4"/>
      <c r="N4" s="4"/>
      <c r="O4" s="4"/>
      <c r="P4" s="4"/>
      <c r="Q4" s="4"/>
      <c r="R4" s="4"/>
    </row>
    <row r="5" spans="1:18" ht="12.75" customHeight="1">
      <c r="A5" s="1291" t="s">
        <v>248</v>
      </c>
      <c r="B5" s="1465"/>
      <c r="C5" s="1466"/>
      <c r="D5" s="4"/>
      <c r="E5" s="4"/>
      <c r="F5" s="4"/>
      <c r="G5" s="4"/>
      <c r="H5" s="4"/>
      <c r="I5" s="4"/>
      <c r="J5" s="4"/>
      <c r="K5" s="4"/>
      <c r="L5" s="4"/>
      <c r="M5" s="4"/>
      <c r="N5" s="4"/>
      <c r="O5" s="4"/>
      <c r="P5" s="4"/>
      <c r="Q5" s="4"/>
      <c r="R5" s="4"/>
    </row>
    <row r="6" spans="1:18" ht="15.75" customHeight="1" thickBot="1">
      <c r="A6" s="1448"/>
      <c r="B6" s="1449"/>
      <c r="C6" s="1450"/>
      <c r="D6" s="4"/>
      <c r="E6" s="4"/>
      <c r="F6" s="4"/>
      <c r="G6" s="4"/>
      <c r="H6" s="4"/>
      <c r="I6" s="4"/>
      <c r="J6" s="4"/>
      <c r="K6" s="4"/>
      <c r="L6" s="4"/>
      <c r="M6" s="4"/>
      <c r="N6" s="4"/>
      <c r="O6" s="4"/>
      <c r="P6" s="4"/>
      <c r="Q6" s="4"/>
      <c r="R6" s="4"/>
    </row>
    <row r="7" spans="1:18" ht="12.75" customHeight="1">
      <c r="A7" s="1122" t="s">
        <v>671</v>
      </c>
      <c r="B7" s="1137"/>
      <c r="C7" s="1124"/>
      <c r="D7" s="23"/>
      <c r="E7" s="23"/>
      <c r="F7" s="23"/>
      <c r="G7" s="23"/>
      <c r="H7" s="23"/>
      <c r="I7" s="23"/>
      <c r="J7" s="23"/>
      <c r="K7" s="23"/>
      <c r="L7" s="23"/>
      <c r="M7" s="23"/>
      <c r="N7" s="23"/>
      <c r="O7" s="23"/>
      <c r="P7" s="23"/>
      <c r="Q7" s="23"/>
      <c r="R7" s="23"/>
    </row>
    <row r="8" spans="1:18" ht="12.75" customHeight="1">
      <c r="A8" s="1028" t="s">
        <v>249</v>
      </c>
      <c r="B8" s="808"/>
      <c r="C8" s="1029"/>
      <c r="D8" s="23"/>
      <c r="E8" s="23"/>
      <c r="F8" s="23"/>
      <c r="G8" s="23"/>
      <c r="H8" s="23"/>
      <c r="I8" s="23"/>
      <c r="J8" s="23"/>
      <c r="K8" s="23"/>
      <c r="L8" s="23"/>
      <c r="M8" s="23"/>
      <c r="N8" s="23"/>
      <c r="O8" s="23"/>
      <c r="P8" s="23"/>
      <c r="Q8" s="23"/>
      <c r="R8" s="23"/>
    </row>
    <row r="9" spans="1:18" ht="12.75" customHeight="1">
      <c r="A9" s="1028" t="s">
        <v>242</v>
      </c>
      <c r="B9" s="808"/>
      <c r="C9" s="1029"/>
      <c r="D9" s="23"/>
      <c r="E9" s="23"/>
      <c r="F9" s="23"/>
      <c r="G9" s="23"/>
      <c r="H9" s="23"/>
      <c r="I9" s="23"/>
      <c r="J9" s="23"/>
      <c r="K9" s="23"/>
      <c r="L9" s="23"/>
      <c r="M9" s="23"/>
      <c r="N9" s="23"/>
      <c r="O9" s="23"/>
      <c r="P9" s="23"/>
      <c r="Q9" s="23"/>
      <c r="R9" s="23"/>
    </row>
    <row r="10" spans="1:18" ht="12.75" customHeight="1" thickBot="1">
      <c r="A10" s="1125" t="s">
        <v>0</v>
      </c>
      <c r="B10" s="982"/>
      <c r="C10" s="1029"/>
      <c r="D10" s="23"/>
      <c r="E10" s="23"/>
      <c r="F10" s="23"/>
      <c r="G10" s="23"/>
      <c r="H10" s="23"/>
      <c r="I10" s="23"/>
      <c r="J10" s="23"/>
      <c r="K10" s="23"/>
      <c r="L10" s="23"/>
      <c r="M10" s="23"/>
      <c r="N10" s="23"/>
      <c r="O10" s="23"/>
      <c r="P10" s="23"/>
      <c r="Q10" s="23"/>
      <c r="R10" s="23"/>
    </row>
    <row r="11" spans="1:18" ht="12.75" customHeight="1" thickBot="1">
      <c r="A11" s="1126" t="s">
        <v>1</v>
      </c>
      <c r="B11" s="1138"/>
      <c r="C11" s="1144">
        <f>C13+C21+C30</f>
        <v>1740000</v>
      </c>
      <c r="D11" s="23"/>
      <c r="E11" s="23"/>
      <c r="F11" s="23"/>
      <c r="G11" s="23"/>
      <c r="H11" s="23"/>
      <c r="I11" s="23"/>
      <c r="J11" s="23"/>
      <c r="K11" s="23"/>
      <c r="L11" s="23"/>
      <c r="M11" s="23"/>
      <c r="N11" s="23"/>
      <c r="O11" s="23"/>
      <c r="P11" s="23"/>
      <c r="Q11" s="23"/>
      <c r="R11" s="23"/>
    </row>
    <row r="12" spans="1:18" ht="12.75" customHeight="1" thickBot="1">
      <c r="A12" s="4"/>
      <c r="B12" s="4"/>
      <c r="C12" s="3"/>
      <c r="D12" s="1106"/>
      <c r="E12" s="1106"/>
      <c r="F12" s="1106"/>
      <c r="G12" s="1106"/>
      <c r="H12" s="1106"/>
      <c r="I12" s="4"/>
      <c r="J12" s="4"/>
      <c r="K12" s="4"/>
      <c r="L12" s="4"/>
      <c r="M12" s="4"/>
      <c r="N12" s="4"/>
      <c r="O12" s="4"/>
      <c r="P12" s="4"/>
      <c r="Q12" s="4"/>
      <c r="R12" s="4"/>
    </row>
    <row r="13" spans="1:18" ht="12.75" customHeight="1" thickBot="1">
      <c r="A13" s="1297" t="s">
        <v>9</v>
      </c>
      <c r="B13" s="1281"/>
      <c r="C13" s="62">
        <f>C14+C16+C18</f>
        <v>320000</v>
      </c>
      <c r="D13" s="1107"/>
      <c r="E13" s="1107"/>
      <c r="F13" s="1107"/>
      <c r="G13" s="1107"/>
      <c r="H13" s="1107"/>
      <c r="I13" s="4"/>
      <c r="J13" s="4"/>
      <c r="K13" s="4"/>
      <c r="L13" s="4"/>
      <c r="M13" s="4"/>
      <c r="N13" s="4"/>
      <c r="O13" s="4"/>
      <c r="P13" s="4"/>
      <c r="Q13" s="4"/>
      <c r="R13" s="4"/>
    </row>
    <row r="14" spans="1:18" ht="12.75" customHeight="1">
      <c r="A14" s="48">
        <v>211203</v>
      </c>
      <c r="B14" s="48" t="s">
        <v>461</v>
      </c>
      <c r="C14" s="49">
        <f>SUM(C15)</f>
        <v>90000</v>
      </c>
      <c r="D14" s="1039"/>
      <c r="E14" s="1039"/>
      <c r="F14" s="1039"/>
      <c r="G14" s="1039"/>
      <c r="H14" s="1039"/>
      <c r="I14" s="4"/>
      <c r="J14" s="34"/>
      <c r="K14" s="34"/>
      <c r="L14" s="34"/>
      <c r="M14" s="34"/>
      <c r="N14" s="34"/>
      <c r="O14" s="34"/>
      <c r="P14" s="34"/>
      <c r="Q14" s="34"/>
      <c r="R14" s="34"/>
    </row>
    <row r="15" spans="1:18" ht="13.5" customHeight="1">
      <c r="A15" s="33">
        <v>21120302</v>
      </c>
      <c r="B15" s="23" t="s">
        <v>462</v>
      </c>
      <c r="C15" s="24">
        <v>90000</v>
      </c>
      <c r="D15" s="1039"/>
      <c r="E15" s="1039"/>
      <c r="F15" s="1039"/>
      <c r="G15" s="1039"/>
      <c r="H15" s="1039"/>
      <c r="I15" s="13"/>
      <c r="J15" s="23"/>
      <c r="K15" s="23"/>
      <c r="L15" s="23"/>
      <c r="M15" s="23"/>
      <c r="N15" s="23"/>
      <c r="O15" s="23"/>
      <c r="P15" s="23"/>
      <c r="Q15" s="23"/>
      <c r="R15" s="23"/>
    </row>
    <row r="16" spans="1:18" ht="13.5" customHeight="1">
      <c r="A16" s="48">
        <v>211204</v>
      </c>
      <c r="B16" s="21" t="s">
        <v>463</v>
      </c>
      <c r="C16" s="26">
        <f>SUM(C17)</f>
        <v>150000</v>
      </c>
      <c r="D16" s="1039"/>
      <c r="E16" s="1039"/>
      <c r="F16" s="1109"/>
      <c r="G16" s="1039"/>
      <c r="H16" s="1039"/>
      <c r="I16" s="34"/>
      <c r="J16" s="23"/>
      <c r="K16" s="23"/>
      <c r="L16" s="23"/>
      <c r="M16" s="23"/>
      <c r="N16" s="23"/>
      <c r="O16" s="23"/>
      <c r="P16" s="23"/>
      <c r="Q16" s="23"/>
      <c r="R16" s="23"/>
    </row>
    <row r="17" spans="1:18" ht="13.5" customHeight="1">
      <c r="A17" s="33">
        <v>21120401</v>
      </c>
      <c r="B17" s="24" t="s">
        <v>464</v>
      </c>
      <c r="C17" s="24">
        <v>150000</v>
      </c>
      <c r="D17" s="808"/>
      <c r="E17" s="808"/>
      <c r="F17" s="808"/>
      <c r="G17" s="808"/>
      <c r="H17" s="808"/>
      <c r="I17" s="23"/>
      <c r="J17" s="23"/>
      <c r="K17" s="23"/>
      <c r="L17" s="23"/>
      <c r="M17" s="23"/>
      <c r="N17" s="23"/>
      <c r="O17" s="23"/>
      <c r="P17" s="23"/>
      <c r="Q17" s="23"/>
      <c r="R17" s="23"/>
    </row>
    <row r="18" spans="1:18" ht="13.5" customHeight="1">
      <c r="A18" s="48">
        <v>211209</v>
      </c>
      <c r="B18" s="26" t="s">
        <v>477</v>
      </c>
      <c r="C18" s="26">
        <f>SUM(C19)</f>
        <v>80000</v>
      </c>
      <c r="D18" s="23"/>
      <c r="E18" s="23"/>
      <c r="F18" s="23"/>
      <c r="G18" s="23"/>
      <c r="H18" s="23"/>
      <c r="I18" s="23"/>
      <c r="J18" s="23"/>
      <c r="K18" s="23"/>
      <c r="L18" s="23"/>
      <c r="M18" s="23"/>
      <c r="N18" s="23"/>
      <c r="O18" s="23"/>
      <c r="P18" s="23"/>
      <c r="Q18" s="23"/>
      <c r="R18" s="23"/>
    </row>
    <row r="19" spans="1:18" ht="13.5" customHeight="1">
      <c r="A19" s="33">
        <v>21120906</v>
      </c>
      <c r="B19" s="24" t="s">
        <v>479</v>
      </c>
      <c r="C19" s="24">
        <v>80000</v>
      </c>
      <c r="D19" s="23"/>
      <c r="E19" s="23"/>
      <c r="F19" s="23"/>
      <c r="G19" s="23"/>
      <c r="H19" s="23"/>
      <c r="I19" s="23"/>
      <c r="J19" s="23"/>
      <c r="K19" s="23"/>
      <c r="L19" s="23"/>
      <c r="M19" s="23"/>
      <c r="N19" s="23"/>
      <c r="O19" s="23"/>
      <c r="P19" s="23"/>
      <c r="Q19" s="23"/>
      <c r="R19" s="23"/>
    </row>
    <row r="20" spans="1:18" ht="13.5" customHeight="1" thickBot="1">
      <c r="A20" s="23"/>
      <c r="B20" s="24"/>
      <c r="C20" s="24"/>
      <c r="D20" s="23"/>
      <c r="E20" s="23"/>
      <c r="F20" s="23"/>
      <c r="G20" s="23"/>
      <c r="H20" s="23"/>
      <c r="I20" s="23"/>
      <c r="J20" s="23"/>
      <c r="K20" s="23"/>
      <c r="L20" s="23"/>
      <c r="M20" s="23"/>
      <c r="N20" s="23"/>
      <c r="O20" s="23"/>
      <c r="P20" s="23"/>
      <c r="Q20" s="23"/>
      <c r="R20" s="23"/>
    </row>
    <row r="21" spans="1:18" ht="12.75" customHeight="1" thickBot="1">
      <c r="A21" s="1298" t="s">
        <v>4</v>
      </c>
      <c r="B21" s="1281"/>
      <c r="C21" s="64">
        <f>C22+C24+C26</f>
        <v>1260000</v>
      </c>
      <c r="D21" s="4"/>
      <c r="E21" s="4"/>
      <c r="F21" s="4"/>
      <c r="G21" s="4"/>
      <c r="H21" s="4"/>
      <c r="I21" s="4"/>
      <c r="J21" s="4"/>
      <c r="K21" s="4"/>
      <c r="L21" s="4"/>
      <c r="M21" s="4"/>
      <c r="N21" s="4"/>
      <c r="O21" s="4"/>
      <c r="P21" s="4"/>
      <c r="Q21" s="4"/>
      <c r="R21" s="4"/>
    </row>
    <row r="22" spans="1:18" ht="12.75" customHeight="1">
      <c r="A22" s="48">
        <v>211306</v>
      </c>
      <c r="B22" s="26" t="s">
        <v>492</v>
      </c>
      <c r="C22" s="26">
        <f>SUM(C23)</f>
        <v>230000</v>
      </c>
      <c r="D22" s="4"/>
      <c r="E22" s="4"/>
      <c r="F22" s="4"/>
      <c r="G22" s="4"/>
      <c r="H22" s="4"/>
      <c r="I22" s="4"/>
      <c r="J22" s="4"/>
      <c r="K22" s="4"/>
      <c r="L22" s="4"/>
      <c r="M22" s="4"/>
      <c r="N22" s="4"/>
      <c r="O22" s="4"/>
      <c r="P22" s="4"/>
      <c r="Q22" s="4"/>
      <c r="R22" s="4"/>
    </row>
    <row r="23" spans="1:18" ht="12.75" customHeight="1">
      <c r="A23" s="33">
        <v>21130607</v>
      </c>
      <c r="B23" s="24" t="s">
        <v>493</v>
      </c>
      <c r="C23" s="24">
        <v>230000</v>
      </c>
      <c r="D23" s="4"/>
      <c r="E23" s="4"/>
      <c r="F23" s="4"/>
      <c r="G23" s="4"/>
      <c r="H23" s="4"/>
      <c r="I23" s="4"/>
      <c r="J23" s="4"/>
      <c r="K23" s="4"/>
      <c r="L23" s="4"/>
      <c r="M23" s="4"/>
      <c r="N23" s="4"/>
      <c r="O23" s="4"/>
      <c r="P23" s="4"/>
      <c r="Q23" s="4"/>
      <c r="R23" s="4"/>
    </row>
    <row r="24" spans="1:18" ht="12.75" customHeight="1">
      <c r="A24" s="48">
        <v>211307</v>
      </c>
      <c r="B24" s="21" t="s">
        <v>494</v>
      </c>
      <c r="C24" s="26">
        <f>SUM(C25)</f>
        <v>260000</v>
      </c>
      <c r="D24" s="4"/>
      <c r="E24" s="4"/>
      <c r="F24" s="4"/>
      <c r="G24" s="4"/>
      <c r="H24" s="4"/>
      <c r="I24" s="4"/>
      <c r="J24" s="4"/>
      <c r="K24" s="4"/>
      <c r="L24" s="4"/>
      <c r="M24" s="4"/>
      <c r="N24" s="4"/>
      <c r="O24" s="4"/>
      <c r="P24" s="4"/>
      <c r="Q24" s="4"/>
      <c r="R24" s="4"/>
    </row>
    <row r="25" spans="1:18" ht="12.75" customHeight="1">
      <c r="A25" s="33">
        <v>21130701</v>
      </c>
      <c r="B25" s="23" t="s">
        <v>495</v>
      </c>
      <c r="C25" s="24">
        <v>260000</v>
      </c>
      <c r="D25" s="4"/>
      <c r="E25" s="4"/>
      <c r="F25" s="4"/>
      <c r="G25" s="4"/>
      <c r="H25" s="4"/>
      <c r="I25" s="4"/>
      <c r="J25" s="4"/>
      <c r="K25" s="4"/>
      <c r="L25" s="4"/>
      <c r="M25" s="4"/>
      <c r="N25" s="4"/>
      <c r="O25" s="4"/>
      <c r="P25" s="4"/>
      <c r="Q25" s="4"/>
      <c r="R25" s="4"/>
    </row>
    <row r="26" spans="1:18" ht="12.75" customHeight="1">
      <c r="A26" s="48">
        <v>211309</v>
      </c>
      <c r="B26" s="26" t="s">
        <v>496</v>
      </c>
      <c r="C26" s="26">
        <f>SUM(C27:C28)</f>
        <v>770000</v>
      </c>
      <c r="D26" s="4"/>
      <c r="E26" s="4"/>
      <c r="F26" s="4"/>
      <c r="G26" s="4"/>
      <c r="H26" s="4"/>
      <c r="I26" s="4"/>
      <c r="J26" s="4"/>
      <c r="K26" s="4"/>
      <c r="L26" s="4"/>
      <c r="M26" s="4"/>
      <c r="N26" s="4"/>
      <c r="O26" s="4"/>
      <c r="P26" s="4"/>
      <c r="Q26" s="4"/>
      <c r="R26" s="4"/>
    </row>
    <row r="27" spans="1:18" ht="12.75" customHeight="1">
      <c r="A27" s="33">
        <v>21130901</v>
      </c>
      <c r="B27" s="24" t="s">
        <v>497</v>
      </c>
      <c r="C27" s="24">
        <v>580000</v>
      </c>
      <c r="D27" s="4"/>
      <c r="E27" s="4"/>
      <c r="F27" s="4"/>
      <c r="G27" s="4"/>
      <c r="H27" s="4"/>
      <c r="I27" s="4"/>
      <c r="J27" s="4"/>
      <c r="K27" s="4"/>
      <c r="L27" s="4"/>
      <c r="M27" s="4"/>
      <c r="N27" s="4"/>
      <c r="O27" s="4"/>
      <c r="P27" s="4"/>
      <c r="Q27" s="4"/>
      <c r="R27" s="4"/>
    </row>
    <row r="28" spans="1:18" ht="12.75" customHeight="1">
      <c r="A28" s="33">
        <v>21130908</v>
      </c>
      <c r="B28" s="24" t="s">
        <v>500</v>
      </c>
      <c r="C28" s="24">
        <v>190000</v>
      </c>
      <c r="D28" s="4"/>
      <c r="E28" s="4"/>
      <c r="F28" s="4"/>
      <c r="G28" s="4"/>
      <c r="H28" s="4"/>
      <c r="I28" s="4"/>
      <c r="J28" s="4"/>
      <c r="K28" s="4"/>
      <c r="L28" s="4"/>
      <c r="M28" s="4"/>
      <c r="N28" s="4"/>
      <c r="O28" s="4"/>
      <c r="P28" s="4"/>
      <c r="Q28" s="4"/>
      <c r="R28" s="4"/>
    </row>
    <row r="29" spans="1:18" ht="13.5" customHeight="1" thickBot="1">
      <c r="A29" s="23"/>
      <c r="B29" s="23"/>
      <c r="C29" s="24"/>
      <c r="D29" s="23"/>
      <c r="E29" s="23"/>
      <c r="F29" s="23"/>
      <c r="G29" s="23"/>
      <c r="H29" s="23"/>
      <c r="I29" s="23"/>
      <c r="J29" s="23"/>
      <c r="K29" s="23"/>
      <c r="L29" s="23"/>
      <c r="M29" s="23"/>
      <c r="N29" s="23"/>
      <c r="O29" s="23"/>
      <c r="P29" s="23"/>
      <c r="Q29" s="23"/>
      <c r="R29" s="23"/>
    </row>
    <row r="30" spans="1:18" ht="12.75" customHeight="1" thickBot="1">
      <c r="A30" s="1299" t="s">
        <v>48</v>
      </c>
      <c r="B30" s="1281"/>
      <c r="C30" s="65">
        <f>C31+C33</f>
        <v>160000</v>
      </c>
      <c r="D30" s="4"/>
      <c r="E30" s="4"/>
      <c r="F30" s="4"/>
      <c r="G30" s="4"/>
      <c r="H30" s="4"/>
      <c r="I30" s="4"/>
      <c r="J30" s="4"/>
      <c r="K30" s="4"/>
      <c r="L30" s="4"/>
      <c r="M30" s="4"/>
      <c r="N30" s="4"/>
      <c r="O30" s="4"/>
      <c r="P30" s="4"/>
      <c r="Q30" s="4"/>
      <c r="R30" s="4"/>
    </row>
    <row r="31" spans="1:18" ht="12.75" customHeight="1">
      <c r="A31" s="48">
        <v>221104</v>
      </c>
      <c r="B31" s="26" t="s">
        <v>510</v>
      </c>
      <c r="C31" s="26">
        <f>SUM(C32)</f>
        <v>100000</v>
      </c>
      <c r="D31" s="4"/>
      <c r="E31" s="4"/>
      <c r="F31" s="4"/>
      <c r="G31" s="4"/>
      <c r="H31" s="4"/>
      <c r="I31" s="4"/>
      <c r="J31" s="4"/>
      <c r="K31" s="4"/>
      <c r="L31" s="4"/>
      <c r="M31" s="4"/>
      <c r="N31" s="4"/>
      <c r="O31" s="4"/>
      <c r="P31" s="4"/>
      <c r="Q31" s="4"/>
      <c r="R31" s="4"/>
    </row>
    <row r="32" spans="1:18" ht="12.75" customHeight="1">
      <c r="A32" s="33">
        <v>22110401</v>
      </c>
      <c r="B32" s="23" t="s">
        <v>511</v>
      </c>
      <c r="C32" s="24">
        <v>100000</v>
      </c>
      <c r="D32" s="4"/>
      <c r="E32" s="4"/>
      <c r="F32" s="4"/>
      <c r="G32" s="4"/>
      <c r="H32" s="4"/>
      <c r="I32" s="4"/>
      <c r="J32" s="4"/>
      <c r="K32" s="4"/>
      <c r="L32" s="4"/>
      <c r="M32" s="4"/>
      <c r="N32" s="4"/>
      <c r="O32" s="4"/>
      <c r="P32" s="4"/>
      <c r="Q32" s="4"/>
      <c r="R32" s="4"/>
    </row>
    <row r="33" spans="1:18" ht="12.75" customHeight="1">
      <c r="A33" s="48">
        <v>221107</v>
      </c>
      <c r="B33" s="26" t="s">
        <v>514</v>
      </c>
      <c r="C33" s="49">
        <f>SUM(C34)</f>
        <v>60000</v>
      </c>
      <c r="D33" s="34"/>
      <c r="E33" s="34"/>
      <c r="F33" s="34"/>
      <c r="G33" s="34"/>
      <c r="H33" s="34"/>
      <c r="I33" s="34"/>
      <c r="J33" s="34"/>
      <c r="K33" s="34"/>
      <c r="L33" s="34"/>
      <c r="M33" s="34"/>
      <c r="N33" s="34"/>
      <c r="O33" s="34"/>
      <c r="P33" s="34"/>
      <c r="Q33" s="34"/>
      <c r="R33" s="34"/>
    </row>
    <row r="34" spans="1:18" ht="12.75" customHeight="1">
      <c r="A34" s="33">
        <v>22110702</v>
      </c>
      <c r="B34" s="24" t="s">
        <v>515</v>
      </c>
      <c r="C34" s="24">
        <v>60000</v>
      </c>
      <c r="D34" s="4"/>
      <c r="E34" s="4"/>
      <c r="F34" s="4"/>
      <c r="G34" s="4"/>
      <c r="H34" s="4"/>
      <c r="I34" s="4"/>
      <c r="J34" s="4"/>
      <c r="K34" s="4"/>
      <c r="L34" s="4"/>
      <c r="M34" s="4"/>
      <c r="N34" s="4"/>
      <c r="O34" s="4"/>
      <c r="P34" s="4"/>
      <c r="Q34" s="4"/>
      <c r="R34" s="4"/>
    </row>
    <row r="35" spans="1:18" ht="12.75" customHeight="1">
      <c r="A35" s="4"/>
      <c r="B35" s="4"/>
      <c r="C35" s="3"/>
      <c r="D35" s="4"/>
      <c r="E35" s="4"/>
      <c r="F35" s="4"/>
      <c r="G35" s="4"/>
      <c r="H35" s="4"/>
      <c r="I35" s="4"/>
      <c r="J35" s="4"/>
      <c r="K35" s="4"/>
      <c r="L35" s="4"/>
      <c r="M35" s="4"/>
      <c r="N35" s="4"/>
      <c r="O35" s="4"/>
      <c r="P35" s="4"/>
      <c r="Q35" s="4"/>
      <c r="R35" s="4"/>
    </row>
    <row r="36" spans="1:18" ht="12.75" customHeight="1">
      <c r="A36" s="4"/>
      <c r="B36" s="4"/>
      <c r="C36" s="3"/>
      <c r="D36" s="4"/>
      <c r="E36" s="4"/>
      <c r="F36" s="4"/>
      <c r="G36" s="4"/>
      <c r="H36" s="4"/>
      <c r="I36" s="4"/>
      <c r="J36" s="4"/>
      <c r="K36" s="4"/>
      <c r="L36" s="4"/>
      <c r="M36" s="4"/>
      <c r="N36" s="4"/>
      <c r="O36" s="4"/>
      <c r="P36" s="4"/>
      <c r="Q36" s="4"/>
      <c r="R36" s="4"/>
    </row>
    <row r="37" spans="1:18" ht="12.75" customHeight="1">
      <c r="A37" s="4"/>
      <c r="B37" s="4"/>
      <c r="C37" s="3"/>
      <c r="D37" s="4"/>
      <c r="E37" s="4"/>
      <c r="F37" s="4"/>
      <c r="G37" s="4"/>
      <c r="H37" s="4"/>
      <c r="I37" s="4"/>
      <c r="J37" s="4"/>
      <c r="K37" s="4"/>
      <c r="L37" s="4"/>
      <c r="M37" s="4"/>
      <c r="N37" s="4"/>
      <c r="O37" s="4"/>
      <c r="P37" s="4"/>
      <c r="Q37" s="4"/>
      <c r="R37" s="4"/>
    </row>
    <row r="38" spans="1:18" ht="12.75" customHeight="1">
      <c r="A38" s="4"/>
      <c r="B38" s="4"/>
      <c r="C38" s="3"/>
      <c r="D38" s="4"/>
      <c r="E38" s="4"/>
      <c r="F38" s="4"/>
      <c r="G38" s="4"/>
      <c r="H38" s="4"/>
      <c r="I38" s="4"/>
      <c r="J38" s="4"/>
      <c r="K38" s="4"/>
      <c r="L38" s="4"/>
      <c r="M38" s="4"/>
      <c r="N38" s="4"/>
      <c r="O38" s="4"/>
      <c r="P38" s="4"/>
      <c r="Q38" s="4"/>
      <c r="R38" s="4"/>
    </row>
    <row r="39" spans="1:18" ht="12.75" customHeight="1">
      <c r="A39" s="4"/>
      <c r="B39" s="4"/>
      <c r="C39" s="3"/>
      <c r="D39" s="4"/>
      <c r="E39" s="4"/>
      <c r="F39" s="4"/>
      <c r="G39" s="4"/>
      <c r="H39" s="4"/>
      <c r="I39" s="4"/>
      <c r="J39" s="4"/>
      <c r="K39" s="4"/>
      <c r="L39" s="4"/>
      <c r="M39" s="4"/>
      <c r="N39" s="4"/>
      <c r="O39" s="4"/>
      <c r="P39" s="4"/>
      <c r="Q39" s="4"/>
      <c r="R39" s="4"/>
    </row>
    <row r="40" spans="1:18" ht="12.75" customHeight="1">
      <c r="A40" s="4"/>
      <c r="B40" s="4"/>
      <c r="C40" s="3"/>
      <c r="D40" s="4"/>
      <c r="E40" s="4"/>
      <c r="F40" s="4"/>
      <c r="G40" s="4"/>
      <c r="H40" s="4"/>
      <c r="I40" s="4"/>
      <c r="J40" s="4"/>
      <c r="K40" s="4"/>
      <c r="L40" s="4"/>
      <c r="M40" s="4"/>
      <c r="N40" s="4"/>
      <c r="O40" s="4"/>
      <c r="P40" s="4"/>
      <c r="Q40" s="4"/>
      <c r="R40" s="4"/>
    </row>
    <row r="41" spans="1:18" ht="12.75" customHeight="1">
      <c r="A41" s="4"/>
      <c r="B41" s="4"/>
      <c r="C41" s="3"/>
      <c r="D41" s="4"/>
      <c r="E41" s="4"/>
      <c r="F41" s="4"/>
      <c r="G41" s="4"/>
      <c r="H41" s="4"/>
      <c r="I41" s="4"/>
      <c r="J41" s="4"/>
      <c r="K41" s="4"/>
      <c r="L41" s="4"/>
      <c r="M41" s="4"/>
      <c r="N41" s="4"/>
      <c r="O41" s="4"/>
      <c r="P41" s="4"/>
      <c r="Q41" s="4"/>
      <c r="R41" s="4"/>
    </row>
    <row r="42" spans="1:18" ht="12.75" customHeight="1">
      <c r="A42" s="4"/>
      <c r="B42" s="4"/>
      <c r="C42" s="3"/>
      <c r="D42" s="4"/>
      <c r="E42" s="4"/>
      <c r="F42" s="4"/>
      <c r="G42" s="4"/>
      <c r="H42" s="4"/>
      <c r="I42" s="4"/>
      <c r="J42" s="4"/>
      <c r="K42" s="4"/>
      <c r="L42" s="4"/>
      <c r="M42" s="4"/>
      <c r="N42" s="4"/>
      <c r="O42" s="4"/>
      <c r="P42" s="4"/>
      <c r="Q42" s="4"/>
      <c r="R42" s="4"/>
    </row>
    <row r="43" spans="1:18" ht="12.75" customHeight="1">
      <c r="A43" s="4"/>
      <c r="B43" s="4"/>
      <c r="C43" s="3"/>
      <c r="D43" s="4"/>
      <c r="E43" s="4"/>
      <c r="F43" s="4"/>
      <c r="G43" s="4"/>
      <c r="H43" s="4"/>
      <c r="I43" s="4"/>
      <c r="J43" s="4"/>
      <c r="K43" s="4"/>
      <c r="L43" s="4"/>
      <c r="M43" s="4"/>
      <c r="N43" s="4"/>
      <c r="O43" s="4"/>
      <c r="P43" s="4"/>
      <c r="Q43" s="4"/>
      <c r="R43" s="4"/>
    </row>
    <row r="44" spans="1:18" ht="12.75" customHeight="1">
      <c r="A44" s="4"/>
      <c r="B44" s="4"/>
      <c r="C44" s="3"/>
      <c r="D44" s="4"/>
      <c r="E44" s="4"/>
      <c r="F44" s="4"/>
      <c r="G44" s="4"/>
      <c r="H44" s="4"/>
      <c r="I44" s="4"/>
      <c r="J44" s="4"/>
      <c r="K44" s="4"/>
      <c r="L44" s="4"/>
      <c r="M44" s="4"/>
      <c r="N44" s="4"/>
      <c r="O44" s="4"/>
      <c r="P44" s="4"/>
      <c r="Q44" s="4"/>
      <c r="R44" s="4"/>
    </row>
    <row r="45" spans="1:18" ht="12.75" customHeight="1">
      <c r="A45" s="4"/>
      <c r="B45" s="4"/>
      <c r="C45" s="3"/>
      <c r="D45" s="4"/>
      <c r="E45" s="4"/>
      <c r="F45" s="4"/>
      <c r="G45" s="4"/>
      <c r="H45" s="4"/>
      <c r="I45" s="4"/>
      <c r="J45" s="4"/>
      <c r="K45" s="4"/>
      <c r="L45" s="4"/>
      <c r="M45" s="4"/>
      <c r="N45" s="4"/>
      <c r="O45" s="4"/>
      <c r="P45" s="4"/>
      <c r="Q45" s="4"/>
      <c r="R45" s="4"/>
    </row>
    <row r="46" spans="1:18" ht="12.75" customHeight="1">
      <c r="A46" s="4"/>
      <c r="B46" s="4"/>
      <c r="C46" s="3"/>
      <c r="D46" s="4"/>
      <c r="E46" s="4"/>
      <c r="F46" s="4"/>
      <c r="G46" s="4"/>
      <c r="H46" s="4"/>
      <c r="I46" s="4"/>
      <c r="J46" s="4"/>
      <c r="K46" s="4"/>
      <c r="L46" s="4"/>
      <c r="M46" s="4"/>
      <c r="N46" s="4"/>
      <c r="O46" s="4"/>
      <c r="P46" s="4"/>
      <c r="Q46" s="4"/>
      <c r="R46" s="4"/>
    </row>
    <row r="47" spans="1:18" ht="12.75" customHeight="1">
      <c r="A47" s="4"/>
      <c r="B47" s="4"/>
      <c r="C47" s="3"/>
      <c r="D47" s="4"/>
      <c r="E47" s="4"/>
      <c r="F47" s="4"/>
      <c r="G47" s="4"/>
      <c r="H47" s="4"/>
      <c r="I47" s="4"/>
      <c r="J47" s="4"/>
      <c r="K47" s="4"/>
      <c r="L47" s="4"/>
      <c r="M47" s="4"/>
      <c r="N47" s="4"/>
      <c r="O47" s="4"/>
      <c r="P47" s="4"/>
      <c r="Q47" s="4"/>
      <c r="R47" s="4"/>
    </row>
    <row r="48" spans="1:18" ht="12.75" customHeight="1">
      <c r="A48" s="4"/>
      <c r="B48" s="4"/>
      <c r="C48" s="3"/>
      <c r="D48" s="4"/>
      <c r="E48" s="4"/>
      <c r="F48" s="4"/>
      <c r="G48" s="4"/>
      <c r="H48" s="4"/>
      <c r="I48" s="4"/>
      <c r="J48" s="4"/>
      <c r="K48" s="4"/>
      <c r="L48" s="4"/>
      <c r="M48" s="4"/>
      <c r="N48" s="4"/>
      <c r="O48" s="4"/>
      <c r="P48" s="4"/>
      <c r="Q48" s="4"/>
      <c r="R48" s="4"/>
    </row>
    <row r="49" spans="1:18" ht="12.75" customHeight="1">
      <c r="A49" s="4"/>
      <c r="B49" s="4"/>
      <c r="C49" s="3"/>
      <c r="D49" s="4"/>
      <c r="E49" s="4"/>
      <c r="F49" s="4"/>
      <c r="G49" s="4"/>
      <c r="H49" s="4"/>
      <c r="I49" s="4"/>
      <c r="J49" s="4"/>
      <c r="K49" s="4"/>
      <c r="L49" s="4"/>
      <c r="M49" s="4"/>
      <c r="N49" s="4"/>
      <c r="O49" s="4"/>
      <c r="P49" s="4"/>
      <c r="Q49" s="4"/>
      <c r="R49" s="4"/>
    </row>
    <row r="50" spans="1:18" ht="12.75" customHeight="1">
      <c r="A50" s="4"/>
      <c r="B50" s="4"/>
      <c r="C50" s="3"/>
      <c r="D50" s="4"/>
      <c r="E50" s="4"/>
      <c r="F50" s="4"/>
      <c r="G50" s="4"/>
      <c r="H50" s="4"/>
      <c r="I50" s="4"/>
      <c r="J50" s="4"/>
      <c r="K50" s="4"/>
      <c r="L50" s="4"/>
      <c r="M50" s="4"/>
      <c r="N50" s="4"/>
      <c r="O50" s="4"/>
      <c r="P50" s="4"/>
      <c r="Q50" s="4"/>
      <c r="R50" s="4"/>
    </row>
    <row r="51" spans="1:18" ht="12.75" customHeight="1">
      <c r="A51" s="4"/>
      <c r="B51" s="4"/>
      <c r="C51" s="3"/>
      <c r="D51" s="4"/>
      <c r="E51" s="4"/>
      <c r="F51" s="4"/>
      <c r="G51" s="4"/>
      <c r="H51" s="4"/>
      <c r="I51" s="4"/>
      <c r="J51" s="4"/>
      <c r="K51" s="4"/>
      <c r="L51" s="4"/>
      <c r="M51" s="4"/>
      <c r="N51" s="4"/>
      <c r="O51" s="4"/>
      <c r="P51" s="4"/>
      <c r="Q51" s="4"/>
      <c r="R51" s="4"/>
    </row>
    <row r="52" spans="1:18" ht="12.75" customHeight="1">
      <c r="A52" s="4"/>
      <c r="B52" s="4"/>
      <c r="C52" s="3"/>
      <c r="D52" s="4"/>
      <c r="E52" s="4"/>
      <c r="F52" s="4"/>
      <c r="G52" s="4"/>
      <c r="H52" s="4"/>
      <c r="I52" s="4"/>
      <c r="J52" s="4"/>
      <c r="K52" s="4"/>
      <c r="L52" s="4"/>
      <c r="M52" s="4"/>
      <c r="N52" s="4"/>
      <c r="O52" s="4"/>
      <c r="P52" s="4"/>
      <c r="Q52" s="4"/>
      <c r="R52" s="4"/>
    </row>
    <row r="53" spans="1:18" ht="12.75" customHeight="1">
      <c r="A53" s="4"/>
      <c r="B53" s="4"/>
      <c r="C53" s="3"/>
      <c r="D53" s="4"/>
      <c r="E53" s="4"/>
      <c r="F53" s="4"/>
      <c r="G53" s="4"/>
      <c r="H53" s="4"/>
      <c r="I53" s="4"/>
      <c r="J53" s="4"/>
      <c r="K53" s="4"/>
      <c r="L53" s="4"/>
      <c r="M53" s="4"/>
      <c r="N53" s="4"/>
      <c r="O53" s="4"/>
      <c r="P53" s="4"/>
      <c r="Q53" s="4"/>
      <c r="R53" s="4"/>
    </row>
    <row r="54" spans="1:18" ht="12.75" customHeight="1">
      <c r="A54" s="4"/>
      <c r="B54" s="4"/>
      <c r="C54" s="3"/>
      <c r="D54" s="4"/>
      <c r="E54" s="4"/>
      <c r="F54" s="4"/>
      <c r="G54" s="4"/>
      <c r="H54" s="4"/>
      <c r="I54" s="4"/>
      <c r="J54" s="4"/>
      <c r="K54" s="4"/>
      <c r="L54" s="4"/>
      <c r="M54" s="4"/>
      <c r="N54" s="4"/>
      <c r="O54" s="4"/>
      <c r="P54" s="4"/>
      <c r="Q54" s="4"/>
      <c r="R54" s="4"/>
    </row>
    <row r="55" spans="1:18" ht="12.75" customHeight="1">
      <c r="A55" s="4"/>
      <c r="B55" s="4"/>
      <c r="C55" s="3"/>
      <c r="D55" s="4"/>
      <c r="E55" s="4"/>
      <c r="F55" s="4"/>
      <c r="G55" s="4"/>
      <c r="H55" s="4"/>
      <c r="I55" s="4"/>
      <c r="J55" s="4"/>
      <c r="K55" s="4"/>
      <c r="L55" s="4"/>
      <c r="M55" s="4"/>
      <c r="N55" s="4"/>
      <c r="O55" s="4"/>
      <c r="P55" s="4"/>
      <c r="Q55" s="4"/>
      <c r="R55" s="4"/>
    </row>
    <row r="56" spans="1:18" ht="12.75" customHeight="1">
      <c r="A56" s="4"/>
      <c r="B56" s="4"/>
      <c r="C56" s="3"/>
      <c r="D56" s="4"/>
      <c r="E56" s="4"/>
      <c r="F56" s="4"/>
      <c r="G56" s="4"/>
      <c r="H56" s="4"/>
      <c r="I56" s="4"/>
      <c r="J56" s="4"/>
      <c r="K56" s="4"/>
      <c r="L56" s="4"/>
      <c r="M56" s="4"/>
      <c r="N56" s="4"/>
      <c r="O56" s="4"/>
      <c r="P56" s="4"/>
      <c r="Q56" s="4"/>
      <c r="R56" s="4"/>
    </row>
    <row r="57" spans="1:18" ht="12.75" customHeight="1">
      <c r="A57" s="4"/>
      <c r="B57" s="4"/>
      <c r="C57" s="3"/>
      <c r="D57" s="4"/>
      <c r="E57" s="4"/>
      <c r="F57" s="4"/>
      <c r="G57" s="4"/>
      <c r="H57" s="4"/>
      <c r="I57" s="4"/>
      <c r="J57" s="4"/>
      <c r="K57" s="4"/>
      <c r="L57" s="4"/>
      <c r="M57" s="4"/>
      <c r="N57" s="4"/>
      <c r="O57" s="4"/>
      <c r="P57" s="4"/>
      <c r="Q57" s="4"/>
      <c r="R57" s="4"/>
    </row>
    <row r="58" spans="1:18" ht="12.75" customHeight="1">
      <c r="A58" s="4"/>
      <c r="B58" s="4"/>
      <c r="C58" s="3"/>
      <c r="D58" s="4"/>
      <c r="E58" s="4"/>
      <c r="F58" s="4"/>
      <c r="G58" s="4"/>
      <c r="H58" s="4"/>
      <c r="I58" s="4"/>
      <c r="J58" s="4"/>
      <c r="K58" s="4"/>
      <c r="L58" s="4"/>
      <c r="M58" s="4"/>
      <c r="N58" s="4"/>
      <c r="O58" s="4"/>
      <c r="P58" s="4"/>
      <c r="Q58" s="4"/>
      <c r="R58" s="4"/>
    </row>
    <row r="59" spans="1:18" ht="12.75" customHeight="1">
      <c r="A59" s="4"/>
      <c r="B59" s="4"/>
      <c r="C59" s="3"/>
      <c r="D59" s="4"/>
      <c r="E59" s="4"/>
      <c r="F59" s="4"/>
      <c r="G59" s="4"/>
      <c r="H59" s="4"/>
      <c r="I59" s="4"/>
      <c r="J59" s="4"/>
      <c r="K59" s="4"/>
      <c r="L59" s="4"/>
      <c r="M59" s="4"/>
      <c r="N59" s="4"/>
      <c r="O59" s="4"/>
      <c r="P59" s="4"/>
      <c r="Q59" s="4"/>
      <c r="R59" s="4"/>
    </row>
    <row r="60" spans="1:18" ht="12.75" customHeight="1">
      <c r="A60" s="4"/>
      <c r="B60" s="4"/>
      <c r="C60" s="3"/>
      <c r="D60" s="4"/>
      <c r="E60" s="4"/>
      <c r="F60" s="4"/>
      <c r="G60" s="4"/>
      <c r="H60" s="4"/>
      <c r="I60" s="4"/>
      <c r="J60" s="4"/>
      <c r="K60" s="4"/>
      <c r="L60" s="4"/>
      <c r="M60" s="4"/>
      <c r="N60" s="4"/>
      <c r="O60" s="4"/>
      <c r="P60" s="4"/>
      <c r="Q60" s="4"/>
      <c r="R60" s="4"/>
    </row>
    <row r="61" spans="1:18" ht="12.75" customHeight="1">
      <c r="A61" s="4"/>
      <c r="B61" s="4"/>
      <c r="C61" s="3"/>
      <c r="D61" s="4"/>
      <c r="E61" s="4"/>
      <c r="F61" s="4"/>
      <c r="G61" s="4"/>
      <c r="H61" s="4"/>
      <c r="I61" s="4"/>
      <c r="J61" s="4"/>
      <c r="K61" s="4"/>
      <c r="L61" s="4"/>
      <c r="M61" s="4"/>
      <c r="N61" s="4"/>
      <c r="O61" s="4"/>
      <c r="P61" s="4"/>
      <c r="Q61" s="4"/>
      <c r="R61" s="4"/>
    </row>
    <row r="62" spans="1:18" ht="12.75" customHeight="1">
      <c r="A62" s="4"/>
      <c r="B62" s="4"/>
      <c r="C62" s="3"/>
      <c r="D62" s="4"/>
      <c r="E62" s="4"/>
      <c r="F62" s="4"/>
      <c r="G62" s="4"/>
      <c r="H62" s="4"/>
      <c r="I62" s="4"/>
      <c r="J62" s="4"/>
      <c r="K62" s="4"/>
      <c r="L62" s="4"/>
      <c r="M62" s="4"/>
      <c r="N62" s="4"/>
      <c r="O62" s="4"/>
      <c r="P62" s="4"/>
      <c r="Q62" s="4"/>
      <c r="R62" s="4"/>
    </row>
    <row r="63" spans="1:18" ht="12.75" customHeight="1">
      <c r="A63" s="4"/>
      <c r="B63" s="4"/>
      <c r="C63" s="3"/>
      <c r="D63" s="4"/>
      <c r="E63" s="4"/>
      <c r="F63" s="4"/>
      <c r="G63" s="4"/>
      <c r="H63" s="4"/>
      <c r="I63" s="4"/>
      <c r="J63" s="4"/>
      <c r="K63" s="4"/>
      <c r="L63" s="4"/>
      <c r="M63" s="4"/>
      <c r="N63" s="4"/>
      <c r="O63" s="4"/>
      <c r="P63" s="4"/>
      <c r="Q63" s="4"/>
      <c r="R63" s="4"/>
    </row>
    <row r="64" spans="1:18" ht="12.75" customHeight="1">
      <c r="A64" s="4"/>
      <c r="B64" s="4"/>
      <c r="C64" s="3"/>
      <c r="D64" s="4"/>
      <c r="E64" s="4"/>
      <c r="F64" s="4"/>
      <c r="G64" s="4"/>
      <c r="H64" s="4"/>
      <c r="I64" s="4"/>
      <c r="J64" s="4"/>
      <c r="K64" s="4"/>
      <c r="L64" s="4"/>
      <c r="M64" s="4"/>
      <c r="N64" s="4"/>
      <c r="O64" s="4"/>
      <c r="P64" s="4"/>
      <c r="Q64" s="4"/>
      <c r="R64" s="4"/>
    </row>
    <row r="65" spans="1:18" ht="12.75" customHeight="1">
      <c r="A65" s="4"/>
      <c r="B65" s="4"/>
      <c r="C65" s="3"/>
      <c r="D65" s="4"/>
      <c r="E65" s="4"/>
      <c r="F65" s="4"/>
      <c r="G65" s="4"/>
      <c r="H65" s="4"/>
      <c r="I65" s="4"/>
      <c r="J65" s="4"/>
      <c r="K65" s="4"/>
      <c r="L65" s="4"/>
      <c r="M65" s="4"/>
      <c r="N65" s="4"/>
      <c r="O65" s="4"/>
      <c r="P65" s="4"/>
      <c r="Q65" s="4"/>
      <c r="R65" s="4"/>
    </row>
    <row r="66" spans="1:18" ht="12.75" customHeight="1">
      <c r="A66" s="4"/>
      <c r="B66" s="4"/>
      <c r="C66" s="3"/>
      <c r="D66" s="4"/>
      <c r="E66" s="4"/>
      <c r="F66" s="4"/>
      <c r="G66" s="4"/>
      <c r="H66" s="4"/>
      <c r="I66" s="4"/>
      <c r="J66" s="4"/>
      <c r="K66" s="4"/>
      <c r="L66" s="4"/>
      <c r="M66" s="4"/>
      <c r="N66" s="4"/>
      <c r="O66" s="4"/>
      <c r="P66" s="4"/>
      <c r="Q66" s="4"/>
      <c r="R66" s="4"/>
    </row>
    <row r="67" spans="1:18" ht="12.75" customHeight="1">
      <c r="A67" s="4"/>
      <c r="B67" s="4"/>
      <c r="C67" s="3"/>
      <c r="D67" s="4"/>
      <c r="E67" s="4"/>
      <c r="F67" s="4"/>
      <c r="G67" s="4"/>
      <c r="H67" s="4"/>
      <c r="I67" s="4"/>
      <c r="J67" s="4"/>
      <c r="K67" s="4"/>
      <c r="L67" s="4"/>
      <c r="M67" s="4"/>
      <c r="N67" s="4"/>
      <c r="O67" s="4"/>
      <c r="P67" s="4"/>
      <c r="Q67" s="4"/>
      <c r="R67" s="4"/>
    </row>
    <row r="68" spans="1:18" ht="12.75" customHeight="1">
      <c r="A68" s="4"/>
      <c r="B68" s="4"/>
      <c r="C68" s="3"/>
      <c r="D68" s="4"/>
      <c r="E68" s="4"/>
      <c r="F68" s="4"/>
      <c r="G68" s="4"/>
      <c r="H68" s="4"/>
      <c r="I68" s="4"/>
      <c r="J68" s="4"/>
      <c r="K68" s="4"/>
      <c r="L68" s="4"/>
      <c r="M68" s="4"/>
      <c r="N68" s="4"/>
      <c r="O68" s="4"/>
      <c r="P68" s="4"/>
      <c r="Q68" s="4"/>
      <c r="R68" s="4"/>
    </row>
    <row r="69" spans="1:18" ht="12.75" customHeight="1">
      <c r="A69" s="4"/>
      <c r="B69" s="4"/>
      <c r="C69" s="3"/>
      <c r="D69" s="4"/>
      <c r="E69" s="4"/>
      <c r="F69" s="4"/>
      <c r="G69" s="4"/>
      <c r="H69" s="4"/>
      <c r="I69" s="4"/>
      <c r="J69" s="4"/>
      <c r="K69" s="4"/>
      <c r="L69" s="4"/>
      <c r="M69" s="4"/>
      <c r="N69" s="4"/>
      <c r="O69" s="4"/>
      <c r="P69" s="4"/>
      <c r="Q69" s="4"/>
      <c r="R69" s="4"/>
    </row>
    <row r="70" spans="1:18" ht="12.75" customHeight="1">
      <c r="A70" s="4"/>
      <c r="B70" s="4"/>
      <c r="C70" s="3"/>
      <c r="D70" s="4"/>
      <c r="E70" s="4"/>
      <c r="F70" s="4"/>
      <c r="G70" s="4"/>
      <c r="H70" s="4"/>
      <c r="I70" s="4"/>
      <c r="J70" s="4"/>
      <c r="K70" s="4"/>
      <c r="L70" s="4"/>
      <c r="M70" s="4"/>
      <c r="N70" s="4"/>
      <c r="O70" s="4"/>
      <c r="P70" s="4"/>
      <c r="Q70" s="4"/>
      <c r="R70" s="4"/>
    </row>
    <row r="71" spans="1:18" ht="12.75" customHeight="1">
      <c r="A71" s="4"/>
      <c r="B71" s="4"/>
      <c r="C71" s="3"/>
      <c r="D71" s="4"/>
      <c r="E71" s="4"/>
      <c r="F71" s="4"/>
      <c r="G71" s="4"/>
      <c r="H71" s="4"/>
      <c r="I71" s="4"/>
      <c r="J71" s="4"/>
      <c r="K71" s="4"/>
      <c r="L71" s="4"/>
      <c r="M71" s="4"/>
      <c r="N71" s="4"/>
      <c r="O71" s="4"/>
      <c r="P71" s="4"/>
      <c r="Q71" s="4"/>
      <c r="R71" s="4"/>
    </row>
    <row r="72" spans="1:18" ht="12.75" customHeight="1">
      <c r="A72" s="4"/>
      <c r="B72" s="4"/>
      <c r="C72" s="3"/>
      <c r="D72" s="4"/>
      <c r="E72" s="4"/>
      <c r="F72" s="4"/>
      <c r="G72" s="4"/>
      <c r="H72" s="4"/>
      <c r="I72" s="4"/>
      <c r="J72" s="4"/>
      <c r="K72" s="4"/>
      <c r="L72" s="4"/>
      <c r="M72" s="4"/>
      <c r="N72" s="4"/>
      <c r="O72" s="4"/>
      <c r="P72" s="4"/>
      <c r="Q72" s="4"/>
      <c r="R72" s="4"/>
    </row>
    <row r="73" spans="1:18" ht="12.75" customHeight="1">
      <c r="A73" s="4"/>
      <c r="B73" s="4"/>
      <c r="C73" s="3"/>
      <c r="D73" s="4"/>
      <c r="E73" s="4"/>
      <c r="F73" s="4"/>
      <c r="G73" s="4"/>
      <c r="H73" s="4"/>
      <c r="I73" s="4"/>
      <c r="J73" s="4"/>
      <c r="K73" s="4"/>
      <c r="L73" s="4"/>
      <c r="M73" s="4"/>
      <c r="N73" s="4"/>
      <c r="O73" s="4"/>
      <c r="P73" s="4"/>
      <c r="Q73" s="4"/>
      <c r="R73" s="4"/>
    </row>
    <row r="74" spans="1:18" ht="12.75" customHeight="1">
      <c r="A74" s="4"/>
      <c r="B74" s="4"/>
      <c r="C74" s="3"/>
      <c r="D74" s="4"/>
      <c r="E74" s="4"/>
      <c r="F74" s="4"/>
      <c r="G74" s="4"/>
      <c r="H74" s="4"/>
      <c r="I74" s="4"/>
      <c r="J74" s="4"/>
      <c r="K74" s="4"/>
      <c r="L74" s="4"/>
      <c r="M74" s="4"/>
      <c r="N74" s="4"/>
      <c r="O74" s="4"/>
      <c r="P74" s="4"/>
      <c r="Q74" s="4"/>
      <c r="R74" s="4"/>
    </row>
    <row r="75" spans="1:18" ht="12.75" customHeight="1">
      <c r="A75" s="4"/>
      <c r="B75" s="4"/>
      <c r="C75" s="3"/>
      <c r="D75" s="4"/>
      <c r="E75" s="4"/>
      <c r="F75" s="4"/>
      <c r="G75" s="4"/>
      <c r="H75" s="4"/>
      <c r="I75" s="4"/>
      <c r="J75" s="4"/>
      <c r="K75" s="4"/>
      <c r="L75" s="4"/>
      <c r="M75" s="4"/>
      <c r="N75" s="4"/>
      <c r="O75" s="4"/>
      <c r="P75" s="4"/>
      <c r="Q75" s="4"/>
      <c r="R75" s="4"/>
    </row>
    <row r="76" spans="1:18" ht="12.75" customHeight="1">
      <c r="A76" s="4"/>
      <c r="B76" s="4"/>
      <c r="C76" s="3"/>
      <c r="D76" s="4"/>
      <c r="E76" s="4"/>
      <c r="F76" s="4"/>
      <c r="G76" s="4"/>
      <c r="H76" s="4"/>
      <c r="I76" s="4"/>
      <c r="J76" s="4"/>
      <c r="K76" s="4"/>
      <c r="L76" s="4"/>
      <c r="M76" s="4"/>
      <c r="N76" s="4"/>
      <c r="O76" s="4"/>
      <c r="P76" s="4"/>
      <c r="Q76" s="4"/>
      <c r="R76" s="4"/>
    </row>
    <row r="77" spans="1:18" ht="12.75" customHeight="1">
      <c r="A77" s="4"/>
      <c r="B77" s="4"/>
      <c r="C77" s="3"/>
      <c r="D77" s="4"/>
      <c r="E77" s="4"/>
      <c r="F77" s="4"/>
      <c r="G77" s="4"/>
      <c r="H77" s="4"/>
      <c r="I77" s="4"/>
      <c r="J77" s="4"/>
      <c r="K77" s="4"/>
      <c r="L77" s="4"/>
      <c r="M77" s="4"/>
      <c r="N77" s="4"/>
      <c r="O77" s="4"/>
      <c r="P77" s="4"/>
      <c r="Q77" s="4"/>
      <c r="R77" s="4"/>
    </row>
    <row r="78" spans="1:18" ht="12.75" customHeight="1">
      <c r="A78" s="4"/>
      <c r="B78" s="4"/>
      <c r="C78" s="3"/>
      <c r="D78" s="4"/>
      <c r="E78" s="4"/>
      <c r="F78" s="4"/>
      <c r="G78" s="4"/>
      <c r="H78" s="4"/>
      <c r="I78" s="4"/>
      <c r="J78" s="4"/>
      <c r="K78" s="4"/>
      <c r="L78" s="4"/>
      <c r="M78" s="4"/>
      <c r="N78" s="4"/>
      <c r="O78" s="4"/>
      <c r="P78" s="4"/>
      <c r="Q78" s="4"/>
      <c r="R78" s="4"/>
    </row>
    <row r="79" spans="1:18" ht="12.75" customHeight="1">
      <c r="A79" s="4"/>
      <c r="B79" s="4"/>
      <c r="C79" s="3"/>
      <c r="D79" s="4"/>
      <c r="E79" s="4"/>
      <c r="F79" s="4"/>
      <c r="G79" s="4"/>
      <c r="H79" s="4"/>
      <c r="I79" s="4"/>
      <c r="J79" s="4"/>
      <c r="K79" s="4"/>
      <c r="L79" s="4"/>
      <c r="M79" s="4"/>
      <c r="N79" s="4"/>
      <c r="O79" s="4"/>
      <c r="P79" s="4"/>
      <c r="Q79" s="4"/>
      <c r="R79" s="4"/>
    </row>
    <row r="80" spans="1:18" ht="12.75" customHeight="1">
      <c r="A80" s="4"/>
      <c r="B80" s="4"/>
      <c r="C80" s="3"/>
      <c r="D80" s="4"/>
      <c r="E80" s="4"/>
      <c r="F80" s="4"/>
      <c r="G80" s="4"/>
      <c r="H80" s="4"/>
      <c r="I80" s="4"/>
      <c r="J80" s="4"/>
      <c r="K80" s="4"/>
      <c r="L80" s="4"/>
      <c r="M80" s="4"/>
      <c r="N80" s="4"/>
      <c r="O80" s="4"/>
      <c r="P80" s="4"/>
      <c r="Q80" s="4"/>
      <c r="R80" s="4"/>
    </row>
    <row r="81" spans="1:18" ht="12.75" customHeight="1">
      <c r="A81" s="4"/>
      <c r="B81" s="4"/>
      <c r="C81" s="3"/>
      <c r="D81" s="4"/>
      <c r="E81" s="4"/>
      <c r="F81" s="4"/>
      <c r="G81" s="4"/>
      <c r="H81" s="4"/>
      <c r="I81" s="4"/>
      <c r="J81" s="4"/>
      <c r="K81" s="4"/>
      <c r="L81" s="4"/>
      <c r="M81" s="4"/>
      <c r="N81" s="4"/>
      <c r="O81" s="4"/>
      <c r="P81" s="4"/>
      <c r="Q81" s="4"/>
      <c r="R81" s="4"/>
    </row>
    <row r="82" spans="1:18" ht="12.75" customHeight="1">
      <c r="A82" s="4"/>
      <c r="B82" s="4"/>
      <c r="C82" s="3"/>
      <c r="D82" s="4"/>
      <c r="E82" s="4"/>
      <c r="F82" s="4"/>
      <c r="G82" s="4"/>
      <c r="H82" s="4"/>
      <c r="I82" s="4"/>
      <c r="J82" s="4"/>
      <c r="K82" s="4"/>
      <c r="L82" s="4"/>
      <c r="M82" s="4"/>
      <c r="N82" s="4"/>
      <c r="O82" s="4"/>
      <c r="P82" s="4"/>
      <c r="Q82" s="4"/>
      <c r="R82" s="4"/>
    </row>
    <row r="83" spans="1:18" ht="12.75" customHeight="1">
      <c r="A83" s="4"/>
      <c r="B83" s="4"/>
      <c r="C83" s="3"/>
      <c r="D83" s="4"/>
      <c r="E83" s="4"/>
      <c r="F83" s="4"/>
      <c r="G83" s="4"/>
      <c r="H83" s="4"/>
      <c r="I83" s="4"/>
      <c r="J83" s="4"/>
      <c r="K83" s="4"/>
      <c r="L83" s="4"/>
      <c r="M83" s="4"/>
      <c r="N83" s="4"/>
      <c r="O83" s="4"/>
      <c r="P83" s="4"/>
      <c r="Q83" s="4"/>
      <c r="R83" s="4"/>
    </row>
    <row r="84" spans="1:18" ht="12.75" customHeight="1">
      <c r="A84" s="4"/>
      <c r="B84" s="4"/>
      <c r="C84" s="3"/>
      <c r="D84" s="4"/>
      <c r="E84" s="4"/>
      <c r="F84" s="4"/>
      <c r="G84" s="4"/>
      <c r="H84" s="4"/>
      <c r="I84" s="4"/>
      <c r="J84" s="4"/>
      <c r="K84" s="4"/>
      <c r="L84" s="4"/>
      <c r="M84" s="4"/>
      <c r="N84" s="4"/>
      <c r="O84" s="4"/>
      <c r="P84" s="4"/>
      <c r="Q84" s="4"/>
      <c r="R84" s="4"/>
    </row>
    <row r="85" spans="1:18" ht="12.75" customHeight="1">
      <c r="A85" s="4"/>
      <c r="B85" s="4"/>
      <c r="C85" s="3"/>
      <c r="D85" s="4"/>
      <c r="E85" s="4"/>
      <c r="F85" s="4"/>
      <c r="G85" s="4"/>
      <c r="H85" s="4"/>
      <c r="I85" s="4"/>
      <c r="J85" s="4"/>
      <c r="K85" s="4"/>
      <c r="L85" s="4"/>
      <c r="M85" s="4"/>
      <c r="N85" s="4"/>
      <c r="O85" s="4"/>
      <c r="P85" s="4"/>
      <c r="Q85" s="4"/>
      <c r="R85" s="4"/>
    </row>
    <row r="86" spans="1:18" ht="12.75" customHeight="1">
      <c r="A86" s="4"/>
      <c r="B86" s="4"/>
      <c r="C86" s="3"/>
      <c r="D86" s="4"/>
      <c r="E86" s="4"/>
      <c r="F86" s="4"/>
      <c r="G86" s="4"/>
      <c r="H86" s="4"/>
      <c r="I86" s="4"/>
      <c r="J86" s="4"/>
      <c r="K86" s="4"/>
      <c r="L86" s="4"/>
      <c r="M86" s="4"/>
      <c r="N86" s="4"/>
      <c r="O86" s="4"/>
      <c r="P86" s="4"/>
      <c r="Q86" s="4"/>
      <c r="R86" s="4"/>
    </row>
    <row r="87" spans="1:18" ht="12.75" customHeight="1">
      <c r="A87" s="4"/>
      <c r="B87" s="4"/>
      <c r="C87" s="3"/>
      <c r="D87" s="4"/>
      <c r="E87" s="4"/>
      <c r="F87" s="4"/>
      <c r="G87" s="4"/>
      <c r="H87" s="4"/>
      <c r="I87" s="4"/>
      <c r="J87" s="4"/>
      <c r="K87" s="4"/>
      <c r="L87" s="4"/>
      <c r="M87" s="4"/>
      <c r="N87" s="4"/>
      <c r="O87" s="4"/>
      <c r="P87" s="4"/>
      <c r="Q87" s="4"/>
      <c r="R87" s="4"/>
    </row>
    <row r="88" spans="1:18" ht="12.75" customHeight="1">
      <c r="A88" s="4"/>
      <c r="B88" s="4"/>
      <c r="C88" s="3"/>
      <c r="D88" s="4"/>
      <c r="E88" s="4"/>
      <c r="F88" s="4"/>
      <c r="G88" s="4"/>
      <c r="H88" s="4"/>
      <c r="I88" s="4"/>
      <c r="J88" s="4"/>
      <c r="K88" s="4"/>
      <c r="L88" s="4"/>
      <c r="M88" s="4"/>
      <c r="N88" s="4"/>
      <c r="O88" s="4"/>
      <c r="P88" s="4"/>
      <c r="Q88" s="4"/>
      <c r="R88" s="4"/>
    </row>
    <row r="89" spans="1:18" ht="12.75" customHeight="1">
      <c r="A89" s="4"/>
      <c r="B89" s="4"/>
      <c r="C89" s="3"/>
      <c r="D89" s="4"/>
      <c r="E89" s="4"/>
      <c r="F89" s="4"/>
      <c r="G89" s="4"/>
      <c r="H89" s="4"/>
      <c r="I89" s="4"/>
      <c r="J89" s="4"/>
      <c r="K89" s="4"/>
      <c r="L89" s="4"/>
      <c r="M89" s="4"/>
      <c r="N89" s="4"/>
      <c r="O89" s="4"/>
      <c r="P89" s="4"/>
      <c r="Q89" s="4"/>
      <c r="R89" s="4"/>
    </row>
    <row r="90" spans="1:18" ht="12.75" customHeight="1">
      <c r="A90" s="4"/>
      <c r="B90" s="4"/>
      <c r="C90" s="3"/>
      <c r="D90" s="4"/>
      <c r="E90" s="4"/>
      <c r="F90" s="4"/>
      <c r="G90" s="4"/>
      <c r="H90" s="4"/>
      <c r="I90" s="4"/>
      <c r="J90" s="4"/>
      <c r="K90" s="4"/>
      <c r="L90" s="4"/>
      <c r="M90" s="4"/>
      <c r="N90" s="4"/>
      <c r="O90" s="4"/>
      <c r="P90" s="4"/>
      <c r="Q90" s="4"/>
      <c r="R90" s="4"/>
    </row>
    <row r="91" spans="1:18" ht="12.75" customHeight="1">
      <c r="A91" s="4"/>
      <c r="B91" s="4"/>
      <c r="C91" s="3"/>
      <c r="D91" s="4"/>
      <c r="E91" s="4"/>
      <c r="F91" s="4"/>
      <c r="G91" s="4"/>
      <c r="H91" s="4"/>
      <c r="I91" s="4"/>
      <c r="J91" s="4"/>
      <c r="K91" s="4"/>
      <c r="L91" s="4"/>
      <c r="M91" s="4"/>
      <c r="N91" s="4"/>
      <c r="O91" s="4"/>
      <c r="P91" s="4"/>
      <c r="Q91" s="4"/>
      <c r="R91" s="4"/>
    </row>
    <row r="92" spans="1:18" ht="12.75" customHeight="1">
      <c r="A92" s="4"/>
      <c r="B92" s="4"/>
      <c r="C92" s="3"/>
      <c r="D92" s="4"/>
      <c r="E92" s="4"/>
      <c r="F92" s="4"/>
      <c r="G92" s="4"/>
      <c r="H92" s="4"/>
      <c r="I92" s="4"/>
      <c r="J92" s="4"/>
      <c r="K92" s="4"/>
      <c r="L92" s="4"/>
      <c r="M92" s="4"/>
      <c r="N92" s="4"/>
      <c r="O92" s="4"/>
      <c r="P92" s="4"/>
      <c r="Q92" s="4"/>
      <c r="R92" s="4"/>
    </row>
    <row r="93" spans="1:18" ht="12.75" customHeight="1">
      <c r="A93" s="4"/>
      <c r="B93" s="4"/>
      <c r="C93" s="3"/>
      <c r="D93" s="4"/>
      <c r="E93" s="4"/>
      <c r="F93" s="4"/>
      <c r="G93" s="4"/>
      <c r="H93" s="4"/>
      <c r="I93" s="4"/>
      <c r="J93" s="4"/>
      <c r="K93" s="4"/>
      <c r="L93" s="4"/>
      <c r="M93" s="4"/>
      <c r="N93" s="4"/>
      <c r="O93" s="4"/>
      <c r="P93" s="4"/>
      <c r="Q93" s="4"/>
      <c r="R93" s="4"/>
    </row>
    <row r="94" spans="1:18" ht="12.75" customHeight="1">
      <c r="A94" s="4"/>
      <c r="B94" s="4"/>
      <c r="C94" s="3"/>
      <c r="D94" s="4"/>
      <c r="E94" s="4"/>
      <c r="F94" s="4"/>
      <c r="G94" s="4"/>
      <c r="H94" s="4"/>
      <c r="I94" s="4"/>
      <c r="J94" s="4"/>
      <c r="K94" s="4"/>
      <c r="L94" s="4"/>
      <c r="M94" s="4"/>
      <c r="N94" s="4"/>
      <c r="O94" s="4"/>
      <c r="P94" s="4"/>
      <c r="Q94" s="4"/>
      <c r="R94" s="4"/>
    </row>
    <row r="95" spans="1:18" ht="12.75" customHeight="1">
      <c r="A95" s="4"/>
      <c r="B95" s="4"/>
      <c r="C95" s="3"/>
      <c r="D95" s="4"/>
      <c r="E95" s="4"/>
      <c r="F95" s="4"/>
      <c r="G95" s="4"/>
      <c r="H95" s="4"/>
      <c r="I95" s="4"/>
      <c r="J95" s="4"/>
      <c r="K95" s="4"/>
      <c r="L95" s="4"/>
      <c r="M95" s="4"/>
      <c r="N95" s="4"/>
      <c r="O95" s="4"/>
      <c r="P95" s="4"/>
      <c r="Q95" s="4"/>
      <c r="R95" s="4"/>
    </row>
    <row r="96" spans="1:18" ht="12.75" customHeight="1">
      <c r="A96" s="4"/>
      <c r="B96" s="4"/>
      <c r="C96" s="3"/>
      <c r="D96" s="4"/>
      <c r="E96" s="4"/>
      <c r="F96" s="4"/>
      <c r="G96" s="4"/>
      <c r="H96" s="4"/>
      <c r="I96" s="4"/>
      <c r="J96" s="4"/>
      <c r="K96" s="4"/>
      <c r="L96" s="4"/>
      <c r="M96" s="4"/>
      <c r="N96" s="4"/>
      <c r="O96" s="4"/>
      <c r="P96" s="4"/>
      <c r="Q96" s="4"/>
      <c r="R96" s="4"/>
    </row>
    <row r="97" spans="1:18" ht="12.75" customHeight="1">
      <c r="A97" s="4"/>
      <c r="B97" s="4"/>
      <c r="C97" s="3"/>
      <c r="D97" s="4"/>
      <c r="E97" s="4"/>
      <c r="F97" s="4"/>
      <c r="G97" s="4"/>
      <c r="H97" s="4"/>
      <c r="I97" s="4"/>
      <c r="J97" s="4"/>
      <c r="K97" s="4"/>
      <c r="L97" s="4"/>
      <c r="M97" s="4"/>
      <c r="N97" s="4"/>
      <c r="O97" s="4"/>
      <c r="P97" s="4"/>
      <c r="Q97" s="4"/>
      <c r="R97" s="4"/>
    </row>
    <row r="98" spans="1:18" ht="12.75" customHeight="1">
      <c r="A98" s="4"/>
      <c r="B98" s="4"/>
      <c r="C98" s="3"/>
      <c r="D98" s="4"/>
      <c r="E98" s="4"/>
      <c r="F98" s="4"/>
      <c r="G98" s="4"/>
      <c r="H98" s="4"/>
      <c r="I98" s="4"/>
      <c r="J98" s="4"/>
      <c r="K98" s="4"/>
      <c r="L98" s="4"/>
      <c r="M98" s="4"/>
      <c r="N98" s="4"/>
      <c r="O98" s="4"/>
      <c r="P98" s="4"/>
      <c r="Q98" s="4"/>
      <c r="R98" s="4"/>
    </row>
    <row r="99" spans="1:18" ht="12.75" customHeight="1">
      <c r="A99" s="4"/>
      <c r="B99" s="4"/>
      <c r="C99" s="3"/>
      <c r="D99" s="4"/>
      <c r="E99" s="4"/>
      <c r="F99" s="4"/>
      <c r="G99" s="4"/>
      <c r="H99" s="4"/>
      <c r="I99" s="4"/>
      <c r="J99" s="4"/>
      <c r="K99" s="4"/>
      <c r="L99" s="4"/>
      <c r="M99" s="4"/>
      <c r="N99" s="4"/>
      <c r="O99" s="4"/>
      <c r="P99" s="4"/>
      <c r="Q99" s="4"/>
      <c r="R99" s="4"/>
    </row>
    <row r="100" spans="1:18" ht="12.75" customHeight="1">
      <c r="A100" s="4"/>
      <c r="B100" s="4"/>
      <c r="C100" s="3"/>
      <c r="D100" s="4"/>
      <c r="E100" s="4"/>
      <c r="F100" s="4"/>
      <c r="G100" s="4"/>
      <c r="H100" s="4"/>
      <c r="I100" s="4"/>
      <c r="J100" s="4"/>
      <c r="K100" s="4"/>
      <c r="L100" s="4"/>
      <c r="M100" s="4"/>
      <c r="N100" s="4"/>
      <c r="O100" s="4"/>
      <c r="P100" s="4"/>
      <c r="Q100" s="4"/>
      <c r="R100" s="4"/>
    </row>
    <row r="101" spans="1:18" ht="12.75" customHeight="1">
      <c r="A101" s="4"/>
      <c r="B101" s="4"/>
      <c r="C101" s="3"/>
      <c r="D101" s="4"/>
      <c r="E101" s="4"/>
      <c r="F101" s="4"/>
      <c r="G101" s="4"/>
      <c r="H101" s="4"/>
      <c r="I101" s="4"/>
      <c r="J101" s="4"/>
      <c r="K101" s="4"/>
      <c r="L101" s="4"/>
      <c r="M101" s="4"/>
      <c r="N101" s="4"/>
      <c r="O101" s="4"/>
      <c r="P101" s="4"/>
      <c r="Q101" s="4"/>
      <c r="R101" s="4"/>
    </row>
    <row r="102" spans="1:18" ht="12.75" customHeight="1">
      <c r="A102" s="4"/>
      <c r="B102" s="4"/>
      <c r="C102" s="3"/>
      <c r="D102" s="4"/>
      <c r="E102" s="4"/>
      <c r="F102" s="4"/>
      <c r="G102" s="4"/>
      <c r="H102" s="4"/>
      <c r="I102" s="4"/>
      <c r="J102" s="4"/>
      <c r="K102" s="4"/>
      <c r="L102" s="4"/>
      <c r="M102" s="4"/>
      <c r="N102" s="4"/>
      <c r="O102" s="4"/>
      <c r="P102" s="4"/>
      <c r="Q102" s="4"/>
      <c r="R102" s="4"/>
    </row>
    <row r="103" spans="1:18" ht="12.75" customHeight="1">
      <c r="A103" s="4"/>
      <c r="B103" s="4"/>
      <c r="C103" s="3"/>
      <c r="D103" s="4"/>
      <c r="E103" s="4"/>
      <c r="F103" s="4"/>
      <c r="G103" s="4"/>
      <c r="H103" s="4"/>
      <c r="I103" s="4"/>
      <c r="J103" s="4"/>
      <c r="K103" s="4"/>
      <c r="L103" s="4"/>
      <c r="M103" s="4"/>
      <c r="N103" s="4"/>
      <c r="O103" s="4"/>
      <c r="P103" s="4"/>
      <c r="Q103" s="4"/>
      <c r="R103" s="4"/>
    </row>
    <row r="104" spans="1:18" ht="12.75" customHeight="1">
      <c r="A104" s="4"/>
      <c r="B104" s="4"/>
      <c r="C104" s="3"/>
      <c r="D104" s="4"/>
      <c r="E104" s="4"/>
      <c r="F104" s="4"/>
      <c r="G104" s="4"/>
      <c r="H104" s="4"/>
      <c r="I104" s="4"/>
      <c r="J104" s="4"/>
      <c r="K104" s="4"/>
      <c r="L104" s="4"/>
      <c r="M104" s="4"/>
      <c r="N104" s="4"/>
      <c r="O104" s="4"/>
      <c r="P104" s="4"/>
      <c r="Q104" s="4"/>
      <c r="R104" s="4"/>
    </row>
    <row r="105" spans="1:18" ht="12.75" customHeight="1">
      <c r="A105" s="4"/>
      <c r="B105" s="4"/>
      <c r="C105" s="3"/>
      <c r="D105" s="4"/>
      <c r="E105" s="4"/>
      <c r="F105" s="4"/>
      <c r="G105" s="4"/>
      <c r="H105" s="4"/>
      <c r="I105" s="4"/>
      <c r="J105" s="4"/>
      <c r="K105" s="4"/>
      <c r="L105" s="4"/>
      <c r="M105" s="4"/>
      <c r="N105" s="4"/>
      <c r="O105" s="4"/>
      <c r="P105" s="4"/>
      <c r="Q105" s="4"/>
      <c r="R105" s="4"/>
    </row>
    <row r="106" spans="1:18" ht="12.75" customHeight="1">
      <c r="A106" s="4"/>
      <c r="B106" s="4"/>
      <c r="C106" s="3"/>
      <c r="D106" s="4"/>
      <c r="E106" s="4"/>
      <c r="F106" s="4"/>
      <c r="G106" s="4"/>
      <c r="H106" s="4"/>
      <c r="I106" s="4"/>
      <c r="J106" s="4"/>
      <c r="K106" s="4"/>
      <c r="L106" s="4"/>
      <c r="M106" s="4"/>
      <c r="N106" s="4"/>
      <c r="O106" s="4"/>
      <c r="P106" s="4"/>
      <c r="Q106" s="4"/>
      <c r="R106" s="4"/>
    </row>
    <row r="107" spans="1:18" ht="12.75" customHeight="1">
      <c r="A107" s="4"/>
      <c r="B107" s="4"/>
      <c r="C107" s="3"/>
      <c r="D107" s="4"/>
      <c r="E107" s="4"/>
      <c r="F107" s="4"/>
      <c r="G107" s="4"/>
      <c r="H107" s="4"/>
      <c r="I107" s="4"/>
      <c r="J107" s="4"/>
      <c r="K107" s="4"/>
      <c r="L107" s="4"/>
      <c r="M107" s="4"/>
      <c r="N107" s="4"/>
      <c r="O107" s="4"/>
      <c r="P107" s="4"/>
      <c r="Q107" s="4"/>
      <c r="R107" s="4"/>
    </row>
    <row r="108" spans="1:18" ht="12.75" customHeight="1">
      <c r="A108" s="4"/>
      <c r="B108" s="4"/>
      <c r="C108" s="3"/>
      <c r="D108" s="4"/>
      <c r="E108" s="4"/>
      <c r="F108" s="4"/>
      <c r="G108" s="4"/>
      <c r="H108" s="4"/>
      <c r="I108" s="4"/>
      <c r="J108" s="4"/>
      <c r="K108" s="4"/>
      <c r="L108" s="4"/>
      <c r="M108" s="4"/>
      <c r="N108" s="4"/>
      <c r="O108" s="4"/>
      <c r="P108" s="4"/>
      <c r="Q108" s="4"/>
      <c r="R108" s="4"/>
    </row>
    <row r="109" spans="1:18" ht="12.75" customHeight="1">
      <c r="A109" s="4"/>
      <c r="B109" s="4"/>
      <c r="C109" s="3"/>
      <c r="D109" s="4"/>
      <c r="E109" s="4"/>
      <c r="F109" s="4"/>
      <c r="G109" s="4"/>
      <c r="H109" s="4"/>
      <c r="I109" s="4"/>
      <c r="J109" s="4"/>
      <c r="K109" s="4"/>
      <c r="L109" s="4"/>
      <c r="M109" s="4"/>
      <c r="N109" s="4"/>
      <c r="O109" s="4"/>
      <c r="P109" s="4"/>
      <c r="Q109" s="4"/>
      <c r="R109" s="4"/>
    </row>
    <row r="110" spans="1:18" ht="12.75" customHeight="1">
      <c r="A110" s="4"/>
      <c r="B110" s="4"/>
      <c r="C110" s="3"/>
      <c r="D110" s="4"/>
      <c r="E110" s="4"/>
      <c r="F110" s="4"/>
      <c r="G110" s="4"/>
      <c r="H110" s="4"/>
      <c r="I110" s="4"/>
      <c r="J110" s="4"/>
      <c r="K110" s="4"/>
      <c r="L110" s="4"/>
      <c r="M110" s="4"/>
      <c r="N110" s="4"/>
      <c r="O110" s="4"/>
      <c r="P110" s="4"/>
      <c r="Q110" s="4"/>
      <c r="R110" s="4"/>
    </row>
    <row r="111" spans="1:18" ht="12.75" customHeight="1">
      <c r="A111" s="4"/>
      <c r="B111" s="4"/>
      <c r="C111" s="3"/>
      <c r="D111" s="4"/>
      <c r="E111" s="4"/>
      <c r="F111" s="4"/>
      <c r="G111" s="4"/>
      <c r="H111" s="4"/>
      <c r="I111" s="4"/>
      <c r="J111" s="4"/>
      <c r="K111" s="4"/>
      <c r="L111" s="4"/>
      <c r="M111" s="4"/>
      <c r="N111" s="4"/>
      <c r="O111" s="4"/>
      <c r="P111" s="4"/>
      <c r="Q111" s="4"/>
      <c r="R111" s="4"/>
    </row>
    <row r="112" spans="1:18" ht="12.75" customHeight="1">
      <c r="A112" s="4"/>
      <c r="B112" s="4"/>
      <c r="C112" s="3"/>
      <c r="D112" s="4"/>
      <c r="E112" s="4"/>
      <c r="F112" s="4"/>
      <c r="G112" s="4"/>
      <c r="H112" s="4"/>
      <c r="I112" s="4"/>
      <c r="J112" s="4"/>
      <c r="K112" s="4"/>
      <c r="L112" s="4"/>
      <c r="M112" s="4"/>
      <c r="N112" s="4"/>
      <c r="O112" s="4"/>
      <c r="P112" s="4"/>
      <c r="Q112" s="4"/>
      <c r="R112" s="4"/>
    </row>
    <row r="113" spans="1:18" ht="12.75" customHeight="1">
      <c r="A113" s="4"/>
      <c r="B113" s="4"/>
      <c r="C113" s="3"/>
      <c r="D113" s="4"/>
      <c r="E113" s="4"/>
      <c r="F113" s="4"/>
      <c r="G113" s="4"/>
      <c r="H113" s="4"/>
      <c r="I113" s="4"/>
      <c r="J113" s="4"/>
      <c r="K113" s="4"/>
      <c r="L113" s="4"/>
      <c r="M113" s="4"/>
      <c r="N113" s="4"/>
      <c r="O113" s="4"/>
      <c r="P113" s="4"/>
      <c r="Q113" s="4"/>
      <c r="R113" s="4"/>
    </row>
    <row r="114" spans="1:18" ht="12.75" customHeight="1">
      <c r="A114" s="4"/>
      <c r="B114" s="4"/>
      <c r="C114" s="3"/>
      <c r="D114" s="4"/>
      <c r="E114" s="4"/>
      <c r="F114" s="4"/>
      <c r="G114" s="4"/>
      <c r="H114" s="4"/>
      <c r="I114" s="4"/>
      <c r="J114" s="4"/>
      <c r="K114" s="4"/>
      <c r="L114" s="4"/>
      <c r="M114" s="4"/>
      <c r="N114" s="4"/>
      <c r="O114" s="4"/>
      <c r="P114" s="4"/>
      <c r="Q114" s="4"/>
      <c r="R114" s="4"/>
    </row>
    <row r="115" spans="1:18" ht="12.75" customHeight="1">
      <c r="A115" s="4"/>
      <c r="B115" s="4"/>
      <c r="C115" s="3"/>
      <c r="D115" s="4"/>
      <c r="E115" s="4"/>
      <c r="F115" s="4"/>
      <c r="G115" s="4"/>
      <c r="H115" s="4"/>
      <c r="I115" s="4"/>
      <c r="J115" s="4"/>
      <c r="K115" s="4"/>
      <c r="L115" s="4"/>
      <c r="M115" s="4"/>
      <c r="N115" s="4"/>
      <c r="O115" s="4"/>
      <c r="P115" s="4"/>
      <c r="Q115" s="4"/>
      <c r="R115" s="4"/>
    </row>
    <row r="116" spans="1:18" ht="12.75" customHeight="1">
      <c r="A116" s="4"/>
      <c r="B116" s="4"/>
      <c r="C116" s="3"/>
      <c r="D116" s="4"/>
      <c r="E116" s="4"/>
      <c r="F116" s="4"/>
      <c r="G116" s="4"/>
      <c r="H116" s="4"/>
      <c r="I116" s="4"/>
      <c r="J116" s="4"/>
      <c r="K116" s="4"/>
      <c r="L116" s="4"/>
      <c r="M116" s="4"/>
      <c r="N116" s="4"/>
      <c r="O116" s="4"/>
      <c r="P116" s="4"/>
      <c r="Q116" s="4"/>
      <c r="R116" s="4"/>
    </row>
    <row r="117" spans="1:18" ht="12.75" customHeight="1">
      <c r="A117" s="4"/>
      <c r="B117" s="4"/>
      <c r="C117" s="3"/>
      <c r="D117" s="4"/>
      <c r="E117" s="4"/>
      <c r="F117" s="4"/>
      <c r="G117" s="4"/>
      <c r="H117" s="4"/>
      <c r="I117" s="4"/>
      <c r="J117" s="4"/>
      <c r="K117" s="4"/>
      <c r="L117" s="4"/>
      <c r="M117" s="4"/>
      <c r="N117" s="4"/>
      <c r="O117" s="4"/>
      <c r="P117" s="4"/>
      <c r="Q117" s="4"/>
      <c r="R117" s="4"/>
    </row>
    <row r="118" spans="1:18" ht="12.75" customHeight="1">
      <c r="A118" s="4"/>
      <c r="B118" s="4"/>
      <c r="C118" s="3"/>
      <c r="D118" s="4"/>
      <c r="E118" s="4"/>
      <c r="F118" s="4"/>
      <c r="G118" s="4"/>
      <c r="H118" s="4"/>
      <c r="I118" s="4"/>
      <c r="J118" s="4"/>
      <c r="K118" s="4"/>
      <c r="L118" s="4"/>
      <c r="M118" s="4"/>
      <c r="N118" s="4"/>
      <c r="O118" s="4"/>
      <c r="P118" s="4"/>
      <c r="Q118" s="4"/>
      <c r="R118" s="4"/>
    </row>
    <row r="119" spans="1:18" ht="12.75" customHeight="1">
      <c r="A119" s="4"/>
      <c r="B119" s="4"/>
      <c r="C119" s="3"/>
      <c r="D119" s="4"/>
      <c r="E119" s="4"/>
      <c r="F119" s="4"/>
      <c r="G119" s="4"/>
      <c r="H119" s="4"/>
      <c r="I119" s="4"/>
      <c r="J119" s="4"/>
      <c r="K119" s="4"/>
      <c r="L119" s="4"/>
      <c r="M119" s="4"/>
      <c r="N119" s="4"/>
      <c r="O119" s="4"/>
      <c r="P119" s="4"/>
      <c r="Q119" s="4"/>
      <c r="R119" s="4"/>
    </row>
    <row r="120" spans="1:18" ht="12.75" customHeight="1">
      <c r="A120" s="4"/>
      <c r="B120" s="4"/>
      <c r="C120" s="3"/>
      <c r="D120" s="4"/>
      <c r="E120" s="4"/>
      <c r="F120" s="4"/>
      <c r="G120" s="4"/>
      <c r="H120" s="4"/>
      <c r="I120" s="4"/>
      <c r="J120" s="4"/>
      <c r="K120" s="4"/>
      <c r="L120" s="4"/>
      <c r="M120" s="4"/>
      <c r="N120" s="4"/>
      <c r="O120" s="4"/>
      <c r="P120" s="4"/>
      <c r="Q120" s="4"/>
      <c r="R120" s="4"/>
    </row>
    <row r="121" spans="1:18" ht="12.75" customHeight="1">
      <c r="A121" s="4"/>
      <c r="B121" s="4"/>
      <c r="C121" s="3"/>
      <c r="D121" s="4"/>
      <c r="E121" s="4"/>
      <c r="F121" s="4"/>
      <c r="G121" s="4"/>
      <c r="H121" s="4"/>
      <c r="I121" s="4"/>
      <c r="J121" s="4"/>
      <c r="K121" s="4"/>
      <c r="L121" s="4"/>
      <c r="M121" s="4"/>
      <c r="N121" s="4"/>
      <c r="O121" s="4"/>
      <c r="P121" s="4"/>
      <c r="Q121" s="4"/>
      <c r="R121" s="4"/>
    </row>
    <row r="122" spans="1:18" ht="12.75" customHeight="1">
      <c r="A122" s="4"/>
      <c r="B122" s="4"/>
      <c r="C122" s="3"/>
      <c r="D122" s="4"/>
      <c r="E122" s="4"/>
      <c r="F122" s="4"/>
      <c r="G122" s="4"/>
      <c r="H122" s="4"/>
      <c r="I122" s="4"/>
      <c r="J122" s="4"/>
      <c r="K122" s="4"/>
      <c r="L122" s="4"/>
      <c r="M122" s="4"/>
      <c r="N122" s="4"/>
      <c r="O122" s="4"/>
      <c r="P122" s="4"/>
      <c r="Q122" s="4"/>
      <c r="R122" s="4"/>
    </row>
    <row r="123" spans="1:18" ht="12.75" customHeight="1">
      <c r="A123" s="4"/>
      <c r="B123" s="4"/>
      <c r="C123" s="3"/>
      <c r="D123" s="4"/>
      <c r="E123" s="4"/>
      <c r="F123" s="4"/>
      <c r="G123" s="4"/>
      <c r="H123" s="4"/>
      <c r="I123" s="4"/>
      <c r="J123" s="4"/>
      <c r="K123" s="4"/>
      <c r="L123" s="4"/>
      <c r="M123" s="4"/>
      <c r="N123" s="4"/>
      <c r="O123" s="4"/>
      <c r="P123" s="4"/>
      <c r="Q123" s="4"/>
      <c r="R123" s="4"/>
    </row>
    <row r="124" spans="1:18" ht="12.75" customHeight="1">
      <c r="A124" s="4"/>
      <c r="B124" s="4"/>
      <c r="C124" s="3"/>
      <c r="D124" s="4"/>
      <c r="E124" s="4"/>
      <c r="F124" s="4"/>
      <c r="G124" s="4"/>
      <c r="H124" s="4"/>
      <c r="I124" s="4"/>
      <c r="J124" s="4"/>
      <c r="K124" s="4"/>
      <c r="L124" s="4"/>
      <c r="M124" s="4"/>
      <c r="N124" s="4"/>
      <c r="O124" s="4"/>
      <c r="P124" s="4"/>
      <c r="Q124" s="4"/>
      <c r="R124" s="4"/>
    </row>
    <row r="125" spans="1:18" ht="12.75" customHeight="1">
      <c r="A125" s="4"/>
      <c r="B125" s="4"/>
      <c r="C125" s="3"/>
      <c r="D125" s="4"/>
      <c r="E125" s="4"/>
      <c r="F125" s="4"/>
      <c r="G125" s="4"/>
      <c r="H125" s="4"/>
      <c r="I125" s="4"/>
      <c r="J125" s="4"/>
      <c r="K125" s="4"/>
      <c r="L125" s="4"/>
      <c r="M125" s="4"/>
      <c r="N125" s="4"/>
      <c r="O125" s="4"/>
      <c r="P125" s="4"/>
      <c r="Q125" s="4"/>
      <c r="R125" s="4"/>
    </row>
    <row r="126" spans="1:18" ht="12.75" customHeight="1">
      <c r="A126" s="4"/>
      <c r="B126" s="4"/>
      <c r="C126" s="3"/>
      <c r="D126" s="4"/>
      <c r="E126" s="4"/>
      <c r="F126" s="4"/>
      <c r="G126" s="4"/>
      <c r="H126" s="4"/>
      <c r="I126" s="4"/>
      <c r="J126" s="4"/>
      <c r="K126" s="4"/>
      <c r="L126" s="4"/>
      <c r="M126" s="4"/>
      <c r="N126" s="4"/>
      <c r="O126" s="4"/>
      <c r="P126" s="4"/>
      <c r="Q126" s="4"/>
      <c r="R126" s="4"/>
    </row>
    <row r="127" spans="1:18" ht="12.75" customHeight="1">
      <c r="A127" s="4"/>
      <c r="B127" s="4"/>
      <c r="C127" s="3"/>
      <c r="D127" s="4"/>
      <c r="E127" s="4"/>
      <c r="F127" s="4"/>
      <c r="G127" s="4"/>
      <c r="H127" s="4"/>
      <c r="I127" s="4"/>
      <c r="J127" s="4"/>
      <c r="K127" s="4"/>
      <c r="L127" s="4"/>
      <c r="M127" s="4"/>
      <c r="N127" s="4"/>
      <c r="O127" s="4"/>
      <c r="P127" s="4"/>
      <c r="Q127" s="4"/>
      <c r="R127" s="4"/>
    </row>
    <row r="128" spans="1:18" ht="12.75" customHeight="1">
      <c r="A128" s="4"/>
      <c r="B128" s="4"/>
      <c r="C128" s="3"/>
      <c r="D128" s="4"/>
      <c r="E128" s="4"/>
      <c r="F128" s="4"/>
      <c r="G128" s="4"/>
      <c r="H128" s="4"/>
      <c r="I128" s="4"/>
      <c r="J128" s="4"/>
      <c r="K128" s="4"/>
      <c r="L128" s="4"/>
      <c r="M128" s="4"/>
      <c r="N128" s="4"/>
      <c r="O128" s="4"/>
      <c r="P128" s="4"/>
      <c r="Q128" s="4"/>
      <c r="R128" s="4"/>
    </row>
    <row r="129" spans="1:18" ht="12.75" customHeight="1">
      <c r="A129" s="4"/>
      <c r="B129" s="4"/>
      <c r="C129" s="3"/>
      <c r="D129" s="4"/>
      <c r="E129" s="4"/>
      <c r="F129" s="4"/>
      <c r="G129" s="4"/>
      <c r="H129" s="4"/>
      <c r="I129" s="4"/>
      <c r="J129" s="4"/>
      <c r="K129" s="4"/>
      <c r="L129" s="4"/>
      <c r="M129" s="4"/>
      <c r="N129" s="4"/>
      <c r="O129" s="4"/>
      <c r="P129" s="4"/>
      <c r="Q129" s="4"/>
      <c r="R129" s="4"/>
    </row>
    <row r="130" spans="1:18" ht="12.75" customHeight="1">
      <c r="A130" s="4"/>
      <c r="B130" s="4"/>
      <c r="C130" s="3"/>
      <c r="D130" s="4"/>
      <c r="E130" s="4"/>
      <c r="F130" s="4"/>
      <c r="G130" s="4"/>
      <c r="H130" s="4"/>
      <c r="I130" s="4"/>
      <c r="J130" s="4"/>
      <c r="K130" s="4"/>
      <c r="L130" s="4"/>
      <c r="M130" s="4"/>
      <c r="N130" s="4"/>
      <c r="O130" s="4"/>
      <c r="P130" s="4"/>
      <c r="Q130" s="4"/>
      <c r="R130" s="4"/>
    </row>
    <row r="131" spans="1:18" ht="12.75" customHeight="1">
      <c r="A131" s="4"/>
      <c r="B131" s="4"/>
      <c r="C131" s="3"/>
      <c r="D131" s="4"/>
      <c r="E131" s="4"/>
      <c r="F131" s="4"/>
      <c r="G131" s="4"/>
      <c r="H131" s="4"/>
      <c r="I131" s="4"/>
      <c r="J131" s="4"/>
      <c r="K131" s="4"/>
      <c r="L131" s="4"/>
      <c r="M131" s="4"/>
      <c r="N131" s="4"/>
      <c r="O131" s="4"/>
      <c r="P131" s="4"/>
      <c r="Q131" s="4"/>
      <c r="R131" s="4"/>
    </row>
    <row r="132" spans="1:18" ht="12.75" customHeight="1">
      <c r="A132" s="4"/>
      <c r="B132" s="4"/>
      <c r="C132" s="3"/>
      <c r="D132" s="4"/>
      <c r="E132" s="4"/>
      <c r="F132" s="4"/>
      <c r="G132" s="4"/>
      <c r="H132" s="4"/>
      <c r="I132" s="4"/>
      <c r="J132" s="4"/>
      <c r="K132" s="4"/>
      <c r="L132" s="4"/>
      <c r="M132" s="4"/>
      <c r="N132" s="4"/>
      <c r="O132" s="4"/>
      <c r="P132" s="4"/>
      <c r="Q132" s="4"/>
      <c r="R132" s="4"/>
    </row>
    <row r="133" spans="1:18" ht="12.75" customHeight="1">
      <c r="A133" s="4"/>
      <c r="B133" s="4"/>
      <c r="C133" s="3"/>
      <c r="D133" s="4"/>
      <c r="E133" s="4"/>
      <c r="F133" s="4"/>
      <c r="G133" s="4"/>
      <c r="H133" s="4"/>
      <c r="I133" s="4"/>
      <c r="J133" s="4"/>
      <c r="K133" s="4"/>
      <c r="L133" s="4"/>
      <c r="M133" s="4"/>
      <c r="N133" s="4"/>
      <c r="O133" s="4"/>
      <c r="P133" s="4"/>
      <c r="Q133" s="4"/>
      <c r="R133" s="4"/>
    </row>
    <row r="134" spans="1:18" ht="12.75" customHeight="1">
      <c r="A134" s="4"/>
      <c r="B134" s="4"/>
      <c r="C134" s="3"/>
      <c r="D134" s="4"/>
      <c r="E134" s="4"/>
      <c r="F134" s="4"/>
      <c r="G134" s="4"/>
      <c r="H134" s="4"/>
      <c r="I134" s="4"/>
      <c r="J134" s="4"/>
      <c r="K134" s="4"/>
      <c r="L134" s="4"/>
      <c r="M134" s="4"/>
      <c r="N134" s="4"/>
      <c r="O134" s="4"/>
      <c r="P134" s="4"/>
      <c r="Q134" s="4"/>
      <c r="R134" s="4"/>
    </row>
    <row r="135" spans="1:18" ht="12.75" customHeight="1">
      <c r="A135" s="4"/>
      <c r="B135" s="4"/>
      <c r="C135" s="3"/>
      <c r="D135" s="4"/>
      <c r="E135" s="4"/>
      <c r="F135" s="4"/>
      <c r="G135" s="4"/>
      <c r="H135" s="4"/>
      <c r="I135" s="4"/>
      <c r="J135" s="4"/>
      <c r="K135" s="4"/>
      <c r="L135" s="4"/>
      <c r="M135" s="4"/>
      <c r="N135" s="4"/>
      <c r="O135" s="4"/>
      <c r="P135" s="4"/>
      <c r="Q135" s="4"/>
      <c r="R135" s="4"/>
    </row>
    <row r="136" spans="1:18" ht="12.75" customHeight="1">
      <c r="A136" s="4"/>
      <c r="B136" s="4"/>
      <c r="C136" s="3"/>
      <c r="D136" s="4"/>
      <c r="E136" s="4"/>
      <c r="F136" s="4"/>
      <c r="G136" s="4"/>
      <c r="H136" s="4"/>
      <c r="I136" s="4"/>
      <c r="J136" s="4"/>
      <c r="K136" s="4"/>
      <c r="L136" s="4"/>
      <c r="M136" s="4"/>
      <c r="N136" s="4"/>
      <c r="O136" s="4"/>
      <c r="P136" s="4"/>
      <c r="Q136" s="4"/>
      <c r="R136" s="4"/>
    </row>
    <row r="137" spans="1:18" ht="12.75" customHeight="1">
      <c r="A137" s="4"/>
      <c r="B137" s="4"/>
      <c r="C137" s="3"/>
      <c r="D137" s="4"/>
      <c r="E137" s="4"/>
      <c r="F137" s="4"/>
      <c r="G137" s="4"/>
      <c r="H137" s="4"/>
      <c r="I137" s="4"/>
      <c r="J137" s="4"/>
      <c r="K137" s="4"/>
      <c r="L137" s="4"/>
      <c r="M137" s="4"/>
      <c r="N137" s="4"/>
      <c r="O137" s="4"/>
      <c r="P137" s="4"/>
      <c r="Q137" s="4"/>
      <c r="R137" s="4"/>
    </row>
    <row r="138" spans="1:18" ht="12.75" customHeight="1">
      <c r="A138" s="4"/>
      <c r="B138" s="4"/>
      <c r="C138" s="3"/>
      <c r="D138" s="4"/>
      <c r="E138" s="4"/>
      <c r="F138" s="4"/>
      <c r="G138" s="4"/>
      <c r="H138" s="4"/>
      <c r="I138" s="4"/>
      <c r="J138" s="4"/>
      <c r="K138" s="4"/>
      <c r="L138" s="4"/>
      <c r="M138" s="4"/>
      <c r="N138" s="4"/>
      <c r="O138" s="4"/>
      <c r="P138" s="4"/>
      <c r="Q138" s="4"/>
      <c r="R138" s="4"/>
    </row>
    <row r="139" spans="1:18" ht="12.75" customHeight="1">
      <c r="A139" s="4"/>
      <c r="B139" s="4"/>
      <c r="C139" s="3"/>
      <c r="D139" s="4"/>
      <c r="E139" s="4"/>
      <c r="F139" s="4"/>
      <c r="G139" s="4"/>
      <c r="H139" s="4"/>
      <c r="I139" s="4"/>
      <c r="J139" s="4"/>
      <c r="K139" s="4"/>
      <c r="L139" s="4"/>
      <c r="M139" s="4"/>
      <c r="N139" s="4"/>
      <c r="O139" s="4"/>
      <c r="P139" s="4"/>
      <c r="Q139" s="4"/>
      <c r="R139" s="4"/>
    </row>
    <row r="140" spans="1:18" ht="12.75" customHeight="1">
      <c r="A140" s="4"/>
      <c r="B140" s="4"/>
      <c r="C140" s="3"/>
      <c r="D140" s="4"/>
      <c r="E140" s="4"/>
      <c r="F140" s="4"/>
      <c r="G140" s="4"/>
      <c r="H140" s="4"/>
      <c r="I140" s="4"/>
      <c r="J140" s="4"/>
      <c r="K140" s="4"/>
      <c r="L140" s="4"/>
      <c r="M140" s="4"/>
      <c r="N140" s="4"/>
      <c r="O140" s="4"/>
      <c r="P140" s="4"/>
      <c r="Q140" s="4"/>
      <c r="R140" s="4"/>
    </row>
    <row r="141" spans="1:18" ht="12.75" customHeight="1">
      <c r="A141" s="4"/>
      <c r="B141" s="4"/>
      <c r="C141" s="3"/>
      <c r="D141" s="4"/>
      <c r="E141" s="4"/>
      <c r="F141" s="4"/>
      <c r="G141" s="4"/>
      <c r="H141" s="4"/>
      <c r="I141" s="4"/>
      <c r="J141" s="4"/>
      <c r="K141" s="4"/>
      <c r="L141" s="4"/>
      <c r="M141" s="4"/>
      <c r="N141" s="4"/>
      <c r="O141" s="4"/>
      <c r="P141" s="4"/>
      <c r="Q141" s="4"/>
      <c r="R141" s="4"/>
    </row>
    <row r="142" spans="1:18" ht="12.75" customHeight="1">
      <c r="A142" s="4"/>
      <c r="B142" s="4"/>
      <c r="C142" s="3"/>
      <c r="D142" s="4"/>
      <c r="E142" s="4"/>
      <c r="F142" s="4"/>
      <c r="G142" s="4"/>
      <c r="H142" s="4"/>
      <c r="I142" s="4"/>
      <c r="J142" s="4"/>
      <c r="K142" s="4"/>
      <c r="L142" s="4"/>
      <c r="M142" s="4"/>
      <c r="N142" s="4"/>
      <c r="O142" s="4"/>
      <c r="P142" s="4"/>
      <c r="Q142" s="4"/>
      <c r="R142" s="4"/>
    </row>
    <row r="143" spans="1:18" ht="12.75" customHeight="1">
      <c r="A143" s="4"/>
      <c r="B143" s="4"/>
      <c r="C143" s="3"/>
      <c r="D143" s="4"/>
      <c r="E143" s="4"/>
      <c r="F143" s="4"/>
      <c r="G143" s="4"/>
      <c r="H143" s="4"/>
      <c r="I143" s="4"/>
      <c r="J143" s="4"/>
      <c r="K143" s="4"/>
      <c r="L143" s="4"/>
      <c r="M143" s="4"/>
      <c r="N143" s="4"/>
      <c r="O143" s="4"/>
      <c r="P143" s="4"/>
      <c r="Q143" s="4"/>
      <c r="R143" s="4"/>
    </row>
    <row r="144" spans="1:18" ht="12.75" customHeight="1">
      <c r="A144" s="4"/>
      <c r="B144" s="4"/>
      <c r="C144" s="3"/>
      <c r="D144" s="4"/>
      <c r="E144" s="4"/>
      <c r="F144" s="4"/>
      <c r="G144" s="4"/>
      <c r="H144" s="4"/>
      <c r="I144" s="4"/>
      <c r="J144" s="4"/>
      <c r="K144" s="4"/>
      <c r="L144" s="4"/>
      <c r="M144" s="4"/>
      <c r="N144" s="4"/>
      <c r="O144" s="4"/>
      <c r="P144" s="4"/>
      <c r="Q144" s="4"/>
      <c r="R144" s="4"/>
    </row>
    <row r="145" spans="1:18" ht="12.75" customHeight="1">
      <c r="A145" s="4"/>
      <c r="B145" s="4"/>
      <c r="C145" s="3"/>
      <c r="D145" s="4"/>
      <c r="E145" s="4"/>
      <c r="F145" s="4"/>
      <c r="G145" s="4"/>
      <c r="H145" s="4"/>
      <c r="I145" s="4"/>
      <c r="J145" s="4"/>
      <c r="K145" s="4"/>
      <c r="L145" s="4"/>
      <c r="M145" s="4"/>
      <c r="N145" s="4"/>
      <c r="O145" s="4"/>
      <c r="P145" s="4"/>
      <c r="Q145" s="4"/>
      <c r="R145" s="4"/>
    </row>
    <row r="146" spans="1:18" ht="12.75" customHeight="1">
      <c r="A146" s="4"/>
      <c r="B146" s="4"/>
      <c r="C146" s="3"/>
      <c r="D146" s="4"/>
      <c r="E146" s="4"/>
      <c r="F146" s="4"/>
      <c r="G146" s="4"/>
      <c r="H146" s="4"/>
      <c r="I146" s="4"/>
      <c r="J146" s="4"/>
      <c r="K146" s="4"/>
      <c r="L146" s="4"/>
      <c r="M146" s="4"/>
      <c r="N146" s="4"/>
      <c r="O146" s="4"/>
      <c r="P146" s="4"/>
      <c r="Q146" s="4"/>
      <c r="R146" s="4"/>
    </row>
    <row r="147" spans="1:18" ht="12.75" customHeight="1">
      <c r="A147" s="4"/>
      <c r="B147" s="4"/>
      <c r="C147" s="3"/>
      <c r="D147" s="4"/>
      <c r="E147" s="4"/>
      <c r="F147" s="4"/>
      <c r="G147" s="4"/>
      <c r="H147" s="4"/>
      <c r="I147" s="4"/>
      <c r="J147" s="4"/>
      <c r="K147" s="4"/>
      <c r="L147" s="4"/>
      <c r="M147" s="4"/>
      <c r="N147" s="4"/>
      <c r="O147" s="4"/>
      <c r="P147" s="4"/>
      <c r="Q147" s="4"/>
      <c r="R147" s="4"/>
    </row>
    <row r="148" spans="1:18" ht="12.75" customHeight="1">
      <c r="A148" s="4"/>
      <c r="B148" s="4"/>
      <c r="C148" s="3"/>
      <c r="D148" s="4"/>
      <c r="E148" s="4"/>
      <c r="F148" s="4"/>
      <c r="G148" s="4"/>
      <c r="H148" s="4"/>
      <c r="I148" s="4"/>
      <c r="J148" s="4"/>
      <c r="K148" s="4"/>
      <c r="L148" s="4"/>
      <c r="M148" s="4"/>
      <c r="N148" s="4"/>
      <c r="O148" s="4"/>
      <c r="P148" s="4"/>
      <c r="Q148" s="4"/>
      <c r="R148" s="4"/>
    </row>
    <row r="149" spans="1:18" ht="12.75" customHeight="1">
      <c r="A149" s="4"/>
      <c r="B149" s="4"/>
      <c r="C149" s="3"/>
      <c r="D149" s="4"/>
      <c r="E149" s="4"/>
      <c r="F149" s="4"/>
      <c r="G149" s="4"/>
      <c r="H149" s="4"/>
      <c r="I149" s="4"/>
      <c r="J149" s="4"/>
      <c r="K149" s="4"/>
      <c r="L149" s="4"/>
      <c r="M149" s="4"/>
      <c r="N149" s="4"/>
      <c r="O149" s="4"/>
      <c r="P149" s="4"/>
      <c r="Q149" s="4"/>
      <c r="R149" s="4"/>
    </row>
    <row r="150" spans="1:18" ht="12.75" customHeight="1">
      <c r="A150" s="4"/>
      <c r="B150" s="4"/>
      <c r="C150" s="3"/>
      <c r="D150" s="4"/>
      <c r="E150" s="4"/>
      <c r="F150" s="4"/>
      <c r="G150" s="4"/>
      <c r="H150" s="4"/>
      <c r="I150" s="4"/>
      <c r="J150" s="4"/>
      <c r="K150" s="4"/>
      <c r="L150" s="4"/>
      <c r="M150" s="4"/>
      <c r="N150" s="4"/>
      <c r="O150" s="4"/>
      <c r="P150" s="4"/>
      <c r="Q150" s="4"/>
      <c r="R150" s="4"/>
    </row>
    <row r="151" spans="1:18" ht="12.75" customHeight="1">
      <c r="A151" s="4"/>
      <c r="B151" s="4"/>
      <c r="C151" s="3"/>
      <c r="D151" s="4"/>
      <c r="E151" s="4"/>
      <c r="F151" s="4"/>
      <c r="G151" s="4"/>
      <c r="H151" s="4"/>
      <c r="I151" s="4"/>
      <c r="J151" s="4"/>
      <c r="K151" s="4"/>
      <c r="L151" s="4"/>
      <c r="M151" s="4"/>
      <c r="N151" s="4"/>
      <c r="O151" s="4"/>
      <c r="P151" s="4"/>
      <c r="Q151" s="4"/>
      <c r="R151" s="4"/>
    </row>
    <row r="152" spans="1:18" ht="12.75" customHeight="1">
      <c r="A152" s="4"/>
      <c r="B152" s="4"/>
      <c r="C152" s="3"/>
      <c r="D152" s="4"/>
      <c r="E152" s="4"/>
      <c r="F152" s="4"/>
      <c r="G152" s="4"/>
      <c r="H152" s="4"/>
      <c r="I152" s="4"/>
      <c r="J152" s="4"/>
      <c r="K152" s="4"/>
      <c r="L152" s="4"/>
      <c r="M152" s="4"/>
      <c r="N152" s="4"/>
      <c r="O152" s="4"/>
      <c r="P152" s="4"/>
      <c r="Q152" s="4"/>
      <c r="R152" s="4"/>
    </row>
    <row r="153" spans="1:18" ht="12.75" customHeight="1">
      <c r="A153" s="4"/>
      <c r="B153" s="4"/>
      <c r="C153" s="3"/>
      <c r="D153" s="4"/>
      <c r="E153" s="4"/>
      <c r="F153" s="4"/>
      <c r="G153" s="4"/>
      <c r="H153" s="4"/>
      <c r="I153" s="4"/>
      <c r="J153" s="4"/>
      <c r="K153" s="4"/>
      <c r="L153" s="4"/>
      <c r="M153" s="4"/>
      <c r="N153" s="4"/>
      <c r="O153" s="4"/>
      <c r="P153" s="4"/>
      <c r="Q153" s="4"/>
      <c r="R153" s="4"/>
    </row>
    <row r="154" spans="1:18" ht="12.75" customHeight="1">
      <c r="A154" s="4"/>
      <c r="B154" s="4"/>
      <c r="C154" s="3"/>
      <c r="D154" s="4"/>
      <c r="E154" s="4"/>
      <c r="F154" s="4"/>
      <c r="G154" s="4"/>
      <c r="H154" s="4"/>
      <c r="I154" s="4"/>
      <c r="J154" s="4"/>
      <c r="K154" s="4"/>
      <c r="L154" s="4"/>
      <c r="M154" s="4"/>
      <c r="N154" s="4"/>
      <c r="O154" s="4"/>
      <c r="P154" s="4"/>
      <c r="Q154" s="4"/>
      <c r="R154" s="4"/>
    </row>
    <row r="155" spans="1:18" ht="12.75" customHeight="1">
      <c r="A155" s="4"/>
      <c r="B155" s="4"/>
      <c r="C155" s="3"/>
      <c r="D155" s="4"/>
      <c r="E155" s="4"/>
      <c r="F155" s="4"/>
      <c r="G155" s="4"/>
      <c r="H155" s="4"/>
      <c r="I155" s="4"/>
      <c r="J155" s="4"/>
      <c r="K155" s="4"/>
      <c r="L155" s="4"/>
      <c r="M155" s="4"/>
      <c r="N155" s="4"/>
      <c r="O155" s="4"/>
      <c r="P155" s="4"/>
      <c r="Q155" s="4"/>
      <c r="R155" s="4"/>
    </row>
    <row r="156" spans="1:18" ht="12.75" customHeight="1">
      <c r="A156" s="4"/>
      <c r="B156" s="4"/>
      <c r="C156" s="3"/>
      <c r="D156" s="4"/>
      <c r="E156" s="4"/>
      <c r="F156" s="4"/>
      <c r="G156" s="4"/>
      <c r="H156" s="4"/>
      <c r="I156" s="4"/>
      <c r="J156" s="4"/>
      <c r="K156" s="4"/>
      <c r="L156" s="4"/>
      <c r="M156" s="4"/>
      <c r="N156" s="4"/>
      <c r="O156" s="4"/>
      <c r="P156" s="4"/>
      <c r="Q156" s="4"/>
      <c r="R156" s="4"/>
    </row>
    <row r="157" spans="1:18" ht="12.75" customHeight="1">
      <c r="A157" s="4"/>
      <c r="B157" s="4"/>
      <c r="C157" s="3"/>
      <c r="D157" s="4"/>
      <c r="E157" s="4"/>
      <c r="F157" s="4"/>
      <c r="G157" s="4"/>
      <c r="H157" s="4"/>
      <c r="I157" s="4"/>
      <c r="J157" s="4"/>
      <c r="K157" s="4"/>
      <c r="L157" s="4"/>
      <c r="M157" s="4"/>
      <c r="N157" s="4"/>
      <c r="O157" s="4"/>
      <c r="P157" s="4"/>
      <c r="Q157" s="4"/>
      <c r="R157" s="4"/>
    </row>
    <row r="158" spans="1:18" ht="12.75" customHeight="1">
      <c r="A158" s="4"/>
      <c r="B158" s="4"/>
      <c r="C158" s="3"/>
      <c r="D158" s="4"/>
      <c r="E158" s="4"/>
      <c r="F158" s="4"/>
      <c r="G158" s="4"/>
      <c r="H158" s="4"/>
      <c r="I158" s="4"/>
      <c r="J158" s="4"/>
      <c r="K158" s="4"/>
      <c r="L158" s="4"/>
      <c r="M158" s="4"/>
      <c r="N158" s="4"/>
      <c r="O158" s="4"/>
      <c r="P158" s="4"/>
      <c r="Q158" s="4"/>
      <c r="R158" s="4"/>
    </row>
    <row r="159" spans="1:18" ht="12.75" customHeight="1">
      <c r="A159" s="4"/>
      <c r="B159" s="4"/>
      <c r="C159" s="3"/>
      <c r="D159" s="4"/>
      <c r="E159" s="4"/>
      <c r="F159" s="4"/>
      <c r="G159" s="4"/>
      <c r="H159" s="4"/>
      <c r="I159" s="4"/>
      <c r="J159" s="4"/>
      <c r="K159" s="4"/>
      <c r="L159" s="4"/>
      <c r="M159" s="4"/>
      <c r="N159" s="4"/>
      <c r="O159" s="4"/>
      <c r="P159" s="4"/>
      <c r="Q159" s="4"/>
      <c r="R159" s="4"/>
    </row>
    <row r="160" spans="1:18" ht="12.75" customHeight="1">
      <c r="A160" s="4"/>
      <c r="B160" s="4"/>
      <c r="C160" s="3"/>
      <c r="D160" s="4"/>
      <c r="E160" s="4"/>
      <c r="F160" s="4"/>
      <c r="G160" s="4"/>
      <c r="H160" s="4"/>
      <c r="I160" s="4"/>
      <c r="J160" s="4"/>
      <c r="K160" s="4"/>
      <c r="L160" s="4"/>
      <c r="M160" s="4"/>
      <c r="N160" s="4"/>
      <c r="O160" s="4"/>
      <c r="P160" s="4"/>
      <c r="Q160" s="4"/>
      <c r="R160" s="4"/>
    </row>
    <row r="161" spans="1:18" ht="12.75" customHeight="1">
      <c r="A161" s="4"/>
      <c r="B161" s="4"/>
      <c r="C161" s="3"/>
      <c r="D161" s="4"/>
      <c r="E161" s="4"/>
      <c r="F161" s="4"/>
      <c r="G161" s="4"/>
      <c r="H161" s="4"/>
      <c r="I161" s="4"/>
      <c r="J161" s="4"/>
      <c r="K161" s="4"/>
      <c r="L161" s="4"/>
      <c r="M161" s="4"/>
      <c r="N161" s="4"/>
      <c r="O161" s="4"/>
      <c r="P161" s="4"/>
      <c r="Q161" s="4"/>
      <c r="R161" s="4"/>
    </row>
    <row r="162" spans="1:18" ht="12.75" customHeight="1">
      <c r="A162" s="4"/>
      <c r="B162" s="4"/>
      <c r="C162" s="3"/>
      <c r="D162" s="4"/>
      <c r="E162" s="4"/>
      <c r="F162" s="4"/>
      <c r="G162" s="4"/>
      <c r="H162" s="4"/>
      <c r="I162" s="4"/>
      <c r="J162" s="4"/>
      <c r="K162" s="4"/>
      <c r="L162" s="4"/>
      <c r="M162" s="4"/>
      <c r="N162" s="4"/>
      <c r="O162" s="4"/>
      <c r="P162" s="4"/>
      <c r="Q162" s="4"/>
      <c r="R162" s="4"/>
    </row>
    <row r="163" spans="1:18" ht="12.75" customHeight="1">
      <c r="A163" s="4"/>
      <c r="B163" s="4"/>
      <c r="C163" s="3"/>
      <c r="D163" s="4"/>
      <c r="E163" s="4"/>
      <c r="F163" s="4"/>
      <c r="G163" s="4"/>
      <c r="H163" s="4"/>
      <c r="I163" s="4"/>
      <c r="J163" s="4"/>
      <c r="K163" s="4"/>
      <c r="L163" s="4"/>
      <c r="M163" s="4"/>
      <c r="N163" s="4"/>
      <c r="O163" s="4"/>
      <c r="P163" s="4"/>
      <c r="Q163" s="4"/>
      <c r="R163" s="4"/>
    </row>
    <row r="164" spans="1:18" ht="12.75" customHeight="1">
      <c r="A164" s="4"/>
      <c r="B164" s="4"/>
      <c r="C164" s="3"/>
      <c r="D164" s="4"/>
      <c r="E164" s="4"/>
      <c r="F164" s="4"/>
      <c r="G164" s="4"/>
      <c r="H164" s="4"/>
      <c r="I164" s="4"/>
      <c r="J164" s="4"/>
      <c r="K164" s="4"/>
      <c r="L164" s="4"/>
      <c r="M164" s="4"/>
      <c r="N164" s="4"/>
      <c r="O164" s="4"/>
      <c r="P164" s="4"/>
      <c r="Q164" s="4"/>
      <c r="R164" s="4"/>
    </row>
    <row r="165" spans="1:18" ht="12.75" customHeight="1">
      <c r="A165" s="4"/>
      <c r="B165" s="4"/>
      <c r="C165" s="3"/>
      <c r="D165" s="4"/>
      <c r="E165" s="4"/>
      <c r="F165" s="4"/>
      <c r="G165" s="4"/>
      <c r="H165" s="4"/>
      <c r="I165" s="4"/>
      <c r="J165" s="4"/>
      <c r="K165" s="4"/>
      <c r="L165" s="4"/>
      <c r="M165" s="4"/>
      <c r="N165" s="4"/>
      <c r="O165" s="4"/>
      <c r="P165" s="4"/>
      <c r="Q165" s="4"/>
      <c r="R165" s="4"/>
    </row>
    <row r="166" spans="1:18" ht="12.75" customHeight="1">
      <c r="A166" s="4"/>
      <c r="B166" s="4"/>
      <c r="C166" s="3"/>
      <c r="D166" s="4"/>
      <c r="E166" s="4"/>
      <c r="F166" s="4"/>
      <c r="G166" s="4"/>
      <c r="H166" s="4"/>
      <c r="I166" s="4"/>
      <c r="J166" s="4"/>
      <c r="K166" s="4"/>
      <c r="L166" s="4"/>
      <c r="M166" s="4"/>
      <c r="N166" s="4"/>
      <c r="O166" s="4"/>
      <c r="P166" s="4"/>
      <c r="Q166" s="4"/>
      <c r="R166" s="4"/>
    </row>
    <row r="167" spans="1:18" ht="12.75" customHeight="1">
      <c r="A167" s="4"/>
      <c r="B167" s="4"/>
      <c r="C167" s="3"/>
      <c r="D167" s="4"/>
      <c r="E167" s="4"/>
      <c r="F167" s="4"/>
      <c r="G167" s="4"/>
      <c r="H167" s="4"/>
      <c r="I167" s="4"/>
      <c r="J167" s="4"/>
      <c r="K167" s="4"/>
      <c r="L167" s="4"/>
      <c r="M167" s="4"/>
      <c r="N167" s="4"/>
      <c r="O167" s="4"/>
      <c r="P167" s="4"/>
      <c r="Q167" s="4"/>
      <c r="R167" s="4"/>
    </row>
    <row r="168" spans="1:18" ht="12.75" customHeight="1">
      <c r="A168" s="4"/>
      <c r="B168" s="4"/>
      <c r="C168" s="3"/>
      <c r="D168" s="4"/>
      <c r="E168" s="4"/>
      <c r="F168" s="4"/>
      <c r="G168" s="4"/>
      <c r="H168" s="4"/>
      <c r="I168" s="4"/>
      <c r="J168" s="4"/>
      <c r="K168" s="4"/>
      <c r="L168" s="4"/>
      <c r="M168" s="4"/>
      <c r="N168" s="4"/>
      <c r="O168" s="4"/>
      <c r="P168" s="4"/>
      <c r="Q168" s="4"/>
      <c r="R168" s="4"/>
    </row>
    <row r="169" spans="1:18" ht="12.75" customHeight="1">
      <c r="A169" s="4"/>
      <c r="B169" s="4"/>
      <c r="C169" s="3"/>
      <c r="D169" s="4"/>
      <c r="E169" s="4"/>
      <c r="F169" s="4"/>
      <c r="G169" s="4"/>
      <c r="H169" s="4"/>
      <c r="I169" s="4"/>
      <c r="J169" s="4"/>
      <c r="K169" s="4"/>
      <c r="L169" s="4"/>
      <c r="M169" s="4"/>
      <c r="N169" s="4"/>
      <c r="O169" s="4"/>
      <c r="P169" s="4"/>
      <c r="Q169" s="4"/>
      <c r="R169" s="4"/>
    </row>
    <row r="170" spans="1:18" ht="12.75" customHeight="1">
      <c r="A170" s="4"/>
      <c r="B170" s="4"/>
      <c r="C170" s="3"/>
      <c r="D170" s="4"/>
      <c r="E170" s="4"/>
      <c r="F170" s="4"/>
      <c r="G170" s="4"/>
      <c r="H170" s="4"/>
      <c r="I170" s="4"/>
      <c r="J170" s="4"/>
      <c r="K170" s="4"/>
      <c r="L170" s="4"/>
      <c r="M170" s="4"/>
      <c r="N170" s="4"/>
      <c r="O170" s="4"/>
      <c r="P170" s="4"/>
      <c r="Q170" s="4"/>
      <c r="R170" s="4"/>
    </row>
    <row r="171" spans="1:18" ht="12.75" customHeight="1">
      <c r="A171" s="4"/>
      <c r="B171" s="4"/>
      <c r="C171" s="3"/>
      <c r="D171" s="4"/>
      <c r="E171" s="4"/>
      <c r="F171" s="4"/>
      <c r="G171" s="4"/>
      <c r="H171" s="4"/>
      <c r="I171" s="4"/>
      <c r="J171" s="4"/>
      <c r="K171" s="4"/>
      <c r="L171" s="4"/>
      <c r="M171" s="4"/>
      <c r="N171" s="4"/>
      <c r="O171" s="4"/>
      <c r="P171" s="4"/>
      <c r="Q171" s="4"/>
      <c r="R171" s="4"/>
    </row>
    <row r="172" spans="1:18" ht="12.75" customHeight="1">
      <c r="A172" s="4"/>
      <c r="B172" s="4"/>
      <c r="C172" s="3"/>
      <c r="D172" s="4"/>
      <c r="E172" s="4"/>
      <c r="F172" s="4"/>
      <c r="G172" s="4"/>
      <c r="H172" s="4"/>
      <c r="I172" s="4"/>
      <c r="J172" s="4"/>
      <c r="K172" s="4"/>
      <c r="L172" s="4"/>
      <c r="M172" s="4"/>
      <c r="N172" s="4"/>
      <c r="O172" s="4"/>
      <c r="P172" s="4"/>
      <c r="Q172" s="4"/>
      <c r="R172" s="4"/>
    </row>
    <row r="173" spans="1:18" ht="12.75" customHeight="1">
      <c r="A173" s="4"/>
      <c r="B173" s="4"/>
      <c r="C173" s="3"/>
      <c r="D173" s="4"/>
      <c r="E173" s="4"/>
      <c r="F173" s="4"/>
      <c r="G173" s="4"/>
      <c r="H173" s="4"/>
      <c r="I173" s="4"/>
      <c r="J173" s="4"/>
      <c r="K173" s="4"/>
      <c r="L173" s="4"/>
      <c r="M173" s="4"/>
      <c r="N173" s="4"/>
      <c r="O173" s="4"/>
      <c r="P173" s="4"/>
      <c r="Q173" s="4"/>
      <c r="R173" s="4"/>
    </row>
    <row r="174" spans="1:18" ht="12.75" customHeight="1">
      <c r="A174" s="4"/>
      <c r="B174" s="4"/>
      <c r="C174" s="3"/>
      <c r="D174" s="4"/>
      <c r="E174" s="4"/>
      <c r="F174" s="4"/>
      <c r="G174" s="4"/>
      <c r="H174" s="4"/>
      <c r="I174" s="4"/>
      <c r="J174" s="4"/>
      <c r="K174" s="4"/>
      <c r="L174" s="4"/>
      <c r="M174" s="4"/>
      <c r="N174" s="4"/>
      <c r="O174" s="4"/>
      <c r="P174" s="4"/>
      <c r="Q174" s="4"/>
      <c r="R174" s="4"/>
    </row>
    <row r="175" spans="1:18" ht="12.75" customHeight="1">
      <c r="A175" s="4"/>
      <c r="B175" s="4"/>
      <c r="C175" s="3"/>
      <c r="D175" s="4"/>
      <c r="E175" s="4"/>
      <c r="F175" s="4"/>
      <c r="G175" s="4"/>
      <c r="H175" s="4"/>
      <c r="I175" s="4"/>
      <c r="J175" s="4"/>
      <c r="K175" s="4"/>
      <c r="L175" s="4"/>
      <c r="M175" s="4"/>
      <c r="N175" s="4"/>
      <c r="O175" s="4"/>
      <c r="P175" s="4"/>
      <c r="Q175" s="4"/>
      <c r="R175" s="4"/>
    </row>
    <row r="176" spans="1:18" ht="12.75" customHeight="1">
      <c r="A176" s="4"/>
      <c r="B176" s="4"/>
      <c r="C176" s="3"/>
      <c r="D176" s="4"/>
      <c r="E176" s="4"/>
      <c r="F176" s="4"/>
      <c r="G176" s="4"/>
      <c r="H176" s="4"/>
      <c r="I176" s="4"/>
      <c r="J176" s="4"/>
      <c r="K176" s="4"/>
      <c r="L176" s="4"/>
      <c r="M176" s="4"/>
      <c r="N176" s="4"/>
      <c r="O176" s="4"/>
      <c r="P176" s="4"/>
      <c r="Q176" s="4"/>
      <c r="R176" s="4"/>
    </row>
    <row r="177" spans="1:18" ht="12.75" customHeight="1">
      <c r="A177" s="4"/>
      <c r="B177" s="4"/>
      <c r="C177" s="3"/>
      <c r="D177" s="4"/>
      <c r="E177" s="4"/>
      <c r="F177" s="4"/>
      <c r="G177" s="4"/>
      <c r="H177" s="4"/>
      <c r="I177" s="4"/>
      <c r="J177" s="4"/>
      <c r="K177" s="4"/>
      <c r="L177" s="4"/>
      <c r="M177" s="4"/>
      <c r="N177" s="4"/>
      <c r="O177" s="4"/>
      <c r="P177" s="4"/>
      <c r="Q177" s="4"/>
      <c r="R177" s="4"/>
    </row>
    <row r="178" spans="1:18" ht="12.75" customHeight="1">
      <c r="A178" s="4"/>
      <c r="B178" s="4"/>
      <c r="C178" s="3"/>
      <c r="D178" s="4"/>
      <c r="E178" s="4"/>
      <c r="F178" s="4"/>
      <c r="G178" s="4"/>
      <c r="H178" s="4"/>
      <c r="I178" s="4"/>
      <c r="J178" s="4"/>
      <c r="K178" s="4"/>
      <c r="L178" s="4"/>
      <c r="M178" s="4"/>
      <c r="N178" s="4"/>
      <c r="O178" s="4"/>
      <c r="P178" s="4"/>
      <c r="Q178" s="4"/>
      <c r="R178" s="4"/>
    </row>
    <row r="179" spans="1:18" ht="12.75" customHeight="1">
      <c r="A179" s="4"/>
      <c r="B179" s="4"/>
      <c r="C179" s="3"/>
      <c r="D179" s="4"/>
      <c r="E179" s="4"/>
      <c r="F179" s="4"/>
      <c r="G179" s="4"/>
      <c r="H179" s="4"/>
      <c r="I179" s="4"/>
      <c r="J179" s="4"/>
      <c r="K179" s="4"/>
      <c r="L179" s="4"/>
      <c r="M179" s="4"/>
      <c r="N179" s="4"/>
      <c r="O179" s="4"/>
      <c r="P179" s="4"/>
      <c r="Q179" s="4"/>
      <c r="R179" s="4"/>
    </row>
    <row r="180" spans="1:18" ht="12.75" customHeight="1">
      <c r="A180" s="4"/>
      <c r="B180" s="4"/>
      <c r="C180" s="3"/>
      <c r="D180" s="4"/>
      <c r="E180" s="4"/>
      <c r="F180" s="4"/>
      <c r="G180" s="4"/>
      <c r="H180" s="4"/>
      <c r="I180" s="4"/>
      <c r="J180" s="4"/>
      <c r="K180" s="4"/>
      <c r="L180" s="4"/>
      <c r="M180" s="4"/>
      <c r="N180" s="4"/>
      <c r="O180" s="4"/>
      <c r="P180" s="4"/>
      <c r="Q180" s="4"/>
      <c r="R180" s="4"/>
    </row>
    <row r="181" spans="1:18" ht="12.75" customHeight="1">
      <c r="A181" s="4"/>
      <c r="B181" s="4"/>
      <c r="C181" s="3"/>
      <c r="D181" s="4"/>
      <c r="E181" s="4"/>
      <c r="F181" s="4"/>
      <c r="G181" s="4"/>
      <c r="H181" s="4"/>
      <c r="I181" s="4"/>
      <c r="J181" s="4"/>
      <c r="K181" s="4"/>
      <c r="L181" s="4"/>
      <c r="M181" s="4"/>
      <c r="N181" s="4"/>
      <c r="O181" s="4"/>
      <c r="P181" s="4"/>
      <c r="Q181" s="4"/>
      <c r="R181" s="4"/>
    </row>
    <row r="182" spans="1:18" ht="12.75" customHeight="1">
      <c r="A182" s="4"/>
      <c r="B182" s="4"/>
      <c r="C182" s="3"/>
      <c r="D182" s="4"/>
      <c r="E182" s="4"/>
      <c r="F182" s="4"/>
      <c r="G182" s="4"/>
      <c r="H182" s="4"/>
      <c r="I182" s="4"/>
      <c r="J182" s="4"/>
      <c r="K182" s="4"/>
      <c r="L182" s="4"/>
      <c r="M182" s="4"/>
      <c r="N182" s="4"/>
      <c r="O182" s="4"/>
      <c r="P182" s="4"/>
      <c r="Q182" s="4"/>
      <c r="R182" s="4"/>
    </row>
    <row r="183" spans="1:18" ht="12.75" customHeight="1">
      <c r="A183" s="4"/>
      <c r="B183" s="4"/>
      <c r="C183" s="3"/>
      <c r="D183" s="4"/>
      <c r="E183" s="4"/>
      <c r="F183" s="4"/>
      <c r="G183" s="4"/>
      <c r="H183" s="4"/>
      <c r="I183" s="4"/>
      <c r="J183" s="4"/>
      <c r="K183" s="4"/>
      <c r="L183" s="4"/>
      <c r="M183" s="4"/>
      <c r="N183" s="4"/>
      <c r="O183" s="4"/>
      <c r="P183" s="4"/>
      <c r="Q183" s="4"/>
      <c r="R183" s="4"/>
    </row>
    <row r="184" spans="1:18" ht="12.75" customHeight="1">
      <c r="A184" s="4"/>
      <c r="B184" s="4"/>
      <c r="C184" s="3"/>
      <c r="D184" s="4"/>
      <c r="E184" s="4"/>
      <c r="F184" s="4"/>
      <c r="G184" s="4"/>
      <c r="H184" s="4"/>
      <c r="I184" s="4"/>
      <c r="J184" s="4"/>
      <c r="K184" s="4"/>
      <c r="L184" s="4"/>
      <c r="M184" s="4"/>
      <c r="N184" s="4"/>
      <c r="O184" s="4"/>
      <c r="P184" s="4"/>
      <c r="Q184" s="4"/>
      <c r="R184" s="4"/>
    </row>
    <row r="185" spans="1:18" ht="12.75" customHeight="1">
      <c r="A185" s="4"/>
      <c r="B185" s="4"/>
      <c r="C185" s="3"/>
      <c r="D185" s="4"/>
      <c r="E185" s="4"/>
      <c r="F185" s="4"/>
      <c r="G185" s="4"/>
      <c r="H185" s="4"/>
      <c r="I185" s="4"/>
      <c r="J185" s="4"/>
      <c r="K185" s="4"/>
      <c r="L185" s="4"/>
      <c r="M185" s="4"/>
      <c r="N185" s="4"/>
      <c r="O185" s="4"/>
      <c r="P185" s="4"/>
      <c r="Q185" s="4"/>
      <c r="R185" s="4"/>
    </row>
    <row r="186" spans="1:18" ht="12.75" customHeight="1">
      <c r="A186" s="4"/>
      <c r="B186" s="4"/>
      <c r="C186" s="3"/>
      <c r="D186" s="4"/>
      <c r="E186" s="4"/>
      <c r="F186" s="4"/>
      <c r="G186" s="4"/>
      <c r="H186" s="4"/>
      <c r="I186" s="4"/>
      <c r="J186" s="4"/>
      <c r="K186" s="4"/>
      <c r="L186" s="4"/>
      <c r="M186" s="4"/>
      <c r="N186" s="4"/>
      <c r="O186" s="4"/>
      <c r="P186" s="4"/>
      <c r="Q186" s="4"/>
      <c r="R186" s="4"/>
    </row>
    <row r="187" spans="1:18" ht="12.75" customHeight="1">
      <c r="A187" s="4"/>
      <c r="B187" s="4"/>
      <c r="C187" s="3"/>
      <c r="D187" s="4"/>
      <c r="E187" s="4"/>
      <c r="F187" s="4"/>
      <c r="G187" s="4"/>
      <c r="H187" s="4"/>
      <c r="I187" s="4"/>
      <c r="J187" s="4"/>
      <c r="K187" s="4"/>
      <c r="L187" s="4"/>
      <c r="M187" s="4"/>
      <c r="N187" s="4"/>
      <c r="O187" s="4"/>
      <c r="P187" s="4"/>
      <c r="Q187" s="4"/>
      <c r="R187" s="4"/>
    </row>
    <row r="188" spans="1:18" ht="12.75" customHeight="1">
      <c r="A188" s="4"/>
      <c r="B188" s="4"/>
      <c r="C188" s="3"/>
      <c r="D188" s="4"/>
      <c r="E188" s="4"/>
      <c r="F188" s="4"/>
      <c r="G188" s="4"/>
      <c r="H188" s="4"/>
      <c r="I188" s="4"/>
      <c r="J188" s="4"/>
      <c r="K188" s="4"/>
      <c r="L188" s="4"/>
      <c r="M188" s="4"/>
      <c r="N188" s="4"/>
      <c r="O188" s="4"/>
      <c r="P188" s="4"/>
      <c r="Q188" s="4"/>
      <c r="R188" s="4"/>
    </row>
    <row r="189" spans="1:18" ht="12.75" customHeight="1">
      <c r="A189" s="4"/>
      <c r="B189" s="4"/>
      <c r="C189" s="3"/>
      <c r="D189" s="4"/>
      <c r="E189" s="4"/>
      <c r="F189" s="4"/>
      <c r="G189" s="4"/>
      <c r="H189" s="4"/>
      <c r="I189" s="4"/>
      <c r="J189" s="4"/>
      <c r="K189" s="4"/>
      <c r="L189" s="4"/>
      <c r="M189" s="4"/>
      <c r="N189" s="4"/>
      <c r="O189" s="4"/>
      <c r="P189" s="4"/>
      <c r="Q189" s="4"/>
      <c r="R189" s="4"/>
    </row>
    <row r="190" spans="1:18" ht="12.75" customHeight="1">
      <c r="A190" s="4"/>
      <c r="B190" s="4"/>
      <c r="C190" s="3"/>
      <c r="D190" s="4"/>
      <c r="E190" s="4"/>
      <c r="F190" s="4"/>
      <c r="G190" s="4"/>
      <c r="H190" s="4"/>
      <c r="I190" s="4"/>
      <c r="J190" s="4"/>
      <c r="K190" s="4"/>
      <c r="L190" s="4"/>
      <c r="M190" s="4"/>
      <c r="N190" s="4"/>
      <c r="O190" s="4"/>
      <c r="P190" s="4"/>
      <c r="Q190" s="4"/>
      <c r="R190" s="4"/>
    </row>
    <row r="191" spans="1:18" ht="12.75" customHeight="1">
      <c r="A191" s="4"/>
      <c r="B191" s="4"/>
      <c r="C191" s="3"/>
      <c r="D191" s="4"/>
      <c r="E191" s="4"/>
      <c r="F191" s="4"/>
      <c r="G191" s="4"/>
      <c r="H191" s="4"/>
      <c r="I191" s="4"/>
      <c r="J191" s="4"/>
      <c r="K191" s="4"/>
      <c r="L191" s="4"/>
      <c r="M191" s="4"/>
      <c r="N191" s="4"/>
      <c r="O191" s="4"/>
      <c r="P191" s="4"/>
      <c r="Q191" s="4"/>
      <c r="R191" s="4"/>
    </row>
    <row r="192" spans="1:18" ht="12.75" customHeight="1">
      <c r="A192" s="4"/>
      <c r="B192" s="4"/>
      <c r="C192" s="3"/>
      <c r="D192" s="4"/>
      <c r="E192" s="4"/>
      <c r="F192" s="4"/>
      <c r="G192" s="4"/>
      <c r="H192" s="4"/>
      <c r="I192" s="4"/>
      <c r="J192" s="4"/>
      <c r="K192" s="4"/>
      <c r="L192" s="4"/>
      <c r="M192" s="4"/>
      <c r="N192" s="4"/>
      <c r="O192" s="4"/>
      <c r="P192" s="4"/>
      <c r="Q192" s="4"/>
      <c r="R192" s="4"/>
    </row>
    <row r="193" spans="1:18" ht="12.75" customHeight="1">
      <c r="A193" s="4"/>
      <c r="B193" s="4"/>
      <c r="C193" s="3"/>
      <c r="D193" s="4"/>
      <c r="E193" s="4"/>
      <c r="F193" s="4"/>
      <c r="G193" s="4"/>
      <c r="H193" s="4"/>
      <c r="I193" s="4"/>
      <c r="J193" s="4"/>
      <c r="K193" s="4"/>
      <c r="L193" s="4"/>
      <c r="M193" s="4"/>
      <c r="N193" s="4"/>
      <c r="O193" s="4"/>
      <c r="P193" s="4"/>
      <c r="Q193" s="4"/>
      <c r="R193" s="4"/>
    </row>
    <row r="194" spans="1:18" ht="12.75" customHeight="1">
      <c r="A194" s="4"/>
      <c r="B194" s="4"/>
      <c r="C194" s="3"/>
      <c r="D194" s="4"/>
      <c r="E194" s="4"/>
      <c r="F194" s="4"/>
      <c r="G194" s="4"/>
      <c r="H194" s="4"/>
      <c r="I194" s="4"/>
      <c r="J194" s="4"/>
      <c r="K194" s="4"/>
      <c r="L194" s="4"/>
      <c r="M194" s="4"/>
      <c r="N194" s="4"/>
      <c r="O194" s="4"/>
      <c r="P194" s="4"/>
      <c r="Q194" s="4"/>
      <c r="R194" s="4"/>
    </row>
    <row r="195" spans="1:18" ht="12.75" customHeight="1">
      <c r="A195" s="4"/>
      <c r="B195" s="4"/>
      <c r="C195" s="3"/>
      <c r="D195" s="4"/>
      <c r="E195" s="4"/>
      <c r="F195" s="4"/>
      <c r="G195" s="4"/>
      <c r="H195" s="4"/>
      <c r="I195" s="4"/>
      <c r="J195" s="4"/>
      <c r="K195" s="4"/>
      <c r="L195" s="4"/>
      <c r="M195" s="4"/>
      <c r="N195" s="4"/>
      <c r="O195" s="4"/>
      <c r="P195" s="4"/>
      <c r="Q195" s="4"/>
      <c r="R195" s="4"/>
    </row>
    <row r="196" spans="1:18" ht="12.75" customHeight="1">
      <c r="A196" s="4"/>
      <c r="B196" s="4"/>
      <c r="C196" s="3"/>
      <c r="D196" s="4"/>
      <c r="E196" s="4"/>
      <c r="F196" s="4"/>
      <c r="G196" s="4"/>
      <c r="H196" s="4"/>
      <c r="I196" s="4"/>
      <c r="J196" s="4"/>
      <c r="K196" s="4"/>
      <c r="L196" s="4"/>
      <c r="M196" s="4"/>
      <c r="N196" s="4"/>
      <c r="O196" s="4"/>
      <c r="P196" s="4"/>
      <c r="Q196" s="4"/>
      <c r="R196" s="4"/>
    </row>
    <row r="197" spans="1:18" ht="12.75" customHeight="1">
      <c r="A197" s="4"/>
      <c r="B197" s="4"/>
      <c r="C197" s="3"/>
      <c r="D197" s="4"/>
      <c r="E197" s="4"/>
      <c r="F197" s="4"/>
      <c r="G197" s="4"/>
      <c r="H197" s="4"/>
      <c r="I197" s="4"/>
      <c r="J197" s="4"/>
      <c r="K197" s="4"/>
      <c r="L197" s="4"/>
      <c r="M197" s="4"/>
      <c r="N197" s="4"/>
      <c r="O197" s="4"/>
      <c r="P197" s="4"/>
      <c r="Q197" s="4"/>
      <c r="R197" s="4"/>
    </row>
    <row r="198" spans="1:18" ht="12.75" customHeight="1">
      <c r="A198" s="4"/>
      <c r="B198" s="4"/>
      <c r="C198" s="3"/>
      <c r="D198" s="4"/>
      <c r="E198" s="4"/>
      <c r="F198" s="4"/>
      <c r="G198" s="4"/>
      <c r="H198" s="4"/>
      <c r="I198" s="4"/>
      <c r="J198" s="4"/>
      <c r="K198" s="4"/>
      <c r="L198" s="4"/>
      <c r="M198" s="4"/>
      <c r="N198" s="4"/>
      <c r="O198" s="4"/>
      <c r="P198" s="4"/>
      <c r="Q198" s="4"/>
      <c r="R198" s="4"/>
    </row>
    <row r="199" spans="1:18" ht="12.75" customHeight="1">
      <c r="A199" s="4"/>
      <c r="B199" s="4"/>
      <c r="C199" s="3"/>
      <c r="D199" s="4"/>
      <c r="E199" s="4"/>
      <c r="F199" s="4"/>
      <c r="G199" s="4"/>
      <c r="H199" s="4"/>
      <c r="I199" s="4"/>
      <c r="J199" s="4"/>
      <c r="K199" s="4"/>
      <c r="L199" s="4"/>
      <c r="M199" s="4"/>
      <c r="N199" s="4"/>
      <c r="O199" s="4"/>
      <c r="P199" s="4"/>
      <c r="Q199" s="4"/>
      <c r="R199" s="4"/>
    </row>
    <row r="200" spans="1:18" ht="12.75" customHeight="1">
      <c r="A200" s="4"/>
      <c r="B200" s="4"/>
      <c r="C200" s="3"/>
      <c r="D200" s="4"/>
      <c r="E200" s="4"/>
      <c r="F200" s="4"/>
      <c r="G200" s="4"/>
      <c r="H200" s="4"/>
      <c r="I200" s="4"/>
      <c r="J200" s="4"/>
      <c r="K200" s="4"/>
      <c r="L200" s="4"/>
      <c r="M200" s="4"/>
      <c r="N200" s="4"/>
      <c r="O200" s="4"/>
      <c r="P200" s="4"/>
      <c r="Q200" s="4"/>
      <c r="R200" s="4"/>
    </row>
    <row r="201" spans="1:18" ht="12.75" customHeight="1">
      <c r="A201" s="4"/>
      <c r="B201" s="4"/>
      <c r="C201" s="3"/>
      <c r="D201" s="4"/>
      <c r="E201" s="4"/>
      <c r="F201" s="4"/>
      <c r="G201" s="4"/>
      <c r="H201" s="4"/>
      <c r="I201" s="4"/>
      <c r="J201" s="4"/>
      <c r="K201" s="4"/>
      <c r="L201" s="4"/>
      <c r="M201" s="4"/>
      <c r="N201" s="4"/>
      <c r="O201" s="4"/>
      <c r="P201" s="4"/>
      <c r="Q201" s="4"/>
      <c r="R201" s="4"/>
    </row>
    <row r="202" spans="1:18" ht="12.75" customHeight="1">
      <c r="A202" s="4"/>
      <c r="B202" s="4"/>
      <c r="C202" s="3"/>
      <c r="D202" s="4"/>
      <c r="E202" s="4"/>
      <c r="F202" s="4"/>
      <c r="G202" s="4"/>
      <c r="H202" s="4"/>
      <c r="I202" s="4"/>
      <c r="J202" s="4"/>
      <c r="K202" s="4"/>
      <c r="L202" s="4"/>
      <c r="M202" s="4"/>
      <c r="N202" s="4"/>
      <c r="O202" s="4"/>
      <c r="P202" s="4"/>
      <c r="Q202" s="4"/>
      <c r="R202" s="4"/>
    </row>
    <row r="203" spans="1:18" ht="12.75" customHeight="1">
      <c r="A203" s="4"/>
      <c r="B203" s="4"/>
      <c r="C203" s="3"/>
      <c r="D203" s="4"/>
      <c r="E203" s="4"/>
      <c r="F203" s="4"/>
      <c r="G203" s="4"/>
      <c r="H203" s="4"/>
      <c r="I203" s="4"/>
      <c r="J203" s="4"/>
      <c r="K203" s="4"/>
      <c r="L203" s="4"/>
      <c r="M203" s="4"/>
      <c r="N203" s="4"/>
      <c r="O203" s="4"/>
      <c r="P203" s="4"/>
      <c r="Q203" s="4"/>
      <c r="R203" s="4"/>
    </row>
    <row r="204" spans="1:18" ht="12.75" customHeight="1">
      <c r="A204" s="4"/>
      <c r="B204" s="4"/>
      <c r="C204" s="3"/>
      <c r="D204" s="4"/>
      <c r="E204" s="4"/>
      <c r="F204" s="4"/>
      <c r="G204" s="4"/>
      <c r="H204" s="4"/>
      <c r="I204" s="4"/>
      <c r="J204" s="4"/>
      <c r="K204" s="4"/>
      <c r="L204" s="4"/>
      <c r="M204" s="4"/>
      <c r="N204" s="4"/>
      <c r="O204" s="4"/>
      <c r="P204" s="4"/>
      <c r="Q204" s="4"/>
      <c r="R204" s="4"/>
    </row>
    <row r="205" spans="1:18" ht="12.75" customHeight="1">
      <c r="A205" s="4"/>
      <c r="B205" s="4"/>
      <c r="C205" s="3"/>
      <c r="D205" s="4"/>
      <c r="E205" s="4"/>
      <c r="F205" s="4"/>
      <c r="G205" s="4"/>
      <c r="H205" s="4"/>
      <c r="I205" s="4"/>
      <c r="J205" s="4"/>
      <c r="K205" s="4"/>
      <c r="L205" s="4"/>
      <c r="M205" s="4"/>
      <c r="N205" s="4"/>
      <c r="O205" s="4"/>
      <c r="P205" s="4"/>
      <c r="Q205" s="4"/>
      <c r="R205" s="4"/>
    </row>
    <row r="206" spans="1:18" ht="12.75" customHeight="1">
      <c r="A206" s="4"/>
      <c r="B206" s="4"/>
      <c r="C206" s="3"/>
      <c r="D206" s="4"/>
      <c r="E206" s="4"/>
      <c r="F206" s="4"/>
      <c r="G206" s="4"/>
      <c r="H206" s="4"/>
      <c r="I206" s="4"/>
      <c r="J206" s="4"/>
      <c r="K206" s="4"/>
      <c r="L206" s="4"/>
      <c r="M206" s="4"/>
      <c r="N206" s="4"/>
      <c r="O206" s="4"/>
      <c r="P206" s="4"/>
      <c r="Q206" s="4"/>
      <c r="R206" s="4"/>
    </row>
    <row r="207" spans="1:18" ht="12.75" customHeight="1">
      <c r="A207" s="4"/>
      <c r="B207" s="4"/>
      <c r="C207" s="3"/>
      <c r="D207" s="4"/>
      <c r="E207" s="4"/>
      <c r="F207" s="4"/>
      <c r="G207" s="4"/>
      <c r="H207" s="4"/>
      <c r="I207" s="4"/>
      <c r="J207" s="4"/>
      <c r="K207" s="4"/>
      <c r="L207" s="4"/>
      <c r="M207" s="4"/>
      <c r="N207" s="4"/>
      <c r="O207" s="4"/>
      <c r="P207" s="4"/>
      <c r="Q207" s="4"/>
      <c r="R207" s="4"/>
    </row>
    <row r="208" spans="1:18" ht="12.75" customHeight="1">
      <c r="A208" s="4"/>
      <c r="B208" s="4"/>
      <c r="C208" s="3"/>
      <c r="D208" s="4"/>
      <c r="E208" s="4"/>
      <c r="F208" s="4"/>
      <c r="G208" s="4"/>
      <c r="H208" s="4"/>
      <c r="I208" s="4"/>
      <c r="J208" s="4"/>
      <c r="K208" s="4"/>
      <c r="L208" s="4"/>
      <c r="M208" s="4"/>
      <c r="N208" s="4"/>
      <c r="O208" s="4"/>
      <c r="P208" s="4"/>
      <c r="Q208" s="4"/>
      <c r="R208" s="4"/>
    </row>
    <row r="209" spans="1:18" ht="12.75" customHeight="1">
      <c r="A209" s="4"/>
      <c r="B209" s="4"/>
      <c r="C209" s="3"/>
      <c r="D209" s="4"/>
      <c r="E209" s="4"/>
      <c r="F209" s="4"/>
      <c r="G209" s="4"/>
      <c r="H209" s="4"/>
      <c r="I209" s="4"/>
      <c r="J209" s="4"/>
      <c r="K209" s="4"/>
      <c r="L209" s="4"/>
      <c r="M209" s="4"/>
      <c r="N209" s="4"/>
      <c r="O209" s="4"/>
      <c r="P209" s="4"/>
      <c r="Q209" s="4"/>
      <c r="R209" s="4"/>
    </row>
    <row r="210" spans="1:18" ht="12.75" customHeight="1">
      <c r="A210" s="4"/>
      <c r="B210" s="4"/>
      <c r="C210" s="3"/>
      <c r="D210" s="4"/>
      <c r="E210" s="4"/>
      <c r="F210" s="4"/>
      <c r="G210" s="4"/>
      <c r="H210" s="4"/>
      <c r="I210" s="4"/>
      <c r="J210" s="4"/>
      <c r="K210" s="4"/>
      <c r="L210" s="4"/>
      <c r="M210" s="4"/>
      <c r="N210" s="4"/>
      <c r="O210" s="4"/>
      <c r="P210" s="4"/>
      <c r="Q210" s="4"/>
      <c r="R210" s="4"/>
    </row>
    <row r="211" spans="1:18" ht="12.75" customHeight="1">
      <c r="A211" s="4"/>
      <c r="B211" s="4"/>
      <c r="C211" s="3"/>
      <c r="D211" s="4"/>
      <c r="E211" s="4"/>
      <c r="F211" s="4"/>
      <c r="G211" s="4"/>
      <c r="H211" s="4"/>
      <c r="I211" s="4"/>
      <c r="J211" s="4"/>
      <c r="K211" s="4"/>
      <c r="L211" s="4"/>
      <c r="M211" s="4"/>
      <c r="N211" s="4"/>
      <c r="O211" s="4"/>
      <c r="P211" s="4"/>
      <c r="Q211" s="4"/>
      <c r="R211" s="4"/>
    </row>
    <row r="212" spans="1:18" ht="12.75" customHeight="1">
      <c r="A212" s="4"/>
      <c r="B212" s="4"/>
      <c r="C212" s="3"/>
      <c r="D212" s="4"/>
      <c r="E212" s="4"/>
      <c r="F212" s="4"/>
      <c r="G212" s="4"/>
      <c r="H212" s="4"/>
      <c r="I212" s="4"/>
      <c r="J212" s="4"/>
      <c r="K212" s="4"/>
      <c r="L212" s="4"/>
      <c r="M212" s="4"/>
      <c r="N212" s="4"/>
      <c r="O212" s="4"/>
      <c r="P212" s="4"/>
      <c r="Q212" s="4"/>
      <c r="R212" s="4"/>
    </row>
    <row r="213" spans="1:18" ht="12.75" customHeight="1">
      <c r="A213" s="4"/>
      <c r="B213" s="4"/>
      <c r="C213" s="3"/>
      <c r="D213" s="4"/>
      <c r="E213" s="4"/>
      <c r="F213" s="4"/>
      <c r="G213" s="4"/>
      <c r="H213" s="4"/>
      <c r="I213" s="4"/>
      <c r="J213" s="4"/>
      <c r="K213" s="4"/>
      <c r="L213" s="4"/>
      <c r="M213" s="4"/>
      <c r="N213" s="4"/>
      <c r="O213" s="4"/>
      <c r="P213" s="4"/>
      <c r="Q213" s="4"/>
      <c r="R213" s="4"/>
    </row>
    <row r="214" spans="1:18" ht="12.75" customHeight="1">
      <c r="A214" s="4"/>
      <c r="B214" s="4"/>
      <c r="C214" s="3"/>
      <c r="D214" s="4"/>
      <c r="E214" s="4"/>
      <c r="F214" s="4"/>
      <c r="G214" s="4"/>
      <c r="H214" s="4"/>
      <c r="I214" s="4"/>
      <c r="J214" s="4"/>
      <c r="K214" s="4"/>
      <c r="L214" s="4"/>
      <c r="M214" s="4"/>
      <c r="N214" s="4"/>
      <c r="O214" s="4"/>
      <c r="P214" s="4"/>
      <c r="Q214" s="4"/>
      <c r="R214" s="4"/>
    </row>
    <row r="215" spans="1:18" ht="12.75" customHeight="1">
      <c r="A215" s="4"/>
      <c r="B215" s="4"/>
      <c r="C215" s="3"/>
      <c r="D215" s="4"/>
      <c r="E215" s="4"/>
      <c r="F215" s="4"/>
      <c r="G215" s="4"/>
      <c r="H215" s="4"/>
      <c r="I215" s="4"/>
      <c r="J215" s="4"/>
      <c r="K215" s="4"/>
      <c r="L215" s="4"/>
      <c r="M215" s="4"/>
      <c r="N215" s="4"/>
      <c r="O215" s="4"/>
      <c r="P215" s="4"/>
      <c r="Q215" s="4"/>
      <c r="R215" s="4"/>
    </row>
    <row r="216" spans="1:18" ht="12.75" customHeight="1">
      <c r="A216" s="4"/>
      <c r="B216" s="4"/>
      <c r="C216" s="3"/>
      <c r="D216" s="4"/>
      <c r="E216" s="4"/>
      <c r="F216" s="4"/>
      <c r="G216" s="4"/>
      <c r="H216" s="4"/>
      <c r="I216" s="4"/>
      <c r="J216" s="4"/>
      <c r="K216" s="4"/>
      <c r="L216" s="4"/>
      <c r="M216" s="4"/>
      <c r="N216" s="4"/>
      <c r="O216" s="4"/>
      <c r="P216" s="4"/>
      <c r="Q216" s="4"/>
      <c r="R216" s="4"/>
    </row>
    <row r="217" spans="1:18" ht="12.75" customHeight="1">
      <c r="A217" s="4"/>
      <c r="B217" s="4"/>
      <c r="C217" s="3"/>
      <c r="D217" s="4"/>
      <c r="E217" s="4"/>
      <c r="F217" s="4"/>
      <c r="G217" s="4"/>
      <c r="H217" s="4"/>
      <c r="I217" s="4"/>
      <c r="J217" s="4"/>
      <c r="K217" s="4"/>
      <c r="L217" s="4"/>
      <c r="M217" s="4"/>
      <c r="N217" s="4"/>
      <c r="O217" s="4"/>
      <c r="P217" s="4"/>
      <c r="Q217" s="4"/>
      <c r="R217" s="4"/>
    </row>
    <row r="218" spans="1:18" ht="12.75" customHeight="1">
      <c r="A218" s="4"/>
      <c r="B218" s="4"/>
      <c r="C218" s="3"/>
      <c r="D218" s="4"/>
      <c r="E218" s="4"/>
      <c r="F218" s="4"/>
      <c r="G218" s="4"/>
      <c r="H218" s="4"/>
      <c r="I218" s="4"/>
      <c r="J218" s="4"/>
      <c r="K218" s="4"/>
      <c r="L218" s="4"/>
      <c r="M218" s="4"/>
      <c r="N218" s="4"/>
      <c r="O218" s="4"/>
      <c r="P218" s="4"/>
      <c r="Q218" s="4"/>
      <c r="R218" s="4"/>
    </row>
    <row r="219" spans="1:18" ht="12.75" customHeight="1">
      <c r="A219" s="4"/>
      <c r="B219" s="4"/>
      <c r="C219" s="3"/>
      <c r="D219" s="4"/>
      <c r="E219" s="4"/>
      <c r="F219" s="4"/>
      <c r="G219" s="4"/>
      <c r="H219" s="4"/>
      <c r="I219" s="4"/>
      <c r="J219" s="4"/>
      <c r="K219" s="4"/>
      <c r="L219" s="4"/>
      <c r="M219" s="4"/>
      <c r="N219" s="4"/>
      <c r="O219" s="4"/>
      <c r="P219" s="4"/>
      <c r="Q219" s="4"/>
      <c r="R219" s="4"/>
    </row>
    <row r="220" spans="1:18" ht="12.75" customHeight="1">
      <c r="A220" s="4"/>
      <c r="B220" s="4"/>
      <c r="C220" s="3"/>
      <c r="D220" s="4"/>
      <c r="E220" s="4"/>
      <c r="F220" s="4"/>
      <c r="G220" s="4"/>
      <c r="H220" s="4"/>
      <c r="I220" s="4"/>
      <c r="J220" s="4"/>
      <c r="K220" s="4"/>
      <c r="L220" s="4"/>
      <c r="M220" s="4"/>
      <c r="N220" s="4"/>
      <c r="O220" s="4"/>
      <c r="P220" s="4"/>
      <c r="Q220" s="4"/>
      <c r="R220" s="4"/>
    </row>
    <row r="221" spans="1:18" ht="12.75" customHeight="1">
      <c r="A221" s="4"/>
      <c r="B221" s="4"/>
      <c r="C221" s="3"/>
      <c r="D221" s="4"/>
      <c r="E221" s="4"/>
      <c r="F221" s="4"/>
      <c r="G221" s="4"/>
      <c r="H221" s="4"/>
      <c r="I221" s="4"/>
      <c r="J221" s="4"/>
      <c r="K221" s="4"/>
      <c r="L221" s="4"/>
      <c r="M221" s="4"/>
      <c r="N221" s="4"/>
      <c r="O221" s="4"/>
      <c r="P221" s="4"/>
      <c r="Q221" s="4"/>
      <c r="R221" s="4"/>
    </row>
    <row r="222" spans="1:18" ht="12.75" customHeight="1">
      <c r="A222" s="4"/>
      <c r="B222" s="4"/>
      <c r="C222" s="3"/>
      <c r="D222" s="4"/>
      <c r="E222" s="4"/>
      <c r="F222" s="4"/>
      <c r="G222" s="4"/>
      <c r="H222" s="4"/>
      <c r="I222" s="4"/>
      <c r="J222" s="4"/>
      <c r="K222" s="4"/>
      <c r="L222" s="4"/>
      <c r="M222" s="4"/>
      <c r="N222" s="4"/>
      <c r="O222" s="4"/>
      <c r="P222" s="4"/>
      <c r="Q222" s="4"/>
      <c r="R222" s="4"/>
    </row>
    <row r="223" spans="1:18" ht="12.75" customHeight="1">
      <c r="A223" s="4"/>
      <c r="B223" s="4"/>
      <c r="C223" s="3"/>
      <c r="D223" s="4"/>
      <c r="E223" s="4"/>
      <c r="F223" s="4"/>
      <c r="G223" s="4"/>
      <c r="H223" s="4"/>
      <c r="I223" s="4"/>
      <c r="J223" s="4"/>
      <c r="K223" s="4"/>
      <c r="L223" s="4"/>
      <c r="M223" s="4"/>
      <c r="N223" s="4"/>
      <c r="O223" s="4"/>
      <c r="P223" s="4"/>
      <c r="Q223" s="4"/>
      <c r="R223" s="4"/>
    </row>
    <row r="224" spans="1:18" ht="12.75" customHeight="1">
      <c r="A224" s="4"/>
      <c r="B224" s="4"/>
      <c r="C224" s="3"/>
      <c r="D224" s="4"/>
      <c r="E224" s="4"/>
      <c r="F224" s="4"/>
      <c r="G224" s="4"/>
      <c r="H224" s="4"/>
      <c r="I224" s="4"/>
      <c r="J224" s="4"/>
      <c r="K224" s="4"/>
      <c r="L224" s="4"/>
      <c r="M224" s="4"/>
      <c r="N224" s="4"/>
      <c r="O224" s="4"/>
      <c r="P224" s="4"/>
      <c r="Q224" s="4"/>
      <c r="R224" s="4"/>
    </row>
    <row r="225" spans="1:18" ht="12.75" customHeight="1">
      <c r="A225" s="4"/>
      <c r="B225" s="4"/>
      <c r="C225" s="3"/>
      <c r="D225" s="4"/>
      <c r="E225" s="4"/>
      <c r="F225" s="4"/>
      <c r="G225" s="4"/>
      <c r="H225" s="4"/>
      <c r="I225" s="4"/>
      <c r="J225" s="4"/>
      <c r="K225" s="4"/>
      <c r="L225" s="4"/>
      <c r="M225" s="4"/>
      <c r="N225" s="4"/>
      <c r="O225" s="4"/>
      <c r="P225" s="4"/>
      <c r="Q225" s="4"/>
      <c r="R225" s="4"/>
    </row>
    <row r="226" spans="1:18" ht="12.75" customHeight="1">
      <c r="A226" s="4"/>
      <c r="B226" s="4"/>
      <c r="C226" s="3"/>
      <c r="D226" s="4"/>
      <c r="E226" s="4"/>
      <c r="F226" s="4"/>
      <c r="G226" s="4"/>
      <c r="H226" s="4"/>
      <c r="I226" s="4"/>
      <c r="J226" s="4"/>
      <c r="K226" s="4"/>
      <c r="L226" s="4"/>
      <c r="M226" s="4"/>
      <c r="N226" s="4"/>
      <c r="O226" s="4"/>
      <c r="P226" s="4"/>
      <c r="Q226" s="4"/>
      <c r="R226" s="4"/>
    </row>
    <row r="227" spans="1:18" ht="12.75" customHeight="1">
      <c r="A227" s="4"/>
      <c r="B227" s="4"/>
      <c r="C227" s="3"/>
      <c r="D227" s="4"/>
      <c r="E227" s="4"/>
      <c r="F227" s="4"/>
      <c r="G227" s="4"/>
      <c r="H227" s="4"/>
      <c r="I227" s="4"/>
      <c r="J227" s="4"/>
      <c r="K227" s="4"/>
      <c r="L227" s="4"/>
      <c r="M227" s="4"/>
      <c r="N227" s="4"/>
      <c r="O227" s="4"/>
      <c r="P227" s="4"/>
      <c r="Q227" s="4"/>
      <c r="R227" s="4"/>
    </row>
    <row r="228" spans="1:18" ht="12.75" customHeight="1">
      <c r="A228" s="4"/>
      <c r="B228" s="4"/>
      <c r="C228" s="3"/>
      <c r="D228" s="4"/>
      <c r="E228" s="4"/>
      <c r="F228" s="4"/>
      <c r="G228" s="4"/>
      <c r="H228" s="4"/>
      <c r="I228" s="4"/>
      <c r="J228" s="4"/>
      <c r="K228" s="4"/>
      <c r="L228" s="4"/>
      <c r="M228" s="4"/>
      <c r="N228" s="4"/>
      <c r="O228" s="4"/>
      <c r="P228" s="4"/>
      <c r="Q228" s="4"/>
      <c r="R228" s="4"/>
    </row>
    <row r="229" spans="1:18" ht="12.75" customHeight="1">
      <c r="A229" s="4"/>
      <c r="B229" s="4"/>
      <c r="C229" s="3"/>
      <c r="D229" s="4"/>
      <c r="E229" s="4"/>
      <c r="F229" s="4"/>
      <c r="G229" s="4"/>
      <c r="H229" s="4"/>
      <c r="I229" s="4"/>
      <c r="J229" s="4"/>
      <c r="K229" s="4"/>
      <c r="L229" s="4"/>
      <c r="M229" s="4"/>
      <c r="N229" s="4"/>
      <c r="O229" s="4"/>
      <c r="P229" s="4"/>
      <c r="Q229" s="4"/>
      <c r="R229" s="4"/>
    </row>
    <row r="230" spans="1:18" ht="12.75" customHeight="1">
      <c r="A230" s="4"/>
      <c r="B230" s="4"/>
      <c r="C230" s="3"/>
      <c r="D230" s="4"/>
      <c r="E230" s="4"/>
      <c r="F230" s="4"/>
      <c r="G230" s="4"/>
      <c r="H230" s="4"/>
      <c r="I230" s="4"/>
      <c r="J230" s="4"/>
      <c r="K230" s="4"/>
      <c r="L230" s="4"/>
      <c r="M230" s="4"/>
      <c r="N230" s="4"/>
      <c r="O230" s="4"/>
      <c r="P230" s="4"/>
      <c r="Q230" s="4"/>
      <c r="R230" s="4"/>
    </row>
    <row r="231" spans="1:18" ht="12.75" customHeight="1">
      <c r="A231" s="4"/>
      <c r="B231" s="4"/>
      <c r="C231" s="3"/>
      <c r="D231" s="4"/>
      <c r="E231" s="4"/>
      <c r="F231" s="4"/>
      <c r="G231" s="4"/>
      <c r="H231" s="4"/>
      <c r="I231" s="4"/>
      <c r="J231" s="4"/>
      <c r="K231" s="4"/>
      <c r="L231" s="4"/>
      <c r="M231" s="4"/>
      <c r="N231" s="4"/>
      <c r="O231" s="4"/>
      <c r="P231" s="4"/>
      <c r="Q231" s="4"/>
      <c r="R231" s="4"/>
    </row>
    <row r="232" spans="1:18" ht="12.75" customHeight="1">
      <c r="A232" s="4"/>
      <c r="B232" s="4"/>
      <c r="C232" s="3"/>
      <c r="D232" s="4"/>
      <c r="E232" s="4"/>
      <c r="F232" s="4"/>
      <c r="G232" s="4"/>
      <c r="H232" s="4"/>
      <c r="I232" s="4"/>
      <c r="J232" s="4"/>
      <c r="K232" s="4"/>
      <c r="L232" s="4"/>
      <c r="M232" s="4"/>
      <c r="N232" s="4"/>
      <c r="O232" s="4"/>
      <c r="P232" s="4"/>
      <c r="Q232" s="4"/>
      <c r="R232" s="4"/>
    </row>
    <row r="233" spans="1:18" ht="12.75" customHeight="1">
      <c r="A233" s="4"/>
      <c r="B233" s="4"/>
      <c r="C233" s="3"/>
      <c r="D233" s="4"/>
      <c r="E233" s="4"/>
      <c r="F233" s="4"/>
      <c r="G233" s="4"/>
      <c r="H233" s="4"/>
      <c r="I233" s="4"/>
      <c r="J233" s="4"/>
      <c r="K233" s="4"/>
      <c r="L233" s="4"/>
      <c r="M233" s="4"/>
      <c r="N233" s="4"/>
      <c r="O233" s="4"/>
      <c r="P233" s="4"/>
      <c r="Q233" s="4"/>
      <c r="R233" s="4"/>
    </row>
    <row r="234" spans="1:18" ht="12.75" customHeight="1">
      <c r="A234" s="4"/>
      <c r="B234" s="4"/>
      <c r="C234" s="3"/>
      <c r="D234" s="4"/>
      <c r="E234" s="4"/>
      <c r="F234" s="4"/>
      <c r="G234" s="4"/>
      <c r="H234" s="4"/>
      <c r="I234" s="4"/>
      <c r="J234" s="4"/>
      <c r="K234" s="4"/>
      <c r="L234" s="4"/>
      <c r="M234" s="4"/>
      <c r="N234" s="4"/>
      <c r="O234" s="4"/>
      <c r="P234" s="4"/>
      <c r="Q234" s="4"/>
      <c r="R234" s="4"/>
    </row>
    <row r="235" spans="1:18" ht="12.75" customHeight="1">
      <c r="A235" s="4"/>
      <c r="B235" s="4"/>
      <c r="C235" s="3"/>
      <c r="D235" s="4"/>
      <c r="E235" s="4"/>
      <c r="F235" s="4"/>
      <c r="G235" s="4"/>
      <c r="H235" s="4"/>
      <c r="I235" s="4"/>
      <c r="J235" s="4"/>
      <c r="K235" s="4"/>
      <c r="L235" s="4"/>
      <c r="M235" s="4"/>
      <c r="N235" s="4"/>
      <c r="O235" s="4"/>
      <c r="P235" s="4"/>
      <c r="Q235" s="4"/>
      <c r="R235" s="4"/>
    </row>
    <row r="236" spans="1:18" ht="12.75" customHeight="1">
      <c r="A236" s="4"/>
      <c r="B236" s="4"/>
      <c r="C236" s="3"/>
      <c r="D236" s="4"/>
      <c r="E236" s="4"/>
      <c r="F236" s="4"/>
      <c r="G236" s="4"/>
      <c r="H236" s="4"/>
      <c r="I236" s="4"/>
      <c r="J236" s="4"/>
      <c r="K236" s="4"/>
      <c r="L236" s="4"/>
      <c r="M236" s="4"/>
      <c r="N236" s="4"/>
      <c r="O236" s="4"/>
      <c r="P236" s="4"/>
      <c r="Q236" s="4"/>
      <c r="R236" s="4"/>
    </row>
    <row r="237" spans="1:18" ht="12.75" customHeight="1">
      <c r="A237" s="4"/>
      <c r="B237" s="4"/>
      <c r="C237" s="3"/>
      <c r="D237" s="4"/>
      <c r="E237" s="4"/>
      <c r="F237" s="4"/>
      <c r="G237" s="4"/>
      <c r="H237" s="4"/>
      <c r="I237" s="4"/>
      <c r="J237" s="4"/>
      <c r="K237" s="4"/>
      <c r="L237" s="4"/>
      <c r="M237" s="4"/>
      <c r="N237" s="4"/>
      <c r="O237" s="4"/>
      <c r="P237" s="4"/>
      <c r="Q237" s="4"/>
      <c r="R237" s="4"/>
    </row>
    <row r="238" spans="1:18" ht="12.75" customHeight="1">
      <c r="A238" s="4"/>
      <c r="B238" s="4"/>
      <c r="C238" s="3"/>
      <c r="D238" s="4"/>
      <c r="E238" s="4"/>
      <c r="F238" s="4"/>
      <c r="G238" s="4"/>
      <c r="H238" s="4"/>
      <c r="I238" s="4"/>
      <c r="J238" s="4"/>
      <c r="K238" s="4"/>
      <c r="L238" s="4"/>
      <c r="M238" s="4"/>
      <c r="N238" s="4"/>
      <c r="O238" s="4"/>
      <c r="P238" s="4"/>
      <c r="Q238" s="4"/>
      <c r="R238" s="4"/>
    </row>
    <row r="239" spans="1:18" ht="12.75" customHeight="1">
      <c r="A239" s="4"/>
      <c r="B239" s="4"/>
      <c r="C239" s="3"/>
      <c r="D239" s="4"/>
      <c r="E239" s="4"/>
      <c r="F239" s="4"/>
      <c r="G239" s="4"/>
      <c r="H239" s="4"/>
      <c r="I239" s="4"/>
      <c r="J239" s="4"/>
      <c r="K239" s="4"/>
      <c r="L239" s="4"/>
      <c r="M239" s="4"/>
      <c r="N239" s="4"/>
      <c r="O239" s="4"/>
      <c r="P239" s="4"/>
      <c r="Q239" s="4"/>
      <c r="R239" s="4"/>
    </row>
    <row r="240" spans="1:18" ht="12.75" customHeight="1">
      <c r="A240" s="4"/>
      <c r="B240" s="4"/>
      <c r="C240" s="3"/>
      <c r="D240" s="4"/>
      <c r="E240" s="4"/>
      <c r="F240" s="4"/>
      <c r="G240" s="4"/>
      <c r="H240" s="4"/>
      <c r="I240" s="4"/>
      <c r="J240" s="4"/>
      <c r="K240" s="4"/>
      <c r="L240" s="4"/>
      <c r="M240" s="4"/>
      <c r="N240" s="4"/>
      <c r="O240" s="4"/>
      <c r="P240" s="4"/>
      <c r="Q240" s="4"/>
      <c r="R240" s="4"/>
    </row>
    <row r="241" spans="1:18" ht="12.75" customHeight="1">
      <c r="A241" s="4"/>
      <c r="B241" s="4"/>
      <c r="C241" s="3"/>
      <c r="D241" s="4"/>
      <c r="E241" s="4"/>
      <c r="F241" s="4"/>
      <c r="G241" s="4"/>
      <c r="H241" s="4"/>
      <c r="I241" s="4"/>
      <c r="J241" s="4"/>
      <c r="K241" s="4"/>
      <c r="L241" s="4"/>
      <c r="M241" s="4"/>
      <c r="N241" s="4"/>
      <c r="O241" s="4"/>
      <c r="P241" s="4"/>
      <c r="Q241" s="4"/>
      <c r="R241" s="4"/>
    </row>
    <row r="242" spans="1:18" ht="12.75" customHeight="1">
      <c r="A242" s="4"/>
      <c r="B242" s="4"/>
      <c r="C242" s="3"/>
      <c r="D242" s="4"/>
      <c r="E242" s="4"/>
      <c r="F242" s="4"/>
      <c r="G242" s="4"/>
      <c r="H242" s="4"/>
      <c r="I242" s="4"/>
      <c r="J242" s="4"/>
      <c r="K242" s="4"/>
      <c r="L242" s="4"/>
      <c r="M242" s="4"/>
      <c r="N242" s="4"/>
      <c r="O242" s="4"/>
      <c r="P242" s="4"/>
      <c r="Q242" s="4"/>
      <c r="R242" s="4"/>
    </row>
    <row r="243" spans="1:18" ht="12.75" customHeight="1">
      <c r="A243" s="4"/>
      <c r="B243" s="4"/>
      <c r="C243" s="3"/>
      <c r="D243" s="4"/>
      <c r="E243" s="4"/>
      <c r="F243" s="4"/>
      <c r="G243" s="4"/>
      <c r="H243" s="4"/>
      <c r="I243" s="4"/>
      <c r="J243" s="4"/>
      <c r="K243" s="4"/>
      <c r="L243" s="4"/>
      <c r="M243" s="4"/>
      <c r="N243" s="4"/>
      <c r="O243" s="4"/>
      <c r="P243" s="4"/>
      <c r="Q243" s="4"/>
      <c r="R243" s="4"/>
    </row>
    <row r="244" spans="1:18" ht="12.75" customHeight="1">
      <c r="A244" s="4"/>
      <c r="B244" s="4"/>
      <c r="C244" s="3"/>
      <c r="D244" s="4"/>
      <c r="E244" s="4"/>
      <c r="F244" s="4"/>
      <c r="G244" s="4"/>
      <c r="H244" s="4"/>
      <c r="I244" s="4"/>
      <c r="J244" s="4"/>
      <c r="K244" s="4"/>
      <c r="L244" s="4"/>
      <c r="M244" s="4"/>
      <c r="N244" s="4"/>
      <c r="O244" s="4"/>
      <c r="P244" s="4"/>
      <c r="Q244" s="4"/>
      <c r="R244" s="4"/>
    </row>
    <row r="245" spans="1:18" ht="12.75" customHeight="1">
      <c r="A245" s="4"/>
      <c r="B245" s="4"/>
      <c r="C245" s="3"/>
      <c r="D245" s="4"/>
      <c r="E245" s="4"/>
      <c r="F245" s="4"/>
      <c r="G245" s="4"/>
      <c r="H245" s="4"/>
      <c r="I245" s="4"/>
      <c r="J245" s="4"/>
      <c r="K245" s="4"/>
      <c r="L245" s="4"/>
      <c r="M245" s="4"/>
      <c r="N245" s="4"/>
      <c r="O245" s="4"/>
      <c r="P245" s="4"/>
      <c r="Q245" s="4"/>
      <c r="R245" s="4"/>
    </row>
    <row r="246" spans="1:18" ht="12.75" customHeight="1">
      <c r="A246" s="4"/>
      <c r="B246" s="4"/>
      <c r="C246" s="3"/>
      <c r="D246" s="4"/>
      <c r="E246" s="4"/>
      <c r="F246" s="4"/>
      <c r="G246" s="4"/>
      <c r="H246" s="4"/>
      <c r="I246" s="4"/>
      <c r="J246" s="4"/>
      <c r="K246" s="4"/>
      <c r="L246" s="4"/>
      <c r="M246" s="4"/>
      <c r="N246" s="4"/>
      <c r="O246" s="4"/>
      <c r="P246" s="4"/>
      <c r="Q246" s="4"/>
      <c r="R246" s="4"/>
    </row>
    <row r="247" spans="1:18" ht="12.75" customHeight="1">
      <c r="A247" s="4"/>
      <c r="B247" s="4"/>
      <c r="C247" s="3"/>
      <c r="D247" s="4"/>
      <c r="E247" s="4"/>
      <c r="F247" s="4"/>
      <c r="G247" s="4"/>
      <c r="H247" s="4"/>
      <c r="I247" s="4"/>
      <c r="J247" s="4"/>
      <c r="K247" s="4"/>
      <c r="L247" s="4"/>
      <c r="M247" s="4"/>
      <c r="N247" s="4"/>
      <c r="O247" s="4"/>
      <c r="P247" s="4"/>
      <c r="Q247" s="4"/>
      <c r="R247" s="4"/>
    </row>
    <row r="248" spans="1:18" ht="12.75" customHeight="1">
      <c r="A248" s="4"/>
      <c r="B248" s="4"/>
      <c r="C248" s="3"/>
      <c r="D248" s="4"/>
      <c r="E248" s="4"/>
      <c r="F248" s="4"/>
      <c r="G248" s="4"/>
      <c r="H248" s="4"/>
      <c r="I248" s="4"/>
      <c r="J248" s="4"/>
      <c r="K248" s="4"/>
      <c r="L248" s="4"/>
      <c r="M248" s="4"/>
      <c r="N248" s="4"/>
      <c r="O248" s="4"/>
      <c r="P248" s="4"/>
      <c r="Q248" s="4"/>
      <c r="R248" s="4"/>
    </row>
    <row r="249" spans="1:18" ht="12.75" customHeight="1">
      <c r="A249" s="4"/>
      <c r="B249" s="4"/>
      <c r="C249" s="3"/>
      <c r="D249" s="4"/>
      <c r="E249" s="4"/>
      <c r="F249" s="4"/>
      <c r="G249" s="4"/>
      <c r="H249" s="4"/>
      <c r="I249" s="4"/>
      <c r="J249" s="4"/>
      <c r="K249" s="4"/>
      <c r="L249" s="4"/>
      <c r="M249" s="4"/>
      <c r="N249" s="4"/>
      <c r="O249" s="4"/>
      <c r="P249" s="4"/>
      <c r="Q249" s="4"/>
      <c r="R249" s="4"/>
    </row>
    <row r="250" spans="1:18" ht="12.75" customHeight="1">
      <c r="A250" s="4"/>
      <c r="B250" s="4"/>
      <c r="C250" s="3"/>
      <c r="D250" s="4"/>
      <c r="E250" s="4"/>
      <c r="F250" s="4"/>
      <c r="G250" s="4"/>
      <c r="H250" s="4"/>
      <c r="I250" s="4"/>
      <c r="J250" s="4"/>
      <c r="K250" s="4"/>
      <c r="L250" s="4"/>
      <c r="M250" s="4"/>
      <c r="N250" s="4"/>
      <c r="O250" s="4"/>
      <c r="P250" s="4"/>
      <c r="Q250" s="4"/>
      <c r="R250" s="4"/>
    </row>
    <row r="251" spans="1:18" ht="12.75" customHeight="1">
      <c r="A251" s="4"/>
      <c r="B251" s="4"/>
      <c r="C251" s="3"/>
      <c r="D251" s="4"/>
      <c r="E251" s="4"/>
      <c r="F251" s="4"/>
      <c r="G251" s="4"/>
      <c r="H251" s="4"/>
      <c r="I251" s="4"/>
      <c r="J251" s="4"/>
      <c r="K251" s="4"/>
      <c r="L251" s="4"/>
      <c r="M251" s="4"/>
      <c r="N251" s="4"/>
      <c r="O251" s="4"/>
      <c r="P251" s="4"/>
      <c r="Q251" s="4"/>
      <c r="R251" s="4"/>
    </row>
    <row r="252" spans="1:18" ht="12.75" customHeight="1">
      <c r="A252" s="4"/>
      <c r="B252" s="4"/>
      <c r="C252" s="3"/>
      <c r="D252" s="4"/>
      <c r="E252" s="4"/>
      <c r="F252" s="4"/>
      <c r="G252" s="4"/>
      <c r="H252" s="4"/>
      <c r="I252" s="4"/>
      <c r="J252" s="4"/>
      <c r="K252" s="4"/>
      <c r="L252" s="4"/>
      <c r="M252" s="4"/>
      <c r="N252" s="4"/>
      <c r="O252" s="4"/>
      <c r="P252" s="4"/>
      <c r="Q252" s="4"/>
      <c r="R252" s="4"/>
    </row>
    <row r="253" spans="1:18" ht="12.75" customHeight="1">
      <c r="A253" s="4"/>
      <c r="B253" s="4"/>
      <c r="C253" s="3"/>
      <c r="D253" s="4"/>
      <c r="E253" s="4"/>
      <c r="F253" s="4"/>
      <c r="G253" s="4"/>
      <c r="H253" s="4"/>
      <c r="I253" s="4"/>
      <c r="J253" s="4"/>
      <c r="K253" s="4"/>
      <c r="L253" s="4"/>
      <c r="M253" s="4"/>
      <c r="N253" s="4"/>
      <c r="O253" s="4"/>
      <c r="P253" s="4"/>
      <c r="Q253" s="4"/>
      <c r="R253" s="4"/>
    </row>
    <row r="254" spans="1:18" ht="12.75" customHeight="1">
      <c r="A254" s="4"/>
      <c r="B254" s="4"/>
      <c r="C254" s="3"/>
      <c r="D254" s="4"/>
      <c r="E254" s="4"/>
      <c r="F254" s="4"/>
      <c r="G254" s="4"/>
      <c r="H254" s="4"/>
      <c r="I254" s="4"/>
      <c r="J254" s="4"/>
      <c r="K254" s="4"/>
      <c r="L254" s="4"/>
      <c r="M254" s="4"/>
      <c r="N254" s="4"/>
      <c r="O254" s="4"/>
      <c r="P254" s="4"/>
      <c r="Q254" s="4"/>
      <c r="R254" s="4"/>
    </row>
    <row r="255" spans="1:18" ht="12.75" customHeight="1">
      <c r="A255" s="4"/>
      <c r="B255" s="4"/>
      <c r="C255" s="3"/>
      <c r="D255" s="4"/>
      <c r="E255" s="4"/>
      <c r="F255" s="4"/>
      <c r="G255" s="4"/>
      <c r="H255" s="4"/>
      <c r="I255" s="4"/>
      <c r="J255" s="4"/>
      <c r="K255" s="4"/>
      <c r="L255" s="4"/>
      <c r="M255" s="4"/>
      <c r="N255" s="4"/>
      <c r="O255" s="4"/>
      <c r="P255" s="4"/>
      <c r="Q255" s="4"/>
      <c r="R255" s="4"/>
    </row>
    <row r="256" spans="1:18" ht="12.75" customHeight="1">
      <c r="A256" s="4"/>
      <c r="B256" s="4"/>
      <c r="C256" s="3"/>
      <c r="D256" s="4"/>
      <c r="E256" s="4"/>
      <c r="F256" s="4"/>
      <c r="G256" s="4"/>
      <c r="H256" s="4"/>
      <c r="I256" s="4"/>
      <c r="J256" s="4"/>
      <c r="K256" s="4"/>
      <c r="L256" s="4"/>
      <c r="M256" s="4"/>
      <c r="N256" s="4"/>
      <c r="O256" s="4"/>
      <c r="P256" s="4"/>
      <c r="Q256" s="4"/>
      <c r="R256" s="4"/>
    </row>
    <row r="257" spans="1:18" ht="12.75" customHeight="1">
      <c r="A257" s="4"/>
      <c r="B257" s="4"/>
      <c r="C257" s="3"/>
      <c r="D257" s="4"/>
      <c r="E257" s="4"/>
      <c r="F257" s="4"/>
      <c r="G257" s="4"/>
      <c r="H257" s="4"/>
      <c r="I257" s="4"/>
      <c r="J257" s="4"/>
      <c r="K257" s="4"/>
      <c r="L257" s="4"/>
      <c r="M257" s="4"/>
      <c r="N257" s="4"/>
      <c r="O257" s="4"/>
      <c r="P257" s="4"/>
      <c r="Q257" s="4"/>
      <c r="R257" s="4"/>
    </row>
    <row r="258" spans="1:18" ht="12.75" customHeight="1">
      <c r="A258" s="4"/>
      <c r="B258" s="4"/>
      <c r="C258" s="3"/>
      <c r="D258" s="4"/>
      <c r="E258" s="4"/>
      <c r="F258" s="4"/>
      <c r="G258" s="4"/>
      <c r="H258" s="4"/>
      <c r="I258" s="4"/>
      <c r="J258" s="4"/>
      <c r="K258" s="4"/>
      <c r="L258" s="4"/>
      <c r="M258" s="4"/>
      <c r="N258" s="4"/>
      <c r="O258" s="4"/>
      <c r="P258" s="4"/>
      <c r="Q258" s="4"/>
      <c r="R258" s="4"/>
    </row>
    <row r="259" spans="1:18" ht="12.75" customHeight="1">
      <c r="A259" s="4"/>
      <c r="B259" s="4"/>
      <c r="C259" s="3"/>
      <c r="D259" s="4"/>
      <c r="E259" s="4"/>
      <c r="F259" s="4"/>
      <c r="G259" s="4"/>
      <c r="H259" s="4"/>
      <c r="I259" s="4"/>
      <c r="J259" s="4"/>
      <c r="K259" s="4"/>
      <c r="L259" s="4"/>
      <c r="M259" s="4"/>
      <c r="N259" s="4"/>
      <c r="O259" s="4"/>
      <c r="P259" s="4"/>
      <c r="Q259" s="4"/>
      <c r="R259" s="4"/>
    </row>
    <row r="260" spans="1:18" ht="12.75" customHeight="1">
      <c r="A260" s="4"/>
      <c r="B260" s="4"/>
      <c r="C260" s="3"/>
      <c r="D260" s="4"/>
      <c r="E260" s="4"/>
      <c r="F260" s="4"/>
      <c r="G260" s="4"/>
      <c r="H260" s="4"/>
      <c r="I260" s="4"/>
      <c r="J260" s="4"/>
      <c r="K260" s="4"/>
      <c r="L260" s="4"/>
      <c r="M260" s="4"/>
      <c r="N260" s="4"/>
      <c r="O260" s="4"/>
      <c r="P260" s="4"/>
      <c r="Q260" s="4"/>
      <c r="R260" s="4"/>
    </row>
    <row r="261" spans="1:18" ht="12.75" customHeight="1">
      <c r="A261" s="4"/>
      <c r="B261" s="4"/>
      <c r="C261" s="3"/>
      <c r="D261" s="4"/>
      <c r="E261" s="4"/>
      <c r="F261" s="4"/>
      <c r="G261" s="4"/>
      <c r="H261" s="4"/>
      <c r="I261" s="4"/>
      <c r="J261" s="4"/>
      <c r="K261" s="4"/>
      <c r="L261" s="4"/>
      <c r="M261" s="4"/>
      <c r="N261" s="4"/>
      <c r="O261" s="4"/>
      <c r="P261" s="4"/>
      <c r="Q261" s="4"/>
      <c r="R261" s="4"/>
    </row>
    <row r="262" spans="1:18" ht="12.75" customHeight="1">
      <c r="A262" s="4"/>
      <c r="B262" s="4"/>
      <c r="C262" s="3"/>
      <c r="D262" s="4"/>
      <c r="E262" s="4"/>
      <c r="F262" s="4"/>
      <c r="G262" s="4"/>
      <c r="H262" s="4"/>
      <c r="I262" s="4"/>
      <c r="J262" s="4"/>
      <c r="K262" s="4"/>
      <c r="L262" s="4"/>
      <c r="M262" s="4"/>
      <c r="N262" s="4"/>
      <c r="O262" s="4"/>
      <c r="P262" s="4"/>
      <c r="Q262" s="4"/>
      <c r="R262" s="4"/>
    </row>
    <row r="263" spans="1:18" ht="12.75" customHeight="1">
      <c r="A263" s="4"/>
      <c r="B263" s="4"/>
      <c r="C263" s="3"/>
      <c r="D263" s="4"/>
      <c r="E263" s="4"/>
      <c r="F263" s="4"/>
      <c r="G263" s="4"/>
      <c r="H263" s="4"/>
      <c r="I263" s="4"/>
      <c r="J263" s="4"/>
      <c r="K263" s="4"/>
      <c r="L263" s="4"/>
      <c r="M263" s="4"/>
      <c r="N263" s="4"/>
      <c r="O263" s="4"/>
      <c r="P263" s="4"/>
      <c r="Q263" s="4"/>
      <c r="R263" s="4"/>
    </row>
    <row r="264" spans="1:18" ht="12.75" customHeight="1">
      <c r="A264" s="4"/>
      <c r="B264" s="4"/>
      <c r="C264" s="3"/>
      <c r="D264" s="4"/>
      <c r="E264" s="4"/>
      <c r="F264" s="4"/>
      <c r="G264" s="4"/>
      <c r="H264" s="4"/>
      <c r="I264" s="4"/>
      <c r="J264" s="4"/>
      <c r="K264" s="4"/>
      <c r="L264" s="4"/>
      <c r="M264" s="4"/>
      <c r="N264" s="4"/>
      <c r="O264" s="4"/>
      <c r="P264" s="4"/>
      <c r="Q264" s="4"/>
      <c r="R264" s="4"/>
    </row>
    <row r="265" spans="1:18" ht="12.75" customHeight="1">
      <c r="A265" s="4"/>
      <c r="B265" s="4"/>
      <c r="C265" s="3"/>
      <c r="D265" s="4"/>
      <c r="E265" s="4"/>
      <c r="F265" s="4"/>
      <c r="G265" s="4"/>
      <c r="H265" s="4"/>
      <c r="I265" s="4"/>
      <c r="J265" s="4"/>
      <c r="K265" s="4"/>
      <c r="L265" s="4"/>
      <c r="M265" s="4"/>
      <c r="N265" s="4"/>
      <c r="O265" s="4"/>
      <c r="P265" s="4"/>
      <c r="Q265" s="4"/>
      <c r="R265" s="4"/>
    </row>
    <row r="266" spans="1:18" ht="12.75" customHeight="1">
      <c r="A266" s="4"/>
      <c r="B266" s="4"/>
      <c r="C266" s="3"/>
      <c r="D266" s="4"/>
      <c r="E266" s="4"/>
      <c r="F266" s="4"/>
      <c r="G266" s="4"/>
      <c r="H266" s="4"/>
      <c r="I266" s="4"/>
      <c r="J266" s="4"/>
      <c r="K266" s="4"/>
      <c r="L266" s="4"/>
      <c r="M266" s="4"/>
      <c r="N266" s="4"/>
      <c r="O266" s="4"/>
      <c r="P266" s="4"/>
      <c r="Q266" s="4"/>
      <c r="R266" s="4"/>
    </row>
    <row r="267" spans="1:18" ht="12.75" customHeight="1">
      <c r="A267" s="4"/>
      <c r="B267" s="4"/>
      <c r="C267" s="3"/>
      <c r="D267" s="4"/>
      <c r="E267" s="4"/>
      <c r="F267" s="4"/>
      <c r="G267" s="4"/>
      <c r="H267" s="4"/>
      <c r="I267" s="4"/>
      <c r="J267" s="4"/>
      <c r="K267" s="4"/>
      <c r="L267" s="4"/>
      <c r="M267" s="4"/>
      <c r="N267" s="4"/>
      <c r="O267" s="4"/>
      <c r="P267" s="4"/>
      <c r="Q267" s="4"/>
      <c r="R267" s="4"/>
    </row>
    <row r="268" spans="1:18" ht="12.75" customHeight="1">
      <c r="A268" s="4"/>
      <c r="B268" s="4"/>
      <c r="C268" s="3"/>
      <c r="D268" s="4"/>
      <c r="E268" s="4"/>
      <c r="F268" s="4"/>
      <c r="G268" s="4"/>
      <c r="H268" s="4"/>
      <c r="I268" s="4"/>
      <c r="J268" s="4"/>
      <c r="K268" s="4"/>
      <c r="L268" s="4"/>
      <c r="M268" s="4"/>
      <c r="N268" s="4"/>
      <c r="O268" s="4"/>
      <c r="P268" s="4"/>
      <c r="Q268" s="4"/>
      <c r="R268" s="4"/>
    </row>
    <row r="269" spans="1:18" ht="12.75" customHeight="1">
      <c r="A269" s="4"/>
      <c r="B269" s="4"/>
      <c r="C269" s="3"/>
      <c r="D269" s="4"/>
      <c r="E269" s="4"/>
      <c r="F269" s="4"/>
      <c r="G269" s="4"/>
      <c r="H269" s="4"/>
      <c r="I269" s="4"/>
      <c r="J269" s="4"/>
      <c r="K269" s="4"/>
      <c r="L269" s="4"/>
      <c r="M269" s="4"/>
      <c r="N269" s="4"/>
      <c r="O269" s="4"/>
      <c r="P269" s="4"/>
      <c r="Q269" s="4"/>
      <c r="R269" s="4"/>
    </row>
    <row r="270" spans="1:18" ht="12.75" customHeight="1">
      <c r="A270" s="4"/>
      <c r="B270" s="4"/>
      <c r="C270" s="3"/>
      <c r="D270" s="4"/>
      <c r="E270" s="4"/>
      <c r="F270" s="4"/>
      <c r="G270" s="4"/>
      <c r="H270" s="4"/>
      <c r="I270" s="4"/>
      <c r="J270" s="4"/>
      <c r="K270" s="4"/>
      <c r="L270" s="4"/>
      <c r="M270" s="4"/>
      <c r="N270" s="4"/>
      <c r="O270" s="4"/>
      <c r="P270" s="4"/>
      <c r="Q270" s="4"/>
      <c r="R270" s="4"/>
    </row>
    <row r="271" spans="1:18" ht="12.75" customHeight="1">
      <c r="A271" s="4"/>
      <c r="B271" s="4"/>
      <c r="C271" s="3"/>
      <c r="D271" s="4"/>
      <c r="E271" s="4"/>
      <c r="F271" s="4"/>
      <c r="G271" s="4"/>
      <c r="H271" s="4"/>
      <c r="I271" s="4"/>
      <c r="J271" s="4"/>
      <c r="K271" s="4"/>
      <c r="L271" s="4"/>
      <c r="M271" s="4"/>
      <c r="N271" s="4"/>
      <c r="O271" s="4"/>
      <c r="P271" s="4"/>
      <c r="Q271" s="4"/>
      <c r="R271" s="4"/>
    </row>
    <row r="272" spans="1:18" ht="12.75" customHeight="1">
      <c r="A272" s="4"/>
      <c r="B272" s="4"/>
      <c r="C272" s="3"/>
      <c r="D272" s="4"/>
      <c r="E272" s="4"/>
      <c r="F272" s="4"/>
      <c r="G272" s="4"/>
      <c r="H272" s="4"/>
      <c r="I272" s="4"/>
      <c r="J272" s="4"/>
      <c r="K272" s="4"/>
      <c r="L272" s="4"/>
      <c r="M272" s="4"/>
      <c r="N272" s="4"/>
      <c r="O272" s="4"/>
      <c r="P272" s="4"/>
      <c r="Q272" s="4"/>
      <c r="R272" s="4"/>
    </row>
    <row r="273" spans="1:18" ht="12.75" customHeight="1">
      <c r="A273" s="4"/>
      <c r="B273" s="4"/>
      <c r="C273" s="3"/>
      <c r="D273" s="4"/>
      <c r="E273" s="4"/>
      <c r="F273" s="4"/>
      <c r="G273" s="4"/>
      <c r="H273" s="4"/>
      <c r="I273" s="4"/>
      <c r="J273" s="4"/>
      <c r="K273" s="4"/>
      <c r="L273" s="4"/>
      <c r="M273" s="4"/>
      <c r="N273" s="4"/>
      <c r="O273" s="4"/>
      <c r="P273" s="4"/>
      <c r="Q273" s="4"/>
      <c r="R273" s="4"/>
    </row>
    <row r="274" spans="1:18" ht="12.75" customHeight="1">
      <c r="A274" s="4"/>
      <c r="B274" s="4"/>
      <c r="C274" s="3"/>
      <c r="D274" s="4"/>
      <c r="E274" s="4"/>
      <c r="F274" s="4"/>
      <c r="G274" s="4"/>
      <c r="H274" s="4"/>
      <c r="I274" s="4"/>
      <c r="J274" s="4"/>
      <c r="K274" s="4"/>
      <c r="L274" s="4"/>
      <c r="M274" s="4"/>
      <c r="N274" s="4"/>
      <c r="O274" s="4"/>
      <c r="P274" s="4"/>
      <c r="Q274" s="4"/>
      <c r="R274" s="4"/>
    </row>
    <row r="275" spans="1:18" ht="12.75" customHeight="1">
      <c r="A275" s="4"/>
      <c r="B275" s="4"/>
      <c r="C275" s="3"/>
      <c r="D275" s="4"/>
      <c r="E275" s="4"/>
      <c r="F275" s="4"/>
      <c r="G275" s="4"/>
      <c r="H275" s="4"/>
      <c r="I275" s="4"/>
      <c r="J275" s="4"/>
      <c r="K275" s="4"/>
      <c r="L275" s="4"/>
      <c r="M275" s="4"/>
      <c r="N275" s="4"/>
      <c r="O275" s="4"/>
      <c r="P275" s="4"/>
      <c r="Q275" s="4"/>
      <c r="R275" s="4"/>
    </row>
    <row r="276" spans="1:18" ht="12.75" customHeight="1">
      <c r="A276" s="4"/>
      <c r="B276" s="4"/>
      <c r="C276" s="3"/>
      <c r="D276" s="4"/>
      <c r="E276" s="4"/>
      <c r="F276" s="4"/>
      <c r="G276" s="4"/>
      <c r="H276" s="4"/>
      <c r="I276" s="4"/>
      <c r="J276" s="4"/>
      <c r="K276" s="4"/>
      <c r="L276" s="4"/>
      <c r="M276" s="4"/>
      <c r="N276" s="4"/>
      <c r="O276" s="4"/>
      <c r="P276" s="4"/>
      <c r="Q276" s="4"/>
      <c r="R276" s="4"/>
    </row>
    <row r="277" spans="1:18" ht="12.75" customHeight="1">
      <c r="A277" s="4"/>
      <c r="B277" s="4"/>
      <c r="C277" s="3"/>
      <c r="D277" s="4"/>
      <c r="E277" s="4"/>
      <c r="F277" s="4"/>
      <c r="G277" s="4"/>
      <c r="H277" s="4"/>
      <c r="I277" s="4"/>
      <c r="J277" s="4"/>
      <c r="K277" s="4"/>
      <c r="L277" s="4"/>
      <c r="M277" s="4"/>
      <c r="N277" s="4"/>
      <c r="O277" s="4"/>
      <c r="P277" s="4"/>
      <c r="Q277" s="4"/>
      <c r="R277" s="4"/>
    </row>
    <row r="278" spans="1:18" ht="12.75" customHeight="1">
      <c r="A278" s="4"/>
      <c r="B278" s="4"/>
      <c r="C278" s="3"/>
      <c r="D278" s="4"/>
      <c r="E278" s="4"/>
      <c r="F278" s="4"/>
      <c r="G278" s="4"/>
      <c r="H278" s="4"/>
      <c r="I278" s="4"/>
      <c r="J278" s="4"/>
      <c r="K278" s="4"/>
      <c r="L278" s="4"/>
      <c r="M278" s="4"/>
      <c r="N278" s="4"/>
      <c r="O278" s="4"/>
      <c r="P278" s="4"/>
      <c r="Q278" s="4"/>
      <c r="R278" s="4"/>
    </row>
    <row r="279" spans="1:18" ht="12.75" customHeight="1">
      <c r="A279" s="4"/>
      <c r="B279" s="4"/>
      <c r="C279" s="3"/>
      <c r="D279" s="4"/>
      <c r="E279" s="4"/>
      <c r="F279" s="4"/>
      <c r="G279" s="4"/>
      <c r="H279" s="4"/>
      <c r="I279" s="4"/>
      <c r="J279" s="4"/>
      <c r="K279" s="4"/>
      <c r="L279" s="4"/>
      <c r="M279" s="4"/>
      <c r="N279" s="4"/>
      <c r="O279" s="4"/>
      <c r="P279" s="4"/>
      <c r="Q279" s="4"/>
      <c r="R279" s="4"/>
    </row>
    <row r="280" spans="1:18" ht="12.75" customHeight="1">
      <c r="A280" s="4"/>
      <c r="B280" s="4"/>
      <c r="C280" s="3"/>
      <c r="D280" s="4"/>
      <c r="E280" s="4"/>
      <c r="F280" s="4"/>
      <c r="G280" s="4"/>
      <c r="H280" s="4"/>
      <c r="I280" s="4"/>
      <c r="J280" s="4"/>
      <c r="K280" s="4"/>
      <c r="L280" s="4"/>
      <c r="M280" s="4"/>
      <c r="N280" s="4"/>
      <c r="O280" s="4"/>
      <c r="P280" s="4"/>
      <c r="Q280" s="4"/>
      <c r="R280" s="4"/>
    </row>
    <row r="281" spans="1:18" ht="12.75" customHeight="1">
      <c r="A281" s="4"/>
      <c r="B281" s="4"/>
      <c r="C281" s="3"/>
      <c r="D281" s="4"/>
      <c r="E281" s="4"/>
      <c r="F281" s="4"/>
      <c r="G281" s="4"/>
      <c r="H281" s="4"/>
      <c r="I281" s="4"/>
      <c r="J281" s="4"/>
      <c r="K281" s="4"/>
      <c r="L281" s="4"/>
      <c r="M281" s="4"/>
      <c r="N281" s="4"/>
      <c r="O281" s="4"/>
      <c r="P281" s="4"/>
      <c r="Q281" s="4"/>
      <c r="R281" s="4"/>
    </row>
    <row r="282" spans="1:18" ht="12.75" customHeight="1">
      <c r="A282" s="4"/>
      <c r="B282" s="4"/>
      <c r="C282" s="3"/>
      <c r="D282" s="4"/>
      <c r="E282" s="4"/>
      <c r="F282" s="4"/>
      <c r="G282" s="4"/>
      <c r="H282" s="4"/>
      <c r="I282" s="4"/>
      <c r="J282" s="4"/>
      <c r="K282" s="4"/>
      <c r="L282" s="4"/>
      <c r="M282" s="4"/>
      <c r="N282" s="4"/>
      <c r="O282" s="4"/>
      <c r="P282" s="4"/>
      <c r="Q282" s="4"/>
      <c r="R282" s="4"/>
    </row>
    <row r="283" spans="1:18" ht="12.75" customHeight="1">
      <c r="A283" s="4"/>
      <c r="B283" s="4"/>
      <c r="C283" s="3"/>
      <c r="D283" s="4"/>
      <c r="E283" s="4"/>
      <c r="F283" s="4"/>
      <c r="G283" s="4"/>
      <c r="H283" s="4"/>
      <c r="I283" s="4"/>
      <c r="J283" s="4"/>
      <c r="K283" s="4"/>
      <c r="L283" s="4"/>
      <c r="M283" s="4"/>
      <c r="N283" s="4"/>
      <c r="O283" s="4"/>
      <c r="P283" s="4"/>
      <c r="Q283" s="4"/>
      <c r="R283" s="4"/>
    </row>
    <row r="284" spans="1:18" ht="12.75" customHeight="1">
      <c r="A284" s="4"/>
      <c r="B284" s="4"/>
      <c r="C284" s="3"/>
      <c r="D284" s="4"/>
      <c r="E284" s="4"/>
      <c r="F284" s="4"/>
      <c r="G284" s="4"/>
      <c r="H284" s="4"/>
      <c r="I284" s="4"/>
      <c r="J284" s="4"/>
      <c r="K284" s="4"/>
      <c r="L284" s="4"/>
      <c r="M284" s="4"/>
      <c r="N284" s="4"/>
      <c r="O284" s="4"/>
      <c r="P284" s="4"/>
      <c r="Q284" s="4"/>
      <c r="R284" s="4"/>
    </row>
    <row r="285" spans="1:18" ht="12.75" customHeight="1">
      <c r="A285" s="4"/>
      <c r="B285" s="4"/>
      <c r="C285" s="3"/>
      <c r="D285" s="4"/>
      <c r="E285" s="4"/>
      <c r="F285" s="4"/>
      <c r="G285" s="4"/>
      <c r="H285" s="4"/>
      <c r="I285" s="4"/>
      <c r="J285" s="4"/>
      <c r="K285" s="4"/>
      <c r="L285" s="4"/>
      <c r="M285" s="4"/>
      <c r="N285" s="4"/>
      <c r="O285" s="4"/>
      <c r="P285" s="4"/>
      <c r="Q285" s="4"/>
      <c r="R285" s="4"/>
    </row>
    <row r="286" spans="1:18" ht="12.75" customHeight="1">
      <c r="A286" s="4"/>
      <c r="B286" s="4"/>
      <c r="C286" s="3"/>
      <c r="D286" s="4"/>
      <c r="E286" s="4"/>
      <c r="F286" s="4"/>
      <c r="G286" s="4"/>
      <c r="H286" s="4"/>
      <c r="I286" s="4"/>
      <c r="J286" s="4"/>
      <c r="K286" s="4"/>
      <c r="L286" s="4"/>
      <c r="M286" s="4"/>
      <c r="N286" s="4"/>
      <c r="O286" s="4"/>
      <c r="P286" s="4"/>
      <c r="Q286" s="4"/>
      <c r="R286" s="4"/>
    </row>
    <row r="287" spans="1:18" ht="12.75" customHeight="1">
      <c r="A287" s="4"/>
      <c r="B287" s="4"/>
      <c r="C287" s="3"/>
      <c r="D287" s="4"/>
      <c r="E287" s="4"/>
      <c r="F287" s="4"/>
      <c r="G287" s="4"/>
      <c r="H287" s="4"/>
      <c r="I287" s="4"/>
      <c r="J287" s="4"/>
      <c r="K287" s="4"/>
      <c r="L287" s="4"/>
      <c r="M287" s="4"/>
      <c r="N287" s="4"/>
      <c r="O287" s="4"/>
      <c r="P287" s="4"/>
      <c r="Q287" s="4"/>
      <c r="R287" s="4"/>
    </row>
    <row r="288" spans="1:18" ht="12.75" customHeight="1">
      <c r="A288" s="4"/>
      <c r="B288" s="4"/>
      <c r="C288" s="3"/>
      <c r="D288" s="4"/>
      <c r="E288" s="4"/>
      <c r="F288" s="4"/>
      <c r="G288" s="4"/>
      <c r="H288" s="4"/>
      <c r="I288" s="4"/>
      <c r="J288" s="4"/>
      <c r="K288" s="4"/>
      <c r="L288" s="4"/>
      <c r="M288" s="4"/>
      <c r="N288" s="4"/>
      <c r="O288" s="4"/>
      <c r="P288" s="4"/>
      <c r="Q288" s="4"/>
      <c r="R288" s="4"/>
    </row>
    <row r="289" spans="1:18" ht="12.75" customHeight="1">
      <c r="A289" s="4"/>
      <c r="B289" s="4"/>
      <c r="C289" s="3"/>
      <c r="D289" s="4"/>
      <c r="E289" s="4"/>
      <c r="F289" s="4"/>
      <c r="G289" s="4"/>
      <c r="H289" s="4"/>
      <c r="I289" s="4"/>
      <c r="J289" s="4"/>
      <c r="K289" s="4"/>
      <c r="L289" s="4"/>
      <c r="M289" s="4"/>
      <c r="N289" s="4"/>
      <c r="O289" s="4"/>
      <c r="P289" s="4"/>
      <c r="Q289" s="4"/>
      <c r="R289" s="4"/>
    </row>
    <row r="290" spans="1:18" ht="12.75" customHeight="1">
      <c r="A290" s="4"/>
      <c r="B290" s="4"/>
      <c r="C290" s="3"/>
      <c r="D290" s="4"/>
      <c r="E290" s="4"/>
      <c r="F290" s="4"/>
      <c r="G290" s="4"/>
      <c r="H290" s="4"/>
      <c r="I290" s="4"/>
      <c r="J290" s="4"/>
      <c r="K290" s="4"/>
      <c r="L290" s="4"/>
      <c r="M290" s="4"/>
      <c r="N290" s="4"/>
      <c r="O290" s="4"/>
      <c r="P290" s="4"/>
      <c r="Q290" s="4"/>
      <c r="R290" s="4"/>
    </row>
    <row r="291" spans="1:18" ht="12.75" customHeight="1">
      <c r="A291" s="4"/>
      <c r="B291" s="4"/>
      <c r="C291" s="3"/>
      <c r="D291" s="4"/>
      <c r="E291" s="4"/>
      <c r="F291" s="4"/>
      <c r="G291" s="4"/>
      <c r="H291" s="4"/>
      <c r="I291" s="4"/>
      <c r="J291" s="4"/>
      <c r="K291" s="4"/>
      <c r="L291" s="4"/>
      <c r="M291" s="4"/>
      <c r="N291" s="4"/>
      <c r="O291" s="4"/>
      <c r="P291" s="4"/>
      <c r="Q291" s="4"/>
      <c r="R291" s="4"/>
    </row>
    <row r="292" spans="1:18" ht="12.75" customHeight="1">
      <c r="A292" s="4"/>
      <c r="B292" s="4"/>
      <c r="C292" s="3"/>
      <c r="D292" s="4"/>
      <c r="E292" s="4"/>
      <c r="F292" s="4"/>
      <c r="G292" s="4"/>
      <c r="H292" s="4"/>
      <c r="I292" s="4"/>
      <c r="J292" s="4"/>
      <c r="K292" s="4"/>
      <c r="L292" s="4"/>
      <c r="M292" s="4"/>
      <c r="N292" s="4"/>
      <c r="O292" s="4"/>
      <c r="P292" s="4"/>
      <c r="Q292" s="4"/>
      <c r="R292" s="4"/>
    </row>
    <row r="293" spans="1:18" ht="12.75" customHeight="1">
      <c r="A293" s="4"/>
      <c r="B293" s="4"/>
      <c r="C293" s="3"/>
      <c r="D293" s="4"/>
      <c r="E293" s="4"/>
      <c r="F293" s="4"/>
      <c r="G293" s="4"/>
      <c r="H293" s="4"/>
      <c r="I293" s="4"/>
      <c r="J293" s="4"/>
      <c r="K293" s="4"/>
      <c r="L293" s="4"/>
      <c r="M293" s="4"/>
      <c r="N293" s="4"/>
      <c r="O293" s="4"/>
      <c r="P293" s="4"/>
      <c r="Q293" s="4"/>
      <c r="R293" s="4"/>
    </row>
    <row r="294" spans="1:18" ht="12.75" customHeight="1">
      <c r="A294" s="4"/>
      <c r="B294" s="4"/>
      <c r="C294" s="3"/>
      <c r="D294" s="4"/>
      <c r="E294" s="4"/>
      <c r="F294" s="4"/>
      <c r="G294" s="4"/>
      <c r="H294" s="4"/>
      <c r="I294" s="4"/>
      <c r="J294" s="4"/>
      <c r="K294" s="4"/>
      <c r="L294" s="4"/>
      <c r="M294" s="4"/>
      <c r="N294" s="4"/>
      <c r="O294" s="4"/>
      <c r="P294" s="4"/>
      <c r="Q294" s="4"/>
      <c r="R294" s="4"/>
    </row>
    <row r="295" spans="1:18" ht="12.75" customHeight="1">
      <c r="A295" s="4"/>
      <c r="B295" s="4"/>
      <c r="C295" s="3"/>
      <c r="D295" s="4"/>
      <c r="E295" s="4"/>
      <c r="F295" s="4"/>
      <c r="G295" s="4"/>
      <c r="H295" s="4"/>
      <c r="I295" s="4"/>
      <c r="J295" s="4"/>
      <c r="K295" s="4"/>
      <c r="L295" s="4"/>
      <c r="M295" s="4"/>
      <c r="N295" s="4"/>
      <c r="O295" s="4"/>
      <c r="P295" s="4"/>
      <c r="Q295" s="4"/>
      <c r="R295" s="4"/>
    </row>
    <row r="296" spans="1:18" ht="12.75" customHeight="1">
      <c r="A296" s="4"/>
      <c r="B296" s="4"/>
      <c r="C296" s="3"/>
      <c r="D296" s="4"/>
      <c r="E296" s="4"/>
      <c r="F296" s="4"/>
      <c r="G296" s="4"/>
      <c r="H296" s="4"/>
      <c r="I296" s="4"/>
      <c r="J296" s="4"/>
      <c r="K296" s="4"/>
      <c r="L296" s="4"/>
      <c r="M296" s="4"/>
      <c r="N296" s="4"/>
      <c r="O296" s="4"/>
      <c r="P296" s="4"/>
      <c r="Q296" s="4"/>
      <c r="R296" s="4"/>
    </row>
    <row r="297" spans="1:18" ht="12.75" customHeight="1">
      <c r="A297" s="4"/>
      <c r="B297" s="4"/>
      <c r="C297" s="3"/>
      <c r="D297" s="4"/>
      <c r="E297" s="4"/>
      <c r="F297" s="4"/>
      <c r="G297" s="4"/>
      <c r="H297" s="4"/>
      <c r="I297" s="4"/>
      <c r="J297" s="4"/>
      <c r="K297" s="4"/>
      <c r="L297" s="4"/>
      <c r="M297" s="4"/>
      <c r="N297" s="4"/>
      <c r="O297" s="4"/>
      <c r="P297" s="4"/>
      <c r="Q297" s="4"/>
      <c r="R297" s="4"/>
    </row>
    <row r="298" spans="1:18" ht="12.75" customHeight="1">
      <c r="A298" s="4"/>
      <c r="B298" s="4"/>
      <c r="C298" s="3"/>
      <c r="D298" s="4"/>
      <c r="E298" s="4"/>
      <c r="F298" s="4"/>
      <c r="G298" s="4"/>
      <c r="H298" s="4"/>
      <c r="I298" s="4"/>
      <c r="J298" s="4"/>
      <c r="K298" s="4"/>
      <c r="L298" s="4"/>
      <c r="M298" s="4"/>
      <c r="N298" s="4"/>
      <c r="O298" s="4"/>
      <c r="P298" s="4"/>
      <c r="Q298" s="4"/>
      <c r="R298" s="4"/>
    </row>
    <row r="299" spans="1:18" ht="12.75" customHeight="1">
      <c r="A299" s="4"/>
      <c r="B299" s="4"/>
      <c r="C299" s="3"/>
      <c r="D299" s="4"/>
      <c r="E299" s="4"/>
      <c r="F299" s="4"/>
      <c r="G299" s="4"/>
      <c r="H299" s="4"/>
      <c r="I299" s="4"/>
      <c r="J299" s="4"/>
      <c r="K299" s="4"/>
      <c r="L299" s="4"/>
      <c r="M299" s="4"/>
      <c r="N299" s="4"/>
      <c r="O299" s="4"/>
      <c r="P299" s="4"/>
      <c r="Q299" s="4"/>
      <c r="R299" s="4"/>
    </row>
    <row r="300" spans="1:18" ht="12.75" customHeight="1">
      <c r="A300" s="4"/>
      <c r="B300" s="4"/>
      <c r="C300" s="3"/>
      <c r="D300" s="4"/>
      <c r="E300" s="4"/>
      <c r="F300" s="4"/>
      <c r="G300" s="4"/>
      <c r="H300" s="4"/>
      <c r="I300" s="4"/>
      <c r="J300" s="4"/>
      <c r="K300" s="4"/>
      <c r="L300" s="4"/>
      <c r="M300" s="4"/>
      <c r="N300" s="4"/>
      <c r="O300" s="4"/>
      <c r="P300" s="4"/>
      <c r="Q300" s="4"/>
      <c r="R300" s="4"/>
    </row>
    <row r="301" spans="1:18" ht="12.75" customHeight="1">
      <c r="A301" s="4"/>
      <c r="B301" s="4"/>
      <c r="C301" s="3"/>
      <c r="D301" s="4"/>
      <c r="E301" s="4"/>
      <c r="F301" s="4"/>
      <c r="G301" s="4"/>
      <c r="H301" s="4"/>
      <c r="I301" s="4"/>
      <c r="J301" s="4"/>
      <c r="K301" s="4"/>
      <c r="L301" s="4"/>
      <c r="M301" s="4"/>
      <c r="N301" s="4"/>
      <c r="O301" s="4"/>
      <c r="P301" s="4"/>
      <c r="Q301" s="4"/>
      <c r="R301" s="4"/>
    </row>
    <row r="302" spans="1:18" ht="12.75" customHeight="1">
      <c r="A302" s="4"/>
      <c r="B302" s="4"/>
      <c r="C302" s="3"/>
      <c r="D302" s="4"/>
      <c r="E302" s="4"/>
      <c r="F302" s="4"/>
      <c r="G302" s="4"/>
      <c r="H302" s="4"/>
      <c r="I302" s="4"/>
      <c r="J302" s="4"/>
      <c r="K302" s="4"/>
      <c r="L302" s="4"/>
      <c r="M302" s="4"/>
      <c r="N302" s="4"/>
      <c r="O302" s="4"/>
      <c r="P302" s="4"/>
      <c r="Q302" s="4"/>
      <c r="R302" s="4"/>
    </row>
    <row r="303" spans="1:18" ht="12.75" customHeight="1">
      <c r="A303" s="4"/>
      <c r="B303" s="4"/>
      <c r="C303" s="3"/>
      <c r="D303" s="4"/>
      <c r="E303" s="4"/>
      <c r="F303" s="4"/>
      <c r="G303" s="4"/>
      <c r="H303" s="4"/>
      <c r="I303" s="4"/>
      <c r="J303" s="4"/>
      <c r="K303" s="4"/>
      <c r="L303" s="4"/>
      <c r="M303" s="4"/>
      <c r="N303" s="4"/>
      <c r="O303" s="4"/>
      <c r="P303" s="4"/>
      <c r="Q303" s="4"/>
      <c r="R303" s="4"/>
    </row>
    <row r="304" spans="1:18" ht="12.75" customHeight="1">
      <c r="A304" s="4"/>
      <c r="B304" s="4"/>
      <c r="C304" s="3"/>
      <c r="D304" s="4"/>
      <c r="E304" s="4"/>
      <c r="F304" s="4"/>
      <c r="G304" s="4"/>
      <c r="H304" s="4"/>
      <c r="I304" s="4"/>
      <c r="J304" s="4"/>
      <c r="K304" s="4"/>
      <c r="L304" s="4"/>
      <c r="M304" s="4"/>
      <c r="N304" s="4"/>
      <c r="O304" s="4"/>
      <c r="P304" s="4"/>
      <c r="Q304" s="4"/>
      <c r="R304" s="4"/>
    </row>
    <row r="305" spans="1:18" ht="12.75" customHeight="1">
      <c r="A305" s="4"/>
      <c r="B305" s="4"/>
      <c r="C305" s="3"/>
      <c r="D305" s="4"/>
      <c r="E305" s="4"/>
      <c r="F305" s="4"/>
      <c r="G305" s="4"/>
      <c r="H305" s="4"/>
      <c r="I305" s="4"/>
      <c r="J305" s="4"/>
      <c r="K305" s="4"/>
      <c r="L305" s="4"/>
      <c r="M305" s="4"/>
      <c r="N305" s="4"/>
      <c r="O305" s="4"/>
      <c r="P305" s="4"/>
      <c r="Q305" s="4"/>
      <c r="R305" s="4"/>
    </row>
    <row r="306" spans="1:18" ht="12.75" customHeight="1">
      <c r="A306" s="4"/>
      <c r="B306" s="4"/>
      <c r="C306" s="3"/>
      <c r="D306" s="4"/>
      <c r="E306" s="4"/>
      <c r="F306" s="4"/>
      <c r="G306" s="4"/>
      <c r="H306" s="4"/>
      <c r="I306" s="4"/>
      <c r="J306" s="4"/>
      <c r="K306" s="4"/>
      <c r="L306" s="4"/>
      <c r="M306" s="4"/>
      <c r="N306" s="4"/>
      <c r="O306" s="4"/>
      <c r="P306" s="4"/>
      <c r="Q306" s="4"/>
      <c r="R306" s="4"/>
    </row>
    <row r="307" spans="1:18" ht="12.75" customHeight="1">
      <c r="A307" s="4"/>
      <c r="B307" s="4"/>
      <c r="C307" s="3"/>
      <c r="D307" s="4"/>
      <c r="E307" s="4"/>
      <c r="F307" s="4"/>
      <c r="G307" s="4"/>
      <c r="H307" s="4"/>
      <c r="I307" s="4"/>
      <c r="J307" s="4"/>
      <c r="K307" s="4"/>
      <c r="L307" s="4"/>
      <c r="M307" s="4"/>
      <c r="N307" s="4"/>
      <c r="O307" s="4"/>
      <c r="P307" s="4"/>
      <c r="Q307" s="4"/>
      <c r="R307" s="4"/>
    </row>
    <row r="308" spans="1:18" ht="12.75" customHeight="1">
      <c r="A308" s="4"/>
      <c r="B308" s="4"/>
      <c r="C308" s="3"/>
      <c r="D308" s="4"/>
      <c r="E308" s="4"/>
      <c r="F308" s="4"/>
      <c r="G308" s="4"/>
      <c r="H308" s="4"/>
      <c r="I308" s="4"/>
      <c r="J308" s="4"/>
      <c r="K308" s="4"/>
      <c r="L308" s="4"/>
      <c r="M308" s="4"/>
      <c r="N308" s="4"/>
      <c r="O308" s="4"/>
      <c r="P308" s="4"/>
      <c r="Q308" s="4"/>
      <c r="R308" s="4"/>
    </row>
    <row r="309" spans="1:18" ht="12.75" customHeight="1">
      <c r="A309" s="4"/>
      <c r="B309" s="4"/>
      <c r="C309" s="3"/>
      <c r="D309" s="4"/>
      <c r="E309" s="4"/>
      <c r="F309" s="4"/>
      <c r="G309" s="4"/>
      <c r="H309" s="4"/>
      <c r="I309" s="4"/>
      <c r="J309" s="4"/>
      <c r="K309" s="4"/>
      <c r="L309" s="4"/>
      <c r="M309" s="4"/>
      <c r="N309" s="4"/>
      <c r="O309" s="4"/>
      <c r="P309" s="4"/>
      <c r="Q309" s="4"/>
      <c r="R309" s="4"/>
    </row>
    <row r="310" spans="1:18" ht="12.75" customHeight="1">
      <c r="A310" s="4"/>
      <c r="B310" s="4"/>
      <c r="C310" s="3"/>
      <c r="D310" s="4"/>
      <c r="E310" s="4"/>
      <c r="F310" s="4"/>
      <c r="G310" s="4"/>
      <c r="H310" s="4"/>
      <c r="I310" s="4"/>
      <c r="J310" s="4"/>
      <c r="K310" s="4"/>
      <c r="L310" s="4"/>
      <c r="M310" s="4"/>
      <c r="N310" s="4"/>
      <c r="O310" s="4"/>
      <c r="P310" s="4"/>
      <c r="Q310" s="4"/>
      <c r="R310" s="4"/>
    </row>
    <row r="311" spans="1:18" ht="12.75" customHeight="1">
      <c r="A311" s="4"/>
      <c r="B311" s="4"/>
      <c r="C311" s="3"/>
      <c r="D311" s="4"/>
      <c r="E311" s="4"/>
      <c r="F311" s="4"/>
      <c r="G311" s="4"/>
      <c r="H311" s="4"/>
      <c r="I311" s="4"/>
      <c r="J311" s="4"/>
      <c r="K311" s="4"/>
      <c r="L311" s="4"/>
      <c r="M311" s="4"/>
      <c r="N311" s="4"/>
      <c r="O311" s="4"/>
      <c r="P311" s="4"/>
      <c r="Q311" s="4"/>
      <c r="R311" s="4"/>
    </row>
    <row r="312" spans="1:18" ht="12.75" customHeight="1">
      <c r="A312" s="4"/>
      <c r="B312" s="4"/>
      <c r="C312" s="3"/>
      <c r="D312" s="4"/>
      <c r="E312" s="4"/>
      <c r="F312" s="4"/>
      <c r="G312" s="4"/>
      <c r="H312" s="4"/>
      <c r="I312" s="4"/>
      <c r="J312" s="4"/>
      <c r="K312" s="4"/>
      <c r="L312" s="4"/>
      <c r="M312" s="4"/>
      <c r="N312" s="4"/>
      <c r="O312" s="4"/>
      <c r="P312" s="4"/>
      <c r="Q312" s="4"/>
      <c r="R312" s="4"/>
    </row>
    <row r="313" spans="1:18" ht="12.75" customHeight="1">
      <c r="A313" s="4"/>
      <c r="B313" s="4"/>
      <c r="C313" s="3"/>
      <c r="D313" s="4"/>
      <c r="E313" s="4"/>
      <c r="F313" s="4"/>
      <c r="G313" s="4"/>
      <c r="H313" s="4"/>
      <c r="I313" s="4"/>
      <c r="J313" s="4"/>
      <c r="K313" s="4"/>
      <c r="L313" s="4"/>
      <c r="M313" s="4"/>
      <c r="N313" s="4"/>
      <c r="O313" s="4"/>
      <c r="P313" s="4"/>
      <c r="Q313" s="4"/>
      <c r="R313" s="4"/>
    </row>
    <row r="314" spans="1:18" ht="12.75" customHeight="1">
      <c r="A314" s="4"/>
      <c r="B314" s="4"/>
      <c r="C314" s="3"/>
      <c r="D314" s="4"/>
      <c r="E314" s="4"/>
      <c r="F314" s="4"/>
      <c r="G314" s="4"/>
      <c r="H314" s="4"/>
      <c r="I314" s="4"/>
      <c r="J314" s="4"/>
      <c r="K314" s="4"/>
      <c r="L314" s="4"/>
      <c r="M314" s="4"/>
      <c r="N314" s="4"/>
      <c r="O314" s="4"/>
      <c r="P314" s="4"/>
      <c r="Q314" s="4"/>
      <c r="R314" s="4"/>
    </row>
    <row r="315" spans="1:18" ht="12.75" customHeight="1">
      <c r="A315" s="4"/>
      <c r="B315" s="4"/>
      <c r="C315" s="3"/>
      <c r="D315" s="4"/>
      <c r="E315" s="4"/>
      <c r="F315" s="4"/>
      <c r="G315" s="4"/>
      <c r="H315" s="4"/>
      <c r="I315" s="4"/>
      <c r="J315" s="4"/>
      <c r="K315" s="4"/>
      <c r="L315" s="4"/>
      <c r="M315" s="4"/>
      <c r="N315" s="4"/>
      <c r="O315" s="4"/>
      <c r="P315" s="4"/>
      <c r="Q315" s="4"/>
      <c r="R315" s="4"/>
    </row>
    <row r="316" spans="1:18" ht="12.75" customHeight="1">
      <c r="A316" s="4"/>
      <c r="B316" s="4"/>
      <c r="C316" s="3"/>
      <c r="D316" s="4"/>
      <c r="E316" s="4"/>
      <c r="F316" s="4"/>
      <c r="G316" s="4"/>
      <c r="H316" s="4"/>
      <c r="I316" s="4"/>
      <c r="J316" s="4"/>
      <c r="K316" s="4"/>
      <c r="L316" s="4"/>
      <c r="M316" s="4"/>
      <c r="N316" s="4"/>
      <c r="O316" s="4"/>
      <c r="P316" s="4"/>
      <c r="Q316" s="4"/>
      <c r="R316" s="4"/>
    </row>
    <row r="317" spans="1:18" ht="12.75" customHeight="1">
      <c r="A317" s="4"/>
      <c r="B317" s="4"/>
      <c r="C317" s="3"/>
      <c r="D317" s="4"/>
      <c r="E317" s="4"/>
      <c r="F317" s="4"/>
      <c r="G317" s="4"/>
      <c r="H317" s="4"/>
      <c r="I317" s="4"/>
      <c r="J317" s="4"/>
      <c r="K317" s="4"/>
      <c r="L317" s="4"/>
      <c r="M317" s="4"/>
      <c r="N317" s="4"/>
      <c r="O317" s="4"/>
      <c r="P317" s="4"/>
      <c r="Q317" s="4"/>
      <c r="R317" s="4"/>
    </row>
    <row r="318" spans="1:18" ht="12.75" customHeight="1">
      <c r="A318" s="4"/>
      <c r="B318" s="4"/>
      <c r="C318" s="3"/>
      <c r="D318" s="4"/>
      <c r="E318" s="4"/>
      <c r="F318" s="4"/>
      <c r="G318" s="4"/>
      <c r="H318" s="4"/>
      <c r="I318" s="4"/>
      <c r="J318" s="4"/>
      <c r="K318" s="4"/>
      <c r="L318" s="4"/>
      <c r="M318" s="4"/>
      <c r="N318" s="4"/>
      <c r="O318" s="4"/>
      <c r="P318" s="4"/>
      <c r="Q318" s="4"/>
      <c r="R318" s="4"/>
    </row>
    <row r="319" spans="1:18" ht="12.75" customHeight="1">
      <c r="A319" s="4"/>
      <c r="B319" s="4"/>
      <c r="C319" s="3"/>
      <c r="D319" s="4"/>
      <c r="E319" s="4"/>
      <c r="F319" s="4"/>
      <c r="G319" s="4"/>
      <c r="H319" s="4"/>
      <c r="I319" s="4"/>
      <c r="J319" s="4"/>
      <c r="K319" s="4"/>
      <c r="L319" s="4"/>
      <c r="M319" s="4"/>
      <c r="N319" s="4"/>
      <c r="O319" s="4"/>
      <c r="P319" s="4"/>
      <c r="Q319" s="4"/>
      <c r="R319" s="4"/>
    </row>
    <row r="320" spans="1:18" ht="12.75" customHeight="1">
      <c r="A320" s="4"/>
      <c r="B320" s="4"/>
      <c r="C320" s="3"/>
      <c r="D320" s="4"/>
      <c r="E320" s="4"/>
      <c r="F320" s="4"/>
      <c r="G320" s="4"/>
      <c r="H320" s="4"/>
      <c r="I320" s="4"/>
      <c r="J320" s="4"/>
      <c r="K320" s="4"/>
      <c r="L320" s="4"/>
      <c r="M320" s="4"/>
      <c r="N320" s="4"/>
      <c r="O320" s="4"/>
      <c r="P320" s="4"/>
      <c r="Q320" s="4"/>
      <c r="R320" s="4"/>
    </row>
    <row r="321" spans="1:18" ht="12.75" customHeight="1">
      <c r="A321" s="4"/>
      <c r="B321" s="4"/>
      <c r="C321" s="3"/>
      <c r="D321" s="4"/>
      <c r="E321" s="4"/>
      <c r="F321" s="4"/>
      <c r="G321" s="4"/>
      <c r="H321" s="4"/>
      <c r="I321" s="4"/>
      <c r="J321" s="4"/>
      <c r="K321" s="4"/>
      <c r="L321" s="4"/>
      <c r="M321" s="4"/>
      <c r="N321" s="4"/>
      <c r="O321" s="4"/>
      <c r="P321" s="4"/>
      <c r="Q321" s="4"/>
      <c r="R321" s="4"/>
    </row>
    <row r="322" spans="1:18" ht="12.75" customHeight="1">
      <c r="A322" s="4"/>
      <c r="B322" s="4"/>
      <c r="C322" s="3"/>
      <c r="D322" s="4"/>
      <c r="E322" s="4"/>
      <c r="F322" s="4"/>
      <c r="G322" s="4"/>
      <c r="H322" s="4"/>
      <c r="I322" s="4"/>
      <c r="J322" s="4"/>
      <c r="K322" s="4"/>
      <c r="L322" s="4"/>
      <c r="M322" s="4"/>
      <c r="N322" s="4"/>
      <c r="O322" s="4"/>
      <c r="P322" s="4"/>
      <c r="Q322" s="4"/>
      <c r="R322" s="4"/>
    </row>
    <row r="323" spans="1:18" ht="12.75" customHeight="1">
      <c r="A323" s="4"/>
      <c r="B323" s="4"/>
      <c r="C323" s="3"/>
      <c r="D323" s="4"/>
      <c r="E323" s="4"/>
      <c r="F323" s="4"/>
      <c r="G323" s="4"/>
      <c r="H323" s="4"/>
      <c r="I323" s="4"/>
      <c r="J323" s="4"/>
      <c r="K323" s="4"/>
      <c r="L323" s="4"/>
      <c r="M323" s="4"/>
      <c r="N323" s="4"/>
      <c r="O323" s="4"/>
      <c r="P323" s="4"/>
      <c r="Q323" s="4"/>
      <c r="R323" s="4"/>
    </row>
    <row r="324" spans="1:18" ht="12.75" customHeight="1">
      <c r="A324" s="4"/>
      <c r="B324" s="4"/>
      <c r="C324" s="3"/>
      <c r="D324" s="4"/>
      <c r="E324" s="4"/>
      <c r="F324" s="4"/>
      <c r="G324" s="4"/>
      <c r="H324" s="4"/>
      <c r="I324" s="4"/>
      <c r="J324" s="4"/>
      <c r="K324" s="4"/>
      <c r="L324" s="4"/>
      <c r="M324" s="4"/>
      <c r="N324" s="4"/>
      <c r="O324" s="4"/>
      <c r="P324" s="4"/>
      <c r="Q324" s="4"/>
      <c r="R324" s="4"/>
    </row>
    <row r="325" spans="1:18" ht="12.75" customHeight="1">
      <c r="A325" s="4"/>
      <c r="B325" s="4"/>
      <c r="C325" s="3"/>
      <c r="D325" s="4"/>
      <c r="E325" s="4"/>
      <c r="F325" s="4"/>
      <c r="G325" s="4"/>
      <c r="H325" s="4"/>
      <c r="I325" s="4"/>
      <c r="J325" s="4"/>
      <c r="K325" s="4"/>
      <c r="L325" s="4"/>
      <c r="M325" s="4"/>
      <c r="N325" s="4"/>
      <c r="O325" s="4"/>
      <c r="P325" s="4"/>
      <c r="Q325" s="4"/>
      <c r="R325" s="4"/>
    </row>
    <row r="326" spans="1:18" ht="12.75" customHeight="1">
      <c r="A326" s="4"/>
      <c r="B326" s="4"/>
      <c r="C326" s="3"/>
      <c r="D326" s="4"/>
      <c r="E326" s="4"/>
      <c r="F326" s="4"/>
      <c r="G326" s="4"/>
      <c r="H326" s="4"/>
      <c r="I326" s="4"/>
      <c r="J326" s="4"/>
      <c r="K326" s="4"/>
      <c r="L326" s="4"/>
      <c r="M326" s="4"/>
      <c r="N326" s="4"/>
      <c r="O326" s="4"/>
      <c r="P326" s="4"/>
      <c r="Q326" s="4"/>
      <c r="R326" s="4"/>
    </row>
    <row r="327" spans="1:18" ht="12.75" customHeight="1">
      <c r="A327" s="4"/>
      <c r="B327" s="4"/>
      <c r="C327" s="3"/>
      <c r="D327" s="4"/>
      <c r="E327" s="4"/>
      <c r="F327" s="4"/>
      <c r="G327" s="4"/>
      <c r="H327" s="4"/>
      <c r="I327" s="4"/>
      <c r="J327" s="4"/>
      <c r="K327" s="4"/>
      <c r="L327" s="4"/>
      <c r="M327" s="4"/>
      <c r="N327" s="4"/>
      <c r="O327" s="4"/>
      <c r="P327" s="4"/>
      <c r="Q327" s="4"/>
      <c r="R327" s="4"/>
    </row>
    <row r="328" spans="1:18" ht="12.75" customHeight="1">
      <c r="A328" s="4"/>
      <c r="B328" s="4"/>
      <c r="C328" s="3"/>
      <c r="D328" s="4"/>
      <c r="E328" s="4"/>
      <c r="F328" s="4"/>
      <c r="G328" s="4"/>
      <c r="H328" s="4"/>
      <c r="I328" s="4"/>
      <c r="J328" s="4"/>
      <c r="K328" s="4"/>
      <c r="L328" s="4"/>
      <c r="M328" s="4"/>
      <c r="N328" s="4"/>
      <c r="O328" s="4"/>
      <c r="P328" s="4"/>
      <c r="Q328" s="4"/>
      <c r="R328" s="4"/>
    </row>
    <row r="329" spans="1:18" ht="12.75" customHeight="1">
      <c r="A329" s="4"/>
      <c r="B329" s="4"/>
      <c r="C329" s="3"/>
      <c r="D329" s="4"/>
      <c r="E329" s="4"/>
      <c r="F329" s="4"/>
      <c r="G329" s="4"/>
      <c r="H329" s="4"/>
      <c r="I329" s="4"/>
      <c r="J329" s="4"/>
      <c r="K329" s="4"/>
      <c r="L329" s="4"/>
      <c r="M329" s="4"/>
      <c r="N329" s="4"/>
      <c r="O329" s="4"/>
      <c r="P329" s="4"/>
      <c r="Q329" s="4"/>
      <c r="R329" s="4"/>
    </row>
    <row r="330" spans="1:18" ht="12.75" customHeight="1">
      <c r="A330" s="4"/>
      <c r="B330" s="4"/>
      <c r="C330" s="3"/>
      <c r="D330" s="4"/>
      <c r="E330" s="4"/>
      <c r="F330" s="4"/>
      <c r="G330" s="4"/>
      <c r="H330" s="4"/>
      <c r="I330" s="4"/>
      <c r="J330" s="4"/>
      <c r="K330" s="4"/>
      <c r="L330" s="4"/>
      <c r="M330" s="4"/>
      <c r="N330" s="4"/>
      <c r="O330" s="4"/>
      <c r="P330" s="4"/>
      <c r="Q330" s="4"/>
      <c r="R330" s="4"/>
    </row>
    <row r="331" spans="1:18" ht="12.75" customHeight="1">
      <c r="A331" s="4"/>
      <c r="B331" s="4"/>
      <c r="C331" s="3"/>
      <c r="D331" s="4"/>
      <c r="E331" s="4"/>
      <c r="F331" s="4"/>
      <c r="G331" s="4"/>
      <c r="H331" s="4"/>
      <c r="I331" s="4"/>
      <c r="J331" s="4"/>
      <c r="K331" s="4"/>
      <c r="L331" s="4"/>
      <c r="M331" s="4"/>
      <c r="N331" s="4"/>
      <c r="O331" s="4"/>
      <c r="P331" s="4"/>
      <c r="Q331" s="4"/>
      <c r="R331" s="4"/>
    </row>
    <row r="332" spans="1:18" ht="12.75" customHeight="1">
      <c r="A332" s="4"/>
      <c r="B332" s="4"/>
      <c r="C332" s="3"/>
      <c r="D332" s="4"/>
      <c r="E332" s="4"/>
      <c r="F332" s="4"/>
      <c r="G332" s="4"/>
      <c r="H332" s="4"/>
      <c r="I332" s="4"/>
      <c r="J332" s="4"/>
      <c r="K332" s="4"/>
      <c r="L332" s="4"/>
      <c r="M332" s="4"/>
      <c r="N332" s="4"/>
      <c r="O332" s="4"/>
      <c r="P332" s="4"/>
      <c r="Q332" s="4"/>
      <c r="R332" s="4"/>
    </row>
    <row r="333" spans="1:18" ht="12.75" customHeight="1">
      <c r="A333" s="4"/>
      <c r="B333" s="4"/>
      <c r="C333" s="3"/>
      <c r="D333" s="4"/>
      <c r="E333" s="4"/>
      <c r="F333" s="4"/>
      <c r="G333" s="4"/>
      <c r="H333" s="4"/>
      <c r="I333" s="4"/>
      <c r="J333" s="4"/>
      <c r="K333" s="4"/>
      <c r="L333" s="4"/>
      <c r="M333" s="4"/>
      <c r="N333" s="4"/>
      <c r="O333" s="4"/>
      <c r="P333" s="4"/>
      <c r="Q333" s="4"/>
      <c r="R333" s="4"/>
    </row>
    <row r="334" spans="1:18" ht="12.75" customHeight="1">
      <c r="A334" s="4"/>
      <c r="B334" s="4"/>
      <c r="C334" s="3"/>
      <c r="D334" s="4"/>
      <c r="E334" s="4"/>
      <c r="F334" s="4"/>
      <c r="G334" s="4"/>
      <c r="H334" s="4"/>
      <c r="I334" s="4"/>
      <c r="J334" s="4"/>
      <c r="K334" s="4"/>
      <c r="L334" s="4"/>
      <c r="M334" s="4"/>
      <c r="N334" s="4"/>
      <c r="O334" s="4"/>
      <c r="P334" s="4"/>
      <c r="Q334" s="4"/>
      <c r="R334" s="4"/>
    </row>
    <row r="335" spans="1:18" ht="12.75" customHeight="1">
      <c r="A335" s="4"/>
      <c r="B335" s="4"/>
      <c r="C335" s="3"/>
      <c r="D335" s="4"/>
      <c r="E335" s="4"/>
      <c r="F335" s="4"/>
      <c r="G335" s="4"/>
      <c r="H335" s="4"/>
      <c r="I335" s="4"/>
      <c r="J335" s="4"/>
      <c r="K335" s="4"/>
      <c r="L335" s="4"/>
      <c r="M335" s="4"/>
      <c r="N335" s="4"/>
      <c r="O335" s="4"/>
      <c r="P335" s="4"/>
      <c r="Q335" s="4"/>
      <c r="R335" s="4"/>
    </row>
    <row r="336" spans="1:18" ht="12.75" customHeight="1">
      <c r="A336" s="4"/>
      <c r="B336" s="4"/>
      <c r="C336" s="3"/>
      <c r="D336" s="4"/>
      <c r="E336" s="4"/>
      <c r="F336" s="4"/>
      <c r="G336" s="4"/>
      <c r="H336" s="4"/>
      <c r="I336" s="4"/>
      <c r="J336" s="4"/>
      <c r="K336" s="4"/>
      <c r="L336" s="4"/>
      <c r="M336" s="4"/>
      <c r="N336" s="4"/>
      <c r="O336" s="4"/>
      <c r="P336" s="4"/>
      <c r="Q336" s="4"/>
      <c r="R336" s="4"/>
    </row>
    <row r="337" spans="1:18" ht="12.75" customHeight="1">
      <c r="A337" s="4"/>
      <c r="B337" s="4"/>
      <c r="C337" s="3"/>
      <c r="D337" s="4"/>
      <c r="E337" s="4"/>
      <c r="F337" s="4"/>
      <c r="G337" s="4"/>
      <c r="H337" s="4"/>
      <c r="I337" s="4"/>
      <c r="J337" s="4"/>
      <c r="K337" s="4"/>
      <c r="L337" s="4"/>
      <c r="M337" s="4"/>
      <c r="N337" s="4"/>
      <c r="O337" s="4"/>
      <c r="P337" s="4"/>
      <c r="Q337" s="4"/>
      <c r="R337" s="4"/>
    </row>
    <row r="338" spans="1:18" ht="12.75" customHeight="1">
      <c r="A338" s="4"/>
      <c r="B338" s="4"/>
      <c r="C338" s="3"/>
      <c r="D338" s="4"/>
      <c r="E338" s="4"/>
      <c r="F338" s="4"/>
      <c r="G338" s="4"/>
      <c r="H338" s="4"/>
      <c r="I338" s="4"/>
      <c r="J338" s="4"/>
      <c r="K338" s="4"/>
      <c r="L338" s="4"/>
      <c r="M338" s="4"/>
      <c r="N338" s="4"/>
      <c r="O338" s="4"/>
      <c r="P338" s="4"/>
      <c r="Q338" s="4"/>
      <c r="R338" s="4"/>
    </row>
    <row r="339" spans="1:18" ht="12.75" customHeight="1">
      <c r="A339" s="4"/>
      <c r="B339" s="4"/>
      <c r="C339" s="3"/>
      <c r="D339" s="4"/>
      <c r="E339" s="4"/>
      <c r="F339" s="4"/>
      <c r="G339" s="4"/>
      <c r="H339" s="4"/>
      <c r="I339" s="4"/>
      <c r="J339" s="4"/>
      <c r="K339" s="4"/>
      <c r="L339" s="4"/>
      <c r="M339" s="4"/>
      <c r="N339" s="4"/>
      <c r="O339" s="4"/>
      <c r="P339" s="4"/>
      <c r="Q339" s="4"/>
      <c r="R339" s="4"/>
    </row>
    <row r="340" spans="1:18" ht="12.75" customHeight="1">
      <c r="A340" s="4"/>
      <c r="B340" s="4"/>
      <c r="C340" s="3"/>
      <c r="D340" s="4"/>
      <c r="E340" s="4"/>
      <c r="F340" s="4"/>
      <c r="G340" s="4"/>
      <c r="H340" s="4"/>
      <c r="I340" s="4"/>
      <c r="J340" s="4"/>
      <c r="K340" s="4"/>
      <c r="L340" s="4"/>
      <c r="M340" s="4"/>
      <c r="N340" s="4"/>
      <c r="O340" s="4"/>
      <c r="P340" s="4"/>
      <c r="Q340" s="4"/>
      <c r="R340" s="4"/>
    </row>
    <row r="341" spans="1:18" ht="12.75" customHeight="1">
      <c r="A341" s="4"/>
      <c r="B341" s="4"/>
      <c r="C341" s="3"/>
      <c r="D341" s="4"/>
      <c r="E341" s="4"/>
      <c r="F341" s="4"/>
      <c r="G341" s="4"/>
      <c r="H341" s="4"/>
      <c r="I341" s="4"/>
      <c r="J341" s="4"/>
      <c r="K341" s="4"/>
      <c r="L341" s="4"/>
      <c r="M341" s="4"/>
      <c r="N341" s="4"/>
      <c r="O341" s="4"/>
      <c r="P341" s="4"/>
      <c r="Q341" s="4"/>
      <c r="R341" s="4"/>
    </row>
    <row r="342" spans="1:18" ht="12.75" customHeight="1">
      <c r="A342" s="4"/>
      <c r="B342" s="4"/>
      <c r="C342" s="3"/>
      <c r="D342" s="4"/>
      <c r="E342" s="4"/>
      <c r="F342" s="4"/>
      <c r="G342" s="4"/>
      <c r="H342" s="4"/>
      <c r="I342" s="4"/>
      <c r="J342" s="4"/>
      <c r="K342" s="4"/>
      <c r="L342" s="4"/>
      <c r="M342" s="4"/>
      <c r="N342" s="4"/>
      <c r="O342" s="4"/>
      <c r="P342" s="4"/>
      <c r="Q342" s="4"/>
      <c r="R342" s="4"/>
    </row>
    <row r="343" spans="1:18" ht="12.75" customHeight="1">
      <c r="A343" s="4"/>
      <c r="B343" s="4"/>
      <c r="C343" s="3"/>
      <c r="D343" s="4"/>
      <c r="E343" s="4"/>
      <c r="F343" s="4"/>
      <c r="G343" s="4"/>
      <c r="H343" s="4"/>
      <c r="I343" s="4"/>
      <c r="J343" s="4"/>
      <c r="K343" s="4"/>
      <c r="L343" s="4"/>
      <c r="M343" s="4"/>
      <c r="N343" s="4"/>
      <c r="O343" s="4"/>
      <c r="P343" s="4"/>
      <c r="Q343" s="4"/>
      <c r="R343" s="4"/>
    </row>
    <row r="344" spans="1:18" ht="12.75" customHeight="1">
      <c r="A344" s="4"/>
      <c r="B344" s="4"/>
      <c r="C344" s="3"/>
      <c r="D344" s="4"/>
      <c r="E344" s="4"/>
      <c r="F344" s="4"/>
      <c r="G344" s="4"/>
      <c r="H344" s="4"/>
      <c r="I344" s="4"/>
      <c r="J344" s="4"/>
      <c r="K344" s="4"/>
      <c r="L344" s="4"/>
      <c r="M344" s="4"/>
      <c r="N344" s="4"/>
      <c r="O344" s="4"/>
      <c r="P344" s="4"/>
      <c r="Q344" s="4"/>
      <c r="R344" s="4"/>
    </row>
    <row r="345" spans="1:18" ht="12.75" customHeight="1">
      <c r="A345" s="4"/>
      <c r="B345" s="4"/>
      <c r="C345" s="3"/>
      <c r="D345" s="4"/>
      <c r="E345" s="4"/>
      <c r="F345" s="4"/>
      <c r="G345" s="4"/>
      <c r="H345" s="4"/>
      <c r="I345" s="4"/>
      <c r="J345" s="4"/>
      <c r="K345" s="4"/>
      <c r="L345" s="4"/>
      <c r="M345" s="4"/>
      <c r="N345" s="4"/>
      <c r="O345" s="4"/>
      <c r="P345" s="4"/>
      <c r="Q345" s="4"/>
      <c r="R345" s="4"/>
    </row>
    <row r="346" spans="1:18" ht="12.75" customHeight="1">
      <c r="A346" s="4"/>
      <c r="B346" s="4"/>
      <c r="C346" s="3"/>
      <c r="D346" s="4"/>
      <c r="E346" s="4"/>
      <c r="F346" s="4"/>
      <c r="G346" s="4"/>
      <c r="H346" s="4"/>
      <c r="I346" s="4"/>
      <c r="J346" s="4"/>
      <c r="K346" s="4"/>
      <c r="L346" s="4"/>
      <c r="M346" s="4"/>
      <c r="N346" s="4"/>
      <c r="O346" s="4"/>
      <c r="P346" s="4"/>
      <c r="Q346" s="4"/>
      <c r="R346" s="4"/>
    </row>
    <row r="347" spans="1:18" ht="12.75" customHeight="1">
      <c r="A347" s="4"/>
      <c r="B347" s="4"/>
      <c r="C347" s="3"/>
      <c r="D347" s="4"/>
      <c r="E347" s="4"/>
      <c r="F347" s="4"/>
      <c r="G347" s="4"/>
      <c r="H347" s="4"/>
      <c r="I347" s="4"/>
      <c r="J347" s="4"/>
      <c r="K347" s="4"/>
      <c r="L347" s="4"/>
      <c r="M347" s="4"/>
      <c r="N347" s="4"/>
      <c r="O347" s="4"/>
      <c r="P347" s="4"/>
      <c r="Q347" s="4"/>
      <c r="R347" s="4"/>
    </row>
    <row r="348" spans="1:18" ht="12.75" customHeight="1">
      <c r="A348" s="4"/>
      <c r="B348" s="4"/>
      <c r="C348" s="3"/>
      <c r="D348" s="4"/>
      <c r="E348" s="4"/>
      <c r="F348" s="4"/>
      <c r="G348" s="4"/>
      <c r="H348" s="4"/>
      <c r="I348" s="4"/>
      <c r="J348" s="4"/>
      <c r="K348" s="4"/>
      <c r="L348" s="4"/>
      <c r="M348" s="4"/>
      <c r="N348" s="4"/>
      <c r="O348" s="4"/>
      <c r="P348" s="4"/>
      <c r="Q348" s="4"/>
      <c r="R348" s="4"/>
    </row>
    <row r="349" spans="1:18" ht="12.75" customHeight="1">
      <c r="A349" s="4"/>
      <c r="B349" s="4"/>
      <c r="C349" s="3"/>
      <c r="D349" s="4"/>
      <c r="E349" s="4"/>
      <c r="F349" s="4"/>
      <c r="G349" s="4"/>
      <c r="H349" s="4"/>
      <c r="I349" s="4"/>
      <c r="J349" s="4"/>
      <c r="K349" s="4"/>
      <c r="L349" s="4"/>
      <c r="M349" s="4"/>
      <c r="N349" s="4"/>
      <c r="O349" s="4"/>
      <c r="P349" s="4"/>
      <c r="Q349" s="4"/>
      <c r="R349" s="4"/>
    </row>
    <row r="350" spans="1:18" ht="12.75" customHeight="1">
      <c r="A350" s="4"/>
      <c r="B350" s="4"/>
      <c r="C350" s="3"/>
      <c r="D350" s="4"/>
      <c r="E350" s="4"/>
      <c r="F350" s="4"/>
      <c r="G350" s="4"/>
      <c r="H350" s="4"/>
      <c r="I350" s="4"/>
      <c r="J350" s="4"/>
      <c r="K350" s="4"/>
      <c r="L350" s="4"/>
      <c r="M350" s="4"/>
      <c r="N350" s="4"/>
      <c r="O350" s="4"/>
      <c r="P350" s="4"/>
      <c r="Q350" s="4"/>
      <c r="R350" s="4"/>
    </row>
    <row r="351" spans="1:18" ht="12.75" customHeight="1">
      <c r="A351" s="4"/>
      <c r="B351" s="4"/>
      <c r="C351" s="3"/>
      <c r="D351" s="4"/>
      <c r="E351" s="4"/>
      <c r="F351" s="4"/>
      <c r="G351" s="4"/>
      <c r="H351" s="4"/>
      <c r="I351" s="4"/>
      <c r="J351" s="4"/>
      <c r="K351" s="4"/>
      <c r="L351" s="4"/>
      <c r="M351" s="4"/>
      <c r="N351" s="4"/>
      <c r="O351" s="4"/>
      <c r="P351" s="4"/>
      <c r="Q351" s="4"/>
      <c r="R351" s="4"/>
    </row>
    <row r="352" spans="1:18" ht="12.75" customHeight="1">
      <c r="A352" s="4"/>
      <c r="B352" s="4"/>
      <c r="C352" s="3"/>
      <c r="D352" s="4"/>
      <c r="E352" s="4"/>
      <c r="F352" s="4"/>
      <c r="G352" s="4"/>
      <c r="H352" s="4"/>
      <c r="I352" s="4"/>
      <c r="J352" s="4"/>
      <c r="K352" s="4"/>
      <c r="L352" s="4"/>
      <c r="M352" s="4"/>
      <c r="N352" s="4"/>
      <c r="O352" s="4"/>
      <c r="P352" s="4"/>
      <c r="Q352" s="4"/>
      <c r="R352" s="4"/>
    </row>
    <row r="353" spans="1:18" ht="12.75" customHeight="1">
      <c r="A353" s="4"/>
      <c r="B353" s="4"/>
      <c r="C353" s="3"/>
      <c r="D353" s="4"/>
      <c r="E353" s="4"/>
      <c r="F353" s="4"/>
      <c r="G353" s="4"/>
      <c r="H353" s="4"/>
      <c r="I353" s="4"/>
      <c r="J353" s="4"/>
      <c r="K353" s="4"/>
      <c r="L353" s="4"/>
      <c r="M353" s="4"/>
      <c r="N353" s="4"/>
      <c r="O353" s="4"/>
      <c r="P353" s="4"/>
      <c r="Q353" s="4"/>
      <c r="R353" s="4"/>
    </row>
    <row r="354" spans="1:18" ht="12.75" customHeight="1">
      <c r="A354" s="4"/>
      <c r="B354" s="4"/>
      <c r="C354" s="3"/>
      <c r="D354" s="4"/>
      <c r="E354" s="4"/>
      <c r="F354" s="4"/>
      <c r="G354" s="4"/>
      <c r="H354" s="4"/>
      <c r="I354" s="4"/>
      <c r="J354" s="4"/>
      <c r="K354" s="4"/>
      <c r="L354" s="4"/>
      <c r="M354" s="4"/>
      <c r="N354" s="4"/>
      <c r="O354" s="4"/>
      <c r="P354" s="4"/>
      <c r="Q354" s="4"/>
      <c r="R354" s="4"/>
    </row>
    <row r="355" spans="1:18" ht="12.75" customHeight="1">
      <c r="A355" s="4"/>
      <c r="B355" s="4"/>
      <c r="C355" s="3"/>
      <c r="D355" s="4"/>
      <c r="E355" s="4"/>
      <c r="F355" s="4"/>
      <c r="G355" s="4"/>
      <c r="H355" s="4"/>
      <c r="I355" s="4"/>
      <c r="J355" s="4"/>
      <c r="K355" s="4"/>
      <c r="L355" s="4"/>
      <c r="M355" s="4"/>
      <c r="N355" s="4"/>
      <c r="O355" s="4"/>
      <c r="P355" s="4"/>
      <c r="Q355" s="4"/>
      <c r="R355" s="4"/>
    </row>
    <row r="356" spans="1:18" ht="12.75" customHeight="1">
      <c r="A356" s="4"/>
      <c r="B356" s="4"/>
      <c r="C356" s="3"/>
      <c r="D356" s="4"/>
      <c r="E356" s="4"/>
      <c r="F356" s="4"/>
      <c r="G356" s="4"/>
      <c r="H356" s="4"/>
      <c r="I356" s="4"/>
      <c r="J356" s="4"/>
      <c r="K356" s="4"/>
      <c r="L356" s="4"/>
      <c r="M356" s="4"/>
      <c r="N356" s="4"/>
      <c r="O356" s="4"/>
      <c r="P356" s="4"/>
      <c r="Q356" s="4"/>
      <c r="R356" s="4"/>
    </row>
    <row r="357" spans="1:18" ht="12.75" customHeight="1">
      <c r="A357" s="4"/>
      <c r="B357" s="4"/>
      <c r="C357" s="3"/>
      <c r="D357" s="4"/>
      <c r="E357" s="4"/>
      <c r="F357" s="4"/>
      <c r="G357" s="4"/>
      <c r="H357" s="4"/>
      <c r="I357" s="4"/>
      <c r="J357" s="4"/>
      <c r="K357" s="4"/>
      <c r="L357" s="4"/>
      <c r="M357" s="4"/>
      <c r="N357" s="4"/>
      <c r="O357" s="4"/>
      <c r="P357" s="4"/>
      <c r="Q357" s="4"/>
      <c r="R357" s="4"/>
    </row>
    <row r="358" spans="1:18" ht="12.75" customHeight="1">
      <c r="A358" s="4"/>
      <c r="B358" s="4"/>
      <c r="C358" s="3"/>
      <c r="D358" s="4"/>
      <c r="E358" s="4"/>
      <c r="F358" s="4"/>
      <c r="G358" s="4"/>
      <c r="H358" s="4"/>
      <c r="I358" s="4"/>
      <c r="J358" s="4"/>
      <c r="K358" s="4"/>
      <c r="L358" s="4"/>
      <c r="M358" s="4"/>
      <c r="N358" s="4"/>
      <c r="O358" s="4"/>
      <c r="P358" s="4"/>
      <c r="Q358" s="4"/>
      <c r="R358" s="4"/>
    </row>
    <row r="359" spans="1:18" ht="12.75" customHeight="1">
      <c r="A359" s="4"/>
      <c r="B359" s="4"/>
      <c r="C359" s="3"/>
      <c r="D359" s="4"/>
      <c r="E359" s="4"/>
      <c r="F359" s="4"/>
      <c r="G359" s="4"/>
      <c r="H359" s="4"/>
      <c r="I359" s="4"/>
      <c r="J359" s="4"/>
      <c r="K359" s="4"/>
      <c r="L359" s="4"/>
      <c r="M359" s="4"/>
      <c r="N359" s="4"/>
      <c r="O359" s="4"/>
      <c r="P359" s="4"/>
      <c r="Q359" s="4"/>
      <c r="R359" s="4"/>
    </row>
    <row r="360" spans="1:18" ht="12.75" customHeight="1">
      <c r="A360" s="4"/>
      <c r="B360" s="4"/>
      <c r="C360" s="3"/>
      <c r="D360" s="4"/>
      <c r="E360" s="4"/>
      <c r="F360" s="4"/>
      <c r="G360" s="4"/>
      <c r="H360" s="4"/>
      <c r="I360" s="4"/>
      <c r="J360" s="4"/>
      <c r="K360" s="4"/>
      <c r="L360" s="4"/>
      <c r="M360" s="4"/>
      <c r="N360" s="4"/>
      <c r="O360" s="4"/>
      <c r="P360" s="4"/>
      <c r="Q360" s="4"/>
      <c r="R360" s="4"/>
    </row>
    <row r="361" spans="1:18" ht="12.75" customHeight="1">
      <c r="A361" s="4"/>
      <c r="B361" s="4"/>
      <c r="C361" s="3"/>
      <c r="D361" s="4"/>
      <c r="E361" s="4"/>
      <c r="F361" s="4"/>
      <c r="G361" s="4"/>
      <c r="H361" s="4"/>
      <c r="I361" s="4"/>
      <c r="J361" s="4"/>
      <c r="K361" s="4"/>
      <c r="L361" s="4"/>
      <c r="M361" s="4"/>
      <c r="N361" s="4"/>
      <c r="O361" s="4"/>
      <c r="P361" s="4"/>
      <c r="Q361" s="4"/>
      <c r="R361" s="4"/>
    </row>
    <row r="362" spans="1:18" ht="12.75" customHeight="1">
      <c r="A362" s="4"/>
      <c r="B362" s="4"/>
      <c r="C362" s="3"/>
      <c r="D362" s="4"/>
      <c r="E362" s="4"/>
      <c r="F362" s="4"/>
      <c r="G362" s="4"/>
      <c r="H362" s="4"/>
      <c r="I362" s="4"/>
      <c r="J362" s="4"/>
      <c r="K362" s="4"/>
      <c r="L362" s="4"/>
      <c r="M362" s="4"/>
      <c r="N362" s="4"/>
      <c r="O362" s="4"/>
      <c r="P362" s="4"/>
      <c r="Q362" s="4"/>
      <c r="R362" s="4"/>
    </row>
    <row r="363" spans="1:18" ht="12.75" customHeight="1">
      <c r="A363" s="4"/>
      <c r="B363" s="4"/>
      <c r="C363" s="3"/>
      <c r="D363" s="4"/>
      <c r="E363" s="4"/>
      <c r="F363" s="4"/>
      <c r="G363" s="4"/>
      <c r="H363" s="4"/>
      <c r="I363" s="4"/>
      <c r="J363" s="4"/>
      <c r="K363" s="4"/>
      <c r="L363" s="4"/>
      <c r="M363" s="4"/>
      <c r="N363" s="4"/>
      <c r="O363" s="4"/>
      <c r="P363" s="4"/>
      <c r="Q363" s="4"/>
      <c r="R363" s="4"/>
    </row>
    <row r="364" spans="1:18" ht="12.75" customHeight="1">
      <c r="A364" s="4"/>
      <c r="B364" s="4"/>
      <c r="C364" s="3"/>
      <c r="D364" s="4"/>
      <c r="E364" s="4"/>
      <c r="F364" s="4"/>
      <c r="G364" s="4"/>
      <c r="H364" s="4"/>
      <c r="I364" s="4"/>
      <c r="J364" s="4"/>
      <c r="K364" s="4"/>
      <c r="L364" s="4"/>
      <c r="M364" s="4"/>
      <c r="N364" s="4"/>
      <c r="O364" s="4"/>
      <c r="P364" s="4"/>
      <c r="Q364" s="4"/>
      <c r="R364" s="4"/>
    </row>
    <row r="365" spans="1:18" ht="12.75" customHeight="1">
      <c r="A365" s="4"/>
      <c r="B365" s="4"/>
      <c r="C365" s="3"/>
      <c r="D365" s="4"/>
      <c r="E365" s="4"/>
      <c r="F365" s="4"/>
      <c r="G365" s="4"/>
      <c r="H365" s="4"/>
      <c r="I365" s="4"/>
      <c r="J365" s="4"/>
      <c r="K365" s="4"/>
      <c r="L365" s="4"/>
      <c r="M365" s="4"/>
      <c r="N365" s="4"/>
      <c r="O365" s="4"/>
      <c r="P365" s="4"/>
      <c r="Q365" s="4"/>
      <c r="R365" s="4"/>
    </row>
    <row r="366" spans="1:18" ht="12.75" customHeight="1">
      <c r="A366" s="4"/>
      <c r="B366" s="4"/>
      <c r="C366" s="3"/>
      <c r="D366" s="4"/>
      <c r="E366" s="4"/>
      <c r="F366" s="4"/>
      <c r="G366" s="4"/>
      <c r="H366" s="4"/>
      <c r="I366" s="4"/>
      <c r="J366" s="4"/>
      <c r="K366" s="4"/>
      <c r="L366" s="4"/>
      <c r="M366" s="4"/>
      <c r="N366" s="4"/>
      <c r="O366" s="4"/>
      <c r="P366" s="4"/>
      <c r="Q366" s="4"/>
      <c r="R366" s="4"/>
    </row>
    <row r="367" spans="1:18" ht="12.75" customHeight="1">
      <c r="A367" s="4"/>
      <c r="B367" s="4"/>
      <c r="C367" s="3"/>
      <c r="D367" s="4"/>
      <c r="E367" s="4"/>
      <c r="F367" s="4"/>
      <c r="G367" s="4"/>
      <c r="H367" s="4"/>
      <c r="I367" s="4"/>
      <c r="J367" s="4"/>
      <c r="K367" s="4"/>
      <c r="L367" s="4"/>
      <c r="M367" s="4"/>
      <c r="N367" s="4"/>
      <c r="O367" s="4"/>
      <c r="P367" s="4"/>
      <c r="Q367" s="4"/>
      <c r="R367" s="4"/>
    </row>
    <row r="368" spans="1:18" ht="12.75" customHeight="1">
      <c r="A368" s="4"/>
      <c r="B368" s="4"/>
      <c r="C368" s="3"/>
      <c r="D368" s="4"/>
      <c r="E368" s="4"/>
      <c r="F368" s="4"/>
      <c r="G368" s="4"/>
      <c r="H368" s="4"/>
      <c r="I368" s="4"/>
      <c r="J368" s="4"/>
      <c r="K368" s="4"/>
      <c r="L368" s="4"/>
      <c r="M368" s="4"/>
      <c r="N368" s="4"/>
      <c r="O368" s="4"/>
      <c r="P368" s="4"/>
      <c r="Q368" s="4"/>
      <c r="R368" s="4"/>
    </row>
    <row r="369" spans="1:18" ht="12.75" customHeight="1">
      <c r="A369" s="4"/>
      <c r="B369" s="4"/>
      <c r="C369" s="3"/>
      <c r="D369" s="4"/>
      <c r="E369" s="4"/>
      <c r="F369" s="4"/>
      <c r="G369" s="4"/>
      <c r="H369" s="4"/>
      <c r="I369" s="4"/>
      <c r="J369" s="4"/>
      <c r="K369" s="4"/>
      <c r="L369" s="4"/>
      <c r="M369" s="4"/>
      <c r="N369" s="4"/>
      <c r="O369" s="4"/>
      <c r="P369" s="4"/>
      <c r="Q369" s="4"/>
      <c r="R369" s="4"/>
    </row>
    <row r="370" spans="1:18" ht="12.75" customHeight="1">
      <c r="A370" s="4"/>
      <c r="B370" s="4"/>
      <c r="C370" s="3"/>
      <c r="D370" s="4"/>
      <c r="E370" s="4"/>
      <c r="F370" s="4"/>
      <c r="G370" s="4"/>
      <c r="H370" s="4"/>
      <c r="I370" s="4"/>
      <c r="J370" s="4"/>
      <c r="K370" s="4"/>
      <c r="L370" s="4"/>
      <c r="M370" s="4"/>
      <c r="N370" s="4"/>
      <c r="O370" s="4"/>
      <c r="P370" s="4"/>
      <c r="Q370" s="4"/>
      <c r="R370" s="4"/>
    </row>
    <row r="371" spans="1:18" ht="12.75" customHeight="1">
      <c r="A371" s="4"/>
      <c r="B371" s="4"/>
      <c r="C371" s="3"/>
      <c r="D371" s="4"/>
      <c r="E371" s="4"/>
      <c r="F371" s="4"/>
      <c r="G371" s="4"/>
      <c r="H371" s="4"/>
      <c r="I371" s="4"/>
      <c r="J371" s="4"/>
      <c r="K371" s="4"/>
      <c r="L371" s="4"/>
      <c r="M371" s="4"/>
      <c r="N371" s="4"/>
      <c r="O371" s="4"/>
      <c r="P371" s="4"/>
      <c r="Q371" s="4"/>
      <c r="R371" s="4"/>
    </row>
    <row r="372" spans="1:18" ht="12.75" customHeight="1">
      <c r="A372" s="4"/>
      <c r="B372" s="4"/>
      <c r="C372" s="3"/>
      <c r="D372" s="4"/>
      <c r="E372" s="4"/>
      <c r="F372" s="4"/>
      <c r="G372" s="4"/>
      <c r="H372" s="4"/>
      <c r="I372" s="4"/>
      <c r="J372" s="4"/>
      <c r="K372" s="4"/>
      <c r="L372" s="4"/>
      <c r="M372" s="4"/>
      <c r="N372" s="4"/>
      <c r="O372" s="4"/>
      <c r="P372" s="4"/>
      <c r="Q372" s="4"/>
      <c r="R372" s="4"/>
    </row>
    <row r="373" spans="1:18" ht="12.75" customHeight="1">
      <c r="A373" s="4"/>
      <c r="B373" s="4"/>
      <c r="C373" s="3"/>
      <c r="D373" s="4"/>
      <c r="E373" s="4"/>
      <c r="F373" s="4"/>
      <c r="G373" s="4"/>
      <c r="H373" s="4"/>
      <c r="I373" s="4"/>
      <c r="J373" s="4"/>
      <c r="K373" s="4"/>
      <c r="L373" s="4"/>
      <c r="M373" s="4"/>
      <c r="N373" s="4"/>
      <c r="O373" s="4"/>
      <c r="P373" s="4"/>
      <c r="Q373" s="4"/>
      <c r="R373" s="4"/>
    </row>
    <row r="374" spans="1:18" ht="12.75" customHeight="1">
      <c r="A374" s="4"/>
      <c r="B374" s="4"/>
      <c r="C374" s="3"/>
      <c r="D374" s="4"/>
      <c r="E374" s="4"/>
      <c r="F374" s="4"/>
      <c r="G374" s="4"/>
      <c r="H374" s="4"/>
      <c r="I374" s="4"/>
      <c r="J374" s="4"/>
      <c r="K374" s="4"/>
      <c r="L374" s="4"/>
      <c r="M374" s="4"/>
      <c r="N374" s="4"/>
      <c r="O374" s="4"/>
      <c r="P374" s="4"/>
      <c r="Q374" s="4"/>
      <c r="R374" s="4"/>
    </row>
    <row r="375" spans="1:18" ht="12.75" customHeight="1">
      <c r="A375" s="4"/>
      <c r="B375" s="4"/>
      <c r="C375" s="3"/>
      <c r="D375" s="4"/>
      <c r="E375" s="4"/>
      <c r="F375" s="4"/>
      <c r="G375" s="4"/>
      <c r="H375" s="4"/>
      <c r="I375" s="4"/>
      <c r="J375" s="4"/>
      <c r="K375" s="4"/>
      <c r="L375" s="4"/>
      <c r="M375" s="4"/>
      <c r="N375" s="4"/>
      <c r="O375" s="4"/>
      <c r="P375" s="4"/>
      <c r="Q375" s="4"/>
      <c r="R375" s="4"/>
    </row>
    <row r="376" spans="1:18" ht="12.75" customHeight="1">
      <c r="A376" s="4"/>
      <c r="B376" s="4"/>
      <c r="C376" s="3"/>
      <c r="D376" s="4"/>
      <c r="E376" s="4"/>
      <c r="F376" s="4"/>
      <c r="G376" s="4"/>
      <c r="H376" s="4"/>
      <c r="I376" s="4"/>
      <c r="J376" s="4"/>
      <c r="K376" s="4"/>
      <c r="L376" s="4"/>
      <c r="M376" s="4"/>
      <c r="N376" s="4"/>
      <c r="O376" s="4"/>
      <c r="P376" s="4"/>
      <c r="Q376" s="4"/>
      <c r="R376" s="4"/>
    </row>
    <row r="377" spans="1:18" ht="12.75" customHeight="1">
      <c r="A377" s="4"/>
      <c r="B377" s="4"/>
      <c r="C377" s="3"/>
      <c r="D377" s="4"/>
      <c r="E377" s="4"/>
      <c r="F377" s="4"/>
      <c r="G377" s="4"/>
      <c r="H377" s="4"/>
      <c r="I377" s="4"/>
      <c r="J377" s="4"/>
      <c r="K377" s="4"/>
      <c r="L377" s="4"/>
      <c r="M377" s="4"/>
      <c r="N377" s="4"/>
      <c r="O377" s="4"/>
      <c r="P377" s="4"/>
      <c r="Q377" s="4"/>
      <c r="R377" s="4"/>
    </row>
    <row r="378" spans="1:18" ht="12.75" customHeight="1">
      <c r="A378" s="4"/>
      <c r="B378" s="4"/>
      <c r="C378" s="3"/>
      <c r="D378" s="4"/>
      <c r="E378" s="4"/>
      <c r="F378" s="4"/>
      <c r="G378" s="4"/>
      <c r="H378" s="4"/>
      <c r="I378" s="4"/>
      <c r="J378" s="4"/>
      <c r="K378" s="4"/>
      <c r="L378" s="4"/>
      <c r="M378" s="4"/>
      <c r="N378" s="4"/>
      <c r="O378" s="4"/>
      <c r="P378" s="4"/>
      <c r="Q378" s="4"/>
      <c r="R378" s="4"/>
    </row>
    <row r="379" spans="1:18" ht="12.75" customHeight="1">
      <c r="A379" s="4"/>
      <c r="B379" s="4"/>
      <c r="C379" s="3"/>
      <c r="D379" s="4"/>
      <c r="E379" s="4"/>
      <c r="F379" s="4"/>
      <c r="G379" s="4"/>
      <c r="H379" s="4"/>
      <c r="I379" s="4"/>
      <c r="J379" s="4"/>
      <c r="K379" s="4"/>
      <c r="L379" s="4"/>
      <c r="M379" s="4"/>
      <c r="N379" s="4"/>
      <c r="O379" s="4"/>
      <c r="P379" s="4"/>
      <c r="Q379" s="4"/>
      <c r="R379" s="4"/>
    </row>
    <row r="380" spans="1:18" ht="12.75" customHeight="1">
      <c r="A380" s="4"/>
      <c r="B380" s="4"/>
      <c r="C380" s="3"/>
      <c r="D380" s="4"/>
      <c r="E380" s="4"/>
      <c r="F380" s="4"/>
      <c r="G380" s="4"/>
      <c r="H380" s="4"/>
      <c r="I380" s="4"/>
      <c r="J380" s="4"/>
      <c r="K380" s="4"/>
      <c r="L380" s="4"/>
      <c r="M380" s="4"/>
      <c r="N380" s="4"/>
      <c r="O380" s="4"/>
      <c r="P380" s="4"/>
      <c r="Q380" s="4"/>
      <c r="R380" s="4"/>
    </row>
    <row r="381" spans="1:18" ht="12.75" customHeight="1">
      <c r="A381" s="4"/>
      <c r="B381" s="4"/>
      <c r="C381" s="3"/>
      <c r="D381" s="4"/>
      <c r="E381" s="4"/>
      <c r="F381" s="4"/>
      <c r="G381" s="4"/>
      <c r="H381" s="4"/>
      <c r="I381" s="4"/>
      <c r="J381" s="4"/>
      <c r="K381" s="4"/>
      <c r="L381" s="4"/>
      <c r="M381" s="4"/>
      <c r="N381" s="4"/>
      <c r="O381" s="4"/>
      <c r="P381" s="4"/>
      <c r="Q381" s="4"/>
      <c r="R381" s="4"/>
    </row>
    <row r="382" spans="1:18" ht="12.75" customHeight="1">
      <c r="A382" s="4"/>
      <c r="B382" s="4"/>
      <c r="C382" s="3"/>
      <c r="D382" s="4"/>
      <c r="E382" s="4"/>
      <c r="F382" s="4"/>
      <c r="G382" s="4"/>
      <c r="H382" s="4"/>
      <c r="I382" s="4"/>
      <c r="J382" s="4"/>
      <c r="K382" s="4"/>
      <c r="L382" s="4"/>
      <c r="M382" s="4"/>
      <c r="N382" s="4"/>
      <c r="O382" s="4"/>
      <c r="P382" s="4"/>
      <c r="Q382" s="4"/>
      <c r="R382" s="4"/>
    </row>
    <row r="383" spans="1:18" ht="12.75" customHeight="1">
      <c r="A383" s="4"/>
      <c r="B383" s="4"/>
      <c r="C383" s="3"/>
      <c r="D383" s="4"/>
      <c r="E383" s="4"/>
      <c r="F383" s="4"/>
      <c r="G383" s="4"/>
      <c r="H383" s="4"/>
      <c r="I383" s="4"/>
      <c r="J383" s="4"/>
      <c r="K383" s="4"/>
      <c r="L383" s="4"/>
      <c r="M383" s="4"/>
      <c r="N383" s="4"/>
      <c r="O383" s="4"/>
      <c r="P383" s="4"/>
      <c r="Q383" s="4"/>
      <c r="R383" s="4"/>
    </row>
    <row r="384" spans="1:18" ht="12.75" customHeight="1">
      <c r="A384" s="4"/>
      <c r="B384" s="4"/>
      <c r="C384" s="3"/>
      <c r="D384" s="4"/>
      <c r="E384" s="4"/>
      <c r="F384" s="4"/>
      <c r="G384" s="4"/>
      <c r="H384" s="4"/>
      <c r="I384" s="4"/>
      <c r="J384" s="4"/>
      <c r="K384" s="4"/>
      <c r="L384" s="4"/>
      <c r="M384" s="4"/>
      <c r="N384" s="4"/>
      <c r="O384" s="4"/>
      <c r="P384" s="4"/>
      <c r="Q384" s="4"/>
      <c r="R384" s="4"/>
    </row>
    <row r="385" spans="1:18" ht="12.75" customHeight="1">
      <c r="A385" s="4"/>
      <c r="B385" s="4"/>
      <c r="C385" s="3"/>
      <c r="D385" s="4"/>
      <c r="E385" s="4"/>
      <c r="F385" s="4"/>
      <c r="G385" s="4"/>
      <c r="H385" s="4"/>
      <c r="I385" s="4"/>
      <c r="J385" s="4"/>
      <c r="K385" s="4"/>
      <c r="L385" s="4"/>
      <c r="M385" s="4"/>
      <c r="N385" s="4"/>
      <c r="O385" s="4"/>
      <c r="P385" s="4"/>
      <c r="Q385" s="4"/>
      <c r="R385" s="4"/>
    </row>
    <row r="386" spans="1:18" ht="12.75" customHeight="1">
      <c r="A386" s="4"/>
      <c r="B386" s="4"/>
      <c r="C386" s="3"/>
      <c r="D386" s="4"/>
      <c r="E386" s="4"/>
      <c r="F386" s="4"/>
      <c r="G386" s="4"/>
      <c r="H386" s="4"/>
      <c r="I386" s="4"/>
      <c r="J386" s="4"/>
      <c r="K386" s="4"/>
      <c r="L386" s="4"/>
      <c r="M386" s="4"/>
      <c r="N386" s="4"/>
      <c r="O386" s="4"/>
      <c r="P386" s="4"/>
      <c r="Q386" s="4"/>
      <c r="R386" s="4"/>
    </row>
    <row r="387" spans="1:18" ht="12.75" customHeight="1">
      <c r="A387" s="4"/>
      <c r="B387" s="4"/>
      <c r="C387" s="3"/>
      <c r="D387" s="4"/>
      <c r="E387" s="4"/>
      <c r="F387" s="4"/>
      <c r="G387" s="4"/>
      <c r="H387" s="4"/>
      <c r="I387" s="4"/>
      <c r="J387" s="4"/>
      <c r="K387" s="4"/>
      <c r="L387" s="4"/>
      <c r="M387" s="4"/>
      <c r="N387" s="4"/>
      <c r="O387" s="4"/>
      <c r="P387" s="4"/>
      <c r="Q387" s="4"/>
      <c r="R387" s="4"/>
    </row>
    <row r="388" spans="1:18" ht="12.75" customHeight="1">
      <c r="A388" s="4"/>
      <c r="B388" s="4"/>
      <c r="C388" s="3"/>
      <c r="D388" s="4"/>
      <c r="E388" s="4"/>
      <c r="F388" s="4"/>
      <c r="G388" s="4"/>
      <c r="H388" s="4"/>
      <c r="I388" s="4"/>
      <c r="J388" s="4"/>
      <c r="K388" s="4"/>
      <c r="L388" s="4"/>
      <c r="M388" s="4"/>
      <c r="N388" s="4"/>
      <c r="O388" s="4"/>
      <c r="P388" s="4"/>
      <c r="Q388" s="4"/>
      <c r="R388" s="4"/>
    </row>
    <row r="389" spans="1:18" ht="12.75" customHeight="1">
      <c r="A389" s="4"/>
      <c r="B389" s="4"/>
      <c r="C389" s="3"/>
      <c r="D389" s="4"/>
      <c r="E389" s="4"/>
      <c r="F389" s="4"/>
      <c r="G389" s="4"/>
      <c r="H389" s="4"/>
      <c r="I389" s="4"/>
      <c r="J389" s="4"/>
      <c r="K389" s="4"/>
      <c r="L389" s="4"/>
      <c r="M389" s="4"/>
      <c r="N389" s="4"/>
      <c r="O389" s="4"/>
      <c r="P389" s="4"/>
      <c r="Q389" s="4"/>
      <c r="R389" s="4"/>
    </row>
    <row r="390" spans="1:18" ht="12.75" customHeight="1">
      <c r="A390" s="4"/>
      <c r="B390" s="4"/>
      <c r="C390" s="3"/>
      <c r="D390" s="4"/>
      <c r="E390" s="4"/>
      <c r="F390" s="4"/>
      <c r="G390" s="4"/>
      <c r="H390" s="4"/>
      <c r="I390" s="4"/>
      <c r="J390" s="4"/>
      <c r="K390" s="4"/>
      <c r="L390" s="4"/>
      <c r="M390" s="4"/>
      <c r="N390" s="4"/>
      <c r="O390" s="4"/>
      <c r="P390" s="4"/>
      <c r="Q390" s="4"/>
      <c r="R390" s="4"/>
    </row>
    <row r="391" spans="1:18" ht="12.75" customHeight="1">
      <c r="A391" s="4"/>
      <c r="B391" s="4"/>
      <c r="C391" s="3"/>
      <c r="D391" s="4"/>
      <c r="E391" s="4"/>
      <c r="F391" s="4"/>
      <c r="G391" s="4"/>
      <c r="H391" s="4"/>
      <c r="I391" s="4"/>
      <c r="J391" s="4"/>
      <c r="K391" s="4"/>
      <c r="L391" s="4"/>
      <c r="M391" s="4"/>
      <c r="N391" s="4"/>
      <c r="O391" s="4"/>
      <c r="P391" s="4"/>
      <c r="Q391" s="4"/>
      <c r="R391" s="4"/>
    </row>
    <row r="392" spans="1:18" ht="12.75" customHeight="1">
      <c r="A392" s="4"/>
      <c r="B392" s="4"/>
      <c r="C392" s="3"/>
      <c r="D392" s="4"/>
      <c r="E392" s="4"/>
      <c r="F392" s="4"/>
      <c r="G392" s="4"/>
      <c r="H392" s="4"/>
      <c r="I392" s="4"/>
      <c r="J392" s="4"/>
      <c r="K392" s="4"/>
      <c r="L392" s="4"/>
      <c r="M392" s="4"/>
      <c r="N392" s="4"/>
      <c r="O392" s="4"/>
      <c r="P392" s="4"/>
      <c r="Q392" s="4"/>
      <c r="R392" s="4"/>
    </row>
    <row r="393" spans="1:18" ht="12.75" customHeight="1">
      <c r="A393" s="4"/>
      <c r="B393" s="4"/>
      <c r="C393" s="3"/>
      <c r="D393" s="4"/>
      <c r="E393" s="4"/>
      <c r="F393" s="4"/>
      <c r="G393" s="4"/>
      <c r="H393" s="4"/>
      <c r="I393" s="4"/>
      <c r="J393" s="4"/>
      <c r="K393" s="4"/>
      <c r="L393" s="4"/>
      <c r="M393" s="4"/>
      <c r="N393" s="4"/>
      <c r="O393" s="4"/>
      <c r="P393" s="4"/>
      <c r="Q393" s="4"/>
      <c r="R393" s="4"/>
    </row>
    <row r="394" spans="1:18" ht="12.75" customHeight="1">
      <c r="A394" s="4"/>
      <c r="B394" s="4"/>
      <c r="C394" s="3"/>
      <c r="D394" s="4"/>
      <c r="E394" s="4"/>
      <c r="F394" s="4"/>
      <c r="G394" s="4"/>
      <c r="H394" s="4"/>
      <c r="I394" s="4"/>
      <c r="J394" s="4"/>
      <c r="K394" s="4"/>
      <c r="L394" s="4"/>
      <c r="M394" s="4"/>
      <c r="N394" s="4"/>
      <c r="O394" s="4"/>
      <c r="P394" s="4"/>
      <c r="Q394" s="4"/>
      <c r="R394" s="4"/>
    </row>
    <row r="395" spans="1:18" ht="12.75" customHeight="1">
      <c r="A395" s="4"/>
      <c r="B395" s="4"/>
      <c r="C395" s="3"/>
      <c r="D395" s="4"/>
      <c r="E395" s="4"/>
      <c r="F395" s="4"/>
      <c r="G395" s="4"/>
      <c r="H395" s="4"/>
      <c r="I395" s="4"/>
      <c r="J395" s="4"/>
      <c r="K395" s="4"/>
      <c r="L395" s="4"/>
      <c r="M395" s="4"/>
      <c r="N395" s="4"/>
      <c r="O395" s="4"/>
      <c r="P395" s="4"/>
      <c r="Q395" s="4"/>
      <c r="R395" s="4"/>
    </row>
    <row r="396" spans="1:18" ht="12.75" customHeight="1">
      <c r="A396" s="4"/>
      <c r="B396" s="4"/>
      <c r="C396" s="3"/>
      <c r="D396" s="4"/>
      <c r="E396" s="4"/>
      <c r="F396" s="4"/>
      <c r="G396" s="4"/>
      <c r="H396" s="4"/>
      <c r="I396" s="4"/>
      <c r="J396" s="4"/>
      <c r="K396" s="4"/>
      <c r="L396" s="4"/>
      <c r="M396" s="4"/>
      <c r="N396" s="4"/>
      <c r="O396" s="4"/>
      <c r="P396" s="4"/>
      <c r="Q396" s="4"/>
      <c r="R396" s="4"/>
    </row>
    <row r="397" spans="1:18" ht="12.75" customHeight="1">
      <c r="A397" s="4"/>
      <c r="B397" s="4"/>
      <c r="C397" s="3"/>
      <c r="D397" s="4"/>
      <c r="E397" s="4"/>
      <c r="F397" s="4"/>
      <c r="G397" s="4"/>
      <c r="H397" s="4"/>
      <c r="I397" s="4"/>
      <c r="J397" s="4"/>
      <c r="K397" s="4"/>
      <c r="L397" s="4"/>
      <c r="M397" s="4"/>
      <c r="N397" s="4"/>
      <c r="O397" s="4"/>
      <c r="P397" s="4"/>
      <c r="Q397" s="4"/>
      <c r="R397" s="4"/>
    </row>
    <row r="398" spans="1:18" ht="12.75" customHeight="1">
      <c r="A398" s="4"/>
      <c r="B398" s="4"/>
      <c r="C398" s="3"/>
      <c r="D398" s="4"/>
      <c r="E398" s="4"/>
      <c r="F398" s="4"/>
      <c r="G398" s="4"/>
      <c r="H398" s="4"/>
      <c r="I398" s="4"/>
      <c r="J398" s="4"/>
      <c r="K398" s="4"/>
      <c r="L398" s="4"/>
      <c r="M398" s="4"/>
      <c r="N398" s="4"/>
      <c r="O398" s="4"/>
      <c r="P398" s="4"/>
      <c r="Q398" s="4"/>
      <c r="R398" s="4"/>
    </row>
    <row r="399" spans="1:18" ht="12.75" customHeight="1">
      <c r="A399" s="4"/>
      <c r="B399" s="4"/>
      <c r="C399" s="3"/>
      <c r="D399" s="4"/>
      <c r="E399" s="4"/>
      <c r="F399" s="4"/>
      <c r="G399" s="4"/>
      <c r="H399" s="4"/>
      <c r="I399" s="4"/>
      <c r="J399" s="4"/>
      <c r="K399" s="4"/>
      <c r="L399" s="4"/>
      <c r="M399" s="4"/>
      <c r="N399" s="4"/>
      <c r="O399" s="4"/>
      <c r="P399" s="4"/>
      <c r="Q399" s="4"/>
      <c r="R399" s="4"/>
    </row>
    <row r="400" spans="1:18" ht="12.75" customHeight="1">
      <c r="A400" s="4"/>
      <c r="B400" s="4"/>
      <c r="C400" s="3"/>
      <c r="D400" s="4"/>
      <c r="E400" s="4"/>
      <c r="F400" s="4"/>
      <c r="G400" s="4"/>
      <c r="H400" s="4"/>
      <c r="I400" s="4"/>
      <c r="J400" s="4"/>
      <c r="K400" s="4"/>
      <c r="L400" s="4"/>
      <c r="M400" s="4"/>
      <c r="N400" s="4"/>
      <c r="O400" s="4"/>
      <c r="P400" s="4"/>
      <c r="Q400" s="4"/>
      <c r="R400" s="4"/>
    </row>
    <row r="401" spans="1:18" ht="12.75" customHeight="1">
      <c r="A401" s="4"/>
      <c r="B401" s="4"/>
      <c r="C401" s="3"/>
      <c r="D401" s="4"/>
      <c r="E401" s="4"/>
      <c r="F401" s="4"/>
      <c r="G401" s="4"/>
      <c r="H401" s="4"/>
      <c r="I401" s="4"/>
      <c r="J401" s="4"/>
      <c r="K401" s="4"/>
      <c r="L401" s="4"/>
      <c r="M401" s="4"/>
      <c r="N401" s="4"/>
      <c r="O401" s="4"/>
      <c r="P401" s="4"/>
      <c r="Q401" s="4"/>
      <c r="R401" s="4"/>
    </row>
    <row r="402" spans="1:18" ht="12.75" customHeight="1">
      <c r="A402" s="4"/>
      <c r="B402" s="4"/>
      <c r="C402" s="3"/>
      <c r="D402" s="4"/>
      <c r="E402" s="4"/>
      <c r="F402" s="4"/>
      <c r="G402" s="4"/>
      <c r="H402" s="4"/>
      <c r="I402" s="4"/>
      <c r="J402" s="4"/>
      <c r="K402" s="4"/>
      <c r="L402" s="4"/>
      <c r="M402" s="4"/>
      <c r="N402" s="4"/>
      <c r="O402" s="4"/>
      <c r="P402" s="4"/>
      <c r="Q402" s="4"/>
      <c r="R402" s="4"/>
    </row>
    <row r="403" spans="1:18" ht="12.75" customHeight="1">
      <c r="A403" s="4"/>
      <c r="B403" s="4"/>
      <c r="C403" s="3"/>
      <c r="D403" s="4"/>
      <c r="E403" s="4"/>
      <c r="F403" s="4"/>
      <c r="G403" s="4"/>
      <c r="H403" s="4"/>
      <c r="I403" s="4"/>
      <c r="J403" s="4"/>
      <c r="K403" s="4"/>
      <c r="L403" s="4"/>
      <c r="M403" s="4"/>
      <c r="N403" s="4"/>
      <c r="O403" s="4"/>
      <c r="P403" s="4"/>
      <c r="Q403" s="4"/>
      <c r="R403" s="4"/>
    </row>
    <row r="404" spans="1:18" ht="12.75" customHeight="1">
      <c r="A404" s="4"/>
      <c r="B404" s="4"/>
      <c r="C404" s="3"/>
      <c r="D404" s="4"/>
      <c r="E404" s="4"/>
      <c r="F404" s="4"/>
      <c r="G404" s="4"/>
      <c r="H404" s="4"/>
      <c r="I404" s="4"/>
      <c r="J404" s="4"/>
      <c r="K404" s="4"/>
      <c r="L404" s="4"/>
      <c r="M404" s="4"/>
      <c r="N404" s="4"/>
      <c r="O404" s="4"/>
      <c r="P404" s="4"/>
      <c r="Q404" s="4"/>
      <c r="R404" s="4"/>
    </row>
    <row r="405" spans="1:18" ht="12.75" customHeight="1">
      <c r="A405" s="4"/>
      <c r="B405" s="4"/>
      <c r="C405" s="3"/>
      <c r="D405" s="4"/>
      <c r="E405" s="4"/>
      <c r="F405" s="4"/>
      <c r="G405" s="4"/>
      <c r="H405" s="4"/>
      <c r="I405" s="4"/>
      <c r="J405" s="4"/>
      <c r="K405" s="4"/>
      <c r="L405" s="4"/>
      <c r="M405" s="4"/>
      <c r="N405" s="4"/>
      <c r="O405" s="4"/>
      <c r="P405" s="4"/>
      <c r="Q405" s="4"/>
      <c r="R405" s="4"/>
    </row>
    <row r="406" spans="1:18" ht="12.75" customHeight="1">
      <c r="A406" s="4"/>
      <c r="B406" s="4"/>
      <c r="C406" s="3"/>
      <c r="D406" s="4"/>
      <c r="E406" s="4"/>
      <c r="F406" s="4"/>
      <c r="G406" s="4"/>
      <c r="H406" s="4"/>
      <c r="I406" s="4"/>
      <c r="J406" s="4"/>
      <c r="K406" s="4"/>
      <c r="L406" s="4"/>
      <c r="M406" s="4"/>
      <c r="N406" s="4"/>
      <c r="O406" s="4"/>
      <c r="P406" s="4"/>
      <c r="Q406" s="4"/>
      <c r="R406" s="4"/>
    </row>
    <row r="407" spans="1:18" ht="12.75" customHeight="1">
      <c r="A407" s="4"/>
      <c r="B407" s="4"/>
      <c r="C407" s="3"/>
      <c r="D407" s="4"/>
      <c r="E407" s="4"/>
      <c r="F407" s="4"/>
      <c r="G407" s="4"/>
      <c r="H407" s="4"/>
      <c r="I407" s="4"/>
      <c r="J407" s="4"/>
      <c r="K407" s="4"/>
      <c r="L407" s="4"/>
      <c r="M407" s="4"/>
      <c r="N407" s="4"/>
      <c r="O407" s="4"/>
      <c r="P407" s="4"/>
      <c r="Q407" s="4"/>
      <c r="R407" s="4"/>
    </row>
    <row r="408" spans="1:18" ht="12.75" customHeight="1">
      <c r="A408" s="4"/>
      <c r="B408" s="4"/>
      <c r="C408" s="3"/>
      <c r="D408" s="4"/>
      <c r="E408" s="4"/>
      <c r="F408" s="4"/>
      <c r="G408" s="4"/>
      <c r="H408" s="4"/>
      <c r="I408" s="4"/>
      <c r="J408" s="4"/>
      <c r="K408" s="4"/>
      <c r="L408" s="4"/>
      <c r="M408" s="4"/>
      <c r="N408" s="4"/>
      <c r="O408" s="4"/>
      <c r="P408" s="4"/>
      <c r="Q408" s="4"/>
      <c r="R408" s="4"/>
    </row>
    <row r="409" spans="1:18" ht="12.75" customHeight="1">
      <c r="A409" s="4"/>
      <c r="B409" s="4"/>
      <c r="C409" s="3"/>
      <c r="D409" s="4"/>
      <c r="E409" s="4"/>
      <c r="F409" s="4"/>
      <c r="G409" s="4"/>
      <c r="H409" s="4"/>
      <c r="I409" s="4"/>
      <c r="J409" s="4"/>
      <c r="K409" s="4"/>
      <c r="L409" s="4"/>
      <c r="M409" s="4"/>
      <c r="N409" s="4"/>
      <c r="O409" s="4"/>
      <c r="P409" s="4"/>
      <c r="Q409" s="4"/>
      <c r="R409" s="4"/>
    </row>
    <row r="410" spans="1:18" ht="12.75" customHeight="1">
      <c r="A410" s="4"/>
      <c r="B410" s="4"/>
      <c r="C410" s="3"/>
      <c r="D410" s="4"/>
      <c r="E410" s="4"/>
      <c r="F410" s="4"/>
      <c r="G410" s="4"/>
      <c r="H410" s="4"/>
      <c r="I410" s="4"/>
      <c r="J410" s="4"/>
      <c r="K410" s="4"/>
      <c r="L410" s="4"/>
      <c r="M410" s="4"/>
      <c r="N410" s="4"/>
      <c r="O410" s="4"/>
      <c r="P410" s="4"/>
      <c r="Q410" s="4"/>
      <c r="R410" s="4"/>
    </row>
    <row r="411" spans="1:18" ht="12.75" customHeight="1">
      <c r="A411" s="4"/>
      <c r="B411" s="4"/>
      <c r="C411" s="3"/>
      <c r="D411" s="4"/>
      <c r="E411" s="4"/>
      <c r="F411" s="4"/>
      <c r="G411" s="4"/>
      <c r="H411" s="4"/>
      <c r="I411" s="4"/>
      <c r="J411" s="4"/>
      <c r="K411" s="4"/>
      <c r="L411" s="4"/>
      <c r="M411" s="4"/>
      <c r="N411" s="4"/>
      <c r="O411" s="4"/>
      <c r="P411" s="4"/>
      <c r="Q411" s="4"/>
      <c r="R411" s="4"/>
    </row>
    <row r="412" spans="1:18" ht="12.75" customHeight="1">
      <c r="A412" s="4"/>
      <c r="B412" s="4"/>
      <c r="C412" s="3"/>
      <c r="D412" s="4"/>
      <c r="E412" s="4"/>
      <c r="F412" s="4"/>
      <c r="G412" s="4"/>
      <c r="H412" s="4"/>
      <c r="I412" s="4"/>
      <c r="J412" s="4"/>
      <c r="K412" s="4"/>
      <c r="L412" s="4"/>
      <c r="M412" s="4"/>
      <c r="N412" s="4"/>
      <c r="O412" s="4"/>
      <c r="P412" s="4"/>
      <c r="Q412" s="4"/>
      <c r="R412" s="4"/>
    </row>
    <row r="413" spans="1:18" ht="12.75" customHeight="1">
      <c r="A413" s="4"/>
      <c r="B413" s="4"/>
      <c r="C413" s="3"/>
      <c r="D413" s="4"/>
      <c r="E413" s="4"/>
      <c r="F413" s="4"/>
      <c r="G413" s="4"/>
      <c r="H413" s="4"/>
      <c r="I413" s="4"/>
      <c r="J413" s="4"/>
      <c r="K413" s="4"/>
      <c r="L413" s="4"/>
      <c r="M413" s="4"/>
      <c r="N413" s="4"/>
      <c r="O413" s="4"/>
      <c r="P413" s="4"/>
      <c r="Q413" s="4"/>
      <c r="R413" s="4"/>
    </row>
    <row r="414" spans="1:18" ht="12.75" customHeight="1">
      <c r="A414" s="4"/>
      <c r="B414" s="4"/>
      <c r="C414" s="3"/>
      <c r="D414" s="4"/>
      <c r="E414" s="4"/>
      <c r="F414" s="4"/>
      <c r="G414" s="4"/>
      <c r="H414" s="4"/>
      <c r="I414" s="4"/>
      <c r="J414" s="4"/>
      <c r="K414" s="4"/>
      <c r="L414" s="4"/>
      <c r="M414" s="4"/>
      <c r="N414" s="4"/>
      <c r="O414" s="4"/>
      <c r="P414" s="4"/>
      <c r="Q414" s="4"/>
      <c r="R414" s="4"/>
    </row>
    <row r="415" spans="1:18" ht="12.75" customHeight="1">
      <c r="A415" s="4"/>
      <c r="B415" s="4"/>
      <c r="C415" s="3"/>
      <c r="D415" s="4"/>
      <c r="E415" s="4"/>
      <c r="F415" s="4"/>
      <c r="G415" s="4"/>
      <c r="H415" s="4"/>
      <c r="I415" s="4"/>
      <c r="J415" s="4"/>
      <c r="K415" s="4"/>
      <c r="L415" s="4"/>
      <c r="M415" s="4"/>
      <c r="N415" s="4"/>
      <c r="O415" s="4"/>
      <c r="P415" s="4"/>
      <c r="Q415" s="4"/>
      <c r="R415" s="4"/>
    </row>
    <row r="416" spans="1:18" ht="12.75" customHeight="1">
      <c r="A416" s="4"/>
      <c r="B416" s="4"/>
      <c r="C416" s="3"/>
      <c r="D416" s="4"/>
      <c r="E416" s="4"/>
      <c r="F416" s="4"/>
      <c r="G416" s="4"/>
      <c r="H416" s="4"/>
      <c r="I416" s="4"/>
      <c r="J416" s="4"/>
      <c r="K416" s="4"/>
      <c r="L416" s="4"/>
      <c r="M416" s="4"/>
      <c r="N416" s="4"/>
      <c r="O416" s="4"/>
      <c r="P416" s="4"/>
      <c r="Q416" s="4"/>
      <c r="R416" s="4"/>
    </row>
    <row r="417" spans="1:18" ht="12.75" customHeight="1">
      <c r="A417" s="4"/>
      <c r="B417" s="4"/>
      <c r="C417" s="3"/>
      <c r="D417" s="4"/>
      <c r="E417" s="4"/>
      <c r="F417" s="4"/>
      <c r="G417" s="4"/>
      <c r="H417" s="4"/>
      <c r="I417" s="4"/>
      <c r="J417" s="4"/>
      <c r="K417" s="4"/>
      <c r="L417" s="4"/>
      <c r="M417" s="4"/>
      <c r="N417" s="4"/>
      <c r="O417" s="4"/>
      <c r="P417" s="4"/>
      <c r="Q417" s="4"/>
      <c r="R417" s="4"/>
    </row>
    <row r="418" spans="1:18" ht="12.75" customHeight="1">
      <c r="A418" s="4"/>
      <c r="B418" s="4"/>
      <c r="C418" s="3"/>
      <c r="D418" s="4"/>
      <c r="E418" s="4"/>
      <c r="F418" s="4"/>
      <c r="G418" s="4"/>
      <c r="H418" s="4"/>
      <c r="I418" s="4"/>
      <c r="J418" s="4"/>
      <c r="K418" s="4"/>
      <c r="L418" s="4"/>
      <c r="M418" s="4"/>
      <c r="N418" s="4"/>
      <c r="O418" s="4"/>
      <c r="P418" s="4"/>
      <c r="Q418" s="4"/>
      <c r="R418" s="4"/>
    </row>
    <row r="419" spans="1:18" ht="12.75" customHeight="1">
      <c r="A419" s="4"/>
      <c r="B419" s="4"/>
      <c r="C419" s="3"/>
      <c r="D419" s="4"/>
      <c r="E419" s="4"/>
      <c r="F419" s="4"/>
      <c r="G419" s="4"/>
      <c r="H419" s="4"/>
      <c r="I419" s="4"/>
      <c r="J419" s="4"/>
      <c r="K419" s="4"/>
      <c r="L419" s="4"/>
      <c r="M419" s="4"/>
      <c r="N419" s="4"/>
      <c r="O419" s="4"/>
      <c r="P419" s="4"/>
      <c r="Q419" s="4"/>
      <c r="R419" s="4"/>
    </row>
    <row r="420" spans="1:18" ht="12.75" customHeight="1">
      <c r="A420" s="4"/>
      <c r="B420" s="4"/>
      <c r="C420" s="3"/>
      <c r="D420" s="4"/>
      <c r="E420" s="4"/>
      <c r="F420" s="4"/>
      <c r="G420" s="4"/>
      <c r="H420" s="4"/>
      <c r="I420" s="4"/>
      <c r="J420" s="4"/>
      <c r="K420" s="4"/>
      <c r="L420" s="4"/>
      <c r="M420" s="4"/>
      <c r="N420" s="4"/>
      <c r="O420" s="4"/>
      <c r="P420" s="4"/>
      <c r="Q420" s="4"/>
      <c r="R420" s="4"/>
    </row>
    <row r="421" spans="1:18" ht="12.75" customHeight="1">
      <c r="A421" s="4"/>
      <c r="B421" s="4"/>
      <c r="C421" s="3"/>
      <c r="D421" s="4"/>
      <c r="E421" s="4"/>
      <c r="F421" s="4"/>
      <c r="G421" s="4"/>
      <c r="H421" s="4"/>
      <c r="I421" s="4"/>
      <c r="J421" s="4"/>
      <c r="K421" s="4"/>
      <c r="L421" s="4"/>
      <c r="M421" s="4"/>
      <c r="N421" s="4"/>
      <c r="O421" s="4"/>
      <c r="P421" s="4"/>
      <c r="Q421" s="4"/>
      <c r="R421" s="4"/>
    </row>
    <row r="422" spans="1:18" ht="12.75" customHeight="1">
      <c r="A422" s="4"/>
      <c r="B422" s="4"/>
      <c r="C422" s="3"/>
      <c r="D422" s="4"/>
      <c r="E422" s="4"/>
      <c r="F422" s="4"/>
      <c r="G422" s="4"/>
      <c r="H422" s="4"/>
      <c r="I422" s="4"/>
      <c r="J422" s="4"/>
      <c r="K422" s="4"/>
      <c r="L422" s="4"/>
      <c r="M422" s="4"/>
      <c r="N422" s="4"/>
      <c r="O422" s="4"/>
      <c r="P422" s="4"/>
      <c r="Q422" s="4"/>
      <c r="R422" s="4"/>
    </row>
    <row r="423" spans="1:18" ht="12.75" customHeight="1">
      <c r="A423" s="4"/>
      <c r="B423" s="4"/>
      <c r="C423" s="3"/>
      <c r="D423" s="4"/>
      <c r="E423" s="4"/>
      <c r="F423" s="4"/>
      <c r="G423" s="4"/>
      <c r="H423" s="4"/>
      <c r="I423" s="4"/>
      <c r="J423" s="4"/>
      <c r="K423" s="4"/>
      <c r="L423" s="4"/>
      <c r="M423" s="4"/>
      <c r="N423" s="4"/>
      <c r="O423" s="4"/>
      <c r="P423" s="4"/>
      <c r="Q423" s="4"/>
      <c r="R423" s="4"/>
    </row>
    <row r="424" spans="1:18" ht="12.75" customHeight="1">
      <c r="A424" s="4"/>
      <c r="B424" s="4"/>
      <c r="C424" s="3"/>
      <c r="D424" s="4"/>
      <c r="E424" s="4"/>
      <c r="F424" s="4"/>
      <c r="G424" s="4"/>
      <c r="H424" s="4"/>
      <c r="I424" s="4"/>
      <c r="J424" s="4"/>
      <c r="K424" s="4"/>
      <c r="L424" s="4"/>
      <c r="M424" s="4"/>
      <c r="N424" s="4"/>
      <c r="O424" s="4"/>
      <c r="P424" s="4"/>
      <c r="Q424" s="4"/>
      <c r="R424" s="4"/>
    </row>
    <row r="425" spans="1:18" ht="12.75" customHeight="1">
      <c r="A425" s="4"/>
      <c r="B425" s="4"/>
      <c r="C425" s="3"/>
      <c r="D425" s="4"/>
      <c r="E425" s="4"/>
      <c r="F425" s="4"/>
      <c r="G425" s="4"/>
      <c r="H425" s="4"/>
      <c r="I425" s="4"/>
      <c r="J425" s="4"/>
      <c r="K425" s="4"/>
      <c r="L425" s="4"/>
      <c r="M425" s="4"/>
      <c r="N425" s="4"/>
      <c r="O425" s="4"/>
      <c r="P425" s="4"/>
      <c r="Q425" s="4"/>
      <c r="R425" s="4"/>
    </row>
    <row r="426" spans="1:18" ht="12.75" customHeight="1">
      <c r="A426" s="4"/>
      <c r="B426" s="4"/>
      <c r="C426" s="3"/>
      <c r="D426" s="4"/>
      <c r="E426" s="4"/>
      <c r="F426" s="4"/>
      <c r="G426" s="4"/>
      <c r="H426" s="4"/>
      <c r="I426" s="4"/>
      <c r="J426" s="4"/>
      <c r="K426" s="4"/>
      <c r="L426" s="4"/>
      <c r="M426" s="4"/>
      <c r="N426" s="4"/>
      <c r="O426" s="4"/>
      <c r="P426" s="4"/>
      <c r="Q426" s="4"/>
      <c r="R426" s="4"/>
    </row>
    <row r="427" spans="1:18" ht="12.75" customHeight="1">
      <c r="A427" s="4"/>
      <c r="B427" s="4"/>
      <c r="C427" s="3"/>
      <c r="D427" s="4"/>
      <c r="E427" s="4"/>
      <c r="F427" s="4"/>
      <c r="G427" s="4"/>
      <c r="H427" s="4"/>
      <c r="I427" s="4"/>
      <c r="J427" s="4"/>
      <c r="K427" s="4"/>
      <c r="L427" s="4"/>
      <c r="M427" s="4"/>
      <c r="N427" s="4"/>
      <c r="O427" s="4"/>
      <c r="P427" s="4"/>
      <c r="Q427" s="4"/>
      <c r="R427" s="4"/>
    </row>
    <row r="428" spans="1:18" ht="12.75" customHeight="1">
      <c r="A428" s="4"/>
      <c r="B428" s="4"/>
      <c r="C428" s="3"/>
      <c r="D428" s="4"/>
      <c r="E428" s="4"/>
      <c r="F428" s="4"/>
      <c r="G428" s="4"/>
      <c r="H428" s="4"/>
      <c r="I428" s="4"/>
      <c r="J428" s="4"/>
      <c r="K428" s="4"/>
      <c r="L428" s="4"/>
      <c r="M428" s="4"/>
      <c r="N428" s="4"/>
      <c r="O428" s="4"/>
      <c r="P428" s="4"/>
      <c r="Q428" s="4"/>
      <c r="R428" s="4"/>
    </row>
    <row r="429" spans="1:18" ht="12.75" customHeight="1">
      <c r="A429" s="4"/>
      <c r="B429" s="4"/>
      <c r="C429" s="3"/>
      <c r="D429" s="4"/>
      <c r="E429" s="4"/>
      <c r="F429" s="4"/>
      <c r="G429" s="4"/>
      <c r="H429" s="4"/>
      <c r="I429" s="4"/>
      <c r="J429" s="4"/>
      <c r="K429" s="4"/>
      <c r="L429" s="4"/>
      <c r="M429" s="4"/>
      <c r="N429" s="4"/>
      <c r="O429" s="4"/>
      <c r="P429" s="4"/>
      <c r="Q429" s="4"/>
      <c r="R429" s="4"/>
    </row>
    <row r="430" spans="1:18" ht="12.75" customHeight="1">
      <c r="A430" s="4"/>
      <c r="B430" s="4"/>
      <c r="C430" s="3"/>
      <c r="D430" s="4"/>
      <c r="E430" s="4"/>
      <c r="F430" s="4"/>
      <c r="G430" s="4"/>
      <c r="H430" s="4"/>
      <c r="I430" s="4"/>
      <c r="J430" s="4"/>
      <c r="K430" s="4"/>
      <c r="L430" s="4"/>
      <c r="M430" s="4"/>
      <c r="N430" s="4"/>
      <c r="O430" s="4"/>
      <c r="P430" s="4"/>
      <c r="Q430" s="4"/>
      <c r="R430" s="4"/>
    </row>
    <row r="431" spans="1:18" ht="12.75" customHeight="1">
      <c r="A431" s="4"/>
      <c r="B431" s="4"/>
      <c r="C431" s="3"/>
      <c r="D431" s="4"/>
      <c r="E431" s="4"/>
      <c r="F431" s="4"/>
      <c r="G431" s="4"/>
      <c r="H431" s="4"/>
      <c r="I431" s="4"/>
      <c r="J431" s="4"/>
      <c r="K431" s="4"/>
      <c r="L431" s="4"/>
      <c r="M431" s="4"/>
      <c r="N431" s="4"/>
      <c r="O431" s="4"/>
      <c r="P431" s="4"/>
      <c r="Q431" s="4"/>
      <c r="R431" s="4"/>
    </row>
    <row r="432" spans="1:18" ht="12.75" customHeight="1">
      <c r="A432" s="4"/>
      <c r="B432" s="4"/>
      <c r="C432" s="3"/>
      <c r="D432" s="4"/>
      <c r="E432" s="4"/>
      <c r="F432" s="4"/>
      <c r="G432" s="4"/>
      <c r="H432" s="4"/>
      <c r="I432" s="4"/>
      <c r="J432" s="4"/>
      <c r="K432" s="4"/>
      <c r="L432" s="4"/>
      <c r="M432" s="4"/>
      <c r="N432" s="4"/>
      <c r="O432" s="4"/>
      <c r="P432" s="4"/>
      <c r="Q432" s="4"/>
      <c r="R432" s="4"/>
    </row>
    <row r="433" spans="1:18" ht="12.75" customHeight="1">
      <c r="A433" s="4"/>
      <c r="B433" s="4"/>
      <c r="C433" s="3"/>
      <c r="D433" s="4"/>
      <c r="E433" s="4"/>
      <c r="F433" s="4"/>
      <c r="G433" s="4"/>
      <c r="H433" s="4"/>
      <c r="I433" s="4"/>
      <c r="J433" s="4"/>
      <c r="K433" s="4"/>
      <c r="L433" s="4"/>
      <c r="M433" s="4"/>
      <c r="N433" s="4"/>
      <c r="O433" s="4"/>
      <c r="P433" s="4"/>
      <c r="Q433" s="4"/>
      <c r="R433" s="4"/>
    </row>
    <row r="434" spans="1:18" ht="12.75" customHeight="1">
      <c r="A434" s="4"/>
      <c r="B434" s="4"/>
      <c r="C434" s="3"/>
      <c r="D434" s="4"/>
      <c r="E434" s="4"/>
      <c r="F434" s="4"/>
      <c r="G434" s="4"/>
      <c r="H434" s="4"/>
      <c r="I434" s="4"/>
      <c r="J434" s="4"/>
      <c r="K434" s="4"/>
      <c r="L434" s="4"/>
      <c r="M434" s="4"/>
      <c r="N434" s="4"/>
      <c r="O434" s="4"/>
      <c r="P434" s="4"/>
      <c r="Q434" s="4"/>
      <c r="R434" s="4"/>
    </row>
    <row r="435" spans="1:18" ht="12.75" customHeight="1">
      <c r="A435" s="4"/>
      <c r="B435" s="4"/>
      <c r="C435" s="3"/>
      <c r="D435" s="4"/>
      <c r="E435" s="4"/>
      <c r="F435" s="4"/>
      <c r="G435" s="4"/>
      <c r="H435" s="4"/>
      <c r="I435" s="4"/>
      <c r="J435" s="4"/>
      <c r="K435" s="4"/>
      <c r="L435" s="4"/>
      <c r="M435" s="4"/>
      <c r="N435" s="4"/>
      <c r="O435" s="4"/>
      <c r="P435" s="4"/>
      <c r="Q435" s="4"/>
      <c r="R435" s="4"/>
    </row>
    <row r="436" spans="1:18" ht="12.75" customHeight="1">
      <c r="A436" s="4"/>
      <c r="B436" s="4"/>
      <c r="C436" s="3"/>
      <c r="D436" s="4"/>
      <c r="E436" s="4"/>
      <c r="F436" s="4"/>
      <c r="G436" s="4"/>
      <c r="H436" s="4"/>
      <c r="I436" s="4"/>
      <c r="J436" s="4"/>
      <c r="K436" s="4"/>
      <c r="L436" s="4"/>
      <c r="M436" s="4"/>
      <c r="N436" s="4"/>
      <c r="O436" s="4"/>
      <c r="P436" s="4"/>
      <c r="Q436" s="4"/>
      <c r="R436" s="4"/>
    </row>
    <row r="437" spans="1:18" ht="12.75" customHeight="1">
      <c r="A437" s="4"/>
      <c r="B437" s="4"/>
      <c r="C437" s="3"/>
      <c r="D437" s="4"/>
      <c r="E437" s="4"/>
      <c r="F437" s="4"/>
      <c r="G437" s="4"/>
      <c r="H437" s="4"/>
      <c r="I437" s="4"/>
      <c r="J437" s="4"/>
      <c r="K437" s="4"/>
      <c r="L437" s="4"/>
      <c r="M437" s="4"/>
      <c r="N437" s="4"/>
      <c r="O437" s="4"/>
      <c r="P437" s="4"/>
      <c r="Q437" s="4"/>
      <c r="R437" s="4"/>
    </row>
    <row r="438" spans="1:18" ht="12.75" customHeight="1">
      <c r="A438" s="4"/>
      <c r="B438" s="4"/>
      <c r="C438" s="3"/>
      <c r="D438" s="4"/>
      <c r="E438" s="4"/>
      <c r="F438" s="4"/>
      <c r="G438" s="4"/>
      <c r="H438" s="4"/>
      <c r="I438" s="4"/>
      <c r="J438" s="4"/>
      <c r="K438" s="4"/>
      <c r="L438" s="4"/>
      <c r="M438" s="4"/>
      <c r="N438" s="4"/>
      <c r="O438" s="4"/>
      <c r="P438" s="4"/>
      <c r="Q438" s="4"/>
      <c r="R438" s="4"/>
    </row>
    <row r="439" spans="1:18" ht="12.75" customHeight="1">
      <c r="A439" s="4"/>
      <c r="B439" s="4"/>
      <c r="C439" s="3"/>
      <c r="D439" s="4"/>
      <c r="E439" s="4"/>
      <c r="F439" s="4"/>
      <c r="G439" s="4"/>
      <c r="H439" s="4"/>
      <c r="I439" s="4"/>
      <c r="J439" s="4"/>
      <c r="K439" s="4"/>
      <c r="L439" s="4"/>
      <c r="M439" s="4"/>
      <c r="N439" s="4"/>
      <c r="O439" s="4"/>
      <c r="P439" s="4"/>
      <c r="Q439" s="4"/>
      <c r="R439" s="4"/>
    </row>
    <row r="440" spans="1:18" ht="12.75" customHeight="1">
      <c r="A440" s="4"/>
      <c r="B440" s="4"/>
      <c r="C440" s="3"/>
      <c r="D440" s="4"/>
      <c r="E440" s="4"/>
      <c r="F440" s="4"/>
      <c r="G440" s="4"/>
      <c r="H440" s="4"/>
      <c r="I440" s="4"/>
      <c r="J440" s="4"/>
      <c r="K440" s="4"/>
      <c r="L440" s="4"/>
      <c r="M440" s="4"/>
      <c r="N440" s="4"/>
      <c r="O440" s="4"/>
      <c r="P440" s="4"/>
      <c r="Q440" s="4"/>
      <c r="R440" s="4"/>
    </row>
    <row r="441" spans="1:18" ht="12.75" customHeight="1">
      <c r="A441" s="4"/>
      <c r="B441" s="4"/>
      <c r="C441" s="3"/>
      <c r="D441" s="4"/>
      <c r="E441" s="4"/>
      <c r="F441" s="4"/>
      <c r="G441" s="4"/>
      <c r="H441" s="4"/>
      <c r="I441" s="4"/>
      <c r="J441" s="4"/>
      <c r="K441" s="4"/>
      <c r="L441" s="4"/>
      <c r="M441" s="4"/>
      <c r="N441" s="4"/>
      <c r="O441" s="4"/>
      <c r="P441" s="4"/>
      <c r="Q441" s="4"/>
      <c r="R441" s="4"/>
    </row>
    <row r="442" spans="1:18" ht="12.75" customHeight="1">
      <c r="A442" s="4"/>
      <c r="B442" s="4"/>
      <c r="C442" s="3"/>
      <c r="D442" s="4"/>
      <c r="E442" s="4"/>
      <c r="F442" s="4"/>
      <c r="G442" s="4"/>
      <c r="H442" s="4"/>
      <c r="I442" s="4"/>
      <c r="J442" s="4"/>
      <c r="K442" s="4"/>
      <c r="L442" s="4"/>
      <c r="M442" s="4"/>
      <c r="N442" s="4"/>
      <c r="O442" s="4"/>
      <c r="P442" s="4"/>
      <c r="Q442" s="4"/>
      <c r="R442" s="4"/>
    </row>
    <row r="443" spans="1:18" ht="12.75" customHeight="1">
      <c r="A443" s="4"/>
      <c r="B443" s="4"/>
      <c r="C443" s="3"/>
      <c r="D443" s="4"/>
      <c r="E443" s="4"/>
      <c r="F443" s="4"/>
      <c r="G443" s="4"/>
      <c r="H443" s="4"/>
      <c r="I443" s="4"/>
      <c r="J443" s="4"/>
      <c r="K443" s="4"/>
      <c r="L443" s="4"/>
      <c r="M443" s="4"/>
      <c r="N443" s="4"/>
      <c r="O443" s="4"/>
      <c r="P443" s="4"/>
      <c r="Q443" s="4"/>
      <c r="R443" s="4"/>
    </row>
    <row r="444" spans="1:18" ht="12.75" customHeight="1">
      <c r="A444" s="4"/>
      <c r="B444" s="4"/>
      <c r="C444" s="3"/>
      <c r="D444" s="4"/>
      <c r="E444" s="4"/>
      <c r="F444" s="4"/>
      <c r="G444" s="4"/>
      <c r="H444" s="4"/>
      <c r="I444" s="4"/>
      <c r="J444" s="4"/>
      <c r="K444" s="4"/>
      <c r="L444" s="4"/>
      <c r="M444" s="4"/>
      <c r="N444" s="4"/>
      <c r="O444" s="4"/>
      <c r="P444" s="4"/>
      <c r="Q444" s="4"/>
      <c r="R444" s="4"/>
    </row>
    <row r="445" spans="1:18" ht="12.75" customHeight="1">
      <c r="A445" s="4"/>
      <c r="B445" s="4"/>
      <c r="C445" s="3"/>
      <c r="D445" s="4"/>
      <c r="E445" s="4"/>
      <c r="F445" s="4"/>
      <c r="G445" s="4"/>
      <c r="H445" s="4"/>
      <c r="I445" s="4"/>
      <c r="J445" s="4"/>
      <c r="K445" s="4"/>
      <c r="L445" s="4"/>
      <c r="M445" s="4"/>
      <c r="N445" s="4"/>
      <c r="O445" s="4"/>
      <c r="P445" s="4"/>
      <c r="Q445" s="4"/>
      <c r="R445" s="4"/>
    </row>
    <row r="446" spans="1:18" ht="12.75" customHeight="1">
      <c r="A446" s="4"/>
      <c r="B446" s="4"/>
      <c r="C446" s="3"/>
      <c r="D446" s="4"/>
      <c r="E446" s="4"/>
      <c r="F446" s="4"/>
      <c r="G446" s="4"/>
      <c r="H446" s="4"/>
      <c r="I446" s="4"/>
      <c r="J446" s="4"/>
      <c r="K446" s="4"/>
      <c r="L446" s="4"/>
      <c r="M446" s="4"/>
      <c r="N446" s="4"/>
      <c r="O446" s="4"/>
      <c r="P446" s="4"/>
      <c r="Q446" s="4"/>
      <c r="R446" s="4"/>
    </row>
    <row r="447" spans="1:18" ht="12.75" customHeight="1">
      <c r="A447" s="4"/>
      <c r="B447" s="4"/>
      <c r="C447" s="3"/>
      <c r="D447" s="4"/>
      <c r="E447" s="4"/>
      <c r="F447" s="4"/>
      <c r="G447" s="4"/>
      <c r="H447" s="4"/>
      <c r="I447" s="4"/>
      <c r="J447" s="4"/>
      <c r="K447" s="4"/>
      <c r="L447" s="4"/>
      <c r="M447" s="4"/>
      <c r="N447" s="4"/>
      <c r="O447" s="4"/>
      <c r="P447" s="4"/>
      <c r="Q447" s="4"/>
      <c r="R447" s="4"/>
    </row>
    <row r="448" spans="1:18" ht="12.75" customHeight="1">
      <c r="A448" s="4"/>
      <c r="B448" s="4"/>
      <c r="C448" s="3"/>
      <c r="D448" s="4"/>
      <c r="E448" s="4"/>
      <c r="F448" s="4"/>
      <c r="G448" s="4"/>
      <c r="H448" s="4"/>
      <c r="I448" s="4"/>
      <c r="J448" s="4"/>
      <c r="K448" s="4"/>
      <c r="L448" s="4"/>
      <c r="M448" s="4"/>
      <c r="N448" s="4"/>
      <c r="O448" s="4"/>
      <c r="P448" s="4"/>
      <c r="Q448" s="4"/>
      <c r="R448" s="4"/>
    </row>
    <row r="449" spans="1:18" ht="12.75" customHeight="1">
      <c r="A449" s="4"/>
      <c r="B449" s="4"/>
      <c r="C449" s="3"/>
      <c r="D449" s="4"/>
      <c r="E449" s="4"/>
      <c r="F449" s="4"/>
      <c r="G449" s="4"/>
      <c r="H449" s="4"/>
      <c r="I449" s="4"/>
      <c r="J449" s="4"/>
      <c r="K449" s="4"/>
      <c r="L449" s="4"/>
      <c r="M449" s="4"/>
      <c r="N449" s="4"/>
      <c r="O449" s="4"/>
      <c r="P449" s="4"/>
      <c r="Q449" s="4"/>
      <c r="R449" s="4"/>
    </row>
    <row r="450" spans="1:18" ht="12.75" customHeight="1">
      <c r="A450" s="4"/>
      <c r="B450" s="4"/>
      <c r="C450" s="3"/>
      <c r="D450" s="4"/>
      <c r="E450" s="4"/>
      <c r="F450" s="4"/>
      <c r="G450" s="4"/>
      <c r="H450" s="4"/>
      <c r="I450" s="4"/>
      <c r="J450" s="4"/>
      <c r="K450" s="4"/>
      <c r="L450" s="4"/>
      <c r="M450" s="4"/>
      <c r="N450" s="4"/>
      <c r="O450" s="4"/>
      <c r="P450" s="4"/>
      <c r="Q450" s="4"/>
      <c r="R450" s="4"/>
    </row>
    <row r="451" spans="1:18" ht="12.75" customHeight="1">
      <c r="A451" s="4"/>
      <c r="B451" s="4"/>
      <c r="C451" s="3"/>
      <c r="D451" s="4"/>
      <c r="E451" s="4"/>
      <c r="F451" s="4"/>
      <c r="G451" s="4"/>
      <c r="H451" s="4"/>
      <c r="I451" s="4"/>
      <c r="J451" s="4"/>
      <c r="K451" s="4"/>
      <c r="L451" s="4"/>
      <c r="M451" s="4"/>
      <c r="N451" s="4"/>
      <c r="O451" s="4"/>
      <c r="P451" s="4"/>
      <c r="Q451" s="4"/>
      <c r="R451" s="4"/>
    </row>
    <row r="452" spans="1:18" ht="12.75" customHeight="1">
      <c r="A452" s="4"/>
      <c r="B452" s="4"/>
      <c r="C452" s="3"/>
      <c r="D452" s="4"/>
      <c r="E452" s="4"/>
      <c r="F452" s="4"/>
      <c r="G452" s="4"/>
      <c r="H452" s="4"/>
      <c r="I452" s="4"/>
      <c r="J452" s="4"/>
      <c r="K452" s="4"/>
      <c r="L452" s="4"/>
      <c r="M452" s="4"/>
      <c r="N452" s="4"/>
      <c r="O452" s="4"/>
      <c r="P452" s="4"/>
      <c r="Q452" s="4"/>
      <c r="R452" s="4"/>
    </row>
    <row r="453" spans="1:18" ht="12.75" customHeight="1">
      <c r="A453" s="4"/>
      <c r="B453" s="4"/>
      <c r="C453" s="3"/>
      <c r="D453" s="4"/>
      <c r="E453" s="4"/>
      <c r="F453" s="4"/>
      <c r="G453" s="4"/>
      <c r="H453" s="4"/>
      <c r="I453" s="4"/>
      <c r="J453" s="4"/>
      <c r="K453" s="4"/>
      <c r="L453" s="4"/>
      <c r="M453" s="4"/>
      <c r="N453" s="4"/>
      <c r="O453" s="4"/>
      <c r="P453" s="4"/>
      <c r="Q453" s="4"/>
      <c r="R453" s="4"/>
    </row>
    <row r="454" spans="1:18" ht="12.75" customHeight="1">
      <c r="A454" s="4"/>
      <c r="B454" s="4"/>
      <c r="C454" s="3"/>
      <c r="D454" s="4"/>
      <c r="E454" s="4"/>
      <c r="F454" s="4"/>
      <c r="G454" s="4"/>
      <c r="H454" s="4"/>
      <c r="I454" s="4"/>
      <c r="J454" s="4"/>
      <c r="K454" s="4"/>
      <c r="L454" s="4"/>
      <c r="M454" s="4"/>
      <c r="N454" s="4"/>
      <c r="O454" s="4"/>
      <c r="P454" s="4"/>
      <c r="Q454" s="4"/>
      <c r="R454" s="4"/>
    </row>
    <row r="455" spans="1:18" ht="12.75" customHeight="1">
      <c r="A455" s="4"/>
      <c r="B455" s="4"/>
      <c r="C455" s="3"/>
      <c r="D455" s="4"/>
      <c r="E455" s="4"/>
      <c r="F455" s="4"/>
      <c r="G455" s="4"/>
      <c r="H455" s="4"/>
      <c r="I455" s="4"/>
      <c r="J455" s="4"/>
      <c r="K455" s="4"/>
      <c r="L455" s="4"/>
      <c r="M455" s="4"/>
      <c r="N455" s="4"/>
      <c r="O455" s="4"/>
      <c r="P455" s="4"/>
      <c r="Q455" s="4"/>
      <c r="R455" s="4"/>
    </row>
    <row r="456" spans="1:18" ht="12.75" customHeight="1">
      <c r="A456" s="4"/>
      <c r="B456" s="4"/>
      <c r="C456" s="3"/>
      <c r="D456" s="4"/>
      <c r="E456" s="4"/>
      <c r="F456" s="4"/>
      <c r="G456" s="4"/>
      <c r="H456" s="4"/>
      <c r="I456" s="4"/>
      <c r="J456" s="4"/>
      <c r="K456" s="4"/>
      <c r="L456" s="4"/>
      <c r="M456" s="4"/>
      <c r="N456" s="4"/>
      <c r="O456" s="4"/>
      <c r="P456" s="4"/>
      <c r="Q456" s="4"/>
      <c r="R456" s="4"/>
    </row>
    <row r="457" spans="1:18" ht="12.75" customHeight="1">
      <c r="A457" s="4"/>
      <c r="B457" s="4"/>
      <c r="C457" s="3"/>
      <c r="D457" s="4"/>
      <c r="E457" s="4"/>
      <c r="F457" s="4"/>
      <c r="G457" s="4"/>
      <c r="H457" s="4"/>
      <c r="I457" s="4"/>
      <c r="J457" s="4"/>
      <c r="K457" s="4"/>
      <c r="L457" s="4"/>
      <c r="M457" s="4"/>
      <c r="N457" s="4"/>
      <c r="O457" s="4"/>
      <c r="P457" s="4"/>
      <c r="Q457" s="4"/>
      <c r="R457" s="4"/>
    </row>
    <row r="458" spans="1:18" ht="12.75" customHeight="1">
      <c r="A458" s="4"/>
      <c r="B458" s="4"/>
      <c r="C458" s="3"/>
      <c r="D458" s="4"/>
      <c r="E458" s="4"/>
      <c r="F458" s="4"/>
      <c r="G458" s="4"/>
      <c r="H458" s="4"/>
      <c r="I458" s="4"/>
      <c r="J458" s="4"/>
      <c r="K458" s="4"/>
      <c r="L458" s="4"/>
      <c r="M458" s="4"/>
      <c r="N458" s="4"/>
      <c r="O458" s="4"/>
      <c r="P458" s="4"/>
      <c r="Q458" s="4"/>
      <c r="R458" s="4"/>
    </row>
    <row r="459" spans="1:18" ht="12.75" customHeight="1">
      <c r="A459" s="4"/>
      <c r="B459" s="4"/>
      <c r="C459" s="3"/>
      <c r="D459" s="4"/>
      <c r="E459" s="4"/>
      <c r="F459" s="4"/>
      <c r="G459" s="4"/>
      <c r="H459" s="4"/>
      <c r="I459" s="4"/>
      <c r="J459" s="4"/>
      <c r="K459" s="4"/>
      <c r="L459" s="4"/>
      <c r="M459" s="4"/>
      <c r="N459" s="4"/>
      <c r="O459" s="4"/>
      <c r="P459" s="4"/>
      <c r="Q459" s="4"/>
      <c r="R459" s="4"/>
    </row>
    <row r="460" spans="1:18" ht="12.75" customHeight="1">
      <c r="A460" s="4"/>
      <c r="B460" s="4"/>
      <c r="C460" s="3"/>
      <c r="D460" s="4"/>
      <c r="E460" s="4"/>
      <c r="F460" s="4"/>
      <c r="G460" s="4"/>
      <c r="H460" s="4"/>
      <c r="I460" s="4"/>
      <c r="J460" s="4"/>
      <c r="K460" s="4"/>
      <c r="L460" s="4"/>
      <c r="M460" s="4"/>
      <c r="N460" s="4"/>
      <c r="O460" s="4"/>
      <c r="P460" s="4"/>
      <c r="Q460" s="4"/>
      <c r="R460" s="4"/>
    </row>
    <row r="461" spans="1:18" ht="12.75" customHeight="1">
      <c r="A461" s="4"/>
      <c r="B461" s="4"/>
      <c r="C461" s="3"/>
      <c r="D461" s="4"/>
      <c r="E461" s="4"/>
      <c r="F461" s="4"/>
      <c r="G461" s="4"/>
      <c r="H461" s="4"/>
      <c r="I461" s="4"/>
      <c r="J461" s="4"/>
      <c r="K461" s="4"/>
      <c r="L461" s="4"/>
      <c r="M461" s="4"/>
      <c r="N461" s="4"/>
      <c r="O461" s="4"/>
      <c r="P461" s="4"/>
      <c r="Q461" s="4"/>
      <c r="R461" s="4"/>
    </row>
    <row r="462" spans="1:18" ht="12.75" customHeight="1">
      <c r="A462" s="4"/>
      <c r="B462" s="4"/>
      <c r="C462" s="3"/>
      <c r="D462" s="4"/>
      <c r="E462" s="4"/>
      <c r="F462" s="4"/>
      <c r="G462" s="4"/>
      <c r="H462" s="4"/>
      <c r="I462" s="4"/>
      <c r="J462" s="4"/>
      <c r="K462" s="4"/>
      <c r="L462" s="4"/>
      <c r="M462" s="4"/>
      <c r="N462" s="4"/>
      <c r="O462" s="4"/>
      <c r="P462" s="4"/>
      <c r="Q462" s="4"/>
      <c r="R462" s="4"/>
    </row>
    <row r="463" spans="1:18" ht="12.75" customHeight="1">
      <c r="A463" s="4"/>
      <c r="B463" s="4"/>
      <c r="C463" s="3"/>
      <c r="D463" s="4"/>
      <c r="E463" s="4"/>
      <c r="F463" s="4"/>
      <c r="G463" s="4"/>
      <c r="H463" s="4"/>
      <c r="I463" s="4"/>
      <c r="J463" s="4"/>
      <c r="K463" s="4"/>
      <c r="L463" s="4"/>
      <c r="M463" s="4"/>
      <c r="N463" s="4"/>
      <c r="O463" s="4"/>
      <c r="P463" s="4"/>
      <c r="Q463" s="4"/>
      <c r="R463" s="4"/>
    </row>
    <row r="464" spans="1:18" ht="12.75" customHeight="1">
      <c r="A464" s="4"/>
      <c r="B464" s="4"/>
      <c r="C464" s="3"/>
      <c r="D464" s="4"/>
      <c r="E464" s="4"/>
      <c r="F464" s="4"/>
      <c r="G464" s="4"/>
      <c r="H464" s="4"/>
      <c r="I464" s="4"/>
      <c r="J464" s="4"/>
      <c r="K464" s="4"/>
      <c r="L464" s="4"/>
      <c r="M464" s="4"/>
      <c r="N464" s="4"/>
      <c r="O464" s="4"/>
      <c r="P464" s="4"/>
      <c r="Q464" s="4"/>
      <c r="R464" s="4"/>
    </row>
    <row r="465" spans="1:18" ht="12.75" customHeight="1">
      <c r="A465" s="4"/>
      <c r="B465" s="4"/>
      <c r="C465" s="3"/>
      <c r="D465" s="4"/>
      <c r="E465" s="4"/>
      <c r="F465" s="4"/>
      <c r="G465" s="4"/>
      <c r="H465" s="4"/>
      <c r="I465" s="4"/>
      <c r="J465" s="4"/>
      <c r="K465" s="4"/>
      <c r="L465" s="4"/>
      <c r="M465" s="4"/>
      <c r="N465" s="4"/>
      <c r="O465" s="4"/>
      <c r="P465" s="4"/>
      <c r="Q465" s="4"/>
      <c r="R465" s="4"/>
    </row>
    <row r="466" spans="1:18" ht="12.75" customHeight="1">
      <c r="A466" s="4"/>
      <c r="B466" s="4"/>
      <c r="C466" s="3"/>
      <c r="D466" s="4"/>
      <c r="E466" s="4"/>
      <c r="F466" s="4"/>
      <c r="G466" s="4"/>
      <c r="H466" s="4"/>
      <c r="I466" s="4"/>
      <c r="J466" s="4"/>
      <c r="K466" s="4"/>
      <c r="L466" s="4"/>
      <c r="M466" s="4"/>
      <c r="N466" s="4"/>
      <c r="O466" s="4"/>
      <c r="P466" s="4"/>
      <c r="Q466" s="4"/>
      <c r="R466" s="4"/>
    </row>
    <row r="467" spans="1:18" ht="12.75" customHeight="1">
      <c r="A467" s="4"/>
      <c r="B467" s="4"/>
      <c r="C467" s="3"/>
      <c r="D467" s="4"/>
      <c r="E467" s="4"/>
      <c r="F467" s="4"/>
      <c r="G467" s="4"/>
      <c r="H467" s="4"/>
      <c r="I467" s="4"/>
      <c r="J467" s="4"/>
      <c r="K467" s="4"/>
      <c r="L467" s="4"/>
      <c r="M467" s="4"/>
      <c r="N467" s="4"/>
      <c r="O467" s="4"/>
      <c r="P467" s="4"/>
      <c r="Q467" s="4"/>
      <c r="R467" s="4"/>
    </row>
    <row r="468" spans="1:18" ht="12.75" customHeight="1">
      <c r="A468" s="4"/>
      <c r="B468" s="4"/>
      <c r="C468" s="3"/>
      <c r="D468" s="4"/>
      <c r="E468" s="4"/>
      <c r="F468" s="4"/>
      <c r="G468" s="4"/>
      <c r="H468" s="4"/>
      <c r="I468" s="4"/>
      <c r="J468" s="4"/>
      <c r="K468" s="4"/>
      <c r="L468" s="4"/>
      <c r="M468" s="4"/>
      <c r="N468" s="4"/>
      <c r="O468" s="4"/>
      <c r="P468" s="4"/>
      <c r="Q468" s="4"/>
      <c r="R468" s="4"/>
    </row>
    <row r="469" spans="1:18" ht="12.75" customHeight="1">
      <c r="A469" s="4"/>
      <c r="B469" s="4"/>
      <c r="C469" s="3"/>
      <c r="D469" s="4"/>
      <c r="E469" s="4"/>
      <c r="F469" s="4"/>
      <c r="G469" s="4"/>
      <c r="H469" s="4"/>
      <c r="I469" s="4"/>
      <c r="J469" s="4"/>
      <c r="K469" s="4"/>
      <c r="L469" s="4"/>
      <c r="M469" s="4"/>
      <c r="N469" s="4"/>
      <c r="O469" s="4"/>
      <c r="P469" s="4"/>
      <c r="Q469" s="4"/>
      <c r="R469" s="4"/>
    </row>
    <row r="470" spans="1:18" ht="12.75" customHeight="1">
      <c r="A470" s="4"/>
      <c r="B470" s="4"/>
      <c r="C470" s="3"/>
      <c r="D470" s="4"/>
      <c r="E470" s="4"/>
      <c r="F470" s="4"/>
      <c r="G470" s="4"/>
      <c r="H470" s="4"/>
      <c r="I470" s="4"/>
      <c r="J470" s="4"/>
      <c r="K470" s="4"/>
      <c r="L470" s="4"/>
      <c r="M470" s="4"/>
      <c r="N470" s="4"/>
      <c r="O470" s="4"/>
      <c r="P470" s="4"/>
      <c r="Q470" s="4"/>
      <c r="R470" s="4"/>
    </row>
    <row r="471" spans="1:18" ht="12.75" customHeight="1">
      <c r="A471" s="4"/>
      <c r="B471" s="4"/>
      <c r="C471" s="3"/>
      <c r="D471" s="4"/>
      <c r="E471" s="4"/>
      <c r="F471" s="4"/>
      <c r="G471" s="4"/>
      <c r="H471" s="4"/>
      <c r="I471" s="4"/>
      <c r="J471" s="4"/>
      <c r="K471" s="4"/>
      <c r="L471" s="4"/>
      <c r="M471" s="4"/>
      <c r="N471" s="4"/>
      <c r="O471" s="4"/>
      <c r="P471" s="4"/>
      <c r="Q471" s="4"/>
      <c r="R471" s="4"/>
    </row>
    <row r="472" spans="1:18" ht="12.75" customHeight="1">
      <c r="A472" s="4"/>
      <c r="B472" s="4"/>
      <c r="C472" s="3"/>
      <c r="D472" s="4"/>
      <c r="E472" s="4"/>
      <c r="F472" s="4"/>
      <c r="G472" s="4"/>
      <c r="H472" s="4"/>
      <c r="I472" s="4"/>
      <c r="J472" s="4"/>
      <c r="K472" s="4"/>
      <c r="L472" s="4"/>
      <c r="M472" s="4"/>
      <c r="N472" s="4"/>
      <c r="O472" s="4"/>
      <c r="P472" s="4"/>
      <c r="Q472" s="4"/>
      <c r="R472" s="4"/>
    </row>
    <row r="473" spans="1:18" ht="12.75" customHeight="1">
      <c r="A473" s="4"/>
      <c r="B473" s="4"/>
      <c r="C473" s="3"/>
      <c r="D473" s="4"/>
      <c r="E473" s="4"/>
      <c r="F473" s="4"/>
      <c r="G473" s="4"/>
      <c r="H473" s="4"/>
      <c r="I473" s="4"/>
      <c r="J473" s="4"/>
      <c r="K473" s="4"/>
      <c r="L473" s="4"/>
      <c r="M473" s="4"/>
      <c r="N473" s="4"/>
      <c r="O473" s="4"/>
      <c r="P473" s="4"/>
      <c r="Q473" s="4"/>
      <c r="R473" s="4"/>
    </row>
    <row r="474" spans="1:18" ht="12.75" customHeight="1">
      <c r="A474" s="4"/>
      <c r="B474" s="4"/>
      <c r="C474" s="3"/>
      <c r="D474" s="4"/>
      <c r="E474" s="4"/>
      <c r="F474" s="4"/>
      <c r="G474" s="4"/>
      <c r="H474" s="4"/>
      <c r="I474" s="4"/>
      <c r="J474" s="4"/>
      <c r="K474" s="4"/>
      <c r="L474" s="4"/>
      <c r="M474" s="4"/>
      <c r="N474" s="4"/>
      <c r="O474" s="4"/>
      <c r="P474" s="4"/>
      <c r="Q474" s="4"/>
      <c r="R474" s="4"/>
    </row>
    <row r="475" spans="1:18" ht="12.75" customHeight="1">
      <c r="A475" s="4"/>
      <c r="B475" s="4"/>
      <c r="C475" s="3"/>
      <c r="D475" s="4"/>
      <c r="E475" s="4"/>
      <c r="F475" s="4"/>
      <c r="G475" s="4"/>
      <c r="H475" s="4"/>
      <c r="I475" s="4"/>
      <c r="J475" s="4"/>
      <c r="K475" s="4"/>
      <c r="L475" s="4"/>
      <c r="M475" s="4"/>
      <c r="N475" s="4"/>
      <c r="O475" s="4"/>
      <c r="P475" s="4"/>
      <c r="Q475" s="4"/>
      <c r="R475" s="4"/>
    </row>
    <row r="476" spans="1:18" ht="12.75" customHeight="1">
      <c r="A476" s="4"/>
      <c r="B476" s="4"/>
      <c r="C476" s="3"/>
      <c r="D476" s="4"/>
      <c r="E476" s="4"/>
      <c r="F476" s="4"/>
      <c r="G476" s="4"/>
      <c r="H476" s="4"/>
      <c r="I476" s="4"/>
      <c r="J476" s="4"/>
      <c r="K476" s="4"/>
      <c r="L476" s="4"/>
      <c r="M476" s="4"/>
      <c r="N476" s="4"/>
      <c r="O476" s="4"/>
      <c r="P476" s="4"/>
      <c r="Q476" s="4"/>
      <c r="R476" s="4"/>
    </row>
    <row r="477" spans="1:18" ht="12.75" customHeight="1">
      <c r="A477" s="4"/>
      <c r="B477" s="4"/>
      <c r="C477" s="3"/>
      <c r="D477" s="4"/>
      <c r="E477" s="4"/>
      <c r="F477" s="4"/>
      <c r="G477" s="4"/>
      <c r="H477" s="4"/>
      <c r="I477" s="4"/>
      <c r="J477" s="4"/>
      <c r="K477" s="4"/>
      <c r="L477" s="4"/>
      <c r="M477" s="4"/>
      <c r="N477" s="4"/>
      <c r="O477" s="4"/>
      <c r="P477" s="4"/>
      <c r="Q477" s="4"/>
      <c r="R477" s="4"/>
    </row>
    <row r="478" spans="1:18" ht="12.75" customHeight="1">
      <c r="A478" s="4"/>
      <c r="B478" s="4"/>
      <c r="C478" s="3"/>
      <c r="D478" s="4"/>
      <c r="E478" s="4"/>
      <c r="F478" s="4"/>
      <c r="G478" s="4"/>
      <c r="H478" s="4"/>
      <c r="I478" s="4"/>
      <c r="J478" s="4"/>
      <c r="K478" s="4"/>
      <c r="L478" s="4"/>
      <c r="M478" s="4"/>
      <c r="N478" s="4"/>
      <c r="O478" s="4"/>
      <c r="P478" s="4"/>
      <c r="Q478" s="4"/>
      <c r="R478" s="4"/>
    </row>
    <row r="479" spans="1:18" ht="12.75" customHeight="1">
      <c r="A479" s="4"/>
      <c r="B479" s="4"/>
      <c r="C479" s="3"/>
      <c r="D479" s="4"/>
      <c r="E479" s="4"/>
      <c r="F479" s="4"/>
      <c r="G479" s="4"/>
      <c r="H479" s="4"/>
      <c r="I479" s="4"/>
      <c r="J479" s="4"/>
      <c r="K479" s="4"/>
      <c r="L479" s="4"/>
      <c r="M479" s="4"/>
      <c r="N479" s="4"/>
      <c r="O479" s="4"/>
      <c r="P479" s="4"/>
      <c r="Q479" s="4"/>
      <c r="R479" s="4"/>
    </row>
    <row r="480" spans="1:18" ht="12.75" customHeight="1">
      <c r="A480" s="4"/>
      <c r="B480" s="4"/>
      <c r="C480" s="3"/>
      <c r="D480" s="4"/>
      <c r="E480" s="4"/>
      <c r="F480" s="4"/>
      <c r="G480" s="4"/>
      <c r="H480" s="4"/>
      <c r="I480" s="4"/>
      <c r="J480" s="4"/>
      <c r="K480" s="4"/>
      <c r="L480" s="4"/>
      <c r="M480" s="4"/>
      <c r="N480" s="4"/>
      <c r="O480" s="4"/>
      <c r="P480" s="4"/>
      <c r="Q480" s="4"/>
      <c r="R480" s="4"/>
    </row>
    <row r="481" spans="1:18" ht="12.75" customHeight="1">
      <c r="A481" s="4"/>
      <c r="B481" s="4"/>
      <c r="C481" s="3"/>
      <c r="D481" s="4"/>
      <c r="E481" s="4"/>
      <c r="F481" s="4"/>
      <c r="G481" s="4"/>
      <c r="H481" s="4"/>
      <c r="I481" s="4"/>
      <c r="J481" s="4"/>
      <c r="K481" s="4"/>
      <c r="L481" s="4"/>
      <c r="M481" s="4"/>
      <c r="N481" s="4"/>
      <c r="O481" s="4"/>
      <c r="P481" s="4"/>
      <c r="Q481" s="4"/>
      <c r="R481" s="4"/>
    </row>
    <row r="482" spans="1:18" ht="12.75" customHeight="1">
      <c r="A482" s="4"/>
      <c r="B482" s="4"/>
      <c r="C482" s="3"/>
      <c r="D482" s="4"/>
      <c r="E482" s="4"/>
      <c r="F482" s="4"/>
      <c r="G482" s="4"/>
      <c r="H482" s="4"/>
      <c r="I482" s="4"/>
      <c r="J482" s="4"/>
      <c r="K482" s="4"/>
      <c r="L482" s="4"/>
      <c r="M482" s="4"/>
      <c r="N482" s="4"/>
      <c r="O482" s="4"/>
      <c r="P482" s="4"/>
      <c r="Q482" s="4"/>
      <c r="R482" s="4"/>
    </row>
    <row r="483" spans="1:18" ht="12.75" customHeight="1">
      <c r="A483" s="4"/>
      <c r="B483" s="4"/>
      <c r="C483" s="3"/>
      <c r="D483" s="4"/>
      <c r="E483" s="4"/>
      <c r="F483" s="4"/>
      <c r="G483" s="4"/>
      <c r="H483" s="4"/>
      <c r="I483" s="4"/>
      <c r="J483" s="4"/>
      <c r="K483" s="4"/>
      <c r="L483" s="4"/>
      <c r="M483" s="4"/>
      <c r="N483" s="4"/>
      <c r="O483" s="4"/>
      <c r="P483" s="4"/>
      <c r="Q483" s="4"/>
      <c r="R483" s="4"/>
    </row>
    <row r="484" spans="1:18" ht="12.75" customHeight="1">
      <c r="A484" s="4"/>
      <c r="B484" s="4"/>
      <c r="C484" s="3"/>
      <c r="D484" s="4"/>
      <c r="E484" s="4"/>
      <c r="F484" s="4"/>
      <c r="G484" s="4"/>
      <c r="H484" s="4"/>
      <c r="I484" s="4"/>
      <c r="J484" s="4"/>
      <c r="K484" s="4"/>
      <c r="L484" s="4"/>
      <c r="M484" s="4"/>
      <c r="N484" s="4"/>
      <c r="O484" s="4"/>
      <c r="P484" s="4"/>
      <c r="Q484" s="4"/>
      <c r="R484" s="4"/>
    </row>
    <row r="485" spans="1:18" ht="12.75" customHeight="1">
      <c r="A485" s="4"/>
      <c r="B485" s="4"/>
      <c r="C485" s="3"/>
      <c r="D485" s="4"/>
      <c r="E485" s="4"/>
      <c r="F485" s="4"/>
      <c r="G485" s="4"/>
      <c r="H485" s="4"/>
      <c r="I485" s="4"/>
      <c r="J485" s="4"/>
      <c r="K485" s="4"/>
      <c r="L485" s="4"/>
      <c r="M485" s="4"/>
      <c r="N485" s="4"/>
      <c r="O485" s="4"/>
      <c r="P485" s="4"/>
      <c r="Q485" s="4"/>
      <c r="R485" s="4"/>
    </row>
    <row r="486" spans="1:18" ht="12.75" customHeight="1">
      <c r="A486" s="4"/>
      <c r="B486" s="4"/>
      <c r="C486" s="3"/>
      <c r="D486" s="4"/>
      <c r="E486" s="4"/>
      <c r="F486" s="4"/>
      <c r="G486" s="4"/>
      <c r="H486" s="4"/>
      <c r="I486" s="4"/>
      <c r="J486" s="4"/>
      <c r="K486" s="4"/>
      <c r="L486" s="4"/>
      <c r="M486" s="4"/>
      <c r="N486" s="4"/>
      <c r="O486" s="4"/>
      <c r="P486" s="4"/>
      <c r="Q486" s="4"/>
      <c r="R486" s="4"/>
    </row>
    <row r="487" spans="1:18" ht="12.75" customHeight="1">
      <c r="A487" s="4"/>
      <c r="B487" s="4"/>
      <c r="C487" s="3"/>
      <c r="D487" s="4"/>
      <c r="E487" s="4"/>
      <c r="F487" s="4"/>
      <c r="G487" s="4"/>
      <c r="H487" s="4"/>
      <c r="I487" s="4"/>
      <c r="J487" s="4"/>
      <c r="K487" s="4"/>
      <c r="L487" s="4"/>
      <c r="M487" s="4"/>
      <c r="N487" s="4"/>
      <c r="O487" s="4"/>
      <c r="P487" s="4"/>
      <c r="Q487" s="4"/>
      <c r="R487" s="4"/>
    </row>
    <row r="488" spans="1:18" ht="12.75" customHeight="1">
      <c r="A488" s="4"/>
      <c r="B488" s="4"/>
      <c r="C488" s="3"/>
      <c r="D488" s="4"/>
      <c r="E488" s="4"/>
      <c r="F488" s="4"/>
      <c r="G488" s="4"/>
      <c r="H488" s="4"/>
      <c r="I488" s="4"/>
      <c r="J488" s="4"/>
      <c r="K488" s="4"/>
      <c r="L488" s="4"/>
      <c r="M488" s="4"/>
      <c r="N488" s="4"/>
      <c r="O488" s="4"/>
      <c r="P488" s="4"/>
      <c r="Q488" s="4"/>
      <c r="R488" s="4"/>
    </row>
    <row r="489" spans="1:18" ht="12.75" customHeight="1">
      <c r="A489" s="4"/>
      <c r="B489" s="4"/>
      <c r="C489" s="3"/>
      <c r="D489" s="4"/>
      <c r="E489" s="4"/>
      <c r="F489" s="4"/>
      <c r="G489" s="4"/>
      <c r="H489" s="4"/>
      <c r="I489" s="4"/>
      <c r="J489" s="4"/>
      <c r="K489" s="4"/>
      <c r="L489" s="4"/>
      <c r="M489" s="4"/>
      <c r="N489" s="4"/>
      <c r="O489" s="4"/>
      <c r="P489" s="4"/>
      <c r="Q489" s="4"/>
      <c r="R489" s="4"/>
    </row>
    <row r="490" spans="1:18" ht="12.75" customHeight="1">
      <c r="A490" s="4"/>
      <c r="B490" s="4"/>
      <c r="C490" s="3"/>
      <c r="D490" s="4"/>
      <c r="E490" s="4"/>
      <c r="F490" s="4"/>
      <c r="G490" s="4"/>
      <c r="H490" s="4"/>
      <c r="I490" s="4"/>
      <c r="J490" s="4"/>
      <c r="K490" s="4"/>
      <c r="L490" s="4"/>
      <c r="M490" s="4"/>
      <c r="N490" s="4"/>
      <c r="O490" s="4"/>
      <c r="P490" s="4"/>
      <c r="Q490" s="4"/>
      <c r="R490" s="4"/>
    </row>
    <row r="491" spans="1:18" ht="12.75" customHeight="1">
      <c r="A491" s="4"/>
      <c r="B491" s="4"/>
      <c r="C491" s="3"/>
      <c r="D491" s="4"/>
      <c r="E491" s="4"/>
      <c r="F491" s="4"/>
      <c r="G491" s="4"/>
      <c r="H491" s="4"/>
      <c r="I491" s="4"/>
      <c r="J491" s="4"/>
      <c r="K491" s="4"/>
      <c r="L491" s="4"/>
      <c r="M491" s="4"/>
      <c r="N491" s="4"/>
      <c r="O491" s="4"/>
      <c r="P491" s="4"/>
      <c r="Q491" s="4"/>
      <c r="R491" s="4"/>
    </row>
    <row r="492" spans="1:18" ht="12.75" customHeight="1">
      <c r="A492" s="4"/>
      <c r="B492" s="4"/>
      <c r="C492" s="3"/>
      <c r="D492" s="4"/>
      <c r="E492" s="4"/>
      <c r="F492" s="4"/>
      <c r="G492" s="4"/>
      <c r="H492" s="4"/>
      <c r="I492" s="4"/>
      <c r="J492" s="4"/>
      <c r="K492" s="4"/>
      <c r="L492" s="4"/>
      <c r="M492" s="4"/>
      <c r="N492" s="4"/>
      <c r="O492" s="4"/>
      <c r="P492" s="4"/>
      <c r="Q492" s="4"/>
      <c r="R492" s="4"/>
    </row>
    <row r="493" spans="1:18" ht="12.75" customHeight="1">
      <c r="A493" s="4"/>
      <c r="B493" s="4"/>
      <c r="C493" s="3"/>
      <c r="D493" s="4"/>
      <c r="E493" s="4"/>
      <c r="F493" s="4"/>
      <c r="G493" s="4"/>
      <c r="H493" s="4"/>
      <c r="I493" s="4"/>
      <c r="J493" s="4"/>
      <c r="K493" s="4"/>
      <c r="L493" s="4"/>
      <c r="M493" s="4"/>
      <c r="N493" s="4"/>
      <c r="O493" s="4"/>
      <c r="P493" s="4"/>
      <c r="Q493" s="4"/>
      <c r="R493" s="4"/>
    </row>
    <row r="494" spans="1:18" ht="12.75" customHeight="1">
      <c r="A494" s="4"/>
      <c r="B494" s="4"/>
      <c r="C494" s="3"/>
      <c r="D494" s="4"/>
      <c r="E494" s="4"/>
      <c r="F494" s="4"/>
      <c r="G494" s="4"/>
      <c r="H494" s="4"/>
      <c r="I494" s="4"/>
      <c r="J494" s="4"/>
      <c r="K494" s="4"/>
      <c r="L494" s="4"/>
      <c r="M494" s="4"/>
      <c r="N494" s="4"/>
      <c r="O494" s="4"/>
      <c r="P494" s="4"/>
      <c r="Q494" s="4"/>
      <c r="R494" s="4"/>
    </row>
    <row r="495" spans="1:18" ht="12.75" customHeight="1">
      <c r="A495" s="4"/>
      <c r="B495" s="4"/>
      <c r="C495" s="3"/>
      <c r="D495" s="4"/>
      <c r="E495" s="4"/>
      <c r="F495" s="4"/>
      <c r="G495" s="4"/>
      <c r="H495" s="4"/>
      <c r="I495" s="4"/>
      <c r="J495" s="4"/>
      <c r="K495" s="4"/>
      <c r="L495" s="4"/>
      <c r="M495" s="4"/>
      <c r="N495" s="4"/>
      <c r="O495" s="4"/>
      <c r="P495" s="4"/>
      <c r="Q495" s="4"/>
      <c r="R495" s="4"/>
    </row>
    <row r="496" spans="1:18" ht="12.75" customHeight="1">
      <c r="A496" s="4"/>
      <c r="B496" s="4"/>
      <c r="C496" s="3"/>
      <c r="D496" s="4"/>
      <c r="E496" s="4"/>
      <c r="F496" s="4"/>
      <c r="G496" s="4"/>
      <c r="H496" s="4"/>
      <c r="I496" s="4"/>
      <c r="J496" s="4"/>
      <c r="K496" s="4"/>
      <c r="L496" s="4"/>
      <c r="M496" s="4"/>
      <c r="N496" s="4"/>
      <c r="O496" s="4"/>
      <c r="P496" s="4"/>
      <c r="Q496" s="4"/>
      <c r="R496" s="4"/>
    </row>
    <row r="497" spans="1:18" ht="12.75" customHeight="1">
      <c r="A497" s="4"/>
      <c r="B497" s="4"/>
      <c r="C497" s="3"/>
      <c r="D497" s="4"/>
      <c r="E497" s="4"/>
      <c r="F497" s="4"/>
      <c r="G497" s="4"/>
      <c r="H497" s="4"/>
      <c r="I497" s="4"/>
      <c r="J497" s="4"/>
      <c r="K497" s="4"/>
      <c r="L497" s="4"/>
      <c r="M497" s="4"/>
      <c r="N497" s="4"/>
      <c r="O497" s="4"/>
      <c r="P497" s="4"/>
      <c r="Q497" s="4"/>
      <c r="R497" s="4"/>
    </row>
    <row r="498" spans="1:18" ht="12.75" customHeight="1">
      <c r="A498" s="4"/>
      <c r="B498" s="4"/>
      <c r="C498" s="3"/>
      <c r="D498" s="4"/>
      <c r="E498" s="4"/>
      <c r="F498" s="4"/>
      <c r="G498" s="4"/>
      <c r="H498" s="4"/>
      <c r="I498" s="4"/>
      <c r="J498" s="4"/>
      <c r="K498" s="4"/>
      <c r="L498" s="4"/>
      <c r="M498" s="4"/>
      <c r="N498" s="4"/>
      <c r="O498" s="4"/>
      <c r="P498" s="4"/>
      <c r="Q498" s="4"/>
      <c r="R498" s="4"/>
    </row>
    <row r="499" spans="1:18" ht="12.75" customHeight="1">
      <c r="A499" s="4"/>
      <c r="B499" s="4"/>
      <c r="C499" s="3"/>
      <c r="D499" s="4"/>
      <c r="E499" s="4"/>
      <c r="F499" s="4"/>
      <c r="G499" s="4"/>
      <c r="H499" s="4"/>
      <c r="I499" s="4"/>
      <c r="J499" s="4"/>
      <c r="K499" s="4"/>
      <c r="L499" s="4"/>
      <c r="M499" s="4"/>
      <c r="N499" s="4"/>
      <c r="O499" s="4"/>
      <c r="P499" s="4"/>
      <c r="Q499" s="4"/>
      <c r="R499" s="4"/>
    </row>
    <row r="500" spans="1:18" ht="12.75" customHeight="1">
      <c r="A500" s="4"/>
      <c r="B500" s="4"/>
      <c r="C500" s="3"/>
      <c r="D500" s="4"/>
      <c r="E500" s="4"/>
      <c r="F500" s="4"/>
      <c r="G500" s="4"/>
      <c r="H500" s="4"/>
      <c r="I500" s="4"/>
      <c r="J500" s="4"/>
      <c r="K500" s="4"/>
      <c r="L500" s="4"/>
      <c r="M500" s="4"/>
      <c r="N500" s="4"/>
      <c r="O500" s="4"/>
      <c r="P500" s="4"/>
      <c r="Q500" s="4"/>
      <c r="R500" s="4"/>
    </row>
    <row r="501" spans="1:18" ht="12.75" customHeight="1">
      <c r="A501" s="4"/>
      <c r="B501" s="4"/>
      <c r="C501" s="3"/>
      <c r="D501" s="4"/>
      <c r="E501" s="4"/>
      <c r="F501" s="4"/>
      <c r="G501" s="4"/>
      <c r="H501" s="4"/>
      <c r="I501" s="4"/>
      <c r="J501" s="4"/>
      <c r="K501" s="4"/>
      <c r="L501" s="4"/>
      <c r="M501" s="4"/>
      <c r="N501" s="4"/>
      <c r="O501" s="4"/>
      <c r="P501" s="4"/>
      <c r="Q501" s="4"/>
      <c r="R501" s="4"/>
    </row>
    <row r="502" spans="1:18" ht="12.75" customHeight="1">
      <c r="A502" s="4"/>
      <c r="B502" s="4"/>
      <c r="C502" s="3"/>
      <c r="D502" s="4"/>
      <c r="E502" s="4"/>
      <c r="F502" s="4"/>
      <c r="G502" s="4"/>
      <c r="H502" s="4"/>
      <c r="I502" s="4"/>
      <c r="J502" s="4"/>
      <c r="K502" s="4"/>
      <c r="L502" s="4"/>
      <c r="M502" s="4"/>
      <c r="N502" s="4"/>
      <c r="O502" s="4"/>
      <c r="P502" s="4"/>
      <c r="Q502" s="4"/>
      <c r="R502" s="4"/>
    </row>
    <row r="503" spans="1:18" ht="12.75" customHeight="1">
      <c r="A503" s="4"/>
      <c r="B503" s="4"/>
      <c r="C503" s="3"/>
      <c r="D503" s="4"/>
      <c r="E503" s="4"/>
      <c r="F503" s="4"/>
      <c r="G503" s="4"/>
      <c r="H503" s="4"/>
      <c r="I503" s="4"/>
      <c r="J503" s="4"/>
      <c r="K503" s="4"/>
      <c r="L503" s="4"/>
      <c r="M503" s="4"/>
      <c r="N503" s="4"/>
      <c r="O503" s="4"/>
      <c r="P503" s="4"/>
      <c r="Q503" s="4"/>
      <c r="R503" s="4"/>
    </row>
    <row r="504" spans="1:18" ht="12.75" customHeight="1">
      <c r="A504" s="4"/>
      <c r="B504" s="4"/>
      <c r="C504" s="3"/>
      <c r="D504" s="4"/>
      <c r="E504" s="4"/>
      <c r="F504" s="4"/>
      <c r="G504" s="4"/>
      <c r="H504" s="4"/>
      <c r="I504" s="4"/>
      <c r="J504" s="4"/>
      <c r="K504" s="4"/>
      <c r="L504" s="4"/>
      <c r="M504" s="4"/>
      <c r="N504" s="4"/>
      <c r="O504" s="4"/>
      <c r="P504" s="4"/>
      <c r="Q504" s="4"/>
      <c r="R504" s="4"/>
    </row>
    <row r="505" spans="1:18" ht="12.75" customHeight="1">
      <c r="A505" s="4"/>
      <c r="B505" s="4"/>
      <c r="C505" s="3"/>
      <c r="D505" s="4"/>
      <c r="E505" s="4"/>
      <c r="F505" s="4"/>
      <c r="G505" s="4"/>
      <c r="H505" s="4"/>
      <c r="I505" s="4"/>
      <c r="J505" s="4"/>
      <c r="K505" s="4"/>
      <c r="L505" s="4"/>
      <c r="M505" s="4"/>
      <c r="N505" s="4"/>
      <c r="O505" s="4"/>
      <c r="P505" s="4"/>
      <c r="Q505" s="4"/>
      <c r="R505" s="4"/>
    </row>
    <row r="506" spans="1:18" ht="12.75" customHeight="1">
      <c r="A506" s="4"/>
      <c r="B506" s="4"/>
      <c r="C506" s="3"/>
      <c r="D506" s="4"/>
      <c r="E506" s="4"/>
      <c r="F506" s="4"/>
      <c r="G506" s="4"/>
      <c r="H506" s="4"/>
      <c r="I506" s="4"/>
      <c r="J506" s="4"/>
      <c r="K506" s="4"/>
      <c r="L506" s="4"/>
      <c r="M506" s="4"/>
      <c r="N506" s="4"/>
      <c r="O506" s="4"/>
      <c r="P506" s="4"/>
      <c r="Q506" s="4"/>
      <c r="R506" s="4"/>
    </row>
    <row r="507" spans="1:18" ht="12.75" customHeight="1">
      <c r="A507" s="4"/>
      <c r="B507" s="4"/>
      <c r="C507" s="3"/>
      <c r="D507" s="4"/>
      <c r="E507" s="4"/>
      <c r="F507" s="4"/>
      <c r="G507" s="4"/>
      <c r="H507" s="4"/>
      <c r="I507" s="4"/>
      <c r="J507" s="4"/>
      <c r="K507" s="4"/>
      <c r="L507" s="4"/>
      <c r="M507" s="4"/>
      <c r="N507" s="4"/>
      <c r="O507" s="4"/>
      <c r="P507" s="4"/>
      <c r="Q507" s="4"/>
      <c r="R507" s="4"/>
    </row>
    <row r="508" spans="1:18" ht="12.75" customHeight="1">
      <c r="A508" s="4"/>
      <c r="B508" s="4"/>
      <c r="C508" s="3"/>
      <c r="D508" s="4"/>
      <c r="E508" s="4"/>
      <c r="F508" s="4"/>
      <c r="G508" s="4"/>
      <c r="H508" s="4"/>
      <c r="I508" s="4"/>
      <c r="J508" s="4"/>
      <c r="K508" s="4"/>
      <c r="L508" s="4"/>
      <c r="M508" s="4"/>
      <c r="N508" s="4"/>
      <c r="O508" s="4"/>
      <c r="P508" s="4"/>
      <c r="Q508" s="4"/>
      <c r="R508" s="4"/>
    </row>
    <row r="509" spans="1:18" ht="12.75" customHeight="1">
      <c r="A509" s="4"/>
      <c r="B509" s="4"/>
      <c r="C509" s="3"/>
      <c r="D509" s="4"/>
      <c r="E509" s="4"/>
      <c r="F509" s="4"/>
      <c r="G509" s="4"/>
      <c r="H509" s="4"/>
      <c r="I509" s="4"/>
      <c r="J509" s="4"/>
      <c r="K509" s="4"/>
      <c r="L509" s="4"/>
      <c r="M509" s="4"/>
      <c r="N509" s="4"/>
      <c r="O509" s="4"/>
      <c r="P509" s="4"/>
      <c r="Q509" s="4"/>
      <c r="R509" s="4"/>
    </row>
    <row r="510" spans="1:18" ht="12.75" customHeight="1">
      <c r="A510" s="4"/>
      <c r="B510" s="4"/>
      <c r="C510" s="3"/>
      <c r="D510" s="4"/>
      <c r="E510" s="4"/>
      <c r="F510" s="4"/>
      <c r="G510" s="4"/>
      <c r="H510" s="4"/>
      <c r="I510" s="4"/>
      <c r="J510" s="4"/>
      <c r="K510" s="4"/>
      <c r="L510" s="4"/>
      <c r="M510" s="4"/>
      <c r="N510" s="4"/>
      <c r="O510" s="4"/>
      <c r="P510" s="4"/>
      <c r="Q510" s="4"/>
      <c r="R510" s="4"/>
    </row>
    <row r="511" spans="1:18" ht="12.75" customHeight="1">
      <c r="A511" s="4"/>
      <c r="B511" s="4"/>
      <c r="C511" s="3"/>
      <c r="D511" s="4"/>
      <c r="E511" s="4"/>
      <c r="F511" s="4"/>
      <c r="G511" s="4"/>
      <c r="H511" s="4"/>
      <c r="I511" s="4"/>
      <c r="J511" s="4"/>
      <c r="K511" s="4"/>
      <c r="L511" s="4"/>
      <c r="M511" s="4"/>
      <c r="N511" s="4"/>
      <c r="O511" s="4"/>
      <c r="P511" s="4"/>
      <c r="Q511" s="4"/>
      <c r="R511" s="4"/>
    </row>
    <row r="512" spans="1:18" ht="12.75" customHeight="1">
      <c r="A512" s="4"/>
      <c r="B512" s="4"/>
      <c r="C512" s="3"/>
      <c r="D512" s="4"/>
      <c r="E512" s="4"/>
      <c r="F512" s="4"/>
      <c r="G512" s="4"/>
      <c r="H512" s="4"/>
      <c r="I512" s="4"/>
      <c r="J512" s="4"/>
      <c r="K512" s="4"/>
      <c r="L512" s="4"/>
      <c r="M512" s="4"/>
      <c r="N512" s="4"/>
      <c r="O512" s="4"/>
      <c r="P512" s="4"/>
      <c r="Q512" s="4"/>
      <c r="R512" s="4"/>
    </row>
    <row r="513" spans="1:18" ht="12.75" customHeight="1">
      <c r="A513" s="4"/>
      <c r="B513" s="4"/>
      <c r="C513" s="3"/>
      <c r="D513" s="4"/>
      <c r="E513" s="4"/>
      <c r="F513" s="4"/>
      <c r="G513" s="4"/>
      <c r="H513" s="4"/>
      <c r="I513" s="4"/>
      <c r="J513" s="4"/>
      <c r="K513" s="4"/>
      <c r="L513" s="4"/>
      <c r="M513" s="4"/>
      <c r="N513" s="4"/>
      <c r="O513" s="4"/>
      <c r="P513" s="4"/>
      <c r="Q513" s="4"/>
      <c r="R513" s="4"/>
    </row>
    <row r="514" spans="1:18" ht="12.75" customHeight="1">
      <c r="A514" s="4"/>
      <c r="B514" s="4"/>
      <c r="C514" s="3"/>
      <c r="D514" s="4"/>
      <c r="E514" s="4"/>
      <c r="F514" s="4"/>
      <c r="G514" s="4"/>
      <c r="H514" s="4"/>
      <c r="I514" s="4"/>
      <c r="J514" s="4"/>
      <c r="K514" s="4"/>
      <c r="L514" s="4"/>
      <c r="M514" s="4"/>
      <c r="N514" s="4"/>
      <c r="O514" s="4"/>
      <c r="P514" s="4"/>
      <c r="Q514" s="4"/>
      <c r="R514" s="4"/>
    </row>
    <row r="515" spans="1:18" ht="12.75" customHeight="1">
      <c r="A515" s="4"/>
      <c r="B515" s="4"/>
      <c r="C515" s="3"/>
      <c r="D515" s="4"/>
      <c r="E515" s="4"/>
      <c r="F515" s="4"/>
      <c r="G515" s="4"/>
      <c r="H515" s="4"/>
      <c r="I515" s="4"/>
      <c r="J515" s="4"/>
      <c r="K515" s="4"/>
      <c r="L515" s="4"/>
      <c r="M515" s="4"/>
      <c r="N515" s="4"/>
      <c r="O515" s="4"/>
      <c r="P515" s="4"/>
      <c r="Q515" s="4"/>
      <c r="R515" s="4"/>
    </row>
    <row r="516" spans="1:18" ht="12.75" customHeight="1">
      <c r="A516" s="4"/>
      <c r="B516" s="4"/>
      <c r="C516" s="3"/>
      <c r="D516" s="4"/>
      <c r="E516" s="4"/>
      <c r="F516" s="4"/>
      <c r="G516" s="4"/>
      <c r="H516" s="4"/>
      <c r="I516" s="4"/>
      <c r="J516" s="4"/>
      <c r="K516" s="4"/>
      <c r="L516" s="4"/>
      <c r="M516" s="4"/>
      <c r="N516" s="4"/>
      <c r="O516" s="4"/>
      <c r="P516" s="4"/>
      <c r="Q516" s="4"/>
      <c r="R516" s="4"/>
    </row>
    <row r="517" spans="1:18" ht="12.75" customHeight="1">
      <c r="A517" s="4"/>
      <c r="B517" s="4"/>
      <c r="C517" s="3"/>
      <c r="D517" s="4"/>
      <c r="E517" s="4"/>
      <c r="F517" s="4"/>
      <c r="G517" s="4"/>
      <c r="H517" s="4"/>
      <c r="I517" s="4"/>
      <c r="J517" s="4"/>
      <c r="K517" s="4"/>
      <c r="L517" s="4"/>
      <c r="M517" s="4"/>
      <c r="N517" s="4"/>
      <c r="O517" s="4"/>
      <c r="P517" s="4"/>
      <c r="Q517" s="4"/>
      <c r="R517" s="4"/>
    </row>
    <row r="518" spans="1:18" ht="12.75" customHeight="1">
      <c r="A518" s="4"/>
      <c r="B518" s="4"/>
      <c r="C518" s="3"/>
      <c r="D518" s="4"/>
      <c r="E518" s="4"/>
      <c r="F518" s="4"/>
      <c r="G518" s="4"/>
      <c r="H518" s="4"/>
      <c r="I518" s="4"/>
      <c r="J518" s="4"/>
      <c r="K518" s="4"/>
      <c r="L518" s="4"/>
      <c r="M518" s="4"/>
      <c r="N518" s="4"/>
      <c r="O518" s="4"/>
      <c r="P518" s="4"/>
      <c r="Q518" s="4"/>
      <c r="R518" s="4"/>
    </row>
    <row r="519" spans="1:18" ht="12.75" customHeight="1">
      <c r="A519" s="4"/>
      <c r="B519" s="4"/>
      <c r="C519" s="3"/>
      <c r="D519" s="4"/>
      <c r="E519" s="4"/>
      <c r="F519" s="4"/>
      <c r="G519" s="4"/>
      <c r="H519" s="4"/>
      <c r="I519" s="4"/>
      <c r="J519" s="4"/>
      <c r="K519" s="4"/>
      <c r="L519" s="4"/>
      <c r="M519" s="4"/>
      <c r="N519" s="4"/>
      <c r="O519" s="4"/>
      <c r="P519" s="4"/>
      <c r="Q519" s="4"/>
      <c r="R519" s="4"/>
    </row>
    <row r="520" spans="1:18" ht="12.75" customHeight="1">
      <c r="A520" s="4"/>
      <c r="B520" s="4"/>
      <c r="C520" s="3"/>
      <c r="D520" s="4"/>
      <c r="E520" s="4"/>
      <c r="F520" s="4"/>
      <c r="G520" s="4"/>
      <c r="H520" s="4"/>
      <c r="I520" s="4"/>
      <c r="J520" s="4"/>
      <c r="K520" s="4"/>
      <c r="L520" s="4"/>
      <c r="M520" s="4"/>
      <c r="N520" s="4"/>
      <c r="O520" s="4"/>
      <c r="P520" s="4"/>
      <c r="Q520" s="4"/>
      <c r="R520" s="4"/>
    </row>
    <row r="521" spans="1:18" ht="12.75" customHeight="1">
      <c r="A521" s="4"/>
      <c r="B521" s="4"/>
      <c r="C521" s="3"/>
      <c r="D521" s="4"/>
      <c r="E521" s="4"/>
      <c r="F521" s="4"/>
      <c r="G521" s="4"/>
      <c r="H521" s="4"/>
      <c r="I521" s="4"/>
      <c r="J521" s="4"/>
      <c r="K521" s="4"/>
      <c r="L521" s="4"/>
      <c r="M521" s="4"/>
      <c r="N521" s="4"/>
      <c r="O521" s="4"/>
      <c r="P521" s="4"/>
      <c r="Q521" s="4"/>
      <c r="R521" s="4"/>
    </row>
    <row r="522" spans="1:18" ht="12.75" customHeight="1">
      <c r="A522" s="4"/>
      <c r="B522" s="4"/>
      <c r="C522" s="3"/>
      <c r="D522" s="4"/>
      <c r="E522" s="4"/>
      <c r="F522" s="4"/>
      <c r="G522" s="4"/>
      <c r="H522" s="4"/>
      <c r="I522" s="4"/>
      <c r="J522" s="4"/>
      <c r="K522" s="4"/>
      <c r="L522" s="4"/>
      <c r="M522" s="4"/>
      <c r="N522" s="4"/>
      <c r="O522" s="4"/>
      <c r="P522" s="4"/>
      <c r="Q522" s="4"/>
      <c r="R522" s="4"/>
    </row>
    <row r="523" spans="1:18" ht="12.75" customHeight="1">
      <c r="A523" s="4"/>
      <c r="B523" s="4"/>
      <c r="C523" s="3"/>
      <c r="D523" s="4"/>
      <c r="E523" s="4"/>
      <c r="F523" s="4"/>
      <c r="G523" s="4"/>
      <c r="H523" s="4"/>
      <c r="I523" s="4"/>
      <c r="J523" s="4"/>
      <c r="K523" s="4"/>
      <c r="L523" s="4"/>
      <c r="M523" s="4"/>
      <c r="N523" s="4"/>
      <c r="O523" s="4"/>
      <c r="P523" s="4"/>
      <c r="Q523" s="4"/>
      <c r="R523" s="4"/>
    </row>
    <row r="524" spans="1:18" ht="12.75" customHeight="1">
      <c r="A524" s="4"/>
      <c r="B524" s="4"/>
      <c r="C524" s="3"/>
      <c r="D524" s="4"/>
      <c r="E524" s="4"/>
      <c r="F524" s="4"/>
      <c r="G524" s="4"/>
      <c r="H524" s="4"/>
      <c r="I524" s="4"/>
      <c r="J524" s="4"/>
      <c r="K524" s="4"/>
      <c r="L524" s="4"/>
      <c r="M524" s="4"/>
      <c r="N524" s="4"/>
      <c r="O524" s="4"/>
      <c r="P524" s="4"/>
      <c r="Q524" s="4"/>
      <c r="R524" s="4"/>
    </row>
    <row r="525" spans="1:18" ht="12.75" customHeight="1">
      <c r="A525" s="4"/>
      <c r="B525" s="4"/>
      <c r="C525" s="3"/>
      <c r="D525" s="4"/>
      <c r="E525" s="4"/>
      <c r="F525" s="4"/>
      <c r="G525" s="4"/>
      <c r="H525" s="4"/>
      <c r="I525" s="4"/>
      <c r="J525" s="4"/>
      <c r="K525" s="4"/>
      <c r="L525" s="4"/>
      <c r="M525" s="4"/>
      <c r="N525" s="4"/>
      <c r="O525" s="4"/>
      <c r="P525" s="4"/>
      <c r="Q525" s="4"/>
      <c r="R525" s="4"/>
    </row>
    <row r="526" spans="1:18" ht="12.75" customHeight="1">
      <c r="A526" s="4"/>
      <c r="B526" s="4"/>
      <c r="C526" s="3"/>
      <c r="D526" s="4"/>
      <c r="E526" s="4"/>
      <c r="F526" s="4"/>
      <c r="G526" s="4"/>
      <c r="H526" s="4"/>
      <c r="I526" s="4"/>
      <c r="J526" s="4"/>
      <c r="K526" s="4"/>
      <c r="L526" s="4"/>
      <c r="M526" s="4"/>
      <c r="N526" s="4"/>
      <c r="O526" s="4"/>
      <c r="P526" s="4"/>
      <c r="Q526" s="4"/>
      <c r="R526" s="4"/>
    </row>
    <row r="527" spans="1:18" ht="12.75" customHeight="1">
      <c r="A527" s="4"/>
      <c r="B527" s="4"/>
      <c r="C527" s="3"/>
      <c r="D527" s="4"/>
      <c r="E527" s="4"/>
      <c r="F527" s="4"/>
      <c r="G527" s="4"/>
      <c r="H527" s="4"/>
      <c r="I527" s="4"/>
      <c r="J527" s="4"/>
      <c r="K527" s="4"/>
      <c r="L527" s="4"/>
      <c r="M527" s="4"/>
      <c r="N527" s="4"/>
      <c r="O527" s="4"/>
      <c r="P527" s="4"/>
      <c r="Q527" s="4"/>
      <c r="R527" s="4"/>
    </row>
    <row r="528" spans="1:18" ht="12.75" customHeight="1">
      <c r="A528" s="4"/>
      <c r="B528" s="4"/>
      <c r="C528" s="3"/>
      <c r="D528" s="4"/>
      <c r="E528" s="4"/>
      <c r="F528" s="4"/>
      <c r="G528" s="4"/>
      <c r="H528" s="4"/>
      <c r="I528" s="4"/>
      <c r="J528" s="4"/>
      <c r="K528" s="4"/>
      <c r="L528" s="4"/>
      <c r="M528" s="4"/>
      <c r="N528" s="4"/>
      <c r="O528" s="4"/>
      <c r="P528" s="4"/>
      <c r="Q528" s="4"/>
      <c r="R528" s="4"/>
    </row>
    <row r="529" spans="1:18" ht="12.75" customHeight="1">
      <c r="A529" s="4"/>
      <c r="B529" s="4"/>
      <c r="C529" s="3"/>
      <c r="D529" s="4"/>
      <c r="E529" s="4"/>
      <c r="F529" s="4"/>
      <c r="G529" s="4"/>
      <c r="H529" s="4"/>
      <c r="I529" s="4"/>
      <c r="J529" s="4"/>
      <c r="K529" s="4"/>
      <c r="L529" s="4"/>
      <c r="M529" s="4"/>
      <c r="N529" s="4"/>
      <c r="O529" s="4"/>
      <c r="P529" s="4"/>
      <c r="Q529" s="4"/>
      <c r="R529" s="4"/>
    </row>
    <row r="530" spans="1:18" ht="12.75" customHeight="1">
      <c r="A530" s="4"/>
      <c r="B530" s="4"/>
      <c r="C530" s="3"/>
      <c r="D530" s="4"/>
      <c r="E530" s="4"/>
      <c r="F530" s="4"/>
      <c r="G530" s="4"/>
      <c r="H530" s="4"/>
      <c r="I530" s="4"/>
      <c r="J530" s="4"/>
      <c r="K530" s="4"/>
      <c r="L530" s="4"/>
      <c r="M530" s="4"/>
      <c r="N530" s="4"/>
      <c r="O530" s="4"/>
      <c r="P530" s="4"/>
      <c r="Q530" s="4"/>
      <c r="R530" s="4"/>
    </row>
    <row r="531" spans="1:18" ht="12.75" customHeight="1">
      <c r="A531" s="4"/>
      <c r="B531" s="4"/>
      <c r="C531" s="3"/>
      <c r="D531" s="4"/>
      <c r="E531" s="4"/>
      <c r="F531" s="4"/>
      <c r="G531" s="4"/>
      <c r="H531" s="4"/>
      <c r="I531" s="4"/>
      <c r="J531" s="4"/>
      <c r="K531" s="4"/>
      <c r="L531" s="4"/>
      <c r="M531" s="4"/>
      <c r="N531" s="4"/>
      <c r="O531" s="4"/>
      <c r="P531" s="4"/>
      <c r="Q531" s="4"/>
      <c r="R531" s="4"/>
    </row>
    <row r="532" spans="1:18" ht="12.75" customHeight="1">
      <c r="A532" s="4"/>
      <c r="B532" s="4"/>
      <c r="C532" s="3"/>
      <c r="D532" s="4"/>
      <c r="E532" s="4"/>
      <c r="F532" s="4"/>
      <c r="G532" s="4"/>
      <c r="H532" s="4"/>
      <c r="I532" s="4"/>
      <c r="J532" s="4"/>
      <c r="K532" s="4"/>
      <c r="L532" s="4"/>
      <c r="M532" s="4"/>
      <c r="N532" s="4"/>
      <c r="O532" s="4"/>
      <c r="P532" s="4"/>
      <c r="Q532" s="4"/>
      <c r="R532" s="4"/>
    </row>
    <row r="533" spans="1:18" ht="12.75" customHeight="1">
      <c r="A533" s="4"/>
      <c r="B533" s="4"/>
      <c r="C533" s="3"/>
      <c r="D533" s="4"/>
      <c r="E533" s="4"/>
      <c r="F533" s="4"/>
      <c r="G533" s="4"/>
      <c r="H533" s="4"/>
      <c r="I533" s="4"/>
      <c r="J533" s="4"/>
      <c r="K533" s="4"/>
      <c r="L533" s="4"/>
      <c r="M533" s="4"/>
      <c r="N533" s="4"/>
      <c r="O533" s="4"/>
      <c r="P533" s="4"/>
      <c r="Q533" s="4"/>
      <c r="R533" s="4"/>
    </row>
    <row r="534" spans="1:18" ht="12.75" customHeight="1">
      <c r="A534" s="4"/>
      <c r="B534" s="4"/>
      <c r="C534" s="3"/>
      <c r="D534" s="4"/>
      <c r="E534" s="4"/>
      <c r="F534" s="4"/>
      <c r="G534" s="4"/>
      <c r="H534" s="4"/>
      <c r="I534" s="4"/>
      <c r="J534" s="4"/>
      <c r="K534" s="4"/>
      <c r="L534" s="4"/>
      <c r="M534" s="4"/>
      <c r="N534" s="4"/>
      <c r="O534" s="4"/>
      <c r="P534" s="4"/>
      <c r="Q534" s="4"/>
      <c r="R534" s="4"/>
    </row>
    <row r="535" spans="1:18" ht="12.75" customHeight="1">
      <c r="A535" s="4"/>
      <c r="B535" s="4"/>
      <c r="C535" s="3"/>
      <c r="D535" s="4"/>
      <c r="E535" s="4"/>
      <c r="F535" s="4"/>
      <c r="G535" s="4"/>
      <c r="H535" s="4"/>
      <c r="I535" s="4"/>
      <c r="J535" s="4"/>
      <c r="K535" s="4"/>
      <c r="L535" s="4"/>
      <c r="M535" s="4"/>
      <c r="N535" s="4"/>
      <c r="O535" s="4"/>
      <c r="P535" s="4"/>
      <c r="Q535" s="4"/>
      <c r="R535" s="4"/>
    </row>
    <row r="536" spans="1:18" ht="12.75" customHeight="1">
      <c r="A536" s="4"/>
      <c r="B536" s="4"/>
      <c r="C536" s="3"/>
      <c r="D536" s="4"/>
      <c r="E536" s="4"/>
      <c r="F536" s="4"/>
      <c r="G536" s="4"/>
      <c r="H536" s="4"/>
      <c r="I536" s="4"/>
      <c r="J536" s="4"/>
      <c r="K536" s="4"/>
      <c r="L536" s="4"/>
      <c r="M536" s="4"/>
      <c r="N536" s="4"/>
      <c r="O536" s="4"/>
      <c r="P536" s="4"/>
      <c r="Q536" s="4"/>
      <c r="R536" s="4"/>
    </row>
    <row r="537" spans="1:18" ht="12.75" customHeight="1">
      <c r="A537" s="4"/>
      <c r="B537" s="4"/>
      <c r="C537" s="3"/>
      <c r="D537" s="4"/>
      <c r="E537" s="4"/>
      <c r="F537" s="4"/>
      <c r="G537" s="4"/>
      <c r="H537" s="4"/>
      <c r="I537" s="4"/>
      <c r="J537" s="4"/>
      <c r="K537" s="4"/>
      <c r="L537" s="4"/>
      <c r="M537" s="4"/>
      <c r="N537" s="4"/>
      <c r="O537" s="4"/>
      <c r="P537" s="4"/>
      <c r="Q537" s="4"/>
      <c r="R537" s="4"/>
    </row>
    <row r="538" spans="1:18" ht="12.75" customHeight="1">
      <c r="A538" s="4"/>
      <c r="B538" s="4"/>
      <c r="C538" s="3"/>
      <c r="D538" s="4"/>
      <c r="E538" s="4"/>
      <c r="F538" s="4"/>
      <c r="G538" s="4"/>
      <c r="H538" s="4"/>
      <c r="I538" s="4"/>
      <c r="J538" s="4"/>
      <c r="K538" s="4"/>
      <c r="L538" s="4"/>
      <c r="M538" s="4"/>
      <c r="N538" s="4"/>
      <c r="O538" s="4"/>
      <c r="P538" s="4"/>
      <c r="Q538" s="4"/>
      <c r="R538" s="4"/>
    </row>
    <row r="539" spans="1:18" ht="12.75" customHeight="1">
      <c r="A539" s="4"/>
      <c r="B539" s="4"/>
      <c r="C539" s="3"/>
      <c r="D539" s="4"/>
      <c r="E539" s="4"/>
      <c r="F539" s="4"/>
      <c r="G539" s="4"/>
      <c r="H539" s="4"/>
      <c r="I539" s="4"/>
      <c r="J539" s="4"/>
      <c r="K539" s="4"/>
      <c r="L539" s="4"/>
      <c r="M539" s="4"/>
      <c r="N539" s="4"/>
      <c r="O539" s="4"/>
      <c r="P539" s="4"/>
      <c r="Q539" s="4"/>
      <c r="R539" s="4"/>
    </row>
    <row r="540" spans="1:18" ht="12.75" customHeight="1">
      <c r="A540" s="4"/>
      <c r="B540" s="4"/>
      <c r="C540" s="3"/>
      <c r="D540" s="4"/>
      <c r="E540" s="4"/>
      <c r="F540" s="4"/>
      <c r="G540" s="4"/>
      <c r="H540" s="4"/>
      <c r="I540" s="4"/>
      <c r="J540" s="4"/>
      <c r="K540" s="4"/>
      <c r="L540" s="4"/>
      <c r="M540" s="4"/>
      <c r="N540" s="4"/>
      <c r="O540" s="4"/>
      <c r="P540" s="4"/>
      <c r="Q540" s="4"/>
      <c r="R540" s="4"/>
    </row>
    <row r="541" spans="1:18" ht="12.75" customHeight="1">
      <c r="A541" s="4"/>
      <c r="B541" s="4"/>
      <c r="C541" s="3"/>
      <c r="D541" s="4"/>
      <c r="E541" s="4"/>
      <c r="F541" s="4"/>
      <c r="G541" s="4"/>
      <c r="H541" s="4"/>
      <c r="I541" s="4"/>
      <c r="J541" s="4"/>
      <c r="K541" s="4"/>
      <c r="L541" s="4"/>
      <c r="M541" s="4"/>
      <c r="N541" s="4"/>
      <c r="O541" s="4"/>
      <c r="P541" s="4"/>
      <c r="Q541" s="4"/>
      <c r="R541" s="4"/>
    </row>
    <row r="542" spans="1:18" ht="12.75" customHeight="1">
      <c r="A542" s="4"/>
      <c r="B542" s="4"/>
      <c r="C542" s="3"/>
      <c r="D542" s="4"/>
      <c r="E542" s="4"/>
      <c r="F542" s="4"/>
      <c r="G542" s="4"/>
      <c r="H542" s="4"/>
      <c r="I542" s="4"/>
      <c r="J542" s="4"/>
      <c r="K542" s="4"/>
      <c r="L542" s="4"/>
      <c r="M542" s="4"/>
      <c r="N542" s="4"/>
      <c r="O542" s="4"/>
      <c r="P542" s="4"/>
      <c r="Q542" s="4"/>
      <c r="R542" s="4"/>
    </row>
    <row r="543" spans="1:18" ht="12.75" customHeight="1">
      <c r="A543" s="4"/>
      <c r="B543" s="4"/>
      <c r="C543" s="3"/>
      <c r="D543" s="4"/>
      <c r="E543" s="4"/>
      <c r="F543" s="4"/>
      <c r="G543" s="4"/>
      <c r="H543" s="4"/>
      <c r="I543" s="4"/>
      <c r="J543" s="4"/>
      <c r="K543" s="4"/>
      <c r="L543" s="4"/>
      <c r="M543" s="4"/>
      <c r="N543" s="4"/>
      <c r="O543" s="4"/>
      <c r="P543" s="4"/>
      <c r="Q543" s="4"/>
      <c r="R543" s="4"/>
    </row>
    <row r="544" spans="1:18" ht="12.75" customHeight="1">
      <c r="A544" s="4"/>
      <c r="B544" s="4"/>
      <c r="C544" s="3"/>
      <c r="D544" s="4"/>
      <c r="E544" s="4"/>
      <c r="F544" s="4"/>
      <c r="G544" s="4"/>
      <c r="H544" s="4"/>
      <c r="I544" s="4"/>
      <c r="J544" s="4"/>
      <c r="K544" s="4"/>
      <c r="L544" s="4"/>
      <c r="M544" s="4"/>
      <c r="N544" s="4"/>
      <c r="O544" s="4"/>
      <c r="P544" s="4"/>
      <c r="Q544" s="4"/>
      <c r="R544" s="4"/>
    </row>
    <row r="545" spans="1:18" ht="12.75" customHeight="1">
      <c r="A545" s="4"/>
      <c r="B545" s="4"/>
      <c r="C545" s="3"/>
      <c r="D545" s="4"/>
      <c r="E545" s="4"/>
      <c r="F545" s="4"/>
      <c r="G545" s="4"/>
      <c r="H545" s="4"/>
      <c r="I545" s="4"/>
      <c r="J545" s="4"/>
      <c r="K545" s="4"/>
      <c r="L545" s="4"/>
      <c r="M545" s="4"/>
      <c r="N545" s="4"/>
      <c r="O545" s="4"/>
      <c r="P545" s="4"/>
      <c r="Q545" s="4"/>
      <c r="R545" s="4"/>
    </row>
    <row r="546" spans="1:18" ht="12.75" customHeight="1">
      <c r="A546" s="4"/>
      <c r="B546" s="4"/>
      <c r="C546" s="3"/>
      <c r="D546" s="4"/>
      <c r="E546" s="4"/>
      <c r="F546" s="4"/>
      <c r="G546" s="4"/>
      <c r="H546" s="4"/>
      <c r="I546" s="4"/>
      <c r="J546" s="4"/>
      <c r="K546" s="4"/>
      <c r="L546" s="4"/>
      <c r="M546" s="4"/>
      <c r="N546" s="4"/>
      <c r="O546" s="4"/>
      <c r="P546" s="4"/>
      <c r="Q546" s="4"/>
      <c r="R546" s="4"/>
    </row>
    <row r="547" spans="1:18" ht="12.75" customHeight="1">
      <c r="A547" s="4"/>
      <c r="B547" s="4"/>
      <c r="C547" s="3"/>
      <c r="D547" s="4"/>
      <c r="E547" s="4"/>
      <c r="F547" s="4"/>
      <c r="G547" s="4"/>
      <c r="H547" s="4"/>
      <c r="I547" s="4"/>
      <c r="J547" s="4"/>
      <c r="K547" s="4"/>
      <c r="L547" s="4"/>
      <c r="M547" s="4"/>
      <c r="N547" s="4"/>
      <c r="O547" s="4"/>
      <c r="P547" s="4"/>
      <c r="Q547" s="4"/>
      <c r="R547" s="4"/>
    </row>
    <row r="548" spans="1:18" ht="12.75" customHeight="1">
      <c r="A548" s="4"/>
      <c r="B548" s="4"/>
      <c r="C548" s="3"/>
      <c r="D548" s="4"/>
      <c r="E548" s="4"/>
      <c r="F548" s="4"/>
      <c r="G548" s="4"/>
      <c r="H548" s="4"/>
      <c r="I548" s="4"/>
      <c r="J548" s="4"/>
      <c r="K548" s="4"/>
      <c r="L548" s="4"/>
      <c r="M548" s="4"/>
      <c r="N548" s="4"/>
      <c r="O548" s="4"/>
      <c r="P548" s="4"/>
      <c r="Q548" s="4"/>
      <c r="R548" s="4"/>
    </row>
    <row r="549" spans="1:18" ht="12.75" customHeight="1">
      <c r="A549" s="4"/>
      <c r="B549" s="4"/>
      <c r="C549" s="3"/>
      <c r="D549" s="4"/>
      <c r="E549" s="4"/>
      <c r="F549" s="4"/>
      <c r="G549" s="4"/>
      <c r="H549" s="4"/>
      <c r="I549" s="4"/>
      <c r="J549" s="4"/>
      <c r="K549" s="4"/>
      <c r="L549" s="4"/>
      <c r="M549" s="4"/>
      <c r="N549" s="4"/>
      <c r="O549" s="4"/>
      <c r="P549" s="4"/>
      <c r="Q549" s="4"/>
      <c r="R549" s="4"/>
    </row>
    <row r="550" spans="1:18" ht="12.75" customHeight="1">
      <c r="A550" s="4"/>
      <c r="B550" s="4"/>
      <c r="C550" s="3"/>
      <c r="D550" s="4"/>
      <c r="E550" s="4"/>
      <c r="F550" s="4"/>
      <c r="G550" s="4"/>
      <c r="H550" s="4"/>
      <c r="I550" s="4"/>
      <c r="J550" s="4"/>
      <c r="K550" s="4"/>
      <c r="L550" s="4"/>
      <c r="M550" s="4"/>
      <c r="N550" s="4"/>
      <c r="O550" s="4"/>
      <c r="P550" s="4"/>
      <c r="Q550" s="4"/>
      <c r="R550" s="4"/>
    </row>
    <row r="551" spans="1:18" ht="12.75" customHeight="1">
      <c r="A551" s="4"/>
      <c r="B551" s="4"/>
      <c r="C551" s="3"/>
      <c r="D551" s="4"/>
      <c r="E551" s="4"/>
      <c r="F551" s="4"/>
      <c r="G551" s="4"/>
      <c r="H551" s="4"/>
      <c r="I551" s="4"/>
      <c r="J551" s="4"/>
      <c r="K551" s="4"/>
      <c r="L551" s="4"/>
      <c r="M551" s="4"/>
      <c r="N551" s="4"/>
      <c r="O551" s="4"/>
      <c r="P551" s="4"/>
      <c r="Q551" s="4"/>
      <c r="R551" s="4"/>
    </row>
    <row r="552" spans="1:18" ht="12.75" customHeight="1">
      <c r="A552" s="4"/>
      <c r="B552" s="4"/>
      <c r="C552" s="3"/>
      <c r="D552" s="4"/>
      <c r="E552" s="4"/>
      <c r="F552" s="4"/>
      <c r="G552" s="4"/>
      <c r="H552" s="4"/>
      <c r="I552" s="4"/>
      <c r="J552" s="4"/>
      <c r="K552" s="4"/>
      <c r="L552" s="4"/>
      <c r="M552" s="4"/>
      <c r="N552" s="4"/>
      <c r="O552" s="4"/>
      <c r="P552" s="4"/>
      <c r="Q552" s="4"/>
      <c r="R552" s="4"/>
    </row>
    <row r="553" spans="1:18" ht="12.75" customHeight="1">
      <c r="A553" s="4"/>
      <c r="B553" s="4"/>
      <c r="C553" s="3"/>
      <c r="D553" s="4"/>
      <c r="E553" s="4"/>
      <c r="F553" s="4"/>
      <c r="G553" s="4"/>
      <c r="H553" s="4"/>
      <c r="I553" s="4"/>
      <c r="J553" s="4"/>
      <c r="K553" s="4"/>
      <c r="L553" s="4"/>
      <c r="M553" s="4"/>
      <c r="N553" s="4"/>
      <c r="O553" s="4"/>
      <c r="P553" s="4"/>
      <c r="Q553" s="4"/>
      <c r="R553" s="4"/>
    </row>
    <row r="554" spans="1:18" ht="12.75" customHeight="1">
      <c r="A554" s="4"/>
      <c r="B554" s="4"/>
      <c r="C554" s="3"/>
      <c r="D554" s="4"/>
      <c r="E554" s="4"/>
      <c r="F554" s="4"/>
      <c r="G554" s="4"/>
      <c r="H554" s="4"/>
      <c r="I554" s="4"/>
      <c r="J554" s="4"/>
      <c r="K554" s="4"/>
      <c r="L554" s="4"/>
      <c r="M554" s="4"/>
      <c r="N554" s="4"/>
      <c r="O554" s="4"/>
      <c r="P554" s="4"/>
      <c r="Q554" s="4"/>
      <c r="R554" s="4"/>
    </row>
    <row r="555" spans="1:18" ht="12.75" customHeight="1">
      <c r="A555" s="4"/>
      <c r="B555" s="4"/>
      <c r="C555" s="3"/>
      <c r="D555" s="4"/>
      <c r="E555" s="4"/>
      <c r="F555" s="4"/>
      <c r="G555" s="4"/>
      <c r="H555" s="4"/>
      <c r="I555" s="4"/>
      <c r="J555" s="4"/>
      <c r="K555" s="4"/>
      <c r="L555" s="4"/>
      <c r="M555" s="4"/>
      <c r="N555" s="4"/>
      <c r="O555" s="4"/>
      <c r="P555" s="4"/>
      <c r="Q555" s="4"/>
      <c r="R555" s="4"/>
    </row>
    <row r="556" spans="1:18" ht="12.75" customHeight="1">
      <c r="A556" s="4"/>
      <c r="B556" s="4"/>
      <c r="C556" s="3"/>
      <c r="D556" s="4"/>
      <c r="E556" s="4"/>
      <c r="F556" s="4"/>
      <c r="G556" s="4"/>
      <c r="H556" s="4"/>
      <c r="I556" s="4"/>
      <c r="J556" s="4"/>
      <c r="K556" s="4"/>
      <c r="L556" s="4"/>
      <c r="M556" s="4"/>
      <c r="N556" s="4"/>
      <c r="O556" s="4"/>
      <c r="P556" s="4"/>
      <c r="Q556" s="4"/>
      <c r="R556" s="4"/>
    </row>
    <row r="557" spans="1:18" ht="12.75" customHeight="1">
      <c r="A557" s="4"/>
      <c r="B557" s="4"/>
      <c r="C557" s="3"/>
      <c r="D557" s="4"/>
      <c r="E557" s="4"/>
      <c r="F557" s="4"/>
      <c r="G557" s="4"/>
      <c r="H557" s="4"/>
      <c r="I557" s="4"/>
      <c r="J557" s="4"/>
      <c r="K557" s="4"/>
      <c r="L557" s="4"/>
      <c r="M557" s="4"/>
      <c r="N557" s="4"/>
      <c r="O557" s="4"/>
      <c r="P557" s="4"/>
      <c r="Q557" s="4"/>
      <c r="R557" s="4"/>
    </row>
    <row r="558" spans="1:18" ht="12.75" customHeight="1">
      <c r="A558" s="4"/>
      <c r="B558" s="4"/>
      <c r="C558" s="3"/>
      <c r="D558" s="4"/>
      <c r="E558" s="4"/>
      <c r="F558" s="4"/>
      <c r="G558" s="4"/>
      <c r="H558" s="4"/>
      <c r="I558" s="4"/>
      <c r="J558" s="4"/>
      <c r="K558" s="4"/>
      <c r="L558" s="4"/>
      <c r="M558" s="4"/>
      <c r="N558" s="4"/>
      <c r="O558" s="4"/>
      <c r="P558" s="4"/>
      <c r="Q558" s="4"/>
      <c r="R558" s="4"/>
    </row>
    <row r="559" spans="1:18" ht="12.75" customHeight="1">
      <c r="A559" s="4"/>
      <c r="B559" s="4"/>
      <c r="C559" s="3"/>
      <c r="D559" s="4"/>
      <c r="E559" s="4"/>
      <c r="F559" s="4"/>
      <c r="G559" s="4"/>
      <c r="H559" s="4"/>
      <c r="I559" s="4"/>
      <c r="J559" s="4"/>
      <c r="K559" s="4"/>
      <c r="L559" s="4"/>
      <c r="M559" s="4"/>
      <c r="N559" s="4"/>
      <c r="O559" s="4"/>
      <c r="P559" s="4"/>
      <c r="Q559" s="4"/>
      <c r="R559" s="4"/>
    </row>
    <row r="560" spans="1:18" ht="12.75" customHeight="1">
      <c r="A560" s="4"/>
      <c r="B560" s="4"/>
      <c r="C560" s="3"/>
      <c r="D560" s="4"/>
      <c r="E560" s="4"/>
      <c r="F560" s="4"/>
      <c r="G560" s="4"/>
      <c r="H560" s="4"/>
      <c r="I560" s="4"/>
      <c r="J560" s="4"/>
      <c r="K560" s="4"/>
      <c r="L560" s="4"/>
      <c r="M560" s="4"/>
      <c r="N560" s="4"/>
      <c r="O560" s="4"/>
      <c r="P560" s="4"/>
      <c r="Q560" s="4"/>
      <c r="R560" s="4"/>
    </row>
    <row r="561" spans="1:18" ht="12.75" customHeight="1">
      <c r="A561" s="4"/>
      <c r="B561" s="4"/>
      <c r="C561" s="3"/>
      <c r="D561" s="4"/>
      <c r="E561" s="4"/>
      <c r="F561" s="4"/>
      <c r="G561" s="4"/>
      <c r="H561" s="4"/>
      <c r="I561" s="4"/>
      <c r="J561" s="4"/>
      <c r="K561" s="4"/>
      <c r="L561" s="4"/>
      <c r="M561" s="4"/>
      <c r="N561" s="4"/>
      <c r="O561" s="4"/>
      <c r="P561" s="4"/>
      <c r="Q561" s="4"/>
      <c r="R561" s="4"/>
    </row>
    <row r="562" spans="1:18" ht="12.75" customHeight="1">
      <c r="A562" s="4"/>
      <c r="B562" s="4"/>
      <c r="C562" s="3"/>
      <c r="D562" s="4"/>
      <c r="E562" s="4"/>
      <c r="F562" s="4"/>
      <c r="G562" s="4"/>
      <c r="H562" s="4"/>
      <c r="I562" s="4"/>
      <c r="J562" s="4"/>
      <c r="K562" s="4"/>
      <c r="L562" s="4"/>
      <c r="M562" s="4"/>
      <c r="N562" s="4"/>
      <c r="O562" s="4"/>
      <c r="P562" s="4"/>
      <c r="Q562" s="4"/>
      <c r="R562" s="4"/>
    </row>
    <row r="563" spans="1:18" ht="12.75" customHeight="1">
      <c r="A563" s="4"/>
      <c r="B563" s="4"/>
      <c r="C563" s="3"/>
      <c r="D563" s="4"/>
      <c r="E563" s="4"/>
      <c r="F563" s="4"/>
      <c r="G563" s="4"/>
      <c r="H563" s="4"/>
      <c r="I563" s="4"/>
      <c r="J563" s="4"/>
      <c r="K563" s="4"/>
      <c r="L563" s="4"/>
      <c r="M563" s="4"/>
      <c r="N563" s="4"/>
      <c r="O563" s="4"/>
      <c r="P563" s="4"/>
      <c r="Q563" s="4"/>
      <c r="R563" s="4"/>
    </row>
    <row r="564" spans="1:18" ht="12.75" customHeight="1">
      <c r="A564" s="4"/>
      <c r="B564" s="4"/>
      <c r="C564" s="3"/>
      <c r="D564" s="4"/>
      <c r="E564" s="4"/>
      <c r="F564" s="4"/>
      <c r="G564" s="4"/>
      <c r="H564" s="4"/>
      <c r="I564" s="4"/>
      <c r="J564" s="4"/>
      <c r="K564" s="4"/>
      <c r="L564" s="4"/>
      <c r="M564" s="4"/>
      <c r="N564" s="4"/>
      <c r="O564" s="4"/>
      <c r="P564" s="4"/>
      <c r="Q564" s="4"/>
      <c r="R564" s="4"/>
    </row>
    <row r="565" spans="1:18" ht="12.75" customHeight="1">
      <c r="A565" s="4"/>
      <c r="B565" s="4"/>
      <c r="C565" s="3"/>
      <c r="D565" s="4"/>
      <c r="E565" s="4"/>
      <c r="F565" s="4"/>
      <c r="G565" s="4"/>
      <c r="H565" s="4"/>
      <c r="I565" s="4"/>
      <c r="J565" s="4"/>
      <c r="K565" s="4"/>
      <c r="L565" s="4"/>
      <c r="M565" s="4"/>
      <c r="N565" s="4"/>
      <c r="O565" s="4"/>
      <c r="P565" s="4"/>
      <c r="Q565" s="4"/>
      <c r="R565" s="4"/>
    </row>
    <row r="566" spans="1:18" ht="12.75" customHeight="1">
      <c r="A566" s="4"/>
      <c r="B566" s="4"/>
      <c r="C566" s="3"/>
      <c r="D566" s="4"/>
      <c r="E566" s="4"/>
      <c r="F566" s="4"/>
      <c r="G566" s="4"/>
      <c r="H566" s="4"/>
      <c r="I566" s="4"/>
      <c r="J566" s="4"/>
      <c r="K566" s="4"/>
      <c r="L566" s="4"/>
      <c r="M566" s="4"/>
      <c r="N566" s="4"/>
      <c r="O566" s="4"/>
      <c r="P566" s="4"/>
      <c r="Q566" s="4"/>
      <c r="R566" s="4"/>
    </row>
    <row r="567" spans="1:18" ht="12.75" customHeight="1">
      <c r="A567" s="4"/>
      <c r="B567" s="4"/>
      <c r="C567" s="3"/>
      <c r="D567" s="4"/>
      <c r="E567" s="4"/>
      <c r="F567" s="4"/>
      <c r="G567" s="4"/>
      <c r="H567" s="4"/>
      <c r="I567" s="4"/>
      <c r="J567" s="4"/>
      <c r="K567" s="4"/>
      <c r="L567" s="4"/>
      <c r="M567" s="4"/>
      <c r="N567" s="4"/>
      <c r="O567" s="4"/>
      <c r="P567" s="4"/>
      <c r="Q567" s="4"/>
      <c r="R567" s="4"/>
    </row>
    <row r="568" spans="1:18" ht="12.75" customHeight="1">
      <c r="A568" s="4"/>
      <c r="B568" s="4"/>
      <c r="C568" s="3"/>
      <c r="D568" s="4"/>
      <c r="E568" s="4"/>
      <c r="F568" s="4"/>
      <c r="G568" s="4"/>
      <c r="H568" s="4"/>
      <c r="I568" s="4"/>
      <c r="J568" s="4"/>
      <c r="K568" s="4"/>
      <c r="L568" s="4"/>
      <c r="M568" s="4"/>
      <c r="N568" s="4"/>
      <c r="O568" s="4"/>
      <c r="P568" s="4"/>
      <c r="Q568" s="4"/>
      <c r="R568" s="4"/>
    </row>
    <row r="569" spans="1:18" ht="12.75" customHeight="1">
      <c r="A569" s="4"/>
      <c r="B569" s="4"/>
      <c r="C569" s="3"/>
      <c r="D569" s="4"/>
      <c r="E569" s="4"/>
      <c r="F569" s="4"/>
      <c r="G569" s="4"/>
      <c r="H569" s="4"/>
      <c r="I569" s="4"/>
      <c r="J569" s="4"/>
      <c r="K569" s="4"/>
      <c r="L569" s="4"/>
      <c r="M569" s="4"/>
      <c r="N569" s="4"/>
      <c r="O569" s="4"/>
      <c r="P569" s="4"/>
      <c r="Q569" s="4"/>
      <c r="R569" s="4"/>
    </row>
    <row r="570" spans="1:18" ht="12.75" customHeight="1">
      <c r="A570" s="4"/>
      <c r="B570" s="4"/>
      <c r="C570" s="3"/>
      <c r="D570" s="4"/>
      <c r="E570" s="4"/>
      <c r="F570" s="4"/>
      <c r="G570" s="4"/>
      <c r="H570" s="4"/>
      <c r="I570" s="4"/>
      <c r="J570" s="4"/>
      <c r="K570" s="4"/>
      <c r="L570" s="4"/>
      <c r="M570" s="4"/>
      <c r="N570" s="4"/>
      <c r="O570" s="4"/>
      <c r="P570" s="4"/>
      <c r="Q570" s="4"/>
      <c r="R570" s="4"/>
    </row>
    <row r="571" spans="1:18" ht="12.75" customHeight="1">
      <c r="A571" s="4"/>
      <c r="B571" s="4"/>
      <c r="C571" s="3"/>
      <c r="D571" s="4"/>
      <c r="E571" s="4"/>
      <c r="F571" s="4"/>
      <c r="G571" s="4"/>
      <c r="H571" s="4"/>
      <c r="I571" s="4"/>
      <c r="J571" s="4"/>
      <c r="K571" s="4"/>
      <c r="L571" s="4"/>
      <c r="M571" s="4"/>
      <c r="N571" s="4"/>
      <c r="O571" s="4"/>
      <c r="P571" s="4"/>
      <c r="Q571" s="4"/>
      <c r="R571" s="4"/>
    </row>
    <row r="572" spans="1:18" ht="12.75" customHeight="1">
      <c r="A572" s="4"/>
      <c r="B572" s="4"/>
      <c r="C572" s="3"/>
      <c r="D572" s="4"/>
      <c r="E572" s="4"/>
      <c r="F572" s="4"/>
      <c r="G572" s="4"/>
      <c r="H572" s="4"/>
      <c r="I572" s="4"/>
      <c r="J572" s="4"/>
      <c r="K572" s="4"/>
      <c r="L572" s="4"/>
      <c r="M572" s="4"/>
      <c r="N572" s="4"/>
      <c r="O572" s="4"/>
      <c r="P572" s="4"/>
      <c r="Q572" s="4"/>
      <c r="R572" s="4"/>
    </row>
    <row r="573" spans="1:18" ht="12.75" customHeight="1">
      <c r="A573" s="4"/>
      <c r="B573" s="4"/>
      <c r="C573" s="3"/>
      <c r="D573" s="4"/>
      <c r="E573" s="4"/>
      <c r="F573" s="4"/>
      <c r="G573" s="4"/>
      <c r="H573" s="4"/>
      <c r="I573" s="4"/>
      <c r="J573" s="4"/>
      <c r="K573" s="4"/>
      <c r="L573" s="4"/>
      <c r="M573" s="4"/>
      <c r="N573" s="4"/>
      <c r="O573" s="4"/>
      <c r="P573" s="4"/>
      <c r="Q573" s="4"/>
      <c r="R573" s="4"/>
    </row>
    <row r="574" spans="1:18" ht="12.75" customHeight="1">
      <c r="A574" s="4"/>
      <c r="B574" s="4"/>
      <c r="C574" s="3"/>
      <c r="D574" s="4"/>
      <c r="E574" s="4"/>
      <c r="F574" s="4"/>
      <c r="G574" s="4"/>
      <c r="H574" s="4"/>
      <c r="I574" s="4"/>
      <c r="J574" s="4"/>
      <c r="K574" s="4"/>
      <c r="L574" s="4"/>
      <c r="M574" s="4"/>
      <c r="N574" s="4"/>
      <c r="O574" s="4"/>
      <c r="P574" s="4"/>
      <c r="Q574" s="4"/>
      <c r="R574" s="4"/>
    </row>
    <row r="575" spans="1:18" ht="12.75" customHeight="1">
      <c r="A575" s="4"/>
      <c r="B575" s="4"/>
      <c r="C575" s="3"/>
      <c r="D575" s="4"/>
      <c r="E575" s="4"/>
      <c r="F575" s="4"/>
      <c r="G575" s="4"/>
      <c r="H575" s="4"/>
      <c r="I575" s="4"/>
      <c r="J575" s="4"/>
      <c r="K575" s="4"/>
      <c r="L575" s="4"/>
      <c r="M575" s="4"/>
      <c r="N575" s="4"/>
      <c r="O575" s="4"/>
      <c r="P575" s="4"/>
      <c r="Q575" s="4"/>
      <c r="R575" s="4"/>
    </row>
    <row r="576" spans="1:18" ht="12.75" customHeight="1">
      <c r="A576" s="4"/>
      <c r="B576" s="4"/>
      <c r="C576" s="3"/>
      <c r="D576" s="4"/>
      <c r="E576" s="4"/>
      <c r="F576" s="4"/>
      <c r="G576" s="4"/>
      <c r="H576" s="4"/>
      <c r="I576" s="4"/>
      <c r="J576" s="4"/>
      <c r="K576" s="4"/>
      <c r="L576" s="4"/>
      <c r="M576" s="4"/>
      <c r="N576" s="4"/>
      <c r="O576" s="4"/>
      <c r="P576" s="4"/>
      <c r="Q576" s="4"/>
      <c r="R576" s="4"/>
    </row>
    <row r="577" spans="1:18" ht="12.75" customHeight="1">
      <c r="A577" s="4"/>
      <c r="B577" s="4"/>
      <c r="C577" s="3"/>
      <c r="D577" s="4"/>
      <c r="E577" s="4"/>
      <c r="F577" s="4"/>
      <c r="G577" s="4"/>
      <c r="H577" s="4"/>
      <c r="I577" s="4"/>
      <c r="J577" s="4"/>
      <c r="K577" s="4"/>
      <c r="L577" s="4"/>
      <c r="M577" s="4"/>
      <c r="N577" s="4"/>
      <c r="O577" s="4"/>
      <c r="P577" s="4"/>
      <c r="Q577" s="4"/>
      <c r="R577" s="4"/>
    </row>
    <row r="578" spans="1:18" ht="12.75" customHeight="1">
      <c r="A578" s="4"/>
      <c r="B578" s="4"/>
      <c r="C578" s="3"/>
      <c r="D578" s="4"/>
      <c r="E578" s="4"/>
      <c r="F578" s="4"/>
      <c r="G578" s="4"/>
      <c r="H578" s="4"/>
      <c r="I578" s="4"/>
      <c r="J578" s="4"/>
      <c r="K578" s="4"/>
      <c r="L578" s="4"/>
      <c r="M578" s="4"/>
      <c r="N578" s="4"/>
      <c r="O578" s="4"/>
      <c r="P578" s="4"/>
      <c r="Q578" s="4"/>
      <c r="R578" s="4"/>
    </row>
    <row r="579" spans="1:18" ht="12.75" customHeight="1">
      <c r="A579" s="4"/>
      <c r="B579" s="4"/>
      <c r="C579" s="3"/>
      <c r="D579" s="4"/>
      <c r="E579" s="4"/>
      <c r="F579" s="4"/>
      <c r="G579" s="4"/>
      <c r="H579" s="4"/>
      <c r="I579" s="4"/>
      <c r="J579" s="4"/>
      <c r="K579" s="4"/>
      <c r="L579" s="4"/>
      <c r="M579" s="4"/>
      <c r="N579" s="4"/>
      <c r="O579" s="4"/>
      <c r="P579" s="4"/>
      <c r="Q579" s="4"/>
      <c r="R579" s="4"/>
    </row>
    <row r="580" spans="1:18" ht="12.75" customHeight="1">
      <c r="A580" s="4"/>
      <c r="B580" s="4"/>
      <c r="C580" s="3"/>
      <c r="D580" s="4"/>
      <c r="E580" s="4"/>
      <c r="F580" s="4"/>
      <c r="G580" s="4"/>
      <c r="H580" s="4"/>
      <c r="I580" s="4"/>
      <c r="J580" s="4"/>
      <c r="K580" s="4"/>
      <c r="L580" s="4"/>
      <c r="M580" s="4"/>
      <c r="N580" s="4"/>
      <c r="O580" s="4"/>
      <c r="P580" s="4"/>
      <c r="Q580" s="4"/>
      <c r="R580" s="4"/>
    </row>
    <row r="581" spans="1:18" ht="12.75" customHeight="1">
      <c r="A581" s="4"/>
      <c r="B581" s="4"/>
      <c r="C581" s="3"/>
      <c r="D581" s="4"/>
      <c r="E581" s="4"/>
      <c r="F581" s="4"/>
      <c r="G581" s="4"/>
      <c r="H581" s="4"/>
      <c r="I581" s="4"/>
      <c r="J581" s="4"/>
      <c r="K581" s="4"/>
      <c r="L581" s="4"/>
      <c r="M581" s="4"/>
      <c r="N581" s="4"/>
      <c r="O581" s="4"/>
      <c r="P581" s="4"/>
      <c r="Q581" s="4"/>
      <c r="R581" s="4"/>
    </row>
    <row r="582" spans="1:18" ht="12.75" customHeight="1">
      <c r="A582" s="4"/>
      <c r="B582" s="4"/>
      <c r="C582" s="3"/>
      <c r="D582" s="4"/>
      <c r="E582" s="4"/>
      <c r="F582" s="4"/>
      <c r="G582" s="4"/>
      <c r="H582" s="4"/>
      <c r="I582" s="4"/>
      <c r="J582" s="4"/>
      <c r="K582" s="4"/>
      <c r="L582" s="4"/>
      <c r="M582" s="4"/>
      <c r="N582" s="4"/>
      <c r="O582" s="4"/>
      <c r="P582" s="4"/>
      <c r="Q582" s="4"/>
      <c r="R582" s="4"/>
    </row>
    <row r="583" spans="1:18" ht="12.75" customHeight="1">
      <c r="A583" s="4"/>
      <c r="B583" s="4"/>
      <c r="C583" s="3"/>
      <c r="D583" s="4"/>
      <c r="E583" s="4"/>
      <c r="F583" s="4"/>
      <c r="G583" s="4"/>
      <c r="H583" s="4"/>
      <c r="I583" s="4"/>
      <c r="J583" s="4"/>
      <c r="K583" s="4"/>
      <c r="L583" s="4"/>
      <c r="M583" s="4"/>
      <c r="N583" s="4"/>
      <c r="O583" s="4"/>
      <c r="P583" s="4"/>
      <c r="Q583" s="4"/>
      <c r="R583" s="4"/>
    </row>
    <row r="584" spans="1:18" ht="12.75" customHeight="1">
      <c r="A584" s="4"/>
      <c r="B584" s="4"/>
      <c r="C584" s="3"/>
      <c r="D584" s="4"/>
      <c r="E584" s="4"/>
      <c r="F584" s="4"/>
      <c r="G584" s="4"/>
      <c r="H584" s="4"/>
      <c r="I584" s="4"/>
      <c r="J584" s="4"/>
      <c r="K584" s="4"/>
      <c r="L584" s="4"/>
      <c r="M584" s="4"/>
      <c r="N584" s="4"/>
      <c r="O584" s="4"/>
      <c r="P584" s="4"/>
      <c r="Q584" s="4"/>
      <c r="R584" s="4"/>
    </row>
    <row r="585" spans="1:18" ht="12.75" customHeight="1">
      <c r="A585" s="4"/>
      <c r="B585" s="4"/>
      <c r="C585" s="3"/>
      <c r="D585" s="4"/>
      <c r="E585" s="4"/>
      <c r="F585" s="4"/>
      <c r="G585" s="4"/>
      <c r="H585" s="4"/>
      <c r="I585" s="4"/>
      <c r="J585" s="4"/>
      <c r="K585" s="4"/>
      <c r="L585" s="4"/>
      <c r="M585" s="4"/>
      <c r="N585" s="4"/>
      <c r="O585" s="4"/>
      <c r="P585" s="4"/>
      <c r="Q585" s="4"/>
      <c r="R585" s="4"/>
    </row>
    <row r="586" spans="1:18" ht="12.75" customHeight="1">
      <c r="A586" s="4"/>
      <c r="B586" s="4"/>
      <c r="C586" s="3"/>
      <c r="D586" s="4"/>
      <c r="E586" s="4"/>
      <c r="F586" s="4"/>
      <c r="G586" s="4"/>
      <c r="H586" s="4"/>
      <c r="I586" s="4"/>
      <c r="J586" s="4"/>
      <c r="K586" s="4"/>
      <c r="L586" s="4"/>
      <c r="M586" s="4"/>
      <c r="N586" s="4"/>
      <c r="O586" s="4"/>
      <c r="P586" s="4"/>
      <c r="Q586" s="4"/>
      <c r="R586" s="4"/>
    </row>
    <row r="587" spans="1:18" ht="12.75" customHeight="1">
      <c r="A587" s="4"/>
      <c r="B587" s="4"/>
      <c r="C587" s="3"/>
      <c r="D587" s="4"/>
      <c r="E587" s="4"/>
      <c r="F587" s="4"/>
      <c r="G587" s="4"/>
      <c r="H587" s="4"/>
      <c r="I587" s="4"/>
      <c r="J587" s="4"/>
      <c r="K587" s="4"/>
      <c r="L587" s="4"/>
      <c r="M587" s="4"/>
      <c r="N587" s="4"/>
      <c r="O587" s="4"/>
      <c r="P587" s="4"/>
      <c r="Q587" s="4"/>
      <c r="R587" s="4"/>
    </row>
    <row r="588" spans="1:18" ht="12.75" customHeight="1">
      <c r="A588" s="4"/>
      <c r="B588" s="4"/>
      <c r="C588" s="3"/>
      <c r="D588" s="4"/>
      <c r="E588" s="4"/>
      <c r="F588" s="4"/>
      <c r="G588" s="4"/>
      <c r="H588" s="4"/>
      <c r="I588" s="4"/>
      <c r="J588" s="4"/>
      <c r="K588" s="4"/>
      <c r="L588" s="4"/>
      <c r="M588" s="4"/>
      <c r="N588" s="4"/>
      <c r="O588" s="4"/>
      <c r="P588" s="4"/>
      <c r="Q588" s="4"/>
      <c r="R588" s="4"/>
    </row>
    <row r="589" spans="1:18" ht="12.75" customHeight="1">
      <c r="A589" s="4"/>
      <c r="B589" s="4"/>
      <c r="C589" s="3"/>
      <c r="D589" s="4"/>
      <c r="E589" s="4"/>
      <c r="F589" s="4"/>
      <c r="G589" s="4"/>
      <c r="H589" s="4"/>
      <c r="I589" s="4"/>
      <c r="J589" s="4"/>
      <c r="K589" s="4"/>
      <c r="L589" s="4"/>
      <c r="M589" s="4"/>
      <c r="N589" s="4"/>
      <c r="O589" s="4"/>
      <c r="P589" s="4"/>
      <c r="Q589" s="4"/>
      <c r="R589" s="4"/>
    </row>
    <row r="590" spans="1:18" ht="12.75" customHeight="1">
      <c r="A590" s="4"/>
      <c r="B590" s="4"/>
      <c r="C590" s="3"/>
      <c r="D590" s="4"/>
      <c r="E590" s="4"/>
      <c r="F590" s="4"/>
      <c r="G590" s="4"/>
      <c r="H590" s="4"/>
      <c r="I590" s="4"/>
      <c r="J590" s="4"/>
      <c r="K590" s="4"/>
      <c r="L590" s="4"/>
      <c r="M590" s="4"/>
      <c r="N590" s="4"/>
      <c r="O590" s="4"/>
      <c r="P590" s="4"/>
      <c r="Q590" s="4"/>
      <c r="R590" s="4"/>
    </row>
    <row r="591" spans="1:18" ht="12.75" customHeight="1">
      <c r="A591" s="4"/>
      <c r="B591" s="4"/>
      <c r="C591" s="3"/>
      <c r="D591" s="4"/>
      <c r="E591" s="4"/>
      <c r="F591" s="4"/>
      <c r="G591" s="4"/>
      <c r="H591" s="4"/>
      <c r="I591" s="4"/>
      <c r="J591" s="4"/>
      <c r="K591" s="4"/>
      <c r="L591" s="4"/>
      <c r="M591" s="4"/>
      <c r="N591" s="4"/>
      <c r="O591" s="4"/>
      <c r="P591" s="4"/>
      <c r="Q591" s="4"/>
      <c r="R591" s="4"/>
    </row>
    <row r="592" spans="1:18" ht="12.75" customHeight="1">
      <c r="A592" s="4"/>
      <c r="B592" s="4"/>
      <c r="C592" s="3"/>
      <c r="D592" s="4"/>
      <c r="E592" s="4"/>
      <c r="F592" s="4"/>
      <c r="G592" s="4"/>
      <c r="H592" s="4"/>
      <c r="I592" s="4"/>
      <c r="J592" s="4"/>
      <c r="K592" s="4"/>
      <c r="L592" s="4"/>
      <c r="M592" s="4"/>
      <c r="N592" s="4"/>
      <c r="O592" s="4"/>
      <c r="P592" s="4"/>
      <c r="Q592" s="4"/>
      <c r="R592" s="4"/>
    </row>
    <row r="593" spans="1:18" ht="12.75" customHeight="1">
      <c r="A593" s="4"/>
      <c r="B593" s="4"/>
      <c r="C593" s="3"/>
      <c r="D593" s="4"/>
      <c r="E593" s="4"/>
      <c r="F593" s="4"/>
      <c r="G593" s="4"/>
      <c r="H593" s="4"/>
      <c r="I593" s="4"/>
      <c r="J593" s="4"/>
      <c r="K593" s="4"/>
      <c r="L593" s="4"/>
      <c r="M593" s="4"/>
      <c r="N593" s="4"/>
      <c r="O593" s="4"/>
      <c r="P593" s="4"/>
      <c r="Q593" s="4"/>
      <c r="R593" s="4"/>
    </row>
    <row r="594" spans="1:18" ht="12.75" customHeight="1">
      <c r="A594" s="4"/>
      <c r="B594" s="4"/>
      <c r="C594" s="3"/>
      <c r="D594" s="4"/>
      <c r="E594" s="4"/>
      <c r="F594" s="4"/>
      <c r="G594" s="4"/>
      <c r="H594" s="4"/>
      <c r="I594" s="4"/>
      <c r="J594" s="4"/>
      <c r="K594" s="4"/>
      <c r="L594" s="4"/>
      <c r="M594" s="4"/>
      <c r="N594" s="4"/>
      <c r="O594" s="4"/>
      <c r="P594" s="4"/>
      <c r="Q594" s="4"/>
      <c r="R594" s="4"/>
    </row>
    <row r="595" spans="1:18" ht="12.75" customHeight="1">
      <c r="A595" s="4"/>
      <c r="B595" s="4"/>
      <c r="C595" s="3"/>
      <c r="D595" s="4"/>
      <c r="E595" s="4"/>
      <c r="F595" s="4"/>
      <c r="G595" s="4"/>
      <c r="H595" s="4"/>
      <c r="I595" s="4"/>
      <c r="J595" s="4"/>
      <c r="K595" s="4"/>
      <c r="L595" s="4"/>
      <c r="M595" s="4"/>
      <c r="N595" s="4"/>
      <c r="O595" s="4"/>
      <c r="P595" s="4"/>
      <c r="Q595" s="4"/>
      <c r="R595" s="4"/>
    </row>
    <row r="596" spans="1:18" ht="12.75" customHeight="1">
      <c r="A596" s="4"/>
      <c r="B596" s="4"/>
      <c r="C596" s="3"/>
      <c r="D596" s="4"/>
      <c r="E596" s="4"/>
      <c r="F596" s="4"/>
      <c r="G596" s="4"/>
      <c r="H596" s="4"/>
      <c r="I596" s="4"/>
      <c r="J596" s="4"/>
      <c r="K596" s="4"/>
      <c r="L596" s="4"/>
      <c r="M596" s="4"/>
      <c r="N596" s="4"/>
      <c r="O596" s="4"/>
      <c r="P596" s="4"/>
      <c r="Q596" s="4"/>
      <c r="R596" s="4"/>
    </row>
    <row r="597" spans="1:18" ht="12.75" customHeight="1">
      <c r="A597" s="4"/>
      <c r="B597" s="4"/>
      <c r="C597" s="3"/>
      <c r="D597" s="4"/>
      <c r="E597" s="4"/>
      <c r="F597" s="4"/>
      <c r="G597" s="4"/>
      <c r="H597" s="4"/>
      <c r="I597" s="4"/>
      <c r="J597" s="4"/>
      <c r="K597" s="4"/>
      <c r="L597" s="4"/>
      <c r="M597" s="4"/>
      <c r="N597" s="4"/>
      <c r="O597" s="4"/>
      <c r="P597" s="4"/>
      <c r="Q597" s="4"/>
      <c r="R597" s="4"/>
    </row>
    <row r="598" spans="1:18" ht="12.75" customHeight="1">
      <c r="A598" s="4"/>
      <c r="B598" s="4"/>
      <c r="C598" s="3"/>
      <c r="D598" s="4"/>
      <c r="E598" s="4"/>
      <c r="F598" s="4"/>
      <c r="G598" s="4"/>
      <c r="H598" s="4"/>
      <c r="I598" s="4"/>
      <c r="J598" s="4"/>
      <c r="K598" s="4"/>
      <c r="L598" s="4"/>
      <c r="M598" s="4"/>
      <c r="N598" s="4"/>
      <c r="O598" s="4"/>
      <c r="P598" s="4"/>
      <c r="Q598" s="4"/>
      <c r="R598" s="4"/>
    </row>
    <row r="599" spans="1:18" ht="12.75" customHeight="1">
      <c r="A599" s="4"/>
      <c r="B599" s="4"/>
      <c r="C599" s="3"/>
      <c r="D599" s="4"/>
      <c r="E599" s="4"/>
      <c r="F599" s="4"/>
      <c r="G599" s="4"/>
      <c r="H599" s="4"/>
      <c r="I599" s="4"/>
      <c r="J599" s="4"/>
      <c r="K599" s="4"/>
      <c r="L599" s="4"/>
      <c r="M599" s="4"/>
      <c r="N599" s="4"/>
      <c r="O599" s="4"/>
      <c r="P599" s="4"/>
      <c r="Q599" s="4"/>
      <c r="R599" s="4"/>
    </row>
    <row r="600" spans="1:18" ht="12.75" customHeight="1">
      <c r="A600" s="4"/>
      <c r="B600" s="4"/>
      <c r="C600" s="3"/>
      <c r="D600" s="4"/>
      <c r="E600" s="4"/>
      <c r="F600" s="4"/>
      <c r="G600" s="4"/>
      <c r="H600" s="4"/>
      <c r="I600" s="4"/>
      <c r="J600" s="4"/>
      <c r="K600" s="4"/>
      <c r="L600" s="4"/>
      <c r="M600" s="4"/>
      <c r="N600" s="4"/>
      <c r="O600" s="4"/>
      <c r="P600" s="4"/>
      <c r="Q600" s="4"/>
      <c r="R600" s="4"/>
    </row>
    <row r="601" spans="1:18" ht="12.75" customHeight="1">
      <c r="A601" s="4"/>
      <c r="B601" s="4"/>
      <c r="C601" s="3"/>
      <c r="D601" s="4"/>
      <c r="E601" s="4"/>
      <c r="F601" s="4"/>
      <c r="G601" s="4"/>
      <c r="H601" s="4"/>
      <c r="I601" s="4"/>
      <c r="J601" s="4"/>
      <c r="K601" s="4"/>
      <c r="L601" s="4"/>
      <c r="M601" s="4"/>
      <c r="N601" s="4"/>
      <c r="O601" s="4"/>
      <c r="P601" s="4"/>
      <c r="Q601" s="4"/>
      <c r="R601" s="4"/>
    </row>
    <row r="602" spans="1:18" ht="12.75" customHeight="1">
      <c r="A602" s="4"/>
      <c r="B602" s="4"/>
      <c r="C602" s="3"/>
      <c r="D602" s="4"/>
      <c r="E602" s="4"/>
      <c r="F602" s="4"/>
      <c r="G602" s="4"/>
      <c r="H602" s="4"/>
      <c r="I602" s="4"/>
      <c r="J602" s="4"/>
      <c r="K602" s="4"/>
      <c r="L602" s="4"/>
      <c r="M602" s="4"/>
      <c r="N602" s="4"/>
      <c r="O602" s="4"/>
      <c r="P602" s="4"/>
      <c r="Q602" s="4"/>
      <c r="R602" s="4"/>
    </row>
    <row r="603" spans="1:18" ht="12.75" customHeight="1">
      <c r="A603" s="4"/>
      <c r="B603" s="4"/>
      <c r="C603" s="3"/>
      <c r="D603" s="4"/>
      <c r="E603" s="4"/>
      <c r="F603" s="4"/>
      <c r="G603" s="4"/>
      <c r="H603" s="4"/>
      <c r="I603" s="4"/>
      <c r="J603" s="4"/>
      <c r="K603" s="4"/>
      <c r="L603" s="4"/>
      <c r="M603" s="4"/>
      <c r="N603" s="4"/>
      <c r="O603" s="4"/>
      <c r="P603" s="4"/>
      <c r="Q603" s="4"/>
      <c r="R603" s="4"/>
    </row>
    <row r="604" spans="1:18" ht="12.75" customHeight="1">
      <c r="A604" s="4"/>
      <c r="B604" s="4"/>
      <c r="C604" s="3"/>
      <c r="D604" s="4"/>
      <c r="E604" s="4"/>
      <c r="F604" s="4"/>
      <c r="G604" s="4"/>
      <c r="H604" s="4"/>
      <c r="I604" s="4"/>
      <c r="J604" s="4"/>
      <c r="K604" s="4"/>
      <c r="L604" s="4"/>
      <c r="M604" s="4"/>
      <c r="N604" s="4"/>
      <c r="O604" s="4"/>
      <c r="P604" s="4"/>
      <c r="Q604" s="4"/>
      <c r="R604" s="4"/>
    </row>
    <row r="605" spans="1:18" ht="12.75" customHeight="1">
      <c r="A605" s="4"/>
      <c r="B605" s="4"/>
      <c r="C605" s="3"/>
      <c r="D605" s="4"/>
      <c r="E605" s="4"/>
      <c r="F605" s="4"/>
      <c r="G605" s="4"/>
      <c r="H605" s="4"/>
      <c r="I605" s="4"/>
      <c r="J605" s="4"/>
      <c r="K605" s="4"/>
      <c r="L605" s="4"/>
      <c r="M605" s="4"/>
      <c r="N605" s="4"/>
      <c r="O605" s="4"/>
      <c r="P605" s="4"/>
      <c r="Q605" s="4"/>
      <c r="R605" s="4"/>
    </row>
    <row r="606" spans="1:18" ht="12.75" customHeight="1">
      <c r="A606" s="4"/>
      <c r="B606" s="4"/>
      <c r="C606" s="3"/>
      <c r="D606" s="4"/>
      <c r="E606" s="4"/>
      <c r="F606" s="4"/>
      <c r="G606" s="4"/>
      <c r="H606" s="4"/>
      <c r="I606" s="4"/>
      <c r="J606" s="4"/>
      <c r="K606" s="4"/>
      <c r="L606" s="4"/>
      <c r="M606" s="4"/>
      <c r="N606" s="4"/>
      <c r="O606" s="4"/>
      <c r="P606" s="4"/>
      <c r="Q606" s="4"/>
      <c r="R606" s="4"/>
    </row>
    <row r="607" spans="1:18" ht="12.75" customHeight="1">
      <c r="A607" s="4"/>
      <c r="B607" s="4"/>
      <c r="C607" s="3"/>
      <c r="D607" s="4"/>
      <c r="E607" s="4"/>
      <c r="F607" s="4"/>
      <c r="G607" s="4"/>
      <c r="H607" s="4"/>
      <c r="I607" s="4"/>
      <c r="J607" s="4"/>
      <c r="K607" s="4"/>
      <c r="L607" s="4"/>
      <c r="M607" s="4"/>
      <c r="N607" s="4"/>
      <c r="O607" s="4"/>
      <c r="P607" s="4"/>
      <c r="Q607" s="4"/>
      <c r="R607" s="4"/>
    </row>
    <row r="608" spans="1:18" ht="12.75" customHeight="1">
      <c r="A608" s="4"/>
      <c r="B608" s="4"/>
      <c r="C608" s="3"/>
      <c r="D608" s="4"/>
      <c r="E608" s="4"/>
      <c r="F608" s="4"/>
      <c r="G608" s="4"/>
      <c r="H608" s="4"/>
      <c r="I608" s="4"/>
      <c r="J608" s="4"/>
      <c r="K608" s="4"/>
      <c r="L608" s="4"/>
      <c r="M608" s="4"/>
      <c r="N608" s="4"/>
      <c r="O608" s="4"/>
      <c r="P608" s="4"/>
      <c r="Q608" s="4"/>
      <c r="R608" s="4"/>
    </row>
    <row r="609" spans="1:18" ht="12.75" customHeight="1">
      <c r="A609" s="4"/>
      <c r="B609" s="4"/>
      <c r="C609" s="3"/>
      <c r="D609" s="4"/>
      <c r="E609" s="4"/>
      <c r="F609" s="4"/>
      <c r="G609" s="4"/>
      <c r="H609" s="4"/>
      <c r="I609" s="4"/>
      <c r="J609" s="4"/>
      <c r="K609" s="4"/>
      <c r="L609" s="4"/>
      <c r="M609" s="4"/>
      <c r="N609" s="4"/>
      <c r="O609" s="4"/>
      <c r="P609" s="4"/>
      <c r="Q609" s="4"/>
      <c r="R609" s="4"/>
    </row>
    <row r="610" spans="1:18" ht="12.75" customHeight="1">
      <c r="A610" s="4"/>
      <c r="B610" s="4"/>
      <c r="C610" s="3"/>
      <c r="D610" s="4"/>
      <c r="E610" s="4"/>
      <c r="F610" s="4"/>
      <c r="G610" s="4"/>
      <c r="H610" s="4"/>
      <c r="I610" s="4"/>
      <c r="J610" s="4"/>
      <c r="K610" s="4"/>
      <c r="L610" s="4"/>
      <c r="M610" s="4"/>
      <c r="N610" s="4"/>
      <c r="O610" s="4"/>
      <c r="P610" s="4"/>
      <c r="Q610" s="4"/>
      <c r="R610" s="4"/>
    </row>
    <row r="611" spans="1:18" ht="12.75" customHeight="1">
      <c r="A611" s="4"/>
      <c r="B611" s="4"/>
      <c r="C611" s="3"/>
      <c r="D611" s="4"/>
      <c r="E611" s="4"/>
      <c r="F611" s="4"/>
      <c r="G611" s="4"/>
      <c r="H611" s="4"/>
      <c r="I611" s="4"/>
      <c r="J611" s="4"/>
      <c r="K611" s="4"/>
      <c r="L611" s="4"/>
      <c r="M611" s="4"/>
      <c r="N611" s="4"/>
      <c r="O611" s="4"/>
      <c r="P611" s="4"/>
      <c r="Q611" s="4"/>
      <c r="R611" s="4"/>
    </row>
    <row r="612" spans="1:18" ht="12.75" customHeight="1">
      <c r="A612" s="4"/>
      <c r="B612" s="4"/>
      <c r="C612" s="3"/>
      <c r="D612" s="4"/>
      <c r="E612" s="4"/>
      <c r="F612" s="4"/>
      <c r="G612" s="4"/>
      <c r="H612" s="4"/>
      <c r="I612" s="4"/>
      <c r="J612" s="4"/>
      <c r="K612" s="4"/>
      <c r="L612" s="4"/>
      <c r="M612" s="4"/>
      <c r="N612" s="4"/>
      <c r="O612" s="4"/>
      <c r="P612" s="4"/>
      <c r="Q612" s="4"/>
      <c r="R612" s="4"/>
    </row>
    <row r="613" spans="1:18" ht="12.75" customHeight="1">
      <c r="A613" s="4"/>
      <c r="B613" s="4"/>
      <c r="C613" s="3"/>
      <c r="D613" s="4"/>
      <c r="E613" s="4"/>
      <c r="F613" s="4"/>
      <c r="G613" s="4"/>
      <c r="H613" s="4"/>
      <c r="I613" s="4"/>
      <c r="J613" s="4"/>
      <c r="K613" s="4"/>
      <c r="L613" s="4"/>
      <c r="M613" s="4"/>
      <c r="N613" s="4"/>
      <c r="O613" s="4"/>
      <c r="P613" s="4"/>
      <c r="Q613" s="4"/>
      <c r="R613" s="4"/>
    </row>
    <row r="614" spans="1:18" ht="12.75" customHeight="1">
      <c r="A614" s="4"/>
      <c r="B614" s="4"/>
      <c r="C614" s="3"/>
      <c r="D614" s="4"/>
      <c r="E614" s="4"/>
      <c r="F614" s="4"/>
      <c r="G614" s="4"/>
      <c r="H614" s="4"/>
      <c r="I614" s="4"/>
      <c r="J614" s="4"/>
      <c r="K614" s="4"/>
      <c r="L614" s="4"/>
      <c r="M614" s="4"/>
      <c r="N614" s="4"/>
      <c r="O614" s="4"/>
      <c r="P614" s="4"/>
      <c r="Q614" s="4"/>
      <c r="R614" s="4"/>
    </row>
    <row r="615" spans="1:18" ht="12.75" customHeight="1">
      <c r="A615" s="4"/>
      <c r="B615" s="4"/>
      <c r="C615" s="3"/>
      <c r="D615" s="4"/>
      <c r="E615" s="4"/>
      <c r="F615" s="4"/>
      <c r="G615" s="4"/>
      <c r="H615" s="4"/>
      <c r="I615" s="4"/>
      <c r="J615" s="4"/>
      <c r="K615" s="4"/>
      <c r="L615" s="4"/>
      <c r="M615" s="4"/>
      <c r="N615" s="4"/>
      <c r="O615" s="4"/>
      <c r="P615" s="4"/>
      <c r="Q615" s="4"/>
      <c r="R615" s="4"/>
    </row>
    <row r="616" spans="1:18" ht="12.75" customHeight="1">
      <c r="A616" s="4"/>
      <c r="B616" s="4"/>
      <c r="C616" s="3"/>
      <c r="D616" s="4"/>
      <c r="E616" s="4"/>
      <c r="F616" s="4"/>
      <c r="G616" s="4"/>
      <c r="H616" s="4"/>
      <c r="I616" s="4"/>
      <c r="J616" s="4"/>
      <c r="K616" s="4"/>
      <c r="L616" s="4"/>
      <c r="M616" s="4"/>
      <c r="N616" s="4"/>
      <c r="O616" s="4"/>
      <c r="P616" s="4"/>
      <c r="Q616" s="4"/>
      <c r="R616" s="4"/>
    </row>
    <row r="617" spans="1:18" ht="12.75" customHeight="1">
      <c r="A617" s="4"/>
      <c r="B617" s="4"/>
      <c r="C617" s="3"/>
      <c r="D617" s="4"/>
      <c r="E617" s="4"/>
      <c r="F617" s="4"/>
      <c r="G617" s="4"/>
      <c r="H617" s="4"/>
      <c r="I617" s="4"/>
      <c r="J617" s="4"/>
      <c r="K617" s="4"/>
      <c r="L617" s="4"/>
      <c r="M617" s="4"/>
      <c r="N617" s="4"/>
      <c r="O617" s="4"/>
      <c r="P617" s="4"/>
      <c r="Q617" s="4"/>
      <c r="R617" s="4"/>
    </row>
    <row r="618" spans="1:18" ht="12.75" customHeight="1">
      <c r="A618" s="4"/>
      <c r="B618" s="4"/>
      <c r="C618" s="3"/>
      <c r="D618" s="4"/>
      <c r="E618" s="4"/>
      <c r="F618" s="4"/>
      <c r="G618" s="4"/>
      <c r="H618" s="4"/>
      <c r="I618" s="4"/>
      <c r="J618" s="4"/>
      <c r="K618" s="4"/>
      <c r="L618" s="4"/>
      <c r="M618" s="4"/>
      <c r="N618" s="4"/>
      <c r="O618" s="4"/>
      <c r="P618" s="4"/>
      <c r="Q618" s="4"/>
      <c r="R618" s="4"/>
    </row>
    <row r="619" spans="1:18" ht="12.75" customHeight="1">
      <c r="A619" s="4"/>
      <c r="B619" s="4"/>
      <c r="C619" s="3"/>
      <c r="D619" s="4"/>
      <c r="E619" s="4"/>
      <c r="F619" s="4"/>
      <c r="G619" s="4"/>
      <c r="H619" s="4"/>
      <c r="I619" s="4"/>
      <c r="J619" s="4"/>
      <c r="K619" s="4"/>
      <c r="L619" s="4"/>
      <c r="M619" s="4"/>
      <c r="N619" s="4"/>
      <c r="O619" s="4"/>
      <c r="P619" s="4"/>
      <c r="Q619" s="4"/>
      <c r="R619" s="4"/>
    </row>
    <row r="620" spans="1:18" ht="12.75" customHeight="1">
      <c r="A620" s="4"/>
      <c r="B620" s="4"/>
      <c r="C620" s="3"/>
      <c r="D620" s="4"/>
      <c r="E620" s="4"/>
      <c r="F620" s="4"/>
      <c r="G620" s="4"/>
      <c r="H620" s="4"/>
      <c r="I620" s="4"/>
      <c r="J620" s="4"/>
      <c r="K620" s="4"/>
      <c r="L620" s="4"/>
      <c r="M620" s="4"/>
      <c r="N620" s="4"/>
      <c r="O620" s="4"/>
      <c r="P620" s="4"/>
      <c r="Q620" s="4"/>
      <c r="R620" s="4"/>
    </row>
    <row r="621" spans="1:18" ht="12.75" customHeight="1">
      <c r="A621" s="4"/>
      <c r="B621" s="4"/>
      <c r="C621" s="3"/>
      <c r="D621" s="4"/>
      <c r="E621" s="4"/>
      <c r="F621" s="4"/>
      <c r="G621" s="4"/>
      <c r="H621" s="4"/>
      <c r="I621" s="4"/>
      <c r="J621" s="4"/>
      <c r="K621" s="4"/>
      <c r="L621" s="4"/>
      <c r="M621" s="4"/>
      <c r="N621" s="4"/>
      <c r="O621" s="4"/>
      <c r="P621" s="4"/>
      <c r="Q621" s="4"/>
      <c r="R621" s="4"/>
    </row>
    <row r="622" spans="1:18" ht="12.75" customHeight="1">
      <c r="A622" s="4"/>
      <c r="B622" s="4"/>
      <c r="C622" s="3"/>
      <c r="D622" s="4"/>
      <c r="E622" s="4"/>
      <c r="F622" s="4"/>
      <c r="G622" s="4"/>
      <c r="H622" s="4"/>
      <c r="I622" s="4"/>
      <c r="J622" s="4"/>
      <c r="K622" s="4"/>
      <c r="L622" s="4"/>
      <c r="M622" s="4"/>
      <c r="N622" s="4"/>
      <c r="O622" s="4"/>
      <c r="P622" s="4"/>
      <c r="Q622" s="4"/>
      <c r="R622" s="4"/>
    </row>
    <row r="623" spans="1:18" ht="12.75" customHeight="1">
      <c r="A623" s="4"/>
      <c r="B623" s="4"/>
      <c r="C623" s="3"/>
      <c r="D623" s="4"/>
      <c r="E623" s="4"/>
      <c r="F623" s="4"/>
      <c r="G623" s="4"/>
      <c r="H623" s="4"/>
      <c r="I623" s="4"/>
      <c r="J623" s="4"/>
      <c r="K623" s="4"/>
      <c r="L623" s="4"/>
      <c r="M623" s="4"/>
      <c r="N623" s="4"/>
      <c r="O623" s="4"/>
      <c r="P623" s="4"/>
      <c r="Q623" s="4"/>
      <c r="R623" s="4"/>
    </row>
    <row r="624" spans="1:18" ht="12.75" customHeight="1">
      <c r="A624" s="4"/>
      <c r="B624" s="4"/>
      <c r="C624" s="3"/>
      <c r="D624" s="4"/>
      <c r="E624" s="4"/>
      <c r="F624" s="4"/>
      <c r="G624" s="4"/>
      <c r="H624" s="4"/>
      <c r="I624" s="4"/>
      <c r="J624" s="4"/>
      <c r="K624" s="4"/>
      <c r="L624" s="4"/>
      <c r="M624" s="4"/>
      <c r="N624" s="4"/>
      <c r="O624" s="4"/>
      <c r="P624" s="4"/>
      <c r="Q624" s="4"/>
      <c r="R624" s="4"/>
    </row>
    <row r="625" spans="1:18" ht="12.75" customHeight="1">
      <c r="A625" s="4"/>
      <c r="B625" s="4"/>
      <c r="C625" s="3"/>
      <c r="D625" s="4"/>
      <c r="E625" s="4"/>
      <c r="F625" s="4"/>
      <c r="G625" s="4"/>
      <c r="H625" s="4"/>
      <c r="I625" s="4"/>
      <c r="J625" s="4"/>
      <c r="K625" s="4"/>
      <c r="L625" s="4"/>
      <c r="M625" s="4"/>
      <c r="N625" s="4"/>
      <c r="O625" s="4"/>
      <c r="P625" s="4"/>
      <c r="Q625" s="4"/>
      <c r="R625" s="4"/>
    </row>
    <row r="626" spans="1:18" ht="12.75" customHeight="1">
      <c r="A626" s="4"/>
      <c r="B626" s="4"/>
      <c r="C626" s="3"/>
      <c r="D626" s="4"/>
      <c r="E626" s="4"/>
      <c r="F626" s="4"/>
      <c r="G626" s="4"/>
      <c r="H626" s="4"/>
      <c r="I626" s="4"/>
      <c r="J626" s="4"/>
      <c r="K626" s="4"/>
      <c r="L626" s="4"/>
      <c r="M626" s="4"/>
      <c r="N626" s="4"/>
      <c r="O626" s="4"/>
      <c r="P626" s="4"/>
      <c r="Q626" s="4"/>
      <c r="R626" s="4"/>
    </row>
    <row r="627" spans="1:18" ht="12.75" customHeight="1">
      <c r="A627" s="4"/>
      <c r="B627" s="4"/>
      <c r="C627" s="3"/>
      <c r="D627" s="4"/>
      <c r="E627" s="4"/>
      <c r="F627" s="4"/>
      <c r="G627" s="4"/>
      <c r="H627" s="4"/>
      <c r="I627" s="4"/>
      <c r="J627" s="4"/>
      <c r="K627" s="4"/>
      <c r="L627" s="4"/>
      <c r="M627" s="4"/>
      <c r="N627" s="4"/>
      <c r="O627" s="4"/>
      <c r="P627" s="4"/>
      <c r="Q627" s="4"/>
      <c r="R627" s="4"/>
    </row>
    <row r="628" spans="1:18" ht="12.75" customHeight="1">
      <c r="A628" s="4"/>
      <c r="B628" s="4"/>
      <c r="C628" s="3"/>
      <c r="D628" s="4"/>
      <c r="E628" s="4"/>
      <c r="F628" s="4"/>
      <c r="G628" s="4"/>
      <c r="H628" s="4"/>
      <c r="I628" s="4"/>
      <c r="J628" s="4"/>
      <c r="K628" s="4"/>
      <c r="L628" s="4"/>
      <c r="M628" s="4"/>
      <c r="N628" s="4"/>
      <c r="O628" s="4"/>
      <c r="P628" s="4"/>
      <c r="Q628" s="4"/>
      <c r="R628" s="4"/>
    </row>
    <row r="629" spans="1:18" ht="12.75" customHeight="1">
      <c r="A629" s="4"/>
      <c r="B629" s="4"/>
      <c r="C629" s="3"/>
      <c r="D629" s="4"/>
      <c r="E629" s="4"/>
      <c r="F629" s="4"/>
      <c r="G629" s="4"/>
      <c r="H629" s="4"/>
      <c r="I629" s="4"/>
      <c r="J629" s="4"/>
      <c r="K629" s="4"/>
      <c r="L629" s="4"/>
      <c r="M629" s="4"/>
      <c r="N629" s="4"/>
      <c r="O629" s="4"/>
      <c r="P629" s="4"/>
      <c r="Q629" s="4"/>
      <c r="R629" s="4"/>
    </row>
    <row r="630" spans="1:18" ht="12.75" customHeight="1">
      <c r="A630" s="4"/>
      <c r="B630" s="4"/>
      <c r="C630" s="3"/>
      <c r="D630" s="4"/>
      <c r="E630" s="4"/>
      <c r="F630" s="4"/>
      <c r="G630" s="4"/>
      <c r="H630" s="4"/>
      <c r="I630" s="4"/>
      <c r="J630" s="4"/>
      <c r="K630" s="4"/>
      <c r="L630" s="4"/>
      <c r="M630" s="4"/>
      <c r="N630" s="4"/>
      <c r="O630" s="4"/>
      <c r="P630" s="4"/>
      <c r="Q630" s="4"/>
      <c r="R630" s="4"/>
    </row>
    <row r="631" spans="1:18" ht="12.75" customHeight="1">
      <c r="A631" s="4"/>
      <c r="B631" s="4"/>
      <c r="C631" s="3"/>
      <c r="D631" s="4"/>
      <c r="E631" s="4"/>
      <c r="F631" s="4"/>
      <c r="G631" s="4"/>
      <c r="H631" s="4"/>
      <c r="I631" s="4"/>
      <c r="J631" s="4"/>
      <c r="K631" s="4"/>
      <c r="L631" s="4"/>
      <c r="M631" s="4"/>
      <c r="N631" s="4"/>
      <c r="O631" s="4"/>
      <c r="P631" s="4"/>
      <c r="Q631" s="4"/>
      <c r="R631" s="4"/>
    </row>
    <row r="632" spans="1:18" ht="12.75" customHeight="1">
      <c r="A632" s="4"/>
      <c r="B632" s="4"/>
      <c r="C632" s="3"/>
      <c r="D632" s="4"/>
      <c r="E632" s="4"/>
      <c r="F632" s="4"/>
      <c r="G632" s="4"/>
      <c r="H632" s="4"/>
      <c r="I632" s="4"/>
      <c r="J632" s="4"/>
      <c r="K632" s="4"/>
      <c r="L632" s="4"/>
      <c r="M632" s="4"/>
      <c r="N632" s="4"/>
      <c r="O632" s="4"/>
      <c r="P632" s="4"/>
      <c r="Q632" s="4"/>
      <c r="R632" s="4"/>
    </row>
    <row r="633" spans="1:18" ht="12.75" customHeight="1">
      <c r="A633" s="4"/>
      <c r="B633" s="4"/>
      <c r="C633" s="3"/>
      <c r="D633" s="4"/>
      <c r="E633" s="4"/>
      <c r="F633" s="4"/>
      <c r="G633" s="4"/>
      <c r="H633" s="4"/>
      <c r="I633" s="4"/>
      <c r="J633" s="4"/>
      <c r="K633" s="4"/>
      <c r="L633" s="4"/>
      <c r="M633" s="4"/>
      <c r="N633" s="4"/>
      <c r="O633" s="4"/>
      <c r="P633" s="4"/>
      <c r="Q633" s="4"/>
      <c r="R633" s="4"/>
    </row>
    <row r="634" spans="1:18" ht="12.75" customHeight="1">
      <c r="A634" s="4"/>
      <c r="B634" s="4"/>
      <c r="C634" s="3"/>
      <c r="D634" s="4"/>
      <c r="E634" s="4"/>
      <c r="F634" s="4"/>
      <c r="G634" s="4"/>
      <c r="H634" s="4"/>
      <c r="I634" s="4"/>
      <c r="J634" s="4"/>
      <c r="K634" s="4"/>
      <c r="L634" s="4"/>
      <c r="M634" s="4"/>
      <c r="N634" s="4"/>
      <c r="O634" s="4"/>
      <c r="P634" s="4"/>
      <c r="Q634" s="4"/>
      <c r="R634" s="4"/>
    </row>
    <row r="635" spans="1:18" ht="12.75" customHeight="1">
      <c r="A635" s="4"/>
      <c r="B635" s="4"/>
      <c r="C635" s="3"/>
      <c r="D635" s="4"/>
      <c r="E635" s="4"/>
      <c r="F635" s="4"/>
      <c r="G635" s="4"/>
      <c r="H635" s="4"/>
      <c r="I635" s="4"/>
      <c r="J635" s="4"/>
      <c r="K635" s="4"/>
      <c r="L635" s="4"/>
      <c r="M635" s="4"/>
      <c r="N635" s="4"/>
      <c r="O635" s="4"/>
      <c r="P635" s="4"/>
      <c r="Q635" s="4"/>
      <c r="R635" s="4"/>
    </row>
    <row r="636" spans="1:18" ht="12.75" customHeight="1">
      <c r="A636" s="4"/>
      <c r="B636" s="4"/>
      <c r="C636" s="3"/>
      <c r="D636" s="4"/>
      <c r="E636" s="4"/>
      <c r="F636" s="4"/>
      <c r="G636" s="4"/>
      <c r="H636" s="4"/>
      <c r="I636" s="4"/>
      <c r="J636" s="4"/>
      <c r="K636" s="4"/>
      <c r="L636" s="4"/>
      <c r="M636" s="4"/>
      <c r="N636" s="4"/>
      <c r="O636" s="4"/>
      <c r="P636" s="4"/>
      <c r="Q636" s="4"/>
      <c r="R636" s="4"/>
    </row>
    <row r="637" spans="1:18" ht="12.75" customHeight="1">
      <c r="A637" s="4"/>
      <c r="B637" s="4"/>
      <c r="C637" s="3"/>
      <c r="D637" s="4"/>
      <c r="E637" s="4"/>
      <c r="F637" s="4"/>
      <c r="G637" s="4"/>
      <c r="H637" s="4"/>
      <c r="I637" s="4"/>
      <c r="J637" s="4"/>
      <c r="K637" s="4"/>
      <c r="L637" s="4"/>
      <c r="M637" s="4"/>
      <c r="N637" s="4"/>
      <c r="O637" s="4"/>
      <c r="P637" s="4"/>
      <c r="Q637" s="4"/>
      <c r="R637" s="4"/>
    </row>
    <row r="638" spans="1:18" ht="12.75" customHeight="1">
      <c r="A638" s="4"/>
      <c r="B638" s="4"/>
      <c r="C638" s="3"/>
      <c r="D638" s="4"/>
      <c r="E638" s="4"/>
      <c r="F638" s="4"/>
      <c r="G638" s="4"/>
      <c r="H638" s="4"/>
      <c r="I638" s="4"/>
      <c r="J638" s="4"/>
      <c r="K638" s="4"/>
      <c r="L638" s="4"/>
      <c r="M638" s="4"/>
      <c r="N638" s="4"/>
      <c r="O638" s="4"/>
      <c r="P638" s="4"/>
      <c r="Q638" s="4"/>
      <c r="R638" s="4"/>
    </row>
    <row r="639" spans="1:18" ht="12.75" customHeight="1">
      <c r="A639" s="4"/>
      <c r="B639" s="4"/>
      <c r="C639" s="3"/>
      <c r="D639" s="4"/>
      <c r="E639" s="4"/>
      <c r="F639" s="4"/>
      <c r="G639" s="4"/>
      <c r="H639" s="4"/>
      <c r="I639" s="4"/>
      <c r="J639" s="4"/>
      <c r="K639" s="4"/>
      <c r="L639" s="4"/>
      <c r="M639" s="4"/>
      <c r="N639" s="4"/>
      <c r="O639" s="4"/>
      <c r="P639" s="4"/>
      <c r="Q639" s="4"/>
      <c r="R639" s="4"/>
    </row>
    <row r="640" spans="1:18" ht="12.75" customHeight="1">
      <c r="A640" s="4"/>
      <c r="B640" s="4"/>
      <c r="C640" s="3"/>
      <c r="D640" s="4"/>
      <c r="E640" s="4"/>
      <c r="F640" s="4"/>
      <c r="G640" s="4"/>
      <c r="H640" s="4"/>
      <c r="I640" s="4"/>
      <c r="J640" s="4"/>
      <c r="K640" s="4"/>
      <c r="L640" s="4"/>
      <c r="M640" s="4"/>
      <c r="N640" s="4"/>
      <c r="O640" s="4"/>
      <c r="P640" s="4"/>
      <c r="Q640" s="4"/>
      <c r="R640" s="4"/>
    </row>
    <row r="641" spans="1:18" ht="12.75" customHeight="1">
      <c r="A641" s="4"/>
      <c r="B641" s="4"/>
      <c r="C641" s="3"/>
      <c r="D641" s="4"/>
      <c r="E641" s="4"/>
      <c r="F641" s="4"/>
      <c r="G641" s="4"/>
      <c r="H641" s="4"/>
      <c r="I641" s="4"/>
      <c r="J641" s="4"/>
      <c r="K641" s="4"/>
      <c r="L641" s="4"/>
      <c r="M641" s="4"/>
      <c r="N641" s="4"/>
      <c r="O641" s="4"/>
      <c r="P641" s="4"/>
      <c r="Q641" s="4"/>
      <c r="R641" s="4"/>
    </row>
    <row r="642" spans="1:18" ht="12.75" customHeight="1">
      <c r="A642" s="4"/>
      <c r="B642" s="4"/>
      <c r="C642" s="3"/>
      <c r="D642" s="4"/>
      <c r="E642" s="4"/>
      <c r="F642" s="4"/>
      <c r="G642" s="4"/>
      <c r="H642" s="4"/>
      <c r="I642" s="4"/>
      <c r="J642" s="4"/>
      <c r="K642" s="4"/>
      <c r="L642" s="4"/>
      <c r="M642" s="4"/>
      <c r="N642" s="4"/>
      <c r="O642" s="4"/>
      <c r="P642" s="4"/>
      <c r="Q642" s="4"/>
      <c r="R642" s="4"/>
    </row>
    <row r="643" spans="1:18" ht="12.75" customHeight="1">
      <c r="A643" s="4"/>
      <c r="B643" s="4"/>
      <c r="C643" s="3"/>
      <c r="D643" s="4"/>
      <c r="E643" s="4"/>
      <c r="F643" s="4"/>
      <c r="G643" s="4"/>
      <c r="H643" s="4"/>
      <c r="I643" s="4"/>
      <c r="J643" s="4"/>
      <c r="K643" s="4"/>
      <c r="L643" s="4"/>
      <c r="M643" s="4"/>
      <c r="N643" s="4"/>
      <c r="O643" s="4"/>
      <c r="P643" s="4"/>
      <c r="Q643" s="4"/>
      <c r="R643" s="4"/>
    </row>
    <row r="644" spans="1:18" ht="12.75" customHeight="1">
      <c r="A644" s="4"/>
      <c r="B644" s="4"/>
      <c r="C644" s="3"/>
      <c r="D644" s="4"/>
      <c r="E644" s="4"/>
      <c r="F644" s="4"/>
      <c r="G644" s="4"/>
      <c r="H644" s="4"/>
      <c r="I644" s="4"/>
      <c r="J644" s="4"/>
      <c r="K644" s="4"/>
      <c r="L644" s="4"/>
      <c r="M644" s="4"/>
      <c r="N644" s="4"/>
      <c r="O644" s="4"/>
      <c r="P644" s="4"/>
      <c r="Q644" s="4"/>
      <c r="R644" s="4"/>
    </row>
    <row r="645" spans="1:18" ht="12.75" customHeight="1">
      <c r="A645" s="4"/>
      <c r="B645" s="4"/>
      <c r="C645" s="3"/>
      <c r="D645" s="4"/>
      <c r="E645" s="4"/>
      <c r="F645" s="4"/>
      <c r="G645" s="4"/>
      <c r="H645" s="4"/>
      <c r="I645" s="4"/>
      <c r="J645" s="4"/>
      <c r="K645" s="4"/>
      <c r="L645" s="4"/>
      <c r="M645" s="4"/>
      <c r="N645" s="4"/>
      <c r="O645" s="4"/>
      <c r="P645" s="4"/>
      <c r="Q645" s="4"/>
      <c r="R645" s="4"/>
    </row>
    <row r="646" spans="1:18" ht="12.75" customHeight="1">
      <c r="A646" s="4"/>
      <c r="B646" s="4"/>
      <c r="C646" s="3"/>
      <c r="D646" s="4"/>
      <c r="E646" s="4"/>
      <c r="F646" s="4"/>
      <c r="G646" s="4"/>
      <c r="H646" s="4"/>
      <c r="I646" s="4"/>
      <c r="J646" s="4"/>
      <c r="K646" s="4"/>
      <c r="L646" s="4"/>
      <c r="M646" s="4"/>
      <c r="N646" s="4"/>
      <c r="O646" s="4"/>
      <c r="P646" s="4"/>
      <c r="Q646" s="4"/>
      <c r="R646" s="4"/>
    </row>
    <row r="647" spans="1:18" ht="12.75" customHeight="1">
      <c r="A647" s="4"/>
      <c r="B647" s="4"/>
      <c r="C647" s="3"/>
      <c r="D647" s="4"/>
      <c r="E647" s="4"/>
      <c r="F647" s="4"/>
      <c r="G647" s="4"/>
      <c r="H647" s="4"/>
      <c r="I647" s="4"/>
      <c r="J647" s="4"/>
      <c r="K647" s="4"/>
      <c r="L647" s="4"/>
      <c r="M647" s="4"/>
      <c r="N647" s="4"/>
      <c r="O647" s="4"/>
      <c r="P647" s="4"/>
      <c r="Q647" s="4"/>
      <c r="R647" s="4"/>
    </row>
    <row r="648" spans="1:18" ht="12.75" customHeight="1">
      <c r="A648" s="4"/>
      <c r="B648" s="4"/>
      <c r="C648" s="3"/>
      <c r="D648" s="4"/>
      <c r="E648" s="4"/>
      <c r="F648" s="4"/>
      <c r="G648" s="4"/>
      <c r="H648" s="4"/>
      <c r="I648" s="4"/>
      <c r="J648" s="4"/>
      <c r="K648" s="4"/>
      <c r="L648" s="4"/>
      <c r="M648" s="4"/>
      <c r="N648" s="4"/>
      <c r="O648" s="4"/>
      <c r="P648" s="4"/>
      <c r="Q648" s="4"/>
      <c r="R648" s="4"/>
    </row>
    <row r="649" spans="1:18" ht="12.75" customHeight="1">
      <c r="A649" s="4"/>
      <c r="B649" s="4"/>
      <c r="C649" s="3"/>
      <c r="D649" s="4"/>
      <c r="E649" s="4"/>
      <c r="F649" s="4"/>
      <c r="G649" s="4"/>
      <c r="H649" s="4"/>
      <c r="I649" s="4"/>
      <c r="J649" s="4"/>
      <c r="K649" s="4"/>
      <c r="L649" s="4"/>
      <c r="M649" s="4"/>
      <c r="N649" s="4"/>
      <c r="O649" s="4"/>
      <c r="P649" s="4"/>
      <c r="Q649" s="4"/>
      <c r="R649" s="4"/>
    </row>
    <row r="650" spans="1:18" ht="12.75" customHeight="1">
      <c r="A650" s="4"/>
      <c r="B650" s="4"/>
      <c r="C650" s="3"/>
      <c r="D650" s="4"/>
      <c r="E650" s="4"/>
      <c r="F650" s="4"/>
      <c r="G650" s="4"/>
      <c r="H650" s="4"/>
      <c r="I650" s="4"/>
      <c r="J650" s="4"/>
      <c r="K650" s="4"/>
      <c r="L650" s="4"/>
      <c r="M650" s="4"/>
      <c r="N650" s="4"/>
      <c r="O650" s="4"/>
      <c r="P650" s="4"/>
      <c r="Q650" s="4"/>
      <c r="R650" s="4"/>
    </row>
    <row r="651" spans="1:18" ht="12.75" customHeight="1">
      <c r="A651" s="4"/>
      <c r="B651" s="4"/>
      <c r="C651" s="3"/>
      <c r="D651" s="4"/>
      <c r="E651" s="4"/>
      <c r="F651" s="4"/>
      <c r="G651" s="4"/>
      <c r="H651" s="4"/>
      <c r="I651" s="4"/>
      <c r="J651" s="4"/>
      <c r="K651" s="4"/>
      <c r="L651" s="4"/>
      <c r="M651" s="4"/>
      <c r="N651" s="4"/>
      <c r="O651" s="4"/>
      <c r="P651" s="4"/>
      <c r="Q651" s="4"/>
      <c r="R651" s="4"/>
    </row>
    <row r="652" spans="1:18" ht="12.75" customHeight="1">
      <c r="A652" s="4"/>
      <c r="B652" s="4"/>
      <c r="C652" s="3"/>
      <c r="D652" s="4"/>
      <c r="E652" s="4"/>
      <c r="F652" s="4"/>
      <c r="G652" s="4"/>
      <c r="H652" s="4"/>
      <c r="I652" s="4"/>
      <c r="J652" s="4"/>
      <c r="K652" s="4"/>
      <c r="L652" s="4"/>
      <c r="M652" s="4"/>
      <c r="N652" s="4"/>
      <c r="O652" s="4"/>
      <c r="P652" s="4"/>
      <c r="Q652" s="4"/>
      <c r="R652" s="4"/>
    </row>
    <row r="653" spans="1:18" ht="12.75" customHeight="1">
      <c r="A653" s="4"/>
      <c r="B653" s="4"/>
      <c r="C653" s="3"/>
      <c r="D653" s="4"/>
      <c r="E653" s="4"/>
      <c r="F653" s="4"/>
      <c r="G653" s="4"/>
      <c r="H653" s="4"/>
      <c r="I653" s="4"/>
      <c r="J653" s="4"/>
      <c r="K653" s="4"/>
      <c r="L653" s="4"/>
      <c r="M653" s="4"/>
      <c r="N653" s="4"/>
      <c r="O653" s="4"/>
      <c r="P653" s="4"/>
      <c r="Q653" s="4"/>
      <c r="R653" s="4"/>
    </row>
    <row r="654" spans="1:18" ht="12.75" customHeight="1">
      <c r="A654" s="4"/>
      <c r="B654" s="4"/>
      <c r="C654" s="3"/>
      <c r="D654" s="4"/>
      <c r="E654" s="4"/>
      <c r="F654" s="4"/>
      <c r="G654" s="4"/>
      <c r="H654" s="4"/>
      <c r="I654" s="4"/>
      <c r="J654" s="4"/>
      <c r="K654" s="4"/>
      <c r="L654" s="4"/>
      <c r="M654" s="4"/>
      <c r="N654" s="4"/>
      <c r="O654" s="4"/>
      <c r="P654" s="4"/>
      <c r="Q654" s="4"/>
      <c r="R654" s="4"/>
    </row>
    <row r="655" spans="1:18" ht="12.75" customHeight="1">
      <c r="A655" s="4"/>
      <c r="B655" s="4"/>
      <c r="C655" s="3"/>
      <c r="D655" s="4"/>
      <c r="E655" s="4"/>
      <c r="F655" s="4"/>
      <c r="G655" s="4"/>
      <c r="H655" s="4"/>
      <c r="I655" s="4"/>
      <c r="J655" s="4"/>
      <c r="K655" s="4"/>
      <c r="L655" s="4"/>
      <c r="M655" s="4"/>
      <c r="N655" s="4"/>
      <c r="O655" s="4"/>
      <c r="P655" s="4"/>
      <c r="Q655" s="4"/>
      <c r="R655" s="4"/>
    </row>
    <row r="656" spans="1:18" ht="12.75" customHeight="1">
      <c r="A656" s="4"/>
      <c r="B656" s="4"/>
      <c r="C656" s="3"/>
      <c r="D656" s="4"/>
      <c r="E656" s="4"/>
      <c r="F656" s="4"/>
      <c r="G656" s="4"/>
      <c r="H656" s="4"/>
      <c r="I656" s="4"/>
      <c r="J656" s="4"/>
      <c r="K656" s="4"/>
      <c r="L656" s="4"/>
      <c r="M656" s="4"/>
      <c r="N656" s="4"/>
      <c r="O656" s="4"/>
      <c r="P656" s="4"/>
      <c r="Q656" s="4"/>
      <c r="R656" s="4"/>
    </row>
    <row r="657" spans="1:18" ht="12.75" customHeight="1">
      <c r="A657" s="4"/>
      <c r="B657" s="4"/>
      <c r="C657" s="3"/>
      <c r="D657" s="4"/>
      <c r="E657" s="4"/>
      <c r="F657" s="4"/>
      <c r="G657" s="4"/>
      <c r="H657" s="4"/>
      <c r="I657" s="4"/>
      <c r="J657" s="4"/>
      <c r="K657" s="4"/>
      <c r="L657" s="4"/>
      <c r="M657" s="4"/>
      <c r="N657" s="4"/>
      <c r="O657" s="4"/>
      <c r="P657" s="4"/>
      <c r="Q657" s="4"/>
      <c r="R657" s="4"/>
    </row>
    <row r="658" spans="1:18" ht="12.75" customHeight="1">
      <c r="A658" s="4"/>
      <c r="B658" s="4"/>
      <c r="C658" s="3"/>
      <c r="D658" s="4"/>
      <c r="E658" s="4"/>
      <c r="F658" s="4"/>
      <c r="G658" s="4"/>
      <c r="H658" s="4"/>
      <c r="I658" s="4"/>
      <c r="J658" s="4"/>
      <c r="K658" s="4"/>
      <c r="L658" s="4"/>
      <c r="M658" s="4"/>
      <c r="N658" s="4"/>
      <c r="O658" s="4"/>
      <c r="P658" s="4"/>
      <c r="Q658" s="4"/>
      <c r="R658" s="4"/>
    </row>
    <row r="659" spans="1:18" ht="12.75" customHeight="1">
      <c r="A659" s="4"/>
      <c r="B659" s="4"/>
      <c r="C659" s="3"/>
      <c r="D659" s="4"/>
      <c r="E659" s="4"/>
      <c r="F659" s="4"/>
      <c r="G659" s="4"/>
      <c r="H659" s="4"/>
      <c r="I659" s="4"/>
      <c r="J659" s="4"/>
      <c r="K659" s="4"/>
      <c r="L659" s="4"/>
      <c r="M659" s="4"/>
      <c r="N659" s="4"/>
      <c r="O659" s="4"/>
      <c r="P659" s="4"/>
      <c r="Q659" s="4"/>
      <c r="R659" s="4"/>
    </row>
    <row r="660" spans="1:18" ht="12.75" customHeight="1">
      <c r="A660" s="4"/>
      <c r="B660" s="4"/>
      <c r="C660" s="3"/>
      <c r="D660" s="4"/>
      <c r="E660" s="4"/>
      <c r="F660" s="4"/>
      <c r="G660" s="4"/>
      <c r="H660" s="4"/>
      <c r="I660" s="4"/>
      <c r="J660" s="4"/>
      <c r="K660" s="4"/>
      <c r="L660" s="4"/>
      <c r="M660" s="4"/>
      <c r="N660" s="4"/>
      <c r="O660" s="4"/>
      <c r="P660" s="4"/>
      <c r="Q660" s="4"/>
      <c r="R660" s="4"/>
    </row>
    <row r="661" spans="1:18" ht="12.75" customHeight="1">
      <c r="A661" s="4"/>
      <c r="B661" s="4"/>
      <c r="C661" s="3"/>
      <c r="D661" s="4"/>
      <c r="E661" s="4"/>
      <c r="F661" s="4"/>
      <c r="G661" s="4"/>
      <c r="H661" s="4"/>
      <c r="I661" s="4"/>
      <c r="J661" s="4"/>
      <c r="K661" s="4"/>
      <c r="L661" s="4"/>
      <c r="M661" s="4"/>
      <c r="N661" s="4"/>
      <c r="O661" s="4"/>
      <c r="P661" s="4"/>
      <c r="Q661" s="4"/>
      <c r="R661" s="4"/>
    </row>
    <row r="662" spans="1:18" ht="12.75" customHeight="1">
      <c r="A662" s="4"/>
      <c r="B662" s="4"/>
      <c r="C662" s="3"/>
      <c r="D662" s="4"/>
      <c r="E662" s="4"/>
      <c r="F662" s="4"/>
      <c r="G662" s="4"/>
      <c r="H662" s="4"/>
      <c r="I662" s="4"/>
      <c r="J662" s="4"/>
      <c r="K662" s="4"/>
      <c r="L662" s="4"/>
      <c r="M662" s="4"/>
      <c r="N662" s="4"/>
      <c r="O662" s="4"/>
      <c r="P662" s="4"/>
      <c r="Q662" s="4"/>
      <c r="R662" s="4"/>
    </row>
    <row r="663" spans="1:18" ht="12.75" customHeight="1">
      <c r="A663" s="4"/>
      <c r="B663" s="4"/>
      <c r="C663" s="3"/>
      <c r="D663" s="4"/>
      <c r="E663" s="4"/>
      <c r="F663" s="4"/>
      <c r="G663" s="4"/>
      <c r="H663" s="4"/>
      <c r="I663" s="4"/>
      <c r="J663" s="4"/>
      <c r="K663" s="4"/>
      <c r="L663" s="4"/>
      <c r="M663" s="4"/>
      <c r="N663" s="4"/>
      <c r="O663" s="4"/>
      <c r="P663" s="4"/>
      <c r="Q663" s="4"/>
      <c r="R663" s="4"/>
    </row>
    <row r="664" spans="1:18" ht="12.75" customHeight="1">
      <c r="A664" s="4"/>
      <c r="B664" s="4"/>
      <c r="C664" s="3"/>
      <c r="D664" s="4"/>
      <c r="E664" s="4"/>
      <c r="F664" s="4"/>
      <c r="G664" s="4"/>
      <c r="H664" s="4"/>
      <c r="I664" s="4"/>
      <c r="J664" s="4"/>
      <c r="K664" s="4"/>
      <c r="L664" s="4"/>
      <c r="M664" s="4"/>
      <c r="N664" s="4"/>
      <c r="O664" s="4"/>
      <c r="P664" s="4"/>
      <c r="Q664" s="4"/>
      <c r="R664" s="4"/>
    </row>
    <row r="665" spans="1:18" ht="12.75" customHeight="1">
      <c r="A665" s="4"/>
      <c r="B665" s="4"/>
      <c r="C665" s="3"/>
      <c r="D665" s="4"/>
      <c r="E665" s="4"/>
      <c r="F665" s="4"/>
      <c r="G665" s="4"/>
      <c r="H665" s="4"/>
      <c r="I665" s="4"/>
      <c r="J665" s="4"/>
      <c r="K665" s="4"/>
      <c r="L665" s="4"/>
      <c r="M665" s="4"/>
      <c r="N665" s="4"/>
      <c r="O665" s="4"/>
      <c r="P665" s="4"/>
      <c r="Q665" s="4"/>
      <c r="R665" s="4"/>
    </row>
    <row r="666" spans="1:18" ht="12.75" customHeight="1">
      <c r="A666" s="4"/>
      <c r="B666" s="4"/>
      <c r="C666" s="3"/>
      <c r="D666" s="4"/>
      <c r="E666" s="4"/>
      <c r="F666" s="4"/>
      <c r="G666" s="4"/>
      <c r="H666" s="4"/>
      <c r="I666" s="4"/>
      <c r="J666" s="4"/>
      <c r="K666" s="4"/>
      <c r="L666" s="4"/>
      <c r="M666" s="4"/>
      <c r="N666" s="4"/>
      <c r="O666" s="4"/>
      <c r="P666" s="4"/>
      <c r="Q666" s="4"/>
      <c r="R666" s="4"/>
    </row>
    <row r="667" spans="1:18" ht="12.75" customHeight="1">
      <c r="A667" s="4"/>
      <c r="B667" s="4"/>
      <c r="C667" s="3"/>
      <c r="D667" s="4"/>
      <c r="E667" s="4"/>
      <c r="F667" s="4"/>
      <c r="G667" s="4"/>
      <c r="H667" s="4"/>
      <c r="I667" s="4"/>
      <c r="J667" s="4"/>
      <c r="K667" s="4"/>
      <c r="L667" s="4"/>
      <c r="M667" s="4"/>
      <c r="N667" s="4"/>
      <c r="O667" s="4"/>
      <c r="P667" s="4"/>
      <c r="Q667" s="4"/>
      <c r="R667" s="4"/>
    </row>
    <row r="668" spans="1:18" ht="12.75" customHeight="1">
      <c r="A668" s="4"/>
      <c r="B668" s="4"/>
      <c r="C668" s="3"/>
      <c r="D668" s="4"/>
      <c r="E668" s="4"/>
      <c r="F668" s="4"/>
      <c r="G668" s="4"/>
      <c r="H668" s="4"/>
      <c r="I668" s="4"/>
      <c r="J668" s="4"/>
      <c r="K668" s="4"/>
      <c r="L668" s="4"/>
      <c r="M668" s="4"/>
      <c r="N668" s="4"/>
      <c r="O668" s="4"/>
      <c r="P668" s="4"/>
      <c r="Q668" s="4"/>
      <c r="R668" s="4"/>
    </row>
    <row r="669" spans="1:18" ht="12.75" customHeight="1">
      <c r="A669" s="4"/>
      <c r="B669" s="4"/>
      <c r="C669" s="3"/>
      <c r="D669" s="4"/>
      <c r="E669" s="4"/>
      <c r="F669" s="4"/>
      <c r="G669" s="4"/>
      <c r="H669" s="4"/>
      <c r="I669" s="4"/>
      <c r="J669" s="4"/>
      <c r="K669" s="4"/>
      <c r="L669" s="4"/>
      <c r="M669" s="4"/>
      <c r="N669" s="4"/>
      <c r="O669" s="4"/>
      <c r="P669" s="4"/>
      <c r="Q669" s="4"/>
      <c r="R669" s="4"/>
    </row>
    <row r="670" spans="1:18" ht="12.75" customHeight="1">
      <c r="A670" s="4"/>
      <c r="B670" s="4"/>
      <c r="C670" s="3"/>
      <c r="D670" s="4"/>
      <c r="E670" s="4"/>
      <c r="F670" s="4"/>
      <c r="G670" s="4"/>
      <c r="H670" s="4"/>
      <c r="I670" s="4"/>
      <c r="J670" s="4"/>
      <c r="K670" s="4"/>
      <c r="L670" s="4"/>
      <c r="M670" s="4"/>
      <c r="N670" s="4"/>
      <c r="O670" s="4"/>
      <c r="P670" s="4"/>
      <c r="Q670" s="4"/>
      <c r="R670" s="4"/>
    </row>
    <row r="671" spans="1:18" ht="12.75" customHeight="1">
      <c r="A671" s="4"/>
      <c r="B671" s="4"/>
      <c r="C671" s="3"/>
      <c r="D671" s="4"/>
      <c r="E671" s="4"/>
      <c r="F671" s="4"/>
      <c r="G671" s="4"/>
      <c r="H671" s="4"/>
      <c r="I671" s="4"/>
      <c r="J671" s="4"/>
      <c r="K671" s="4"/>
      <c r="L671" s="4"/>
      <c r="M671" s="4"/>
      <c r="N671" s="4"/>
      <c r="O671" s="4"/>
      <c r="P671" s="4"/>
      <c r="Q671" s="4"/>
      <c r="R671" s="4"/>
    </row>
    <row r="672" spans="1:18" ht="12.75" customHeight="1">
      <c r="A672" s="4"/>
      <c r="B672" s="4"/>
      <c r="C672" s="3"/>
      <c r="D672" s="4"/>
      <c r="E672" s="4"/>
      <c r="F672" s="4"/>
      <c r="G672" s="4"/>
      <c r="H672" s="4"/>
      <c r="I672" s="4"/>
      <c r="J672" s="4"/>
      <c r="K672" s="4"/>
      <c r="L672" s="4"/>
      <c r="M672" s="4"/>
      <c r="N672" s="4"/>
      <c r="O672" s="4"/>
      <c r="P672" s="4"/>
      <c r="Q672" s="4"/>
      <c r="R672" s="4"/>
    </row>
    <row r="673" spans="1:18" ht="12.75" customHeight="1">
      <c r="A673" s="4"/>
      <c r="B673" s="4"/>
      <c r="C673" s="3"/>
      <c r="D673" s="4"/>
      <c r="E673" s="4"/>
      <c r="F673" s="4"/>
      <c r="G673" s="4"/>
      <c r="H673" s="4"/>
      <c r="I673" s="4"/>
      <c r="J673" s="4"/>
      <c r="K673" s="4"/>
      <c r="L673" s="4"/>
      <c r="M673" s="4"/>
      <c r="N673" s="4"/>
      <c r="O673" s="4"/>
      <c r="P673" s="4"/>
      <c r="Q673" s="4"/>
      <c r="R673" s="4"/>
    </row>
    <row r="674" spans="1:18" ht="12.75" customHeight="1">
      <c r="A674" s="4"/>
      <c r="B674" s="4"/>
      <c r="C674" s="3"/>
      <c r="D674" s="4"/>
      <c r="E674" s="4"/>
      <c r="F674" s="4"/>
      <c r="G674" s="4"/>
      <c r="H674" s="4"/>
      <c r="I674" s="4"/>
      <c r="J674" s="4"/>
      <c r="K674" s="4"/>
      <c r="L674" s="4"/>
      <c r="M674" s="4"/>
      <c r="N674" s="4"/>
      <c r="O674" s="4"/>
      <c r="P674" s="4"/>
      <c r="Q674" s="4"/>
      <c r="R674" s="4"/>
    </row>
    <row r="675" spans="1:18" ht="12.75" customHeight="1">
      <c r="A675" s="4"/>
      <c r="B675" s="4"/>
      <c r="C675" s="3"/>
      <c r="D675" s="4"/>
      <c r="E675" s="4"/>
      <c r="F675" s="4"/>
      <c r="G675" s="4"/>
      <c r="H675" s="4"/>
      <c r="I675" s="4"/>
      <c r="J675" s="4"/>
      <c r="K675" s="4"/>
      <c r="L675" s="4"/>
      <c r="M675" s="4"/>
      <c r="N675" s="4"/>
      <c r="O675" s="4"/>
      <c r="P675" s="4"/>
      <c r="Q675" s="4"/>
      <c r="R675" s="4"/>
    </row>
    <row r="676" spans="1:18" ht="12.75" customHeight="1">
      <c r="A676" s="4"/>
      <c r="B676" s="4"/>
      <c r="C676" s="3"/>
      <c r="D676" s="4"/>
      <c r="E676" s="4"/>
      <c r="F676" s="4"/>
      <c r="G676" s="4"/>
      <c r="H676" s="4"/>
      <c r="I676" s="4"/>
      <c r="J676" s="4"/>
      <c r="K676" s="4"/>
      <c r="L676" s="4"/>
      <c r="M676" s="4"/>
      <c r="N676" s="4"/>
      <c r="O676" s="4"/>
      <c r="P676" s="4"/>
      <c r="Q676" s="4"/>
      <c r="R676" s="4"/>
    </row>
    <row r="677" spans="1:18" ht="12.75" customHeight="1">
      <c r="A677" s="4"/>
      <c r="B677" s="4"/>
      <c r="C677" s="3"/>
      <c r="D677" s="4"/>
      <c r="E677" s="4"/>
      <c r="F677" s="4"/>
      <c r="G677" s="4"/>
      <c r="H677" s="4"/>
      <c r="I677" s="4"/>
      <c r="J677" s="4"/>
      <c r="K677" s="4"/>
      <c r="L677" s="4"/>
      <c r="M677" s="4"/>
      <c r="N677" s="4"/>
      <c r="O677" s="4"/>
      <c r="P677" s="4"/>
      <c r="Q677" s="4"/>
      <c r="R677" s="4"/>
    </row>
    <row r="678" spans="1:18" ht="12.75" customHeight="1">
      <c r="A678" s="4"/>
      <c r="B678" s="4"/>
      <c r="C678" s="3"/>
      <c r="D678" s="4"/>
      <c r="E678" s="4"/>
      <c r="F678" s="4"/>
      <c r="G678" s="4"/>
      <c r="H678" s="4"/>
      <c r="I678" s="4"/>
      <c r="J678" s="4"/>
      <c r="K678" s="4"/>
      <c r="L678" s="4"/>
      <c r="M678" s="4"/>
      <c r="N678" s="4"/>
      <c r="O678" s="4"/>
      <c r="P678" s="4"/>
      <c r="Q678" s="4"/>
      <c r="R678" s="4"/>
    </row>
    <row r="679" spans="1:18" ht="12.75" customHeight="1">
      <c r="A679" s="4"/>
      <c r="B679" s="4"/>
      <c r="C679" s="3"/>
      <c r="D679" s="4"/>
      <c r="E679" s="4"/>
      <c r="F679" s="4"/>
      <c r="G679" s="4"/>
      <c r="H679" s="4"/>
      <c r="I679" s="4"/>
      <c r="J679" s="4"/>
      <c r="K679" s="4"/>
      <c r="L679" s="4"/>
      <c r="M679" s="4"/>
      <c r="N679" s="4"/>
      <c r="O679" s="4"/>
      <c r="P679" s="4"/>
      <c r="Q679" s="4"/>
      <c r="R679" s="4"/>
    </row>
    <row r="680" spans="1:18" ht="12.75" customHeight="1">
      <c r="A680" s="4"/>
      <c r="B680" s="4"/>
      <c r="C680" s="3"/>
      <c r="D680" s="4"/>
      <c r="E680" s="4"/>
      <c r="F680" s="4"/>
      <c r="G680" s="4"/>
      <c r="H680" s="4"/>
      <c r="I680" s="4"/>
      <c r="J680" s="4"/>
      <c r="K680" s="4"/>
      <c r="L680" s="4"/>
      <c r="M680" s="4"/>
      <c r="N680" s="4"/>
      <c r="O680" s="4"/>
      <c r="P680" s="4"/>
      <c r="Q680" s="4"/>
      <c r="R680" s="4"/>
    </row>
    <row r="681" spans="1:18" ht="12.75" customHeight="1">
      <c r="A681" s="4"/>
      <c r="B681" s="4"/>
      <c r="C681" s="3"/>
      <c r="D681" s="4"/>
      <c r="E681" s="4"/>
      <c r="F681" s="4"/>
      <c r="G681" s="4"/>
      <c r="H681" s="4"/>
      <c r="I681" s="4"/>
      <c r="J681" s="4"/>
      <c r="K681" s="4"/>
      <c r="L681" s="4"/>
      <c r="M681" s="4"/>
      <c r="N681" s="4"/>
      <c r="O681" s="4"/>
      <c r="P681" s="4"/>
      <c r="Q681" s="4"/>
      <c r="R681" s="4"/>
    </row>
    <row r="682" spans="1:18" ht="12.75" customHeight="1">
      <c r="A682" s="4"/>
      <c r="B682" s="4"/>
      <c r="C682" s="3"/>
      <c r="D682" s="4"/>
      <c r="E682" s="4"/>
      <c r="F682" s="4"/>
      <c r="G682" s="4"/>
      <c r="H682" s="4"/>
      <c r="I682" s="4"/>
      <c r="J682" s="4"/>
      <c r="K682" s="4"/>
      <c r="L682" s="4"/>
      <c r="M682" s="4"/>
      <c r="N682" s="4"/>
      <c r="O682" s="4"/>
      <c r="P682" s="4"/>
      <c r="Q682" s="4"/>
      <c r="R682" s="4"/>
    </row>
    <row r="683" spans="1:18" ht="12.75" customHeight="1">
      <c r="A683" s="4"/>
      <c r="B683" s="4"/>
      <c r="C683" s="3"/>
      <c r="D683" s="4"/>
      <c r="E683" s="4"/>
      <c r="F683" s="4"/>
      <c r="G683" s="4"/>
      <c r="H683" s="4"/>
      <c r="I683" s="4"/>
      <c r="J683" s="4"/>
      <c r="K683" s="4"/>
      <c r="L683" s="4"/>
      <c r="M683" s="4"/>
      <c r="N683" s="4"/>
      <c r="O683" s="4"/>
      <c r="P683" s="4"/>
      <c r="Q683" s="4"/>
      <c r="R683" s="4"/>
    </row>
    <row r="684" spans="1:18" ht="12.75" customHeight="1">
      <c r="A684" s="4"/>
      <c r="B684" s="4"/>
      <c r="C684" s="3"/>
      <c r="D684" s="4"/>
      <c r="E684" s="4"/>
      <c r="F684" s="4"/>
      <c r="G684" s="4"/>
      <c r="H684" s="4"/>
      <c r="I684" s="4"/>
      <c r="J684" s="4"/>
      <c r="K684" s="4"/>
      <c r="L684" s="4"/>
      <c r="M684" s="4"/>
      <c r="N684" s="4"/>
      <c r="O684" s="4"/>
      <c r="P684" s="4"/>
      <c r="Q684" s="4"/>
      <c r="R684" s="4"/>
    </row>
    <row r="685" spans="1:18" ht="12.75" customHeight="1">
      <c r="A685" s="4"/>
      <c r="B685" s="4"/>
      <c r="C685" s="3"/>
      <c r="D685" s="4"/>
      <c r="E685" s="4"/>
      <c r="F685" s="4"/>
      <c r="G685" s="4"/>
      <c r="H685" s="4"/>
      <c r="I685" s="4"/>
      <c r="J685" s="4"/>
      <c r="K685" s="4"/>
      <c r="L685" s="4"/>
      <c r="M685" s="4"/>
      <c r="N685" s="4"/>
      <c r="O685" s="4"/>
      <c r="P685" s="4"/>
      <c r="Q685" s="4"/>
      <c r="R685" s="4"/>
    </row>
    <row r="686" spans="1:18" ht="12.75" customHeight="1">
      <c r="A686" s="4"/>
      <c r="B686" s="4"/>
      <c r="C686" s="3"/>
      <c r="D686" s="4"/>
      <c r="E686" s="4"/>
      <c r="F686" s="4"/>
      <c r="G686" s="4"/>
      <c r="H686" s="4"/>
      <c r="I686" s="4"/>
      <c r="J686" s="4"/>
      <c r="K686" s="4"/>
      <c r="L686" s="4"/>
      <c r="M686" s="4"/>
      <c r="N686" s="4"/>
      <c r="O686" s="4"/>
      <c r="P686" s="4"/>
      <c r="Q686" s="4"/>
      <c r="R686" s="4"/>
    </row>
    <row r="687" spans="1:18" ht="12.75" customHeight="1">
      <c r="A687" s="4"/>
      <c r="B687" s="4"/>
      <c r="C687" s="3"/>
      <c r="D687" s="4"/>
      <c r="E687" s="4"/>
      <c r="F687" s="4"/>
      <c r="G687" s="4"/>
      <c r="H687" s="4"/>
      <c r="I687" s="4"/>
      <c r="J687" s="4"/>
      <c r="K687" s="4"/>
      <c r="L687" s="4"/>
      <c r="M687" s="4"/>
      <c r="N687" s="4"/>
      <c r="O687" s="4"/>
      <c r="P687" s="4"/>
      <c r="Q687" s="4"/>
      <c r="R687" s="4"/>
    </row>
    <row r="688" spans="1:18" ht="12.75" customHeight="1">
      <c r="A688" s="4"/>
      <c r="B688" s="4"/>
      <c r="C688" s="3"/>
      <c r="D688" s="4"/>
      <c r="E688" s="4"/>
      <c r="F688" s="4"/>
      <c r="G688" s="4"/>
      <c r="H688" s="4"/>
      <c r="I688" s="4"/>
      <c r="J688" s="4"/>
      <c r="K688" s="4"/>
      <c r="L688" s="4"/>
      <c r="M688" s="4"/>
      <c r="N688" s="4"/>
      <c r="O688" s="4"/>
      <c r="P688" s="4"/>
      <c r="Q688" s="4"/>
      <c r="R688" s="4"/>
    </row>
    <row r="689" spans="1:18" ht="12.75" customHeight="1">
      <c r="A689" s="4"/>
      <c r="B689" s="4"/>
      <c r="C689" s="3"/>
      <c r="D689" s="4"/>
      <c r="E689" s="4"/>
      <c r="F689" s="4"/>
      <c r="G689" s="4"/>
      <c r="H689" s="4"/>
      <c r="I689" s="4"/>
      <c r="J689" s="4"/>
      <c r="K689" s="4"/>
      <c r="L689" s="4"/>
      <c r="M689" s="4"/>
      <c r="N689" s="4"/>
      <c r="O689" s="4"/>
      <c r="P689" s="4"/>
      <c r="Q689" s="4"/>
      <c r="R689" s="4"/>
    </row>
    <row r="690" spans="1:18" ht="12.75" customHeight="1">
      <c r="A690" s="4"/>
      <c r="B690" s="4"/>
      <c r="C690" s="3"/>
      <c r="D690" s="4"/>
      <c r="E690" s="4"/>
      <c r="F690" s="4"/>
      <c r="G690" s="4"/>
      <c r="H690" s="4"/>
      <c r="I690" s="4"/>
      <c r="J690" s="4"/>
      <c r="K690" s="4"/>
      <c r="L690" s="4"/>
      <c r="M690" s="4"/>
      <c r="N690" s="4"/>
      <c r="O690" s="4"/>
      <c r="P690" s="4"/>
      <c r="Q690" s="4"/>
      <c r="R690" s="4"/>
    </row>
    <row r="691" spans="1:18" ht="12.75" customHeight="1">
      <c r="A691" s="4"/>
      <c r="B691" s="4"/>
      <c r="C691" s="3"/>
      <c r="D691" s="4"/>
      <c r="E691" s="4"/>
      <c r="F691" s="4"/>
      <c r="G691" s="4"/>
      <c r="H691" s="4"/>
      <c r="I691" s="4"/>
      <c r="J691" s="4"/>
      <c r="K691" s="4"/>
      <c r="L691" s="4"/>
      <c r="M691" s="4"/>
      <c r="N691" s="4"/>
      <c r="O691" s="4"/>
      <c r="P691" s="4"/>
      <c r="Q691" s="4"/>
      <c r="R691" s="4"/>
    </row>
    <row r="692" spans="1:18" ht="12.75" customHeight="1">
      <c r="A692" s="4"/>
      <c r="B692" s="4"/>
      <c r="C692" s="3"/>
      <c r="D692" s="4"/>
      <c r="E692" s="4"/>
      <c r="F692" s="4"/>
      <c r="G692" s="4"/>
      <c r="H692" s="4"/>
      <c r="I692" s="4"/>
      <c r="J692" s="4"/>
      <c r="K692" s="4"/>
      <c r="L692" s="4"/>
      <c r="M692" s="4"/>
      <c r="N692" s="4"/>
      <c r="O692" s="4"/>
      <c r="P692" s="4"/>
      <c r="Q692" s="4"/>
      <c r="R692" s="4"/>
    </row>
    <row r="693" spans="1:18" ht="12.75" customHeight="1">
      <c r="A693" s="4"/>
      <c r="B693" s="4"/>
      <c r="C693" s="3"/>
      <c r="D693" s="4"/>
      <c r="E693" s="4"/>
      <c r="F693" s="4"/>
      <c r="G693" s="4"/>
      <c r="H693" s="4"/>
      <c r="I693" s="4"/>
      <c r="J693" s="4"/>
      <c r="K693" s="4"/>
      <c r="L693" s="4"/>
      <c r="M693" s="4"/>
      <c r="N693" s="4"/>
      <c r="O693" s="4"/>
      <c r="P693" s="4"/>
      <c r="Q693" s="4"/>
      <c r="R693" s="4"/>
    </row>
    <row r="694" spans="1:18" ht="12.75" customHeight="1">
      <c r="A694" s="4"/>
      <c r="B694" s="4"/>
      <c r="C694" s="3"/>
      <c r="D694" s="4"/>
      <c r="E694" s="4"/>
      <c r="F694" s="4"/>
      <c r="G694" s="4"/>
      <c r="H694" s="4"/>
      <c r="I694" s="4"/>
      <c r="J694" s="4"/>
      <c r="K694" s="4"/>
      <c r="L694" s="4"/>
      <c r="M694" s="4"/>
      <c r="N694" s="4"/>
      <c r="O694" s="4"/>
      <c r="P694" s="4"/>
      <c r="Q694" s="4"/>
      <c r="R694" s="4"/>
    </row>
    <row r="695" spans="1:18" ht="12.75" customHeight="1">
      <c r="A695" s="4"/>
      <c r="B695" s="4"/>
      <c r="C695" s="3"/>
      <c r="D695" s="4"/>
      <c r="E695" s="4"/>
      <c r="F695" s="4"/>
      <c r="G695" s="4"/>
      <c r="H695" s="4"/>
      <c r="I695" s="4"/>
      <c r="J695" s="4"/>
      <c r="K695" s="4"/>
      <c r="L695" s="4"/>
      <c r="M695" s="4"/>
      <c r="N695" s="4"/>
      <c r="O695" s="4"/>
      <c r="P695" s="4"/>
      <c r="Q695" s="4"/>
      <c r="R695" s="4"/>
    </row>
    <row r="696" spans="1:18" ht="12.75" customHeight="1">
      <c r="A696" s="4"/>
      <c r="B696" s="4"/>
      <c r="C696" s="3"/>
      <c r="D696" s="4"/>
      <c r="E696" s="4"/>
      <c r="F696" s="4"/>
      <c r="G696" s="4"/>
      <c r="H696" s="4"/>
      <c r="I696" s="4"/>
      <c r="J696" s="4"/>
      <c r="K696" s="4"/>
      <c r="L696" s="4"/>
      <c r="M696" s="4"/>
      <c r="N696" s="4"/>
      <c r="O696" s="4"/>
      <c r="P696" s="4"/>
      <c r="Q696" s="4"/>
      <c r="R696" s="4"/>
    </row>
    <row r="697" spans="1:18" ht="12.75" customHeight="1">
      <c r="A697" s="4"/>
      <c r="B697" s="4"/>
      <c r="C697" s="3"/>
      <c r="D697" s="4"/>
      <c r="E697" s="4"/>
      <c r="F697" s="4"/>
      <c r="G697" s="4"/>
      <c r="H697" s="4"/>
      <c r="I697" s="4"/>
      <c r="J697" s="4"/>
      <c r="K697" s="4"/>
      <c r="L697" s="4"/>
      <c r="M697" s="4"/>
      <c r="N697" s="4"/>
      <c r="O697" s="4"/>
      <c r="P697" s="4"/>
      <c r="Q697" s="4"/>
      <c r="R697" s="4"/>
    </row>
    <row r="698" spans="1:18" ht="12.75" customHeight="1">
      <c r="A698" s="4"/>
      <c r="B698" s="4"/>
      <c r="C698" s="3"/>
      <c r="D698" s="4"/>
      <c r="E698" s="4"/>
      <c r="F698" s="4"/>
      <c r="G698" s="4"/>
      <c r="H698" s="4"/>
      <c r="I698" s="4"/>
      <c r="J698" s="4"/>
      <c r="K698" s="4"/>
      <c r="L698" s="4"/>
      <c r="M698" s="4"/>
      <c r="N698" s="4"/>
      <c r="O698" s="4"/>
      <c r="P698" s="4"/>
      <c r="Q698" s="4"/>
      <c r="R698" s="4"/>
    </row>
    <row r="699" spans="1:18" ht="12.75" customHeight="1">
      <c r="A699" s="4"/>
      <c r="B699" s="4"/>
      <c r="C699" s="3"/>
      <c r="D699" s="4"/>
      <c r="E699" s="4"/>
      <c r="F699" s="4"/>
      <c r="G699" s="4"/>
      <c r="H699" s="4"/>
      <c r="I699" s="4"/>
      <c r="J699" s="4"/>
      <c r="K699" s="4"/>
      <c r="L699" s="4"/>
      <c r="M699" s="4"/>
      <c r="N699" s="4"/>
      <c r="O699" s="4"/>
      <c r="P699" s="4"/>
      <c r="Q699" s="4"/>
      <c r="R699" s="4"/>
    </row>
    <row r="700" spans="1:18" ht="12.75" customHeight="1">
      <c r="A700" s="4"/>
      <c r="B700" s="4"/>
      <c r="C700" s="3"/>
      <c r="D700" s="4"/>
      <c r="E700" s="4"/>
      <c r="F700" s="4"/>
      <c r="G700" s="4"/>
      <c r="H700" s="4"/>
      <c r="I700" s="4"/>
      <c r="J700" s="4"/>
      <c r="K700" s="4"/>
      <c r="L700" s="4"/>
      <c r="M700" s="4"/>
      <c r="N700" s="4"/>
      <c r="O700" s="4"/>
      <c r="P700" s="4"/>
      <c r="Q700" s="4"/>
      <c r="R700" s="4"/>
    </row>
    <row r="701" spans="1:18" ht="12.75" customHeight="1">
      <c r="A701" s="4"/>
      <c r="B701" s="4"/>
      <c r="C701" s="3"/>
      <c r="D701" s="4"/>
      <c r="E701" s="4"/>
      <c r="F701" s="4"/>
      <c r="G701" s="4"/>
      <c r="H701" s="4"/>
      <c r="I701" s="4"/>
      <c r="J701" s="4"/>
      <c r="K701" s="4"/>
      <c r="L701" s="4"/>
      <c r="M701" s="4"/>
      <c r="N701" s="4"/>
      <c r="O701" s="4"/>
      <c r="P701" s="4"/>
      <c r="Q701" s="4"/>
      <c r="R701" s="4"/>
    </row>
    <row r="702" spans="1:18" ht="12.75" customHeight="1">
      <c r="A702" s="4"/>
      <c r="B702" s="4"/>
      <c r="C702" s="3"/>
      <c r="D702" s="4"/>
      <c r="E702" s="4"/>
      <c r="F702" s="4"/>
      <c r="G702" s="4"/>
      <c r="H702" s="4"/>
      <c r="I702" s="4"/>
      <c r="J702" s="4"/>
      <c r="K702" s="4"/>
      <c r="L702" s="4"/>
      <c r="M702" s="4"/>
      <c r="N702" s="4"/>
      <c r="O702" s="4"/>
      <c r="P702" s="4"/>
      <c r="Q702" s="4"/>
      <c r="R702" s="4"/>
    </row>
    <row r="703" spans="1:18" ht="12.75" customHeight="1">
      <c r="A703" s="4"/>
      <c r="B703" s="4"/>
      <c r="C703" s="3"/>
      <c r="D703" s="4"/>
      <c r="E703" s="4"/>
      <c r="F703" s="4"/>
      <c r="G703" s="4"/>
      <c r="H703" s="4"/>
      <c r="I703" s="4"/>
      <c r="J703" s="4"/>
      <c r="K703" s="4"/>
      <c r="L703" s="4"/>
      <c r="M703" s="4"/>
      <c r="N703" s="4"/>
      <c r="O703" s="4"/>
      <c r="P703" s="4"/>
      <c r="Q703" s="4"/>
      <c r="R703" s="4"/>
    </row>
    <row r="704" spans="1:18" ht="12.75" customHeight="1">
      <c r="A704" s="4"/>
      <c r="B704" s="4"/>
      <c r="C704" s="3"/>
      <c r="D704" s="4"/>
      <c r="E704" s="4"/>
      <c r="F704" s="4"/>
      <c r="G704" s="4"/>
      <c r="H704" s="4"/>
      <c r="I704" s="4"/>
      <c r="J704" s="4"/>
      <c r="K704" s="4"/>
      <c r="L704" s="4"/>
      <c r="M704" s="4"/>
      <c r="N704" s="4"/>
      <c r="O704" s="4"/>
      <c r="P704" s="4"/>
      <c r="Q704" s="4"/>
      <c r="R704" s="4"/>
    </row>
    <row r="705" spans="1:18" ht="12.75" customHeight="1">
      <c r="A705" s="4"/>
      <c r="B705" s="4"/>
      <c r="C705" s="3"/>
      <c r="D705" s="4"/>
      <c r="E705" s="4"/>
      <c r="F705" s="4"/>
      <c r="G705" s="4"/>
      <c r="H705" s="4"/>
      <c r="I705" s="4"/>
      <c r="J705" s="4"/>
      <c r="K705" s="4"/>
      <c r="L705" s="4"/>
      <c r="M705" s="4"/>
      <c r="N705" s="4"/>
      <c r="O705" s="4"/>
      <c r="P705" s="4"/>
      <c r="Q705" s="4"/>
      <c r="R705" s="4"/>
    </row>
    <row r="706" spans="1:18" ht="12.75" customHeight="1">
      <c r="A706" s="4"/>
      <c r="B706" s="4"/>
      <c r="C706" s="3"/>
      <c r="D706" s="4"/>
      <c r="E706" s="4"/>
      <c r="F706" s="4"/>
      <c r="G706" s="4"/>
      <c r="H706" s="4"/>
      <c r="I706" s="4"/>
      <c r="J706" s="4"/>
      <c r="K706" s="4"/>
      <c r="L706" s="4"/>
      <c r="M706" s="4"/>
      <c r="N706" s="4"/>
      <c r="O706" s="4"/>
      <c r="P706" s="4"/>
      <c r="Q706" s="4"/>
      <c r="R706" s="4"/>
    </row>
    <row r="707" spans="1:18" ht="12.75" customHeight="1">
      <c r="A707" s="4"/>
      <c r="B707" s="4"/>
      <c r="C707" s="3"/>
      <c r="D707" s="4"/>
      <c r="E707" s="4"/>
      <c r="F707" s="4"/>
      <c r="G707" s="4"/>
      <c r="H707" s="4"/>
      <c r="I707" s="4"/>
      <c r="J707" s="4"/>
      <c r="K707" s="4"/>
      <c r="L707" s="4"/>
      <c r="M707" s="4"/>
      <c r="N707" s="4"/>
      <c r="O707" s="4"/>
      <c r="P707" s="4"/>
      <c r="Q707" s="4"/>
      <c r="R707" s="4"/>
    </row>
    <row r="708" spans="1:18" ht="12.75" customHeight="1">
      <c r="A708" s="4"/>
      <c r="B708" s="4"/>
      <c r="C708" s="3"/>
      <c r="D708" s="4"/>
      <c r="E708" s="4"/>
      <c r="F708" s="4"/>
      <c r="G708" s="4"/>
      <c r="H708" s="4"/>
      <c r="I708" s="4"/>
      <c r="J708" s="4"/>
      <c r="K708" s="4"/>
      <c r="L708" s="4"/>
      <c r="M708" s="4"/>
      <c r="N708" s="4"/>
      <c r="O708" s="4"/>
      <c r="P708" s="4"/>
      <c r="Q708" s="4"/>
      <c r="R708" s="4"/>
    </row>
    <row r="709" spans="1:18" ht="12.75" customHeight="1">
      <c r="A709" s="4"/>
      <c r="B709" s="4"/>
      <c r="C709" s="3"/>
      <c r="D709" s="4"/>
      <c r="E709" s="4"/>
      <c r="F709" s="4"/>
      <c r="G709" s="4"/>
      <c r="H709" s="4"/>
      <c r="I709" s="4"/>
      <c r="J709" s="4"/>
      <c r="K709" s="4"/>
      <c r="L709" s="4"/>
      <c r="M709" s="4"/>
      <c r="N709" s="4"/>
      <c r="O709" s="4"/>
      <c r="P709" s="4"/>
      <c r="Q709" s="4"/>
      <c r="R709" s="4"/>
    </row>
    <row r="710" spans="1:18" ht="12.75" customHeight="1">
      <c r="A710" s="4"/>
      <c r="B710" s="4"/>
      <c r="C710" s="3"/>
      <c r="D710" s="4"/>
      <c r="E710" s="4"/>
      <c r="F710" s="4"/>
      <c r="G710" s="4"/>
      <c r="H710" s="4"/>
      <c r="I710" s="4"/>
      <c r="J710" s="4"/>
      <c r="K710" s="4"/>
      <c r="L710" s="4"/>
      <c r="M710" s="4"/>
      <c r="N710" s="4"/>
      <c r="O710" s="4"/>
      <c r="P710" s="4"/>
      <c r="Q710" s="4"/>
      <c r="R710" s="4"/>
    </row>
    <row r="711" spans="1:18" ht="12.75" customHeight="1">
      <c r="A711" s="4"/>
      <c r="B711" s="4"/>
      <c r="C711" s="3"/>
      <c r="D711" s="4"/>
      <c r="E711" s="4"/>
      <c r="F711" s="4"/>
      <c r="G711" s="4"/>
      <c r="H711" s="4"/>
      <c r="I711" s="4"/>
      <c r="J711" s="4"/>
      <c r="K711" s="4"/>
      <c r="L711" s="4"/>
      <c r="M711" s="4"/>
      <c r="N711" s="4"/>
      <c r="O711" s="4"/>
      <c r="P711" s="4"/>
      <c r="Q711" s="4"/>
      <c r="R711" s="4"/>
    </row>
    <row r="712" spans="1:18" ht="12.75" customHeight="1">
      <c r="A712" s="4"/>
      <c r="B712" s="4"/>
      <c r="C712" s="3"/>
      <c r="D712" s="4"/>
      <c r="E712" s="4"/>
      <c r="F712" s="4"/>
      <c r="G712" s="4"/>
      <c r="H712" s="4"/>
      <c r="I712" s="4"/>
      <c r="J712" s="4"/>
      <c r="K712" s="4"/>
      <c r="L712" s="4"/>
      <c r="M712" s="4"/>
      <c r="N712" s="4"/>
      <c r="O712" s="4"/>
      <c r="P712" s="4"/>
      <c r="Q712" s="4"/>
      <c r="R712" s="4"/>
    </row>
    <row r="713" spans="1:18" ht="12.75" customHeight="1">
      <c r="A713" s="4"/>
      <c r="B713" s="4"/>
      <c r="C713" s="3"/>
      <c r="D713" s="4"/>
      <c r="E713" s="4"/>
      <c r="F713" s="4"/>
      <c r="G713" s="4"/>
      <c r="H713" s="4"/>
      <c r="I713" s="4"/>
      <c r="J713" s="4"/>
      <c r="K713" s="4"/>
      <c r="L713" s="4"/>
      <c r="M713" s="4"/>
      <c r="N713" s="4"/>
      <c r="O713" s="4"/>
      <c r="P713" s="4"/>
      <c r="Q713" s="4"/>
      <c r="R713" s="4"/>
    </row>
    <row r="714" spans="1:18" ht="12.75" customHeight="1">
      <c r="A714" s="4"/>
      <c r="B714" s="4"/>
      <c r="C714" s="3"/>
      <c r="D714" s="4"/>
      <c r="E714" s="4"/>
      <c r="F714" s="4"/>
      <c r="G714" s="4"/>
      <c r="H714" s="4"/>
      <c r="I714" s="4"/>
      <c r="J714" s="4"/>
      <c r="K714" s="4"/>
      <c r="L714" s="4"/>
      <c r="M714" s="4"/>
      <c r="N714" s="4"/>
      <c r="O714" s="4"/>
      <c r="P714" s="4"/>
      <c r="Q714" s="4"/>
      <c r="R714" s="4"/>
    </row>
    <row r="715" spans="1:18" ht="12.75" customHeight="1">
      <c r="A715" s="4"/>
      <c r="B715" s="4"/>
      <c r="C715" s="3"/>
      <c r="D715" s="4"/>
      <c r="E715" s="4"/>
      <c r="F715" s="4"/>
      <c r="G715" s="4"/>
      <c r="H715" s="4"/>
      <c r="I715" s="4"/>
      <c r="J715" s="4"/>
      <c r="K715" s="4"/>
      <c r="L715" s="4"/>
      <c r="M715" s="4"/>
      <c r="N715" s="4"/>
      <c r="O715" s="4"/>
      <c r="P715" s="4"/>
      <c r="Q715" s="4"/>
      <c r="R715" s="4"/>
    </row>
    <row r="716" spans="1:18" ht="12.75" customHeight="1">
      <c r="A716" s="4"/>
      <c r="B716" s="4"/>
      <c r="C716" s="3"/>
      <c r="D716" s="4"/>
      <c r="E716" s="4"/>
      <c r="F716" s="4"/>
      <c r="G716" s="4"/>
      <c r="H716" s="4"/>
      <c r="I716" s="4"/>
      <c r="J716" s="4"/>
      <c r="K716" s="4"/>
      <c r="L716" s="4"/>
      <c r="M716" s="4"/>
      <c r="N716" s="4"/>
      <c r="O716" s="4"/>
      <c r="P716" s="4"/>
      <c r="Q716" s="4"/>
      <c r="R716" s="4"/>
    </row>
    <row r="717" spans="1:18" ht="12.75" customHeight="1">
      <c r="A717" s="4"/>
      <c r="B717" s="4"/>
      <c r="C717" s="3"/>
      <c r="D717" s="4"/>
      <c r="E717" s="4"/>
      <c r="F717" s="4"/>
      <c r="G717" s="4"/>
      <c r="H717" s="4"/>
      <c r="I717" s="4"/>
      <c r="J717" s="4"/>
      <c r="K717" s="4"/>
      <c r="L717" s="4"/>
      <c r="M717" s="4"/>
      <c r="N717" s="4"/>
      <c r="O717" s="4"/>
      <c r="P717" s="4"/>
      <c r="Q717" s="4"/>
      <c r="R717" s="4"/>
    </row>
    <row r="718" spans="1:18" ht="12.75" customHeight="1">
      <c r="A718" s="4"/>
      <c r="B718" s="4"/>
      <c r="C718" s="3"/>
      <c r="D718" s="4"/>
      <c r="E718" s="4"/>
      <c r="F718" s="4"/>
      <c r="G718" s="4"/>
      <c r="H718" s="4"/>
      <c r="I718" s="4"/>
      <c r="J718" s="4"/>
      <c r="K718" s="4"/>
      <c r="L718" s="4"/>
      <c r="M718" s="4"/>
      <c r="N718" s="4"/>
      <c r="O718" s="4"/>
      <c r="P718" s="4"/>
      <c r="Q718" s="4"/>
      <c r="R718" s="4"/>
    </row>
    <row r="719" spans="1:18" ht="12.75" customHeight="1">
      <c r="A719" s="4"/>
      <c r="B719" s="4"/>
      <c r="C719" s="3"/>
      <c r="D719" s="4"/>
      <c r="E719" s="4"/>
      <c r="F719" s="4"/>
      <c r="G719" s="4"/>
      <c r="H719" s="4"/>
      <c r="I719" s="4"/>
      <c r="J719" s="4"/>
      <c r="K719" s="4"/>
      <c r="L719" s="4"/>
      <c r="M719" s="4"/>
      <c r="N719" s="4"/>
      <c r="O719" s="4"/>
      <c r="P719" s="4"/>
      <c r="Q719" s="4"/>
      <c r="R719" s="4"/>
    </row>
    <row r="720" spans="1:18" ht="12.75" customHeight="1">
      <c r="A720" s="4"/>
      <c r="B720" s="4"/>
      <c r="C720" s="3"/>
      <c r="D720" s="4"/>
      <c r="E720" s="4"/>
      <c r="F720" s="4"/>
      <c r="G720" s="4"/>
      <c r="H720" s="4"/>
      <c r="I720" s="4"/>
      <c r="J720" s="4"/>
      <c r="K720" s="4"/>
      <c r="L720" s="4"/>
      <c r="M720" s="4"/>
      <c r="N720" s="4"/>
      <c r="O720" s="4"/>
      <c r="P720" s="4"/>
      <c r="Q720" s="4"/>
      <c r="R720" s="4"/>
    </row>
    <row r="721" spans="1:18" ht="12.75" customHeight="1">
      <c r="A721" s="4"/>
      <c r="B721" s="4"/>
      <c r="C721" s="3"/>
      <c r="D721" s="4"/>
      <c r="E721" s="4"/>
      <c r="F721" s="4"/>
      <c r="G721" s="4"/>
      <c r="H721" s="4"/>
      <c r="I721" s="4"/>
      <c r="J721" s="4"/>
      <c r="K721" s="4"/>
      <c r="L721" s="4"/>
      <c r="M721" s="4"/>
      <c r="N721" s="4"/>
      <c r="O721" s="4"/>
      <c r="P721" s="4"/>
      <c r="Q721" s="4"/>
      <c r="R721" s="4"/>
    </row>
    <row r="722" spans="1:18" ht="12.75" customHeight="1">
      <c r="A722" s="4"/>
      <c r="B722" s="4"/>
      <c r="C722" s="3"/>
      <c r="D722" s="4"/>
      <c r="E722" s="4"/>
      <c r="F722" s="4"/>
      <c r="G722" s="4"/>
      <c r="H722" s="4"/>
      <c r="I722" s="4"/>
      <c r="J722" s="4"/>
      <c r="K722" s="4"/>
      <c r="L722" s="4"/>
      <c r="M722" s="4"/>
      <c r="N722" s="4"/>
      <c r="O722" s="4"/>
      <c r="P722" s="4"/>
      <c r="Q722" s="4"/>
      <c r="R722" s="4"/>
    </row>
    <row r="723" spans="1:18" ht="12.75" customHeight="1">
      <c r="A723" s="4"/>
      <c r="B723" s="4"/>
      <c r="C723" s="3"/>
      <c r="D723" s="4"/>
      <c r="E723" s="4"/>
      <c r="F723" s="4"/>
      <c r="G723" s="4"/>
      <c r="H723" s="4"/>
      <c r="I723" s="4"/>
      <c r="J723" s="4"/>
      <c r="K723" s="4"/>
      <c r="L723" s="4"/>
      <c r="M723" s="4"/>
      <c r="N723" s="4"/>
      <c r="O723" s="4"/>
      <c r="P723" s="4"/>
      <c r="Q723" s="4"/>
      <c r="R723" s="4"/>
    </row>
    <row r="724" spans="1:18" ht="12.75" customHeight="1">
      <c r="A724" s="4"/>
      <c r="B724" s="4"/>
      <c r="C724" s="3"/>
      <c r="D724" s="4"/>
      <c r="E724" s="4"/>
      <c r="F724" s="4"/>
      <c r="G724" s="4"/>
      <c r="H724" s="4"/>
      <c r="I724" s="4"/>
      <c r="J724" s="4"/>
      <c r="K724" s="4"/>
      <c r="L724" s="4"/>
      <c r="M724" s="4"/>
      <c r="N724" s="4"/>
      <c r="O724" s="4"/>
      <c r="P724" s="4"/>
      <c r="Q724" s="4"/>
      <c r="R724" s="4"/>
    </row>
    <row r="725" spans="1:18" ht="12.75" customHeight="1">
      <c r="A725" s="4"/>
      <c r="B725" s="4"/>
      <c r="C725" s="3"/>
      <c r="D725" s="4"/>
      <c r="E725" s="4"/>
      <c r="F725" s="4"/>
      <c r="G725" s="4"/>
      <c r="H725" s="4"/>
      <c r="I725" s="4"/>
      <c r="J725" s="4"/>
      <c r="K725" s="4"/>
      <c r="L725" s="4"/>
      <c r="M725" s="4"/>
      <c r="N725" s="4"/>
      <c r="O725" s="4"/>
      <c r="P725" s="4"/>
      <c r="Q725" s="4"/>
      <c r="R725" s="4"/>
    </row>
    <row r="726" spans="1:18" ht="12.75" customHeight="1">
      <c r="A726" s="4"/>
      <c r="B726" s="4"/>
      <c r="C726" s="3"/>
      <c r="D726" s="4"/>
      <c r="E726" s="4"/>
      <c r="F726" s="4"/>
      <c r="G726" s="4"/>
      <c r="H726" s="4"/>
      <c r="I726" s="4"/>
      <c r="J726" s="4"/>
      <c r="K726" s="4"/>
      <c r="L726" s="4"/>
      <c r="M726" s="4"/>
      <c r="N726" s="4"/>
      <c r="O726" s="4"/>
      <c r="P726" s="4"/>
      <c r="Q726" s="4"/>
      <c r="R726" s="4"/>
    </row>
    <row r="727" spans="1:18" ht="12.75" customHeight="1">
      <c r="A727" s="4"/>
      <c r="B727" s="4"/>
      <c r="C727" s="3"/>
      <c r="D727" s="4"/>
      <c r="E727" s="4"/>
      <c r="F727" s="4"/>
      <c r="G727" s="4"/>
      <c r="H727" s="4"/>
      <c r="I727" s="4"/>
      <c r="J727" s="4"/>
      <c r="K727" s="4"/>
      <c r="L727" s="4"/>
      <c r="M727" s="4"/>
      <c r="N727" s="4"/>
      <c r="O727" s="4"/>
      <c r="P727" s="4"/>
      <c r="Q727" s="4"/>
      <c r="R727" s="4"/>
    </row>
    <row r="728" spans="1:18" ht="12.75" customHeight="1">
      <c r="A728" s="4"/>
      <c r="B728" s="4"/>
      <c r="C728" s="3"/>
      <c r="D728" s="4"/>
      <c r="E728" s="4"/>
      <c r="F728" s="4"/>
      <c r="G728" s="4"/>
      <c r="H728" s="4"/>
      <c r="I728" s="4"/>
      <c r="J728" s="4"/>
      <c r="K728" s="4"/>
      <c r="L728" s="4"/>
      <c r="M728" s="4"/>
      <c r="N728" s="4"/>
      <c r="O728" s="4"/>
      <c r="P728" s="4"/>
      <c r="Q728" s="4"/>
      <c r="R728" s="4"/>
    </row>
    <row r="729" spans="1:18" ht="12.75" customHeight="1">
      <c r="A729" s="4"/>
      <c r="B729" s="4"/>
      <c r="C729" s="3"/>
      <c r="D729" s="4"/>
      <c r="E729" s="4"/>
      <c r="F729" s="4"/>
      <c r="G729" s="4"/>
      <c r="H729" s="4"/>
      <c r="I729" s="4"/>
      <c r="J729" s="4"/>
      <c r="K729" s="4"/>
      <c r="L729" s="4"/>
      <c r="M729" s="4"/>
      <c r="N729" s="4"/>
      <c r="O729" s="4"/>
      <c r="P729" s="4"/>
      <c r="Q729" s="4"/>
      <c r="R729" s="4"/>
    </row>
    <row r="730" spans="1:18" ht="12.75" customHeight="1">
      <c r="A730" s="4"/>
      <c r="B730" s="4"/>
      <c r="C730" s="3"/>
      <c r="D730" s="4"/>
      <c r="E730" s="4"/>
      <c r="F730" s="4"/>
      <c r="G730" s="4"/>
      <c r="H730" s="4"/>
      <c r="I730" s="4"/>
      <c r="J730" s="4"/>
      <c r="K730" s="4"/>
      <c r="L730" s="4"/>
      <c r="M730" s="4"/>
      <c r="N730" s="4"/>
      <c r="O730" s="4"/>
      <c r="P730" s="4"/>
      <c r="Q730" s="4"/>
      <c r="R730" s="4"/>
    </row>
    <row r="731" spans="1:18" ht="12.75" customHeight="1">
      <c r="A731" s="4"/>
      <c r="B731" s="4"/>
      <c r="C731" s="3"/>
      <c r="D731" s="4"/>
      <c r="E731" s="4"/>
      <c r="F731" s="4"/>
      <c r="G731" s="4"/>
      <c r="H731" s="4"/>
      <c r="I731" s="4"/>
      <c r="J731" s="4"/>
      <c r="K731" s="4"/>
      <c r="L731" s="4"/>
      <c r="M731" s="4"/>
      <c r="N731" s="4"/>
      <c r="O731" s="4"/>
      <c r="P731" s="4"/>
      <c r="Q731" s="4"/>
      <c r="R731" s="4"/>
    </row>
    <row r="732" spans="1:18" ht="12.75" customHeight="1">
      <c r="A732" s="4"/>
      <c r="B732" s="4"/>
      <c r="C732" s="3"/>
      <c r="D732" s="4"/>
      <c r="E732" s="4"/>
      <c r="F732" s="4"/>
      <c r="G732" s="4"/>
      <c r="H732" s="4"/>
      <c r="I732" s="4"/>
      <c r="J732" s="4"/>
      <c r="K732" s="4"/>
      <c r="L732" s="4"/>
      <c r="M732" s="4"/>
      <c r="N732" s="4"/>
      <c r="O732" s="4"/>
      <c r="P732" s="4"/>
      <c r="Q732" s="4"/>
      <c r="R732" s="4"/>
    </row>
    <row r="733" spans="1:18" ht="12.75" customHeight="1">
      <c r="A733" s="4"/>
      <c r="B733" s="4"/>
      <c r="C733" s="3"/>
      <c r="D733" s="4"/>
      <c r="E733" s="4"/>
      <c r="F733" s="4"/>
      <c r="G733" s="4"/>
      <c r="H733" s="4"/>
      <c r="I733" s="4"/>
      <c r="J733" s="4"/>
      <c r="K733" s="4"/>
      <c r="L733" s="4"/>
      <c r="M733" s="4"/>
      <c r="N733" s="4"/>
      <c r="O733" s="4"/>
      <c r="P733" s="4"/>
      <c r="Q733" s="4"/>
      <c r="R733" s="4"/>
    </row>
    <row r="734" spans="1:18" ht="12.75" customHeight="1">
      <c r="A734" s="4"/>
      <c r="B734" s="4"/>
      <c r="C734" s="3"/>
      <c r="D734" s="4"/>
      <c r="E734" s="4"/>
      <c r="F734" s="4"/>
      <c r="G734" s="4"/>
      <c r="H734" s="4"/>
      <c r="I734" s="4"/>
      <c r="J734" s="4"/>
      <c r="K734" s="4"/>
      <c r="L734" s="4"/>
      <c r="M734" s="4"/>
      <c r="N734" s="4"/>
      <c r="O734" s="4"/>
      <c r="P734" s="4"/>
      <c r="Q734" s="4"/>
      <c r="R734" s="4"/>
    </row>
    <row r="735" spans="1:18" ht="12.75" customHeight="1">
      <c r="A735" s="4"/>
      <c r="B735" s="4"/>
      <c r="C735" s="3"/>
      <c r="D735" s="4"/>
      <c r="E735" s="4"/>
      <c r="F735" s="4"/>
      <c r="G735" s="4"/>
      <c r="H735" s="4"/>
      <c r="I735" s="4"/>
      <c r="J735" s="4"/>
      <c r="K735" s="4"/>
      <c r="L735" s="4"/>
      <c r="M735" s="4"/>
      <c r="N735" s="4"/>
      <c r="O735" s="4"/>
      <c r="P735" s="4"/>
      <c r="Q735" s="4"/>
      <c r="R735" s="4"/>
    </row>
    <row r="736" spans="1:18" ht="12.75" customHeight="1">
      <c r="A736" s="4"/>
      <c r="B736" s="4"/>
      <c r="C736" s="3"/>
      <c r="D736" s="4"/>
      <c r="E736" s="4"/>
      <c r="F736" s="4"/>
      <c r="G736" s="4"/>
      <c r="H736" s="4"/>
      <c r="I736" s="4"/>
      <c r="J736" s="4"/>
      <c r="K736" s="4"/>
      <c r="L736" s="4"/>
      <c r="M736" s="4"/>
      <c r="N736" s="4"/>
      <c r="O736" s="4"/>
      <c r="P736" s="4"/>
      <c r="Q736" s="4"/>
      <c r="R736" s="4"/>
    </row>
    <row r="737" spans="1:18" ht="12.75" customHeight="1">
      <c r="A737" s="4"/>
      <c r="B737" s="4"/>
      <c r="C737" s="3"/>
      <c r="D737" s="4"/>
      <c r="E737" s="4"/>
      <c r="F737" s="4"/>
      <c r="G737" s="4"/>
      <c r="H737" s="4"/>
      <c r="I737" s="4"/>
      <c r="J737" s="4"/>
      <c r="K737" s="4"/>
      <c r="L737" s="4"/>
      <c r="M737" s="4"/>
      <c r="N737" s="4"/>
      <c r="O737" s="4"/>
      <c r="P737" s="4"/>
      <c r="Q737" s="4"/>
      <c r="R737" s="4"/>
    </row>
    <row r="738" spans="1:18" ht="12.75" customHeight="1">
      <c r="A738" s="4"/>
      <c r="B738" s="4"/>
      <c r="C738" s="3"/>
      <c r="D738" s="4"/>
      <c r="E738" s="4"/>
      <c r="F738" s="4"/>
      <c r="G738" s="4"/>
      <c r="H738" s="4"/>
      <c r="I738" s="4"/>
      <c r="J738" s="4"/>
      <c r="K738" s="4"/>
      <c r="L738" s="4"/>
      <c r="M738" s="4"/>
      <c r="N738" s="4"/>
      <c r="O738" s="4"/>
      <c r="P738" s="4"/>
      <c r="Q738" s="4"/>
      <c r="R738" s="4"/>
    </row>
    <row r="739" spans="1:18" ht="12.75" customHeight="1">
      <c r="A739" s="4"/>
      <c r="B739" s="4"/>
      <c r="C739" s="3"/>
      <c r="D739" s="4"/>
      <c r="E739" s="4"/>
      <c r="F739" s="4"/>
      <c r="G739" s="4"/>
      <c r="H739" s="4"/>
      <c r="I739" s="4"/>
      <c r="J739" s="4"/>
      <c r="K739" s="4"/>
      <c r="L739" s="4"/>
      <c r="M739" s="4"/>
      <c r="N739" s="4"/>
      <c r="O739" s="4"/>
      <c r="P739" s="4"/>
      <c r="Q739" s="4"/>
      <c r="R739" s="4"/>
    </row>
    <row r="740" spans="1:18" ht="12.75" customHeight="1">
      <c r="A740" s="4"/>
      <c r="B740" s="4"/>
      <c r="C740" s="3"/>
      <c r="D740" s="4"/>
      <c r="E740" s="4"/>
      <c r="F740" s="4"/>
      <c r="G740" s="4"/>
      <c r="H740" s="4"/>
      <c r="I740" s="4"/>
      <c r="J740" s="4"/>
      <c r="K740" s="4"/>
      <c r="L740" s="4"/>
      <c r="M740" s="4"/>
      <c r="N740" s="4"/>
      <c r="O740" s="4"/>
      <c r="P740" s="4"/>
      <c r="Q740" s="4"/>
      <c r="R740" s="4"/>
    </row>
    <row r="741" spans="1:18" ht="12.75" customHeight="1">
      <c r="A741" s="4"/>
      <c r="B741" s="4"/>
      <c r="C741" s="3"/>
      <c r="D741" s="4"/>
      <c r="E741" s="4"/>
      <c r="F741" s="4"/>
      <c r="G741" s="4"/>
      <c r="H741" s="4"/>
      <c r="I741" s="4"/>
      <c r="J741" s="4"/>
      <c r="K741" s="4"/>
      <c r="L741" s="4"/>
      <c r="M741" s="4"/>
      <c r="N741" s="4"/>
      <c r="O741" s="4"/>
      <c r="P741" s="4"/>
      <c r="Q741" s="4"/>
      <c r="R741" s="4"/>
    </row>
    <row r="742" spans="1:18" ht="12.75" customHeight="1">
      <c r="A742" s="4"/>
      <c r="B742" s="4"/>
      <c r="C742" s="3"/>
      <c r="D742" s="4"/>
      <c r="E742" s="4"/>
      <c r="F742" s="4"/>
      <c r="G742" s="4"/>
      <c r="H742" s="4"/>
      <c r="I742" s="4"/>
      <c r="J742" s="4"/>
      <c r="K742" s="4"/>
      <c r="L742" s="4"/>
      <c r="M742" s="4"/>
      <c r="N742" s="4"/>
      <c r="O742" s="4"/>
      <c r="P742" s="4"/>
      <c r="Q742" s="4"/>
      <c r="R742" s="4"/>
    </row>
    <row r="743" spans="1:18" ht="12.75" customHeight="1">
      <c r="A743" s="4"/>
      <c r="B743" s="4"/>
      <c r="C743" s="3"/>
      <c r="D743" s="4"/>
      <c r="E743" s="4"/>
      <c r="F743" s="4"/>
      <c r="G743" s="4"/>
      <c r="H743" s="4"/>
      <c r="I743" s="4"/>
      <c r="J743" s="4"/>
      <c r="K743" s="4"/>
      <c r="L743" s="4"/>
      <c r="M743" s="4"/>
      <c r="N743" s="4"/>
      <c r="O743" s="4"/>
      <c r="P743" s="4"/>
      <c r="Q743" s="4"/>
      <c r="R743" s="4"/>
    </row>
    <row r="744" spans="1:18" ht="12.75" customHeight="1">
      <c r="A744" s="4"/>
      <c r="B744" s="4"/>
      <c r="C744" s="3"/>
      <c r="D744" s="4"/>
      <c r="E744" s="4"/>
      <c r="F744" s="4"/>
      <c r="G744" s="4"/>
      <c r="H744" s="4"/>
      <c r="I744" s="4"/>
      <c r="J744" s="4"/>
      <c r="K744" s="4"/>
      <c r="L744" s="4"/>
      <c r="M744" s="4"/>
      <c r="N744" s="4"/>
      <c r="O744" s="4"/>
      <c r="P744" s="4"/>
      <c r="Q744" s="4"/>
      <c r="R744" s="4"/>
    </row>
    <row r="745" spans="1:18" ht="12.75" customHeight="1">
      <c r="A745" s="4"/>
      <c r="B745" s="4"/>
      <c r="C745" s="3"/>
      <c r="D745" s="4"/>
      <c r="E745" s="4"/>
      <c r="F745" s="4"/>
      <c r="G745" s="4"/>
      <c r="H745" s="4"/>
      <c r="I745" s="4"/>
      <c r="J745" s="4"/>
      <c r="K745" s="4"/>
      <c r="L745" s="4"/>
      <c r="M745" s="4"/>
      <c r="N745" s="4"/>
      <c r="O745" s="4"/>
      <c r="P745" s="4"/>
      <c r="Q745" s="4"/>
      <c r="R745" s="4"/>
    </row>
    <row r="746" spans="1:18" ht="12.75" customHeight="1">
      <c r="A746" s="4"/>
      <c r="B746" s="4"/>
      <c r="C746" s="3"/>
      <c r="D746" s="4"/>
      <c r="E746" s="4"/>
      <c r="F746" s="4"/>
      <c r="G746" s="4"/>
      <c r="H746" s="4"/>
      <c r="I746" s="4"/>
      <c r="J746" s="4"/>
      <c r="K746" s="4"/>
      <c r="L746" s="4"/>
      <c r="M746" s="4"/>
      <c r="N746" s="4"/>
      <c r="O746" s="4"/>
      <c r="P746" s="4"/>
      <c r="Q746" s="4"/>
      <c r="R746" s="4"/>
    </row>
    <row r="747" spans="1:18" ht="12.75" customHeight="1">
      <c r="A747" s="4"/>
      <c r="B747" s="4"/>
      <c r="C747" s="3"/>
      <c r="D747" s="4"/>
      <c r="E747" s="4"/>
      <c r="F747" s="4"/>
      <c r="G747" s="4"/>
      <c r="H747" s="4"/>
      <c r="I747" s="4"/>
      <c r="J747" s="4"/>
      <c r="K747" s="4"/>
      <c r="L747" s="4"/>
      <c r="M747" s="4"/>
      <c r="N747" s="4"/>
      <c r="O747" s="4"/>
      <c r="P747" s="4"/>
      <c r="Q747" s="4"/>
      <c r="R747" s="4"/>
    </row>
    <row r="748" spans="1:18" ht="12.75" customHeight="1">
      <c r="A748" s="4"/>
      <c r="B748" s="4"/>
      <c r="C748" s="3"/>
      <c r="D748" s="4"/>
      <c r="E748" s="4"/>
      <c r="F748" s="4"/>
      <c r="G748" s="4"/>
      <c r="H748" s="4"/>
      <c r="I748" s="4"/>
      <c r="J748" s="4"/>
      <c r="K748" s="4"/>
      <c r="L748" s="4"/>
      <c r="M748" s="4"/>
      <c r="N748" s="4"/>
      <c r="O748" s="4"/>
      <c r="P748" s="4"/>
      <c r="Q748" s="4"/>
      <c r="R748" s="4"/>
    </row>
    <row r="749" spans="1:18" ht="12.75" customHeight="1">
      <c r="A749" s="4"/>
      <c r="B749" s="4"/>
      <c r="C749" s="3"/>
      <c r="D749" s="4"/>
      <c r="E749" s="4"/>
      <c r="F749" s="4"/>
      <c r="G749" s="4"/>
      <c r="H749" s="4"/>
      <c r="I749" s="4"/>
      <c r="J749" s="4"/>
      <c r="K749" s="4"/>
      <c r="L749" s="4"/>
      <c r="M749" s="4"/>
      <c r="N749" s="4"/>
      <c r="O749" s="4"/>
      <c r="P749" s="4"/>
      <c r="Q749" s="4"/>
      <c r="R749" s="4"/>
    </row>
    <row r="750" spans="1:18" ht="12.75" customHeight="1">
      <c r="A750" s="4"/>
      <c r="B750" s="4"/>
      <c r="C750" s="3"/>
      <c r="D750" s="4"/>
      <c r="E750" s="4"/>
      <c r="F750" s="4"/>
      <c r="G750" s="4"/>
      <c r="H750" s="4"/>
      <c r="I750" s="4"/>
      <c r="J750" s="4"/>
      <c r="K750" s="4"/>
      <c r="L750" s="4"/>
      <c r="M750" s="4"/>
      <c r="N750" s="4"/>
      <c r="O750" s="4"/>
      <c r="P750" s="4"/>
      <c r="Q750" s="4"/>
      <c r="R750" s="4"/>
    </row>
    <row r="751" spans="1:18" ht="12.75" customHeight="1">
      <c r="A751" s="4"/>
      <c r="B751" s="4"/>
      <c r="C751" s="3"/>
      <c r="D751" s="4"/>
      <c r="E751" s="4"/>
      <c r="F751" s="4"/>
      <c r="G751" s="4"/>
      <c r="H751" s="4"/>
      <c r="I751" s="4"/>
      <c r="J751" s="4"/>
      <c r="K751" s="4"/>
      <c r="L751" s="4"/>
      <c r="M751" s="4"/>
      <c r="N751" s="4"/>
      <c r="O751" s="4"/>
      <c r="P751" s="4"/>
      <c r="Q751" s="4"/>
      <c r="R751" s="4"/>
    </row>
    <row r="752" spans="1:18" ht="12.75" customHeight="1">
      <c r="A752" s="4"/>
      <c r="B752" s="4"/>
      <c r="C752" s="3"/>
      <c r="D752" s="4"/>
      <c r="E752" s="4"/>
      <c r="F752" s="4"/>
      <c r="G752" s="4"/>
      <c r="H752" s="4"/>
      <c r="I752" s="4"/>
      <c r="J752" s="4"/>
      <c r="K752" s="4"/>
      <c r="L752" s="4"/>
      <c r="M752" s="4"/>
      <c r="N752" s="4"/>
      <c r="O752" s="4"/>
      <c r="P752" s="4"/>
      <c r="Q752" s="4"/>
      <c r="R752" s="4"/>
    </row>
    <row r="753" spans="1:18" ht="12.75" customHeight="1">
      <c r="A753" s="4"/>
      <c r="B753" s="4"/>
      <c r="C753" s="3"/>
      <c r="D753" s="4"/>
      <c r="E753" s="4"/>
      <c r="F753" s="4"/>
      <c r="G753" s="4"/>
      <c r="H753" s="4"/>
      <c r="I753" s="4"/>
      <c r="J753" s="4"/>
      <c r="K753" s="4"/>
      <c r="L753" s="4"/>
      <c r="M753" s="4"/>
      <c r="N753" s="4"/>
      <c r="O753" s="4"/>
      <c r="P753" s="4"/>
      <c r="Q753" s="4"/>
      <c r="R753" s="4"/>
    </row>
    <row r="754" spans="1:18" ht="12.75" customHeight="1">
      <c r="A754" s="4"/>
      <c r="B754" s="4"/>
      <c r="C754" s="3"/>
      <c r="D754" s="4"/>
      <c r="E754" s="4"/>
      <c r="F754" s="4"/>
      <c r="G754" s="4"/>
      <c r="H754" s="4"/>
      <c r="I754" s="4"/>
      <c r="J754" s="4"/>
      <c r="K754" s="4"/>
      <c r="L754" s="4"/>
      <c r="M754" s="4"/>
      <c r="N754" s="4"/>
      <c r="O754" s="4"/>
      <c r="P754" s="4"/>
      <c r="Q754" s="4"/>
      <c r="R754" s="4"/>
    </row>
    <row r="755" spans="1:18" ht="12.75" customHeight="1">
      <c r="A755" s="4"/>
      <c r="B755" s="4"/>
      <c r="C755" s="3"/>
      <c r="D755" s="4"/>
      <c r="E755" s="4"/>
      <c r="F755" s="4"/>
      <c r="G755" s="4"/>
      <c r="H755" s="4"/>
      <c r="I755" s="4"/>
      <c r="J755" s="4"/>
      <c r="K755" s="4"/>
      <c r="L755" s="4"/>
      <c r="M755" s="4"/>
      <c r="N755" s="4"/>
      <c r="O755" s="4"/>
      <c r="P755" s="4"/>
      <c r="Q755" s="4"/>
      <c r="R755" s="4"/>
    </row>
    <row r="756" spans="1:18" ht="12.75" customHeight="1">
      <c r="A756" s="4"/>
      <c r="B756" s="4"/>
      <c r="C756" s="3"/>
      <c r="D756" s="4"/>
      <c r="E756" s="4"/>
      <c r="F756" s="4"/>
      <c r="G756" s="4"/>
      <c r="H756" s="4"/>
      <c r="I756" s="4"/>
      <c r="J756" s="4"/>
      <c r="K756" s="4"/>
      <c r="L756" s="4"/>
      <c r="M756" s="4"/>
      <c r="N756" s="4"/>
      <c r="O756" s="4"/>
      <c r="P756" s="4"/>
      <c r="Q756" s="4"/>
      <c r="R756" s="4"/>
    </row>
    <row r="757" spans="1:18" ht="12.75" customHeight="1">
      <c r="A757" s="4"/>
      <c r="B757" s="4"/>
      <c r="C757" s="3"/>
      <c r="D757" s="4"/>
      <c r="E757" s="4"/>
      <c r="F757" s="4"/>
      <c r="G757" s="4"/>
      <c r="H757" s="4"/>
      <c r="I757" s="4"/>
      <c r="J757" s="4"/>
      <c r="K757" s="4"/>
      <c r="L757" s="4"/>
      <c r="M757" s="4"/>
      <c r="N757" s="4"/>
      <c r="O757" s="4"/>
      <c r="P757" s="4"/>
      <c r="Q757" s="4"/>
      <c r="R757" s="4"/>
    </row>
    <row r="758" spans="1:18" ht="12.75" customHeight="1">
      <c r="A758" s="4"/>
      <c r="B758" s="4"/>
      <c r="C758" s="3"/>
      <c r="D758" s="4"/>
      <c r="E758" s="4"/>
      <c r="F758" s="4"/>
      <c r="G758" s="4"/>
      <c r="H758" s="4"/>
      <c r="I758" s="4"/>
      <c r="J758" s="4"/>
      <c r="K758" s="4"/>
      <c r="L758" s="4"/>
      <c r="M758" s="4"/>
      <c r="N758" s="4"/>
      <c r="O758" s="4"/>
      <c r="P758" s="4"/>
      <c r="Q758" s="4"/>
      <c r="R758" s="4"/>
    </row>
    <row r="759" spans="1:18" ht="12.75" customHeight="1">
      <c r="A759" s="4"/>
      <c r="B759" s="4"/>
      <c r="C759" s="3"/>
      <c r="D759" s="4"/>
      <c r="E759" s="4"/>
      <c r="F759" s="4"/>
      <c r="G759" s="4"/>
      <c r="H759" s="4"/>
      <c r="I759" s="4"/>
      <c r="J759" s="4"/>
      <c r="K759" s="4"/>
      <c r="L759" s="4"/>
      <c r="M759" s="4"/>
      <c r="N759" s="4"/>
      <c r="O759" s="4"/>
      <c r="P759" s="4"/>
      <c r="Q759" s="4"/>
      <c r="R759" s="4"/>
    </row>
    <row r="760" spans="1:18" ht="12.75" customHeight="1">
      <c r="A760" s="4"/>
      <c r="B760" s="4"/>
      <c r="C760" s="3"/>
      <c r="D760" s="4"/>
      <c r="E760" s="4"/>
      <c r="F760" s="4"/>
      <c r="G760" s="4"/>
      <c r="H760" s="4"/>
      <c r="I760" s="4"/>
      <c r="J760" s="4"/>
      <c r="K760" s="4"/>
      <c r="L760" s="4"/>
      <c r="M760" s="4"/>
      <c r="N760" s="4"/>
      <c r="O760" s="4"/>
      <c r="P760" s="4"/>
      <c r="Q760" s="4"/>
      <c r="R760" s="4"/>
    </row>
    <row r="761" spans="1:18" ht="12.75" customHeight="1">
      <c r="A761" s="4"/>
      <c r="B761" s="4"/>
      <c r="C761" s="3"/>
      <c r="D761" s="4"/>
      <c r="E761" s="4"/>
      <c r="F761" s="4"/>
      <c r="G761" s="4"/>
      <c r="H761" s="4"/>
      <c r="I761" s="4"/>
      <c r="J761" s="4"/>
      <c r="K761" s="4"/>
      <c r="L761" s="4"/>
      <c r="M761" s="4"/>
      <c r="N761" s="4"/>
      <c r="O761" s="4"/>
      <c r="P761" s="4"/>
      <c r="Q761" s="4"/>
      <c r="R761" s="4"/>
    </row>
    <row r="762" spans="1:18" ht="12.75" customHeight="1">
      <c r="A762" s="4"/>
      <c r="B762" s="4"/>
      <c r="C762" s="3"/>
      <c r="D762" s="4"/>
      <c r="E762" s="4"/>
      <c r="F762" s="4"/>
      <c r="G762" s="4"/>
      <c r="H762" s="4"/>
      <c r="I762" s="4"/>
      <c r="J762" s="4"/>
      <c r="K762" s="4"/>
      <c r="L762" s="4"/>
      <c r="M762" s="4"/>
      <c r="N762" s="4"/>
      <c r="O762" s="4"/>
      <c r="P762" s="4"/>
      <c r="Q762" s="4"/>
      <c r="R762" s="4"/>
    </row>
    <row r="763" spans="1:18" ht="12.75" customHeight="1">
      <c r="A763" s="4"/>
      <c r="B763" s="4"/>
      <c r="C763" s="3"/>
      <c r="D763" s="4"/>
      <c r="E763" s="4"/>
      <c r="F763" s="4"/>
      <c r="G763" s="4"/>
      <c r="H763" s="4"/>
      <c r="I763" s="4"/>
      <c r="J763" s="4"/>
      <c r="K763" s="4"/>
      <c r="L763" s="4"/>
      <c r="M763" s="4"/>
      <c r="N763" s="4"/>
      <c r="O763" s="4"/>
      <c r="P763" s="4"/>
      <c r="Q763" s="4"/>
      <c r="R763" s="4"/>
    </row>
    <row r="764" spans="1:18" ht="12.75" customHeight="1">
      <c r="A764" s="4"/>
      <c r="B764" s="4"/>
      <c r="C764" s="3"/>
      <c r="D764" s="4"/>
      <c r="E764" s="4"/>
      <c r="F764" s="4"/>
      <c r="G764" s="4"/>
      <c r="H764" s="4"/>
      <c r="I764" s="4"/>
      <c r="J764" s="4"/>
      <c r="K764" s="4"/>
      <c r="L764" s="4"/>
      <c r="M764" s="4"/>
      <c r="N764" s="4"/>
      <c r="O764" s="4"/>
      <c r="P764" s="4"/>
      <c r="Q764" s="4"/>
      <c r="R764" s="4"/>
    </row>
    <row r="765" spans="1:18" ht="12.75" customHeight="1">
      <c r="A765" s="4"/>
      <c r="B765" s="4"/>
      <c r="C765" s="3"/>
      <c r="D765" s="4"/>
      <c r="E765" s="4"/>
      <c r="F765" s="4"/>
      <c r="G765" s="4"/>
      <c r="H765" s="4"/>
      <c r="I765" s="4"/>
      <c r="J765" s="4"/>
      <c r="K765" s="4"/>
      <c r="L765" s="4"/>
      <c r="M765" s="4"/>
      <c r="N765" s="4"/>
      <c r="O765" s="4"/>
      <c r="P765" s="4"/>
      <c r="Q765" s="4"/>
      <c r="R765" s="4"/>
    </row>
    <row r="766" spans="1:18" ht="12.75" customHeight="1">
      <c r="A766" s="4"/>
      <c r="B766" s="4"/>
      <c r="C766" s="3"/>
      <c r="D766" s="4"/>
      <c r="E766" s="4"/>
      <c r="F766" s="4"/>
      <c r="G766" s="4"/>
      <c r="H766" s="4"/>
      <c r="I766" s="4"/>
      <c r="J766" s="4"/>
      <c r="K766" s="4"/>
      <c r="L766" s="4"/>
      <c r="M766" s="4"/>
      <c r="N766" s="4"/>
      <c r="O766" s="4"/>
      <c r="P766" s="4"/>
      <c r="Q766" s="4"/>
      <c r="R766" s="4"/>
    </row>
    <row r="767" spans="1:18" ht="12.75" customHeight="1">
      <c r="A767" s="4"/>
      <c r="B767" s="4"/>
      <c r="C767" s="3"/>
      <c r="D767" s="4"/>
      <c r="E767" s="4"/>
      <c r="F767" s="4"/>
      <c r="G767" s="4"/>
      <c r="H767" s="4"/>
      <c r="I767" s="4"/>
      <c r="J767" s="4"/>
      <c r="K767" s="4"/>
      <c r="L767" s="4"/>
      <c r="M767" s="4"/>
      <c r="N767" s="4"/>
      <c r="O767" s="4"/>
      <c r="P767" s="4"/>
      <c r="Q767" s="4"/>
      <c r="R767" s="4"/>
    </row>
    <row r="768" spans="1:18" ht="12.75" customHeight="1">
      <c r="A768" s="4"/>
      <c r="B768" s="4"/>
      <c r="C768" s="3"/>
      <c r="D768" s="4"/>
      <c r="E768" s="4"/>
      <c r="F768" s="4"/>
      <c r="G768" s="4"/>
      <c r="H768" s="4"/>
      <c r="I768" s="4"/>
      <c r="J768" s="4"/>
      <c r="K768" s="4"/>
      <c r="L768" s="4"/>
      <c r="M768" s="4"/>
      <c r="N768" s="4"/>
      <c r="O768" s="4"/>
      <c r="P768" s="4"/>
      <c r="Q768" s="4"/>
      <c r="R768" s="4"/>
    </row>
    <row r="769" spans="1:18" ht="12.75" customHeight="1">
      <c r="A769" s="4"/>
      <c r="B769" s="4"/>
      <c r="C769" s="3"/>
      <c r="D769" s="4"/>
      <c r="E769" s="4"/>
      <c r="F769" s="4"/>
      <c r="G769" s="4"/>
      <c r="H769" s="4"/>
      <c r="I769" s="4"/>
      <c r="J769" s="4"/>
      <c r="K769" s="4"/>
      <c r="L769" s="4"/>
      <c r="M769" s="4"/>
      <c r="N769" s="4"/>
      <c r="O769" s="4"/>
      <c r="P769" s="4"/>
      <c r="Q769" s="4"/>
      <c r="R769" s="4"/>
    </row>
    <row r="770" spans="1:18" ht="12.75" customHeight="1">
      <c r="A770" s="4"/>
      <c r="B770" s="4"/>
      <c r="C770" s="3"/>
      <c r="D770" s="4"/>
      <c r="E770" s="4"/>
      <c r="F770" s="4"/>
      <c r="G770" s="4"/>
      <c r="H770" s="4"/>
      <c r="I770" s="4"/>
      <c r="J770" s="4"/>
      <c r="K770" s="4"/>
      <c r="L770" s="4"/>
      <c r="M770" s="4"/>
      <c r="N770" s="4"/>
      <c r="O770" s="4"/>
      <c r="P770" s="4"/>
      <c r="Q770" s="4"/>
      <c r="R770" s="4"/>
    </row>
    <row r="771" spans="1:18" ht="12.75" customHeight="1">
      <c r="A771" s="4"/>
      <c r="B771" s="4"/>
      <c r="C771" s="3"/>
      <c r="D771" s="4"/>
      <c r="E771" s="4"/>
      <c r="F771" s="4"/>
      <c r="G771" s="4"/>
      <c r="H771" s="4"/>
      <c r="I771" s="4"/>
      <c r="J771" s="4"/>
      <c r="K771" s="4"/>
      <c r="L771" s="4"/>
      <c r="M771" s="4"/>
      <c r="N771" s="4"/>
      <c r="O771" s="4"/>
      <c r="P771" s="4"/>
      <c r="Q771" s="4"/>
      <c r="R771" s="4"/>
    </row>
    <row r="772" spans="1:18" ht="12.75" customHeight="1">
      <c r="A772" s="4"/>
      <c r="B772" s="4"/>
      <c r="C772" s="3"/>
      <c r="D772" s="4"/>
      <c r="E772" s="4"/>
      <c r="F772" s="4"/>
      <c r="G772" s="4"/>
      <c r="H772" s="4"/>
      <c r="I772" s="4"/>
      <c r="J772" s="4"/>
      <c r="K772" s="4"/>
      <c r="L772" s="4"/>
      <c r="M772" s="4"/>
      <c r="N772" s="4"/>
      <c r="O772" s="4"/>
      <c r="P772" s="4"/>
      <c r="Q772" s="4"/>
      <c r="R772" s="4"/>
    </row>
    <row r="773" spans="1:18" ht="12.75" customHeight="1">
      <c r="A773" s="4"/>
      <c r="B773" s="4"/>
      <c r="C773" s="3"/>
      <c r="D773" s="4"/>
      <c r="E773" s="4"/>
      <c r="F773" s="4"/>
      <c r="G773" s="4"/>
      <c r="H773" s="4"/>
      <c r="I773" s="4"/>
      <c r="J773" s="4"/>
      <c r="K773" s="4"/>
      <c r="L773" s="4"/>
      <c r="M773" s="4"/>
      <c r="N773" s="4"/>
      <c r="O773" s="4"/>
      <c r="P773" s="4"/>
      <c r="Q773" s="4"/>
      <c r="R773" s="4"/>
    </row>
    <row r="774" spans="1:18" ht="12.75" customHeight="1">
      <c r="A774" s="4"/>
      <c r="B774" s="4"/>
      <c r="C774" s="3"/>
      <c r="D774" s="4"/>
      <c r="E774" s="4"/>
      <c r="F774" s="4"/>
      <c r="G774" s="4"/>
      <c r="H774" s="4"/>
      <c r="I774" s="4"/>
      <c r="J774" s="4"/>
      <c r="K774" s="4"/>
      <c r="L774" s="4"/>
      <c r="M774" s="4"/>
      <c r="N774" s="4"/>
      <c r="O774" s="4"/>
      <c r="P774" s="4"/>
      <c r="Q774" s="4"/>
      <c r="R774" s="4"/>
    </row>
    <row r="775" spans="1:18" ht="12.75" customHeight="1">
      <c r="A775" s="4"/>
      <c r="B775" s="4"/>
      <c r="C775" s="3"/>
      <c r="D775" s="4"/>
      <c r="E775" s="4"/>
      <c r="F775" s="4"/>
      <c r="G775" s="4"/>
      <c r="H775" s="4"/>
      <c r="I775" s="4"/>
      <c r="J775" s="4"/>
      <c r="K775" s="4"/>
      <c r="L775" s="4"/>
      <c r="M775" s="4"/>
      <c r="N775" s="4"/>
      <c r="O775" s="4"/>
      <c r="P775" s="4"/>
      <c r="Q775" s="4"/>
      <c r="R775" s="4"/>
    </row>
    <row r="776" spans="1:18" ht="12.75" customHeight="1">
      <c r="A776" s="4"/>
      <c r="B776" s="4"/>
      <c r="C776" s="3"/>
      <c r="D776" s="4"/>
      <c r="E776" s="4"/>
      <c r="F776" s="4"/>
      <c r="G776" s="4"/>
      <c r="H776" s="4"/>
      <c r="I776" s="4"/>
      <c r="J776" s="4"/>
      <c r="K776" s="4"/>
      <c r="L776" s="4"/>
      <c r="M776" s="4"/>
      <c r="N776" s="4"/>
      <c r="O776" s="4"/>
      <c r="P776" s="4"/>
      <c r="Q776" s="4"/>
      <c r="R776" s="4"/>
    </row>
    <row r="777" spans="1:18" ht="12.75" customHeight="1">
      <c r="A777" s="4"/>
      <c r="B777" s="4"/>
      <c r="C777" s="3"/>
      <c r="D777" s="4"/>
      <c r="E777" s="4"/>
      <c r="F777" s="4"/>
      <c r="G777" s="4"/>
      <c r="H777" s="4"/>
      <c r="I777" s="4"/>
      <c r="J777" s="4"/>
      <c r="K777" s="4"/>
      <c r="L777" s="4"/>
      <c r="M777" s="4"/>
      <c r="N777" s="4"/>
      <c r="O777" s="4"/>
      <c r="P777" s="4"/>
      <c r="Q777" s="4"/>
      <c r="R777" s="4"/>
    </row>
    <row r="778" spans="1:18" ht="12.75" customHeight="1">
      <c r="A778" s="4"/>
      <c r="B778" s="4"/>
      <c r="C778" s="3"/>
      <c r="D778" s="4"/>
      <c r="E778" s="4"/>
      <c r="F778" s="4"/>
      <c r="G778" s="4"/>
      <c r="H778" s="4"/>
      <c r="I778" s="4"/>
      <c r="J778" s="4"/>
      <c r="K778" s="4"/>
      <c r="L778" s="4"/>
      <c r="M778" s="4"/>
      <c r="N778" s="4"/>
      <c r="O778" s="4"/>
      <c r="P778" s="4"/>
      <c r="Q778" s="4"/>
      <c r="R778" s="4"/>
    </row>
    <row r="779" spans="1:18" ht="12.75" customHeight="1">
      <c r="A779" s="4"/>
      <c r="B779" s="4"/>
      <c r="C779" s="3"/>
      <c r="D779" s="4"/>
      <c r="E779" s="4"/>
      <c r="F779" s="4"/>
      <c r="G779" s="4"/>
      <c r="H779" s="4"/>
      <c r="I779" s="4"/>
      <c r="J779" s="4"/>
      <c r="K779" s="4"/>
      <c r="L779" s="4"/>
      <c r="M779" s="4"/>
      <c r="N779" s="4"/>
      <c r="O779" s="4"/>
      <c r="P779" s="4"/>
      <c r="Q779" s="4"/>
      <c r="R779" s="4"/>
    </row>
    <row r="780" spans="1:18" ht="12.75" customHeight="1">
      <c r="A780" s="4"/>
      <c r="B780" s="4"/>
      <c r="C780" s="3"/>
      <c r="D780" s="4"/>
      <c r="E780" s="4"/>
      <c r="F780" s="4"/>
      <c r="G780" s="4"/>
      <c r="H780" s="4"/>
      <c r="I780" s="4"/>
      <c r="J780" s="4"/>
      <c r="K780" s="4"/>
      <c r="L780" s="4"/>
      <c r="M780" s="4"/>
      <c r="N780" s="4"/>
      <c r="O780" s="4"/>
      <c r="P780" s="4"/>
      <c r="Q780" s="4"/>
      <c r="R780" s="4"/>
    </row>
    <row r="781" spans="1:18" ht="12.75" customHeight="1">
      <c r="A781" s="4"/>
      <c r="B781" s="4"/>
      <c r="C781" s="3"/>
      <c r="D781" s="4"/>
      <c r="E781" s="4"/>
      <c r="F781" s="4"/>
      <c r="G781" s="4"/>
      <c r="H781" s="4"/>
      <c r="I781" s="4"/>
      <c r="J781" s="4"/>
      <c r="K781" s="4"/>
      <c r="L781" s="4"/>
      <c r="M781" s="4"/>
      <c r="N781" s="4"/>
      <c r="O781" s="4"/>
      <c r="P781" s="4"/>
      <c r="Q781" s="4"/>
      <c r="R781" s="4"/>
    </row>
    <row r="782" spans="1:18" ht="12.75" customHeight="1">
      <c r="A782" s="4"/>
      <c r="B782" s="4"/>
      <c r="C782" s="3"/>
      <c r="D782" s="4"/>
      <c r="E782" s="4"/>
      <c r="F782" s="4"/>
      <c r="G782" s="4"/>
      <c r="H782" s="4"/>
      <c r="I782" s="4"/>
      <c r="J782" s="4"/>
      <c r="K782" s="4"/>
      <c r="L782" s="4"/>
      <c r="M782" s="4"/>
      <c r="N782" s="4"/>
      <c r="O782" s="4"/>
      <c r="P782" s="4"/>
      <c r="Q782" s="4"/>
      <c r="R782" s="4"/>
    </row>
    <row r="783" spans="1:18" ht="12.75" customHeight="1">
      <c r="A783" s="4"/>
      <c r="B783" s="4"/>
      <c r="C783" s="3"/>
      <c r="D783" s="4"/>
      <c r="E783" s="4"/>
      <c r="F783" s="4"/>
      <c r="G783" s="4"/>
      <c r="H783" s="4"/>
      <c r="I783" s="4"/>
      <c r="J783" s="4"/>
      <c r="K783" s="4"/>
      <c r="L783" s="4"/>
      <c r="M783" s="4"/>
      <c r="N783" s="4"/>
      <c r="O783" s="4"/>
      <c r="P783" s="4"/>
      <c r="Q783" s="4"/>
      <c r="R783" s="4"/>
    </row>
    <row r="784" spans="1:18" ht="12.75" customHeight="1">
      <c r="A784" s="4"/>
      <c r="B784" s="4"/>
      <c r="C784" s="3"/>
      <c r="D784" s="4"/>
      <c r="E784" s="4"/>
      <c r="F784" s="4"/>
      <c r="G784" s="4"/>
      <c r="H784" s="4"/>
      <c r="I784" s="4"/>
      <c r="J784" s="4"/>
      <c r="K784" s="4"/>
      <c r="L784" s="4"/>
      <c r="M784" s="4"/>
      <c r="N784" s="4"/>
      <c r="O784" s="4"/>
      <c r="P784" s="4"/>
      <c r="Q784" s="4"/>
      <c r="R784" s="4"/>
    </row>
    <row r="785" spans="1:18" ht="12.75" customHeight="1">
      <c r="A785" s="4"/>
      <c r="B785" s="4"/>
      <c r="C785" s="3"/>
      <c r="D785" s="4"/>
      <c r="E785" s="4"/>
      <c r="F785" s="4"/>
      <c r="G785" s="4"/>
      <c r="H785" s="4"/>
      <c r="I785" s="4"/>
      <c r="J785" s="4"/>
      <c r="K785" s="4"/>
      <c r="L785" s="4"/>
      <c r="M785" s="4"/>
      <c r="N785" s="4"/>
      <c r="O785" s="4"/>
      <c r="P785" s="4"/>
      <c r="Q785" s="4"/>
      <c r="R785" s="4"/>
    </row>
    <row r="786" spans="1:18" ht="12.75" customHeight="1">
      <c r="A786" s="4"/>
      <c r="B786" s="4"/>
      <c r="C786" s="3"/>
      <c r="D786" s="4"/>
      <c r="E786" s="4"/>
      <c r="F786" s="4"/>
      <c r="G786" s="4"/>
      <c r="H786" s="4"/>
      <c r="I786" s="4"/>
      <c r="J786" s="4"/>
      <c r="K786" s="4"/>
      <c r="L786" s="4"/>
      <c r="M786" s="4"/>
      <c r="N786" s="4"/>
      <c r="O786" s="4"/>
      <c r="P786" s="4"/>
      <c r="Q786" s="4"/>
      <c r="R786" s="4"/>
    </row>
    <row r="787" spans="1:18" ht="12.75" customHeight="1">
      <c r="A787" s="4"/>
      <c r="B787" s="4"/>
      <c r="C787" s="3"/>
      <c r="D787" s="4"/>
      <c r="E787" s="4"/>
      <c r="F787" s="4"/>
      <c r="G787" s="4"/>
      <c r="H787" s="4"/>
      <c r="I787" s="4"/>
      <c r="J787" s="4"/>
      <c r="K787" s="4"/>
      <c r="L787" s="4"/>
      <c r="M787" s="4"/>
      <c r="N787" s="4"/>
      <c r="O787" s="4"/>
      <c r="P787" s="4"/>
      <c r="Q787" s="4"/>
      <c r="R787" s="4"/>
    </row>
    <row r="788" spans="1:18" ht="12.75" customHeight="1">
      <c r="A788" s="4"/>
      <c r="B788" s="4"/>
      <c r="C788" s="3"/>
      <c r="D788" s="4"/>
      <c r="E788" s="4"/>
      <c r="F788" s="4"/>
      <c r="G788" s="4"/>
      <c r="H788" s="4"/>
      <c r="I788" s="4"/>
      <c r="J788" s="4"/>
      <c r="K788" s="4"/>
      <c r="L788" s="4"/>
      <c r="M788" s="4"/>
      <c r="N788" s="4"/>
      <c r="O788" s="4"/>
      <c r="P788" s="4"/>
      <c r="Q788" s="4"/>
      <c r="R788" s="4"/>
    </row>
    <row r="789" spans="1:18" ht="12.75" customHeight="1">
      <c r="A789" s="4"/>
      <c r="B789" s="4"/>
      <c r="C789" s="3"/>
      <c r="D789" s="4"/>
      <c r="E789" s="4"/>
      <c r="F789" s="4"/>
      <c r="G789" s="4"/>
      <c r="H789" s="4"/>
      <c r="I789" s="4"/>
      <c r="J789" s="4"/>
      <c r="K789" s="4"/>
      <c r="L789" s="4"/>
      <c r="M789" s="4"/>
      <c r="N789" s="4"/>
      <c r="O789" s="4"/>
      <c r="P789" s="4"/>
      <c r="Q789" s="4"/>
      <c r="R789" s="4"/>
    </row>
    <row r="790" spans="1:18" ht="12.75" customHeight="1">
      <c r="A790" s="4"/>
      <c r="B790" s="4"/>
      <c r="C790" s="3"/>
      <c r="D790" s="4"/>
      <c r="E790" s="4"/>
      <c r="F790" s="4"/>
      <c r="G790" s="4"/>
      <c r="H790" s="4"/>
      <c r="I790" s="4"/>
      <c r="J790" s="4"/>
      <c r="K790" s="4"/>
      <c r="L790" s="4"/>
      <c r="M790" s="4"/>
      <c r="N790" s="4"/>
      <c r="O790" s="4"/>
      <c r="P790" s="4"/>
      <c r="Q790" s="4"/>
      <c r="R790" s="4"/>
    </row>
    <row r="791" spans="1:18" ht="12.75" customHeight="1">
      <c r="A791" s="4"/>
      <c r="B791" s="4"/>
      <c r="C791" s="3"/>
      <c r="D791" s="4"/>
      <c r="E791" s="4"/>
      <c r="F791" s="4"/>
      <c r="G791" s="4"/>
      <c r="H791" s="4"/>
      <c r="I791" s="4"/>
      <c r="J791" s="4"/>
      <c r="K791" s="4"/>
      <c r="L791" s="4"/>
      <c r="M791" s="4"/>
      <c r="N791" s="4"/>
      <c r="O791" s="4"/>
      <c r="P791" s="4"/>
      <c r="Q791" s="4"/>
      <c r="R791" s="4"/>
    </row>
    <row r="792" spans="1:18" ht="12.75" customHeight="1">
      <c r="A792" s="4"/>
      <c r="B792" s="4"/>
      <c r="C792" s="3"/>
      <c r="D792" s="4"/>
      <c r="E792" s="4"/>
      <c r="F792" s="4"/>
      <c r="G792" s="4"/>
      <c r="H792" s="4"/>
      <c r="I792" s="4"/>
      <c r="J792" s="4"/>
      <c r="K792" s="4"/>
      <c r="L792" s="4"/>
      <c r="M792" s="4"/>
      <c r="N792" s="4"/>
      <c r="O792" s="4"/>
      <c r="P792" s="4"/>
      <c r="Q792" s="4"/>
      <c r="R792" s="4"/>
    </row>
    <row r="793" spans="1:18" ht="12.75" customHeight="1">
      <c r="A793" s="4"/>
      <c r="B793" s="4"/>
      <c r="C793" s="3"/>
      <c r="D793" s="4"/>
      <c r="E793" s="4"/>
      <c r="F793" s="4"/>
      <c r="G793" s="4"/>
      <c r="H793" s="4"/>
      <c r="I793" s="4"/>
      <c r="J793" s="4"/>
      <c r="K793" s="4"/>
      <c r="L793" s="4"/>
      <c r="M793" s="4"/>
      <c r="N793" s="4"/>
      <c r="O793" s="4"/>
      <c r="P793" s="4"/>
      <c r="Q793" s="4"/>
      <c r="R793" s="4"/>
    </row>
    <row r="794" spans="1:18" ht="12.75" customHeight="1">
      <c r="A794" s="4"/>
      <c r="B794" s="4"/>
      <c r="C794" s="3"/>
      <c r="D794" s="4"/>
      <c r="E794" s="4"/>
      <c r="F794" s="4"/>
      <c r="G794" s="4"/>
      <c r="H794" s="4"/>
      <c r="I794" s="4"/>
      <c r="J794" s="4"/>
      <c r="K794" s="4"/>
      <c r="L794" s="4"/>
      <c r="M794" s="4"/>
      <c r="N794" s="4"/>
      <c r="O794" s="4"/>
      <c r="P794" s="4"/>
      <c r="Q794" s="4"/>
      <c r="R794" s="4"/>
    </row>
    <row r="795" spans="1:18" ht="12.75" customHeight="1">
      <c r="A795" s="4"/>
      <c r="B795" s="4"/>
      <c r="C795" s="3"/>
      <c r="D795" s="4"/>
      <c r="E795" s="4"/>
      <c r="F795" s="4"/>
      <c r="G795" s="4"/>
      <c r="H795" s="4"/>
      <c r="I795" s="4"/>
      <c r="J795" s="4"/>
      <c r="K795" s="4"/>
      <c r="L795" s="4"/>
      <c r="M795" s="4"/>
      <c r="N795" s="4"/>
      <c r="O795" s="4"/>
      <c r="P795" s="4"/>
      <c r="Q795" s="4"/>
      <c r="R795" s="4"/>
    </row>
    <row r="796" spans="1:18" ht="12.75" customHeight="1">
      <c r="A796" s="4"/>
      <c r="B796" s="4"/>
      <c r="C796" s="3"/>
      <c r="D796" s="4"/>
      <c r="E796" s="4"/>
      <c r="F796" s="4"/>
      <c r="G796" s="4"/>
      <c r="H796" s="4"/>
      <c r="I796" s="4"/>
      <c r="J796" s="4"/>
      <c r="K796" s="4"/>
      <c r="L796" s="4"/>
      <c r="M796" s="4"/>
      <c r="N796" s="4"/>
      <c r="O796" s="4"/>
      <c r="P796" s="4"/>
      <c r="Q796" s="4"/>
      <c r="R796" s="4"/>
    </row>
    <row r="797" spans="1:18" ht="12.75" customHeight="1">
      <c r="A797" s="4"/>
      <c r="B797" s="4"/>
      <c r="C797" s="3"/>
      <c r="D797" s="4"/>
      <c r="E797" s="4"/>
      <c r="F797" s="4"/>
      <c r="G797" s="4"/>
      <c r="H797" s="4"/>
      <c r="I797" s="4"/>
      <c r="J797" s="4"/>
      <c r="K797" s="4"/>
      <c r="L797" s="4"/>
      <c r="M797" s="4"/>
      <c r="N797" s="4"/>
      <c r="O797" s="4"/>
      <c r="P797" s="4"/>
      <c r="Q797" s="4"/>
      <c r="R797" s="4"/>
    </row>
    <row r="798" spans="1:18" ht="12.75" customHeight="1">
      <c r="A798" s="4"/>
      <c r="B798" s="4"/>
      <c r="C798" s="3"/>
      <c r="D798" s="4"/>
      <c r="E798" s="4"/>
      <c r="F798" s="4"/>
      <c r="G798" s="4"/>
      <c r="H798" s="4"/>
      <c r="I798" s="4"/>
      <c r="J798" s="4"/>
      <c r="K798" s="4"/>
      <c r="L798" s="4"/>
      <c r="M798" s="4"/>
      <c r="N798" s="4"/>
      <c r="O798" s="4"/>
      <c r="P798" s="4"/>
      <c r="Q798" s="4"/>
      <c r="R798" s="4"/>
    </row>
    <row r="799" spans="1:18" ht="12.75" customHeight="1">
      <c r="A799" s="4"/>
      <c r="B799" s="4"/>
      <c r="C799" s="3"/>
      <c r="D799" s="4"/>
      <c r="E799" s="4"/>
      <c r="F799" s="4"/>
      <c r="G799" s="4"/>
      <c r="H799" s="4"/>
      <c r="I799" s="4"/>
      <c r="J799" s="4"/>
      <c r="K799" s="4"/>
      <c r="L799" s="4"/>
      <c r="M799" s="4"/>
      <c r="N799" s="4"/>
      <c r="O799" s="4"/>
      <c r="P799" s="4"/>
      <c r="Q799" s="4"/>
      <c r="R799" s="4"/>
    </row>
    <row r="800" spans="1:18" ht="12.75" customHeight="1">
      <c r="A800" s="4"/>
      <c r="B800" s="4"/>
      <c r="C800" s="3"/>
      <c r="D800" s="4"/>
      <c r="E800" s="4"/>
      <c r="F800" s="4"/>
      <c r="G800" s="4"/>
      <c r="H800" s="4"/>
      <c r="I800" s="4"/>
      <c r="J800" s="4"/>
      <c r="K800" s="4"/>
      <c r="L800" s="4"/>
      <c r="M800" s="4"/>
      <c r="N800" s="4"/>
      <c r="O800" s="4"/>
      <c r="P800" s="4"/>
      <c r="Q800" s="4"/>
      <c r="R800" s="4"/>
    </row>
    <row r="801" spans="1:18" ht="12.75" customHeight="1">
      <c r="A801" s="4"/>
      <c r="B801" s="4"/>
      <c r="C801" s="3"/>
      <c r="D801" s="4"/>
      <c r="E801" s="4"/>
      <c r="F801" s="4"/>
      <c r="G801" s="4"/>
      <c r="H801" s="4"/>
      <c r="I801" s="4"/>
      <c r="J801" s="4"/>
      <c r="K801" s="4"/>
      <c r="L801" s="4"/>
      <c r="M801" s="4"/>
      <c r="N801" s="4"/>
      <c r="O801" s="4"/>
      <c r="P801" s="4"/>
      <c r="Q801" s="4"/>
      <c r="R801" s="4"/>
    </row>
    <row r="802" spans="1:18" ht="12.75" customHeight="1">
      <c r="A802" s="4"/>
      <c r="B802" s="4"/>
      <c r="C802" s="3"/>
      <c r="D802" s="4"/>
      <c r="E802" s="4"/>
      <c r="F802" s="4"/>
      <c r="G802" s="4"/>
      <c r="H802" s="4"/>
      <c r="I802" s="4"/>
      <c r="J802" s="4"/>
      <c r="K802" s="4"/>
      <c r="L802" s="4"/>
      <c r="M802" s="4"/>
      <c r="N802" s="4"/>
      <c r="O802" s="4"/>
      <c r="P802" s="4"/>
      <c r="Q802" s="4"/>
      <c r="R802" s="4"/>
    </row>
    <row r="803" spans="1:18" ht="12.75" customHeight="1">
      <c r="A803" s="4"/>
      <c r="B803" s="4"/>
      <c r="C803" s="3"/>
      <c r="D803" s="4"/>
      <c r="E803" s="4"/>
      <c r="F803" s="4"/>
      <c r="G803" s="4"/>
      <c r="H803" s="4"/>
      <c r="I803" s="4"/>
      <c r="J803" s="4"/>
      <c r="K803" s="4"/>
      <c r="L803" s="4"/>
      <c r="M803" s="4"/>
      <c r="N803" s="4"/>
      <c r="O803" s="4"/>
      <c r="P803" s="4"/>
      <c r="Q803" s="4"/>
      <c r="R803" s="4"/>
    </row>
    <row r="804" spans="1:18" ht="12.75" customHeight="1">
      <c r="A804" s="4"/>
      <c r="B804" s="4"/>
      <c r="C804" s="3"/>
      <c r="D804" s="4"/>
      <c r="E804" s="4"/>
      <c r="F804" s="4"/>
      <c r="G804" s="4"/>
      <c r="H804" s="4"/>
      <c r="I804" s="4"/>
      <c r="J804" s="4"/>
      <c r="K804" s="4"/>
      <c r="L804" s="4"/>
      <c r="M804" s="4"/>
      <c r="N804" s="4"/>
      <c r="O804" s="4"/>
      <c r="P804" s="4"/>
      <c r="Q804" s="4"/>
      <c r="R804" s="4"/>
    </row>
    <row r="805" spans="1:18" ht="12.75" customHeight="1">
      <c r="A805" s="4"/>
      <c r="B805" s="4"/>
      <c r="C805" s="3"/>
      <c r="D805" s="4"/>
      <c r="E805" s="4"/>
      <c r="F805" s="4"/>
      <c r="G805" s="4"/>
      <c r="H805" s="4"/>
      <c r="I805" s="4"/>
      <c r="J805" s="4"/>
      <c r="K805" s="4"/>
      <c r="L805" s="4"/>
      <c r="M805" s="4"/>
      <c r="N805" s="4"/>
      <c r="O805" s="4"/>
      <c r="P805" s="4"/>
      <c r="Q805" s="4"/>
      <c r="R805" s="4"/>
    </row>
    <row r="806" spans="1:18" ht="12.75" customHeight="1">
      <c r="A806" s="4"/>
      <c r="B806" s="4"/>
      <c r="C806" s="3"/>
      <c r="D806" s="4"/>
      <c r="E806" s="4"/>
      <c r="F806" s="4"/>
      <c r="G806" s="4"/>
      <c r="H806" s="4"/>
      <c r="I806" s="4"/>
      <c r="J806" s="4"/>
      <c r="K806" s="4"/>
      <c r="L806" s="4"/>
      <c r="M806" s="4"/>
      <c r="N806" s="4"/>
      <c r="O806" s="4"/>
      <c r="P806" s="4"/>
      <c r="Q806" s="4"/>
      <c r="R806" s="4"/>
    </row>
    <row r="807" spans="1:18" ht="12.75" customHeight="1">
      <c r="A807" s="4"/>
      <c r="B807" s="4"/>
      <c r="C807" s="3"/>
      <c r="D807" s="4"/>
      <c r="E807" s="4"/>
      <c r="F807" s="4"/>
      <c r="G807" s="4"/>
      <c r="H807" s="4"/>
      <c r="I807" s="4"/>
      <c r="J807" s="4"/>
      <c r="K807" s="4"/>
      <c r="L807" s="4"/>
      <c r="M807" s="4"/>
      <c r="N807" s="4"/>
      <c r="O807" s="4"/>
      <c r="P807" s="4"/>
      <c r="Q807" s="4"/>
      <c r="R807" s="4"/>
    </row>
    <row r="808" spans="1:18" ht="12.75" customHeight="1">
      <c r="A808" s="4"/>
      <c r="B808" s="4"/>
      <c r="C808" s="3"/>
      <c r="D808" s="4"/>
      <c r="E808" s="4"/>
      <c r="F808" s="4"/>
      <c r="G808" s="4"/>
      <c r="H808" s="4"/>
      <c r="I808" s="4"/>
      <c r="J808" s="4"/>
      <c r="K808" s="4"/>
      <c r="L808" s="4"/>
      <c r="M808" s="4"/>
      <c r="N808" s="4"/>
      <c r="O808" s="4"/>
      <c r="P808" s="4"/>
      <c r="Q808" s="4"/>
      <c r="R808" s="4"/>
    </row>
    <row r="809" spans="1:18" ht="12.75" customHeight="1">
      <c r="A809" s="4"/>
      <c r="B809" s="4"/>
      <c r="C809" s="3"/>
      <c r="D809" s="4"/>
      <c r="E809" s="4"/>
      <c r="F809" s="4"/>
      <c r="G809" s="4"/>
      <c r="H809" s="4"/>
      <c r="I809" s="4"/>
      <c r="J809" s="4"/>
      <c r="K809" s="4"/>
      <c r="L809" s="4"/>
      <c r="M809" s="4"/>
      <c r="N809" s="4"/>
      <c r="O809" s="4"/>
      <c r="P809" s="4"/>
      <c r="Q809" s="4"/>
      <c r="R809" s="4"/>
    </row>
    <row r="810" spans="1:18" ht="12.75" customHeight="1">
      <c r="A810" s="4"/>
      <c r="B810" s="4"/>
      <c r="C810" s="3"/>
      <c r="D810" s="4"/>
      <c r="E810" s="4"/>
      <c r="F810" s="4"/>
      <c r="G810" s="4"/>
      <c r="H810" s="4"/>
      <c r="I810" s="4"/>
      <c r="J810" s="4"/>
      <c r="K810" s="4"/>
      <c r="L810" s="4"/>
      <c r="M810" s="4"/>
      <c r="N810" s="4"/>
      <c r="O810" s="4"/>
      <c r="P810" s="4"/>
      <c r="Q810" s="4"/>
      <c r="R810" s="4"/>
    </row>
    <row r="811" spans="1:18" ht="12.75" customHeight="1">
      <c r="A811" s="4"/>
      <c r="B811" s="4"/>
      <c r="C811" s="3"/>
      <c r="D811" s="4"/>
      <c r="E811" s="4"/>
      <c r="F811" s="4"/>
      <c r="G811" s="4"/>
      <c r="H811" s="4"/>
      <c r="I811" s="4"/>
      <c r="J811" s="4"/>
      <c r="K811" s="4"/>
      <c r="L811" s="4"/>
      <c r="M811" s="4"/>
      <c r="N811" s="4"/>
      <c r="O811" s="4"/>
      <c r="P811" s="4"/>
      <c r="Q811" s="4"/>
      <c r="R811" s="4"/>
    </row>
    <row r="812" spans="1:18" ht="12.75" customHeight="1">
      <c r="A812" s="4"/>
      <c r="B812" s="4"/>
      <c r="C812" s="3"/>
      <c r="D812" s="4"/>
      <c r="E812" s="4"/>
      <c r="F812" s="4"/>
      <c r="G812" s="4"/>
      <c r="H812" s="4"/>
      <c r="I812" s="4"/>
      <c r="J812" s="4"/>
      <c r="K812" s="4"/>
      <c r="L812" s="4"/>
      <c r="M812" s="4"/>
      <c r="N812" s="4"/>
      <c r="O812" s="4"/>
      <c r="P812" s="4"/>
      <c r="Q812" s="4"/>
      <c r="R812" s="4"/>
    </row>
    <row r="813" spans="1:18" ht="12.75" customHeight="1">
      <c r="A813" s="4"/>
      <c r="B813" s="4"/>
      <c r="C813" s="3"/>
      <c r="D813" s="4"/>
      <c r="E813" s="4"/>
      <c r="F813" s="4"/>
      <c r="G813" s="4"/>
      <c r="H813" s="4"/>
      <c r="I813" s="4"/>
      <c r="J813" s="4"/>
      <c r="K813" s="4"/>
      <c r="L813" s="4"/>
      <c r="M813" s="4"/>
      <c r="N813" s="4"/>
      <c r="O813" s="4"/>
      <c r="P813" s="4"/>
      <c r="Q813" s="4"/>
      <c r="R813" s="4"/>
    </row>
    <row r="814" spans="1:18" ht="12.75" customHeight="1">
      <c r="A814" s="4"/>
      <c r="B814" s="4"/>
      <c r="C814" s="3"/>
      <c r="D814" s="4"/>
      <c r="E814" s="4"/>
      <c r="F814" s="4"/>
      <c r="G814" s="4"/>
      <c r="H814" s="4"/>
      <c r="I814" s="4"/>
      <c r="J814" s="4"/>
      <c r="K814" s="4"/>
      <c r="L814" s="4"/>
      <c r="M814" s="4"/>
      <c r="N814" s="4"/>
      <c r="O814" s="4"/>
      <c r="P814" s="4"/>
      <c r="Q814" s="4"/>
      <c r="R814" s="4"/>
    </row>
    <row r="815" spans="1:18" ht="12.75" customHeight="1">
      <c r="A815" s="4"/>
      <c r="B815" s="4"/>
      <c r="C815" s="3"/>
      <c r="D815" s="4"/>
      <c r="E815" s="4"/>
      <c r="F815" s="4"/>
      <c r="G815" s="4"/>
      <c r="H815" s="4"/>
      <c r="I815" s="4"/>
      <c r="J815" s="4"/>
      <c r="K815" s="4"/>
      <c r="L815" s="4"/>
      <c r="M815" s="4"/>
      <c r="N815" s="4"/>
      <c r="O815" s="4"/>
      <c r="P815" s="4"/>
      <c r="Q815" s="4"/>
      <c r="R815" s="4"/>
    </row>
    <row r="816" spans="1:18" ht="12.75" customHeight="1">
      <c r="A816" s="4"/>
      <c r="B816" s="4"/>
      <c r="C816" s="3"/>
      <c r="D816" s="4"/>
      <c r="E816" s="4"/>
      <c r="F816" s="4"/>
      <c r="G816" s="4"/>
      <c r="H816" s="4"/>
      <c r="I816" s="4"/>
      <c r="J816" s="4"/>
      <c r="K816" s="4"/>
      <c r="L816" s="4"/>
      <c r="M816" s="4"/>
      <c r="N816" s="4"/>
      <c r="O816" s="4"/>
      <c r="P816" s="4"/>
      <c r="Q816" s="4"/>
      <c r="R816" s="4"/>
    </row>
    <row r="817" spans="1:18" ht="12.75" customHeight="1">
      <c r="A817" s="4"/>
      <c r="B817" s="4"/>
      <c r="C817" s="3"/>
      <c r="D817" s="4"/>
      <c r="E817" s="4"/>
      <c r="F817" s="4"/>
      <c r="G817" s="4"/>
      <c r="H817" s="4"/>
      <c r="I817" s="4"/>
      <c r="J817" s="4"/>
      <c r="K817" s="4"/>
      <c r="L817" s="4"/>
      <c r="M817" s="4"/>
      <c r="N817" s="4"/>
      <c r="O817" s="4"/>
      <c r="P817" s="4"/>
      <c r="Q817" s="4"/>
      <c r="R817" s="4"/>
    </row>
    <row r="818" spans="1:18" ht="12.75" customHeight="1">
      <c r="A818" s="4"/>
      <c r="B818" s="4"/>
      <c r="C818" s="3"/>
      <c r="D818" s="4"/>
      <c r="E818" s="4"/>
      <c r="F818" s="4"/>
      <c r="G818" s="4"/>
      <c r="H818" s="4"/>
      <c r="I818" s="4"/>
      <c r="J818" s="4"/>
      <c r="K818" s="4"/>
      <c r="L818" s="4"/>
      <c r="M818" s="4"/>
      <c r="N818" s="4"/>
      <c r="O818" s="4"/>
      <c r="P818" s="4"/>
      <c r="Q818" s="4"/>
      <c r="R818" s="4"/>
    </row>
    <row r="819" spans="1:18" ht="12.75" customHeight="1">
      <c r="A819" s="4"/>
      <c r="B819" s="4"/>
      <c r="C819" s="3"/>
      <c r="D819" s="4"/>
      <c r="E819" s="4"/>
      <c r="F819" s="4"/>
      <c r="G819" s="4"/>
      <c r="H819" s="4"/>
      <c r="I819" s="4"/>
      <c r="J819" s="4"/>
      <c r="K819" s="4"/>
      <c r="L819" s="4"/>
      <c r="M819" s="4"/>
      <c r="N819" s="4"/>
      <c r="O819" s="4"/>
      <c r="P819" s="4"/>
      <c r="Q819" s="4"/>
      <c r="R819" s="4"/>
    </row>
    <row r="820" spans="1:18" ht="12.75" customHeight="1">
      <c r="A820" s="4"/>
      <c r="B820" s="4"/>
      <c r="C820" s="3"/>
      <c r="D820" s="4"/>
      <c r="E820" s="4"/>
      <c r="F820" s="4"/>
      <c r="G820" s="4"/>
      <c r="H820" s="4"/>
      <c r="I820" s="4"/>
      <c r="J820" s="4"/>
      <c r="K820" s="4"/>
      <c r="L820" s="4"/>
      <c r="M820" s="4"/>
      <c r="N820" s="4"/>
      <c r="O820" s="4"/>
      <c r="P820" s="4"/>
      <c r="Q820" s="4"/>
      <c r="R820" s="4"/>
    </row>
    <row r="821" spans="1:18" ht="12.75" customHeight="1">
      <c r="A821" s="4"/>
      <c r="B821" s="4"/>
      <c r="C821" s="3"/>
      <c r="D821" s="4"/>
      <c r="E821" s="4"/>
      <c r="F821" s="4"/>
      <c r="G821" s="4"/>
      <c r="H821" s="4"/>
      <c r="I821" s="4"/>
      <c r="J821" s="4"/>
      <c r="K821" s="4"/>
      <c r="L821" s="4"/>
      <c r="M821" s="4"/>
      <c r="N821" s="4"/>
      <c r="O821" s="4"/>
      <c r="P821" s="4"/>
      <c r="Q821" s="4"/>
      <c r="R821" s="4"/>
    </row>
    <row r="822" spans="1:18" ht="12.75" customHeight="1">
      <c r="A822" s="4"/>
      <c r="B822" s="4"/>
      <c r="C822" s="3"/>
      <c r="D822" s="4"/>
      <c r="E822" s="4"/>
      <c r="F822" s="4"/>
      <c r="G822" s="4"/>
      <c r="H822" s="4"/>
      <c r="I822" s="4"/>
      <c r="J822" s="4"/>
      <c r="K822" s="4"/>
      <c r="L822" s="4"/>
      <c r="M822" s="4"/>
      <c r="N822" s="4"/>
      <c r="O822" s="4"/>
      <c r="P822" s="4"/>
      <c r="Q822" s="4"/>
      <c r="R822" s="4"/>
    </row>
    <row r="823" spans="1:18" ht="12.75" customHeight="1">
      <c r="A823" s="4"/>
      <c r="B823" s="4"/>
      <c r="C823" s="3"/>
      <c r="D823" s="4"/>
      <c r="E823" s="4"/>
      <c r="F823" s="4"/>
      <c r="G823" s="4"/>
      <c r="H823" s="4"/>
      <c r="I823" s="4"/>
      <c r="J823" s="4"/>
      <c r="K823" s="4"/>
      <c r="L823" s="4"/>
      <c r="M823" s="4"/>
      <c r="N823" s="4"/>
      <c r="O823" s="4"/>
      <c r="P823" s="4"/>
      <c r="Q823" s="4"/>
      <c r="R823" s="4"/>
    </row>
    <row r="824" spans="1:18" ht="12.75" customHeight="1">
      <c r="A824" s="4"/>
      <c r="B824" s="4"/>
      <c r="C824" s="3"/>
      <c r="D824" s="4"/>
      <c r="E824" s="4"/>
      <c r="F824" s="4"/>
      <c r="G824" s="4"/>
      <c r="H824" s="4"/>
      <c r="I824" s="4"/>
      <c r="J824" s="4"/>
      <c r="K824" s="4"/>
      <c r="L824" s="4"/>
      <c r="M824" s="4"/>
      <c r="N824" s="4"/>
      <c r="O824" s="4"/>
      <c r="P824" s="4"/>
      <c r="Q824" s="4"/>
      <c r="R824" s="4"/>
    </row>
    <row r="825" spans="1:18" ht="12.75" customHeight="1">
      <c r="A825" s="4"/>
      <c r="B825" s="4"/>
      <c r="C825" s="3"/>
      <c r="D825" s="4"/>
      <c r="E825" s="4"/>
      <c r="F825" s="4"/>
      <c r="G825" s="4"/>
      <c r="H825" s="4"/>
      <c r="I825" s="4"/>
      <c r="J825" s="4"/>
      <c r="K825" s="4"/>
      <c r="L825" s="4"/>
      <c r="M825" s="4"/>
      <c r="N825" s="4"/>
      <c r="O825" s="4"/>
      <c r="P825" s="4"/>
      <c r="Q825" s="4"/>
      <c r="R825" s="4"/>
    </row>
    <row r="826" spans="1:18" ht="12.75" customHeight="1">
      <c r="A826" s="4"/>
      <c r="B826" s="4"/>
      <c r="C826" s="3"/>
      <c r="D826" s="4"/>
      <c r="E826" s="4"/>
      <c r="F826" s="4"/>
      <c r="G826" s="4"/>
      <c r="H826" s="4"/>
      <c r="I826" s="4"/>
      <c r="J826" s="4"/>
      <c r="K826" s="4"/>
      <c r="L826" s="4"/>
      <c r="M826" s="4"/>
      <c r="N826" s="4"/>
      <c r="O826" s="4"/>
      <c r="P826" s="4"/>
      <c r="Q826" s="4"/>
      <c r="R826" s="4"/>
    </row>
    <row r="827" spans="1:18" ht="12.75" customHeight="1">
      <c r="A827" s="4"/>
      <c r="B827" s="4"/>
      <c r="C827" s="3"/>
      <c r="D827" s="4"/>
      <c r="E827" s="4"/>
      <c r="F827" s="4"/>
      <c r="G827" s="4"/>
      <c r="H827" s="4"/>
      <c r="I827" s="4"/>
      <c r="J827" s="4"/>
      <c r="K827" s="4"/>
      <c r="L827" s="4"/>
      <c r="M827" s="4"/>
      <c r="N827" s="4"/>
      <c r="O827" s="4"/>
      <c r="P827" s="4"/>
      <c r="Q827" s="4"/>
      <c r="R827" s="4"/>
    </row>
    <row r="828" spans="1:18" ht="12.75" customHeight="1">
      <c r="A828" s="4"/>
      <c r="B828" s="4"/>
      <c r="C828" s="3"/>
      <c r="D828" s="4"/>
      <c r="E828" s="4"/>
      <c r="F828" s="4"/>
      <c r="G828" s="4"/>
      <c r="H828" s="4"/>
      <c r="I828" s="4"/>
      <c r="J828" s="4"/>
      <c r="K828" s="4"/>
      <c r="L828" s="4"/>
      <c r="M828" s="4"/>
      <c r="N828" s="4"/>
      <c r="O828" s="4"/>
      <c r="P828" s="4"/>
      <c r="Q828" s="4"/>
      <c r="R828" s="4"/>
    </row>
    <row r="829" spans="1:18" ht="12.75" customHeight="1">
      <c r="A829" s="4"/>
      <c r="B829" s="4"/>
      <c r="C829" s="3"/>
      <c r="D829" s="4"/>
      <c r="E829" s="4"/>
      <c r="F829" s="4"/>
      <c r="G829" s="4"/>
      <c r="H829" s="4"/>
      <c r="I829" s="4"/>
      <c r="J829" s="4"/>
      <c r="K829" s="4"/>
      <c r="L829" s="4"/>
      <c r="M829" s="4"/>
      <c r="N829" s="4"/>
      <c r="O829" s="4"/>
      <c r="P829" s="4"/>
      <c r="Q829" s="4"/>
      <c r="R829" s="4"/>
    </row>
    <row r="830" spans="1:18" ht="12.75" customHeight="1">
      <c r="A830" s="4"/>
      <c r="B830" s="4"/>
      <c r="C830" s="3"/>
      <c r="D830" s="4"/>
      <c r="E830" s="4"/>
      <c r="F830" s="4"/>
      <c r="G830" s="4"/>
      <c r="H830" s="4"/>
      <c r="I830" s="4"/>
      <c r="J830" s="4"/>
      <c r="K830" s="4"/>
      <c r="L830" s="4"/>
      <c r="M830" s="4"/>
      <c r="N830" s="4"/>
      <c r="O830" s="4"/>
      <c r="P830" s="4"/>
      <c r="Q830" s="4"/>
      <c r="R830" s="4"/>
    </row>
    <row r="831" spans="1:18" ht="12.75" customHeight="1">
      <c r="A831" s="4"/>
      <c r="B831" s="4"/>
      <c r="C831" s="3"/>
      <c r="D831" s="4"/>
      <c r="E831" s="4"/>
      <c r="F831" s="4"/>
      <c r="G831" s="4"/>
      <c r="H831" s="4"/>
      <c r="I831" s="4"/>
      <c r="J831" s="4"/>
      <c r="K831" s="4"/>
      <c r="L831" s="4"/>
      <c r="M831" s="4"/>
      <c r="N831" s="4"/>
      <c r="O831" s="4"/>
      <c r="P831" s="4"/>
      <c r="Q831" s="4"/>
      <c r="R831" s="4"/>
    </row>
    <row r="832" spans="1:18" ht="12.75" customHeight="1">
      <c r="A832" s="4"/>
      <c r="B832" s="4"/>
      <c r="C832" s="3"/>
      <c r="D832" s="4"/>
      <c r="E832" s="4"/>
      <c r="F832" s="4"/>
      <c r="G832" s="4"/>
      <c r="H832" s="4"/>
      <c r="I832" s="4"/>
      <c r="J832" s="4"/>
      <c r="K832" s="4"/>
      <c r="L832" s="4"/>
      <c r="M832" s="4"/>
      <c r="N832" s="4"/>
      <c r="O832" s="4"/>
      <c r="P832" s="4"/>
      <c r="Q832" s="4"/>
      <c r="R832" s="4"/>
    </row>
    <row r="833" spans="1:18" ht="12.75" customHeight="1">
      <c r="A833" s="4"/>
      <c r="B833" s="4"/>
      <c r="C833" s="3"/>
      <c r="D833" s="4"/>
      <c r="E833" s="4"/>
      <c r="F833" s="4"/>
      <c r="G833" s="4"/>
      <c r="H833" s="4"/>
      <c r="I833" s="4"/>
      <c r="J833" s="4"/>
      <c r="K833" s="4"/>
      <c r="L833" s="4"/>
      <c r="M833" s="4"/>
      <c r="N833" s="4"/>
      <c r="O833" s="4"/>
      <c r="P833" s="4"/>
      <c r="Q833" s="4"/>
      <c r="R833" s="4"/>
    </row>
    <row r="834" spans="1:18" ht="12.75" customHeight="1">
      <c r="A834" s="4"/>
      <c r="B834" s="4"/>
      <c r="C834" s="3"/>
      <c r="D834" s="4"/>
      <c r="E834" s="4"/>
      <c r="F834" s="4"/>
      <c r="G834" s="4"/>
      <c r="H834" s="4"/>
      <c r="I834" s="4"/>
      <c r="J834" s="4"/>
      <c r="K834" s="4"/>
      <c r="L834" s="4"/>
      <c r="M834" s="4"/>
      <c r="N834" s="4"/>
      <c r="O834" s="4"/>
      <c r="P834" s="4"/>
      <c r="Q834" s="4"/>
      <c r="R834" s="4"/>
    </row>
    <row r="835" spans="1:18" ht="12.75" customHeight="1">
      <c r="A835" s="4"/>
      <c r="B835" s="4"/>
      <c r="C835" s="3"/>
      <c r="D835" s="4"/>
      <c r="E835" s="4"/>
      <c r="F835" s="4"/>
      <c r="G835" s="4"/>
      <c r="H835" s="4"/>
      <c r="I835" s="4"/>
      <c r="J835" s="4"/>
      <c r="K835" s="4"/>
      <c r="L835" s="4"/>
      <c r="M835" s="4"/>
      <c r="N835" s="4"/>
      <c r="O835" s="4"/>
      <c r="P835" s="4"/>
      <c r="Q835" s="4"/>
      <c r="R835" s="4"/>
    </row>
    <row r="836" spans="1:18" ht="12.75" customHeight="1">
      <c r="A836" s="4"/>
      <c r="B836" s="4"/>
      <c r="C836" s="3"/>
      <c r="D836" s="4"/>
      <c r="E836" s="4"/>
      <c r="F836" s="4"/>
      <c r="G836" s="4"/>
      <c r="H836" s="4"/>
      <c r="I836" s="4"/>
      <c r="J836" s="4"/>
      <c r="K836" s="4"/>
      <c r="L836" s="4"/>
      <c r="M836" s="4"/>
      <c r="N836" s="4"/>
      <c r="O836" s="4"/>
      <c r="P836" s="4"/>
      <c r="Q836" s="4"/>
      <c r="R836" s="4"/>
    </row>
    <row r="837" spans="1:18" ht="12.75" customHeight="1">
      <c r="A837" s="4"/>
      <c r="B837" s="4"/>
      <c r="C837" s="3"/>
      <c r="D837" s="4"/>
      <c r="E837" s="4"/>
      <c r="F837" s="4"/>
      <c r="G837" s="4"/>
      <c r="H837" s="4"/>
      <c r="I837" s="4"/>
      <c r="J837" s="4"/>
      <c r="K837" s="4"/>
      <c r="L837" s="4"/>
      <c r="M837" s="4"/>
      <c r="N837" s="4"/>
      <c r="O837" s="4"/>
      <c r="P837" s="4"/>
      <c r="Q837" s="4"/>
      <c r="R837" s="4"/>
    </row>
    <row r="838" spans="1:18" ht="12.75" customHeight="1">
      <c r="A838" s="4"/>
      <c r="B838" s="4"/>
      <c r="C838" s="3"/>
      <c r="D838" s="4"/>
      <c r="E838" s="4"/>
      <c r="F838" s="4"/>
      <c r="G838" s="4"/>
      <c r="H838" s="4"/>
      <c r="I838" s="4"/>
      <c r="J838" s="4"/>
      <c r="K838" s="4"/>
      <c r="L838" s="4"/>
      <c r="M838" s="4"/>
      <c r="N838" s="4"/>
      <c r="O838" s="4"/>
      <c r="P838" s="4"/>
      <c r="Q838" s="4"/>
      <c r="R838" s="4"/>
    </row>
    <row r="839" spans="1:18" ht="12.75" customHeight="1">
      <c r="A839" s="4"/>
      <c r="B839" s="4"/>
      <c r="C839" s="3"/>
      <c r="D839" s="4"/>
      <c r="E839" s="4"/>
      <c r="F839" s="4"/>
      <c r="G839" s="4"/>
      <c r="H839" s="4"/>
      <c r="I839" s="4"/>
      <c r="J839" s="4"/>
      <c r="K839" s="4"/>
      <c r="L839" s="4"/>
      <c r="M839" s="4"/>
      <c r="N839" s="4"/>
      <c r="O839" s="4"/>
      <c r="P839" s="4"/>
      <c r="Q839" s="4"/>
      <c r="R839" s="4"/>
    </row>
    <row r="840" spans="1:18" ht="12.75" customHeight="1">
      <c r="A840" s="4"/>
      <c r="B840" s="4"/>
      <c r="C840" s="3"/>
      <c r="D840" s="4"/>
      <c r="E840" s="4"/>
      <c r="F840" s="4"/>
      <c r="G840" s="4"/>
      <c r="H840" s="4"/>
      <c r="I840" s="4"/>
      <c r="J840" s="4"/>
      <c r="K840" s="4"/>
      <c r="L840" s="4"/>
      <c r="M840" s="4"/>
      <c r="N840" s="4"/>
      <c r="O840" s="4"/>
      <c r="P840" s="4"/>
      <c r="Q840" s="4"/>
      <c r="R840" s="4"/>
    </row>
    <row r="841" spans="1:18" ht="12.75" customHeight="1">
      <c r="A841" s="4"/>
      <c r="B841" s="4"/>
      <c r="C841" s="3"/>
      <c r="D841" s="4"/>
      <c r="E841" s="4"/>
      <c r="F841" s="4"/>
      <c r="G841" s="4"/>
      <c r="H841" s="4"/>
      <c r="I841" s="4"/>
      <c r="J841" s="4"/>
      <c r="K841" s="4"/>
      <c r="L841" s="4"/>
      <c r="M841" s="4"/>
      <c r="N841" s="4"/>
      <c r="O841" s="4"/>
      <c r="P841" s="4"/>
      <c r="Q841" s="4"/>
      <c r="R841" s="4"/>
    </row>
    <row r="842" spans="1:18" ht="12.75" customHeight="1">
      <c r="A842" s="4"/>
      <c r="B842" s="4"/>
      <c r="C842" s="3"/>
      <c r="D842" s="4"/>
      <c r="E842" s="4"/>
      <c r="F842" s="4"/>
      <c r="G842" s="4"/>
      <c r="H842" s="4"/>
      <c r="I842" s="4"/>
      <c r="J842" s="4"/>
      <c r="K842" s="4"/>
      <c r="L842" s="4"/>
      <c r="M842" s="4"/>
      <c r="N842" s="4"/>
      <c r="O842" s="4"/>
      <c r="P842" s="4"/>
      <c r="Q842" s="4"/>
      <c r="R842" s="4"/>
    </row>
    <row r="843" spans="1:18" ht="12.75" customHeight="1">
      <c r="A843" s="4"/>
      <c r="B843" s="4"/>
      <c r="C843" s="3"/>
      <c r="D843" s="4"/>
      <c r="E843" s="4"/>
      <c r="F843" s="4"/>
      <c r="G843" s="4"/>
      <c r="H843" s="4"/>
      <c r="I843" s="4"/>
      <c r="J843" s="4"/>
      <c r="K843" s="4"/>
      <c r="L843" s="4"/>
      <c r="M843" s="4"/>
      <c r="N843" s="4"/>
      <c r="O843" s="4"/>
      <c r="P843" s="4"/>
      <c r="Q843" s="4"/>
      <c r="R843" s="4"/>
    </row>
    <row r="844" spans="1:18" ht="12.75" customHeight="1">
      <c r="A844" s="4"/>
      <c r="B844" s="4"/>
      <c r="C844" s="3"/>
      <c r="D844" s="4"/>
      <c r="E844" s="4"/>
      <c r="F844" s="4"/>
      <c r="G844" s="4"/>
      <c r="H844" s="4"/>
      <c r="I844" s="4"/>
      <c r="J844" s="4"/>
      <c r="K844" s="4"/>
      <c r="L844" s="4"/>
      <c r="M844" s="4"/>
      <c r="N844" s="4"/>
      <c r="O844" s="4"/>
      <c r="P844" s="4"/>
      <c r="Q844" s="4"/>
      <c r="R844" s="4"/>
    </row>
    <row r="845" spans="1:18" ht="12.75" customHeight="1">
      <c r="A845" s="4"/>
      <c r="B845" s="4"/>
      <c r="C845" s="3"/>
      <c r="D845" s="4"/>
      <c r="E845" s="4"/>
      <c r="F845" s="4"/>
      <c r="G845" s="4"/>
      <c r="H845" s="4"/>
      <c r="I845" s="4"/>
      <c r="J845" s="4"/>
      <c r="K845" s="4"/>
      <c r="L845" s="4"/>
      <c r="M845" s="4"/>
      <c r="N845" s="4"/>
      <c r="O845" s="4"/>
      <c r="P845" s="4"/>
      <c r="Q845" s="4"/>
      <c r="R845" s="4"/>
    </row>
    <row r="846" spans="1:18" ht="12.75" customHeight="1">
      <c r="A846" s="4"/>
      <c r="B846" s="4"/>
      <c r="C846" s="3"/>
      <c r="D846" s="4"/>
      <c r="E846" s="4"/>
      <c r="F846" s="4"/>
      <c r="G846" s="4"/>
      <c r="H846" s="4"/>
      <c r="I846" s="4"/>
      <c r="J846" s="4"/>
      <c r="K846" s="4"/>
      <c r="L846" s="4"/>
      <c r="M846" s="4"/>
      <c r="N846" s="4"/>
      <c r="O846" s="4"/>
      <c r="P846" s="4"/>
      <c r="Q846" s="4"/>
      <c r="R846" s="4"/>
    </row>
    <row r="847" spans="1:18" ht="12.75" customHeight="1">
      <c r="A847" s="4"/>
      <c r="B847" s="4"/>
      <c r="C847" s="3"/>
      <c r="D847" s="4"/>
      <c r="E847" s="4"/>
      <c r="F847" s="4"/>
      <c r="G847" s="4"/>
      <c r="H847" s="4"/>
      <c r="I847" s="4"/>
      <c r="J847" s="4"/>
      <c r="K847" s="4"/>
      <c r="L847" s="4"/>
      <c r="M847" s="4"/>
      <c r="N847" s="4"/>
      <c r="O847" s="4"/>
      <c r="P847" s="4"/>
      <c r="Q847" s="4"/>
      <c r="R847" s="4"/>
    </row>
    <row r="848" spans="1:18" ht="12.75" customHeight="1">
      <c r="A848" s="4"/>
      <c r="B848" s="4"/>
      <c r="C848" s="3"/>
      <c r="D848" s="4"/>
      <c r="E848" s="4"/>
      <c r="F848" s="4"/>
      <c r="G848" s="4"/>
      <c r="H848" s="4"/>
      <c r="I848" s="4"/>
      <c r="J848" s="4"/>
      <c r="K848" s="4"/>
      <c r="L848" s="4"/>
      <c r="M848" s="4"/>
      <c r="N848" s="4"/>
      <c r="O848" s="4"/>
      <c r="P848" s="4"/>
      <c r="Q848" s="4"/>
      <c r="R848" s="4"/>
    </row>
    <row r="849" spans="1:18" ht="12.75" customHeight="1">
      <c r="A849" s="4"/>
      <c r="B849" s="4"/>
      <c r="C849" s="3"/>
      <c r="D849" s="4"/>
      <c r="E849" s="4"/>
      <c r="F849" s="4"/>
      <c r="G849" s="4"/>
      <c r="H849" s="4"/>
      <c r="I849" s="4"/>
      <c r="J849" s="4"/>
      <c r="K849" s="4"/>
      <c r="L849" s="4"/>
      <c r="M849" s="4"/>
      <c r="N849" s="4"/>
      <c r="O849" s="4"/>
      <c r="P849" s="4"/>
      <c r="Q849" s="4"/>
      <c r="R849" s="4"/>
    </row>
    <row r="850" spans="1:18" ht="12.75" customHeight="1">
      <c r="A850" s="4"/>
      <c r="B850" s="4"/>
      <c r="C850" s="3"/>
      <c r="D850" s="4"/>
      <c r="E850" s="4"/>
      <c r="F850" s="4"/>
      <c r="G850" s="4"/>
      <c r="H850" s="4"/>
      <c r="I850" s="4"/>
      <c r="J850" s="4"/>
      <c r="K850" s="4"/>
      <c r="L850" s="4"/>
      <c r="M850" s="4"/>
      <c r="N850" s="4"/>
      <c r="O850" s="4"/>
      <c r="P850" s="4"/>
      <c r="Q850" s="4"/>
      <c r="R850" s="4"/>
    </row>
    <row r="851" spans="1:18" ht="12.75" customHeight="1">
      <c r="A851" s="4"/>
      <c r="B851" s="4"/>
      <c r="C851" s="3"/>
      <c r="D851" s="4"/>
      <c r="E851" s="4"/>
      <c r="F851" s="4"/>
      <c r="G851" s="4"/>
      <c r="H851" s="4"/>
      <c r="I851" s="4"/>
      <c r="J851" s="4"/>
      <c r="K851" s="4"/>
      <c r="L851" s="4"/>
      <c r="M851" s="4"/>
      <c r="N851" s="4"/>
      <c r="O851" s="4"/>
      <c r="P851" s="4"/>
      <c r="Q851" s="4"/>
      <c r="R851" s="4"/>
    </row>
    <row r="852" spans="1:18" ht="12.75" customHeight="1">
      <c r="A852" s="4"/>
      <c r="B852" s="4"/>
      <c r="C852" s="3"/>
      <c r="D852" s="4"/>
      <c r="E852" s="4"/>
      <c r="F852" s="4"/>
      <c r="G852" s="4"/>
      <c r="H852" s="4"/>
      <c r="I852" s="4"/>
      <c r="J852" s="4"/>
      <c r="K852" s="4"/>
      <c r="L852" s="4"/>
      <c r="M852" s="4"/>
      <c r="N852" s="4"/>
      <c r="O852" s="4"/>
      <c r="P852" s="4"/>
      <c r="Q852" s="4"/>
      <c r="R852" s="4"/>
    </row>
    <row r="853" spans="1:18" ht="12.75" customHeight="1">
      <c r="A853" s="4"/>
      <c r="B853" s="4"/>
      <c r="C853" s="3"/>
      <c r="D853" s="4"/>
      <c r="E853" s="4"/>
      <c r="F853" s="4"/>
      <c r="G853" s="4"/>
      <c r="H853" s="4"/>
      <c r="I853" s="4"/>
      <c r="J853" s="4"/>
      <c r="K853" s="4"/>
      <c r="L853" s="4"/>
      <c r="M853" s="4"/>
      <c r="N853" s="4"/>
      <c r="O853" s="4"/>
      <c r="P853" s="4"/>
      <c r="Q853" s="4"/>
      <c r="R853" s="4"/>
    </row>
    <row r="854" spans="1:18" ht="12.75" customHeight="1">
      <c r="A854" s="4"/>
      <c r="B854" s="4"/>
      <c r="C854" s="3"/>
      <c r="D854" s="4"/>
      <c r="E854" s="4"/>
      <c r="F854" s="4"/>
      <c r="G854" s="4"/>
      <c r="H854" s="4"/>
      <c r="I854" s="4"/>
      <c r="J854" s="4"/>
      <c r="K854" s="4"/>
      <c r="L854" s="4"/>
      <c r="M854" s="4"/>
      <c r="N854" s="4"/>
      <c r="O854" s="4"/>
      <c r="P854" s="4"/>
      <c r="Q854" s="4"/>
      <c r="R854" s="4"/>
    </row>
    <row r="855" spans="1:18" ht="12.75" customHeight="1">
      <c r="A855" s="4"/>
      <c r="B855" s="4"/>
      <c r="C855" s="3"/>
      <c r="D855" s="4"/>
      <c r="E855" s="4"/>
      <c r="F855" s="4"/>
      <c r="G855" s="4"/>
      <c r="H855" s="4"/>
      <c r="I855" s="4"/>
      <c r="J855" s="4"/>
      <c r="K855" s="4"/>
      <c r="L855" s="4"/>
      <c r="M855" s="4"/>
      <c r="N855" s="4"/>
      <c r="O855" s="4"/>
      <c r="P855" s="4"/>
      <c r="Q855" s="4"/>
      <c r="R855" s="4"/>
    </row>
    <row r="856" spans="1:18" ht="12.75" customHeight="1">
      <c r="A856" s="4"/>
      <c r="B856" s="4"/>
      <c r="C856" s="3"/>
      <c r="D856" s="4"/>
      <c r="E856" s="4"/>
      <c r="F856" s="4"/>
      <c r="G856" s="4"/>
      <c r="H856" s="4"/>
      <c r="I856" s="4"/>
      <c r="J856" s="4"/>
      <c r="K856" s="4"/>
      <c r="L856" s="4"/>
      <c r="M856" s="4"/>
      <c r="N856" s="4"/>
      <c r="O856" s="4"/>
      <c r="P856" s="4"/>
      <c r="Q856" s="4"/>
      <c r="R856" s="4"/>
    </row>
    <row r="857" spans="1:18" ht="12.75" customHeight="1">
      <c r="A857" s="4"/>
      <c r="B857" s="4"/>
      <c r="C857" s="3"/>
      <c r="D857" s="4"/>
      <c r="E857" s="4"/>
      <c r="F857" s="4"/>
      <c r="G857" s="4"/>
      <c r="H857" s="4"/>
      <c r="I857" s="4"/>
      <c r="J857" s="4"/>
      <c r="K857" s="4"/>
      <c r="L857" s="4"/>
      <c r="M857" s="4"/>
      <c r="N857" s="4"/>
      <c r="O857" s="4"/>
      <c r="P857" s="4"/>
      <c r="Q857" s="4"/>
      <c r="R857" s="4"/>
    </row>
    <row r="858" spans="1:18" ht="12.75" customHeight="1">
      <c r="A858" s="4"/>
      <c r="B858" s="4"/>
      <c r="C858" s="3"/>
      <c r="D858" s="4"/>
      <c r="E858" s="4"/>
      <c r="F858" s="4"/>
      <c r="G858" s="4"/>
      <c r="H858" s="4"/>
      <c r="I858" s="4"/>
      <c r="J858" s="4"/>
      <c r="K858" s="4"/>
      <c r="L858" s="4"/>
      <c r="M858" s="4"/>
      <c r="N858" s="4"/>
      <c r="O858" s="4"/>
      <c r="P858" s="4"/>
      <c r="Q858" s="4"/>
      <c r="R858" s="4"/>
    </row>
    <row r="859" spans="1:18" ht="12.75" customHeight="1">
      <c r="A859" s="4"/>
      <c r="B859" s="4"/>
      <c r="C859" s="3"/>
      <c r="D859" s="4"/>
      <c r="E859" s="4"/>
      <c r="F859" s="4"/>
      <c r="G859" s="4"/>
      <c r="H859" s="4"/>
      <c r="I859" s="4"/>
      <c r="J859" s="4"/>
      <c r="K859" s="4"/>
      <c r="L859" s="4"/>
      <c r="M859" s="4"/>
      <c r="N859" s="4"/>
      <c r="O859" s="4"/>
      <c r="P859" s="4"/>
      <c r="Q859" s="4"/>
      <c r="R859" s="4"/>
    </row>
    <row r="860" spans="1:18" ht="12.75" customHeight="1">
      <c r="A860" s="4"/>
      <c r="B860" s="4"/>
      <c r="C860" s="3"/>
      <c r="D860" s="4"/>
      <c r="E860" s="4"/>
      <c r="F860" s="4"/>
      <c r="G860" s="4"/>
      <c r="H860" s="4"/>
      <c r="I860" s="4"/>
      <c r="J860" s="4"/>
      <c r="K860" s="4"/>
      <c r="L860" s="4"/>
      <c r="M860" s="4"/>
      <c r="N860" s="4"/>
      <c r="O860" s="4"/>
      <c r="P860" s="4"/>
      <c r="Q860" s="4"/>
      <c r="R860" s="4"/>
    </row>
    <row r="861" spans="1:18" ht="12.75" customHeight="1">
      <c r="A861" s="4"/>
      <c r="B861" s="4"/>
      <c r="C861" s="3"/>
      <c r="D861" s="4"/>
      <c r="E861" s="4"/>
      <c r="F861" s="4"/>
      <c r="G861" s="4"/>
      <c r="H861" s="4"/>
      <c r="I861" s="4"/>
      <c r="J861" s="4"/>
      <c r="K861" s="4"/>
      <c r="L861" s="4"/>
      <c r="M861" s="4"/>
      <c r="N861" s="4"/>
      <c r="O861" s="4"/>
      <c r="P861" s="4"/>
      <c r="Q861" s="4"/>
      <c r="R861" s="4"/>
    </row>
    <row r="862" spans="1:18" ht="12.75" customHeight="1">
      <c r="A862" s="4"/>
      <c r="B862" s="4"/>
      <c r="C862" s="3"/>
      <c r="D862" s="4"/>
      <c r="E862" s="4"/>
      <c r="F862" s="4"/>
      <c r="G862" s="4"/>
      <c r="H862" s="4"/>
      <c r="I862" s="4"/>
      <c r="J862" s="4"/>
      <c r="K862" s="4"/>
      <c r="L862" s="4"/>
      <c r="M862" s="4"/>
      <c r="N862" s="4"/>
      <c r="O862" s="4"/>
      <c r="P862" s="4"/>
      <c r="Q862" s="4"/>
      <c r="R862" s="4"/>
    </row>
    <row r="863" spans="1:18" ht="12.75" customHeight="1">
      <c r="A863" s="4"/>
      <c r="B863" s="4"/>
      <c r="C863" s="3"/>
      <c r="D863" s="4"/>
      <c r="E863" s="4"/>
      <c r="F863" s="4"/>
      <c r="G863" s="4"/>
      <c r="H863" s="4"/>
      <c r="I863" s="4"/>
      <c r="J863" s="4"/>
      <c r="K863" s="4"/>
      <c r="L863" s="4"/>
      <c r="M863" s="4"/>
      <c r="N863" s="4"/>
      <c r="O863" s="4"/>
      <c r="P863" s="4"/>
      <c r="Q863" s="4"/>
      <c r="R863" s="4"/>
    </row>
    <row r="864" spans="1:18" ht="12.75" customHeight="1">
      <c r="A864" s="4"/>
      <c r="B864" s="4"/>
      <c r="C864" s="3"/>
      <c r="D864" s="4"/>
      <c r="E864" s="4"/>
      <c r="F864" s="4"/>
      <c r="G864" s="4"/>
      <c r="H864" s="4"/>
      <c r="I864" s="4"/>
      <c r="J864" s="4"/>
      <c r="K864" s="4"/>
      <c r="L864" s="4"/>
      <c r="M864" s="4"/>
      <c r="N864" s="4"/>
      <c r="O864" s="4"/>
      <c r="P864" s="4"/>
      <c r="Q864" s="4"/>
      <c r="R864" s="4"/>
    </row>
    <row r="865" spans="1:18" ht="12.75" customHeight="1">
      <c r="A865" s="4"/>
      <c r="B865" s="4"/>
      <c r="C865" s="3"/>
      <c r="D865" s="4"/>
      <c r="E865" s="4"/>
      <c r="F865" s="4"/>
      <c r="G865" s="4"/>
      <c r="H865" s="4"/>
      <c r="I865" s="4"/>
      <c r="J865" s="4"/>
      <c r="K865" s="4"/>
      <c r="L865" s="4"/>
      <c r="M865" s="4"/>
      <c r="N865" s="4"/>
      <c r="O865" s="4"/>
      <c r="P865" s="4"/>
      <c r="Q865" s="4"/>
      <c r="R865" s="4"/>
    </row>
    <row r="866" spans="1:18" ht="12.75" customHeight="1">
      <c r="A866" s="4"/>
      <c r="B866" s="4"/>
      <c r="C866" s="3"/>
      <c r="D866" s="4"/>
      <c r="E866" s="4"/>
      <c r="F866" s="4"/>
      <c r="G866" s="4"/>
      <c r="H866" s="4"/>
      <c r="I866" s="4"/>
      <c r="J866" s="4"/>
      <c r="K866" s="4"/>
      <c r="L866" s="4"/>
      <c r="M866" s="4"/>
      <c r="N866" s="4"/>
      <c r="O866" s="4"/>
      <c r="P866" s="4"/>
      <c r="Q866" s="4"/>
      <c r="R866" s="4"/>
    </row>
    <row r="867" spans="1:18" ht="12.75" customHeight="1">
      <c r="A867" s="4"/>
      <c r="B867" s="4"/>
      <c r="C867" s="3"/>
      <c r="D867" s="4"/>
      <c r="E867" s="4"/>
      <c r="F867" s="4"/>
      <c r="G867" s="4"/>
      <c r="H867" s="4"/>
      <c r="I867" s="4"/>
      <c r="J867" s="4"/>
      <c r="K867" s="4"/>
      <c r="L867" s="4"/>
      <c r="M867" s="4"/>
      <c r="N867" s="4"/>
      <c r="O867" s="4"/>
      <c r="P867" s="4"/>
      <c r="Q867" s="4"/>
      <c r="R867" s="4"/>
    </row>
    <row r="868" spans="1:18" ht="12.75" customHeight="1">
      <c r="A868" s="4"/>
      <c r="B868" s="4"/>
      <c r="C868" s="3"/>
      <c r="D868" s="4"/>
      <c r="E868" s="4"/>
      <c r="F868" s="4"/>
      <c r="G868" s="4"/>
      <c r="H868" s="4"/>
      <c r="I868" s="4"/>
      <c r="J868" s="4"/>
      <c r="K868" s="4"/>
      <c r="L868" s="4"/>
      <c r="M868" s="4"/>
      <c r="N868" s="4"/>
      <c r="O868" s="4"/>
      <c r="P868" s="4"/>
      <c r="Q868" s="4"/>
      <c r="R868" s="4"/>
    </row>
    <row r="869" spans="1:18" ht="12.75" customHeight="1">
      <c r="A869" s="4"/>
      <c r="B869" s="4"/>
      <c r="C869" s="3"/>
      <c r="D869" s="4"/>
      <c r="E869" s="4"/>
      <c r="F869" s="4"/>
      <c r="G869" s="4"/>
      <c r="H869" s="4"/>
      <c r="I869" s="4"/>
      <c r="J869" s="4"/>
      <c r="K869" s="4"/>
      <c r="L869" s="4"/>
      <c r="M869" s="4"/>
      <c r="N869" s="4"/>
      <c r="O869" s="4"/>
      <c r="P869" s="4"/>
      <c r="Q869" s="4"/>
      <c r="R869" s="4"/>
    </row>
    <row r="870" spans="1:18" ht="12.75" customHeight="1">
      <c r="A870" s="4"/>
      <c r="B870" s="4"/>
      <c r="C870" s="3"/>
      <c r="D870" s="4"/>
      <c r="E870" s="4"/>
      <c r="F870" s="4"/>
      <c r="G870" s="4"/>
      <c r="H870" s="4"/>
      <c r="I870" s="4"/>
      <c r="J870" s="4"/>
      <c r="K870" s="4"/>
      <c r="L870" s="4"/>
      <c r="M870" s="4"/>
      <c r="N870" s="4"/>
      <c r="O870" s="4"/>
      <c r="P870" s="4"/>
      <c r="Q870" s="4"/>
      <c r="R870" s="4"/>
    </row>
    <row r="871" spans="1:18" ht="12.75" customHeight="1">
      <c r="A871" s="4"/>
      <c r="B871" s="4"/>
      <c r="C871" s="3"/>
      <c r="D871" s="4"/>
      <c r="E871" s="4"/>
      <c r="F871" s="4"/>
      <c r="G871" s="4"/>
      <c r="H871" s="4"/>
      <c r="I871" s="4"/>
      <c r="J871" s="4"/>
      <c r="K871" s="4"/>
      <c r="L871" s="4"/>
      <c r="M871" s="4"/>
      <c r="N871" s="4"/>
      <c r="O871" s="4"/>
      <c r="P871" s="4"/>
      <c r="Q871" s="4"/>
      <c r="R871" s="4"/>
    </row>
    <row r="872" spans="1:18" ht="12.75" customHeight="1">
      <c r="A872" s="4"/>
      <c r="B872" s="4"/>
      <c r="C872" s="3"/>
      <c r="D872" s="4"/>
      <c r="E872" s="4"/>
      <c r="F872" s="4"/>
      <c r="G872" s="4"/>
      <c r="H872" s="4"/>
      <c r="I872" s="4"/>
      <c r="J872" s="4"/>
      <c r="K872" s="4"/>
      <c r="L872" s="4"/>
      <c r="M872" s="4"/>
      <c r="N872" s="4"/>
      <c r="O872" s="4"/>
      <c r="P872" s="4"/>
      <c r="Q872" s="4"/>
      <c r="R872" s="4"/>
    </row>
    <row r="873" spans="1:18" ht="12.75" customHeight="1">
      <c r="A873" s="4"/>
      <c r="B873" s="4"/>
      <c r="C873" s="3"/>
      <c r="D873" s="4"/>
      <c r="E873" s="4"/>
      <c r="F873" s="4"/>
      <c r="G873" s="4"/>
      <c r="H873" s="4"/>
      <c r="I873" s="4"/>
      <c r="J873" s="4"/>
      <c r="K873" s="4"/>
      <c r="L873" s="4"/>
      <c r="M873" s="4"/>
      <c r="N873" s="4"/>
      <c r="O873" s="4"/>
      <c r="P873" s="4"/>
      <c r="Q873" s="4"/>
      <c r="R873" s="4"/>
    </row>
    <row r="874" spans="1:18" ht="12.75" customHeight="1">
      <c r="A874" s="4"/>
      <c r="B874" s="4"/>
      <c r="C874" s="3"/>
      <c r="D874" s="4"/>
      <c r="E874" s="4"/>
      <c r="F874" s="4"/>
      <c r="G874" s="4"/>
      <c r="H874" s="4"/>
      <c r="I874" s="4"/>
      <c r="J874" s="4"/>
      <c r="K874" s="4"/>
      <c r="L874" s="4"/>
      <c r="M874" s="4"/>
      <c r="N874" s="4"/>
      <c r="O874" s="4"/>
      <c r="P874" s="4"/>
      <c r="Q874" s="4"/>
      <c r="R874" s="4"/>
    </row>
    <row r="875" spans="1:18" ht="12.75" customHeight="1">
      <c r="A875" s="4"/>
      <c r="B875" s="4"/>
      <c r="C875" s="3"/>
      <c r="D875" s="4"/>
      <c r="E875" s="4"/>
      <c r="F875" s="4"/>
      <c r="G875" s="4"/>
      <c r="H875" s="4"/>
      <c r="I875" s="4"/>
      <c r="J875" s="4"/>
      <c r="K875" s="4"/>
      <c r="L875" s="4"/>
      <c r="M875" s="4"/>
      <c r="N875" s="4"/>
      <c r="O875" s="4"/>
      <c r="P875" s="4"/>
      <c r="Q875" s="4"/>
      <c r="R875" s="4"/>
    </row>
    <row r="876" spans="1:18" ht="12.75" customHeight="1">
      <c r="A876" s="4"/>
      <c r="B876" s="4"/>
      <c r="C876" s="3"/>
      <c r="D876" s="4"/>
      <c r="E876" s="4"/>
      <c r="F876" s="4"/>
      <c r="G876" s="4"/>
      <c r="H876" s="4"/>
      <c r="I876" s="4"/>
      <c r="J876" s="4"/>
      <c r="K876" s="4"/>
      <c r="L876" s="4"/>
      <c r="M876" s="4"/>
      <c r="N876" s="4"/>
      <c r="O876" s="4"/>
      <c r="P876" s="4"/>
      <c r="Q876" s="4"/>
      <c r="R876" s="4"/>
    </row>
    <row r="877" spans="1:18" ht="12.75" customHeight="1">
      <c r="A877" s="4"/>
      <c r="B877" s="4"/>
      <c r="C877" s="3"/>
      <c r="D877" s="4"/>
      <c r="E877" s="4"/>
      <c r="F877" s="4"/>
      <c r="G877" s="4"/>
      <c r="H877" s="4"/>
      <c r="I877" s="4"/>
      <c r="J877" s="4"/>
      <c r="K877" s="4"/>
      <c r="L877" s="4"/>
      <c r="M877" s="4"/>
      <c r="N877" s="4"/>
      <c r="O877" s="4"/>
      <c r="P877" s="4"/>
      <c r="Q877" s="4"/>
      <c r="R877" s="4"/>
    </row>
    <row r="878" spans="1:18" ht="12.75" customHeight="1">
      <c r="A878" s="4"/>
      <c r="B878" s="4"/>
      <c r="C878" s="3"/>
      <c r="D878" s="4"/>
      <c r="E878" s="4"/>
      <c r="F878" s="4"/>
      <c r="G878" s="4"/>
      <c r="H878" s="4"/>
      <c r="I878" s="4"/>
      <c r="J878" s="4"/>
      <c r="K878" s="4"/>
      <c r="L878" s="4"/>
      <c r="M878" s="4"/>
      <c r="N878" s="4"/>
      <c r="O878" s="4"/>
      <c r="P878" s="4"/>
      <c r="Q878" s="4"/>
      <c r="R878" s="4"/>
    </row>
    <row r="879" spans="1:18" ht="12.75" customHeight="1">
      <c r="A879" s="4"/>
      <c r="B879" s="4"/>
      <c r="C879" s="3"/>
      <c r="D879" s="4"/>
      <c r="E879" s="4"/>
      <c r="F879" s="4"/>
      <c r="G879" s="4"/>
      <c r="H879" s="4"/>
      <c r="I879" s="4"/>
      <c r="J879" s="4"/>
      <c r="K879" s="4"/>
      <c r="L879" s="4"/>
      <c r="M879" s="4"/>
      <c r="N879" s="4"/>
      <c r="O879" s="4"/>
      <c r="P879" s="4"/>
      <c r="Q879" s="4"/>
      <c r="R879" s="4"/>
    </row>
    <row r="880" spans="1:18" ht="12.75" customHeight="1">
      <c r="A880" s="4"/>
      <c r="B880" s="4"/>
      <c r="C880" s="3"/>
      <c r="D880" s="4"/>
      <c r="E880" s="4"/>
      <c r="F880" s="4"/>
      <c r="G880" s="4"/>
      <c r="H880" s="4"/>
      <c r="I880" s="4"/>
      <c r="J880" s="4"/>
      <c r="K880" s="4"/>
      <c r="L880" s="4"/>
      <c r="M880" s="4"/>
      <c r="N880" s="4"/>
      <c r="O880" s="4"/>
      <c r="P880" s="4"/>
      <c r="Q880" s="4"/>
      <c r="R880" s="4"/>
    </row>
    <row r="881" spans="1:18" ht="12.75" customHeight="1">
      <c r="A881" s="4"/>
      <c r="B881" s="4"/>
      <c r="C881" s="3"/>
      <c r="D881" s="4"/>
      <c r="E881" s="4"/>
      <c r="F881" s="4"/>
      <c r="G881" s="4"/>
      <c r="H881" s="4"/>
      <c r="I881" s="4"/>
      <c r="J881" s="4"/>
      <c r="K881" s="4"/>
      <c r="L881" s="4"/>
      <c r="M881" s="4"/>
      <c r="N881" s="4"/>
      <c r="O881" s="4"/>
      <c r="P881" s="4"/>
      <c r="Q881" s="4"/>
      <c r="R881" s="4"/>
    </row>
    <row r="882" spans="1:18" ht="12.75" customHeight="1">
      <c r="A882" s="4"/>
      <c r="B882" s="4"/>
      <c r="C882" s="3"/>
      <c r="D882" s="4"/>
      <c r="E882" s="4"/>
      <c r="F882" s="4"/>
      <c r="G882" s="4"/>
      <c r="H882" s="4"/>
      <c r="I882" s="4"/>
      <c r="J882" s="4"/>
      <c r="K882" s="4"/>
      <c r="L882" s="4"/>
      <c r="M882" s="4"/>
      <c r="N882" s="4"/>
      <c r="O882" s="4"/>
      <c r="P882" s="4"/>
      <c r="Q882" s="4"/>
      <c r="R882" s="4"/>
    </row>
    <row r="883" spans="1:18" ht="12.75" customHeight="1">
      <c r="A883" s="4"/>
      <c r="B883" s="4"/>
      <c r="C883" s="3"/>
      <c r="D883" s="4"/>
      <c r="E883" s="4"/>
      <c r="F883" s="4"/>
      <c r="G883" s="4"/>
      <c r="H883" s="4"/>
      <c r="I883" s="4"/>
      <c r="J883" s="4"/>
      <c r="K883" s="4"/>
      <c r="L883" s="4"/>
      <c r="M883" s="4"/>
      <c r="N883" s="4"/>
      <c r="O883" s="4"/>
      <c r="P883" s="4"/>
      <c r="Q883" s="4"/>
      <c r="R883" s="4"/>
    </row>
    <row r="884" spans="1:18" ht="12.75" customHeight="1">
      <c r="A884" s="4"/>
      <c r="B884" s="4"/>
      <c r="C884" s="3"/>
      <c r="D884" s="4"/>
      <c r="E884" s="4"/>
      <c r="F884" s="4"/>
      <c r="G884" s="4"/>
      <c r="H884" s="4"/>
      <c r="I884" s="4"/>
      <c r="J884" s="4"/>
      <c r="K884" s="4"/>
      <c r="L884" s="4"/>
      <c r="M884" s="4"/>
      <c r="N884" s="4"/>
      <c r="O884" s="4"/>
      <c r="P884" s="4"/>
      <c r="Q884" s="4"/>
      <c r="R884" s="4"/>
    </row>
    <row r="885" spans="1:18" ht="12.75" customHeight="1">
      <c r="A885" s="4"/>
      <c r="B885" s="4"/>
      <c r="C885" s="3"/>
      <c r="D885" s="4"/>
      <c r="E885" s="4"/>
      <c r="F885" s="4"/>
      <c r="G885" s="4"/>
      <c r="H885" s="4"/>
      <c r="I885" s="4"/>
      <c r="J885" s="4"/>
      <c r="K885" s="4"/>
      <c r="L885" s="4"/>
      <c r="M885" s="4"/>
      <c r="N885" s="4"/>
      <c r="O885" s="4"/>
      <c r="P885" s="4"/>
      <c r="Q885" s="4"/>
      <c r="R885" s="4"/>
    </row>
    <row r="886" spans="1:18" ht="12.75" customHeight="1">
      <c r="A886" s="4"/>
      <c r="B886" s="4"/>
      <c r="C886" s="3"/>
      <c r="D886" s="4"/>
      <c r="E886" s="4"/>
      <c r="F886" s="4"/>
      <c r="G886" s="4"/>
      <c r="H886" s="4"/>
      <c r="I886" s="4"/>
      <c r="J886" s="4"/>
      <c r="K886" s="4"/>
      <c r="L886" s="4"/>
      <c r="M886" s="4"/>
      <c r="N886" s="4"/>
      <c r="O886" s="4"/>
      <c r="P886" s="4"/>
      <c r="Q886" s="4"/>
      <c r="R886" s="4"/>
    </row>
    <row r="887" spans="1:18" ht="12.75" customHeight="1">
      <c r="A887" s="4"/>
      <c r="B887" s="4"/>
      <c r="C887" s="3"/>
      <c r="D887" s="4"/>
      <c r="E887" s="4"/>
      <c r="F887" s="4"/>
      <c r="G887" s="4"/>
      <c r="H887" s="4"/>
      <c r="I887" s="4"/>
      <c r="J887" s="4"/>
      <c r="K887" s="4"/>
      <c r="L887" s="4"/>
      <c r="M887" s="4"/>
      <c r="N887" s="4"/>
      <c r="O887" s="4"/>
      <c r="P887" s="4"/>
      <c r="Q887" s="4"/>
      <c r="R887" s="4"/>
    </row>
    <row r="888" spans="1:18" ht="12.75" customHeight="1">
      <c r="A888" s="4"/>
      <c r="B888" s="4"/>
      <c r="C888" s="3"/>
      <c r="D888" s="4"/>
      <c r="E888" s="4"/>
      <c r="F888" s="4"/>
      <c r="G888" s="4"/>
      <c r="H888" s="4"/>
      <c r="I888" s="4"/>
      <c r="J888" s="4"/>
      <c r="K888" s="4"/>
      <c r="L888" s="4"/>
      <c r="M888" s="4"/>
      <c r="N888" s="4"/>
      <c r="O888" s="4"/>
      <c r="P888" s="4"/>
      <c r="Q888" s="4"/>
      <c r="R888" s="4"/>
    </row>
    <row r="889" spans="1:18" ht="12.75" customHeight="1">
      <c r="A889" s="4"/>
      <c r="B889" s="4"/>
      <c r="C889" s="3"/>
      <c r="D889" s="4"/>
      <c r="E889" s="4"/>
      <c r="F889" s="4"/>
      <c r="G889" s="4"/>
      <c r="H889" s="4"/>
      <c r="I889" s="4"/>
      <c r="J889" s="4"/>
      <c r="K889" s="4"/>
      <c r="L889" s="4"/>
      <c r="M889" s="4"/>
      <c r="N889" s="4"/>
      <c r="O889" s="4"/>
      <c r="P889" s="4"/>
      <c r="Q889" s="4"/>
      <c r="R889" s="4"/>
    </row>
    <row r="890" spans="1:18" ht="12.75" customHeight="1">
      <c r="A890" s="4"/>
      <c r="B890" s="4"/>
      <c r="C890" s="3"/>
      <c r="D890" s="4"/>
      <c r="E890" s="4"/>
      <c r="F890" s="4"/>
      <c r="G890" s="4"/>
      <c r="H890" s="4"/>
      <c r="I890" s="4"/>
      <c r="J890" s="4"/>
      <c r="K890" s="4"/>
      <c r="L890" s="4"/>
      <c r="M890" s="4"/>
      <c r="N890" s="4"/>
      <c r="O890" s="4"/>
      <c r="P890" s="4"/>
      <c r="Q890" s="4"/>
      <c r="R890" s="4"/>
    </row>
    <row r="891" spans="1:18" ht="12.75" customHeight="1">
      <c r="A891" s="4"/>
      <c r="B891" s="4"/>
      <c r="C891" s="3"/>
      <c r="D891" s="4"/>
      <c r="E891" s="4"/>
      <c r="F891" s="4"/>
      <c r="G891" s="4"/>
      <c r="H891" s="4"/>
      <c r="I891" s="4"/>
      <c r="J891" s="4"/>
      <c r="K891" s="4"/>
      <c r="L891" s="4"/>
      <c r="M891" s="4"/>
      <c r="N891" s="4"/>
      <c r="O891" s="4"/>
      <c r="P891" s="4"/>
      <c r="Q891" s="4"/>
      <c r="R891" s="4"/>
    </row>
    <row r="892" spans="1:18" ht="12.75" customHeight="1">
      <c r="A892" s="4"/>
      <c r="B892" s="4"/>
      <c r="C892" s="3"/>
      <c r="D892" s="4"/>
      <c r="E892" s="4"/>
      <c r="F892" s="4"/>
      <c r="G892" s="4"/>
      <c r="H892" s="4"/>
      <c r="I892" s="4"/>
      <c r="J892" s="4"/>
      <c r="K892" s="4"/>
      <c r="L892" s="4"/>
      <c r="M892" s="4"/>
      <c r="N892" s="4"/>
      <c r="O892" s="4"/>
      <c r="P892" s="4"/>
      <c r="Q892" s="4"/>
      <c r="R892" s="4"/>
    </row>
    <row r="893" spans="1:18" ht="12.75" customHeight="1">
      <c r="A893" s="4"/>
      <c r="B893" s="4"/>
      <c r="C893" s="3"/>
      <c r="D893" s="4"/>
      <c r="E893" s="4"/>
      <c r="F893" s="4"/>
      <c r="G893" s="4"/>
      <c r="H893" s="4"/>
      <c r="I893" s="4"/>
      <c r="J893" s="4"/>
      <c r="K893" s="4"/>
      <c r="L893" s="4"/>
      <c r="M893" s="4"/>
      <c r="N893" s="4"/>
      <c r="O893" s="4"/>
      <c r="P893" s="4"/>
      <c r="Q893" s="4"/>
      <c r="R893" s="4"/>
    </row>
    <row r="894" spans="1:18" ht="12.75" customHeight="1">
      <c r="A894" s="4"/>
      <c r="B894" s="4"/>
      <c r="C894" s="3"/>
      <c r="D894" s="4"/>
      <c r="E894" s="4"/>
      <c r="F894" s="4"/>
      <c r="G894" s="4"/>
      <c r="H894" s="4"/>
      <c r="I894" s="4"/>
      <c r="J894" s="4"/>
      <c r="K894" s="4"/>
      <c r="L894" s="4"/>
      <c r="M894" s="4"/>
      <c r="N894" s="4"/>
      <c r="O894" s="4"/>
      <c r="P894" s="4"/>
      <c r="Q894" s="4"/>
      <c r="R894" s="4"/>
    </row>
    <row r="895" spans="1:18" ht="12.75" customHeight="1">
      <c r="A895" s="4"/>
      <c r="B895" s="4"/>
      <c r="C895" s="3"/>
      <c r="D895" s="4"/>
      <c r="E895" s="4"/>
      <c r="F895" s="4"/>
      <c r="G895" s="4"/>
      <c r="H895" s="4"/>
      <c r="I895" s="4"/>
      <c r="J895" s="4"/>
      <c r="K895" s="4"/>
      <c r="L895" s="4"/>
      <c r="M895" s="4"/>
      <c r="N895" s="4"/>
      <c r="O895" s="4"/>
      <c r="P895" s="4"/>
      <c r="Q895" s="4"/>
      <c r="R895" s="4"/>
    </row>
    <row r="896" spans="1:18" ht="12.75" customHeight="1">
      <c r="A896" s="4"/>
      <c r="B896" s="4"/>
      <c r="C896" s="3"/>
      <c r="D896" s="4"/>
      <c r="E896" s="4"/>
      <c r="F896" s="4"/>
      <c r="G896" s="4"/>
      <c r="H896" s="4"/>
      <c r="I896" s="4"/>
      <c r="J896" s="4"/>
      <c r="K896" s="4"/>
      <c r="L896" s="4"/>
      <c r="M896" s="4"/>
      <c r="N896" s="4"/>
      <c r="O896" s="4"/>
      <c r="P896" s="4"/>
      <c r="Q896" s="4"/>
      <c r="R896" s="4"/>
    </row>
    <row r="897" spans="1:18" ht="12.75" customHeight="1">
      <c r="A897" s="4"/>
      <c r="B897" s="4"/>
      <c r="C897" s="3"/>
      <c r="D897" s="4"/>
      <c r="E897" s="4"/>
      <c r="F897" s="4"/>
      <c r="G897" s="4"/>
      <c r="H897" s="4"/>
      <c r="I897" s="4"/>
      <c r="J897" s="4"/>
      <c r="K897" s="4"/>
      <c r="L897" s="4"/>
      <c r="M897" s="4"/>
      <c r="N897" s="4"/>
      <c r="O897" s="4"/>
      <c r="P897" s="4"/>
      <c r="Q897" s="4"/>
      <c r="R897" s="4"/>
    </row>
    <row r="898" spans="1:18" ht="12.75" customHeight="1">
      <c r="A898" s="4"/>
      <c r="B898" s="4"/>
      <c r="C898" s="3"/>
      <c r="D898" s="4"/>
      <c r="E898" s="4"/>
      <c r="F898" s="4"/>
      <c r="G898" s="4"/>
      <c r="H898" s="4"/>
      <c r="I898" s="4"/>
      <c r="J898" s="4"/>
      <c r="K898" s="4"/>
      <c r="L898" s="4"/>
      <c r="M898" s="4"/>
      <c r="N898" s="4"/>
      <c r="O898" s="4"/>
      <c r="P898" s="4"/>
      <c r="Q898" s="4"/>
      <c r="R898" s="4"/>
    </row>
    <row r="899" spans="1:18" ht="12.75" customHeight="1">
      <c r="A899" s="4"/>
      <c r="B899" s="4"/>
      <c r="C899" s="3"/>
      <c r="D899" s="4"/>
      <c r="E899" s="4"/>
      <c r="F899" s="4"/>
      <c r="G899" s="4"/>
      <c r="H899" s="4"/>
      <c r="I899" s="4"/>
      <c r="J899" s="4"/>
      <c r="K899" s="4"/>
      <c r="L899" s="4"/>
      <c r="M899" s="4"/>
      <c r="N899" s="4"/>
      <c r="O899" s="4"/>
      <c r="P899" s="4"/>
      <c r="Q899" s="4"/>
      <c r="R899" s="4"/>
    </row>
    <row r="900" spans="1:18" ht="12.75" customHeight="1">
      <c r="A900" s="4"/>
      <c r="B900" s="4"/>
      <c r="C900" s="3"/>
      <c r="D900" s="4"/>
      <c r="E900" s="4"/>
      <c r="F900" s="4"/>
      <c r="G900" s="4"/>
      <c r="H900" s="4"/>
      <c r="I900" s="4"/>
      <c r="J900" s="4"/>
      <c r="K900" s="4"/>
      <c r="L900" s="4"/>
      <c r="M900" s="4"/>
      <c r="N900" s="4"/>
      <c r="O900" s="4"/>
      <c r="P900" s="4"/>
      <c r="Q900" s="4"/>
      <c r="R900" s="4"/>
    </row>
    <row r="901" spans="1:18" ht="12.75" customHeight="1">
      <c r="A901" s="4"/>
      <c r="B901" s="4"/>
      <c r="C901" s="3"/>
      <c r="D901" s="4"/>
      <c r="E901" s="4"/>
      <c r="F901" s="4"/>
      <c r="G901" s="4"/>
      <c r="H901" s="4"/>
      <c r="I901" s="4"/>
      <c r="J901" s="4"/>
      <c r="K901" s="4"/>
      <c r="L901" s="4"/>
      <c r="M901" s="4"/>
      <c r="N901" s="4"/>
      <c r="O901" s="4"/>
      <c r="P901" s="4"/>
      <c r="Q901" s="4"/>
      <c r="R901" s="4"/>
    </row>
    <row r="902" spans="1:18" ht="12.75" customHeight="1">
      <c r="A902" s="4"/>
      <c r="B902" s="4"/>
      <c r="C902" s="3"/>
      <c r="D902" s="4"/>
      <c r="E902" s="4"/>
      <c r="F902" s="4"/>
      <c r="G902" s="4"/>
      <c r="H902" s="4"/>
      <c r="I902" s="4"/>
      <c r="J902" s="4"/>
      <c r="K902" s="4"/>
      <c r="L902" s="4"/>
      <c r="M902" s="4"/>
      <c r="N902" s="4"/>
      <c r="O902" s="4"/>
      <c r="P902" s="4"/>
      <c r="Q902" s="4"/>
      <c r="R902" s="4"/>
    </row>
    <row r="903" spans="1:18" ht="12.75" customHeight="1">
      <c r="A903" s="4"/>
      <c r="B903" s="4"/>
      <c r="C903" s="3"/>
      <c r="D903" s="4"/>
      <c r="E903" s="4"/>
      <c r="F903" s="4"/>
      <c r="G903" s="4"/>
      <c r="H903" s="4"/>
      <c r="I903" s="4"/>
      <c r="J903" s="4"/>
      <c r="K903" s="4"/>
      <c r="L903" s="4"/>
      <c r="M903" s="4"/>
      <c r="N903" s="4"/>
      <c r="O903" s="4"/>
      <c r="P903" s="4"/>
      <c r="Q903" s="4"/>
      <c r="R903" s="4"/>
    </row>
    <row r="904" spans="1:18" ht="12.75" customHeight="1">
      <c r="A904" s="4"/>
      <c r="B904" s="4"/>
      <c r="C904" s="3"/>
      <c r="D904" s="4"/>
      <c r="E904" s="4"/>
      <c r="F904" s="4"/>
      <c r="G904" s="4"/>
      <c r="H904" s="4"/>
      <c r="I904" s="4"/>
      <c r="J904" s="4"/>
      <c r="K904" s="4"/>
      <c r="L904" s="4"/>
      <c r="M904" s="4"/>
      <c r="N904" s="4"/>
      <c r="O904" s="4"/>
      <c r="P904" s="4"/>
      <c r="Q904" s="4"/>
      <c r="R904" s="4"/>
    </row>
    <row r="905" spans="1:18" ht="12.75" customHeight="1">
      <c r="A905" s="4"/>
      <c r="B905" s="4"/>
      <c r="C905" s="3"/>
      <c r="D905" s="4"/>
      <c r="E905" s="4"/>
      <c r="F905" s="4"/>
      <c r="G905" s="4"/>
      <c r="H905" s="4"/>
      <c r="I905" s="4"/>
      <c r="J905" s="4"/>
      <c r="K905" s="4"/>
      <c r="L905" s="4"/>
      <c r="M905" s="4"/>
      <c r="N905" s="4"/>
      <c r="O905" s="4"/>
      <c r="P905" s="4"/>
      <c r="Q905" s="4"/>
      <c r="R905" s="4"/>
    </row>
    <row r="906" spans="1:18" ht="12.75" customHeight="1">
      <c r="A906" s="4"/>
      <c r="B906" s="4"/>
      <c r="C906" s="3"/>
      <c r="D906" s="4"/>
      <c r="E906" s="4"/>
      <c r="F906" s="4"/>
      <c r="G906" s="4"/>
      <c r="H906" s="4"/>
      <c r="I906" s="4"/>
      <c r="J906" s="4"/>
      <c r="K906" s="4"/>
      <c r="L906" s="4"/>
      <c r="M906" s="4"/>
      <c r="N906" s="4"/>
      <c r="O906" s="4"/>
      <c r="P906" s="4"/>
      <c r="Q906" s="4"/>
      <c r="R906" s="4"/>
    </row>
    <row r="907" spans="1:18" ht="12.75" customHeight="1">
      <c r="A907" s="4"/>
      <c r="B907" s="4"/>
      <c r="C907" s="3"/>
      <c r="D907" s="4"/>
      <c r="E907" s="4"/>
      <c r="F907" s="4"/>
      <c r="G907" s="4"/>
      <c r="H907" s="4"/>
      <c r="I907" s="4"/>
      <c r="J907" s="4"/>
      <c r="K907" s="4"/>
      <c r="L907" s="4"/>
      <c r="M907" s="4"/>
      <c r="N907" s="4"/>
      <c r="O907" s="4"/>
      <c r="P907" s="4"/>
      <c r="Q907" s="4"/>
      <c r="R907" s="4"/>
    </row>
    <row r="908" spans="1:18" ht="12.75" customHeight="1">
      <c r="A908" s="4"/>
      <c r="B908" s="4"/>
      <c r="C908" s="3"/>
      <c r="D908" s="4"/>
      <c r="E908" s="4"/>
      <c r="F908" s="4"/>
      <c r="G908" s="4"/>
      <c r="H908" s="4"/>
      <c r="I908" s="4"/>
      <c r="J908" s="4"/>
      <c r="K908" s="4"/>
      <c r="L908" s="4"/>
      <c r="M908" s="4"/>
      <c r="N908" s="4"/>
      <c r="O908" s="4"/>
      <c r="P908" s="4"/>
      <c r="Q908" s="4"/>
      <c r="R908" s="4"/>
    </row>
    <row r="909" spans="1:18" ht="12.75" customHeight="1">
      <c r="A909" s="4"/>
      <c r="B909" s="4"/>
      <c r="C909" s="3"/>
      <c r="D909" s="4"/>
      <c r="E909" s="4"/>
      <c r="F909" s="4"/>
      <c r="G909" s="4"/>
      <c r="H909" s="4"/>
      <c r="I909" s="4"/>
      <c r="J909" s="4"/>
      <c r="K909" s="4"/>
      <c r="L909" s="4"/>
      <c r="M909" s="4"/>
      <c r="N909" s="4"/>
      <c r="O909" s="4"/>
      <c r="P909" s="4"/>
      <c r="Q909" s="4"/>
      <c r="R909" s="4"/>
    </row>
    <row r="910" spans="1:18" ht="12.75" customHeight="1">
      <c r="A910" s="4"/>
      <c r="B910" s="4"/>
      <c r="C910" s="3"/>
      <c r="D910" s="4"/>
      <c r="E910" s="4"/>
      <c r="F910" s="4"/>
      <c r="G910" s="4"/>
      <c r="H910" s="4"/>
      <c r="I910" s="4"/>
      <c r="J910" s="4"/>
      <c r="K910" s="4"/>
      <c r="L910" s="4"/>
      <c r="M910" s="4"/>
      <c r="N910" s="4"/>
      <c r="O910" s="4"/>
      <c r="P910" s="4"/>
      <c r="Q910" s="4"/>
      <c r="R910" s="4"/>
    </row>
    <row r="911" spans="1:18" ht="12.75" customHeight="1">
      <c r="A911" s="4"/>
      <c r="B911" s="4"/>
      <c r="C911" s="3"/>
      <c r="D911" s="4"/>
      <c r="E911" s="4"/>
      <c r="F911" s="4"/>
      <c r="G911" s="4"/>
      <c r="H911" s="4"/>
      <c r="I911" s="4"/>
      <c r="J911" s="4"/>
      <c r="K911" s="4"/>
      <c r="L911" s="4"/>
      <c r="M911" s="4"/>
      <c r="N911" s="4"/>
      <c r="O911" s="4"/>
      <c r="P911" s="4"/>
      <c r="Q911" s="4"/>
      <c r="R911" s="4"/>
    </row>
    <row r="912" spans="1:18" ht="12.75" customHeight="1">
      <c r="A912" s="4"/>
      <c r="B912" s="4"/>
      <c r="C912" s="3"/>
      <c r="D912" s="4"/>
      <c r="E912" s="4"/>
      <c r="F912" s="4"/>
      <c r="G912" s="4"/>
      <c r="H912" s="4"/>
      <c r="I912" s="4"/>
      <c r="J912" s="4"/>
      <c r="K912" s="4"/>
      <c r="L912" s="4"/>
      <c r="M912" s="4"/>
      <c r="N912" s="4"/>
      <c r="O912" s="4"/>
      <c r="P912" s="4"/>
      <c r="Q912" s="4"/>
      <c r="R912" s="4"/>
    </row>
    <row r="913" spans="1:18" ht="12.75" customHeight="1">
      <c r="A913" s="4"/>
      <c r="B913" s="4"/>
      <c r="C913" s="3"/>
      <c r="D913" s="4"/>
      <c r="E913" s="4"/>
      <c r="F913" s="4"/>
      <c r="G913" s="4"/>
      <c r="H913" s="4"/>
      <c r="I913" s="4"/>
      <c r="J913" s="4"/>
      <c r="K913" s="4"/>
      <c r="L913" s="4"/>
      <c r="M913" s="4"/>
      <c r="N913" s="4"/>
      <c r="O913" s="4"/>
      <c r="P913" s="4"/>
      <c r="Q913" s="4"/>
      <c r="R913" s="4"/>
    </row>
    <row r="914" spans="1:18" ht="12.75" customHeight="1">
      <c r="A914" s="4"/>
      <c r="B914" s="4"/>
      <c r="C914" s="3"/>
      <c r="D914" s="4"/>
      <c r="E914" s="4"/>
      <c r="F914" s="4"/>
      <c r="G914" s="4"/>
      <c r="H914" s="4"/>
      <c r="I914" s="4"/>
      <c r="J914" s="4"/>
      <c r="K914" s="4"/>
      <c r="L914" s="4"/>
      <c r="M914" s="4"/>
      <c r="N914" s="4"/>
      <c r="O914" s="4"/>
      <c r="P914" s="4"/>
      <c r="Q914" s="4"/>
      <c r="R914" s="4"/>
    </row>
    <row r="915" spans="1:18" ht="12.75" customHeight="1">
      <c r="A915" s="4"/>
      <c r="B915" s="4"/>
      <c r="C915" s="3"/>
      <c r="D915" s="4"/>
      <c r="E915" s="4"/>
      <c r="F915" s="4"/>
      <c r="G915" s="4"/>
      <c r="H915" s="4"/>
      <c r="I915" s="4"/>
      <c r="J915" s="4"/>
      <c r="K915" s="4"/>
      <c r="L915" s="4"/>
      <c r="M915" s="4"/>
      <c r="N915" s="4"/>
      <c r="O915" s="4"/>
      <c r="P915" s="4"/>
      <c r="Q915" s="4"/>
      <c r="R915" s="4"/>
    </row>
    <row r="916" spans="1:18" ht="12.75" customHeight="1">
      <c r="A916" s="4"/>
      <c r="B916" s="4"/>
      <c r="C916" s="3"/>
      <c r="D916" s="4"/>
      <c r="E916" s="4"/>
      <c r="F916" s="4"/>
      <c r="G916" s="4"/>
      <c r="H916" s="4"/>
      <c r="I916" s="4"/>
      <c r="J916" s="4"/>
      <c r="K916" s="4"/>
      <c r="L916" s="4"/>
      <c r="M916" s="4"/>
      <c r="N916" s="4"/>
      <c r="O916" s="4"/>
      <c r="P916" s="4"/>
      <c r="Q916" s="4"/>
      <c r="R916" s="4"/>
    </row>
    <row r="917" spans="1:18" ht="12.75" customHeight="1">
      <c r="A917" s="4"/>
      <c r="B917" s="4"/>
      <c r="C917" s="3"/>
      <c r="D917" s="4"/>
      <c r="E917" s="4"/>
      <c r="F917" s="4"/>
      <c r="G917" s="4"/>
      <c r="H917" s="4"/>
      <c r="I917" s="4"/>
      <c r="J917" s="4"/>
      <c r="K917" s="4"/>
      <c r="L917" s="4"/>
      <c r="M917" s="4"/>
      <c r="N917" s="4"/>
      <c r="O917" s="4"/>
      <c r="P917" s="4"/>
      <c r="Q917" s="4"/>
      <c r="R917" s="4"/>
    </row>
    <row r="918" spans="1:18" ht="12.75" customHeight="1">
      <c r="A918" s="4"/>
      <c r="B918" s="4"/>
      <c r="C918" s="3"/>
      <c r="D918" s="4"/>
      <c r="E918" s="4"/>
      <c r="F918" s="4"/>
      <c r="G918" s="4"/>
      <c r="H918" s="4"/>
      <c r="I918" s="4"/>
      <c r="J918" s="4"/>
      <c r="K918" s="4"/>
      <c r="L918" s="4"/>
      <c r="M918" s="4"/>
      <c r="N918" s="4"/>
      <c r="O918" s="4"/>
      <c r="P918" s="4"/>
      <c r="Q918" s="4"/>
      <c r="R918" s="4"/>
    </row>
    <row r="919" spans="1:18" ht="12.75" customHeight="1">
      <c r="A919" s="4"/>
      <c r="B919" s="4"/>
      <c r="C919" s="3"/>
      <c r="D919" s="4"/>
      <c r="E919" s="4"/>
      <c r="F919" s="4"/>
      <c r="G919" s="4"/>
      <c r="H919" s="4"/>
      <c r="I919" s="4"/>
      <c r="J919" s="4"/>
      <c r="K919" s="4"/>
      <c r="L919" s="4"/>
      <c r="M919" s="4"/>
      <c r="N919" s="4"/>
      <c r="O919" s="4"/>
      <c r="P919" s="4"/>
      <c r="Q919" s="4"/>
      <c r="R919" s="4"/>
    </row>
    <row r="920" spans="1:18" ht="12.75" customHeight="1">
      <c r="A920" s="4"/>
      <c r="B920" s="4"/>
      <c r="C920" s="3"/>
      <c r="D920" s="4"/>
      <c r="E920" s="4"/>
      <c r="F920" s="4"/>
      <c r="G920" s="4"/>
      <c r="H920" s="4"/>
      <c r="I920" s="4"/>
      <c r="J920" s="4"/>
      <c r="K920" s="4"/>
      <c r="L920" s="4"/>
      <c r="M920" s="4"/>
      <c r="N920" s="4"/>
      <c r="O920" s="4"/>
      <c r="P920" s="4"/>
      <c r="Q920" s="4"/>
      <c r="R920" s="4"/>
    </row>
    <row r="921" spans="1:18" ht="12.75" customHeight="1">
      <c r="A921" s="4"/>
      <c r="B921" s="4"/>
      <c r="C921" s="3"/>
      <c r="D921" s="4"/>
      <c r="E921" s="4"/>
      <c r="F921" s="4"/>
      <c r="G921" s="4"/>
      <c r="H921" s="4"/>
      <c r="I921" s="4"/>
      <c r="J921" s="4"/>
      <c r="K921" s="4"/>
      <c r="L921" s="4"/>
      <c r="M921" s="4"/>
      <c r="N921" s="4"/>
      <c r="O921" s="4"/>
      <c r="P921" s="4"/>
      <c r="Q921" s="4"/>
      <c r="R921" s="4"/>
    </row>
    <row r="922" spans="1:18" ht="12.75" customHeight="1">
      <c r="A922" s="4"/>
      <c r="B922" s="4"/>
      <c r="C922" s="3"/>
      <c r="D922" s="4"/>
      <c r="E922" s="4"/>
      <c r="F922" s="4"/>
      <c r="G922" s="4"/>
      <c r="H922" s="4"/>
      <c r="I922" s="4"/>
      <c r="J922" s="4"/>
      <c r="K922" s="4"/>
      <c r="L922" s="4"/>
      <c r="M922" s="4"/>
      <c r="N922" s="4"/>
      <c r="O922" s="4"/>
      <c r="P922" s="4"/>
      <c r="Q922" s="4"/>
      <c r="R922" s="4"/>
    </row>
    <row r="923" spans="1:18" ht="12.75" customHeight="1">
      <c r="A923" s="4"/>
      <c r="B923" s="4"/>
      <c r="C923" s="3"/>
      <c r="D923" s="4"/>
      <c r="E923" s="4"/>
      <c r="F923" s="4"/>
      <c r="G923" s="4"/>
      <c r="H923" s="4"/>
      <c r="I923" s="4"/>
      <c r="J923" s="4"/>
      <c r="K923" s="4"/>
      <c r="L923" s="4"/>
      <c r="M923" s="4"/>
      <c r="N923" s="4"/>
      <c r="O923" s="4"/>
      <c r="P923" s="4"/>
      <c r="Q923" s="4"/>
      <c r="R923" s="4"/>
    </row>
    <row r="924" spans="1:18" ht="12.75" customHeight="1">
      <c r="A924" s="4"/>
      <c r="B924" s="4"/>
      <c r="C924" s="3"/>
      <c r="D924" s="4"/>
      <c r="E924" s="4"/>
      <c r="F924" s="4"/>
      <c r="G924" s="4"/>
      <c r="H924" s="4"/>
      <c r="I924" s="4"/>
      <c r="J924" s="4"/>
      <c r="K924" s="4"/>
      <c r="L924" s="4"/>
      <c r="M924" s="4"/>
      <c r="N924" s="4"/>
      <c r="O924" s="4"/>
      <c r="P924" s="4"/>
      <c r="Q924" s="4"/>
      <c r="R924" s="4"/>
    </row>
    <row r="925" spans="1:18" ht="12.75" customHeight="1">
      <c r="A925" s="4"/>
      <c r="B925" s="4"/>
      <c r="C925" s="3"/>
      <c r="D925" s="4"/>
      <c r="E925" s="4"/>
      <c r="F925" s="4"/>
      <c r="G925" s="4"/>
      <c r="H925" s="4"/>
      <c r="I925" s="4"/>
      <c r="J925" s="4"/>
      <c r="K925" s="4"/>
      <c r="L925" s="4"/>
      <c r="M925" s="4"/>
      <c r="N925" s="4"/>
      <c r="O925" s="4"/>
      <c r="P925" s="4"/>
      <c r="Q925" s="4"/>
      <c r="R925" s="4"/>
    </row>
    <row r="926" spans="1:18" ht="12.75" customHeight="1">
      <c r="A926" s="4"/>
      <c r="B926" s="4"/>
      <c r="C926" s="3"/>
      <c r="D926" s="4"/>
      <c r="E926" s="4"/>
      <c r="F926" s="4"/>
      <c r="G926" s="4"/>
      <c r="H926" s="4"/>
      <c r="I926" s="4"/>
      <c r="J926" s="4"/>
      <c r="K926" s="4"/>
      <c r="L926" s="4"/>
      <c r="M926" s="4"/>
      <c r="N926" s="4"/>
      <c r="O926" s="4"/>
      <c r="P926" s="4"/>
      <c r="Q926" s="4"/>
      <c r="R926" s="4"/>
    </row>
    <row r="927" spans="1:18" ht="12.75" customHeight="1">
      <c r="A927" s="4"/>
      <c r="B927" s="4"/>
      <c r="C927" s="3"/>
      <c r="D927" s="4"/>
      <c r="E927" s="4"/>
      <c r="F927" s="4"/>
      <c r="G927" s="4"/>
      <c r="H927" s="4"/>
      <c r="I927" s="4"/>
      <c r="J927" s="4"/>
      <c r="K927" s="4"/>
      <c r="L927" s="4"/>
      <c r="M927" s="4"/>
      <c r="N927" s="4"/>
      <c r="O927" s="4"/>
      <c r="P927" s="4"/>
      <c r="Q927" s="4"/>
      <c r="R927" s="4"/>
    </row>
    <row r="928" spans="1:18" ht="12.75" customHeight="1">
      <c r="A928" s="4"/>
      <c r="B928" s="4"/>
      <c r="C928" s="3"/>
      <c r="D928" s="4"/>
      <c r="E928" s="4"/>
      <c r="F928" s="4"/>
      <c r="G928" s="4"/>
      <c r="H928" s="4"/>
      <c r="I928" s="4"/>
      <c r="J928" s="4"/>
      <c r="K928" s="4"/>
      <c r="L928" s="4"/>
      <c r="M928" s="4"/>
      <c r="N928" s="4"/>
      <c r="O928" s="4"/>
      <c r="P928" s="4"/>
      <c r="Q928" s="4"/>
      <c r="R928" s="4"/>
    </row>
    <row r="929" spans="1:18" ht="12.75" customHeight="1">
      <c r="A929" s="4"/>
      <c r="B929" s="4"/>
      <c r="C929" s="3"/>
      <c r="D929" s="4"/>
      <c r="E929" s="4"/>
      <c r="F929" s="4"/>
      <c r="G929" s="4"/>
      <c r="H929" s="4"/>
      <c r="I929" s="4"/>
      <c r="J929" s="4"/>
      <c r="K929" s="4"/>
      <c r="L929" s="4"/>
      <c r="M929" s="4"/>
      <c r="N929" s="4"/>
      <c r="O929" s="4"/>
      <c r="P929" s="4"/>
      <c r="Q929" s="4"/>
      <c r="R929" s="4"/>
    </row>
    <row r="930" spans="1:18" ht="12.75" customHeight="1">
      <c r="A930" s="4"/>
      <c r="B930" s="4"/>
      <c r="C930" s="3"/>
      <c r="D930" s="4"/>
      <c r="E930" s="4"/>
      <c r="F930" s="4"/>
      <c r="G930" s="4"/>
      <c r="H930" s="4"/>
      <c r="I930" s="4"/>
      <c r="J930" s="4"/>
      <c r="K930" s="4"/>
      <c r="L930" s="4"/>
      <c r="M930" s="4"/>
      <c r="N930" s="4"/>
      <c r="O930" s="4"/>
      <c r="P930" s="4"/>
      <c r="Q930" s="4"/>
      <c r="R930" s="4"/>
    </row>
    <row r="931" spans="1:18" ht="12.75" customHeight="1">
      <c r="A931" s="4"/>
      <c r="B931" s="4"/>
      <c r="C931" s="3"/>
      <c r="D931" s="4"/>
      <c r="E931" s="4"/>
      <c r="F931" s="4"/>
      <c r="G931" s="4"/>
      <c r="H931" s="4"/>
      <c r="I931" s="4"/>
      <c r="J931" s="4"/>
      <c r="K931" s="4"/>
      <c r="L931" s="4"/>
      <c r="M931" s="4"/>
      <c r="N931" s="4"/>
      <c r="O931" s="4"/>
      <c r="P931" s="4"/>
      <c r="Q931" s="4"/>
      <c r="R931" s="4"/>
    </row>
    <row r="932" spans="1:18" ht="12.75" customHeight="1">
      <c r="A932" s="4"/>
      <c r="B932" s="4"/>
      <c r="C932" s="3"/>
      <c r="D932" s="4"/>
      <c r="E932" s="4"/>
      <c r="F932" s="4"/>
      <c r="G932" s="4"/>
      <c r="H932" s="4"/>
      <c r="I932" s="4"/>
      <c r="J932" s="4"/>
      <c r="K932" s="4"/>
      <c r="L932" s="4"/>
      <c r="M932" s="4"/>
      <c r="N932" s="4"/>
      <c r="O932" s="4"/>
      <c r="P932" s="4"/>
      <c r="Q932" s="4"/>
      <c r="R932" s="4"/>
    </row>
    <row r="933" spans="1:18" ht="12.75" customHeight="1">
      <c r="A933" s="4"/>
      <c r="B933" s="4"/>
      <c r="C933" s="3"/>
      <c r="D933" s="4"/>
      <c r="E933" s="4"/>
      <c r="F933" s="4"/>
      <c r="G933" s="4"/>
      <c r="H933" s="4"/>
      <c r="I933" s="4"/>
      <c r="J933" s="4"/>
      <c r="K933" s="4"/>
      <c r="L933" s="4"/>
      <c r="M933" s="4"/>
      <c r="N933" s="4"/>
      <c r="O933" s="4"/>
      <c r="P933" s="4"/>
      <c r="Q933" s="4"/>
      <c r="R933" s="4"/>
    </row>
    <row r="934" spans="1:18" ht="12.75" customHeight="1">
      <c r="A934" s="4"/>
      <c r="B934" s="4"/>
      <c r="C934" s="3"/>
      <c r="D934" s="4"/>
      <c r="E934" s="4"/>
      <c r="F934" s="4"/>
      <c r="G934" s="4"/>
      <c r="H934" s="4"/>
      <c r="I934" s="4"/>
      <c r="J934" s="4"/>
      <c r="K934" s="4"/>
      <c r="L934" s="4"/>
      <c r="M934" s="4"/>
      <c r="N934" s="4"/>
      <c r="O934" s="4"/>
      <c r="P934" s="4"/>
      <c r="Q934" s="4"/>
      <c r="R934" s="4"/>
    </row>
    <row r="935" spans="1:18" ht="12.75" customHeight="1">
      <c r="A935" s="4"/>
      <c r="B935" s="4"/>
      <c r="C935" s="3"/>
      <c r="D935" s="4"/>
      <c r="E935" s="4"/>
      <c r="F935" s="4"/>
      <c r="G935" s="4"/>
      <c r="H935" s="4"/>
      <c r="I935" s="4"/>
      <c r="J935" s="4"/>
      <c r="K935" s="4"/>
      <c r="L935" s="4"/>
      <c r="M935" s="4"/>
      <c r="N935" s="4"/>
      <c r="O935" s="4"/>
      <c r="P935" s="4"/>
      <c r="Q935" s="4"/>
      <c r="R935" s="4"/>
    </row>
    <row r="936" spans="1:18" ht="12.75" customHeight="1">
      <c r="A936" s="4"/>
      <c r="B936" s="4"/>
      <c r="C936" s="3"/>
      <c r="D936" s="4"/>
      <c r="E936" s="4"/>
      <c r="F936" s="4"/>
      <c r="G936" s="4"/>
      <c r="H936" s="4"/>
      <c r="I936" s="4"/>
      <c r="J936" s="4"/>
      <c r="K936" s="4"/>
      <c r="L936" s="4"/>
      <c r="M936" s="4"/>
      <c r="N936" s="4"/>
      <c r="O936" s="4"/>
      <c r="P936" s="4"/>
      <c r="Q936" s="4"/>
      <c r="R936" s="4"/>
    </row>
    <row r="937" spans="1:18" ht="12.75" customHeight="1">
      <c r="A937" s="4"/>
      <c r="B937" s="4"/>
      <c r="C937" s="3"/>
      <c r="D937" s="4"/>
      <c r="E937" s="4"/>
      <c r="F937" s="4"/>
      <c r="G937" s="4"/>
      <c r="H937" s="4"/>
      <c r="I937" s="4"/>
      <c r="J937" s="4"/>
      <c r="K937" s="4"/>
      <c r="L937" s="4"/>
      <c r="M937" s="4"/>
      <c r="N937" s="4"/>
      <c r="O937" s="4"/>
      <c r="P937" s="4"/>
      <c r="Q937" s="4"/>
      <c r="R937" s="4"/>
    </row>
    <row r="938" spans="1:18" ht="12.75" customHeight="1">
      <c r="A938" s="4"/>
      <c r="B938" s="4"/>
      <c r="C938" s="3"/>
      <c r="D938" s="4"/>
      <c r="E938" s="4"/>
      <c r="F938" s="4"/>
      <c r="G938" s="4"/>
      <c r="H938" s="4"/>
      <c r="I938" s="4"/>
      <c r="J938" s="4"/>
      <c r="K938" s="4"/>
      <c r="L938" s="4"/>
      <c r="M938" s="4"/>
      <c r="N938" s="4"/>
      <c r="O938" s="4"/>
      <c r="P938" s="4"/>
      <c r="Q938" s="4"/>
      <c r="R938" s="4"/>
    </row>
    <row r="939" spans="1:18" ht="12.75" customHeight="1">
      <c r="A939" s="4"/>
      <c r="B939" s="4"/>
      <c r="C939" s="3"/>
      <c r="D939" s="4"/>
      <c r="E939" s="4"/>
      <c r="F939" s="4"/>
      <c r="G939" s="4"/>
      <c r="H939" s="4"/>
      <c r="I939" s="4"/>
      <c r="J939" s="4"/>
      <c r="K939" s="4"/>
      <c r="L939" s="4"/>
      <c r="M939" s="4"/>
      <c r="N939" s="4"/>
      <c r="O939" s="4"/>
      <c r="P939" s="4"/>
      <c r="Q939" s="4"/>
      <c r="R939" s="4"/>
    </row>
    <row r="940" spans="1:18" ht="12.75" customHeight="1">
      <c r="A940" s="4"/>
      <c r="B940" s="4"/>
      <c r="C940" s="3"/>
      <c r="D940" s="4"/>
      <c r="E940" s="4"/>
      <c r="F940" s="4"/>
      <c r="G940" s="4"/>
      <c r="H940" s="4"/>
      <c r="I940" s="4"/>
      <c r="J940" s="4"/>
      <c r="K940" s="4"/>
      <c r="L940" s="4"/>
      <c r="M940" s="4"/>
      <c r="N940" s="4"/>
      <c r="O940" s="4"/>
      <c r="P940" s="4"/>
      <c r="Q940" s="4"/>
      <c r="R940" s="4"/>
    </row>
    <row r="941" spans="1:18" ht="12.75" customHeight="1">
      <c r="A941" s="4"/>
      <c r="B941" s="4"/>
      <c r="C941" s="3"/>
      <c r="D941" s="4"/>
      <c r="E941" s="4"/>
      <c r="F941" s="4"/>
      <c r="G941" s="4"/>
      <c r="H941" s="4"/>
      <c r="I941" s="4"/>
      <c r="J941" s="4"/>
      <c r="K941" s="4"/>
      <c r="L941" s="4"/>
      <c r="M941" s="4"/>
      <c r="N941" s="4"/>
      <c r="O941" s="4"/>
      <c r="P941" s="4"/>
      <c r="Q941" s="4"/>
      <c r="R941" s="4"/>
    </row>
    <row r="942" spans="1:18" ht="12.75" customHeight="1">
      <c r="A942" s="4"/>
      <c r="B942" s="4"/>
      <c r="C942" s="3"/>
      <c r="D942" s="4"/>
      <c r="E942" s="4"/>
      <c r="F942" s="4"/>
      <c r="G942" s="4"/>
      <c r="H942" s="4"/>
      <c r="I942" s="4"/>
      <c r="J942" s="4"/>
      <c r="K942" s="4"/>
      <c r="L942" s="4"/>
      <c r="M942" s="4"/>
      <c r="N942" s="4"/>
      <c r="O942" s="4"/>
      <c r="P942" s="4"/>
      <c r="Q942" s="4"/>
      <c r="R942" s="4"/>
    </row>
    <row r="943" spans="1:18" ht="12.75" customHeight="1">
      <c r="A943" s="4"/>
      <c r="B943" s="4"/>
      <c r="C943" s="3"/>
      <c r="D943" s="4"/>
      <c r="E943" s="4"/>
      <c r="F943" s="4"/>
      <c r="G943" s="4"/>
      <c r="H943" s="4"/>
      <c r="I943" s="4"/>
      <c r="J943" s="4"/>
      <c r="K943" s="4"/>
      <c r="L943" s="4"/>
      <c r="M943" s="4"/>
      <c r="N943" s="4"/>
      <c r="O943" s="4"/>
      <c r="P943" s="4"/>
      <c r="Q943" s="4"/>
      <c r="R943" s="4"/>
    </row>
    <row r="944" spans="1:18" ht="12.75" customHeight="1">
      <c r="A944" s="4"/>
      <c r="B944" s="4"/>
      <c r="C944" s="3"/>
      <c r="D944" s="4"/>
      <c r="E944" s="4"/>
      <c r="F944" s="4"/>
      <c r="G944" s="4"/>
      <c r="H944" s="4"/>
      <c r="I944" s="4"/>
      <c r="J944" s="4"/>
      <c r="K944" s="4"/>
      <c r="L944" s="4"/>
      <c r="M944" s="4"/>
      <c r="N944" s="4"/>
      <c r="O944" s="4"/>
      <c r="P944" s="4"/>
      <c r="Q944" s="4"/>
      <c r="R944" s="4"/>
    </row>
    <row r="945" spans="1:18" ht="12.75" customHeight="1">
      <c r="A945" s="4"/>
      <c r="B945" s="4"/>
      <c r="C945" s="3"/>
      <c r="D945" s="4"/>
      <c r="E945" s="4"/>
      <c r="F945" s="4"/>
      <c r="G945" s="4"/>
      <c r="H945" s="4"/>
      <c r="I945" s="4"/>
      <c r="J945" s="4"/>
      <c r="K945" s="4"/>
      <c r="L945" s="4"/>
      <c r="M945" s="4"/>
      <c r="N945" s="4"/>
      <c r="O945" s="4"/>
      <c r="P945" s="4"/>
      <c r="Q945" s="4"/>
      <c r="R945" s="4"/>
    </row>
    <row r="946" spans="1:18" ht="12.75" customHeight="1">
      <c r="A946" s="4"/>
      <c r="B946" s="4"/>
      <c r="C946" s="3"/>
      <c r="D946" s="4"/>
      <c r="E946" s="4"/>
      <c r="F946" s="4"/>
      <c r="G946" s="4"/>
      <c r="H946" s="4"/>
      <c r="I946" s="4"/>
      <c r="J946" s="4"/>
      <c r="K946" s="4"/>
      <c r="L946" s="4"/>
      <c r="M946" s="4"/>
      <c r="N946" s="4"/>
      <c r="O946" s="4"/>
      <c r="P946" s="4"/>
      <c r="Q946" s="4"/>
      <c r="R946" s="4"/>
    </row>
    <row r="947" spans="1:18" ht="12.75" customHeight="1">
      <c r="A947" s="4"/>
      <c r="B947" s="4"/>
      <c r="C947" s="3"/>
      <c r="D947" s="4"/>
      <c r="E947" s="4"/>
      <c r="F947" s="4"/>
      <c r="G947" s="4"/>
      <c r="H947" s="4"/>
      <c r="I947" s="4"/>
      <c r="J947" s="4"/>
      <c r="K947" s="4"/>
      <c r="L947" s="4"/>
      <c r="M947" s="4"/>
      <c r="N947" s="4"/>
      <c r="O947" s="4"/>
      <c r="P947" s="4"/>
      <c r="Q947" s="4"/>
      <c r="R947" s="4"/>
    </row>
    <row r="948" spans="1:18" ht="12.75" customHeight="1">
      <c r="A948" s="4"/>
      <c r="B948" s="4"/>
      <c r="C948" s="3"/>
      <c r="D948" s="4"/>
      <c r="E948" s="4"/>
      <c r="F948" s="4"/>
      <c r="G948" s="4"/>
      <c r="H948" s="4"/>
      <c r="I948" s="4"/>
      <c r="J948" s="4"/>
      <c r="K948" s="4"/>
      <c r="L948" s="4"/>
      <c r="M948" s="4"/>
      <c r="N948" s="4"/>
      <c r="O948" s="4"/>
      <c r="P948" s="4"/>
      <c r="Q948" s="4"/>
      <c r="R948" s="4"/>
    </row>
    <row r="949" spans="1:18" ht="12.75" customHeight="1">
      <c r="A949" s="4"/>
      <c r="B949" s="4"/>
      <c r="C949" s="3"/>
      <c r="D949" s="4"/>
      <c r="E949" s="4"/>
      <c r="F949" s="4"/>
      <c r="G949" s="4"/>
      <c r="H949" s="4"/>
      <c r="I949" s="4"/>
      <c r="J949" s="4"/>
      <c r="K949" s="4"/>
      <c r="L949" s="4"/>
      <c r="M949" s="4"/>
      <c r="N949" s="4"/>
      <c r="O949" s="4"/>
      <c r="P949" s="4"/>
      <c r="Q949" s="4"/>
      <c r="R949" s="4"/>
    </row>
    <row r="950" spans="1:18" ht="12.75" customHeight="1">
      <c r="A950" s="4"/>
      <c r="B950" s="4"/>
      <c r="C950" s="3"/>
      <c r="D950" s="4"/>
      <c r="E950" s="4"/>
      <c r="F950" s="4"/>
      <c r="G950" s="4"/>
      <c r="H950" s="4"/>
      <c r="I950" s="4"/>
      <c r="J950" s="4"/>
      <c r="K950" s="4"/>
      <c r="L950" s="4"/>
      <c r="M950" s="4"/>
      <c r="N950" s="4"/>
      <c r="O950" s="4"/>
      <c r="P950" s="4"/>
      <c r="Q950" s="4"/>
      <c r="R950" s="4"/>
    </row>
    <row r="951" spans="1:18" ht="12.75" customHeight="1">
      <c r="A951" s="4"/>
      <c r="B951" s="4"/>
      <c r="C951" s="3"/>
      <c r="D951" s="4"/>
      <c r="E951" s="4"/>
      <c r="F951" s="4"/>
      <c r="G951" s="4"/>
      <c r="H951" s="4"/>
      <c r="I951" s="4"/>
      <c r="J951" s="4"/>
      <c r="K951" s="4"/>
      <c r="L951" s="4"/>
      <c r="M951" s="4"/>
      <c r="N951" s="4"/>
      <c r="O951" s="4"/>
      <c r="P951" s="4"/>
      <c r="Q951" s="4"/>
      <c r="R951" s="4"/>
    </row>
    <row r="952" spans="1:18" ht="12.75" customHeight="1">
      <c r="A952" s="4"/>
      <c r="B952" s="4"/>
      <c r="C952" s="3"/>
      <c r="D952" s="4"/>
      <c r="E952" s="4"/>
      <c r="F952" s="4"/>
      <c r="G952" s="4"/>
      <c r="H952" s="4"/>
      <c r="I952" s="4"/>
      <c r="J952" s="4"/>
      <c r="K952" s="4"/>
      <c r="L952" s="4"/>
      <c r="M952" s="4"/>
      <c r="N952" s="4"/>
      <c r="O952" s="4"/>
      <c r="P952" s="4"/>
      <c r="Q952" s="4"/>
      <c r="R952" s="4"/>
    </row>
    <row r="953" spans="1:18" ht="12.75" customHeight="1">
      <c r="A953" s="4"/>
      <c r="B953" s="4"/>
      <c r="C953" s="3"/>
      <c r="D953" s="4"/>
      <c r="E953" s="4"/>
      <c r="F953" s="4"/>
      <c r="G953" s="4"/>
      <c r="H953" s="4"/>
      <c r="I953" s="4"/>
      <c r="J953" s="4"/>
      <c r="K953" s="4"/>
      <c r="L953" s="4"/>
      <c r="M953" s="4"/>
      <c r="N953" s="4"/>
      <c r="O953" s="4"/>
      <c r="P953" s="4"/>
      <c r="Q953" s="4"/>
      <c r="R953" s="4"/>
    </row>
    <row r="954" spans="1:18" ht="12.75" customHeight="1">
      <c r="A954" s="4"/>
      <c r="B954" s="4"/>
      <c r="C954" s="3"/>
      <c r="D954" s="4"/>
      <c r="E954" s="4"/>
      <c r="F954" s="4"/>
      <c r="G954" s="4"/>
      <c r="H954" s="4"/>
      <c r="I954" s="4"/>
      <c r="J954" s="4"/>
      <c r="K954" s="4"/>
      <c r="L954" s="4"/>
      <c r="M954" s="4"/>
      <c r="N954" s="4"/>
      <c r="O954" s="4"/>
      <c r="P954" s="4"/>
      <c r="Q954" s="4"/>
      <c r="R954" s="4"/>
    </row>
    <row r="955" spans="1:18" ht="12.75" customHeight="1">
      <c r="A955" s="4"/>
      <c r="B955" s="4"/>
      <c r="C955" s="3"/>
      <c r="D955" s="4"/>
      <c r="E955" s="4"/>
      <c r="F955" s="4"/>
      <c r="G955" s="4"/>
      <c r="H955" s="4"/>
      <c r="I955" s="4"/>
      <c r="J955" s="4"/>
      <c r="K955" s="4"/>
      <c r="L955" s="4"/>
      <c r="M955" s="4"/>
      <c r="N955" s="4"/>
      <c r="O955" s="4"/>
      <c r="P955" s="4"/>
      <c r="Q955" s="4"/>
      <c r="R955" s="4"/>
    </row>
    <row r="956" spans="1:18" ht="12.75" customHeight="1">
      <c r="A956" s="4"/>
      <c r="B956" s="4"/>
      <c r="C956" s="3"/>
      <c r="D956" s="4"/>
      <c r="E956" s="4"/>
      <c r="F956" s="4"/>
      <c r="G956" s="4"/>
      <c r="H956" s="4"/>
      <c r="I956" s="4"/>
      <c r="J956" s="4"/>
      <c r="K956" s="4"/>
      <c r="L956" s="4"/>
      <c r="M956" s="4"/>
      <c r="N956" s="4"/>
      <c r="O956" s="4"/>
      <c r="P956" s="4"/>
      <c r="Q956" s="4"/>
      <c r="R956" s="4"/>
    </row>
    <row r="957" spans="1:18" ht="12.75" customHeight="1">
      <c r="A957" s="4"/>
      <c r="B957" s="4"/>
      <c r="C957" s="3"/>
      <c r="D957" s="4"/>
      <c r="E957" s="4"/>
      <c r="F957" s="4"/>
      <c r="G957" s="4"/>
      <c r="H957" s="4"/>
      <c r="I957" s="4"/>
      <c r="J957" s="4"/>
      <c r="K957" s="4"/>
      <c r="L957" s="4"/>
      <c r="M957" s="4"/>
      <c r="N957" s="4"/>
      <c r="O957" s="4"/>
      <c r="P957" s="4"/>
      <c r="Q957" s="4"/>
      <c r="R957" s="4"/>
    </row>
    <row r="958" spans="1:18" ht="12.75" customHeight="1">
      <c r="A958" s="4"/>
      <c r="B958" s="4"/>
      <c r="C958" s="3"/>
      <c r="D958" s="4"/>
      <c r="E958" s="4"/>
      <c r="F958" s="4"/>
      <c r="G958" s="4"/>
      <c r="H958" s="4"/>
      <c r="I958" s="4"/>
      <c r="J958" s="4"/>
      <c r="K958" s="4"/>
      <c r="L958" s="4"/>
      <c r="M958" s="4"/>
      <c r="N958" s="4"/>
      <c r="O958" s="4"/>
      <c r="P958" s="4"/>
      <c r="Q958" s="4"/>
      <c r="R958" s="4"/>
    </row>
    <row r="959" spans="1:18" ht="12.75" customHeight="1">
      <c r="A959" s="4"/>
      <c r="B959" s="4"/>
      <c r="C959" s="3"/>
      <c r="D959" s="4"/>
      <c r="E959" s="4"/>
      <c r="F959" s="4"/>
      <c r="G959" s="4"/>
      <c r="H959" s="4"/>
      <c r="I959" s="4"/>
      <c r="J959" s="4"/>
      <c r="K959" s="4"/>
      <c r="L959" s="4"/>
      <c r="M959" s="4"/>
      <c r="N959" s="4"/>
      <c r="O959" s="4"/>
      <c r="P959" s="4"/>
      <c r="Q959" s="4"/>
      <c r="R959" s="4"/>
    </row>
    <row r="960" spans="1:18" ht="12.75" customHeight="1">
      <c r="A960" s="4"/>
      <c r="B960" s="4"/>
      <c r="C960" s="3"/>
      <c r="D960" s="4"/>
      <c r="E960" s="4"/>
      <c r="F960" s="4"/>
      <c r="G960" s="4"/>
      <c r="H960" s="4"/>
      <c r="I960" s="4"/>
      <c r="J960" s="4"/>
      <c r="K960" s="4"/>
      <c r="L960" s="4"/>
      <c r="M960" s="4"/>
      <c r="N960" s="4"/>
      <c r="O960" s="4"/>
      <c r="P960" s="4"/>
      <c r="Q960" s="4"/>
      <c r="R960" s="4"/>
    </row>
    <row r="961" spans="1:18" ht="12.75" customHeight="1">
      <c r="A961" s="4"/>
      <c r="B961" s="4"/>
      <c r="C961" s="3"/>
      <c r="D961" s="4"/>
      <c r="E961" s="4"/>
      <c r="F961" s="4"/>
      <c r="G961" s="4"/>
      <c r="H961" s="4"/>
      <c r="I961" s="4"/>
      <c r="J961" s="4"/>
      <c r="K961" s="4"/>
      <c r="L961" s="4"/>
      <c r="M961" s="4"/>
      <c r="N961" s="4"/>
      <c r="O961" s="4"/>
      <c r="P961" s="4"/>
      <c r="Q961" s="4"/>
      <c r="R961" s="4"/>
    </row>
    <row r="962" spans="1:18" ht="12.75" customHeight="1">
      <c r="A962" s="4"/>
      <c r="B962" s="4"/>
      <c r="C962" s="3"/>
      <c r="D962" s="4"/>
      <c r="E962" s="4"/>
      <c r="F962" s="4"/>
      <c r="G962" s="4"/>
      <c r="H962" s="4"/>
      <c r="I962" s="4"/>
      <c r="J962" s="4"/>
      <c r="K962" s="4"/>
      <c r="L962" s="4"/>
      <c r="M962" s="4"/>
      <c r="N962" s="4"/>
      <c r="O962" s="4"/>
      <c r="P962" s="4"/>
      <c r="Q962" s="4"/>
      <c r="R962" s="4"/>
    </row>
    <row r="963" spans="1:18" ht="12.75" customHeight="1">
      <c r="A963" s="4"/>
      <c r="B963" s="4"/>
      <c r="C963" s="3"/>
      <c r="D963" s="4"/>
      <c r="E963" s="4"/>
      <c r="F963" s="4"/>
      <c r="G963" s="4"/>
      <c r="H963" s="4"/>
      <c r="I963" s="4"/>
      <c r="J963" s="4"/>
      <c r="K963" s="4"/>
      <c r="L963" s="4"/>
      <c r="M963" s="4"/>
      <c r="N963" s="4"/>
      <c r="O963" s="4"/>
      <c r="P963" s="4"/>
      <c r="Q963" s="4"/>
      <c r="R963" s="4"/>
    </row>
    <row r="964" spans="1:18" ht="12.75" customHeight="1">
      <c r="A964" s="4"/>
      <c r="B964" s="4"/>
      <c r="C964" s="3"/>
      <c r="D964" s="4"/>
      <c r="E964" s="4"/>
      <c r="F964" s="4"/>
      <c r="G964" s="4"/>
      <c r="H964" s="4"/>
      <c r="I964" s="4"/>
      <c r="J964" s="4"/>
      <c r="K964" s="4"/>
      <c r="L964" s="4"/>
      <c r="M964" s="4"/>
      <c r="N964" s="4"/>
      <c r="O964" s="4"/>
      <c r="P964" s="4"/>
      <c r="Q964" s="4"/>
      <c r="R964" s="4"/>
    </row>
    <row r="965" spans="1:18" ht="12.75" customHeight="1">
      <c r="A965" s="4"/>
      <c r="B965" s="4"/>
      <c r="C965" s="3"/>
      <c r="D965" s="4"/>
      <c r="E965" s="4"/>
      <c r="F965" s="4"/>
      <c r="G965" s="4"/>
      <c r="H965" s="4"/>
      <c r="I965" s="4"/>
      <c r="J965" s="4"/>
      <c r="K965" s="4"/>
      <c r="L965" s="4"/>
      <c r="M965" s="4"/>
      <c r="N965" s="4"/>
      <c r="O965" s="4"/>
      <c r="P965" s="4"/>
      <c r="Q965" s="4"/>
      <c r="R965" s="4"/>
    </row>
    <row r="966" spans="1:18" ht="12.75" customHeight="1">
      <c r="A966" s="4"/>
      <c r="B966" s="4"/>
      <c r="C966" s="3"/>
      <c r="D966" s="4"/>
      <c r="E966" s="4"/>
      <c r="F966" s="4"/>
      <c r="G966" s="4"/>
      <c r="H966" s="4"/>
      <c r="I966" s="4"/>
      <c r="J966" s="4"/>
      <c r="K966" s="4"/>
      <c r="L966" s="4"/>
      <c r="M966" s="4"/>
      <c r="N966" s="4"/>
      <c r="O966" s="4"/>
      <c r="P966" s="4"/>
      <c r="Q966" s="4"/>
      <c r="R966" s="4"/>
    </row>
    <row r="967" spans="1:18" ht="12.75" customHeight="1">
      <c r="A967" s="4"/>
      <c r="B967" s="4"/>
      <c r="C967" s="3"/>
      <c r="D967" s="4"/>
      <c r="E967" s="4"/>
      <c r="F967" s="4"/>
      <c r="G967" s="4"/>
      <c r="H967" s="4"/>
      <c r="I967" s="4"/>
      <c r="J967" s="4"/>
      <c r="K967" s="4"/>
      <c r="L967" s="4"/>
      <c r="M967" s="4"/>
      <c r="N967" s="4"/>
      <c r="O967" s="4"/>
      <c r="P967" s="4"/>
      <c r="Q967" s="4"/>
      <c r="R967" s="4"/>
    </row>
    <row r="968" spans="1:18" ht="12.75" customHeight="1">
      <c r="A968" s="4"/>
      <c r="B968" s="4"/>
      <c r="C968" s="3"/>
      <c r="D968" s="4"/>
      <c r="E968" s="4"/>
      <c r="F968" s="4"/>
      <c r="G968" s="4"/>
      <c r="H968" s="4"/>
      <c r="I968" s="4"/>
      <c r="J968" s="4"/>
      <c r="K968" s="4"/>
      <c r="L968" s="4"/>
      <c r="M968" s="4"/>
      <c r="N968" s="4"/>
      <c r="O968" s="4"/>
      <c r="P968" s="4"/>
      <c r="Q968" s="4"/>
      <c r="R968" s="4"/>
    </row>
    <row r="969" spans="1:18" ht="12.75" customHeight="1">
      <c r="A969" s="4"/>
      <c r="B969" s="4"/>
      <c r="C969" s="3"/>
      <c r="D969" s="4"/>
      <c r="E969" s="4"/>
      <c r="F969" s="4"/>
      <c r="G969" s="4"/>
      <c r="H969" s="4"/>
      <c r="I969" s="4"/>
      <c r="J969" s="4"/>
      <c r="K969" s="4"/>
      <c r="L969" s="4"/>
      <c r="M969" s="4"/>
      <c r="N969" s="4"/>
      <c r="O969" s="4"/>
      <c r="P969" s="4"/>
      <c r="Q969" s="4"/>
      <c r="R969" s="4"/>
    </row>
    <row r="970" spans="1:18" ht="12.75" customHeight="1">
      <c r="A970" s="4"/>
      <c r="B970" s="4"/>
      <c r="C970" s="3"/>
      <c r="D970" s="4"/>
      <c r="E970" s="4"/>
      <c r="F970" s="4"/>
      <c r="G970" s="4"/>
      <c r="H970" s="4"/>
      <c r="I970" s="4"/>
      <c r="J970" s="4"/>
      <c r="K970" s="4"/>
      <c r="L970" s="4"/>
      <c r="M970" s="4"/>
      <c r="N970" s="4"/>
      <c r="O970" s="4"/>
      <c r="P970" s="4"/>
      <c r="Q970" s="4"/>
      <c r="R970" s="4"/>
    </row>
    <row r="971" spans="1:18" ht="12.75" customHeight="1">
      <c r="A971" s="4"/>
      <c r="B971" s="4"/>
      <c r="C971" s="3"/>
      <c r="D971" s="4"/>
      <c r="E971" s="4"/>
      <c r="F971" s="4"/>
      <c r="G971" s="4"/>
      <c r="H971" s="4"/>
      <c r="I971" s="4"/>
      <c r="J971" s="4"/>
      <c r="K971" s="4"/>
      <c r="L971" s="4"/>
      <c r="M971" s="4"/>
      <c r="N971" s="4"/>
      <c r="O971" s="4"/>
      <c r="P971" s="4"/>
      <c r="Q971" s="4"/>
      <c r="R971" s="4"/>
    </row>
    <row r="972" spans="1:18" ht="12.75" customHeight="1">
      <c r="A972" s="4"/>
      <c r="B972" s="4"/>
      <c r="C972" s="3"/>
      <c r="D972" s="4"/>
      <c r="E972" s="4"/>
      <c r="F972" s="4"/>
      <c r="G972" s="4"/>
      <c r="H972" s="4"/>
      <c r="I972" s="4"/>
      <c r="J972" s="4"/>
      <c r="K972" s="4"/>
      <c r="L972" s="4"/>
      <c r="M972" s="4"/>
      <c r="N972" s="4"/>
      <c r="O972" s="4"/>
      <c r="P972" s="4"/>
      <c r="Q972" s="4"/>
      <c r="R972" s="4"/>
    </row>
    <row r="973" spans="1:18" ht="12.75" customHeight="1">
      <c r="A973" s="4"/>
      <c r="B973" s="4"/>
      <c r="C973" s="3"/>
      <c r="D973" s="4"/>
      <c r="E973" s="4"/>
      <c r="F973" s="4"/>
      <c r="G973" s="4"/>
      <c r="H973" s="4"/>
      <c r="I973" s="4"/>
      <c r="J973" s="4"/>
      <c r="K973" s="4"/>
      <c r="L973" s="4"/>
      <c r="M973" s="4"/>
      <c r="N973" s="4"/>
      <c r="O973" s="4"/>
      <c r="P973" s="4"/>
      <c r="Q973" s="4"/>
      <c r="R973" s="4"/>
    </row>
    <row r="974" spans="1:18" ht="12.75" customHeight="1">
      <c r="A974" s="4"/>
      <c r="B974" s="4"/>
      <c r="C974" s="3"/>
      <c r="D974" s="4"/>
      <c r="E974" s="4"/>
      <c r="F974" s="4"/>
      <c r="G974" s="4"/>
      <c r="H974" s="4"/>
      <c r="I974" s="4"/>
      <c r="J974" s="4"/>
      <c r="K974" s="4"/>
      <c r="L974" s="4"/>
      <c r="M974" s="4"/>
      <c r="N974" s="4"/>
      <c r="O974" s="4"/>
      <c r="P974" s="4"/>
      <c r="Q974" s="4"/>
      <c r="R974" s="4"/>
    </row>
    <row r="975" spans="1:18" ht="12.75" customHeight="1">
      <c r="A975" s="4"/>
      <c r="B975" s="4"/>
      <c r="C975" s="3"/>
      <c r="D975" s="4"/>
      <c r="E975" s="4"/>
      <c r="F975" s="4"/>
      <c r="G975" s="4"/>
      <c r="H975" s="4"/>
      <c r="I975" s="4"/>
      <c r="J975" s="4"/>
      <c r="K975" s="4"/>
      <c r="L975" s="4"/>
      <c r="M975" s="4"/>
      <c r="N975" s="4"/>
      <c r="O975" s="4"/>
      <c r="P975" s="4"/>
      <c r="Q975" s="4"/>
      <c r="R975" s="4"/>
    </row>
    <row r="976" spans="1:18" ht="12.75" customHeight="1">
      <c r="A976" s="4"/>
      <c r="B976" s="4"/>
      <c r="C976" s="3"/>
      <c r="D976" s="4"/>
      <c r="E976" s="4"/>
      <c r="F976" s="4"/>
      <c r="G976" s="4"/>
      <c r="H976" s="4"/>
      <c r="I976" s="4"/>
      <c r="J976" s="4"/>
      <c r="K976" s="4"/>
      <c r="L976" s="4"/>
      <c r="M976" s="4"/>
      <c r="N976" s="4"/>
      <c r="O976" s="4"/>
      <c r="P976" s="4"/>
      <c r="Q976" s="4"/>
      <c r="R976" s="4"/>
    </row>
    <row r="977" spans="1:18" ht="12.75" customHeight="1">
      <c r="A977" s="4"/>
      <c r="B977" s="4"/>
      <c r="C977" s="3"/>
      <c r="D977" s="4"/>
      <c r="E977" s="4"/>
      <c r="F977" s="4"/>
      <c r="G977" s="4"/>
      <c r="H977" s="4"/>
      <c r="I977" s="4"/>
      <c r="J977" s="4"/>
      <c r="K977" s="4"/>
      <c r="L977" s="4"/>
      <c r="M977" s="4"/>
      <c r="N977" s="4"/>
      <c r="O977" s="4"/>
      <c r="P977" s="4"/>
      <c r="Q977" s="4"/>
      <c r="R977" s="4"/>
    </row>
    <row r="978" spans="1:18" ht="12.75" customHeight="1">
      <c r="A978" s="4"/>
      <c r="B978" s="4"/>
      <c r="C978" s="3"/>
      <c r="D978" s="4"/>
      <c r="E978" s="4"/>
      <c r="F978" s="4"/>
      <c r="G978" s="4"/>
      <c r="H978" s="4"/>
      <c r="I978" s="4"/>
      <c r="J978" s="4"/>
      <c r="K978" s="4"/>
      <c r="L978" s="4"/>
      <c r="M978" s="4"/>
      <c r="N978" s="4"/>
      <c r="O978" s="4"/>
      <c r="P978" s="4"/>
      <c r="Q978" s="4"/>
      <c r="R978" s="4"/>
    </row>
    <row r="979" spans="1:18" ht="12.75" customHeight="1">
      <c r="A979" s="4"/>
      <c r="B979" s="4"/>
      <c r="C979" s="3"/>
      <c r="D979" s="4"/>
      <c r="E979" s="4"/>
      <c r="F979" s="4"/>
      <c r="G979" s="4"/>
      <c r="H979" s="4"/>
      <c r="I979" s="4"/>
      <c r="J979" s="4"/>
      <c r="K979" s="4"/>
      <c r="L979" s="4"/>
      <c r="M979" s="4"/>
      <c r="N979" s="4"/>
      <c r="O979" s="4"/>
      <c r="P979" s="4"/>
      <c r="Q979" s="4"/>
      <c r="R979" s="4"/>
    </row>
    <row r="980" spans="1:18" ht="12.75" customHeight="1">
      <c r="A980" s="4"/>
      <c r="B980" s="4"/>
      <c r="C980" s="3"/>
      <c r="D980" s="4"/>
      <c r="E980" s="4"/>
      <c r="F980" s="4"/>
      <c r="G980" s="4"/>
      <c r="H980" s="4"/>
      <c r="I980" s="4"/>
      <c r="J980" s="4"/>
      <c r="K980" s="4"/>
      <c r="L980" s="4"/>
      <c r="M980" s="4"/>
      <c r="N980" s="4"/>
      <c r="O980" s="4"/>
      <c r="P980" s="4"/>
      <c r="Q980" s="4"/>
      <c r="R980" s="4"/>
    </row>
    <row r="981" spans="1:18" ht="12.75" customHeight="1">
      <c r="A981" s="4"/>
      <c r="B981" s="4"/>
      <c r="C981" s="3"/>
      <c r="D981" s="4"/>
      <c r="E981" s="4"/>
      <c r="F981" s="4"/>
      <c r="G981" s="4"/>
      <c r="H981" s="4"/>
      <c r="I981" s="4"/>
      <c r="J981" s="4"/>
      <c r="K981" s="4"/>
      <c r="L981" s="4"/>
      <c r="M981" s="4"/>
      <c r="N981" s="4"/>
      <c r="O981" s="4"/>
      <c r="P981" s="4"/>
      <c r="Q981" s="4"/>
      <c r="R981" s="4"/>
    </row>
    <row r="982" spans="1:18" ht="12.75" customHeight="1">
      <c r="A982" s="4"/>
      <c r="B982" s="4"/>
      <c r="C982" s="3"/>
      <c r="D982" s="4"/>
      <c r="E982" s="4"/>
      <c r="F982" s="4"/>
      <c r="G982" s="4"/>
      <c r="H982" s="4"/>
      <c r="I982" s="4"/>
      <c r="J982" s="4"/>
      <c r="K982" s="4"/>
      <c r="L982" s="4"/>
      <c r="M982" s="4"/>
      <c r="N982" s="4"/>
      <c r="O982" s="4"/>
      <c r="P982" s="4"/>
      <c r="Q982" s="4"/>
      <c r="R982" s="4"/>
    </row>
    <row r="983" spans="1:18" ht="12.75" customHeight="1">
      <c r="A983" s="4"/>
      <c r="B983" s="4"/>
      <c r="C983" s="3"/>
      <c r="D983" s="4"/>
      <c r="E983" s="4"/>
      <c r="F983" s="4"/>
      <c r="G983" s="4"/>
      <c r="H983" s="4"/>
      <c r="I983" s="4"/>
      <c r="J983" s="4"/>
      <c r="K983" s="4"/>
      <c r="L983" s="4"/>
      <c r="M983" s="4"/>
      <c r="N983" s="4"/>
      <c r="O983" s="4"/>
      <c r="P983" s="4"/>
      <c r="Q983" s="4"/>
      <c r="R983" s="4"/>
    </row>
    <row r="984" spans="1:18" ht="12.75" customHeight="1">
      <c r="A984" s="4"/>
      <c r="B984" s="4"/>
      <c r="C984" s="3"/>
      <c r="D984" s="4"/>
      <c r="E984" s="4"/>
      <c r="F984" s="4"/>
      <c r="G984" s="4"/>
      <c r="H984" s="4"/>
      <c r="I984" s="4"/>
      <c r="J984" s="4"/>
      <c r="K984" s="4"/>
      <c r="L984" s="4"/>
      <c r="M984" s="4"/>
      <c r="N984" s="4"/>
      <c r="O984" s="4"/>
      <c r="P984" s="4"/>
      <c r="Q984" s="4"/>
      <c r="R984" s="4"/>
    </row>
    <row r="985" spans="1:18" ht="12.75" customHeight="1">
      <c r="A985" s="4"/>
      <c r="B985" s="4"/>
      <c r="C985" s="3"/>
      <c r="D985" s="4"/>
      <c r="E985" s="4"/>
      <c r="F985" s="4"/>
      <c r="G985" s="4"/>
      <c r="H985" s="4"/>
      <c r="I985" s="4"/>
      <c r="J985" s="4"/>
      <c r="K985" s="4"/>
      <c r="L985" s="4"/>
      <c r="M985" s="4"/>
      <c r="N985" s="4"/>
      <c r="O985" s="4"/>
      <c r="P985" s="4"/>
      <c r="Q985" s="4"/>
      <c r="R985" s="4"/>
    </row>
    <row r="986" spans="1:18" ht="12.75" customHeight="1">
      <c r="A986" s="4"/>
      <c r="B986" s="4"/>
      <c r="C986" s="3"/>
      <c r="D986" s="4"/>
      <c r="E986" s="4"/>
      <c r="F986" s="4"/>
      <c r="G986" s="4"/>
      <c r="H986" s="4"/>
      <c r="I986" s="4"/>
      <c r="J986" s="4"/>
      <c r="K986" s="4"/>
      <c r="L986" s="4"/>
      <c r="M986" s="4"/>
      <c r="N986" s="4"/>
      <c r="O986" s="4"/>
      <c r="P986" s="4"/>
      <c r="Q986" s="4"/>
      <c r="R986" s="4"/>
    </row>
    <row r="987" spans="1:18" ht="12.75" customHeight="1">
      <c r="A987" s="4"/>
      <c r="B987" s="4"/>
      <c r="C987" s="3"/>
      <c r="D987" s="4"/>
      <c r="E987" s="4"/>
      <c r="F987" s="4"/>
      <c r="G987" s="4"/>
      <c r="H987" s="4"/>
      <c r="I987" s="4"/>
      <c r="J987" s="4"/>
      <c r="K987" s="4"/>
      <c r="L987" s="4"/>
      <c r="M987" s="4"/>
      <c r="N987" s="4"/>
      <c r="O987" s="4"/>
      <c r="P987" s="4"/>
      <c r="Q987" s="4"/>
      <c r="R987" s="4"/>
    </row>
    <row r="988" spans="1:18" ht="12.75" customHeight="1">
      <c r="A988" s="4"/>
      <c r="B988" s="4"/>
      <c r="C988" s="3"/>
      <c r="D988" s="4"/>
      <c r="E988" s="4"/>
      <c r="F988" s="4"/>
      <c r="G988" s="4"/>
      <c r="H988" s="4"/>
      <c r="I988" s="4"/>
      <c r="J988" s="4"/>
      <c r="K988" s="4"/>
      <c r="L988" s="4"/>
      <c r="M988" s="4"/>
      <c r="N988" s="4"/>
      <c r="O988" s="4"/>
      <c r="P988" s="4"/>
      <c r="Q988" s="4"/>
      <c r="R988" s="4"/>
    </row>
    <row r="989" spans="1:18" ht="12.75" customHeight="1">
      <c r="A989" s="4"/>
      <c r="B989" s="4"/>
      <c r="C989" s="3"/>
      <c r="D989" s="4"/>
      <c r="E989" s="4"/>
      <c r="F989" s="4"/>
      <c r="G989" s="4"/>
      <c r="H989" s="4"/>
      <c r="I989" s="4"/>
      <c r="J989" s="4"/>
      <c r="K989" s="4"/>
      <c r="L989" s="4"/>
      <c r="M989" s="4"/>
      <c r="N989" s="4"/>
      <c r="O989" s="4"/>
      <c r="P989" s="4"/>
      <c r="Q989" s="4"/>
      <c r="R989" s="4"/>
    </row>
    <row r="990" spans="1:18" ht="12.75" customHeight="1">
      <c r="A990" s="4"/>
      <c r="B990" s="4"/>
      <c r="C990" s="3"/>
      <c r="D990" s="4"/>
      <c r="E990" s="4"/>
      <c r="F990" s="4"/>
      <c r="G990" s="4"/>
      <c r="H990" s="4"/>
      <c r="I990" s="4"/>
      <c r="J990" s="4"/>
      <c r="K990" s="4"/>
      <c r="L990" s="4"/>
      <c r="M990" s="4"/>
      <c r="N990" s="4"/>
      <c r="O990" s="4"/>
      <c r="P990" s="4"/>
      <c r="Q990" s="4"/>
      <c r="R990" s="4"/>
    </row>
    <row r="991" spans="1:18" ht="12.75" customHeight="1">
      <c r="A991" s="4"/>
      <c r="B991" s="4"/>
      <c r="C991" s="3"/>
      <c r="D991" s="4"/>
      <c r="E991" s="4"/>
      <c r="F991" s="4"/>
      <c r="G991" s="4"/>
      <c r="H991" s="4"/>
      <c r="I991" s="4"/>
      <c r="J991" s="4"/>
      <c r="K991" s="4"/>
      <c r="L991" s="4"/>
      <c r="M991" s="4"/>
      <c r="N991" s="4"/>
      <c r="O991" s="4"/>
      <c r="P991" s="4"/>
      <c r="Q991" s="4"/>
      <c r="R991" s="4"/>
    </row>
    <row r="992" spans="1:18" ht="12.75" customHeight="1">
      <c r="A992" s="4"/>
      <c r="B992" s="4"/>
      <c r="C992" s="3"/>
      <c r="D992" s="4"/>
      <c r="E992" s="4"/>
      <c r="F992" s="4"/>
      <c r="G992" s="4"/>
      <c r="H992" s="4"/>
      <c r="I992" s="4"/>
      <c r="J992" s="4"/>
      <c r="K992" s="4"/>
      <c r="L992" s="4"/>
      <c r="M992" s="4"/>
      <c r="N992" s="4"/>
      <c r="O992" s="4"/>
      <c r="P992" s="4"/>
      <c r="Q992" s="4"/>
      <c r="R992" s="4"/>
    </row>
    <row r="993" spans="1:18" ht="12.75" customHeight="1">
      <c r="A993" s="4"/>
      <c r="B993" s="4"/>
      <c r="C993" s="3"/>
      <c r="D993" s="4"/>
      <c r="E993" s="4"/>
      <c r="F993" s="4"/>
      <c r="G993" s="4"/>
      <c r="H993" s="4"/>
      <c r="I993" s="4"/>
      <c r="J993" s="4"/>
      <c r="K993" s="4"/>
      <c r="L993" s="4"/>
      <c r="M993" s="4"/>
      <c r="N993" s="4"/>
      <c r="O993" s="4"/>
      <c r="P993" s="4"/>
      <c r="Q993" s="4"/>
      <c r="R993" s="4"/>
    </row>
    <row r="994" spans="1:18" ht="12.75" customHeight="1">
      <c r="A994" s="4"/>
      <c r="B994" s="4"/>
      <c r="C994" s="3"/>
      <c r="D994" s="4"/>
      <c r="E994" s="4"/>
      <c r="F994" s="4"/>
      <c r="G994" s="4"/>
      <c r="H994" s="4"/>
      <c r="I994" s="4"/>
      <c r="J994" s="4"/>
      <c r="K994" s="4"/>
      <c r="L994" s="4"/>
      <c r="M994" s="4"/>
      <c r="N994" s="4"/>
      <c r="O994" s="4"/>
      <c r="P994" s="4"/>
      <c r="Q994" s="4"/>
      <c r="R994" s="4"/>
    </row>
    <row r="995" spans="1:18" ht="12.75" customHeight="1">
      <c r="A995" s="4"/>
      <c r="B995" s="4"/>
      <c r="C995" s="3"/>
      <c r="D995" s="4"/>
      <c r="E995" s="4"/>
      <c r="F995" s="4"/>
      <c r="G995" s="4"/>
      <c r="H995" s="4"/>
      <c r="I995" s="4"/>
      <c r="J995" s="4"/>
      <c r="K995" s="4"/>
      <c r="L995" s="4"/>
      <c r="M995" s="4"/>
      <c r="N995" s="4"/>
      <c r="O995" s="4"/>
      <c r="P995" s="4"/>
      <c r="Q995" s="4"/>
      <c r="R995" s="4"/>
    </row>
    <row r="996" spans="1:18" ht="12.75" customHeight="1">
      <c r="A996" s="4"/>
      <c r="B996" s="4"/>
      <c r="C996" s="3"/>
      <c r="D996" s="4"/>
      <c r="E996" s="4"/>
      <c r="F996" s="4"/>
      <c r="G996" s="4"/>
      <c r="H996" s="4"/>
      <c r="I996" s="4"/>
      <c r="J996" s="4"/>
      <c r="K996" s="4"/>
      <c r="L996" s="4"/>
      <c r="M996" s="4"/>
      <c r="N996" s="4"/>
      <c r="O996" s="4"/>
      <c r="P996" s="4"/>
      <c r="Q996" s="4"/>
      <c r="R996" s="4"/>
    </row>
    <row r="997" spans="1:18" ht="12.75" customHeight="1">
      <c r="A997" s="4"/>
      <c r="B997" s="4"/>
      <c r="C997" s="3"/>
      <c r="D997" s="4"/>
      <c r="E997" s="4"/>
      <c r="F997" s="4"/>
      <c r="G997" s="4"/>
      <c r="H997" s="4"/>
      <c r="I997" s="4"/>
      <c r="J997" s="4"/>
      <c r="K997" s="4"/>
      <c r="L997" s="4"/>
      <c r="M997" s="4"/>
      <c r="N997" s="4"/>
      <c r="O997" s="4"/>
      <c r="P997" s="4"/>
      <c r="Q997" s="4"/>
      <c r="R997" s="4"/>
    </row>
    <row r="998" spans="1:18" ht="12.75" customHeight="1">
      <c r="A998" s="4"/>
      <c r="B998" s="4"/>
      <c r="C998" s="3"/>
      <c r="D998" s="4"/>
      <c r="E998" s="4"/>
      <c r="F998" s="4"/>
      <c r="G998" s="4"/>
      <c r="H998" s="4"/>
      <c r="I998" s="4"/>
      <c r="J998" s="4"/>
      <c r="K998" s="4"/>
      <c r="L998" s="4"/>
      <c r="M998" s="4"/>
      <c r="N998" s="4"/>
      <c r="O998" s="4"/>
      <c r="P998" s="4"/>
      <c r="Q998" s="4"/>
      <c r="R998" s="4"/>
    </row>
    <row r="999" spans="1:18" ht="12.75" customHeight="1">
      <c r="A999" s="4"/>
      <c r="B999" s="4"/>
      <c r="C999" s="3"/>
      <c r="D999" s="4"/>
      <c r="E999" s="4"/>
      <c r="F999" s="4"/>
      <c r="G999" s="4"/>
      <c r="H999" s="4"/>
      <c r="I999" s="4"/>
      <c r="J999" s="4"/>
      <c r="K999" s="4"/>
      <c r="L999" s="4"/>
      <c r="M999" s="4"/>
      <c r="N999" s="4"/>
      <c r="O999" s="4"/>
      <c r="P999" s="4"/>
      <c r="Q999" s="4"/>
      <c r="R999" s="4"/>
    </row>
  </sheetData>
  <mergeCells count="4">
    <mergeCell ref="A5:C6"/>
    <mergeCell ref="A13:B13"/>
    <mergeCell ref="A21:B21"/>
    <mergeCell ref="A30:B30"/>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33"/>
  </sheetPr>
  <dimension ref="A1:IM999"/>
  <sheetViews>
    <sheetView zoomScaleNormal="100" workbookViewId="0">
      <selection activeCell="F15" sqref="F15"/>
    </sheetView>
  </sheetViews>
  <sheetFormatPr baseColWidth="10" defaultColWidth="14.42578125" defaultRowHeight="15" customHeight="1"/>
  <cols>
    <col min="1" max="1" width="10.7109375" customWidth="1"/>
    <col min="2" max="2" width="50.7109375" customWidth="1"/>
    <col min="3" max="3" width="15.7109375" customWidth="1"/>
    <col min="4" max="5" width="11.28515625" customWidth="1"/>
    <col min="6" max="6" width="12.7109375" customWidth="1"/>
    <col min="7" max="247" width="11.28515625" customWidth="1"/>
  </cols>
  <sheetData>
    <row r="1" spans="1:247" ht="15" customHeight="1" thickBot="1">
      <c r="A1" s="1555" t="s">
        <v>989</v>
      </c>
      <c r="B1" s="1556"/>
      <c r="C1" s="1557"/>
    </row>
    <row r="2" spans="1:247" ht="12.75" customHeight="1" thickBot="1">
      <c r="A2" s="4"/>
      <c r="B2" s="4"/>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row>
    <row r="3" spans="1:247" ht="12.75" customHeight="1">
      <c r="A3" s="1468" t="s">
        <v>254</v>
      </c>
      <c r="B3" s="1469"/>
      <c r="C3" s="1129">
        <v>9101</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row>
    <row r="4" spans="1:247" ht="12.75" customHeight="1" thickBot="1">
      <c r="A4" s="1470"/>
      <c r="B4" s="1457"/>
      <c r="C4" s="1141"/>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row>
    <row r="5" spans="1:247" ht="12.75" customHeight="1">
      <c r="A5" s="1291" t="s">
        <v>255</v>
      </c>
      <c r="B5" s="1465"/>
      <c r="C5" s="1466"/>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row>
    <row r="6" spans="1:247" ht="16.5" customHeight="1" thickBot="1">
      <c r="A6" s="1460"/>
      <c r="B6" s="1461"/>
      <c r="C6" s="1462"/>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row>
    <row r="7" spans="1:247" ht="12.75" customHeight="1">
      <c r="A7" s="1122" t="s">
        <v>671</v>
      </c>
      <c r="B7" s="1137"/>
      <c r="C7" s="1124"/>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row>
    <row r="8" spans="1:247" ht="12.75" customHeight="1">
      <c r="A8" s="1028" t="s">
        <v>256</v>
      </c>
      <c r="B8" s="808"/>
      <c r="C8" s="1029"/>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row>
    <row r="9" spans="1:247" ht="12.75" customHeight="1">
      <c r="A9" s="1028" t="s">
        <v>242</v>
      </c>
      <c r="B9" s="808"/>
      <c r="C9" s="1029"/>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row>
    <row r="10" spans="1:247" ht="12.75" customHeight="1" thickBot="1">
      <c r="A10" s="1125" t="s">
        <v>0</v>
      </c>
      <c r="B10" s="982"/>
      <c r="C10" s="1101"/>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row>
    <row r="11" spans="1:247" ht="12.75" customHeight="1" thickBot="1">
      <c r="A11" s="1142" t="s">
        <v>1</v>
      </c>
      <c r="B11" s="1143"/>
      <c r="C11" s="1145">
        <f>C13+C19+C26</f>
        <v>1120000</v>
      </c>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row>
    <row r="12" spans="1:247" ht="12.75" customHeight="1" thickBot="1">
      <c r="A12" s="4"/>
      <c r="B12" s="4"/>
      <c r="C12" s="3"/>
      <c r="D12" s="986"/>
      <c r="E12" s="986"/>
      <c r="F12" s="986"/>
      <c r="G12" s="986"/>
      <c r="H12" s="986"/>
      <c r="I12" s="1010"/>
      <c r="J12" s="1010"/>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row>
    <row r="13" spans="1:247" ht="12.75" customHeight="1" thickBot="1">
      <c r="A13" s="1297" t="s">
        <v>9</v>
      </c>
      <c r="B13" s="1281"/>
      <c r="C13" s="62">
        <f>C14+C16</f>
        <v>390000</v>
      </c>
      <c r="D13" s="1106"/>
      <c r="E13" s="1106"/>
      <c r="F13" s="1106"/>
      <c r="G13" s="1106"/>
      <c r="H13" s="1106"/>
      <c r="I13" s="1010"/>
      <c r="J13" s="1010"/>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row>
    <row r="14" spans="1:247" ht="13.5" customHeight="1">
      <c r="A14" s="48">
        <v>211204</v>
      </c>
      <c r="B14" s="21" t="s">
        <v>463</v>
      </c>
      <c r="C14" s="26">
        <f>SUM(C15)</f>
        <v>300000</v>
      </c>
      <c r="D14" s="1107"/>
      <c r="E14" s="1107"/>
      <c r="F14" s="1107"/>
      <c r="G14" s="1107"/>
      <c r="H14" s="1107"/>
      <c r="I14" s="808"/>
      <c r="J14" s="808"/>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row>
    <row r="15" spans="1:247" ht="13.5" customHeight="1">
      <c r="A15" s="33">
        <v>21120401</v>
      </c>
      <c r="B15" s="24" t="s">
        <v>464</v>
      </c>
      <c r="C15" s="24">
        <v>300000</v>
      </c>
      <c r="D15" s="1039"/>
      <c r="E15" s="1039"/>
      <c r="F15" s="1039"/>
      <c r="G15" s="1039"/>
      <c r="H15" s="1039"/>
      <c r="I15" s="808"/>
      <c r="J15" s="808"/>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row>
    <row r="16" spans="1:247" ht="13.5" customHeight="1">
      <c r="A16" s="48">
        <v>211209</v>
      </c>
      <c r="B16" s="26" t="s">
        <v>477</v>
      </c>
      <c r="C16" s="26">
        <f>SUM(C17)</f>
        <v>90000</v>
      </c>
      <c r="D16" s="1039"/>
      <c r="E16" s="1039"/>
      <c r="F16" s="1039"/>
      <c r="G16" s="1039"/>
      <c r="H16" s="1039"/>
      <c r="I16" s="808"/>
      <c r="J16" s="808"/>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row>
    <row r="17" spans="1:247" ht="13.5" customHeight="1">
      <c r="A17" s="33">
        <v>21120906</v>
      </c>
      <c r="B17" s="24" t="s">
        <v>479</v>
      </c>
      <c r="C17" s="24">
        <v>90000</v>
      </c>
      <c r="D17" s="1039"/>
      <c r="E17" s="1039"/>
      <c r="F17" s="1109"/>
      <c r="G17" s="1039"/>
      <c r="H17" s="1039"/>
      <c r="I17" s="808"/>
      <c r="J17" s="808"/>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row>
    <row r="18" spans="1:247" ht="13.5" customHeight="1" thickBot="1">
      <c r="A18" s="23"/>
      <c r="B18" s="24"/>
      <c r="C18" s="24"/>
      <c r="D18" s="994"/>
      <c r="E18" s="994"/>
      <c r="F18" s="994"/>
      <c r="G18" s="994"/>
      <c r="H18" s="994"/>
      <c r="I18" s="808"/>
      <c r="J18" s="80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row>
    <row r="19" spans="1:247" ht="12.75" customHeight="1" thickBot="1">
      <c r="A19" s="1298" t="s">
        <v>4</v>
      </c>
      <c r="B19" s="1281"/>
      <c r="C19" s="64">
        <f>C20+C22</f>
        <v>380000</v>
      </c>
      <c r="D19" s="994"/>
      <c r="E19" s="994"/>
      <c r="F19" s="994"/>
      <c r="G19" s="994"/>
      <c r="H19" s="994"/>
      <c r="I19" s="1010"/>
      <c r="J19" s="1010"/>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row>
    <row r="20" spans="1:247" ht="12.75" customHeight="1">
      <c r="A20" s="48">
        <v>211301</v>
      </c>
      <c r="B20" s="48" t="s">
        <v>518</v>
      </c>
      <c r="C20" s="49">
        <f>SUM(C21)</f>
        <v>200000</v>
      </c>
      <c r="D20" s="1024"/>
      <c r="E20" s="1024"/>
      <c r="F20" s="1024"/>
      <c r="G20" s="1024"/>
      <c r="H20" s="1024"/>
      <c r="I20" s="1024"/>
      <c r="J20" s="102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row>
    <row r="21" spans="1:247" ht="13.5" customHeight="1">
      <c r="A21" s="33">
        <v>21130105</v>
      </c>
      <c r="B21" s="23" t="s">
        <v>609</v>
      </c>
      <c r="C21" s="24">
        <v>200000</v>
      </c>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row>
    <row r="22" spans="1:247" ht="12.75" customHeight="1">
      <c r="A22" s="48">
        <v>211309</v>
      </c>
      <c r="B22" s="26" t="s">
        <v>496</v>
      </c>
      <c r="C22" s="26">
        <f>SUM(C23:C24)</f>
        <v>180000</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row>
    <row r="23" spans="1:247" ht="12.75" customHeight="1">
      <c r="A23" s="33">
        <v>21130901</v>
      </c>
      <c r="B23" s="24" t="s">
        <v>497</v>
      </c>
      <c r="C23" s="24">
        <v>90000</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row>
    <row r="24" spans="1:247" ht="13.5" customHeight="1">
      <c r="A24" s="33">
        <v>21130908</v>
      </c>
      <c r="B24" s="24" t="s">
        <v>500</v>
      </c>
      <c r="C24" s="24">
        <v>90000</v>
      </c>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4">
        <f>SUM(C24:IL24)</f>
        <v>90000</v>
      </c>
    </row>
    <row r="25" spans="1:247" ht="12.75" customHeight="1" thickBot="1">
      <c r="A25" s="23"/>
      <c r="B25" s="24"/>
      <c r="C25" s="2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row>
    <row r="26" spans="1:247" ht="12.75" customHeight="1" thickBot="1">
      <c r="A26" s="1299" t="s">
        <v>48</v>
      </c>
      <c r="B26" s="1281"/>
      <c r="C26" s="65">
        <f>C27+C29</f>
        <v>350000</v>
      </c>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row>
    <row r="27" spans="1:247" ht="12.75" customHeight="1">
      <c r="A27" s="48">
        <v>221104</v>
      </c>
      <c r="B27" s="48" t="s">
        <v>510</v>
      </c>
      <c r="C27" s="49">
        <f>SUM(C28)</f>
        <v>200000</v>
      </c>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row>
    <row r="28" spans="1:247" ht="12.75" customHeight="1">
      <c r="A28" s="33">
        <v>22110401</v>
      </c>
      <c r="B28" s="23" t="s">
        <v>511</v>
      </c>
      <c r="C28" s="24">
        <v>200000</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row>
    <row r="29" spans="1:247" ht="12.75" customHeight="1">
      <c r="A29" s="48">
        <v>221107</v>
      </c>
      <c r="B29" s="26" t="s">
        <v>514</v>
      </c>
      <c r="C29" s="26">
        <f>SUM(C30)</f>
        <v>150000</v>
      </c>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row>
    <row r="30" spans="1:247" ht="12.75" customHeight="1">
      <c r="A30" s="33">
        <v>22110702</v>
      </c>
      <c r="B30" s="24" t="s">
        <v>515</v>
      </c>
      <c r="C30" s="24">
        <v>150000</v>
      </c>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row>
    <row r="31" spans="1:247" ht="12.75" customHeight="1">
      <c r="A31" s="4"/>
      <c r="B31" s="4"/>
      <c r="C31" s="3"/>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row>
    <row r="32" spans="1:247" ht="12.75" customHeight="1">
      <c r="A32" s="4"/>
      <c r="B32" s="4"/>
      <c r="C32" s="3"/>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row>
    <row r="33" spans="1:247" ht="12.75" customHeight="1">
      <c r="A33" s="4"/>
      <c r="B33" s="4"/>
      <c r="C33" s="3"/>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row>
    <row r="34" spans="1:247" ht="12.75" customHeight="1">
      <c r="A34" s="4"/>
      <c r="B34" s="4"/>
      <c r="C34" s="3"/>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row>
    <row r="35" spans="1:247" ht="12.75" customHeight="1">
      <c r="A35" s="4"/>
      <c r="B35" s="4"/>
      <c r="C35" s="3"/>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row>
    <row r="36" spans="1:247" ht="12.75" customHeight="1">
      <c r="A36" s="4"/>
      <c r="B36" s="4"/>
      <c r="C36" s="3"/>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row>
    <row r="37" spans="1:247" ht="12.75" customHeight="1">
      <c r="A37" s="4"/>
      <c r="B37" s="4"/>
      <c r="C37" s="3"/>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row>
    <row r="38" spans="1:247" ht="12.75" customHeight="1">
      <c r="A38" s="4"/>
      <c r="B38" s="4"/>
      <c r="C38" s="3"/>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row>
    <row r="39" spans="1:247" ht="12.75" customHeight="1">
      <c r="A39" s="4"/>
      <c r="B39" s="4"/>
      <c r="C39" s="3"/>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row>
    <row r="40" spans="1:247" ht="12.75" customHeight="1">
      <c r="A40" s="4"/>
      <c r="B40" s="4"/>
      <c r="C40" s="3"/>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row>
    <row r="41" spans="1:247" ht="12.75" customHeight="1">
      <c r="A41" s="4"/>
      <c r="B41" s="4"/>
      <c r="C41" s="3"/>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row>
    <row r="42" spans="1:247" ht="12.75" customHeight="1">
      <c r="A42" s="4"/>
      <c r="B42" s="4"/>
      <c r="C42" s="3"/>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row>
    <row r="43" spans="1:247" ht="12.75" customHeight="1">
      <c r="A43" s="4"/>
      <c r="B43" s="4"/>
      <c r="C43" s="3"/>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row>
    <row r="44" spans="1:247" ht="12.75" customHeight="1">
      <c r="A44" s="4"/>
      <c r="B44" s="4"/>
      <c r="C44" s="3"/>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row>
    <row r="45" spans="1:247" ht="12.75" customHeight="1">
      <c r="A45" s="4"/>
      <c r="B45" s="4"/>
      <c r="C45" s="3"/>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row>
    <row r="46" spans="1:247" ht="12.75" customHeight="1">
      <c r="A46" s="4"/>
      <c r="B46" s="4"/>
      <c r="C46" s="3"/>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row>
    <row r="47" spans="1:247" ht="12.75" customHeight="1">
      <c r="A47" s="4"/>
      <c r="B47" s="4"/>
      <c r="C47" s="3"/>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row>
    <row r="48" spans="1:247" ht="12.75" customHeight="1">
      <c r="A48" s="4"/>
      <c r="B48" s="4"/>
      <c r="C48" s="3"/>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row>
    <row r="49" spans="1:247" ht="12.75" customHeight="1">
      <c r="A49" s="4"/>
      <c r="B49" s="4"/>
      <c r="C49" s="3"/>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row>
    <row r="50" spans="1:247" ht="12.75" customHeight="1">
      <c r="A50" s="4"/>
      <c r="B50" s="4"/>
      <c r="C50" s="3"/>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row>
    <row r="51" spans="1:247" ht="12.75" customHeight="1">
      <c r="A51" s="4"/>
      <c r="B51" s="4"/>
      <c r="C51" s="3"/>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row>
    <row r="52" spans="1:247" ht="12.75" customHeight="1">
      <c r="A52" s="4"/>
      <c r="B52" s="4"/>
      <c r="C52" s="3"/>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row>
    <row r="53" spans="1:247" ht="12.75" customHeight="1">
      <c r="A53" s="4"/>
      <c r="B53" s="4"/>
      <c r="C53" s="3"/>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row>
    <row r="54" spans="1:247" ht="12.75" customHeight="1">
      <c r="A54" s="4"/>
      <c r="B54" s="4"/>
      <c r="C54" s="3"/>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row>
    <row r="55" spans="1:247" ht="12.75" customHeight="1">
      <c r="A55" s="4"/>
      <c r="B55" s="4"/>
      <c r="C55" s="3"/>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row>
    <row r="56" spans="1:247" ht="12.75" customHeight="1">
      <c r="A56" s="4"/>
      <c r="B56" s="4"/>
      <c r="C56" s="3"/>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row>
    <row r="57" spans="1:247" ht="12.75" customHeight="1">
      <c r="A57" s="4"/>
      <c r="B57" s="4"/>
      <c r="C57" s="3"/>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row>
    <row r="58" spans="1:247" ht="12.75" customHeight="1">
      <c r="A58" s="4"/>
      <c r="B58" s="4"/>
      <c r="C58" s="3"/>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row>
    <row r="59" spans="1:247" ht="12.75" customHeight="1">
      <c r="A59" s="4"/>
      <c r="B59" s="4"/>
      <c r="C59" s="3"/>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row>
    <row r="60" spans="1:247" ht="12.75" customHeight="1">
      <c r="A60" s="4"/>
      <c r="B60" s="4"/>
      <c r="C60" s="3"/>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row>
    <row r="61" spans="1:247" ht="12.75" customHeight="1">
      <c r="A61" s="4"/>
      <c r="B61" s="4"/>
      <c r="C61" s="3"/>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row>
    <row r="62" spans="1:247" ht="12.75" customHeight="1">
      <c r="A62" s="4"/>
      <c r="B62" s="4"/>
      <c r="C62" s="3"/>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row>
    <row r="63" spans="1:247" ht="12.75" customHeight="1">
      <c r="A63" s="4"/>
      <c r="B63" s="4"/>
      <c r="C63" s="3"/>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row>
    <row r="64" spans="1:247" ht="12.75" customHeight="1">
      <c r="A64" s="4"/>
      <c r="B64" s="4"/>
      <c r="C64" s="3"/>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row>
    <row r="65" spans="1:247" ht="12.75" customHeight="1">
      <c r="A65" s="4"/>
      <c r="B65" s="4"/>
      <c r="C65" s="3"/>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row>
    <row r="66" spans="1:247" ht="12.75" customHeight="1">
      <c r="A66" s="4"/>
      <c r="B66" s="4"/>
      <c r="C66" s="3"/>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row>
    <row r="67" spans="1:247" ht="12.75" customHeight="1">
      <c r="A67" s="4"/>
      <c r="B67" s="4"/>
      <c r="C67" s="3"/>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row>
    <row r="68" spans="1:247" ht="12.75" customHeight="1">
      <c r="A68" s="4"/>
      <c r="B68" s="4"/>
      <c r="C68" s="3"/>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row>
    <row r="69" spans="1:247" ht="12.75" customHeight="1">
      <c r="A69" s="4"/>
      <c r="B69" s="4"/>
      <c r="C69" s="3"/>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row>
    <row r="70" spans="1:247" ht="12.75" customHeight="1">
      <c r="A70" s="4"/>
      <c r="B70" s="4"/>
      <c r="C70" s="3"/>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row>
    <row r="71" spans="1:247" ht="12.75" customHeight="1">
      <c r="A71" s="4"/>
      <c r="B71" s="4"/>
      <c r="C71" s="3"/>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row>
    <row r="72" spans="1:247" ht="12.75" customHeight="1">
      <c r="A72" s="4"/>
      <c r="B72" s="4"/>
      <c r="C72" s="3"/>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row>
    <row r="73" spans="1:247" ht="12.75" customHeight="1">
      <c r="A73" s="4"/>
      <c r="B73" s="4"/>
      <c r="C73" s="3"/>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row>
    <row r="74" spans="1:247" ht="12.75" customHeight="1">
      <c r="A74" s="4"/>
      <c r="B74" s="4"/>
      <c r="C74" s="3"/>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row>
    <row r="75" spans="1:247" ht="12.75" customHeight="1">
      <c r="A75" s="4"/>
      <c r="B75" s="4"/>
      <c r="C75" s="3"/>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row>
    <row r="76" spans="1:247" ht="12.75" customHeight="1">
      <c r="A76" s="4"/>
      <c r="B76" s="4"/>
      <c r="C76" s="3"/>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row>
    <row r="77" spans="1:247" ht="12.75" customHeight="1">
      <c r="A77" s="4"/>
      <c r="B77" s="4"/>
      <c r="C77" s="3"/>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row>
    <row r="78" spans="1:247" ht="12.75" customHeight="1">
      <c r="A78" s="4"/>
      <c r="B78" s="4"/>
      <c r="C78" s="3"/>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row>
    <row r="79" spans="1:247" ht="12.75" customHeight="1">
      <c r="A79" s="4"/>
      <c r="B79" s="4"/>
      <c r="C79" s="3"/>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row>
    <row r="80" spans="1:247" ht="12.75" customHeight="1">
      <c r="A80" s="4"/>
      <c r="B80" s="4"/>
      <c r="C80" s="3"/>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row>
    <row r="81" spans="1:247" ht="12.75" customHeight="1">
      <c r="A81" s="4"/>
      <c r="B81" s="4"/>
      <c r="C81" s="3"/>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row>
    <row r="82" spans="1:247" ht="12.75" customHeight="1">
      <c r="A82" s="4"/>
      <c r="B82" s="4"/>
      <c r="C82" s="3"/>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row>
    <row r="83" spans="1:247" ht="12.75" customHeight="1">
      <c r="A83" s="4"/>
      <c r="B83" s="4"/>
      <c r="C83" s="3"/>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row>
    <row r="84" spans="1:247" ht="12.75" customHeight="1">
      <c r="A84" s="4"/>
      <c r="B84" s="4"/>
      <c r="C84" s="3"/>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row>
    <row r="85" spans="1:247" ht="12.75" customHeight="1">
      <c r="A85" s="4"/>
      <c r="B85" s="4"/>
      <c r="C85" s="3"/>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row>
    <row r="86" spans="1:247" ht="12.75" customHeight="1">
      <c r="A86" s="4"/>
      <c r="B86" s="4"/>
      <c r="C86" s="3"/>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row>
    <row r="87" spans="1:247" ht="12.75" customHeight="1">
      <c r="A87" s="4"/>
      <c r="B87" s="4"/>
      <c r="C87" s="3"/>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row>
    <row r="88" spans="1:247" ht="12.75" customHeight="1">
      <c r="A88" s="4"/>
      <c r="B88" s="4"/>
      <c r="C88" s="3"/>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row>
    <row r="89" spans="1:247" ht="12.75" customHeight="1">
      <c r="A89" s="4"/>
      <c r="B89" s="4"/>
      <c r="C89" s="3"/>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row>
    <row r="90" spans="1:247" ht="12.75" customHeight="1">
      <c r="A90" s="4"/>
      <c r="B90" s="4"/>
      <c r="C90" s="3"/>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row>
    <row r="91" spans="1:247" ht="12.75" customHeight="1">
      <c r="A91" s="4"/>
      <c r="B91" s="4"/>
      <c r="C91" s="3"/>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row>
    <row r="92" spans="1:247" ht="12.75" customHeight="1">
      <c r="A92" s="4"/>
      <c r="B92" s="4"/>
      <c r="C92" s="3"/>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row>
    <row r="93" spans="1:247" ht="12.75" customHeight="1">
      <c r="A93" s="4"/>
      <c r="B93" s="4"/>
      <c r="C93" s="3"/>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row>
    <row r="94" spans="1:247" ht="12.75" customHeight="1">
      <c r="A94" s="4"/>
      <c r="B94" s="4"/>
      <c r="C94" s="3"/>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row>
    <row r="95" spans="1:247" ht="12.75" customHeight="1">
      <c r="A95" s="4"/>
      <c r="B95" s="4"/>
      <c r="C95" s="3"/>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row>
    <row r="96" spans="1:247" ht="12.75" customHeight="1">
      <c r="A96" s="4"/>
      <c r="B96" s="4"/>
      <c r="C96" s="3"/>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row>
    <row r="97" spans="1:247" ht="12.75" customHeight="1">
      <c r="A97" s="4"/>
      <c r="B97" s="4"/>
      <c r="C97" s="3"/>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row>
    <row r="98" spans="1:247" ht="12.75" customHeight="1">
      <c r="A98" s="4"/>
      <c r="B98" s="4"/>
      <c r="C98" s="3"/>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row>
    <row r="99" spans="1:247" ht="12.75" customHeight="1">
      <c r="A99" s="4"/>
      <c r="B99" s="4"/>
      <c r="C99" s="3"/>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row>
    <row r="100" spans="1:247" ht="12.75" customHeight="1">
      <c r="A100" s="4"/>
      <c r="B100" s="4"/>
      <c r="C100" s="3"/>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row>
    <row r="101" spans="1:247" ht="12.75" customHeight="1">
      <c r="A101" s="4"/>
      <c r="B101" s="4"/>
      <c r="C101" s="3"/>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row>
    <row r="102" spans="1:247" ht="12.75" customHeight="1">
      <c r="A102" s="4"/>
      <c r="B102" s="4"/>
      <c r="C102" s="3"/>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row>
    <row r="103" spans="1:247" ht="12.75" customHeight="1">
      <c r="A103" s="4"/>
      <c r="B103" s="4"/>
      <c r="C103" s="3"/>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row>
    <row r="104" spans="1:247" ht="12.75" customHeight="1">
      <c r="A104" s="4"/>
      <c r="B104" s="4"/>
      <c r="C104" s="3"/>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row>
    <row r="105" spans="1:247" ht="12.75" customHeight="1">
      <c r="A105" s="4"/>
      <c r="B105" s="4"/>
      <c r="C105" s="3"/>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row>
    <row r="106" spans="1:247" ht="12.75" customHeight="1">
      <c r="A106" s="4"/>
      <c r="B106" s="4"/>
      <c r="C106" s="3"/>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row>
    <row r="107" spans="1:247" ht="12.75" customHeight="1">
      <c r="A107" s="4"/>
      <c r="B107" s="4"/>
      <c r="C107" s="3"/>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row>
    <row r="108" spans="1:247" ht="12.75" customHeight="1">
      <c r="A108" s="4"/>
      <c r="B108" s="4"/>
      <c r="C108" s="3"/>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row>
    <row r="109" spans="1:247" ht="12.75" customHeight="1">
      <c r="A109" s="4"/>
      <c r="B109" s="4"/>
      <c r="C109" s="3"/>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row>
    <row r="110" spans="1:247" ht="12.75" customHeight="1">
      <c r="A110" s="4"/>
      <c r="B110" s="4"/>
      <c r="C110" s="3"/>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row>
    <row r="111" spans="1:247" ht="12.75" customHeight="1">
      <c r="A111" s="4"/>
      <c r="B111" s="4"/>
      <c r="C111" s="3"/>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row>
    <row r="112" spans="1:247" ht="12.75" customHeight="1">
      <c r="A112" s="4"/>
      <c r="B112" s="4"/>
      <c r="C112" s="3"/>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row>
    <row r="113" spans="1:247" ht="12.75" customHeight="1">
      <c r="A113" s="4"/>
      <c r="B113" s="4"/>
      <c r="C113" s="3"/>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row>
    <row r="114" spans="1:247" ht="12.75" customHeight="1">
      <c r="A114" s="4"/>
      <c r="B114" s="4"/>
      <c r="C114" s="3"/>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row>
    <row r="115" spans="1:247" ht="12.75" customHeight="1">
      <c r="A115" s="4"/>
      <c r="B115" s="4"/>
      <c r="C115" s="3"/>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row>
    <row r="116" spans="1:247" ht="12.75" customHeight="1">
      <c r="A116" s="4"/>
      <c r="B116" s="4"/>
      <c r="C116" s="3"/>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row>
    <row r="117" spans="1:247" ht="12.75" customHeight="1">
      <c r="A117" s="4"/>
      <c r="B117" s="4"/>
      <c r="C117" s="3"/>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row>
    <row r="118" spans="1:247" ht="12.75" customHeight="1">
      <c r="A118" s="4"/>
      <c r="B118" s="4"/>
      <c r="C118" s="3"/>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row>
    <row r="119" spans="1:247" ht="12.75" customHeight="1">
      <c r="A119" s="4"/>
      <c r="B119" s="4"/>
      <c r="C119" s="3"/>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row>
    <row r="120" spans="1:247" ht="12.75" customHeight="1">
      <c r="A120" s="4"/>
      <c r="B120" s="4"/>
      <c r="C120" s="3"/>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row>
    <row r="121" spans="1:247" ht="12.75" customHeight="1">
      <c r="A121" s="4"/>
      <c r="B121" s="4"/>
      <c r="C121" s="3"/>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row>
    <row r="122" spans="1:247" ht="12.75" customHeight="1">
      <c r="A122" s="4"/>
      <c r="B122" s="4"/>
      <c r="C122" s="3"/>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row>
    <row r="123" spans="1:247" ht="12.75" customHeight="1">
      <c r="A123" s="4"/>
      <c r="B123" s="4"/>
      <c r="C123" s="3"/>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row>
    <row r="124" spans="1:247" ht="12.75" customHeight="1">
      <c r="A124" s="4"/>
      <c r="B124" s="4"/>
      <c r="C124" s="3"/>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row>
    <row r="125" spans="1:247" ht="12.75" customHeight="1">
      <c r="A125" s="4"/>
      <c r="B125" s="4"/>
      <c r="C125" s="3"/>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row>
    <row r="126" spans="1:247" ht="12.75" customHeight="1">
      <c r="A126" s="4"/>
      <c r="B126" s="4"/>
      <c r="C126" s="3"/>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row>
    <row r="127" spans="1:247" ht="12.75" customHeight="1">
      <c r="A127" s="4"/>
      <c r="B127" s="4"/>
      <c r="C127" s="3"/>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row>
    <row r="128" spans="1:247" ht="12.75" customHeight="1">
      <c r="A128" s="4"/>
      <c r="B128" s="4"/>
      <c r="C128" s="3"/>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row>
    <row r="129" spans="1:247" ht="12.75" customHeight="1">
      <c r="A129" s="4"/>
      <c r="B129" s="4"/>
      <c r="C129" s="3"/>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row>
    <row r="130" spans="1:247" ht="12.75" customHeight="1">
      <c r="A130" s="4"/>
      <c r="B130" s="4"/>
      <c r="C130" s="3"/>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row>
    <row r="131" spans="1:247" ht="12.75" customHeight="1">
      <c r="A131" s="4"/>
      <c r="B131" s="4"/>
      <c r="C131" s="3"/>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row>
    <row r="132" spans="1:247" ht="12.75" customHeight="1">
      <c r="A132" s="4"/>
      <c r="B132" s="4"/>
      <c r="C132" s="3"/>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row>
    <row r="133" spans="1:247" ht="12.75" customHeight="1">
      <c r="A133" s="4"/>
      <c r="B133" s="4"/>
      <c r="C133" s="3"/>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row>
    <row r="134" spans="1:247" ht="12.75" customHeight="1">
      <c r="A134" s="4"/>
      <c r="B134" s="4"/>
      <c r="C134" s="3"/>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row>
    <row r="135" spans="1:247" ht="12.75" customHeight="1">
      <c r="A135" s="4"/>
      <c r="B135" s="4"/>
      <c r="C135" s="3"/>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row>
    <row r="136" spans="1:247" ht="12.75" customHeight="1">
      <c r="A136" s="4"/>
      <c r="B136" s="4"/>
      <c r="C136" s="3"/>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row>
    <row r="137" spans="1:247" ht="12.75" customHeight="1">
      <c r="A137" s="4"/>
      <c r="B137" s="4"/>
      <c r="C137" s="3"/>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row>
    <row r="138" spans="1:247" ht="12.75" customHeight="1">
      <c r="A138" s="4"/>
      <c r="B138" s="4"/>
      <c r="C138" s="3"/>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row>
    <row r="139" spans="1:247" ht="12.75" customHeight="1">
      <c r="A139" s="4"/>
      <c r="B139" s="4"/>
      <c r="C139" s="3"/>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row>
    <row r="140" spans="1:247" ht="12.75" customHeight="1">
      <c r="A140" s="4"/>
      <c r="B140" s="4"/>
      <c r="C140" s="3"/>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row>
    <row r="141" spans="1:247" ht="12.75" customHeight="1">
      <c r="A141" s="4"/>
      <c r="B141" s="4"/>
      <c r="C141" s="3"/>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row>
    <row r="142" spans="1:247" ht="12.75" customHeight="1">
      <c r="A142" s="4"/>
      <c r="B142" s="4"/>
      <c r="C142" s="3"/>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row>
    <row r="143" spans="1:247" ht="12.75" customHeight="1">
      <c r="A143" s="4"/>
      <c r="B143" s="4"/>
      <c r="C143" s="3"/>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row>
    <row r="144" spans="1:247" ht="12.75" customHeight="1">
      <c r="A144" s="4"/>
      <c r="B144" s="4"/>
      <c r="C144" s="3"/>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row>
    <row r="145" spans="1:247" ht="12.75" customHeight="1">
      <c r="A145" s="4"/>
      <c r="B145" s="4"/>
      <c r="C145" s="3"/>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row>
    <row r="146" spans="1:247" ht="12.75" customHeight="1">
      <c r="A146" s="4"/>
      <c r="B146" s="4"/>
      <c r="C146" s="3"/>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row>
    <row r="147" spans="1:247" ht="12.75" customHeight="1">
      <c r="A147" s="4"/>
      <c r="B147" s="4"/>
      <c r="C147" s="3"/>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row>
    <row r="148" spans="1:247" ht="12.75" customHeight="1">
      <c r="A148" s="4"/>
      <c r="B148" s="4"/>
      <c r="C148" s="3"/>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row>
    <row r="149" spans="1:247" ht="12.75" customHeight="1">
      <c r="A149" s="4"/>
      <c r="B149" s="4"/>
      <c r="C149" s="3"/>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row>
    <row r="150" spans="1:247" ht="12.75" customHeight="1">
      <c r="A150" s="4"/>
      <c r="B150" s="4"/>
      <c r="C150" s="3"/>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row>
    <row r="151" spans="1:247" ht="12.75" customHeight="1">
      <c r="A151" s="4"/>
      <c r="B151" s="4"/>
      <c r="C151" s="3"/>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row>
    <row r="152" spans="1:247" ht="12.75" customHeight="1">
      <c r="A152" s="4"/>
      <c r="B152" s="4"/>
      <c r="C152" s="3"/>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row>
    <row r="153" spans="1:247" ht="12.75" customHeight="1">
      <c r="A153" s="4"/>
      <c r="B153" s="4"/>
      <c r="C153" s="3"/>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row>
    <row r="154" spans="1:247" ht="12.75" customHeight="1">
      <c r="A154" s="4"/>
      <c r="B154" s="4"/>
      <c r="C154" s="3"/>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row>
    <row r="155" spans="1:247" ht="12.75" customHeight="1">
      <c r="A155" s="4"/>
      <c r="B155" s="4"/>
      <c r="C155" s="3"/>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row>
    <row r="156" spans="1:247" ht="12.75" customHeight="1">
      <c r="A156" s="4"/>
      <c r="B156" s="4"/>
      <c r="C156" s="3"/>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row>
    <row r="157" spans="1:247" ht="12.75" customHeight="1">
      <c r="A157" s="4"/>
      <c r="B157" s="4"/>
      <c r="C157" s="3"/>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row>
    <row r="158" spans="1:247" ht="12.75" customHeight="1">
      <c r="A158" s="4"/>
      <c r="B158" s="4"/>
      <c r="C158" s="3"/>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row>
    <row r="159" spans="1:247" ht="12.75" customHeight="1">
      <c r="A159" s="4"/>
      <c r="B159" s="4"/>
      <c r="C159" s="3"/>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row>
    <row r="160" spans="1:247" ht="12.75" customHeight="1">
      <c r="A160" s="4"/>
      <c r="B160" s="4"/>
      <c r="C160" s="3"/>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row>
    <row r="161" spans="1:247" ht="12.75" customHeight="1">
      <c r="A161" s="4"/>
      <c r="B161" s="4"/>
      <c r="C161" s="3"/>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row>
    <row r="162" spans="1:247" ht="12.75" customHeight="1">
      <c r="A162" s="4"/>
      <c r="B162" s="4"/>
      <c r="C162" s="3"/>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row>
    <row r="163" spans="1:247" ht="12.75" customHeight="1">
      <c r="A163" s="4"/>
      <c r="B163" s="4"/>
      <c r="C163" s="3"/>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row>
    <row r="164" spans="1:247" ht="12.75" customHeight="1">
      <c r="A164" s="4"/>
      <c r="B164" s="4"/>
      <c r="C164" s="3"/>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row>
    <row r="165" spans="1:247" ht="12.75" customHeight="1">
      <c r="A165" s="4"/>
      <c r="B165" s="4"/>
      <c r="C165" s="3"/>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row>
    <row r="166" spans="1:247" ht="12.75" customHeight="1">
      <c r="A166" s="4"/>
      <c r="B166" s="4"/>
      <c r="C166" s="3"/>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row>
    <row r="167" spans="1:247" ht="12.75" customHeight="1">
      <c r="A167" s="4"/>
      <c r="B167" s="4"/>
      <c r="C167" s="3"/>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row>
    <row r="168" spans="1:247" ht="12.75" customHeight="1">
      <c r="A168" s="4"/>
      <c r="B168" s="4"/>
      <c r="C168" s="3"/>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row>
    <row r="169" spans="1:247" ht="12.75" customHeight="1">
      <c r="A169" s="4"/>
      <c r="B169" s="4"/>
      <c r="C169" s="3"/>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row>
    <row r="170" spans="1:247" ht="12.75" customHeight="1">
      <c r="A170" s="4"/>
      <c r="B170" s="4"/>
      <c r="C170" s="3"/>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row>
    <row r="171" spans="1:247" ht="12.75" customHeight="1">
      <c r="A171" s="4"/>
      <c r="B171" s="4"/>
      <c r="C171" s="3"/>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row>
    <row r="172" spans="1:247" ht="12.75" customHeight="1">
      <c r="A172" s="4"/>
      <c r="B172" s="4"/>
      <c r="C172" s="3"/>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row>
    <row r="173" spans="1:247" ht="12.75" customHeight="1">
      <c r="A173" s="4"/>
      <c r="B173" s="4"/>
      <c r="C173" s="3"/>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row>
    <row r="174" spans="1:247" ht="12.75" customHeight="1">
      <c r="A174" s="4"/>
      <c r="B174" s="4"/>
      <c r="C174" s="3"/>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row>
    <row r="175" spans="1:247" ht="12.75" customHeight="1">
      <c r="A175" s="4"/>
      <c r="B175" s="4"/>
      <c r="C175" s="3"/>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row>
    <row r="176" spans="1:247" ht="12.75" customHeight="1">
      <c r="A176" s="4"/>
      <c r="B176" s="4"/>
      <c r="C176" s="3"/>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row>
    <row r="177" spans="1:247" ht="12.75" customHeight="1">
      <c r="A177" s="4"/>
      <c r="B177" s="4"/>
      <c r="C177" s="3"/>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row>
    <row r="178" spans="1:247" ht="12.75" customHeight="1">
      <c r="A178" s="4"/>
      <c r="B178" s="4"/>
      <c r="C178" s="3"/>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row>
    <row r="179" spans="1:247" ht="12.75" customHeight="1">
      <c r="A179" s="4"/>
      <c r="B179" s="4"/>
      <c r="C179" s="3"/>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row>
    <row r="180" spans="1:247" ht="12.75" customHeight="1">
      <c r="A180" s="4"/>
      <c r="B180" s="4"/>
      <c r="C180" s="3"/>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row>
    <row r="181" spans="1:247" ht="12.75" customHeight="1">
      <c r="A181" s="4"/>
      <c r="B181" s="4"/>
      <c r="C181" s="3"/>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row>
    <row r="182" spans="1:247" ht="12.75" customHeight="1">
      <c r="A182" s="4"/>
      <c r="B182" s="4"/>
      <c r="C182" s="3"/>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row>
    <row r="183" spans="1:247" ht="12.75" customHeight="1">
      <c r="A183" s="4"/>
      <c r="B183" s="4"/>
      <c r="C183" s="3"/>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row>
    <row r="184" spans="1:247" ht="12.75" customHeight="1">
      <c r="A184" s="4"/>
      <c r="B184" s="4"/>
      <c r="C184" s="3"/>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row>
    <row r="185" spans="1:247" ht="12.75" customHeight="1">
      <c r="A185" s="4"/>
      <c r="B185" s="4"/>
      <c r="C185" s="3"/>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row>
    <row r="186" spans="1:247" ht="12.75" customHeight="1">
      <c r="A186" s="4"/>
      <c r="B186" s="4"/>
      <c r="C186" s="3"/>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row>
    <row r="187" spans="1:247" ht="12.75" customHeight="1">
      <c r="A187" s="4"/>
      <c r="B187" s="4"/>
      <c r="C187" s="3"/>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row>
    <row r="188" spans="1:247" ht="12.75" customHeight="1">
      <c r="A188" s="4"/>
      <c r="B188" s="4"/>
      <c r="C188" s="3"/>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row>
    <row r="189" spans="1:247" ht="12.75" customHeight="1">
      <c r="A189" s="4"/>
      <c r="B189" s="4"/>
      <c r="C189" s="3"/>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row>
    <row r="190" spans="1:247" ht="12.75" customHeight="1">
      <c r="A190" s="4"/>
      <c r="B190" s="4"/>
      <c r="C190" s="3"/>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row>
    <row r="191" spans="1:247" ht="12.75" customHeight="1">
      <c r="A191" s="4"/>
      <c r="B191" s="4"/>
      <c r="C191" s="3"/>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row>
    <row r="192" spans="1:247" ht="12.75" customHeight="1">
      <c r="A192" s="4"/>
      <c r="B192" s="4"/>
      <c r="C192" s="3"/>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row>
    <row r="193" spans="1:247" ht="12.75" customHeight="1">
      <c r="A193" s="4"/>
      <c r="B193" s="4"/>
      <c r="C193" s="3"/>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row>
    <row r="194" spans="1:247" ht="12.75" customHeight="1">
      <c r="A194" s="4"/>
      <c r="B194" s="4"/>
      <c r="C194" s="3"/>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row>
    <row r="195" spans="1:247" ht="12.75" customHeight="1">
      <c r="A195" s="4"/>
      <c r="B195" s="4"/>
      <c r="C195" s="3"/>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row>
    <row r="196" spans="1:247" ht="12.75" customHeight="1">
      <c r="A196" s="4"/>
      <c r="B196" s="4"/>
      <c r="C196" s="3"/>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row>
    <row r="197" spans="1:247" ht="12.75" customHeight="1">
      <c r="A197" s="4"/>
      <c r="B197" s="4"/>
      <c r="C197" s="3"/>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row>
    <row r="198" spans="1:247" ht="12.75" customHeight="1">
      <c r="A198" s="4"/>
      <c r="B198" s="4"/>
      <c r="C198" s="3"/>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row>
    <row r="199" spans="1:247" ht="12.75" customHeight="1">
      <c r="A199" s="4"/>
      <c r="B199" s="4"/>
      <c r="C199" s="3"/>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row>
    <row r="200" spans="1:247" ht="12.75" customHeight="1">
      <c r="A200" s="4"/>
      <c r="B200" s="4"/>
      <c r="C200" s="3"/>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row>
    <row r="201" spans="1:247" ht="12.75" customHeight="1">
      <c r="A201" s="4"/>
      <c r="B201" s="4"/>
      <c r="C201" s="3"/>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row>
    <row r="202" spans="1:247" ht="12.75" customHeight="1">
      <c r="A202" s="4"/>
      <c r="B202" s="4"/>
      <c r="C202" s="3"/>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row>
    <row r="203" spans="1:247" ht="12.75" customHeight="1">
      <c r="A203" s="4"/>
      <c r="B203" s="4"/>
      <c r="C203" s="3"/>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row>
    <row r="204" spans="1:247" ht="12.75" customHeight="1">
      <c r="A204" s="4"/>
      <c r="B204" s="4"/>
      <c r="C204" s="3"/>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row>
    <row r="205" spans="1:247" ht="12.75" customHeight="1">
      <c r="A205" s="4"/>
      <c r="B205" s="4"/>
      <c r="C205" s="3"/>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row>
    <row r="206" spans="1:247" ht="12.75" customHeight="1">
      <c r="A206" s="4"/>
      <c r="B206" s="4"/>
      <c r="C206" s="3"/>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row>
    <row r="207" spans="1:247" ht="12.75" customHeight="1">
      <c r="A207" s="4"/>
      <c r="B207" s="4"/>
      <c r="C207" s="3"/>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row>
    <row r="208" spans="1:247" ht="12.75" customHeight="1">
      <c r="A208" s="4"/>
      <c r="B208" s="4"/>
      <c r="C208" s="3"/>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row>
    <row r="209" spans="1:247" ht="12.75" customHeight="1">
      <c r="A209" s="4"/>
      <c r="B209" s="4"/>
      <c r="C209" s="3"/>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row>
    <row r="210" spans="1:247" ht="12.75" customHeight="1">
      <c r="A210" s="4"/>
      <c r="B210" s="4"/>
      <c r="C210" s="3"/>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row>
    <row r="211" spans="1:247" ht="12.75" customHeight="1">
      <c r="A211" s="4"/>
      <c r="B211" s="4"/>
      <c r="C211" s="3"/>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row>
    <row r="212" spans="1:247" ht="12.75" customHeight="1">
      <c r="A212" s="4"/>
      <c r="B212" s="4"/>
      <c r="C212" s="3"/>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row>
    <row r="213" spans="1:247" ht="12.75" customHeight="1">
      <c r="A213" s="4"/>
      <c r="B213" s="4"/>
      <c r="C213" s="3"/>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row>
    <row r="214" spans="1:247" ht="12.75" customHeight="1">
      <c r="A214" s="4"/>
      <c r="B214" s="4"/>
      <c r="C214" s="3"/>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row>
    <row r="215" spans="1:247" ht="12.75" customHeight="1">
      <c r="A215" s="4"/>
      <c r="B215" s="4"/>
      <c r="C215" s="3"/>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row>
    <row r="216" spans="1:247" ht="12.75" customHeight="1">
      <c r="A216" s="4"/>
      <c r="B216" s="4"/>
      <c r="C216" s="3"/>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row>
    <row r="217" spans="1:247" ht="12.75" customHeight="1">
      <c r="A217" s="4"/>
      <c r="B217" s="4"/>
      <c r="C217" s="3"/>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row>
    <row r="218" spans="1:247" ht="12.75" customHeight="1">
      <c r="A218" s="4"/>
      <c r="B218" s="4"/>
      <c r="C218" s="3"/>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row>
    <row r="219" spans="1:247" ht="12.75" customHeight="1">
      <c r="A219" s="4"/>
      <c r="B219" s="4"/>
      <c r="C219" s="3"/>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row>
    <row r="220" spans="1:247" ht="12.75" customHeight="1">
      <c r="A220" s="4"/>
      <c r="B220" s="4"/>
      <c r="C220" s="3"/>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row>
    <row r="221" spans="1:247" ht="12.75" customHeight="1">
      <c r="A221" s="4"/>
      <c r="B221" s="4"/>
      <c r="C221" s="3"/>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row>
    <row r="222" spans="1:247" ht="12.75" customHeight="1">
      <c r="A222" s="4"/>
      <c r="B222" s="4"/>
      <c r="C222" s="3"/>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row>
    <row r="223" spans="1:247" ht="12.75" customHeight="1">
      <c r="A223" s="4"/>
      <c r="B223" s="4"/>
      <c r="C223" s="3"/>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row>
    <row r="224" spans="1:247" ht="12.75" customHeight="1">
      <c r="A224" s="4"/>
      <c r="B224" s="4"/>
      <c r="C224" s="3"/>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row>
    <row r="225" spans="1:247" ht="12.75" customHeight="1">
      <c r="A225" s="4"/>
      <c r="B225" s="4"/>
      <c r="C225" s="3"/>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row>
    <row r="226" spans="1:247" ht="12.75" customHeight="1">
      <c r="A226" s="4"/>
      <c r="B226" s="4"/>
      <c r="C226" s="3"/>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row>
    <row r="227" spans="1:247" ht="12.75" customHeight="1">
      <c r="A227" s="4"/>
      <c r="B227" s="4"/>
      <c r="C227" s="3"/>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row>
    <row r="228" spans="1:247" ht="12.75" customHeight="1">
      <c r="A228" s="4"/>
      <c r="B228" s="4"/>
      <c r="C228" s="3"/>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row>
    <row r="229" spans="1:247" ht="12.75" customHeight="1">
      <c r="A229" s="4"/>
      <c r="B229" s="4"/>
      <c r="C229" s="3"/>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row>
    <row r="230" spans="1:247" ht="12.75" customHeight="1">
      <c r="A230" s="4"/>
      <c r="B230" s="4"/>
      <c r="C230" s="3"/>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row>
    <row r="231" spans="1:247" ht="12.75" customHeight="1">
      <c r="A231" s="4"/>
      <c r="B231" s="4"/>
      <c r="C231" s="3"/>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row>
    <row r="232" spans="1:247" ht="12.75" customHeight="1">
      <c r="A232" s="4"/>
      <c r="B232" s="4"/>
      <c r="C232" s="3"/>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row>
    <row r="233" spans="1:247" ht="12.75" customHeight="1">
      <c r="A233" s="4"/>
      <c r="B233" s="4"/>
      <c r="C233" s="3"/>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row>
    <row r="234" spans="1:247" ht="12.75" customHeight="1">
      <c r="A234" s="4"/>
      <c r="B234" s="4"/>
      <c r="C234" s="3"/>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row>
    <row r="235" spans="1:247" ht="12.75" customHeight="1">
      <c r="A235" s="4"/>
      <c r="B235" s="4"/>
      <c r="C235" s="3"/>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row>
    <row r="236" spans="1:247" ht="12.75" customHeight="1">
      <c r="A236" s="4"/>
      <c r="B236" s="4"/>
      <c r="C236" s="3"/>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row>
    <row r="237" spans="1:247" ht="12.75" customHeight="1">
      <c r="A237" s="4"/>
      <c r="B237" s="4"/>
      <c r="C237" s="3"/>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row>
    <row r="238" spans="1:247" ht="12.75" customHeight="1">
      <c r="A238" s="4"/>
      <c r="B238" s="4"/>
      <c r="C238" s="3"/>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row>
    <row r="239" spans="1:247" ht="12.75" customHeight="1">
      <c r="A239" s="4"/>
      <c r="B239" s="4"/>
      <c r="C239" s="3"/>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row>
    <row r="240" spans="1:247" ht="12.75" customHeight="1">
      <c r="A240" s="4"/>
      <c r="B240" s="4"/>
      <c r="C240" s="3"/>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row>
    <row r="241" spans="1:247" ht="12.75" customHeight="1">
      <c r="A241" s="4"/>
      <c r="B241" s="4"/>
      <c r="C241" s="3"/>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row>
    <row r="242" spans="1:247" ht="12.75" customHeight="1">
      <c r="A242" s="4"/>
      <c r="B242" s="4"/>
      <c r="C242" s="3"/>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row>
    <row r="243" spans="1:247" ht="12.75" customHeight="1">
      <c r="A243" s="4"/>
      <c r="B243" s="4"/>
      <c r="C243" s="3"/>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row>
    <row r="244" spans="1:247" ht="12.75" customHeight="1">
      <c r="A244" s="4"/>
      <c r="B244" s="4"/>
      <c r="C244" s="3"/>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row>
    <row r="245" spans="1:247" ht="12.75" customHeight="1">
      <c r="A245" s="4"/>
      <c r="B245" s="4"/>
      <c r="C245" s="3"/>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row>
    <row r="246" spans="1:247" ht="12.75" customHeight="1">
      <c r="A246" s="4"/>
      <c r="B246" s="4"/>
      <c r="C246" s="3"/>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row>
    <row r="247" spans="1:247" ht="12.75" customHeight="1">
      <c r="A247" s="4"/>
      <c r="B247" s="4"/>
      <c r="C247" s="3"/>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row>
    <row r="248" spans="1:247" ht="12.75" customHeight="1">
      <c r="A248" s="4"/>
      <c r="B248" s="4"/>
      <c r="C248" s="3"/>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row>
    <row r="249" spans="1:247" ht="12.75" customHeight="1">
      <c r="A249" s="4"/>
      <c r="B249" s="4"/>
      <c r="C249" s="3"/>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row>
    <row r="250" spans="1:247" ht="12.75" customHeight="1">
      <c r="A250" s="4"/>
      <c r="B250" s="4"/>
      <c r="C250" s="3"/>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row>
    <row r="251" spans="1:247" ht="12.75" customHeight="1">
      <c r="A251" s="4"/>
      <c r="B251" s="4"/>
      <c r="C251" s="3"/>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row>
    <row r="252" spans="1:247" ht="12.75" customHeight="1">
      <c r="A252" s="4"/>
      <c r="B252" s="4"/>
      <c r="C252" s="3"/>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row>
    <row r="253" spans="1:247" ht="12.75" customHeight="1">
      <c r="A253" s="4"/>
      <c r="B253" s="4"/>
      <c r="C253" s="3"/>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row>
    <row r="254" spans="1:247" ht="12.75" customHeight="1">
      <c r="A254" s="4"/>
      <c r="B254" s="4"/>
      <c r="C254" s="3"/>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row>
    <row r="255" spans="1:247" ht="12.75" customHeight="1">
      <c r="A255" s="4"/>
      <c r="B255" s="4"/>
      <c r="C255" s="3"/>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row>
    <row r="256" spans="1:247" ht="12.75" customHeight="1">
      <c r="A256" s="4"/>
      <c r="B256" s="4"/>
      <c r="C256" s="3"/>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row>
    <row r="257" spans="1:247" ht="12.75" customHeight="1">
      <c r="A257" s="4"/>
      <c r="B257" s="4"/>
      <c r="C257" s="3"/>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row>
    <row r="258" spans="1:247" ht="12.75" customHeight="1">
      <c r="A258" s="4"/>
      <c r="B258" s="4"/>
      <c r="C258" s="3"/>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row>
    <row r="259" spans="1:247" ht="12.75" customHeight="1">
      <c r="A259" s="4"/>
      <c r="B259" s="4"/>
      <c r="C259" s="3"/>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row>
    <row r="260" spans="1:247" ht="12.75" customHeight="1">
      <c r="A260" s="4"/>
      <c r="B260" s="4"/>
      <c r="C260" s="3"/>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row>
    <row r="261" spans="1:247" ht="12.75" customHeight="1">
      <c r="A261" s="4"/>
      <c r="B261" s="4"/>
      <c r="C261" s="3"/>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row>
    <row r="262" spans="1:247" ht="12.75" customHeight="1">
      <c r="A262" s="4"/>
      <c r="B262" s="4"/>
      <c r="C262" s="3"/>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row>
    <row r="263" spans="1:247" ht="12.75" customHeight="1">
      <c r="A263" s="4"/>
      <c r="B263" s="4"/>
      <c r="C263" s="3"/>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row>
    <row r="264" spans="1:247" ht="12.75" customHeight="1">
      <c r="A264" s="4"/>
      <c r="B264" s="4"/>
      <c r="C264" s="3"/>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row>
    <row r="265" spans="1:247" ht="12.75" customHeight="1">
      <c r="A265" s="4"/>
      <c r="B265" s="4"/>
      <c r="C265" s="3"/>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row>
    <row r="266" spans="1:247" ht="12.75" customHeight="1">
      <c r="A266" s="4"/>
      <c r="B266" s="4"/>
      <c r="C266" s="3"/>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row>
    <row r="267" spans="1:247" ht="12.75" customHeight="1">
      <c r="A267" s="4"/>
      <c r="B267" s="4"/>
      <c r="C267" s="3"/>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row>
    <row r="268" spans="1:247" ht="12.75" customHeight="1">
      <c r="A268" s="4"/>
      <c r="B268" s="4"/>
      <c r="C268" s="3"/>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row>
    <row r="269" spans="1:247" ht="12.75" customHeight="1">
      <c r="A269" s="4"/>
      <c r="B269" s="4"/>
      <c r="C269" s="3"/>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row>
    <row r="270" spans="1:247" ht="12.75" customHeight="1">
      <c r="A270" s="4"/>
      <c r="B270" s="4"/>
      <c r="C270" s="3"/>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row>
    <row r="271" spans="1:247" ht="12.75" customHeight="1">
      <c r="A271" s="4"/>
      <c r="B271" s="4"/>
      <c r="C271" s="3"/>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row>
    <row r="272" spans="1:247" ht="12.75" customHeight="1">
      <c r="A272" s="4"/>
      <c r="B272" s="4"/>
      <c r="C272" s="3"/>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row>
    <row r="273" spans="1:247" ht="12.75" customHeight="1">
      <c r="A273" s="4"/>
      <c r="B273" s="4"/>
      <c r="C273" s="3"/>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row>
    <row r="274" spans="1:247" ht="12.75" customHeight="1">
      <c r="A274" s="4"/>
      <c r="B274" s="4"/>
      <c r="C274" s="3"/>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row>
    <row r="275" spans="1:247" ht="12.75" customHeight="1">
      <c r="A275" s="4"/>
      <c r="B275" s="4"/>
      <c r="C275" s="3"/>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row>
    <row r="276" spans="1:247" ht="12.75" customHeight="1">
      <c r="A276" s="4"/>
      <c r="B276" s="4"/>
      <c r="C276" s="3"/>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row>
    <row r="277" spans="1:247" ht="12.75" customHeight="1">
      <c r="A277" s="4"/>
      <c r="B277" s="4"/>
      <c r="C277" s="3"/>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row>
    <row r="278" spans="1:247" ht="12.75" customHeight="1">
      <c r="A278" s="4"/>
      <c r="B278" s="4"/>
      <c r="C278" s="3"/>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row>
    <row r="279" spans="1:247" ht="12.75" customHeight="1">
      <c r="A279" s="4"/>
      <c r="B279" s="4"/>
      <c r="C279" s="3"/>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row>
    <row r="280" spans="1:247" ht="12.75" customHeight="1">
      <c r="A280" s="4"/>
      <c r="B280" s="4"/>
      <c r="C280" s="3"/>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row>
    <row r="281" spans="1:247" ht="12.75" customHeight="1">
      <c r="A281" s="4"/>
      <c r="B281" s="4"/>
      <c r="C281" s="3"/>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row>
    <row r="282" spans="1:247" ht="12.75" customHeight="1">
      <c r="A282" s="4"/>
      <c r="B282" s="4"/>
      <c r="C282" s="3"/>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row>
    <row r="283" spans="1:247" ht="12.75" customHeight="1">
      <c r="A283" s="4"/>
      <c r="B283" s="4"/>
      <c r="C283" s="3"/>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row>
    <row r="284" spans="1:247" ht="12.75" customHeight="1">
      <c r="A284" s="4"/>
      <c r="B284" s="4"/>
      <c r="C284" s="3"/>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row>
    <row r="285" spans="1:247" ht="12.75" customHeight="1">
      <c r="A285" s="4"/>
      <c r="B285" s="4"/>
      <c r="C285" s="3"/>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row>
    <row r="286" spans="1:247" ht="12.75" customHeight="1">
      <c r="A286" s="4"/>
      <c r="B286" s="4"/>
      <c r="C286" s="3"/>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row>
    <row r="287" spans="1:247" ht="12.75" customHeight="1">
      <c r="A287" s="4"/>
      <c r="B287" s="4"/>
      <c r="C287" s="3"/>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row>
    <row r="288" spans="1:247" ht="12.75" customHeight="1">
      <c r="A288" s="4"/>
      <c r="B288" s="4"/>
      <c r="C288" s="3"/>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row>
    <row r="289" spans="1:247" ht="12.75" customHeight="1">
      <c r="A289" s="4"/>
      <c r="B289" s="4"/>
      <c r="C289" s="3"/>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row>
    <row r="290" spans="1:247" ht="12.75" customHeight="1">
      <c r="A290" s="4"/>
      <c r="B290" s="4"/>
      <c r="C290" s="3"/>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row>
    <row r="291" spans="1:247" ht="12.75" customHeight="1">
      <c r="A291" s="4"/>
      <c r="B291" s="4"/>
      <c r="C291" s="3"/>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row>
    <row r="292" spans="1:247" ht="12.75" customHeight="1">
      <c r="A292" s="4"/>
      <c r="B292" s="4"/>
      <c r="C292" s="3"/>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row>
    <row r="293" spans="1:247" ht="12.75" customHeight="1">
      <c r="A293" s="4"/>
      <c r="B293" s="4"/>
      <c r="C293" s="3"/>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row>
    <row r="294" spans="1:247" ht="12.75" customHeight="1">
      <c r="A294" s="4"/>
      <c r="B294" s="4"/>
      <c r="C294" s="3"/>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row>
    <row r="295" spans="1:247" ht="12.75" customHeight="1">
      <c r="A295" s="4"/>
      <c r="B295" s="4"/>
      <c r="C295" s="3"/>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row>
    <row r="296" spans="1:247" ht="12.75" customHeight="1">
      <c r="A296" s="4"/>
      <c r="B296" s="4"/>
      <c r="C296" s="3"/>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row>
    <row r="297" spans="1:247" ht="12.75" customHeight="1">
      <c r="A297" s="4"/>
      <c r="B297" s="4"/>
      <c r="C297" s="3"/>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row>
    <row r="298" spans="1:247" ht="12.75" customHeight="1">
      <c r="A298" s="4"/>
      <c r="B298" s="4"/>
      <c r="C298" s="3"/>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row>
    <row r="299" spans="1:247" ht="12.75" customHeight="1">
      <c r="A299" s="4"/>
      <c r="B299" s="4"/>
      <c r="C299" s="3"/>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row>
    <row r="300" spans="1:247" ht="12.75" customHeight="1">
      <c r="A300" s="4"/>
      <c r="B300" s="4"/>
      <c r="C300" s="3"/>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row>
    <row r="301" spans="1:247" ht="12.75" customHeight="1">
      <c r="A301" s="4"/>
      <c r="B301" s="4"/>
      <c r="C301" s="3"/>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row>
    <row r="302" spans="1:247" ht="12.75" customHeight="1">
      <c r="A302" s="4"/>
      <c r="B302" s="4"/>
      <c r="C302" s="3"/>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row>
    <row r="303" spans="1:247" ht="12.75" customHeight="1">
      <c r="A303" s="4"/>
      <c r="B303" s="4"/>
      <c r="C303" s="3"/>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row>
    <row r="304" spans="1:247" ht="12.75" customHeight="1">
      <c r="A304" s="4"/>
      <c r="B304" s="4"/>
      <c r="C304" s="3"/>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row>
    <row r="305" spans="1:247" ht="12.75" customHeight="1">
      <c r="A305" s="4"/>
      <c r="B305" s="4"/>
      <c r="C305" s="3"/>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row>
    <row r="306" spans="1:247" ht="12.75" customHeight="1">
      <c r="A306" s="4"/>
      <c r="B306" s="4"/>
      <c r="C306" s="3"/>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row>
    <row r="307" spans="1:247" ht="12.75" customHeight="1">
      <c r="A307" s="4"/>
      <c r="B307" s="4"/>
      <c r="C307" s="3"/>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row>
    <row r="308" spans="1:247" ht="12.75" customHeight="1">
      <c r="A308" s="4"/>
      <c r="B308" s="4"/>
      <c r="C308" s="3"/>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row>
    <row r="309" spans="1:247" ht="12.75" customHeight="1">
      <c r="A309" s="4"/>
      <c r="B309" s="4"/>
      <c r="C309" s="3"/>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row>
    <row r="310" spans="1:247" ht="12.75" customHeight="1">
      <c r="A310" s="4"/>
      <c r="B310" s="4"/>
      <c r="C310" s="3"/>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row>
    <row r="311" spans="1:247" ht="12.75" customHeight="1">
      <c r="A311" s="4"/>
      <c r="B311" s="4"/>
      <c r="C311" s="3"/>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row>
    <row r="312" spans="1:247" ht="12.75" customHeight="1">
      <c r="A312" s="4"/>
      <c r="B312" s="4"/>
      <c r="C312" s="3"/>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row>
    <row r="313" spans="1:247" ht="12.75" customHeight="1">
      <c r="A313" s="4"/>
      <c r="B313" s="4"/>
      <c r="C313" s="3"/>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row>
    <row r="314" spans="1:247" ht="12.75" customHeight="1">
      <c r="A314" s="4"/>
      <c r="B314" s="4"/>
      <c r="C314" s="3"/>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row>
    <row r="315" spans="1:247" ht="12.75" customHeight="1">
      <c r="A315" s="4"/>
      <c r="B315" s="4"/>
      <c r="C315" s="3"/>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row>
    <row r="316" spans="1:247" ht="12.75" customHeight="1">
      <c r="A316" s="4"/>
      <c r="B316" s="4"/>
      <c r="C316" s="3"/>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row>
    <row r="317" spans="1:247" ht="12.75" customHeight="1">
      <c r="A317" s="4"/>
      <c r="B317" s="4"/>
      <c r="C317" s="3"/>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row>
    <row r="318" spans="1:247" ht="12.75" customHeight="1">
      <c r="A318" s="4"/>
      <c r="B318" s="4"/>
      <c r="C318" s="3"/>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row>
    <row r="319" spans="1:247" ht="12.75" customHeight="1">
      <c r="A319" s="4"/>
      <c r="B319" s="4"/>
      <c r="C319" s="3"/>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row>
    <row r="320" spans="1:247" ht="12.75" customHeight="1">
      <c r="A320" s="4"/>
      <c r="B320" s="4"/>
      <c r="C320" s="3"/>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row>
    <row r="321" spans="1:247" ht="12.75" customHeight="1">
      <c r="A321" s="4"/>
      <c r="B321" s="4"/>
      <c r="C321" s="3"/>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row>
    <row r="322" spans="1:247" ht="12.75" customHeight="1">
      <c r="A322" s="4"/>
      <c r="B322" s="4"/>
      <c r="C322" s="3"/>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row>
    <row r="323" spans="1:247" ht="12.75" customHeight="1">
      <c r="A323" s="4"/>
      <c r="B323" s="4"/>
      <c r="C323" s="3"/>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row>
    <row r="324" spans="1:247" ht="12.75" customHeight="1">
      <c r="A324" s="4"/>
      <c r="B324" s="4"/>
      <c r="C324" s="3"/>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row>
    <row r="325" spans="1:247" ht="12.75" customHeight="1">
      <c r="A325" s="4"/>
      <c r="B325" s="4"/>
      <c r="C325" s="3"/>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row>
    <row r="326" spans="1:247" ht="12.75" customHeight="1">
      <c r="A326" s="4"/>
      <c r="B326" s="4"/>
      <c r="C326" s="3"/>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row>
    <row r="327" spans="1:247" ht="12.75" customHeight="1">
      <c r="A327" s="4"/>
      <c r="B327" s="4"/>
      <c r="C327" s="3"/>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row>
    <row r="328" spans="1:247" ht="12.75" customHeight="1">
      <c r="A328" s="4"/>
      <c r="B328" s="4"/>
      <c r="C328" s="3"/>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row>
    <row r="329" spans="1:247" ht="12.75" customHeight="1">
      <c r="A329" s="4"/>
      <c r="B329" s="4"/>
      <c r="C329" s="3"/>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row>
    <row r="330" spans="1:247" ht="12.75" customHeight="1">
      <c r="A330" s="4"/>
      <c r="B330" s="4"/>
      <c r="C330" s="3"/>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row>
    <row r="331" spans="1:247" ht="12.75" customHeight="1">
      <c r="A331" s="4"/>
      <c r="B331" s="4"/>
      <c r="C331" s="3"/>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row>
    <row r="332" spans="1:247" ht="12.75" customHeight="1">
      <c r="A332" s="4"/>
      <c r="B332" s="4"/>
      <c r="C332" s="3"/>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row>
    <row r="333" spans="1:247" ht="12.75" customHeight="1">
      <c r="A333" s="4"/>
      <c r="B333" s="4"/>
      <c r="C333" s="3"/>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row>
    <row r="334" spans="1:247" ht="12.75" customHeight="1">
      <c r="A334" s="4"/>
      <c r="B334" s="4"/>
      <c r="C334" s="3"/>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row>
    <row r="335" spans="1:247" ht="12.75" customHeight="1">
      <c r="A335" s="4"/>
      <c r="B335" s="4"/>
      <c r="C335" s="3"/>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row>
    <row r="336" spans="1:247" ht="12.75" customHeight="1">
      <c r="A336" s="4"/>
      <c r="B336" s="4"/>
      <c r="C336" s="3"/>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row>
    <row r="337" spans="1:247" ht="12.75" customHeight="1">
      <c r="A337" s="4"/>
      <c r="B337" s="4"/>
      <c r="C337" s="3"/>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row>
    <row r="338" spans="1:247" ht="12.75" customHeight="1">
      <c r="A338" s="4"/>
      <c r="B338" s="4"/>
      <c r="C338" s="3"/>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row>
    <row r="339" spans="1:247" ht="12.75" customHeight="1">
      <c r="A339" s="4"/>
      <c r="B339" s="4"/>
      <c r="C339" s="3"/>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row>
    <row r="340" spans="1:247" ht="12.75" customHeight="1">
      <c r="A340" s="4"/>
      <c r="B340" s="4"/>
      <c r="C340" s="3"/>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row>
    <row r="341" spans="1:247" ht="12.75" customHeight="1">
      <c r="A341" s="4"/>
      <c r="B341" s="4"/>
      <c r="C341" s="3"/>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row>
    <row r="342" spans="1:247" ht="12.75" customHeight="1">
      <c r="A342" s="4"/>
      <c r="B342" s="4"/>
      <c r="C342" s="3"/>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row>
    <row r="343" spans="1:247" ht="12.75" customHeight="1">
      <c r="A343" s="4"/>
      <c r="B343" s="4"/>
      <c r="C343" s="3"/>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row>
    <row r="344" spans="1:247" ht="12.75" customHeight="1">
      <c r="A344" s="4"/>
      <c r="B344" s="4"/>
      <c r="C344" s="3"/>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row>
    <row r="345" spans="1:247" ht="12.75" customHeight="1">
      <c r="A345" s="4"/>
      <c r="B345" s="4"/>
      <c r="C345" s="3"/>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row>
    <row r="346" spans="1:247" ht="12.75" customHeight="1">
      <c r="A346" s="4"/>
      <c r="B346" s="4"/>
      <c r="C346" s="3"/>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row>
    <row r="347" spans="1:247" ht="12.75" customHeight="1">
      <c r="A347" s="4"/>
      <c r="B347" s="4"/>
      <c r="C347" s="3"/>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row>
    <row r="348" spans="1:247" ht="12.75" customHeight="1">
      <c r="A348" s="4"/>
      <c r="B348" s="4"/>
      <c r="C348" s="3"/>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row>
    <row r="349" spans="1:247" ht="12.75" customHeight="1">
      <c r="A349" s="4"/>
      <c r="B349" s="4"/>
      <c r="C349" s="3"/>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row>
    <row r="350" spans="1:247" ht="12.75" customHeight="1">
      <c r="A350" s="4"/>
      <c r="B350" s="4"/>
      <c r="C350" s="3"/>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row>
    <row r="351" spans="1:247" ht="12.75" customHeight="1">
      <c r="A351" s="4"/>
      <c r="B351" s="4"/>
      <c r="C351" s="3"/>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row>
    <row r="352" spans="1:247" ht="12.75" customHeight="1">
      <c r="A352" s="4"/>
      <c r="B352" s="4"/>
      <c r="C352" s="3"/>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row>
    <row r="353" spans="1:247" ht="12.75" customHeight="1">
      <c r="A353" s="4"/>
      <c r="B353" s="4"/>
      <c r="C353" s="3"/>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row>
    <row r="354" spans="1:247" ht="12.75" customHeight="1">
      <c r="A354" s="4"/>
      <c r="B354" s="4"/>
      <c r="C354" s="3"/>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row>
    <row r="355" spans="1:247" ht="12.75" customHeight="1">
      <c r="A355" s="4"/>
      <c r="B355" s="4"/>
      <c r="C355" s="3"/>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row>
    <row r="356" spans="1:247" ht="12.75" customHeight="1">
      <c r="A356" s="4"/>
      <c r="B356" s="4"/>
      <c r="C356" s="3"/>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row>
    <row r="357" spans="1:247" ht="12.75" customHeight="1">
      <c r="A357" s="4"/>
      <c r="B357" s="4"/>
      <c r="C357" s="3"/>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row>
    <row r="358" spans="1:247" ht="12.75" customHeight="1">
      <c r="A358" s="4"/>
      <c r="B358" s="4"/>
      <c r="C358" s="3"/>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row>
    <row r="359" spans="1:247" ht="12.75" customHeight="1">
      <c r="A359" s="4"/>
      <c r="B359" s="4"/>
      <c r="C359" s="3"/>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row>
    <row r="360" spans="1:247" ht="12.75" customHeight="1">
      <c r="A360" s="4"/>
      <c r="B360" s="4"/>
      <c r="C360" s="3"/>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row>
    <row r="361" spans="1:247" ht="12.75" customHeight="1">
      <c r="A361" s="4"/>
      <c r="B361" s="4"/>
      <c r="C361" s="3"/>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row>
    <row r="362" spans="1:247" ht="12.75" customHeight="1">
      <c r="A362" s="4"/>
      <c r="B362" s="4"/>
      <c r="C362" s="3"/>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row>
    <row r="363" spans="1:247" ht="12.75" customHeight="1">
      <c r="A363" s="4"/>
      <c r="B363" s="4"/>
      <c r="C363" s="3"/>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row>
    <row r="364" spans="1:247" ht="12.75" customHeight="1">
      <c r="A364" s="4"/>
      <c r="B364" s="4"/>
      <c r="C364" s="3"/>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row>
    <row r="365" spans="1:247" ht="12.75" customHeight="1">
      <c r="A365" s="4"/>
      <c r="B365" s="4"/>
      <c r="C365" s="3"/>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row>
    <row r="366" spans="1:247" ht="12.75" customHeight="1">
      <c r="A366" s="4"/>
      <c r="B366" s="4"/>
      <c r="C366" s="3"/>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row>
    <row r="367" spans="1:247" ht="12.75" customHeight="1">
      <c r="A367" s="4"/>
      <c r="B367" s="4"/>
      <c r="C367" s="3"/>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row>
    <row r="368" spans="1:247" ht="12.75" customHeight="1">
      <c r="A368" s="4"/>
      <c r="B368" s="4"/>
      <c r="C368" s="3"/>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row>
    <row r="369" spans="1:247" ht="12.75" customHeight="1">
      <c r="A369" s="4"/>
      <c r="B369" s="4"/>
      <c r="C369" s="3"/>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row>
    <row r="370" spans="1:247" ht="12.75" customHeight="1">
      <c r="A370" s="4"/>
      <c r="B370" s="4"/>
      <c r="C370" s="3"/>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row>
    <row r="371" spans="1:247" ht="12.75" customHeight="1">
      <c r="A371" s="4"/>
      <c r="B371" s="4"/>
      <c r="C371" s="3"/>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row>
    <row r="372" spans="1:247" ht="12.75" customHeight="1">
      <c r="A372" s="4"/>
      <c r="B372" s="4"/>
      <c r="C372" s="3"/>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row>
    <row r="373" spans="1:247" ht="12.75" customHeight="1">
      <c r="A373" s="4"/>
      <c r="B373" s="4"/>
      <c r="C373" s="3"/>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row>
    <row r="374" spans="1:247" ht="12.75" customHeight="1">
      <c r="A374" s="4"/>
      <c r="B374" s="4"/>
      <c r="C374" s="3"/>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row>
    <row r="375" spans="1:247" ht="12.75" customHeight="1">
      <c r="A375" s="4"/>
      <c r="B375" s="4"/>
      <c r="C375" s="3"/>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row>
    <row r="376" spans="1:247" ht="12.75" customHeight="1">
      <c r="A376" s="4"/>
      <c r="B376" s="4"/>
      <c r="C376" s="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row>
    <row r="377" spans="1:247" ht="12.75" customHeight="1">
      <c r="A377" s="4"/>
      <c r="B377" s="4"/>
      <c r="C377" s="3"/>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row>
    <row r="378" spans="1:247" ht="12.75" customHeight="1">
      <c r="A378" s="4"/>
      <c r="B378" s="4"/>
      <c r="C378" s="3"/>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row>
    <row r="379" spans="1:247" ht="12.75" customHeight="1">
      <c r="A379" s="4"/>
      <c r="B379" s="4"/>
      <c r="C379" s="3"/>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row>
    <row r="380" spans="1:247" ht="12.75" customHeight="1">
      <c r="A380" s="4"/>
      <c r="B380" s="4"/>
      <c r="C380" s="3"/>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row>
    <row r="381" spans="1:247" ht="12.75" customHeight="1">
      <c r="A381" s="4"/>
      <c r="B381" s="4"/>
      <c r="C381" s="3"/>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row>
    <row r="382" spans="1:247" ht="12.75" customHeight="1">
      <c r="A382" s="4"/>
      <c r="B382" s="4"/>
      <c r="C382" s="3"/>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row>
    <row r="383" spans="1:247" ht="12.75" customHeight="1">
      <c r="A383" s="4"/>
      <c r="B383" s="4"/>
      <c r="C383" s="3"/>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row>
    <row r="384" spans="1:247" ht="12.75" customHeight="1">
      <c r="A384" s="4"/>
      <c r="B384" s="4"/>
      <c r="C384" s="3"/>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row>
    <row r="385" spans="1:247" ht="12.75" customHeight="1">
      <c r="A385" s="4"/>
      <c r="B385" s="4"/>
      <c r="C385" s="3"/>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row>
    <row r="386" spans="1:247" ht="12.75" customHeight="1">
      <c r="A386" s="4"/>
      <c r="B386" s="4"/>
      <c r="C386" s="3"/>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row>
    <row r="387" spans="1:247" ht="12.75" customHeight="1">
      <c r="A387" s="4"/>
      <c r="B387" s="4"/>
      <c r="C387" s="3"/>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row>
    <row r="388" spans="1:247" ht="12.75" customHeight="1">
      <c r="A388" s="4"/>
      <c r="B388" s="4"/>
      <c r="C388" s="3"/>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row>
    <row r="389" spans="1:247" ht="12.75" customHeight="1">
      <c r="A389" s="4"/>
      <c r="B389" s="4"/>
      <c r="C389" s="3"/>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row>
    <row r="390" spans="1:247" ht="12.75" customHeight="1">
      <c r="A390" s="4"/>
      <c r="B390" s="4"/>
      <c r="C390" s="3"/>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row>
    <row r="391" spans="1:247" ht="12.75" customHeight="1">
      <c r="A391" s="4"/>
      <c r="B391" s="4"/>
      <c r="C391" s="3"/>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row>
    <row r="392" spans="1:247" ht="12.75" customHeight="1">
      <c r="A392" s="4"/>
      <c r="B392" s="4"/>
      <c r="C392" s="3"/>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row>
    <row r="393" spans="1:247" ht="12.75" customHeight="1">
      <c r="A393" s="4"/>
      <c r="B393" s="4"/>
      <c r="C393" s="3"/>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row>
    <row r="394" spans="1:247" ht="12.75" customHeight="1">
      <c r="A394" s="4"/>
      <c r="B394" s="4"/>
      <c r="C394" s="3"/>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row>
    <row r="395" spans="1:247" ht="12.75" customHeight="1">
      <c r="A395" s="4"/>
      <c r="B395" s="4"/>
      <c r="C395" s="3"/>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row>
    <row r="396" spans="1:247" ht="12.75" customHeight="1">
      <c r="A396" s="4"/>
      <c r="B396" s="4"/>
      <c r="C396" s="3"/>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row>
    <row r="397" spans="1:247" ht="12.75" customHeight="1">
      <c r="A397" s="4"/>
      <c r="B397" s="4"/>
      <c r="C397" s="3"/>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row>
    <row r="398" spans="1:247" ht="12.75" customHeight="1">
      <c r="A398" s="4"/>
      <c r="B398" s="4"/>
      <c r="C398" s="3"/>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row>
    <row r="399" spans="1:247" ht="12.75" customHeight="1">
      <c r="A399" s="4"/>
      <c r="B399" s="4"/>
      <c r="C399" s="3"/>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row>
    <row r="400" spans="1:247" ht="12.75" customHeight="1">
      <c r="A400" s="4"/>
      <c r="B400" s="4"/>
      <c r="C400" s="3"/>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row>
    <row r="401" spans="1:247" ht="12.75" customHeight="1">
      <c r="A401" s="4"/>
      <c r="B401" s="4"/>
      <c r="C401" s="3"/>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row>
    <row r="402" spans="1:247" ht="12.75" customHeight="1">
      <c r="A402" s="4"/>
      <c r="B402" s="4"/>
      <c r="C402" s="3"/>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row>
    <row r="403" spans="1:247" ht="12.75" customHeight="1">
      <c r="A403" s="4"/>
      <c r="B403" s="4"/>
      <c r="C403" s="3"/>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row>
    <row r="404" spans="1:247" ht="12.75" customHeight="1">
      <c r="A404" s="4"/>
      <c r="B404" s="4"/>
      <c r="C404" s="3"/>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row>
    <row r="405" spans="1:247" ht="12.75" customHeight="1">
      <c r="A405" s="4"/>
      <c r="B405" s="4"/>
      <c r="C405" s="3"/>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row>
    <row r="406" spans="1:247" ht="12.75" customHeight="1">
      <c r="A406" s="4"/>
      <c r="B406" s="4"/>
      <c r="C406" s="3"/>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row>
    <row r="407" spans="1:247" ht="12.75" customHeight="1">
      <c r="A407" s="4"/>
      <c r="B407" s="4"/>
      <c r="C407" s="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row>
    <row r="408" spans="1:247" ht="12.75" customHeight="1">
      <c r="A408" s="4"/>
      <c r="B408" s="4"/>
      <c r="C408" s="3"/>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row>
    <row r="409" spans="1:247" ht="12.75" customHeight="1">
      <c r="A409" s="4"/>
      <c r="B409" s="4"/>
      <c r="C409" s="3"/>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row>
    <row r="410" spans="1:247" ht="12.75" customHeight="1">
      <c r="A410" s="4"/>
      <c r="B410" s="4"/>
      <c r="C410" s="3"/>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row>
    <row r="411" spans="1:247" ht="12.75" customHeight="1">
      <c r="A411" s="4"/>
      <c r="B411" s="4"/>
      <c r="C411" s="3"/>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row>
    <row r="412" spans="1:247" ht="12.75" customHeight="1">
      <c r="A412" s="4"/>
      <c r="B412" s="4"/>
      <c r="C412" s="3"/>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row>
    <row r="413" spans="1:247" ht="12.75" customHeight="1">
      <c r="A413" s="4"/>
      <c r="B413" s="4"/>
      <c r="C413" s="3"/>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row>
    <row r="414" spans="1:247" ht="12.75" customHeight="1">
      <c r="A414" s="4"/>
      <c r="B414" s="4"/>
      <c r="C414" s="3"/>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row>
    <row r="415" spans="1:247" ht="12.75" customHeight="1">
      <c r="A415" s="4"/>
      <c r="B415" s="4"/>
      <c r="C415" s="3"/>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row>
    <row r="416" spans="1:247" ht="12.75" customHeight="1">
      <c r="A416" s="4"/>
      <c r="B416" s="4"/>
      <c r="C416" s="3"/>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row>
    <row r="417" spans="1:247" ht="12.75" customHeight="1">
      <c r="A417" s="4"/>
      <c r="B417" s="4"/>
      <c r="C417" s="3"/>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row>
    <row r="418" spans="1:247" ht="12.75" customHeight="1">
      <c r="A418" s="4"/>
      <c r="B418" s="4"/>
      <c r="C418" s="3"/>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row>
    <row r="419" spans="1:247" ht="12.75" customHeight="1">
      <c r="A419" s="4"/>
      <c r="B419" s="4"/>
      <c r="C419" s="3"/>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row>
    <row r="420" spans="1:247" ht="12.75" customHeight="1">
      <c r="A420" s="4"/>
      <c r="B420" s="4"/>
      <c r="C420" s="3"/>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row>
    <row r="421" spans="1:247" ht="12.75" customHeight="1">
      <c r="A421" s="4"/>
      <c r="B421" s="4"/>
      <c r="C421" s="3"/>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row>
    <row r="422" spans="1:247" ht="12.75" customHeight="1">
      <c r="A422" s="4"/>
      <c r="B422" s="4"/>
      <c r="C422" s="3"/>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row>
    <row r="423" spans="1:247" ht="12.75" customHeight="1">
      <c r="A423" s="4"/>
      <c r="B423" s="4"/>
      <c r="C423" s="3"/>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row>
    <row r="424" spans="1:247" ht="12.75" customHeight="1">
      <c r="A424" s="4"/>
      <c r="B424" s="4"/>
      <c r="C424" s="3"/>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row>
    <row r="425" spans="1:247" ht="12.75" customHeight="1">
      <c r="A425" s="4"/>
      <c r="B425" s="4"/>
      <c r="C425" s="3"/>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row>
    <row r="426" spans="1:247" ht="12.75" customHeight="1">
      <c r="A426" s="4"/>
      <c r="B426" s="4"/>
      <c r="C426" s="3"/>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row>
    <row r="427" spans="1:247" ht="12.75" customHeight="1">
      <c r="A427" s="4"/>
      <c r="B427" s="4"/>
      <c r="C427" s="3"/>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row>
    <row r="428" spans="1:247" ht="12.75" customHeight="1">
      <c r="A428" s="4"/>
      <c r="B428" s="4"/>
      <c r="C428" s="3"/>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row>
    <row r="429" spans="1:247" ht="12.75" customHeight="1">
      <c r="A429" s="4"/>
      <c r="B429" s="4"/>
      <c r="C429" s="3"/>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row>
    <row r="430" spans="1:247" ht="12.75" customHeight="1">
      <c r="A430" s="4"/>
      <c r="B430" s="4"/>
      <c r="C430" s="3"/>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row>
    <row r="431" spans="1:247" ht="12.75" customHeight="1">
      <c r="A431" s="4"/>
      <c r="B431" s="4"/>
      <c r="C431" s="3"/>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row>
    <row r="432" spans="1:247" ht="12.75" customHeight="1">
      <c r="A432" s="4"/>
      <c r="B432" s="4"/>
      <c r="C432" s="3"/>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row>
    <row r="433" spans="1:247" ht="12.75" customHeight="1">
      <c r="A433" s="4"/>
      <c r="B433" s="4"/>
      <c r="C433" s="3"/>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row>
    <row r="434" spans="1:247" ht="12.75" customHeight="1">
      <c r="A434" s="4"/>
      <c r="B434" s="4"/>
      <c r="C434" s="3"/>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row>
    <row r="435" spans="1:247" ht="12.75" customHeight="1">
      <c r="A435" s="4"/>
      <c r="B435" s="4"/>
      <c r="C435" s="3"/>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row>
    <row r="436" spans="1:247" ht="12.75" customHeight="1">
      <c r="A436" s="4"/>
      <c r="B436" s="4"/>
      <c r="C436" s="3"/>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row>
    <row r="437" spans="1:247" ht="12.75" customHeight="1">
      <c r="A437" s="4"/>
      <c r="B437" s="4"/>
      <c r="C437" s="3"/>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row>
    <row r="438" spans="1:247" ht="12.75" customHeight="1">
      <c r="A438" s="4"/>
      <c r="B438" s="4"/>
      <c r="C438" s="3"/>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row>
    <row r="439" spans="1:247" ht="12.75" customHeight="1">
      <c r="A439" s="4"/>
      <c r="B439" s="4"/>
      <c r="C439" s="3"/>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row>
    <row r="440" spans="1:247" ht="12.75" customHeight="1">
      <c r="A440" s="4"/>
      <c r="B440" s="4"/>
      <c r="C440" s="3"/>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row>
    <row r="441" spans="1:247" ht="12.75" customHeight="1">
      <c r="A441" s="4"/>
      <c r="B441" s="4"/>
      <c r="C441" s="3"/>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row>
    <row r="442" spans="1:247" ht="12.75" customHeight="1">
      <c r="A442" s="4"/>
      <c r="B442" s="4"/>
      <c r="C442" s="3"/>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row>
    <row r="443" spans="1:247" ht="12.75" customHeight="1">
      <c r="A443" s="4"/>
      <c r="B443" s="4"/>
      <c r="C443" s="3"/>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row>
    <row r="444" spans="1:247" ht="12.75" customHeight="1">
      <c r="A444" s="4"/>
      <c r="B444" s="4"/>
      <c r="C444" s="3"/>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row>
    <row r="445" spans="1:247" ht="12.75" customHeight="1">
      <c r="A445" s="4"/>
      <c r="B445" s="4"/>
      <c r="C445" s="3"/>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row>
    <row r="446" spans="1:247" ht="12.75" customHeight="1">
      <c r="A446" s="4"/>
      <c r="B446" s="4"/>
      <c r="C446" s="3"/>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row>
    <row r="447" spans="1:247" ht="12.75" customHeight="1">
      <c r="A447" s="4"/>
      <c r="B447" s="4"/>
      <c r="C447" s="3"/>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row>
    <row r="448" spans="1:247" ht="12.75" customHeight="1">
      <c r="A448" s="4"/>
      <c r="B448" s="4"/>
      <c r="C448" s="3"/>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row>
    <row r="449" spans="1:247" ht="12.75" customHeight="1">
      <c r="A449" s="4"/>
      <c r="B449" s="4"/>
      <c r="C449" s="3"/>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row>
    <row r="450" spans="1:247" ht="12.75" customHeight="1">
      <c r="A450" s="4"/>
      <c r="B450" s="4"/>
      <c r="C450" s="3"/>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row>
    <row r="451" spans="1:247" ht="12.75" customHeight="1">
      <c r="A451" s="4"/>
      <c r="B451" s="4"/>
      <c r="C451" s="3"/>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row>
    <row r="452" spans="1:247" ht="12.75" customHeight="1">
      <c r="A452" s="4"/>
      <c r="B452" s="4"/>
      <c r="C452" s="3"/>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row>
    <row r="453" spans="1:247" ht="12.75" customHeight="1">
      <c r="A453" s="4"/>
      <c r="B453" s="4"/>
      <c r="C453" s="3"/>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row>
    <row r="454" spans="1:247" ht="12.75" customHeight="1">
      <c r="A454" s="4"/>
      <c r="B454" s="4"/>
      <c r="C454" s="3"/>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row>
    <row r="455" spans="1:247" ht="12.75" customHeight="1">
      <c r="A455" s="4"/>
      <c r="B455" s="4"/>
      <c r="C455" s="3"/>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row>
    <row r="456" spans="1:247" ht="12.75" customHeight="1">
      <c r="A456" s="4"/>
      <c r="B456" s="4"/>
      <c r="C456" s="3"/>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row>
    <row r="457" spans="1:247" ht="12.75" customHeight="1">
      <c r="A457" s="4"/>
      <c r="B457" s="4"/>
      <c r="C457" s="3"/>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row>
    <row r="458" spans="1:247" ht="12.75" customHeight="1">
      <c r="A458" s="4"/>
      <c r="B458" s="4"/>
      <c r="C458" s="3"/>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row>
    <row r="459" spans="1:247" ht="12.75" customHeight="1">
      <c r="A459" s="4"/>
      <c r="B459" s="4"/>
      <c r="C459" s="3"/>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row>
    <row r="460" spans="1:247" ht="12.75" customHeight="1">
      <c r="A460" s="4"/>
      <c r="B460" s="4"/>
      <c r="C460" s="3"/>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row>
    <row r="461" spans="1:247" ht="12.75" customHeight="1">
      <c r="A461" s="4"/>
      <c r="B461" s="4"/>
      <c r="C461" s="3"/>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row>
    <row r="462" spans="1:247" ht="12.75" customHeight="1">
      <c r="A462" s="4"/>
      <c r="B462" s="4"/>
      <c r="C462" s="3"/>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row>
    <row r="463" spans="1:247" ht="12.75" customHeight="1">
      <c r="A463" s="4"/>
      <c r="B463" s="4"/>
      <c r="C463" s="3"/>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row>
    <row r="464" spans="1:247" ht="12.75" customHeight="1">
      <c r="A464" s="4"/>
      <c r="B464" s="4"/>
      <c r="C464" s="3"/>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row>
    <row r="465" spans="1:247" ht="12.75" customHeight="1">
      <c r="A465" s="4"/>
      <c r="B465" s="4"/>
      <c r="C465" s="3"/>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row>
    <row r="466" spans="1:247" ht="12.75" customHeight="1">
      <c r="A466" s="4"/>
      <c r="B466" s="4"/>
      <c r="C466" s="3"/>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row>
    <row r="467" spans="1:247" ht="12.75" customHeight="1">
      <c r="A467" s="4"/>
      <c r="B467" s="4"/>
      <c r="C467" s="3"/>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row>
    <row r="468" spans="1:247" ht="12.75" customHeight="1">
      <c r="A468" s="4"/>
      <c r="B468" s="4"/>
      <c r="C468" s="3"/>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row>
    <row r="469" spans="1:247" ht="12.75" customHeight="1">
      <c r="A469" s="4"/>
      <c r="B469" s="4"/>
      <c r="C469" s="3"/>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row>
    <row r="470" spans="1:247" ht="12.75" customHeight="1">
      <c r="A470" s="4"/>
      <c r="B470" s="4"/>
      <c r="C470" s="3"/>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row>
    <row r="471" spans="1:247" ht="12.75" customHeight="1">
      <c r="A471" s="4"/>
      <c r="B471" s="4"/>
      <c r="C471" s="3"/>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row>
    <row r="472" spans="1:247" ht="12.75" customHeight="1">
      <c r="A472" s="4"/>
      <c r="B472" s="4"/>
      <c r="C472" s="3"/>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row>
    <row r="473" spans="1:247" ht="12.75" customHeight="1">
      <c r="A473" s="4"/>
      <c r="B473" s="4"/>
      <c r="C473" s="3"/>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row>
    <row r="474" spans="1:247" ht="12.75" customHeight="1">
      <c r="A474" s="4"/>
      <c r="B474" s="4"/>
      <c r="C474" s="3"/>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row>
    <row r="475" spans="1:247" ht="12.75" customHeight="1">
      <c r="A475" s="4"/>
      <c r="B475" s="4"/>
      <c r="C475" s="3"/>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row>
    <row r="476" spans="1:247" ht="12.75" customHeight="1">
      <c r="A476" s="4"/>
      <c r="B476" s="4"/>
      <c r="C476" s="3"/>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row>
    <row r="477" spans="1:247" ht="12.75" customHeight="1">
      <c r="A477" s="4"/>
      <c r="B477" s="4"/>
      <c r="C477" s="3"/>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row>
    <row r="478" spans="1:247" ht="12.75" customHeight="1">
      <c r="A478" s="4"/>
      <c r="B478" s="4"/>
      <c r="C478" s="3"/>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row>
    <row r="479" spans="1:247" ht="12.75" customHeight="1">
      <c r="A479" s="4"/>
      <c r="B479" s="4"/>
      <c r="C479" s="3"/>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row>
    <row r="480" spans="1:247" ht="12.75" customHeight="1">
      <c r="A480" s="4"/>
      <c r="B480" s="4"/>
      <c r="C480" s="3"/>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row>
    <row r="481" spans="1:247" ht="12.75" customHeight="1">
      <c r="A481" s="4"/>
      <c r="B481" s="4"/>
      <c r="C481" s="3"/>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row>
    <row r="482" spans="1:247" ht="12.75" customHeight="1">
      <c r="A482" s="4"/>
      <c r="B482" s="4"/>
      <c r="C482" s="3"/>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row>
    <row r="483" spans="1:247" ht="12.75" customHeight="1">
      <c r="A483" s="4"/>
      <c r="B483" s="4"/>
      <c r="C483" s="3"/>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row>
    <row r="484" spans="1:247" ht="12.75" customHeight="1">
      <c r="A484" s="4"/>
      <c r="B484" s="4"/>
      <c r="C484" s="3"/>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row>
    <row r="485" spans="1:247" ht="12.75" customHeight="1">
      <c r="A485" s="4"/>
      <c r="B485" s="4"/>
      <c r="C485" s="3"/>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row>
    <row r="486" spans="1:247" ht="12.75" customHeight="1">
      <c r="A486" s="4"/>
      <c r="B486" s="4"/>
      <c r="C486" s="3"/>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row>
    <row r="487" spans="1:247" ht="12.75" customHeight="1">
      <c r="A487" s="4"/>
      <c r="B487" s="4"/>
      <c r="C487" s="3"/>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row>
    <row r="488" spans="1:247" ht="12.75" customHeight="1">
      <c r="A488" s="4"/>
      <c r="B488" s="4"/>
      <c r="C488" s="3"/>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row>
    <row r="489" spans="1:247" ht="12.75" customHeight="1">
      <c r="A489" s="4"/>
      <c r="B489" s="4"/>
      <c r="C489" s="3"/>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row>
    <row r="490" spans="1:247" ht="12.75" customHeight="1">
      <c r="A490" s="4"/>
      <c r="B490" s="4"/>
      <c r="C490" s="3"/>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row>
    <row r="491" spans="1:247" ht="12.75" customHeight="1">
      <c r="A491" s="4"/>
      <c r="B491" s="4"/>
      <c r="C491" s="3"/>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row>
    <row r="492" spans="1:247" ht="12.75" customHeight="1">
      <c r="A492" s="4"/>
      <c r="B492" s="4"/>
      <c r="C492" s="3"/>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row>
    <row r="493" spans="1:247" ht="12.75" customHeight="1">
      <c r="A493" s="4"/>
      <c r="B493" s="4"/>
      <c r="C493" s="3"/>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row>
    <row r="494" spans="1:247" ht="12.75" customHeight="1">
      <c r="A494" s="4"/>
      <c r="B494" s="4"/>
      <c r="C494" s="3"/>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row>
    <row r="495" spans="1:247" ht="12.75" customHeight="1">
      <c r="A495" s="4"/>
      <c r="B495" s="4"/>
      <c r="C495" s="3"/>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row>
    <row r="496" spans="1:247" ht="12.75" customHeight="1">
      <c r="A496" s="4"/>
      <c r="B496" s="4"/>
      <c r="C496" s="3"/>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row>
    <row r="497" spans="1:247" ht="12.75" customHeight="1">
      <c r="A497" s="4"/>
      <c r="B497" s="4"/>
      <c r="C497" s="3"/>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row>
    <row r="498" spans="1:247" ht="12.75" customHeight="1">
      <c r="A498" s="4"/>
      <c r="B498" s="4"/>
      <c r="C498" s="3"/>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row>
    <row r="499" spans="1:247" ht="12.75" customHeight="1">
      <c r="A499" s="4"/>
      <c r="B499" s="4"/>
      <c r="C499" s="3"/>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row>
    <row r="500" spans="1:247" ht="12.75" customHeight="1">
      <c r="A500" s="4"/>
      <c r="B500" s="4"/>
      <c r="C500" s="3"/>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row>
    <row r="501" spans="1:247" ht="12.75" customHeight="1">
      <c r="A501" s="4"/>
      <c r="B501" s="4"/>
      <c r="C501" s="3"/>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row>
    <row r="502" spans="1:247" ht="12.75" customHeight="1">
      <c r="A502" s="4"/>
      <c r="B502" s="4"/>
      <c r="C502" s="3"/>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row>
    <row r="503" spans="1:247" ht="12.75" customHeight="1">
      <c r="A503" s="4"/>
      <c r="B503" s="4"/>
      <c r="C503" s="3"/>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row>
    <row r="504" spans="1:247" ht="12.75" customHeight="1">
      <c r="A504" s="4"/>
      <c r="B504" s="4"/>
      <c r="C504" s="3"/>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row>
    <row r="505" spans="1:247" ht="12.75" customHeight="1">
      <c r="A505" s="4"/>
      <c r="B505" s="4"/>
      <c r="C505" s="3"/>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row>
    <row r="506" spans="1:247" ht="12.75" customHeight="1">
      <c r="A506" s="4"/>
      <c r="B506" s="4"/>
      <c r="C506" s="3"/>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row>
    <row r="507" spans="1:247" ht="12.75" customHeight="1">
      <c r="A507" s="4"/>
      <c r="B507" s="4"/>
      <c r="C507" s="3"/>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row>
    <row r="508" spans="1:247" ht="12.75" customHeight="1">
      <c r="A508" s="4"/>
      <c r="B508" s="4"/>
      <c r="C508" s="3"/>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row>
    <row r="509" spans="1:247" ht="12.75" customHeight="1">
      <c r="A509" s="4"/>
      <c r="B509" s="4"/>
      <c r="C509" s="3"/>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row>
    <row r="510" spans="1:247" ht="12.75" customHeight="1">
      <c r="A510" s="4"/>
      <c r="B510" s="4"/>
      <c r="C510" s="3"/>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row>
    <row r="511" spans="1:247" ht="12.75" customHeight="1">
      <c r="A511" s="4"/>
      <c r="B511" s="4"/>
      <c r="C511" s="3"/>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row>
    <row r="512" spans="1:247" ht="12.75" customHeight="1">
      <c r="A512" s="4"/>
      <c r="B512" s="4"/>
      <c r="C512" s="3"/>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row>
    <row r="513" spans="1:247" ht="12.75" customHeight="1">
      <c r="A513" s="4"/>
      <c r="B513" s="4"/>
      <c r="C513" s="3"/>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row>
    <row r="514" spans="1:247" ht="12.75" customHeight="1">
      <c r="A514" s="4"/>
      <c r="B514" s="4"/>
      <c r="C514" s="3"/>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row>
    <row r="515" spans="1:247" ht="12.75" customHeight="1">
      <c r="A515" s="4"/>
      <c r="B515" s="4"/>
      <c r="C515" s="3"/>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row>
    <row r="516" spans="1:247" ht="12.75" customHeight="1">
      <c r="A516" s="4"/>
      <c r="B516" s="4"/>
      <c r="C516" s="3"/>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row>
    <row r="517" spans="1:247" ht="12.75" customHeight="1">
      <c r="A517" s="4"/>
      <c r="B517" s="4"/>
      <c r="C517" s="3"/>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row>
    <row r="518" spans="1:247" ht="12.75" customHeight="1">
      <c r="A518" s="4"/>
      <c r="B518" s="4"/>
      <c r="C518" s="3"/>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row>
    <row r="519" spans="1:247" ht="12.75" customHeight="1">
      <c r="A519" s="4"/>
      <c r="B519" s="4"/>
      <c r="C519" s="3"/>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row>
    <row r="520" spans="1:247" ht="12.75" customHeight="1">
      <c r="A520" s="4"/>
      <c r="B520" s="4"/>
      <c r="C520" s="3"/>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row>
    <row r="521" spans="1:247" ht="12.75" customHeight="1">
      <c r="A521" s="4"/>
      <c r="B521" s="4"/>
      <c r="C521" s="3"/>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row>
    <row r="522" spans="1:247" ht="12.75" customHeight="1">
      <c r="A522" s="4"/>
      <c r="B522" s="4"/>
      <c r="C522" s="3"/>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row>
    <row r="523" spans="1:247" ht="12.75" customHeight="1">
      <c r="A523" s="4"/>
      <c r="B523" s="4"/>
      <c r="C523" s="3"/>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row>
    <row r="524" spans="1:247" ht="12.75" customHeight="1">
      <c r="A524" s="4"/>
      <c r="B524" s="4"/>
      <c r="C524" s="3"/>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row>
    <row r="525" spans="1:247" ht="12.75" customHeight="1">
      <c r="A525" s="4"/>
      <c r="B525" s="4"/>
      <c r="C525" s="3"/>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row>
    <row r="526" spans="1:247" ht="12.75" customHeight="1">
      <c r="A526" s="4"/>
      <c r="B526" s="4"/>
      <c r="C526" s="3"/>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row>
    <row r="527" spans="1:247" ht="12.75" customHeight="1">
      <c r="A527" s="4"/>
      <c r="B527" s="4"/>
      <c r="C527" s="3"/>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row>
    <row r="528" spans="1:247" ht="12.75" customHeight="1">
      <c r="A528" s="4"/>
      <c r="B528" s="4"/>
      <c r="C528" s="3"/>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row>
    <row r="529" spans="1:247" ht="12.75" customHeight="1">
      <c r="A529" s="4"/>
      <c r="B529" s="4"/>
      <c r="C529" s="3"/>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row>
    <row r="530" spans="1:247" ht="12.75" customHeight="1">
      <c r="A530" s="4"/>
      <c r="B530" s="4"/>
      <c r="C530" s="3"/>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row>
    <row r="531" spans="1:247" ht="12.75" customHeight="1">
      <c r="A531" s="4"/>
      <c r="B531" s="4"/>
      <c r="C531" s="3"/>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row>
    <row r="532" spans="1:247" ht="12.75" customHeight="1">
      <c r="A532" s="4"/>
      <c r="B532" s="4"/>
      <c r="C532" s="3"/>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row>
    <row r="533" spans="1:247" ht="12.75" customHeight="1">
      <c r="A533" s="4"/>
      <c r="B533" s="4"/>
      <c r="C533" s="3"/>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row>
    <row r="534" spans="1:247" ht="12.75" customHeight="1">
      <c r="A534" s="4"/>
      <c r="B534" s="4"/>
      <c r="C534" s="3"/>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row>
    <row r="535" spans="1:247" ht="12.75" customHeight="1">
      <c r="A535" s="4"/>
      <c r="B535" s="4"/>
      <c r="C535" s="3"/>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row>
    <row r="536" spans="1:247" ht="12.75" customHeight="1">
      <c r="A536" s="4"/>
      <c r="B536" s="4"/>
      <c r="C536" s="3"/>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row>
    <row r="537" spans="1:247" ht="12.75" customHeight="1">
      <c r="A537" s="4"/>
      <c r="B537" s="4"/>
      <c r="C537" s="3"/>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row>
    <row r="538" spans="1:247" ht="12.75" customHeight="1">
      <c r="A538" s="4"/>
      <c r="B538" s="4"/>
      <c r="C538" s="3"/>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row>
    <row r="539" spans="1:247" ht="12.75" customHeight="1">
      <c r="A539" s="4"/>
      <c r="B539" s="4"/>
      <c r="C539" s="3"/>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row>
    <row r="540" spans="1:247" ht="12.75" customHeight="1">
      <c r="A540" s="4"/>
      <c r="B540" s="4"/>
      <c r="C540" s="3"/>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row>
    <row r="541" spans="1:247" ht="12.75" customHeight="1">
      <c r="A541" s="4"/>
      <c r="B541" s="4"/>
      <c r="C541" s="3"/>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row>
    <row r="542" spans="1:247" ht="12.75" customHeight="1">
      <c r="A542" s="4"/>
      <c r="B542" s="4"/>
      <c r="C542" s="3"/>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row>
    <row r="543" spans="1:247" ht="12.75" customHeight="1">
      <c r="A543" s="4"/>
      <c r="B543" s="4"/>
      <c r="C543" s="3"/>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row>
    <row r="544" spans="1:247" ht="12.75" customHeight="1">
      <c r="A544" s="4"/>
      <c r="B544" s="4"/>
      <c r="C544" s="3"/>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row>
    <row r="545" spans="1:247" ht="12.75" customHeight="1">
      <c r="A545" s="4"/>
      <c r="B545" s="4"/>
      <c r="C545" s="3"/>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row>
    <row r="546" spans="1:247" ht="12.75" customHeight="1">
      <c r="A546" s="4"/>
      <c r="B546" s="4"/>
      <c r="C546" s="3"/>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row>
    <row r="547" spans="1:247" ht="12.75" customHeight="1">
      <c r="A547" s="4"/>
      <c r="B547" s="4"/>
      <c r="C547" s="3"/>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row>
    <row r="548" spans="1:247" ht="12.75" customHeight="1">
      <c r="A548" s="4"/>
      <c r="B548" s="4"/>
      <c r="C548" s="3"/>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row>
    <row r="549" spans="1:247" ht="12.75" customHeight="1">
      <c r="A549" s="4"/>
      <c r="B549" s="4"/>
      <c r="C549" s="3"/>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row>
    <row r="550" spans="1:247" ht="12.75" customHeight="1">
      <c r="A550" s="4"/>
      <c r="B550" s="4"/>
      <c r="C550" s="3"/>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row>
    <row r="551" spans="1:247" ht="12.75" customHeight="1">
      <c r="A551" s="4"/>
      <c r="B551" s="4"/>
      <c r="C551" s="3"/>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row>
    <row r="552" spans="1:247" ht="12.75" customHeight="1">
      <c r="A552" s="4"/>
      <c r="B552" s="4"/>
      <c r="C552" s="3"/>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row>
    <row r="553" spans="1:247" ht="12.75" customHeight="1">
      <c r="A553" s="4"/>
      <c r="B553" s="4"/>
      <c r="C553" s="3"/>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row>
    <row r="554" spans="1:247" ht="12.75" customHeight="1">
      <c r="A554" s="4"/>
      <c r="B554" s="4"/>
      <c r="C554" s="3"/>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row>
    <row r="555" spans="1:247" ht="12.75" customHeight="1">
      <c r="A555" s="4"/>
      <c r="B555" s="4"/>
      <c r="C555" s="3"/>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row>
    <row r="556" spans="1:247" ht="12.75" customHeight="1">
      <c r="A556" s="4"/>
      <c r="B556" s="4"/>
      <c r="C556" s="3"/>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row>
    <row r="557" spans="1:247" ht="12.75" customHeight="1">
      <c r="A557" s="4"/>
      <c r="B557" s="4"/>
      <c r="C557" s="3"/>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row>
    <row r="558" spans="1:247" ht="12.75" customHeight="1">
      <c r="A558" s="4"/>
      <c r="B558" s="4"/>
      <c r="C558" s="3"/>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row>
    <row r="559" spans="1:247" ht="12.75" customHeight="1">
      <c r="A559" s="4"/>
      <c r="B559" s="4"/>
      <c r="C559" s="3"/>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row>
    <row r="560" spans="1:247" ht="12.75" customHeight="1">
      <c r="A560" s="4"/>
      <c r="B560" s="4"/>
      <c r="C560" s="3"/>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row>
    <row r="561" spans="1:247" ht="12.75" customHeight="1">
      <c r="A561" s="4"/>
      <c r="B561" s="4"/>
      <c r="C561" s="3"/>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row>
    <row r="562" spans="1:247" ht="12.75" customHeight="1">
      <c r="A562" s="4"/>
      <c r="B562" s="4"/>
      <c r="C562" s="3"/>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row>
    <row r="563" spans="1:247" ht="12.75" customHeight="1">
      <c r="A563" s="4"/>
      <c r="B563" s="4"/>
      <c r="C563" s="3"/>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row>
    <row r="564" spans="1:247" ht="12.75" customHeight="1">
      <c r="A564" s="4"/>
      <c r="B564" s="4"/>
      <c r="C564" s="3"/>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row>
    <row r="565" spans="1:247" ht="12.75" customHeight="1">
      <c r="A565" s="4"/>
      <c r="B565" s="4"/>
      <c r="C565" s="3"/>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row>
    <row r="566" spans="1:247" ht="12.75" customHeight="1">
      <c r="A566" s="4"/>
      <c r="B566" s="4"/>
      <c r="C566" s="3"/>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row>
    <row r="567" spans="1:247" ht="12.75" customHeight="1">
      <c r="A567" s="4"/>
      <c r="B567" s="4"/>
      <c r="C567" s="3"/>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row>
    <row r="568" spans="1:247" ht="12.75" customHeight="1">
      <c r="A568" s="4"/>
      <c r="B568" s="4"/>
      <c r="C568" s="3"/>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row>
    <row r="569" spans="1:247" ht="12.75" customHeight="1">
      <c r="A569" s="4"/>
      <c r="B569" s="4"/>
      <c r="C569" s="3"/>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row>
    <row r="570" spans="1:247" ht="12.75" customHeight="1">
      <c r="A570" s="4"/>
      <c r="B570" s="4"/>
      <c r="C570" s="3"/>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row>
    <row r="571" spans="1:247" ht="12.75" customHeight="1">
      <c r="A571" s="4"/>
      <c r="B571" s="4"/>
      <c r="C571" s="3"/>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row>
    <row r="572" spans="1:247" ht="12.75" customHeight="1">
      <c r="A572" s="4"/>
      <c r="B572" s="4"/>
      <c r="C572" s="3"/>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row>
    <row r="573" spans="1:247" ht="12.75" customHeight="1">
      <c r="A573" s="4"/>
      <c r="B573" s="4"/>
      <c r="C573" s="3"/>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row>
    <row r="574" spans="1:247" ht="12.75" customHeight="1">
      <c r="A574" s="4"/>
      <c r="B574" s="4"/>
      <c r="C574" s="3"/>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row>
    <row r="575" spans="1:247" ht="12.75" customHeight="1">
      <c r="A575" s="4"/>
      <c r="B575" s="4"/>
      <c r="C575" s="3"/>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row>
    <row r="576" spans="1:247" ht="12.75" customHeight="1">
      <c r="A576" s="4"/>
      <c r="B576" s="4"/>
      <c r="C576" s="3"/>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row>
    <row r="577" spans="1:247" ht="12.75" customHeight="1">
      <c r="A577" s="4"/>
      <c r="B577" s="4"/>
      <c r="C577" s="3"/>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row>
    <row r="578" spans="1:247" ht="12.75" customHeight="1">
      <c r="A578" s="4"/>
      <c r="B578" s="4"/>
      <c r="C578" s="3"/>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row>
    <row r="579" spans="1:247" ht="12.75" customHeight="1">
      <c r="A579" s="4"/>
      <c r="B579" s="4"/>
      <c r="C579" s="3"/>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row>
    <row r="580" spans="1:247" ht="12.75" customHeight="1">
      <c r="A580" s="4"/>
      <c r="B580" s="4"/>
      <c r="C580" s="3"/>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row>
    <row r="581" spans="1:247" ht="12.75" customHeight="1">
      <c r="A581" s="4"/>
      <c r="B581" s="4"/>
      <c r="C581" s="3"/>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row>
    <row r="582" spans="1:247" ht="12.75" customHeight="1">
      <c r="A582" s="4"/>
      <c r="B582" s="4"/>
      <c r="C582" s="3"/>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row>
    <row r="583" spans="1:247" ht="12.75" customHeight="1">
      <c r="A583" s="4"/>
      <c r="B583" s="4"/>
      <c r="C583" s="3"/>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row>
    <row r="584" spans="1:247" ht="12.75" customHeight="1">
      <c r="A584" s="4"/>
      <c r="B584" s="4"/>
      <c r="C584" s="3"/>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row>
    <row r="585" spans="1:247" ht="12.75" customHeight="1">
      <c r="A585" s="4"/>
      <c r="B585" s="4"/>
      <c r="C585" s="3"/>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row>
    <row r="586" spans="1:247" ht="12.75" customHeight="1">
      <c r="A586" s="4"/>
      <c r="B586" s="4"/>
      <c r="C586" s="3"/>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row>
    <row r="587" spans="1:247" ht="12.75" customHeight="1">
      <c r="A587" s="4"/>
      <c r="B587" s="4"/>
      <c r="C587" s="3"/>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row>
    <row r="588" spans="1:247" ht="12.75" customHeight="1">
      <c r="A588" s="4"/>
      <c r="B588" s="4"/>
      <c r="C588" s="3"/>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row>
    <row r="589" spans="1:247" ht="12.75" customHeight="1">
      <c r="A589" s="4"/>
      <c r="B589" s="4"/>
      <c r="C589" s="3"/>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row>
    <row r="590" spans="1:247" ht="12.75" customHeight="1">
      <c r="A590" s="4"/>
      <c r="B590" s="4"/>
      <c r="C590" s="3"/>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row>
    <row r="591" spans="1:247" ht="12.75" customHeight="1">
      <c r="A591" s="4"/>
      <c r="B591" s="4"/>
      <c r="C591" s="3"/>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row>
    <row r="592" spans="1:247" ht="12.75" customHeight="1">
      <c r="A592" s="4"/>
      <c r="B592" s="4"/>
      <c r="C592" s="3"/>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row>
    <row r="593" spans="1:247" ht="12.75" customHeight="1">
      <c r="A593" s="4"/>
      <c r="B593" s="4"/>
      <c r="C593" s="3"/>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row>
    <row r="594" spans="1:247" ht="12.75" customHeight="1">
      <c r="A594" s="4"/>
      <c r="B594" s="4"/>
      <c r="C594" s="3"/>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row>
    <row r="595" spans="1:247" ht="12.75" customHeight="1">
      <c r="A595" s="4"/>
      <c r="B595" s="4"/>
      <c r="C595" s="3"/>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row>
    <row r="596" spans="1:247" ht="12.75" customHeight="1">
      <c r="A596" s="4"/>
      <c r="B596" s="4"/>
      <c r="C596" s="3"/>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row>
    <row r="597" spans="1:247" ht="12.75" customHeight="1">
      <c r="A597" s="4"/>
      <c r="B597" s="4"/>
      <c r="C597" s="3"/>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row>
    <row r="598" spans="1:247" ht="12.75" customHeight="1">
      <c r="A598" s="4"/>
      <c r="B598" s="4"/>
      <c r="C598" s="3"/>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row>
    <row r="599" spans="1:247" ht="12.75" customHeight="1">
      <c r="A599" s="4"/>
      <c r="B599" s="4"/>
      <c r="C599" s="3"/>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row>
    <row r="600" spans="1:247" ht="12.75" customHeight="1">
      <c r="A600" s="4"/>
      <c r="B600" s="4"/>
      <c r="C600" s="3"/>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row>
    <row r="601" spans="1:247" ht="12.75" customHeight="1">
      <c r="A601" s="4"/>
      <c r="B601" s="4"/>
      <c r="C601" s="3"/>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row>
    <row r="602" spans="1:247" ht="12.75" customHeight="1">
      <c r="A602" s="4"/>
      <c r="B602" s="4"/>
      <c r="C602" s="3"/>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row>
    <row r="603" spans="1:247" ht="12.75" customHeight="1">
      <c r="A603" s="4"/>
      <c r="B603" s="4"/>
      <c r="C603" s="3"/>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row>
    <row r="604" spans="1:247" ht="12.75" customHeight="1">
      <c r="A604" s="4"/>
      <c r="B604" s="4"/>
      <c r="C604" s="3"/>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row>
    <row r="605" spans="1:247" ht="12.75" customHeight="1">
      <c r="A605" s="4"/>
      <c r="B605" s="4"/>
      <c r="C605" s="3"/>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row>
    <row r="606" spans="1:247" ht="12.75" customHeight="1">
      <c r="A606" s="4"/>
      <c r="B606" s="4"/>
      <c r="C606" s="3"/>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row>
    <row r="607" spans="1:247" ht="12.75" customHeight="1">
      <c r="A607" s="4"/>
      <c r="B607" s="4"/>
      <c r="C607" s="3"/>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row>
    <row r="608" spans="1:247" ht="12.75" customHeight="1">
      <c r="A608" s="4"/>
      <c r="B608" s="4"/>
      <c r="C608" s="3"/>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row>
    <row r="609" spans="1:247" ht="12.75" customHeight="1">
      <c r="A609" s="4"/>
      <c r="B609" s="4"/>
      <c r="C609" s="3"/>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row>
    <row r="610" spans="1:247" ht="12.75" customHeight="1">
      <c r="A610" s="4"/>
      <c r="B610" s="4"/>
      <c r="C610" s="3"/>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row>
    <row r="611" spans="1:247" ht="12.75" customHeight="1">
      <c r="A611" s="4"/>
      <c r="B611" s="4"/>
      <c r="C611" s="3"/>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row>
    <row r="612" spans="1:247" ht="12.75" customHeight="1">
      <c r="A612" s="4"/>
      <c r="B612" s="4"/>
      <c r="C612" s="3"/>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row>
    <row r="613" spans="1:247" ht="12.75" customHeight="1">
      <c r="A613" s="4"/>
      <c r="B613" s="4"/>
      <c r="C613" s="3"/>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row>
    <row r="614" spans="1:247" ht="12.75" customHeight="1">
      <c r="A614" s="4"/>
      <c r="B614" s="4"/>
      <c r="C614" s="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row>
    <row r="615" spans="1:247" ht="12.75" customHeight="1">
      <c r="A615" s="4"/>
      <c r="B615" s="4"/>
      <c r="C615" s="3"/>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row>
    <row r="616" spans="1:247" ht="12.75" customHeight="1">
      <c r="A616" s="4"/>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row>
    <row r="617" spans="1:247" ht="12.75" customHeight="1">
      <c r="A617" s="4"/>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row>
    <row r="618" spans="1:247" ht="12.75" customHeight="1">
      <c r="A618" s="4"/>
      <c r="B618" s="4"/>
      <c r="C618" s="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row>
    <row r="619" spans="1:247" ht="12.75" customHeight="1">
      <c r="A619" s="4"/>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row>
    <row r="620" spans="1:247" ht="12.75" customHeight="1">
      <c r="A620" s="4"/>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row>
    <row r="621" spans="1:247" ht="12.75" customHeight="1">
      <c r="A621" s="4"/>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row>
    <row r="622" spans="1:247" ht="12.75" customHeight="1">
      <c r="A622" s="4"/>
      <c r="B622" s="4"/>
      <c r="C622" s="3"/>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row>
    <row r="623" spans="1:247" ht="12.75" customHeight="1">
      <c r="A623" s="4"/>
      <c r="B623" s="4"/>
      <c r="C623" s="3"/>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row>
    <row r="624" spans="1:247" ht="12.75" customHeight="1">
      <c r="A624" s="4"/>
      <c r="B624" s="4"/>
      <c r="C624" s="3"/>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row>
    <row r="625" spans="1:247" ht="12.75" customHeight="1">
      <c r="A625" s="4"/>
      <c r="B625" s="4"/>
      <c r="C625" s="3"/>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row>
    <row r="626" spans="1:247" ht="12.75" customHeight="1">
      <c r="A626" s="4"/>
      <c r="B626" s="4"/>
      <c r="C626" s="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row>
    <row r="627" spans="1:247" ht="12.75" customHeight="1">
      <c r="A627" s="4"/>
      <c r="B627" s="4"/>
      <c r="C627" s="3"/>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row>
    <row r="628" spans="1:247" ht="12.75" customHeight="1">
      <c r="A628" s="4"/>
      <c r="B628" s="4"/>
      <c r="C628" s="3"/>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row>
    <row r="629" spans="1:247" ht="12.75" customHeight="1">
      <c r="A629" s="4"/>
      <c r="B629" s="4"/>
      <c r="C629" s="3"/>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row>
    <row r="630" spans="1:247" ht="12.75" customHeight="1">
      <c r="A630" s="4"/>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row>
    <row r="631" spans="1:247" ht="12.75" customHeight="1">
      <c r="A631" s="4"/>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row>
    <row r="632" spans="1:247" ht="12.75" customHeight="1">
      <c r="A632" s="4"/>
      <c r="B632" s="4"/>
      <c r="C632" s="3"/>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row>
    <row r="633" spans="1:247" ht="12.75" customHeight="1">
      <c r="A633" s="4"/>
      <c r="B633" s="4"/>
      <c r="C633" s="3"/>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row>
    <row r="634" spans="1:247" ht="12.75" customHeight="1">
      <c r="A634" s="4"/>
      <c r="B634" s="4"/>
      <c r="C634" s="3"/>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row>
    <row r="635" spans="1:247" ht="12.75" customHeight="1">
      <c r="A635" s="4"/>
      <c r="B635" s="4"/>
      <c r="C635" s="3"/>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row>
    <row r="636" spans="1:247" ht="12.75" customHeight="1">
      <c r="A636" s="4"/>
      <c r="B636" s="4"/>
      <c r="C636" s="3"/>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row>
    <row r="637" spans="1:247" ht="12.75" customHeight="1">
      <c r="A637" s="4"/>
      <c r="B637" s="4"/>
      <c r="C637" s="3"/>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row>
    <row r="638" spans="1:247" ht="12.75" customHeight="1">
      <c r="A638" s="4"/>
      <c r="B638" s="4"/>
      <c r="C638" s="3"/>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row>
    <row r="639" spans="1:247" ht="12.75" customHeight="1">
      <c r="A639" s="4"/>
      <c r="B639" s="4"/>
      <c r="C639" s="3"/>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row>
    <row r="640" spans="1:247" ht="12.75" customHeight="1">
      <c r="A640" s="4"/>
      <c r="B640" s="4"/>
      <c r="C640" s="3"/>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row>
    <row r="641" spans="1:247" ht="12.75" customHeight="1">
      <c r="A641" s="4"/>
      <c r="B641" s="4"/>
      <c r="C641" s="3"/>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row>
    <row r="642" spans="1:247" ht="12.75" customHeight="1">
      <c r="A642" s="4"/>
      <c r="B642" s="4"/>
      <c r="C642" s="3"/>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row>
    <row r="643" spans="1:247" ht="12.75" customHeight="1">
      <c r="A643" s="4"/>
      <c r="B643" s="4"/>
      <c r="C643" s="3"/>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row>
    <row r="644" spans="1:247" ht="12.75" customHeight="1">
      <c r="A644" s="4"/>
      <c r="B644" s="4"/>
      <c r="C644" s="3"/>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row>
    <row r="645" spans="1:247" ht="12.75" customHeight="1">
      <c r="A645" s="4"/>
      <c r="B645" s="4"/>
      <c r="C645" s="3"/>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row>
    <row r="646" spans="1:247" ht="12.75" customHeight="1">
      <c r="A646" s="4"/>
      <c r="B646" s="4"/>
      <c r="C646" s="3"/>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row>
    <row r="647" spans="1:247" ht="12.75" customHeight="1">
      <c r="A647" s="4"/>
      <c r="B647" s="4"/>
      <c r="C647" s="3"/>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row>
    <row r="648" spans="1:247" ht="12.75" customHeight="1">
      <c r="A648" s="4"/>
      <c r="B648" s="4"/>
      <c r="C648" s="3"/>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row>
    <row r="649" spans="1:247" ht="12.75" customHeight="1">
      <c r="A649" s="4"/>
      <c r="B649" s="4"/>
      <c r="C649" s="3"/>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row>
    <row r="650" spans="1:247" ht="12.75" customHeight="1">
      <c r="A650" s="4"/>
      <c r="B650" s="4"/>
      <c r="C650" s="3"/>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row>
    <row r="651" spans="1:247" ht="12.75" customHeight="1">
      <c r="A651" s="4"/>
      <c r="B651" s="4"/>
      <c r="C651" s="3"/>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row>
    <row r="652" spans="1:247" ht="12.75" customHeight="1">
      <c r="A652" s="4"/>
      <c r="B652" s="4"/>
      <c r="C652" s="3"/>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row>
    <row r="653" spans="1:247" ht="12.75" customHeight="1">
      <c r="A653" s="4"/>
      <c r="B653" s="4"/>
      <c r="C653" s="3"/>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row>
    <row r="654" spans="1:247" ht="12.75" customHeight="1">
      <c r="A654" s="4"/>
      <c r="B654" s="4"/>
      <c r="C654" s="3"/>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row>
    <row r="655" spans="1:247" ht="12.75" customHeight="1">
      <c r="A655" s="4"/>
      <c r="B655" s="4"/>
      <c r="C655" s="3"/>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row>
    <row r="656" spans="1:247" ht="12.75" customHeight="1">
      <c r="A656" s="4"/>
      <c r="B656" s="4"/>
      <c r="C656" s="3"/>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row>
    <row r="657" spans="1:247" ht="12.75" customHeight="1">
      <c r="A657" s="4"/>
      <c r="B657" s="4"/>
      <c r="C657" s="3"/>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row>
    <row r="658" spans="1:247" ht="12.75" customHeight="1">
      <c r="A658" s="4"/>
      <c r="B658" s="4"/>
      <c r="C658" s="3"/>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row>
    <row r="659" spans="1:247" ht="12.75" customHeight="1">
      <c r="A659" s="4"/>
      <c r="B659" s="4"/>
      <c r="C659" s="3"/>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row>
    <row r="660" spans="1:247" ht="12.75" customHeight="1">
      <c r="A660" s="4"/>
      <c r="B660" s="4"/>
      <c r="C660" s="3"/>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row>
    <row r="661" spans="1:247" ht="12.75" customHeight="1">
      <c r="A661" s="4"/>
      <c r="B661" s="4"/>
      <c r="C661" s="3"/>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row>
    <row r="662" spans="1:247" ht="12.75" customHeight="1">
      <c r="A662" s="4"/>
      <c r="B662" s="4"/>
      <c r="C662" s="3"/>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row>
    <row r="663" spans="1:247" ht="12.75" customHeight="1">
      <c r="A663" s="4"/>
      <c r="B663" s="4"/>
      <c r="C663" s="3"/>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row>
    <row r="664" spans="1:247" ht="12.75" customHeight="1">
      <c r="A664" s="4"/>
      <c r="B664" s="4"/>
      <c r="C664" s="3"/>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row>
    <row r="665" spans="1:247" ht="12.75" customHeight="1">
      <c r="A665" s="4"/>
      <c r="B665" s="4"/>
      <c r="C665" s="3"/>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row>
    <row r="666" spans="1:247" ht="12.75" customHeight="1">
      <c r="A666" s="4"/>
      <c r="B666" s="4"/>
      <c r="C666" s="3"/>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row>
    <row r="667" spans="1:247" ht="12.75" customHeight="1">
      <c r="A667" s="4"/>
      <c r="B667" s="4"/>
      <c r="C667" s="3"/>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row>
    <row r="668" spans="1:247" ht="12.75" customHeight="1">
      <c r="A668" s="4"/>
      <c r="B668" s="4"/>
      <c r="C668" s="3"/>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row>
    <row r="669" spans="1:247" ht="12.75" customHeight="1">
      <c r="A669" s="4"/>
      <c r="B669" s="4"/>
      <c r="C669" s="3"/>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row>
    <row r="670" spans="1:247" ht="12.75" customHeight="1">
      <c r="A670" s="4"/>
      <c r="B670" s="4"/>
      <c r="C670" s="3"/>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row>
    <row r="671" spans="1:247" ht="12.75" customHeight="1">
      <c r="A671" s="4"/>
      <c r="B671" s="4"/>
      <c r="C671" s="3"/>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row>
    <row r="672" spans="1:247" ht="12.75" customHeight="1">
      <c r="A672" s="4"/>
      <c r="B672" s="4"/>
      <c r="C672" s="3"/>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row>
    <row r="673" spans="1:247" ht="12.75" customHeight="1">
      <c r="A673" s="4"/>
      <c r="B673" s="4"/>
      <c r="C673" s="3"/>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row>
    <row r="674" spans="1:247" ht="12.75" customHeight="1">
      <c r="A674" s="4"/>
      <c r="B674" s="4"/>
      <c r="C674" s="3"/>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row>
    <row r="675" spans="1:247" ht="12.75" customHeight="1">
      <c r="A675" s="4"/>
      <c r="B675" s="4"/>
      <c r="C675" s="3"/>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row>
    <row r="676" spans="1:247" ht="12.75" customHeight="1">
      <c r="A676" s="4"/>
      <c r="B676" s="4"/>
      <c r="C676" s="3"/>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row>
    <row r="677" spans="1:247" ht="12.75" customHeight="1">
      <c r="A677" s="4"/>
      <c r="B677" s="4"/>
      <c r="C677" s="3"/>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row>
    <row r="678" spans="1:247" ht="12.75" customHeight="1">
      <c r="A678" s="4"/>
      <c r="B678" s="4"/>
      <c r="C678" s="3"/>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row>
    <row r="679" spans="1:247" ht="12.75" customHeight="1">
      <c r="A679" s="4"/>
      <c r="B679" s="4"/>
      <c r="C679" s="3"/>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row>
    <row r="680" spans="1:247" ht="12.75" customHeight="1">
      <c r="A680" s="4"/>
      <c r="B680" s="4"/>
      <c r="C680" s="3"/>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row>
    <row r="681" spans="1:247" ht="12.75" customHeight="1">
      <c r="A681" s="4"/>
      <c r="B681" s="4"/>
      <c r="C681" s="3"/>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row>
    <row r="682" spans="1:247" ht="12.75" customHeight="1">
      <c r="A682" s="4"/>
      <c r="B682" s="4"/>
      <c r="C682" s="3"/>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row>
    <row r="683" spans="1:247" ht="12.75" customHeight="1">
      <c r="A683" s="4"/>
      <c r="B683" s="4"/>
      <c r="C683" s="3"/>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row>
    <row r="684" spans="1:247" ht="12.75" customHeight="1">
      <c r="A684" s="4"/>
      <c r="B684" s="4"/>
      <c r="C684" s="3"/>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row>
    <row r="685" spans="1:247" ht="12.75" customHeight="1">
      <c r="A685" s="4"/>
      <c r="B685" s="4"/>
      <c r="C685" s="3"/>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row>
    <row r="686" spans="1:247" ht="12.75" customHeight="1">
      <c r="A686" s="4"/>
      <c r="B686" s="4"/>
      <c r="C686" s="3"/>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row>
    <row r="687" spans="1:247" ht="12.75" customHeight="1">
      <c r="A687" s="4"/>
      <c r="B687" s="4"/>
      <c r="C687" s="3"/>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row>
    <row r="688" spans="1:247" ht="12.75" customHeight="1">
      <c r="A688" s="4"/>
      <c r="B688" s="4"/>
      <c r="C688" s="3"/>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row>
    <row r="689" spans="1:247" ht="12.75" customHeight="1">
      <c r="A689" s="4"/>
      <c r="B689" s="4"/>
      <c r="C689" s="3"/>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row>
    <row r="690" spans="1:247" ht="12.75" customHeight="1">
      <c r="A690" s="4"/>
      <c r="B690" s="4"/>
      <c r="C690" s="3"/>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row>
    <row r="691" spans="1:247" ht="12.75" customHeight="1">
      <c r="A691" s="4"/>
      <c r="B691" s="4"/>
      <c r="C691" s="3"/>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row>
    <row r="692" spans="1:247" ht="12.75" customHeight="1">
      <c r="A692" s="4"/>
      <c r="B692" s="4"/>
      <c r="C692" s="3"/>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row>
    <row r="693" spans="1:247" ht="12.75" customHeight="1">
      <c r="A693" s="4"/>
      <c r="B693" s="4"/>
      <c r="C693" s="3"/>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row>
    <row r="694" spans="1:247" ht="12.75" customHeight="1">
      <c r="A694" s="4"/>
      <c r="B694" s="4"/>
      <c r="C694" s="3"/>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row>
    <row r="695" spans="1:247" ht="12.75" customHeight="1">
      <c r="A695" s="4"/>
      <c r="B695" s="4"/>
      <c r="C695" s="3"/>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row>
    <row r="696" spans="1:247" ht="12.75" customHeight="1">
      <c r="A696" s="4"/>
      <c r="B696" s="4"/>
      <c r="C696" s="3"/>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row>
    <row r="697" spans="1:247" ht="12.75" customHeight="1">
      <c r="A697" s="4"/>
      <c r="B697" s="4"/>
      <c r="C697" s="3"/>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row>
    <row r="698" spans="1:247" ht="12.75" customHeight="1">
      <c r="A698" s="4"/>
      <c r="B698" s="4"/>
      <c r="C698" s="3"/>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row>
    <row r="699" spans="1:247" ht="12.75" customHeight="1">
      <c r="A699" s="4"/>
      <c r="B699" s="4"/>
      <c r="C699" s="3"/>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row>
    <row r="700" spans="1:247" ht="12.75" customHeight="1">
      <c r="A700" s="4"/>
      <c r="B700" s="4"/>
      <c r="C700" s="3"/>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row>
    <row r="701" spans="1:247" ht="12.75" customHeight="1">
      <c r="A701" s="4"/>
      <c r="B701" s="4"/>
      <c r="C701" s="3"/>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row>
    <row r="702" spans="1:247" ht="12.75" customHeight="1">
      <c r="A702" s="4"/>
      <c r="B702" s="4"/>
      <c r="C702" s="3"/>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row>
    <row r="703" spans="1:247" ht="12.75" customHeight="1">
      <c r="A703" s="4"/>
      <c r="B703" s="4"/>
      <c r="C703" s="3"/>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row>
    <row r="704" spans="1:247" ht="12.75" customHeight="1">
      <c r="A704" s="4"/>
      <c r="B704" s="4"/>
      <c r="C704" s="3"/>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row>
    <row r="705" spans="1:247" ht="12.75" customHeight="1">
      <c r="A705" s="4"/>
      <c r="B705" s="4"/>
      <c r="C705" s="3"/>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row>
    <row r="706" spans="1:247" ht="12.75" customHeight="1">
      <c r="A706" s="4"/>
      <c r="B706" s="4"/>
      <c r="C706" s="3"/>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row>
    <row r="707" spans="1:247" ht="12.75" customHeight="1">
      <c r="A707" s="4"/>
      <c r="B707" s="4"/>
      <c r="C707" s="3"/>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row>
    <row r="708" spans="1:247" ht="12.75" customHeight="1">
      <c r="A708" s="4"/>
      <c r="B708" s="4"/>
      <c r="C708" s="3"/>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row>
    <row r="709" spans="1:247" ht="12.75" customHeight="1">
      <c r="A709" s="4"/>
      <c r="B709" s="4"/>
      <c r="C709" s="3"/>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row>
    <row r="710" spans="1:247" ht="12.75" customHeight="1">
      <c r="A710" s="4"/>
      <c r="B710" s="4"/>
      <c r="C710" s="3"/>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row>
    <row r="711" spans="1:247" ht="12.75" customHeight="1">
      <c r="A711" s="4"/>
      <c r="B711" s="4"/>
      <c r="C711" s="3"/>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row>
    <row r="712" spans="1:247" ht="12.75" customHeight="1">
      <c r="A712" s="4"/>
      <c r="B712" s="4"/>
      <c r="C712" s="3"/>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row>
    <row r="713" spans="1:247" ht="12.75" customHeight="1">
      <c r="A713" s="4"/>
      <c r="B713" s="4"/>
      <c r="C713" s="3"/>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row>
    <row r="714" spans="1:247" ht="12.75" customHeight="1">
      <c r="A714" s="4"/>
      <c r="B714" s="4"/>
      <c r="C714" s="3"/>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row>
    <row r="715" spans="1:247" ht="12.75" customHeight="1">
      <c r="A715" s="4"/>
      <c r="B715" s="4"/>
      <c r="C715" s="3"/>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row>
    <row r="716" spans="1:247" ht="12.75" customHeight="1">
      <c r="A716" s="4"/>
      <c r="B716" s="4"/>
      <c r="C716" s="3"/>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row>
    <row r="717" spans="1:247" ht="12.75" customHeight="1">
      <c r="A717" s="4"/>
      <c r="B717" s="4"/>
      <c r="C717" s="3"/>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row>
    <row r="718" spans="1:247" ht="12.75" customHeight="1">
      <c r="A718" s="4"/>
      <c r="B718" s="4"/>
      <c r="C718" s="3"/>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row>
    <row r="719" spans="1:247" ht="12.75" customHeight="1">
      <c r="A719" s="4"/>
      <c r="B719" s="4"/>
      <c r="C719" s="3"/>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row>
    <row r="720" spans="1:247" ht="12.75" customHeight="1">
      <c r="A720" s="4"/>
      <c r="B720" s="4"/>
      <c r="C720" s="3"/>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row>
    <row r="721" spans="1:247" ht="12.75" customHeight="1">
      <c r="A721" s="4"/>
      <c r="B721" s="4"/>
      <c r="C721" s="3"/>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row>
    <row r="722" spans="1:247" ht="12.75" customHeight="1">
      <c r="A722" s="4"/>
      <c r="B722" s="4"/>
      <c r="C722" s="3"/>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row>
    <row r="723" spans="1:247" ht="12.75" customHeight="1">
      <c r="A723" s="4"/>
      <c r="B723" s="4"/>
      <c r="C723" s="3"/>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row>
    <row r="724" spans="1:247" ht="12.75" customHeight="1">
      <c r="A724" s="4"/>
      <c r="B724" s="4"/>
      <c r="C724" s="3"/>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row>
    <row r="725" spans="1:247" ht="12.75" customHeight="1">
      <c r="A725" s="4"/>
      <c r="B725" s="4"/>
      <c r="C725" s="3"/>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row>
    <row r="726" spans="1:247" ht="12.75" customHeight="1">
      <c r="A726" s="4"/>
      <c r="B726" s="4"/>
      <c r="C726" s="3"/>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row>
    <row r="727" spans="1:247" ht="12.75" customHeight="1">
      <c r="A727" s="4"/>
      <c r="B727" s="4"/>
      <c r="C727" s="3"/>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row>
    <row r="728" spans="1:247" ht="12.75" customHeight="1">
      <c r="A728" s="4"/>
      <c r="B728" s="4"/>
      <c r="C728" s="3"/>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row>
    <row r="729" spans="1:247" ht="12.75" customHeight="1">
      <c r="A729" s="4"/>
      <c r="B729" s="4"/>
      <c r="C729" s="3"/>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row>
    <row r="730" spans="1:247" ht="12.75" customHeight="1">
      <c r="A730" s="4"/>
      <c r="B730" s="4"/>
      <c r="C730" s="3"/>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row>
    <row r="731" spans="1:247" ht="12.75" customHeight="1">
      <c r="A731" s="4"/>
      <c r="B731" s="4"/>
      <c r="C731" s="3"/>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row>
    <row r="732" spans="1:247" ht="12.75" customHeight="1">
      <c r="A732" s="4"/>
      <c r="B732" s="4"/>
      <c r="C732" s="3"/>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row>
    <row r="733" spans="1:247" ht="12.75" customHeight="1">
      <c r="A733" s="4"/>
      <c r="B733" s="4"/>
      <c r="C733" s="3"/>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row>
    <row r="734" spans="1:247" ht="12.75" customHeight="1">
      <c r="A734" s="4"/>
      <c r="B734" s="4"/>
      <c r="C734" s="3"/>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row>
    <row r="735" spans="1:247" ht="12.75" customHeight="1">
      <c r="A735" s="4"/>
      <c r="B735" s="4"/>
      <c r="C735" s="3"/>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row>
    <row r="736" spans="1:247" ht="12.75" customHeight="1">
      <c r="A736" s="4"/>
      <c r="B736" s="4"/>
      <c r="C736" s="3"/>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row>
    <row r="737" spans="1:247" ht="12.75" customHeight="1">
      <c r="A737" s="4"/>
      <c r="B737" s="4"/>
      <c r="C737" s="3"/>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row>
    <row r="738" spans="1:247" ht="12.75" customHeight="1">
      <c r="A738" s="4"/>
      <c r="B738" s="4"/>
      <c r="C738" s="3"/>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row>
    <row r="739" spans="1:247" ht="12.75" customHeight="1">
      <c r="A739" s="4"/>
      <c r="B739" s="4"/>
      <c r="C739" s="3"/>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row>
    <row r="740" spans="1:247" ht="12.75" customHeight="1">
      <c r="A740" s="4"/>
      <c r="B740" s="4"/>
      <c r="C740" s="3"/>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row>
    <row r="741" spans="1:247" ht="12.75" customHeight="1">
      <c r="A741" s="4"/>
      <c r="B741" s="4"/>
      <c r="C741" s="3"/>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row>
    <row r="742" spans="1:247" ht="12.75" customHeight="1">
      <c r="A742" s="4"/>
      <c r="B742" s="4"/>
      <c r="C742" s="3"/>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row>
    <row r="743" spans="1:247" ht="12.75" customHeight="1">
      <c r="A743" s="4"/>
      <c r="B743" s="4"/>
      <c r="C743" s="3"/>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row>
    <row r="744" spans="1:247" ht="12.75" customHeight="1">
      <c r="A744" s="4"/>
      <c r="B744" s="4"/>
      <c r="C744" s="3"/>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row>
    <row r="745" spans="1:247" ht="12.75" customHeight="1">
      <c r="A745" s="4"/>
      <c r="B745" s="4"/>
      <c r="C745" s="3"/>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row>
    <row r="746" spans="1:247" ht="12.75" customHeight="1">
      <c r="A746" s="4"/>
      <c r="B746" s="4"/>
      <c r="C746" s="3"/>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row>
    <row r="747" spans="1:247" ht="12.75" customHeight="1">
      <c r="A747" s="4"/>
      <c r="B747" s="4"/>
      <c r="C747" s="3"/>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row>
    <row r="748" spans="1:247" ht="12.75" customHeight="1">
      <c r="A748" s="4"/>
      <c r="B748" s="4"/>
      <c r="C748" s="3"/>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row>
    <row r="749" spans="1:247" ht="12.75" customHeight="1">
      <c r="A749" s="4"/>
      <c r="B749" s="4"/>
      <c r="C749" s="3"/>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row>
    <row r="750" spans="1:247" ht="12.75" customHeight="1">
      <c r="A750" s="4"/>
      <c r="B750" s="4"/>
      <c r="C750" s="3"/>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row>
    <row r="751" spans="1:247" ht="12.75" customHeight="1">
      <c r="A751" s="4"/>
      <c r="B751" s="4"/>
      <c r="C751" s="3"/>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row>
    <row r="752" spans="1:247" ht="12.75" customHeight="1">
      <c r="A752" s="4"/>
      <c r="B752" s="4"/>
      <c r="C752" s="3"/>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row>
    <row r="753" spans="1:247" ht="12.75" customHeight="1">
      <c r="A753" s="4"/>
      <c r="B753" s="4"/>
      <c r="C753" s="3"/>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row>
    <row r="754" spans="1:247" ht="12.75" customHeight="1">
      <c r="A754" s="4"/>
      <c r="B754" s="4"/>
      <c r="C754" s="3"/>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row>
    <row r="755" spans="1:247" ht="12.75" customHeight="1">
      <c r="A755" s="4"/>
      <c r="B755" s="4"/>
      <c r="C755" s="3"/>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row>
    <row r="756" spans="1:247" ht="12.75" customHeight="1">
      <c r="A756" s="4"/>
      <c r="B756" s="4"/>
      <c r="C756" s="3"/>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row>
    <row r="757" spans="1:247" ht="12.75" customHeight="1">
      <c r="A757" s="4"/>
      <c r="B757" s="4"/>
      <c r="C757" s="3"/>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row>
    <row r="758" spans="1:247" ht="12.75" customHeight="1">
      <c r="A758" s="4"/>
      <c r="B758" s="4"/>
      <c r="C758" s="3"/>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row>
    <row r="759" spans="1:247" ht="12.75" customHeight="1">
      <c r="A759" s="4"/>
      <c r="B759" s="4"/>
      <c r="C759" s="3"/>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row>
    <row r="760" spans="1:247" ht="12.75" customHeight="1">
      <c r="A760" s="4"/>
      <c r="B760" s="4"/>
      <c r="C760" s="3"/>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row>
    <row r="761" spans="1:247" ht="12.75" customHeight="1">
      <c r="A761" s="4"/>
      <c r="B761" s="4"/>
      <c r="C761" s="3"/>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row>
    <row r="762" spans="1:247" ht="12.75" customHeight="1">
      <c r="A762" s="4"/>
      <c r="B762" s="4"/>
      <c r="C762" s="3"/>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row>
    <row r="763" spans="1:247" ht="12.75" customHeight="1">
      <c r="A763" s="4"/>
      <c r="B763" s="4"/>
      <c r="C763" s="3"/>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row>
    <row r="764" spans="1:247" ht="12.75" customHeight="1">
      <c r="A764" s="4"/>
      <c r="B764" s="4"/>
      <c r="C764" s="3"/>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row>
    <row r="765" spans="1:247" ht="12.75" customHeight="1">
      <c r="A765" s="4"/>
      <c r="B765" s="4"/>
      <c r="C765" s="3"/>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row>
    <row r="766" spans="1:247" ht="12.75" customHeight="1">
      <c r="A766" s="4"/>
      <c r="B766" s="4"/>
      <c r="C766" s="3"/>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row>
    <row r="767" spans="1:247" ht="12.75" customHeight="1">
      <c r="A767" s="4"/>
      <c r="B767" s="4"/>
      <c r="C767" s="3"/>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row>
    <row r="768" spans="1:247" ht="12.75" customHeight="1">
      <c r="A768" s="4"/>
      <c r="B768" s="4"/>
      <c r="C768" s="3"/>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row>
    <row r="769" spans="1:247" ht="12.75" customHeight="1">
      <c r="A769" s="4"/>
      <c r="B769" s="4"/>
      <c r="C769" s="3"/>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row>
    <row r="770" spans="1:247" ht="12.75" customHeight="1">
      <c r="A770" s="4"/>
      <c r="B770" s="4"/>
      <c r="C770" s="3"/>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row>
    <row r="771" spans="1:247" ht="12.75" customHeight="1">
      <c r="A771" s="4"/>
      <c r="B771" s="4"/>
      <c r="C771" s="3"/>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row>
    <row r="772" spans="1:247" ht="12.75" customHeight="1">
      <c r="A772" s="4"/>
      <c r="B772" s="4"/>
      <c r="C772" s="3"/>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row>
    <row r="773" spans="1:247" ht="12.75" customHeight="1">
      <c r="A773" s="4"/>
      <c r="B773" s="4"/>
      <c r="C773" s="3"/>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row>
    <row r="774" spans="1:247" ht="12.75" customHeight="1">
      <c r="A774" s="4"/>
      <c r="B774" s="4"/>
      <c r="C774" s="3"/>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row>
    <row r="775" spans="1:247" ht="12.75" customHeight="1">
      <c r="A775" s="4"/>
      <c r="B775" s="4"/>
      <c r="C775" s="3"/>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row>
    <row r="776" spans="1:247" ht="12.75" customHeight="1">
      <c r="A776" s="4"/>
      <c r="B776" s="4"/>
      <c r="C776" s="3"/>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row>
    <row r="777" spans="1:247" ht="12.75" customHeight="1">
      <c r="A777" s="4"/>
      <c r="B777" s="4"/>
      <c r="C777" s="3"/>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row>
    <row r="778" spans="1:247" ht="12.75" customHeight="1">
      <c r="A778" s="4"/>
      <c r="B778" s="4"/>
      <c r="C778" s="3"/>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row>
    <row r="779" spans="1:247" ht="12.75" customHeight="1">
      <c r="A779" s="4"/>
      <c r="B779" s="4"/>
      <c r="C779" s="3"/>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row>
    <row r="780" spans="1:247" ht="12.75" customHeight="1">
      <c r="A780" s="4"/>
      <c r="B780" s="4"/>
      <c r="C780" s="3"/>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row>
    <row r="781" spans="1:247" ht="12.75" customHeight="1">
      <c r="A781" s="4"/>
      <c r="B781" s="4"/>
      <c r="C781" s="3"/>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row>
    <row r="782" spans="1:247" ht="12.75" customHeight="1">
      <c r="A782" s="4"/>
      <c r="B782" s="4"/>
      <c r="C782" s="3"/>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row>
    <row r="783" spans="1:247" ht="12.75" customHeight="1">
      <c r="A783" s="4"/>
      <c r="B783" s="4"/>
      <c r="C783" s="3"/>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row>
    <row r="784" spans="1:247" ht="12.75" customHeight="1">
      <c r="A784" s="4"/>
      <c r="B784" s="4"/>
      <c r="C784" s="3"/>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row>
    <row r="785" spans="1:247" ht="12.75" customHeight="1">
      <c r="A785" s="4"/>
      <c r="B785" s="4"/>
      <c r="C785" s="3"/>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row>
    <row r="786" spans="1:247" ht="12.75" customHeight="1">
      <c r="A786" s="4"/>
      <c r="B786" s="4"/>
      <c r="C786" s="3"/>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row>
    <row r="787" spans="1:247" ht="12.75" customHeight="1">
      <c r="A787" s="4"/>
      <c r="B787" s="4"/>
      <c r="C787" s="3"/>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row>
    <row r="788" spans="1:247" ht="12.75" customHeight="1">
      <c r="A788" s="4"/>
      <c r="B788" s="4"/>
      <c r="C788" s="3"/>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row>
    <row r="789" spans="1:247" ht="12.75" customHeight="1">
      <c r="A789" s="4"/>
      <c r="B789" s="4"/>
      <c r="C789" s="3"/>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row>
    <row r="790" spans="1:247" ht="12.75" customHeight="1">
      <c r="A790" s="4"/>
      <c r="B790" s="4"/>
      <c r="C790" s="3"/>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row>
    <row r="791" spans="1:247" ht="12.75" customHeight="1">
      <c r="A791" s="4"/>
      <c r="B791" s="4"/>
      <c r="C791" s="3"/>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row>
    <row r="792" spans="1:247" ht="12.75" customHeight="1">
      <c r="A792" s="4"/>
      <c r="B792" s="4"/>
      <c r="C792" s="3"/>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row>
    <row r="793" spans="1:247" ht="12.75" customHeight="1">
      <c r="A793" s="4"/>
      <c r="B793" s="4"/>
      <c r="C793" s="3"/>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row>
    <row r="794" spans="1:247" ht="12.75" customHeight="1">
      <c r="A794" s="4"/>
      <c r="B794" s="4"/>
      <c r="C794" s="3"/>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row>
    <row r="795" spans="1:247" ht="12.75" customHeight="1">
      <c r="A795" s="4"/>
      <c r="B795" s="4"/>
      <c r="C795" s="3"/>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row>
    <row r="796" spans="1:247" ht="12.75" customHeight="1">
      <c r="A796" s="4"/>
      <c r="B796" s="4"/>
      <c r="C796" s="3"/>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row>
    <row r="797" spans="1:247" ht="12.75" customHeight="1">
      <c r="A797" s="4"/>
      <c r="B797" s="4"/>
      <c r="C797" s="3"/>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row>
    <row r="798" spans="1:247" ht="12.75" customHeight="1">
      <c r="A798" s="4"/>
      <c r="B798" s="4"/>
      <c r="C798" s="3"/>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row>
    <row r="799" spans="1:247" ht="12.75" customHeight="1">
      <c r="A799" s="4"/>
      <c r="B799" s="4"/>
      <c r="C799" s="3"/>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row>
    <row r="800" spans="1:247" ht="12.75" customHeight="1">
      <c r="A800" s="4"/>
      <c r="B800" s="4"/>
      <c r="C800" s="3"/>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row>
    <row r="801" spans="1:247" ht="12.75" customHeight="1">
      <c r="A801" s="4"/>
      <c r="B801" s="4"/>
      <c r="C801" s="3"/>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row>
    <row r="802" spans="1:247" ht="12.75" customHeight="1">
      <c r="A802" s="4"/>
      <c r="B802" s="4"/>
      <c r="C802" s="3"/>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row>
    <row r="803" spans="1:247" ht="12.75" customHeight="1">
      <c r="A803" s="4"/>
      <c r="B803" s="4"/>
      <c r="C803" s="3"/>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row>
    <row r="804" spans="1:247" ht="12.75" customHeight="1">
      <c r="A804" s="4"/>
      <c r="B804" s="4"/>
      <c r="C804" s="3"/>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row>
    <row r="805" spans="1:247" ht="12.75" customHeight="1">
      <c r="A805" s="4"/>
      <c r="B805" s="4"/>
      <c r="C805" s="3"/>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row>
    <row r="806" spans="1:247" ht="12.75" customHeight="1">
      <c r="A806" s="4"/>
      <c r="B806" s="4"/>
      <c r="C806" s="3"/>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row>
    <row r="807" spans="1:247" ht="12.75" customHeight="1">
      <c r="A807" s="4"/>
      <c r="B807" s="4"/>
      <c r="C807" s="3"/>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row>
    <row r="808" spans="1:247" ht="12.75" customHeight="1">
      <c r="A808" s="4"/>
      <c r="B808" s="4"/>
      <c r="C808" s="3"/>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row>
    <row r="809" spans="1:247" ht="12.75" customHeight="1">
      <c r="A809" s="4"/>
      <c r="B809" s="4"/>
      <c r="C809" s="3"/>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row>
    <row r="810" spans="1:247" ht="12.75" customHeight="1">
      <c r="A810" s="4"/>
      <c r="B810" s="4"/>
      <c r="C810" s="3"/>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row>
    <row r="811" spans="1:247" ht="12.75" customHeight="1">
      <c r="A811" s="4"/>
      <c r="B811" s="4"/>
      <c r="C811" s="3"/>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row>
    <row r="812" spans="1:247" ht="12.75" customHeight="1">
      <c r="A812" s="4"/>
      <c r="B812" s="4"/>
      <c r="C812" s="3"/>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row>
    <row r="813" spans="1:247" ht="12.75" customHeight="1">
      <c r="A813" s="4"/>
      <c r="B813" s="4"/>
      <c r="C813" s="3"/>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row>
    <row r="814" spans="1:247" ht="12.75" customHeight="1">
      <c r="A814" s="4"/>
      <c r="B814" s="4"/>
      <c r="C814" s="3"/>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row>
    <row r="815" spans="1:247" ht="12.75" customHeight="1">
      <c r="A815" s="4"/>
      <c r="B815" s="4"/>
      <c r="C815" s="3"/>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row>
    <row r="816" spans="1:247" ht="12.75" customHeight="1">
      <c r="A816" s="4"/>
      <c r="B816" s="4"/>
      <c r="C816" s="3"/>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row>
    <row r="817" spans="1:247" ht="12.75" customHeight="1">
      <c r="A817" s="4"/>
      <c r="B817" s="4"/>
      <c r="C817" s="3"/>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row>
    <row r="818" spans="1:247" ht="12.75" customHeight="1">
      <c r="A818" s="4"/>
      <c r="B818" s="4"/>
      <c r="C818" s="3"/>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row>
    <row r="819" spans="1:247" ht="12.75" customHeight="1">
      <c r="A819" s="4"/>
      <c r="B819" s="4"/>
      <c r="C819" s="3"/>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row>
    <row r="820" spans="1:247" ht="12.75" customHeight="1">
      <c r="A820" s="4"/>
      <c r="B820" s="4"/>
      <c r="C820" s="3"/>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row>
    <row r="821" spans="1:247" ht="12.75" customHeight="1">
      <c r="A821" s="4"/>
      <c r="B821" s="4"/>
      <c r="C821" s="3"/>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row>
    <row r="822" spans="1:247" ht="12.75" customHeight="1">
      <c r="A822" s="4"/>
      <c r="B822" s="4"/>
      <c r="C822" s="3"/>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row>
    <row r="823" spans="1:247" ht="12.75" customHeight="1">
      <c r="A823" s="4"/>
      <c r="B823" s="4"/>
      <c r="C823" s="3"/>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row>
    <row r="824" spans="1:247" ht="12.75" customHeight="1">
      <c r="A824" s="4"/>
      <c r="B824" s="4"/>
      <c r="C824" s="3"/>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row>
    <row r="825" spans="1:247" ht="12.75" customHeight="1">
      <c r="A825" s="4"/>
      <c r="B825" s="4"/>
      <c r="C825" s="3"/>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row>
    <row r="826" spans="1:247" ht="12.75" customHeight="1">
      <c r="A826" s="4"/>
      <c r="B826" s="4"/>
      <c r="C826" s="3"/>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row>
    <row r="827" spans="1:247" ht="12.75" customHeight="1">
      <c r="A827" s="4"/>
      <c r="B827" s="4"/>
      <c r="C827" s="3"/>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row>
    <row r="828" spans="1:247" ht="12.75" customHeight="1">
      <c r="A828" s="4"/>
      <c r="B828" s="4"/>
      <c r="C828" s="3"/>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row>
    <row r="829" spans="1:247" ht="12.75" customHeight="1">
      <c r="A829" s="4"/>
      <c r="B829" s="4"/>
      <c r="C829" s="3"/>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row>
    <row r="830" spans="1:247" ht="12.75" customHeight="1">
      <c r="A830" s="4"/>
      <c r="B830" s="4"/>
      <c r="C830" s="3"/>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row>
    <row r="831" spans="1:247" ht="12.75" customHeight="1">
      <c r="A831" s="4"/>
      <c r="B831" s="4"/>
      <c r="C831" s="3"/>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row>
    <row r="832" spans="1:247" ht="12.75" customHeight="1">
      <c r="A832" s="4"/>
      <c r="B832" s="4"/>
      <c r="C832" s="3"/>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row>
    <row r="833" spans="1:247" ht="12.75" customHeight="1">
      <c r="A833" s="4"/>
      <c r="B833" s="4"/>
      <c r="C833" s="3"/>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row>
    <row r="834" spans="1:247" ht="12.75" customHeight="1">
      <c r="A834" s="4"/>
      <c r="B834" s="4"/>
      <c r="C834" s="3"/>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row>
    <row r="835" spans="1:247" ht="12.75" customHeight="1">
      <c r="A835" s="4"/>
      <c r="B835" s="4"/>
      <c r="C835" s="3"/>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row>
    <row r="836" spans="1:247" ht="12.75" customHeight="1">
      <c r="A836" s="4"/>
      <c r="B836" s="4"/>
      <c r="C836" s="3"/>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row>
    <row r="837" spans="1:247" ht="12.75" customHeight="1">
      <c r="A837" s="4"/>
      <c r="B837" s="4"/>
      <c r="C837" s="3"/>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row>
    <row r="838" spans="1:247" ht="12.75" customHeight="1">
      <c r="A838" s="4"/>
      <c r="B838" s="4"/>
      <c r="C838" s="3"/>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row>
    <row r="839" spans="1:247" ht="12.75" customHeight="1">
      <c r="A839" s="4"/>
      <c r="B839" s="4"/>
      <c r="C839" s="3"/>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row>
    <row r="840" spans="1:247" ht="12.75" customHeight="1">
      <c r="A840" s="4"/>
      <c r="B840" s="4"/>
      <c r="C840" s="3"/>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row>
    <row r="841" spans="1:247" ht="12.75" customHeight="1">
      <c r="A841" s="4"/>
      <c r="B841" s="4"/>
      <c r="C841" s="3"/>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row>
    <row r="842" spans="1:247" ht="12.75" customHeight="1">
      <c r="A842" s="4"/>
      <c r="B842" s="4"/>
      <c r="C842" s="3"/>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row>
    <row r="843" spans="1:247" ht="12.75" customHeight="1">
      <c r="A843" s="4"/>
      <c r="B843" s="4"/>
      <c r="C843" s="3"/>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row>
    <row r="844" spans="1:247" ht="12.75" customHeight="1">
      <c r="A844" s="4"/>
      <c r="B844" s="4"/>
      <c r="C844" s="3"/>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row>
    <row r="845" spans="1:247" ht="12.75" customHeight="1">
      <c r="A845" s="4"/>
      <c r="B845" s="4"/>
      <c r="C845" s="3"/>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row>
    <row r="846" spans="1:247" ht="12.75" customHeight="1">
      <c r="A846" s="4"/>
      <c r="B846" s="4"/>
      <c r="C846" s="3"/>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row>
    <row r="847" spans="1:247" ht="12.75" customHeight="1">
      <c r="A847" s="4"/>
      <c r="B847" s="4"/>
      <c r="C847" s="3"/>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row>
    <row r="848" spans="1:247" ht="12.75" customHeight="1">
      <c r="A848" s="4"/>
      <c r="B848" s="4"/>
      <c r="C848" s="3"/>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row>
    <row r="849" spans="1:247" ht="12.75" customHeight="1">
      <c r="A849" s="4"/>
      <c r="B849" s="4"/>
      <c r="C849" s="3"/>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row>
    <row r="850" spans="1:247" ht="12.75" customHeight="1">
      <c r="A850" s="4"/>
      <c r="B850" s="4"/>
      <c r="C850" s="3"/>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row>
    <row r="851" spans="1:247" ht="12.75" customHeight="1">
      <c r="A851" s="4"/>
      <c r="B851" s="4"/>
      <c r="C851" s="3"/>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row>
    <row r="852" spans="1:247" ht="12.75" customHeight="1">
      <c r="A852" s="4"/>
      <c r="B852" s="4"/>
      <c r="C852" s="3"/>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row>
    <row r="853" spans="1:247" ht="12.75" customHeight="1">
      <c r="A853" s="4"/>
      <c r="B853" s="4"/>
      <c r="C853" s="3"/>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row>
    <row r="854" spans="1:247" ht="12.75" customHeight="1">
      <c r="A854" s="4"/>
      <c r="B854" s="4"/>
      <c r="C854" s="3"/>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row>
    <row r="855" spans="1:247" ht="12.75" customHeight="1">
      <c r="A855" s="4"/>
      <c r="B855" s="4"/>
      <c r="C855" s="3"/>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row>
    <row r="856" spans="1:247" ht="12.75" customHeight="1">
      <c r="A856" s="4"/>
      <c r="B856" s="4"/>
      <c r="C856" s="3"/>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row>
    <row r="857" spans="1:247" ht="12.75" customHeight="1">
      <c r="A857" s="4"/>
      <c r="B857" s="4"/>
      <c r="C857" s="3"/>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row>
    <row r="858" spans="1:247" ht="12.75" customHeight="1">
      <c r="A858" s="4"/>
      <c r="B858" s="4"/>
      <c r="C858" s="3"/>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row>
    <row r="859" spans="1:247" ht="12.75" customHeight="1">
      <c r="A859" s="4"/>
      <c r="B859" s="4"/>
      <c r="C859" s="3"/>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row>
    <row r="860" spans="1:247" ht="12.75" customHeight="1">
      <c r="A860" s="4"/>
      <c r="B860" s="4"/>
      <c r="C860" s="3"/>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row>
    <row r="861" spans="1:247" ht="12.75" customHeight="1">
      <c r="A861" s="4"/>
      <c r="B861" s="4"/>
      <c r="C861" s="3"/>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row>
    <row r="862" spans="1:247" ht="12.75" customHeight="1">
      <c r="A862" s="4"/>
      <c r="B862" s="4"/>
      <c r="C862" s="3"/>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row>
    <row r="863" spans="1:247" ht="12.75" customHeight="1">
      <c r="A863" s="4"/>
      <c r="B863" s="4"/>
      <c r="C863" s="3"/>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row>
    <row r="864" spans="1:247" ht="12.75" customHeight="1">
      <c r="A864" s="4"/>
      <c r="B864" s="4"/>
      <c r="C864" s="3"/>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row>
    <row r="865" spans="1:247" ht="12.75" customHeight="1">
      <c r="A865" s="4"/>
      <c r="B865" s="4"/>
      <c r="C865" s="3"/>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row>
    <row r="866" spans="1:247" ht="12.75" customHeight="1">
      <c r="A866" s="4"/>
      <c r="B866" s="4"/>
      <c r="C866" s="3"/>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row>
    <row r="867" spans="1:247" ht="12.75" customHeight="1">
      <c r="A867" s="4"/>
      <c r="B867" s="4"/>
      <c r="C867" s="3"/>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row>
    <row r="868" spans="1:247" ht="12.75" customHeight="1">
      <c r="A868" s="4"/>
      <c r="B868" s="4"/>
      <c r="C868" s="3"/>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row>
    <row r="869" spans="1:247" ht="12.75" customHeight="1">
      <c r="A869" s="4"/>
      <c r="B869" s="4"/>
      <c r="C869" s="3"/>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row>
    <row r="870" spans="1:247" ht="12.75" customHeight="1">
      <c r="A870" s="4"/>
      <c r="B870" s="4"/>
      <c r="C870" s="3"/>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row>
    <row r="871" spans="1:247" ht="12.75" customHeight="1">
      <c r="A871" s="4"/>
      <c r="B871" s="4"/>
      <c r="C871" s="3"/>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row>
    <row r="872" spans="1:247" ht="12.75" customHeight="1">
      <c r="A872" s="4"/>
      <c r="B872" s="4"/>
      <c r="C872" s="3"/>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row>
    <row r="873" spans="1:247" ht="12.75" customHeight="1">
      <c r="A873" s="4"/>
      <c r="B873" s="4"/>
      <c r="C873" s="3"/>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row>
    <row r="874" spans="1:247" ht="12.75" customHeight="1">
      <c r="A874" s="4"/>
      <c r="B874" s="4"/>
      <c r="C874" s="3"/>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row>
    <row r="875" spans="1:247" ht="12.75" customHeight="1">
      <c r="A875" s="4"/>
      <c r="B875" s="4"/>
      <c r="C875" s="3"/>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row>
    <row r="876" spans="1:247" ht="12.75" customHeight="1">
      <c r="A876" s="4"/>
      <c r="B876" s="4"/>
      <c r="C876" s="3"/>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row>
    <row r="877" spans="1:247" ht="12.75" customHeight="1">
      <c r="A877" s="4"/>
      <c r="B877" s="4"/>
      <c r="C877" s="3"/>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row>
    <row r="878" spans="1:247" ht="12.75" customHeight="1">
      <c r="A878" s="4"/>
      <c r="B878" s="4"/>
      <c r="C878" s="3"/>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row>
    <row r="879" spans="1:247" ht="12.75" customHeight="1">
      <c r="A879" s="4"/>
      <c r="B879" s="4"/>
      <c r="C879" s="3"/>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row>
    <row r="880" spans="1:247" ht="12.75" customHeight="1">
      <c r="A880" s="4"/>
      <c r="B880" s="4"/>
      <c r="C880" s="3"/>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row>
    <row r="881" spans="1:247" ht="12.75" customHeight="1">
      <c r="A881" s="4"/>
      <c r="B881" s="4"/>
      <c r="C881" s="3"/>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row>
    <row r="882" spans="1:247" ht="12.75" customHeight="1">
      <c r="A882" s="4"/>
      <c r="B882" s="4"/>
      <c r="C882" s="3"/>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row>
    <row r="883" spans="1:247" ht="12.75" customHeight="1">
      <c r="A883" s="4"/>
      <c r="B883" s="4"/>
      <c r="C883" s="3"/>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row>
    <row r="884" spans="1:247" ht="12.75" customHeight="1">
      <c r="A884" s="4"/>
      <c r="B884" s="4"/>
      <c r="C884" s="3"/>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row>
    <row r="885" spans="1:247" ht="12.75" customHeight="1">
      <c r="A885" s="4"/>
      <c r="B885" s="4"/>
      <c r="C885" s="3"/>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row>
    <row r="886" spans="1:247" ht="12.75" customHeight="1">
      <c r="A886" s="4"/>
      <c r="B886" s="4"/>
      <c r="C886" s="3"/>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row>
    <row r="887" spans="1:247" ht="12.75" customHeight="1">
      <c r="A887" s="4"/>
      <c r="B887" s="4"/>
      <c r="C887" s="3"/>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row>
    <row r="888" spans="1:247" ht="12.75" customHeight="1">
      <c r="A888" s="4"/>
      <c r="B888" s="4"/>
      <c r="C888" s="3"/>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row>
    <row r="889" spans="1:247" ht="12.75" customHeight="1">
      <c r="A889" s="4"/>
      <c r="B889" s="4"/>
      <c r="C889" s="3"/>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row>
    <row r="890" spans="1:247" ht="12.75" customHeight="1">
      <c r="A890" s="4"/>
      <c r="B890" s="4"/>
      <c r="C890" s="3"/>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row>
    <row r="891" spans="1:247" ht="12.75" customHeight="1">
      <c r="A891" s="4"/>
      <c r="B891" s="4"/>
      <c r="C891" s="3"/>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row>
    <row r="892" spans="1:247" ht="12.75" customHeight="1">
      <c r="A892" s="4"/>
      <c r="B892" s="4"/>
      <c r="C892" s="3"/>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row>
    <row r="893" spans="1:247" ht="12.75" customHeight="1">
      <c r="A893" s="4"/>
      <c r="B893" s="4"/>
      <c r="C893" s="3"/>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row>
    <row r="894" spans="1:247" ht="12.75" customHeight="1">
      <c r="A894" s="4"/>
      <c r="B894" s="4"/>
      <c r="C894" s="3"/>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row>
    <row r="895" spans="1:247" ht="12.75" customHeight="1">
      <c r="A895" s="4"/>
      <c r="B895" s="4"/>
      <c r="C895" s="3"/>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row>
    <row r="896" spans="1:247" ht="12.75" customHeight="1">
      <c r="A896" s="4"/>
      <c r="B896" s="4"/>
      <c r="C896" s="3"/>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row>
    <row r="897" spans="1:247" ht="12.75" customHeight="1">
      <c r="A897" s="4"/>
      <c r="B897" s="4"/>
      <c r="C897" s="3"/>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row>
    <row r="898" spans="1:247" ht="12.75" customHeight="1">
      <c r="A898" s="4"/>
      <c r="B898" s="4"/>
      <c r="C898" s="3"/>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row>
    <row r="899" spans="1:247" ht="12.75" customHeight="1">
      <c r="A899" s="4"/>
      <c r="B899" s="4"/>
      <c r="C899" s="3"/>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row>
    <row r="900" spans="1:247" ht="12.75" customHeight="1">
      <c r="A900" s="4"/>
      <c r="B900" s="4"/>
      <c r="C900" s="3"/>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row>
    <row r="901" spans="1:247" ht="12.75" customHeight="1">
      <c r="A901" s="4"/>
      <c r="B901" s="4"/>
      <c r="C901" s="3"/>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row>
    <row r="902" spans="1:247" ht="12.75" customHeight="1">
      <c r="A902" s="4"/>
      <c r="B902" s="4"/>
      <c r="C902" s="3"/>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row>
    <row r="903" spans="1:247" ht="12.75" customHeight="1">
      <c r="A903" s="4"/>
      <c r="B903" s="4"/>
      <c r="C903" s="3"/>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row>
    <row r="904" spans="1:247" ht="12.75" customHeight="1">
      <c r="A904" s="4"/>
      <c r="B904" s="4"/>
      <c r="C904" s="3"/>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row>
    <row r="905" spans="1:247" ht="12.75" customHeight="1">
      <c r="A905" s="4"/>
      <c r="B905" s="4"/>
      <c r="C905" s="3"/>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row>
    <row r="906" spans="1:247" ht="12.75" customHeight="1">
      <c r="A906" s="4"/>
      <c r="B906" s="4"/>
      <c r="C906" s="3"/>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row>
    <row r="907" spans="1:247" ht="12.75" customHeight="1">
      <c r="A907" s="4"/>
      <c r="B907" s="4"/>
      <c r="C907" s="3"/>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row>
    <row r="908" spans="1:247" ht="12.75" customHeight="1">
      <c r="A908" s="4"/>
      <c r="B908" s="4"/>
      <c r="C908" s="3"/>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row>
    <row r="909" spans="1:247" ht="12.75" customHeight="1">
      <c r="A909" s="4"/>
      <c r="B909" s="4"/>
      <c r="C909" s="3"/>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row>
    <row r="910" spans="1:247" ht="12.75" customHeight="1">
      <c r="A910" s="4"/>
      <c r="B910" s="4"/>
      <c r="C910" s="3"/>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row>
    <row r="911" spans="1:247" ht="12.75" customHeight="1">
      <c r="A911" s="4"/>
      <c r="B911" s="4"/>
      <c r="C911" s="3"/>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row>
    <row r="912" spans="1:247" ht="12.75" customHeight="1">
      <c r="A912" s="4"/>
      <c r="B912" s="4"/>
      <c r="C912" s="3"/>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row>
    <row r="913" spans="1:247" ht="12.75" customHeight="1">
      <c r="A913" s="4"/>
      <c r="B913" s="4"/>
      <c r="C913" s="3"/>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row>
    <row r="914" spans="1:247" ht="12.75" customHeight="1">
      <c r="A914" s="4"/>
      <c r="B914" s="4"/>
      <c r="C914" s="3"/>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row>
    <row r="915" spans="1:247" ht="12.75" customHeight="1">
      <c r="A915" s="4"/>
      <c r="B915" s="4"/>
      <c r="C915" s="3"/>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row>
    <row r="916" spans="1:247" ht="12.75" customHeight="1">
      <c r="A916" s="4"/>
      <c r="B916" s="4"/>
      <c r="C916" s="3"/>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row>
    <row r="917" spans="1:247" ht="12.75" customHeight="1">
      <c r="A917" s="4"/>
      <c r="B917" s="4"/>
      <c r="C917" s="3"/>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row>
    <row r="918" spans="1:247" ht="12.75" customHeight="1">
      <c r="A918" s="4"/>
      <c r="B918" s="4"/>
      <c r="C918" s="3"/>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row>
    <row r="919" spans="1:247" ht="12.75" customHeight="1">
      <c r="A919" s="4"/>
      <c r="B919" s="4"/>
      <c r="C919" s="3"/>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row>
    <row r="920" spans="1:247" ht="12.75" customHeight="1">
      <c r="A920" s="4"/>
      <c r="B920" s="4"/>
      <c r="C920" s="3"/>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row>
    <row r="921" spans="1:247" ht="12.75" customHeight="1">
      <c r="A921" s="4"/>
      <c r="B921" s="4"/>
      <c r="C921" s="3"/>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row>
    <row r="922" spans="1:247" ht="12.75" customHeight="1">
      <c r="A922" s="4"/>
      <c r="B922" s="4"/>
      <c r="C922" s="3"/>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row>
    <row r="923" spans="1:247" ht="12.75" customHeight="1">
      <c r="A923" s="4"/>
      <c r="B923" s="4"/>
      <c r="C923" s="3"/>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row>
    <row r="924" spans="1:247" ht="12.75" customHeight="1">
      <c r="A924" s="4"/>
      <c r="B924" s="4"/>
      <c r="C924" s="3"/>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row>
    <row r="925" spans="1:247" ht="12.75" customHeight="1">
      <c r="A925" s="4"/>
      <c r="B925" s="4"/>
      <c r="C925" s="3"/>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row>
    <row r="926" spans="1:247" ht="12.75" customHeight="1">
      <c r="A926" s="4"/>
      <c r="B926" s="4"/>
      <c r="C926" s="3"/>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row>
    <row r="927" spans="1:247" ht="12.75" customHeight="1">
      <c r="A927" s="4"/>
      <c r="B927" s="4"/>
      <c r="C927" s="3"/>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row>
    <row r="928" spans="1:247" ht="12.75" customHeight="1">
      <c r="A928" s="4"/>
      <c r="B928" s="4"/>
      <c r="C928" s="3"/>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row>
    <row r="929" spans="1:247" ht="12.75" customHeight="1">
      <c r="A929" s="4"/>
      <c r="B929" s="4"/>
      <c r="C929" s="3"/>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row>
    <row r="930" spans="1:247" ht="12.75" customHeight="1">
      <c r="A930" s="4"/>
      <c r="B930" s="4"/>
      <c r="C930" s="3"/>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row>
    <row r="931" spans="1:247" ht="12.75" customHeight="1">
      <c r="A931" s="4"/>
      <c r="B931" s="4"/>
      <c r="C931" s="3"/>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row>
    <row r="932" spans="1:247" ht="12.75" customHeight="1">
      <c r="A932" s="4"/>
      <c r="B932" s="4"/>
      <c r="C932" s="3"/>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row>
    <row r="933" spans="1:247" ht="12.75" customHeight="1">
      <c r="A933" s="4"/>
      <c r="B933" s="4"/>
      <c r="C933" s="3"/>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row>
    <row r="934" spans="1:247" ht="12.75" customHeight="1">
      <c r="A934" s="4"/>
      <c r="B934" s="4"/>
      <c r="C934" s="3"/>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row>
    <row r="935" spans="1:247" ht="12.75" customHeight="1">
      <c r="A935" s="4"/>
      <c r="B935" s="4"/>
      <c r="C935" s="3"/>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row>
    <row r="936" spans="1:247" ht="12.75" customHeight="1">
      <c r="A936" s="4"/>
      <c r="B936" s="4"/>
      <c r="C936" s="3"/>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row>
    <row r="937" spans="1:247" ht="12.75" customHeight="1">
      <c r="A937" s="4"/>
      <c r="B937" s="4"/>
      <c r="C937" s="3"/>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row>
    <row r="938" spans="1:247" ht="12.75" customHeight="1">
      <c r="A938" s="4"/>
      <c r="B938" s="4"/>
      <c r="C938" s="3"/>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row>
    <row r="939" spans="1:247" ht="12.75" customHeight="1">
      <c r="A939" s="4"/>
      <c r="B939" s="4"/>
      <c r="C939" s="3"/>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row>
    <row r="940" spans="1:247" ht="12.75" customHeight="1">
      <c r="A940" s="4"/>
      <c r="B940" s="4"/>
      <c r="C940" s="3"/>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row>
    <row r="941" spans="1:247" ht="12.75" customHeight="1">
      <c r="A941" s="4"/>
      <c r="B941" s="4"/>
      <c r="C941" s="3"/>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row>
    <row r="942" spans="1:247" ht="12.75" customHeight="1">
      <c r="A942" s="4"/>
      <c r="B942" s="4"/>
      <c r="C942" s="3"/>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row>
    <row r="943" spans="1:247" ht="12.75" customHeight="1">
      <c r="A943" s="4"/>
      <c r="B943" s="4"/>
      <c r="C943" s="3"/>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row>
    <row r="944" spans="1:247" ht="12.75" customHeight="1">
      <c r="A944" s="4"/>
      <c r="B944" s="4"/>
      <c r="C944" s="3"/>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row>
    <row r="945" spans="1:247" ht="12.75" customHeight="1">
      <c r="A945" s="4"/>
      <c r="B945" s="4"/>
      <c r="C945" s="3"/>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row>
    <row r="946" spans="1:247" ht="12.75" customHeight="1">
      <c r="A946" s="4"/>
      <c r="B946" s="4"/>
      <c r="C946" s="3"/>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row>
    <row r="947" spans="1:247" ht="12.75" customHeight="1">
      <c r="A947" s="4"/>
      <c r="B947" s="4"/>
      <c r="C947" s="3"/>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row>
    <row r="948" spans="1:247" ht="12.75" customHeight="1">
      <c r="A948" s="4"/>
      <c r="B948" s="4"/>
      <c r="C948" s="3"/>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row>
    <row r="949" spans="1:247" ht="12.75" customHeight="1">
      <c r="A949" s="4"/>
      <c r="B949" s="4"/>
      <c r="C949" s="3"/>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row>
    <row r="950" spans="1:247" ht="12.75" customHeight="1">
      <c r="A950" s="4"/>
      <c r="B950" s="4"/>
      <c r="C950" s="3"/>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row>
    <row r="951" spans="1:247" ht="12.75" customHeight="1">
      <c r="A951" s="4"/>
      <c r="B951" s="4"/>
      <c r="C951" s="3"/>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row>
    <row r="952" spans="1:247" ht="12.75" customHeight="1">
      <c r="A952" s="4"/>
      <c r="B952" s="4"/>
      <c r="C952" s="3"/>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row>
    <row r="953" spans="1:247" ht="12.75" customHeight="1">
      <c r="A953" s="4"/>
      <c r="B953" s="4"/>
      <c r="C953" s="3"/>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row>
    <row r="954" spans="1:247" ht="12.75" customHeight="1">
      <c r="A954" s="4"/>
      <c r="B954" s="4"/>
      <c r="C954" s="3"/>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row>
    <row r="955" spans="1:247" ht="12.75" customHeight="1">
      <c r="A955" s="4"/>
      <c r="B955" s="4"/>
      <c r="C955" s="3"/>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row>
    <row r="956" spans="1:247" ht="12.75" customHeight="1">
      <c r="A956" s="4"/>
      <c r="B956" s="4"/>
      <c r="C956" s="3"/>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row>
    <row r="957" spans="1:247" ht="12.75" customHeight="1">
      <c r="A957" s="4"/>
      <c r="B957" s="4"/>
      <c r="C957" s="3"/>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row>
    <row r="958" spans="1:247" ht="12.75" customHeight="1">
      <c r="A958" s="4"/>
      <c r="B958" s="4"/>
      <c r="C958" s="3"/>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row>
    <row r="959" spans="1:247" ht="12.75" customHeight="1">
      <c r="A959" s="4"/>
      <c r="B959" s="4"/>
      <c r="C959" s="3"/>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row>
    <row r="960" spans="1:247" ht="12.75" customHeight="1">
      <c r="A960" s="4"/>
      <c r="B960" s="4"/>
      <c r="C960" s="3"/>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row>
    <row r="961" spans="1:247" ht="12.75" customHeight="1">
      <c r="A961" s="4"/>
      <c r="B961" s="4"/>
      <c r="C961" s="3"/>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row>
    <row r="962" spans="1:247" ht="12.75" customHeight="1">
      <c r="A962" s="4"/>
      <c r="B962" s="4"/>
      <c r="C962" s="3"/>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row>
    <row r="963" spans="1:247" ht="12.75" customHeight="1">
      <c r="A963" s="4"/>
      <c r="B963" s="4"/>
      <c r="C963" s="3"/>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row>
    <row r="964" spans="1:247" ht="12.75" customHeight="1">
      <c r="A964" s="4"/>
      <c r="B964" s="4"/>
      <c r="C964" s="3"/>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row>
    <row r="965" spans="1:247" ht="12.75" customHeight="1">
      <c r="A965" s="4"/>
      <c r="B965" s="4"/>
      <c r="C965" s="3"/>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row>
    <row r="966" spans="1:247" ht="12.75" customHeight="1">
      <c r="A966" s="4"/>
      <c r="B966" s="4"/>
      <c r="C966" s="3"/>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row>
    <row r="967" spans="1:247" ht="12.75" customHeight="1">
      <c r="A967" s="4"/>
      <c r="B967" s="4"/>
      <c r="C967" s="3"/>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row>
    <row r="968" spans="1:247" ht="12.75" customHeight="1">
      <c r="A968" s="4"/>
      <c r="B968" s="4"/>
      <c r="C968" s="3"/>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row>
    <row r="969" spans="1:247" ht="12.75" customHeight="1">
      <c r="A969" s="4"/>
      <c r="B969" s="4"/>
      <c r="C969" s="3"/>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row>
    <row r="970" spans="1:247" ht="12.75" customHeight="1">
      <c r="A970" s="4"/>
      <c r="B970" s="4"/>
      <c r="C970" s="3"/>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row>
    <row r="971" spans="1:247" ht="12.75" customHeight="1">
      <c r="A971" s="4"/>
      <c r="B971" s="4"/>
      <c r="C971" s="3"/>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row>
    <row r="972" spans="1:247" ht="12.75" customHeight="1">
      <c r="A972" s="4"/>
      <c r="B972" s="4"/>
      <c r="C972" s="3"/>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row>
    <row r="973" spans="1:247" ht="12.75" customHeight="1">
      <c r="A973" s="4"/>
      <c r="B973" s="4"/>
      <c r="C973" s="3"/>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row>
    <row r="974" spans="1:247" ht="12.75" customHeight="1">
      <c r="A974" s="4"/>
      <c r="B974" s="4"/>
      <c r="C974" s="3"/>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row>
    <row r="975" spans="1:247" ht="12.75" customHeight="1">
      <c r="A975" s="4"/>
      <c r="B975" s="4"/>
      <c r="C975" s="3"/>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row>
    <row r="976" spans="1:247" ht="12.75" customHeight="1">
      <c r="A976" s="4"/>
      <c r="B976" s="4"/>
      <c r="C976" s="3"/>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row>
    <row r="977" spans="1:247" ht="12.75" customHeight="1">
      <c r="A977" s="4"/>
      <c r="B977" s="4"/>
      <c r="C977" s="3"/>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row>
    <row r="978" spans="1:247" ht="12.75" customHeight="1">
      <c r="A978" s="4"/>
      <c r="B978" s="4"/>
      <c r="C978" s="3"/>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row>
    <row r="979" spans="1:247" ht="12.75" customHeight="1">
      <c r="A979" s="4"/>
      <c r="B979" s="4"/>
      <c r="C979" s="3"/>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row>
    <row r="980" spans="1:247" ht="12.75" customHeight="1">
      <c r="A980" s="4"/>
      <c r="B980" s="4"/>
      <c r="C980" s="3"/>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row>
    <row r="981" spans="1:247" ht="12.75" customHeight="1">
      <c r="A981" s="4"/>
      <c r="B981" s="4"/>
      <c r="C981" s="3"/>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row>
    <row r="982" spans="1:247" ht="12.75" customHeight="1">
      <c r="A982" s="4"/>
      <c r="B982" s="4"/>
      <c r="C982" s="3"/>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row>
    <row r="983" spans="1:247" ht="12.75" customHeight="1">
      <c r="A983" s="4"/>
      <c r="B983" s="4"/>
      <c r="C983" s="3"/>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row>
    <row r="984" spans="1:247" ht="12.75" customHeight="1">
      <c r="A984" s="4"/>
      <c r="B984" s="4"/>
      <c r="C984" s="3"/>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row>
    <row r="985" spans="1:247" ht="12.75" customHeight="1">
      <c r="A985" s="4"/>
      <c r="B985" s="4"/>
      <c r="C985" s="3"/>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row>
    <row r="986" spans="1:247" ht="12.75" customHeight="1">
      <c r="A986" s="4"/>
      <c r="B986" s="4"/>
      <c r="C986" s="3"/>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row>
    <row r="987" spans="1:247" ht="12.75" customHeight="1">
      <c r="A987" s="4"/>
      <c r="B987" s="4"/>
      <c r="C987" s="3"/>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row>
    <row r="988" spans="1:247" ht="12.75" customHeight="1">
      <c r="A988" s="4"/>
      <c r="B988" s="4"/>
      <c r="C988" s="3"/>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row>
    <row r="989" spans="1:247" ht="12.75" customHeight="1">
      <c r="A989" s="4"/>
      <c r="B989" s="4"/>
      <c r="C989" s="3"/>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row>
    <row r="990" spans="1:247" ht="12.75" customHeight="1">
      <c r="A990" s="4"/>
      <c r="B990" s="4"/>
      <c r="C990" s="3"/>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row>
    <row r="991" spans="1:247" ht="12.75" customHeight="1">
      <c r="A991" s="4"/>
      <c r="B991" s="4"/>
      <c r="C991" s="3"/>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row>
    <row r="992" spans="1:247" ht="12.75" customHeight="1">
      <c r="A992" s="4"/>
      <c r="B992" s="4"/>
      <c r="C992" s="3"/>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row>
    <row r="993" spans="1:247" ht="12.75" customHeight="1">
      <c r="A993" s="4"/>
      <c r="B993" s="4"/>
      <c r="C993" s="3"/>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row>
    <row r="994" spans="1:247" ht="12.75" customHeight="1">
      <c r="A994" s="4"/>
      <c r="B994" s="4"/>
      <c r="C994" s="3"/>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row>
    <row r="995" spans="1:247" ht="12.75" customHeight="1">
      <c r="A995" s="4"/>
      <c r="B995" s="4"/>
      <c r="C995" s="3"/>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row>
    <row r="996" spans="1:247" ht="12.75" customHeight="1">
      <c r="A996" s="4"/>
      <c r="B996" s="4"/>
      <c r="C996" s="3"/>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row>
    <row r="997" spans="1:247" ht="12.75" customHeight="1">
      <c r="A997" s="4"/>
      <c r="B997" s="4"/>
      <c r="C997" s="3"/>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row>
    <row r="998" spans="1:247" ht="12.75" customHeight="1">
      <c r="A998" s="4"/>
      <c r="B998" s="4"/>
      <c r="C998" s="3"/>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row>
    <row r="999" spans="1:247" ht="12.75" customHeight="1">
      <c r="A999" s="4"/>
      <c r="B999" s="4"/>
      <c r="C999" s="3"/>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row>
  </sheetData>
  <mergeCells count="5">
    <mergeCell ref="A3:B4"/>
    <mergeCell ref="A5:C6"/>
    <mergeCell ref="A13:B13"/>
    <mergeCell ref="A19:B19"/>
    <mergeCell ref="A26:B26"/>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Narrow,Negrita"PRESUPUESTTO 2024</oddHeader>
    <oddFooter>&amp;R&amp;"Arial Narrow,Normal"&amp;P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C406"/>
  <sheetViews>
    <sheetView topLeftCell="H1" zoomScale="140" zoomScaleNormal="140" workbookViewId="0">
      <selection activeCell="P1" sqref="P1"/>
    </sheetView>
  </sheetViews>
  <sheetFormatPr baseColWidth="10" defaultRowHeight="12.75"/>
  <cols>
    <col min="1" max="9" width="2.42578125" style="868" customWidth="1"/>
    <col min="10" max="10" width="52.85546875" style="868" customWidth="1"/>
    <col min="11" max="12" width="12.140625" style="888" customWidth="1"/>
    <col min="13" max="13" width="12.140625" style="857" customWidth="1"/>
    <col min="14" max="14" width="13.140625" style="891" customWidth="1"/>
    <col min="15" max="16" width="12.140625" style="891" customWidth="1"/>
    <col min="17" max="17" width="13.140625" style="868" bestFit="1" customWidth="1"/>
    <col min="18" max="18" width="11.42578125" style="869"/>
    <col min="19" max="256" width="11.42578125" style="868"/>
    <col min="257" max="265" width="2.42578125" style="868" customWidth="1"/>
    <col min="266" max="266" width="52.85546875" style="868" customWidth="1"/>
    <col min="267" max="272" width="12.140625" style="868" customWidth="1"/>
    <col min="273" max="273" width="12.42578125" style="868" bestFit="1" customWidth="1"/>
    <col min="274" max="512" width="11.42578125" style="868"/>
    <col min="513" max="521" width="2.42578125" style="868" customWidth="1"/>
    <col min="522" max="522" width="52.85546875" style="868" customWidth="1"/>
    <col min="523" max="528" width="12.140625" style="868" customWidth="1"/>
    <col min="529" max="529" width="12.42578125" style="868" bestFit="1" customWidth="1"/>
    <col min="530" max="768" width="11.42578125" style="868"/>
    <col min="769" max="777" width="2.42578125" style="868" customWidth="1"/>
    <col min="778" max="778" width="52.85546875" style="868" customWidth="1"/>
    <col min="779" max="784" width="12.140625" style="868" customWidth="1"/>
    <col min="785" max="785" width="12.42578125" style="868" bestFit="1" customWidth="1"/>
    <col min="786" max="1024" width="11.42578125" style="868"/>
    <col min="1025" max="1033" width="2.42578125" style="868" customWidth="1"/>
    <col min="1034" max="1034" width="52.85546875" style="868" customWidth="1"/>
    <col min="1035" max="1040" width="12.140625" style="868" customWidth="1"/>
    <col min="1041" max="1041" width="12.42578125" style="868" bestFit="1" customWidth="1"/>
    <col min="1042" max="1280" width="11.42578125" style="868"/>
    <col min="1281" max="1289" width="2.42578125" style="868" customWidth="1"/>
    <col min="1290" max="1290" width="52.85546875" style="868" customWidth="1"/>
    <col min="1291" max="1296" width="12.140625" style="868" customWidth="1"/>
    <col min="1297" max="1297" width="12.42578125" style="868" bestFit="1" customWidth="1"/>
    <col min="1298" max="1536" width="11.42578125" style="868"/>
    <col min="1537" max="1545" width="2.42578125" style="868" customWidth="1"/>
    <col min="1546" max="1546" width="52.85546875" style="868" customWidth="1"/>
    <col min="1547" max="1552" width="12.140625" style="868" customWidth="1"/>
    <col min="1553" max="1553" width="12.42578125" style="868" bestFit="1" customWidth="1"/>
    <col min="1554" max="1792" width="11.42578125" style="868"/>
    <col min="1793" max="1801" width="2.42578125" style="868" customWidth="1"/>
    <col min="1802" max="1802" width="52.85546875" style="868" customWidth="1"/>
    <col min="1803" max="1808" width="12.140625" style="868" customWidth="1"/>
    <col min="1809" max="1809" width="12.42578125" style="868" bestFit="1" customWidth="1"/>
    <col min="1810" max="2048" width="11.42578125" style="868"/>
    <col min="2049" max="2057" width="2.42578125" style="868" customWidth="1"/>
    <col min="2058" max="2058" width="52.85546875" style="868" customWidth="1"/>
    <col min="2059" max="2064" width="12.140625" style="868" customWidth="1"/>
    <col min="2065" max="2065" width="12.42578125" style="868" bestFit="1" customWidth="1"/>
    <col min="2066" max="2304" width="11.42578125" style="868"/>
    <col min="2305" max="2313" width="2.42578125" style="868" customWidth="1"/>
    <col min="2314" max="2314" width="52.85546875" style="868" customWidth="1"/>
    <col min="2315" max="2320" width="12.140625" style="868" customWidth="1"/>
    <col min="2321" max="2321" width="12.42578125" style="868" bestFit="1" customWidth="1"/>
    <col min="2322" max="2560" width="11.42578125" style="868"/>
    <col min="2561" max="2569" width="2.42578125" style="868" customWidth="1"/>
    <col min="2570" max="2570" width="52.85546875" style="868" customWidth="1"/>
    <col min="2571" max="2576" width="12.140625" style="868" customWidth="1"/>
    <col min="2577" max="2577" width="12.42578125" style="868" bestFit="1" customWidth="1"/>
    <col min="2578" max="2816" width="11.42578125" style="868"/>
    <col min="2817" max="2825" width="2.42578125" style="868" customWidth="1"/>
    <col min="2826" max="2826" width="52.85546875" style="868" customWidth="1"/>
    <col min="2827" max="2832" width="12.140625" style="868" customWidth="1"/>
    <col min="2833" max="2833" width="12.42578125" style="868" bestFit="1" customWidth="1"/>
    <col min="2834" max="3072" width="11.42578125" style="868"/>
    <col min="3073" max="3081" width="2.42578125" style="868" customWidth="1"/>
    <col min="3082" max="3082" width="52.85546875" style="868" customWidth="1"/>
    <col min="3083" max="3088" width="12.140625" style="868" customWidth="1"/>
    <col min="3089" max="3089" width="12.42578125" style="868" bestFit="1" customWidth="1"/>
    <col min="3090" max="3328" width="11.42578125" style="868"/>
    <col min="3329" max="3337" width="2.42578125" style="868" customWidth="1"/>
    <col min="3338" max="3338" width="52.85546875" style="868" customWidth="1"/>
    <col min="3339" max="3344" width="12.140625" style="868" customWidth="1"/>
    <col min="3345" max="3345" width="12.42578125" style="868" bestFit="1" customWidth="1"/>
    <col min="3346" max="3584" width="11.42578125" style="868"/>
    <col min="3585" max="3593" width="2.42578125" style="868" customWidth="1"/>
    <col min="3594" max="3594" width="52.85546875" style="868" customWidth="1"/>
    <col min="3595" max="3600" width="12.140625" style="868" customWidth="1"/>
    <col min="3601" max="3601" width="12.42578125" style="868" bestFit="1" customWidth="1"/>
    <col min="3602" max="3840" width="11.42578125" style="868"/>
    <col min="3841" max="3849" width="2.42578125" style="868" customWidth="1"/>
    <col min="3850" max="3850" width="52.85546875" style="868" customWidth="1"/>
    <col min="3851" max="3856" width="12.140625" style="868" customWidth="1"/>
    <col min="3857" max="3857" width="12.42578125" style="868" bestFit="1" customWidth="1"/>
    <col min="3858" max="4096" width="11.42578125" style="868"/>
    <col min="4097" max="4105" width="2.42578125" style="868" customWidth="1"/>
    <col min="4106" max="4106" width="52.85546875" style="868" customWidth="1"/>
    <col min="4107" max="4112" width="12.140625" style="868" customWidth="1"/>
    <col min="4113" max="4113" width="12.42578125" style="868" bestFit="1" customWidth="1"/>
    <col min="4114" max="4352" width="11.42578125" style="868"/>
    <col min="4353" max="4361" width="2.42578125" style="868" customWidth="1"/>
    <col min="4362" max="4362" width="52.85546875" style="868" customWidth="1"/>
    <col min="4363" max="4368" width="12.140625" style="868" customWidth="1"/>
    <col min="4369" max="4369" width="12.42578125" style="868" bestFit="1" customWidth="1"/>
    <col min="4370" max="4608" width="11.42578125" style="868"/>
    <col min="4609" max="4617" width="2.42578125" style="868" customWidth="1"/>
    <col min="4618" max="4618" width="52.85546875" style="868" customWidth="1"/>
    <col min="4619" max="4624" width="12.140625" style="868" customWidth="1"/>
    <col min="4625" max="4625" width="12.42578125" style="868" bestFit="1" customWidth="1"/>
    <col min="4626" max="4864" width="11.42578125" style="868"/>
    <col min="4865" max="4873" width="2.42578125" style="868" customWidth="1"/>
    <col min="4874" max="4874" width="52.85546875" style="868" customWidth="1"/>
    <col min="4875" max="4880" width="12.140625" style="868" customWidth="1"/>
    <col min="4881" max="4881" width="12.42578125" style="868" bestFit="1" customWidth="1"/>
    <col min="4882" max="5120" width="11.42578125" style="868"/>
    <col min="5121" max="5129" width="2.42578125" style="868" customWidth="1"/>
    <col min="5130" max="5130" width="52.85546875" style="868" customWidth="1"/>
    <col min="5131" max="5136" width="12.140625" style="868" customWidth="1"/>
    <col min="5137" max="5137" width="12.42578125" style="868" bestFit="1" customWidth="1"/>
    <col min="5138" max="5376" width="11.42578125" style="868"/>
    <col min="5377" max="5385" width="2.42578125" style="868" customWidth="1"/>
    <col min="5386" max="5386" width="52.85546875" style="868" customWidth="1"/>
    <col min="5387" max="5392" width="12.140625" style="868" customWidth="1"/>
    <col min="5393" max="5393" width="12.42578125" style="868" bestFit="1" customWidth="1"/>
    <col min="5394" max="5632" width="11.42578125" style="868"/>
    <col min="5633" max="5641" width="2.42578125" style="868" customWidth="1"/>
    <col min="5642" max="5642" width="52.85546875" style="868" customWidth="1"/>
    <col min="5643" max="5648" width="12.140625" style="868" customWidth="1"/>
    <col min="5649" max="5649" width="12.42578125" style="868" bestFit="1" customWidth="1"/>
    <col min="5650" max="5888" width="11.42578125" style="868"/>
    <col min="5889" max="5897" width="2.42578125" style="868" customWidth="1"/>
    <col min="5898" max="5898" width="52.85546875" style="868" customWidth="1"/>
    <col min="5899" max="5904" width="12.140625" style="868" customWidth="1"/>
    <col min="5905" max="5905" width="12.42578125" style="868" bestFit="1" customWidth="1"/>
    <col min="5906" max="6144" width="11.42578125" style="868"/>
    <col min="6145" max="6153" width="2.42578125" style="868" customWidth="1"/>
    <col min="6154" max="6154" width="52.85546875" style="868" customWidth="1"/>
    <col min="6155" max="6160" width="12.140625" style="868" customWidth="1"/>
    <col min="6161" max="6161" width="12.42578125" style="868" bestFit="1" customWidth="1"/>
    <col min="6162" max="6400" width="11.42578125" style="868"/>
    <col min="6401" max="6409" width="2.42578125" style="868" customWidth="1"/>
    <col min="6410" max="6410" width="52.85546875" style="868" customWidth="1"/>
    <col min="6411" max="6416" width="12.140625" style="868" customWidth="1"/>
    <col min="6417" max="6417" width="12.42578125" style="868" bestFit="1" customWidth="1"/>
    <col min="6418" max="6656" width="11.42578125" style="868"/>
    <col min="6657" max="6665" width="2.42578125" style="868" customWidth="1"/>
    <col min="6666" max="6666" width="52.85546875" style="868" customWidth="1"/>
    <col min="6667" max="6672" width="12.140625" style="868" customWidth="1"/>
    <col min="6673" max="6673" width="12.42578125" style="868" bestFit="1" customWidth="1"/>
    <col min="6674" max="6912" width="11.42578125" style="868"/>
    <col min="6913" max="6921" width="2.42578125" style="868" customWidth="1"/>
    <col min="6922" max="6922" width="52.85546875" style="868" customWidth="1"/>
    <col min="6923" max="6928" width="12.140625" style="868" customWidth="1"/>
    <col min="6929" max="6929" width="12.42578125" style="868" bestFit="1" customWidth="1"/>
    <col min="6930" max="7168" width="11.42578125" style="868"/>
    <col min="7169" max="7177" width="2.42578125" style="868" customWidth="1"/>
    <col min="7178" max="7178" width="52.85546875" style="868" customWidth="1"/>
    <col min="7179" max="7184" width="12.140625" style="868" customWidth="1"/>
    <col min="7185" max="7185" width="12.42578125" style="868" bestFit="1" customWidth="1"/>
    <col min="7186" max="7424" width="11.42578125" style="868"/>
    <col min="7425" max="7433" width="2.42578125" style="868" customWidth="1"/>
    <col min="7434" max="7434" width="52.85546875" style="868" customWidth="1"/>
    <col min="7435" max="7440" width="12.140625" style="868" customWidth="1"/>
    <col min="7441" max="7441" width="12.42578125" style="868" bestFit="1" customWidth="1"/>
    <col min="7442" max="7680" width="11.42578125" style="868"/>
    <col min="7681" max="7689" width="2.42578125" style="868" customWidth="1"/>
    <col min="7690" max="7690" width="52.85546875" style="868" customWidth="1"/>
    <col min="7691" max="7696" width="12.140625" style="868" customWidth="1"/>
    <col min="7697" max="7697" width="12.42578125" style="868" bestFit="1" customWidth="1"/>
    <col min="7698" max="7936" width="11.42578125" style="868"/>
    <col min="7937" max="7945" width="2.42578125" style="868" customWidth="1"/>
    <col min="7946" max="7946" width="52.85546875" style="868" customWidth="1"/>
    <col min="7947" max="7952" width="12.140625" style="868" customWidth="1"/>
    <col min="7953" max="7953" width="12.42578125" style="868" bestFit="1" customWidth="1"/>
    <col min="7954" max="8192" width="11.42578125" style="868"/>
    <col min="8193" max="8201" width="2.42578125" style="868" customWidth="1"/>
    <col min="8202" max="8202" width="52.85546875" style="868" customWidth="1"/>
    <col min="8203" max="8208" width="12.140625" style="868" customWidth="1"/>
    <col min="8209" max="8209" width="12.42578125" style="868" bestFit="1" customWidth="1"/>
    <col min="8210" max="8448" width="11.42578125" style="868"/>
    <col min="8449" max="8457" width="2.42578125" style="868" customWidth="1"/>
    <col min="8458" max="8458" width="52.85546875" style="868" customWidth="1"/>
    <col min="8459" max="8464" width="12.140625" style="868" customWidth="1"/>
    <col min="8465" max="8465" width="12.42578125" style="868" bestFit="1" customWidth="1"/>
    <col min="8466" max="8704" width="11.42578125" style="868"/>
    <col min="8705" max="8713" width="2.42578125" style="868" customWidth="1"/>
    <col min="8714" max="8714" width="52.85546875" style="868" customWidth="1"/>
    <col min="8715" max="8720" width="12.140625" style="868" customWidth="1"/>
    <col min="8721" max="8721" width="12.42578125" style="868" bestFit="1" customWidth="1"/>
    <col min="8722" max="8960" width="11.42578125" style="868"/>
    <col min="8961" max="8969" width="2.42578125" style="868" customWidth="1"/>
    <col min="8970" max="8970" width="52.85546875" style="868" customWidth="1"/>
    <col min="8971" max="8976" width="12.140625" style="868" customWidth="1"/>
    <col min="8977" max="8977" width="12.42578125" style="868" bestFit="1" customWidth="1"/>
    <col min="8978" max="9216" width="11.42578125" style="868"/>
    <col min="9217" max="9225" width="2.42578125" style="868" customWidth="1"/>
    <col min="9226" max="9226" width="52.85546875" style="868" customWidth="1"/>
    <col min="9227" max="9232" width="12.140625" style="868" customWidth="1"/>
    <col min="9233" max="9233" width="12.42578125" style="868" bestFit="1" customWidth="1"/>
    <col min="9234" max="9472" width="11.42578125" style="868"/>
    <col min="9473" max="9481" width="2.42578125" style="868" customWidth="1"/>
    <col min="9482" max="9482" width="52.85546875" style="868" customWidth="1"/>
    <col min="9483" max="9488" width="12.140625" style="868" customWidth="1"/>
    <col min="9489" max="9489" width="12.42578125" style="868" bestFit="1" customWidth="1"/>
    <col min="9490" max="9728" width="11.42578125" style="868"/>
    <col min="9729" max="9737" width="2.42578125" style="868" customWidth="1"/>
    <col min="9738" max="9738" width="52.85546875" style="868" customWidth="1"/>
    <col min="9739" max="9744" width="12.140625" style="868" customWidth="1"/>
    <col min="9745" max="9745" width="12.42578125" style="868" bestFit="1" customWidth="1"/>
    <col min="9746" max="9984" width="11.42578125" style="868"/>
    <col min="9985" max="9993" width="2.42578125" style="868" customWidth="1"/>
    <col min="9994" max="9994" width="52.85546875" style="868" customWidth="1"/>
    <col min="9995" max="10000" width="12.140625" style="868" customWidth="1"/>
    <col min="10001" max="10001" width="12.42578125" style="868" bestFit="1" customWidth="1"/>
    <col min="10002" max="10240" width="11.42578125" style="868"/>
    <col min="10241" max="10249" width="2.42578125" style="868" customWidth="1"/>
    <col min="10250" max="10250" width="52.85546875" style="868" customWidth="1"/>
    <col min="10251" max="10256" width="12.140625" style="868" customWidth="1"/>
    <col min="10257" max="10257" width="12.42578125" style="868" bestFit="1" customWidth="1"/>
    <col min="10258" max="10496" width="11.42578125" style="868"/>
    <col min="10497" max="10505" width="2.42578125" style="868" customWidth="1"/>
    <col min="10506" max="10506" width="52.85546875" style="868" customWidth="1"/>
    <col min="10507" max="10512" width="12.140625" style="868" customWidth="1"/>
    <col min="10513" max="10513" width="12.42578125" style="868" bestFit="1" customWidth="1"/>
    <col min="10514" max="10752" width="11.42578125" style="868"/>
    <col min="10753" max="10761" width="2.42578125" style="868" customWidth="1"/>
    <col min="10762" max="10762" width="52.85546875" style="868" customWidth="1"/>
    <col min="10763" max="10768" width="12.140625" style="868" customWidth="1"/>
    <col min="10769" max="10769" width="12.42578125" style="868" bestFit="1" customWidth="1"/>
    <col min="10770" max="11008" width="11.42578125" style="868"/>
    <col min="11009" max="11017" width="2.42578125" style="868" customWidth="1"/>
    <col min="11018" max="11018" width="52.85546875" style="868" customWidth="1"/>
    <col min="11019" max="11024" width="12.140625" style="868" customWidth="1"/>
    <col min="11025" max="11025" width="12.42578125" style="868" bestFit="1" customWidth="1"/>
    <col min="11026" max="11264" width="11.42578125" style="868"/>
    <col min="11265" max="11273" width="2.42578125" style="868" customWidth="1"/>
    <col min="11274" max="11274" width="52.85546875" style="868" customWidth="1"/>
    <col min="11275" max="11280" width="12.140625" style="868" customWidth="1"/>
    <col min="11281" max="11281" width="12.42578125" style="868" bestFit="1" customWidth="1"/>
    <col min="11282" max="11520" width="11.42578125" style="868"/>
    <col min="11521" max="11529" width="2.42578125" style="868" customWidth="1"/>
    <col min="11530" max="11530" width="52.85546875" style="868" customWidth="1"/>
    <col min="11531" max="11536" width="12.140625" style="868" customWidth="1"/>
    <col min="11537" max="11537" width="12.42578125" style="868" bestFit="1" customWidth="1"/>
    <col min="11538" max="11776" width="11.42578125" style="868"/>
    <col min="11777" max="11785" width="2.42578125" style="868" customWidth="1"/>
    <col min="11786" max="11786" width="52.85546875" style="868" customWidth="1"/>
    <col min="11787" max="11792" width="12.140625" style="868" customWidth="1"/>
    <col min="11793" max="11793" width="12.42578125" style="868" bestFit="1" customWidth="1"/>
    <col min="11794" max="12032" width="11.42578125" style="868"/>
    <col min="12033" max="12041" width="2.42578125" style="868" customWidth="1"/>
    <col min="12042" max="12042" width="52.85546875" style="868" customWidth="1"/>
    <col min="12043" max="12048" width="12.140625" style="868" customWidth="1"/>
    <col min="12049" max="12049" width="12.42578125" style="868" bestFit="1" customWidth="1"/>
    <col min="12050" max="12288" width="11.42578125" style="868"/>
    <col min="12289" max="12297" width="2.42578125" style="868" customWidth="1"/>
    <col min="12298" max="12298" width="52.85546875" style="868" customWidth="1"/>
    <col min="12299" max="12304" width="12.140625" style="868" customWidth="1"/>
    <col min="12305" max="12305" width="12.42578125" style="868" bestFit="1" customWidth="1"/>
    <col min="12306" max="12544" width="11.42578125" style="868"/>
    <col min="12545" max="12553" width="2.42578125" style="868" customWidth="1"/>
    <col min="12554" max="12554" width="52.85546875" style="868" customWidth="1"/>
    <col min="12555" max="12560" width="12.140625" style="868" customWidth="1"/>
    <col min="12561" max="12561" width="12.42578125" style="868" bestFit="1" customWidth="1"/>
    <col min="12562" max="12800" width="11.42578125" style="868"/>
    <col min="12801" max="12809" width="2.42578125" style="868" customWidth="1"/>
    <col min="12810" max="12810" width="52.85546875" style="868" customWidth="1"/>
    <col min="12811" max="12816" width="12.140625" style="868" customWidth="1"/>
    <col min="12817" max="12817" width="12.42578125" style="868" bestFit="1" customWidth="1"/>
    <col min="12818" max="13056" width="11.42578125" style="868"/>
    <col min="13057" max="13065" width="2.42578125" style="868" customWidth="1"/>
    <col min="13066" max="13066" width="52.85546875" style="868" customWidth="1"/>
    <col min="13067" max="13072" width="12.140625" style="868" customWidth="1"/>
    <col min="13073" max="13073" width="12.42578125" style="868" bestFit="1" customWidth="1"/>
    <col min="13074" max="13312" width="11.42578125" style="868"/>
    <col min="13313" max="13321" width="2.42578125" style="868" customWidth="1"/>
    <col min="13322" max="13322" width="52.85546875" style="868" customWidth="1"/>
    <col min="13323" max="13328" width="12.140625" style="868" customWidth="1"/>
    <col min="13329" max="13329" width="12.42578125" style="868" bestFit="1" customWidth="1"/>
    <col min="13330" max="13568" width="11.42578125" style="868"/>
    <col min="13569" max="13577" width="2.42578125" style="868" customWidth="1"/>
    <col min="13578" max="13578" width="52.85546875" style="868" customWidth="1"/>
    <col min="13579" max="13584" width="12.140625" style="868" customWidth="1"/>
    <col min="13585" max="13585" width="12.42578125" style="868" bestFit="1" customWidth="1"/>
    <col min="13586" max="13824" width="11.42578125" style="868"/>
    <col min="13825" max="13833" width="2.42578125" style="868" customWidth="1"/>
    <col min="13834" max="13834" width="52.85546875" style="868" customWidth="1"/>
    <col min="13835" max="13840" width="12.140625" style="868" customWidth="1"/>
    <col min="13841" max="13841" width="12.42578125" style="868" bestFit="1" customWidth="1"/>
    <col min="13842" max="14080" width="11.42578125" style="868"/>
    <col min="14081" max="14089" width="2.42578125" style="868" customWidth="1"/>
    <col min="14090" max="14090" width="52.85546875" style="868" customWidth="1"/>
    <col min="14091" max="14096" width="12.140625" style="868" customWidth="1"/>
    <col min="14097" max="14097" width="12.42578125" style="868" bestFit="1" customWidth="1"/>
    <col min="14098" max="14336" width="11.42578125" style="868"/>
    <col min="14337" max="14345" width="2.42578125" style="868" customWidth="1"/>
    <col min="14346" max="14346" width="52.85546875" style="868" customWidth="1"/>
    <col min="14347" max="14352" width="12.140625" style="868" customWidth="1"/>
    <col min="14353" max="14353" width="12.42578125" style="868" bestFit="1" customWidth="1"/>
    <col min="14354" max="14592" width="11.42578125" style="868"/>
    <col min="14593" max="14601" width="2.42578125" style="868" customWidth="1"/>
    <col min="14602" max="14602" width="52.85546875" style="868" customWidth="1"/>
    <col min="14603" max="14608" width="12.140625" style="868" customWidth="1"/>
    <col min="14609" max="14609" width="12.42578125" style="868" bestFit="1" customWidth="1"/>
    <col min="14610" max="14848" width="11.42578125" style="868"/>
    <col min="14849" max="14857" width="2.42578125" style="868" customWidth="1"/>
    <col min="14858" max="14858" width="52.85546875" style="868" customWidth="1"/>
    <col min="14859" max="14864" width="12.140625" style="868" customWidth="1"/>
    <col min="14865" max="14865" width="12.42578125" style="868" bestFit="1" customWidth="1"/>
    <col min="14866" max="15104" width="11.42578125" style="868"/>
    <col min="15105" max="15113" width="2.42578125" style="868" customWidth="1"/>
    <col min="15114" max="15114" width="52.85546875" style="868" customWidth="1"/>
    <col min="15115" max="15120" width="12.140625" style="868" customWidth="1"/>
    <col min="15121" max="15121" width="12.42578125" style="868" bestFit="1" customWidth="1"/>
    <col min="15122" max="15360" width="11.42578125" style="868"/>
    <col min="15361" max="15369" width="2.42578125" style="868" customWidth="1"/>
    <col min="15370" max="15370" width="52.85546875" style="868" customWidth="1"/>
    <col min="15371" max="15376" width="12.140625" style="868" customWidth="1"/>
    <col min="15377" max="15377" width="12.42578125" style="868" bestFit="1" customWidth="1"/>
    <col min="15378" max="15616" width="11.42578125" style="868"/>
    <col min="15617" max="15625" width="2.42578125" style="868" customWidth="1"/>
    <col min="15626" max="15626" width="52.85546875" style="868" customWidth="1"/>
    <col min="15627" max="15632" width="12.140625" style="868" customWidth="1"/>
    <col min="15633" max="15633" width="12.42578125" style="868" bestFit="1" customWidth="1"/>
    <col min="15634" max="15872" width="11.42578125" style="868"/>
    <col min="15873" max="15881" width="2.42578125" style="868" customWidth="1"/>
    <col min="15882" max="15882" width="52.85546875" style="868" customWidth="1"/>
    <col min="15883" max="15888" width="12.140625" style="868" customWidth="1"/>
    <col min="15889" max="15889" width="12.42578125" style="868" bestFit="1" customWidth="1"/>
    <col min="15890" max="16128" width="11.42578125" style="868"/>
    <col min="16129" max="16137" width="2.42578125" style="868" customWidth="1"/>
    <col min="16138" max="16138" width="52.85546875" style="868" customWidth="1"/>
    <col min="16139" max="16144" width="12.140625" style="868" customWidth="1"/>
    <col min="16145" max="16145" width="12.42578125" style="868" bestFit="1" customWidth="1"/>
    <col min="16146" max="16384" width="11.42578125" style="868"/>
  </cols>
  <sheetData>
    <row r="1" spans="1:159" s="859" customFormat="1" ht="16.5" customHeight="1" thickBot="1">
      <c r="A1" s="853" t="s">
        <v>293</v>
      </c>
      <c r="B1" s="854"/>
      <c r="C1" s="854"/>
      <c r="D1" s="854"/>
      <c r="E1" s="854"/>
      <c r="F1" s="854"/>
      <c r="G1" s="1269" t="s">
        <v>294</v>
      </c>
      <c r="H1" s="1269"/>
      <c r="I1" s="1269"/>
      <c r="J1" s="1269"/>
      <c r="K1" s="855"/>
      <c r="L1" s="855"/>
      <c r="M1" s="855"/>
      <c r="N1" s="854"/>
      <c r="O1" s="854"/>
      <c r="P1" s="856">
        <f>SUM(O2:O132)</f>
        <v>29791136956</v>
      </c>
      <c r="Q1" s="857" t="e">
        <f>cuadro!L26</f>
        <v>#REF!</v>
      </c>
      <c r="R1" s="858" t="e">
        <f>P1-Q1</f>
        <v>#REF!</v>
      </c>
    </row>
    <row r="2" spans="1:159" ht="13.5" thickBot="1">
      <c r="A2" s="860" t="s">
        <v>293</v>
      </c>
      <c r="B2" s="861" t="s">
        <v>293</v>
      </c>
      <c r="C2" s="861"/>
      <c r="D2" s="861"/>
      <c r="E2" s="861"/>
      <c r="F2" s="862"/>
      <c r="G2" s="861" t="s">
        <v>295</v>
      </c>
      <c r="H2" s="862"/>
      <c r="I2" s="862"/>
      <c r="J2" s="862"/>
      <c r="K2" s="863"/>
      <c r="L2" s="864"/>
      <c r="M2" s="865"/>
      <c r="N2" s="861"/>
      <c r="O2" s="866">
        <f>SUM(N3:N88)</f>
        <v>25437001009.220001</v>
      </c>
      <c r="P2" s="867"/>
    </row>
    <row r="3" spans="1:159" s="879" customFormat="1" ht="13.5" thickBot="1">
      <c r="A3" s="870" t="s">
        <v>293</v>
      </c>
      <c r="B3" s="871" t="s">
        <v>293</v>
      </c>
      <c r="C3" s="871" t="s">
        <v>293</v>
      </c>
      <c r="D3" s="871"/>
      <c r="E3" s="871"/>
      <c r="F3" s="872"/>
      <c r="G3" s="872"/>
      <c r="H3" s="871" t="s">
        <v>296</v>
      </c>
      <c r="I3" s="872"/>
      <c r="J3" s="872"/>
      <c r="K3" s="873"/>
      <c r="L3" s="874"/>
      <c r="M3" s="875"/>
      <c r="N3" s="876">
        <f>SUM(M4:M69)</f>
        <v>14283331902.160004</v>
      </c>
      <c r="O3" s="871"/>
      <c r="P3" s="877"/>
      <c r="Q3" s="878"/>
      <c r="R3" s="869"/>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row>
    <row r="4" spans="1:159" ht="13.5" thickBot="1">
      <c r="A4" s="880" t="s">
        <v>293</v>
      </c>
      <c r="B4" s="881" t="s">
        <v>293</v>
      </c>
      <c r="C4" s="881" t="s">
        <v>293</v>
      </c>
      <c r="D4" s="881" t="s">
        <v>293</v>
      </c>
      <c r="E4" s="881"/>
      <c r="F4" s="882"/>
      <c r="G4" s="882"/>
      <c r="H4" s="882"/>
      <c r="I4" s="881" t="s">
        <v>297</v>
      </c>
      <c r="J4" s="882"/>
      <c r="K4" s="883"/>
      <c r="L4" s="884"/>
      <c r="M4" s="885">
        <f>SUM(L5:L42)</f>
        <v>13552539127.110004</v>
      </c>
      <c r="N4" s="881"/>
      <c r="O4" s="881"/>
      <c r="P4" s="886"/>
    </row>
    <row r="5" spans="1:159">
      <c r="A5" s="887" t="s">
        <v>293</v>
      </c>
      <c r="B5" s="868" t="s">
        <v>293</v>
      </c>
      <c r="C5" s="868" t="s">
        <v>293</v>
      </c>
      <c r="D5" s="868" t="s">
        <v>293</v>
      </c>
      <c r="E5" s="868" t="s">
        <v>298</v>
      </c>
      <c r="I5" s="868" t="s">
        <v>299</v>
      </c>
      <c r="L5" s="889">
        <f>SUM(K6:K7)</f>
        <v>1622183121.26</v>
      </c>
      <c r="M5" s="890"/>
      <c r="P5" s="892"/>
      <c r="Q5" s="888"/>
    </row>
    <row r="6" spans="1:159">
      <c r="A6" s="887" t="s">
        <v>293</v>
      </c>
      <c r="B6" s="868" t="s">
        <v>293</v>
      </c>
      <c r="C6" s="868" t="s">
        <v>293</v>
      </c>
      <c r="D6" s="868" t="s">
        <v>293</v>
      </c>
      <c r="E6" s="868" t="s">
        <v>298</v>
      </c>
      <c r="F6" s="868" t="s">
        <v>298</v>
      </c>
      <c r="J6" s="868" t="s">
        <v>300</v>
      </c>
      <c r="K6" s="888">
        <v>1383852899.6600001</v>
      </c>
      <c r="M6" s="890"/>
      <c r="P6" s="892"/>
    </row>
    <row r="7" spans="1:159">
      <c r="A7" s="887" t="s">
        <v>293</v>
      </c>
      <c r="B7" s="868" t="s">
        <v>293</v>
      </c>
      <c r="C7" s="868" t="s">
        <v>293</v>
      </c>
      <c r="D7" s="868" t="s">
        <v>293</v>
      </c>
      <c r="E7" s="868" t="s">
        <v>298</v>
      </c>
      <c r="F7" s="868" t="s">
        <v>301</v>
      </c>
      <c r="J7" s="868" t="s">
        <v>302</v>
      </c>
      <c r="K7" s="893">
        <v>238330221.59999999</v>
      </c>
      <c r="L7" s="889"/>
      <c r="M7" s="890"/>
      <c r="N7" s="894"/>
      <c r="O7" s="895"/>
      <c r="P7" s="896"/>
    </row>
    <row r="8" spans="1:159">
      <c r="A8" s="887" t="s">
        <v>293</v>
      </c>
      <c r="B8" s="868" t="s">
        <v>293</v>
      </c>
      <c r="C8" s="868" t="s">
        <v>293</v>
      </c>
      <c r="D8" s="868" t="s">
        <v>293</v>
      </c>
      <c r="E8" s="868" t="s">
        <v>301</v>
      </c>
      <c r="I8" s="868" t="s">
        <v>303</v>
      </c>
      <c r="K8" s="893"/>
      <c r="L8" s="889">
        <f>SUM(K9:K10)</f>
        <v>1475135723.48</v>
      </c>
      <c r="M8" s="890"/>
      <c r="P8" s="897"/>
    </row>
    <row r="9" spans="1:159">
      <c r="A9" s="887" t="s">
        <v>293</v>
      </c>
      <c r="B9" s="868" t="s">
        <v>293</v>
      </c>
      <c r="C9" s="868" t="s">
        <v>293</v>
      </c>
      <c r="D9" s="868" t="s">
        <v>293</v>
      </c>
      <c r="E9" s="868" t="s">
        <v>301</v>
      </c>
      <c r="F9" s="868" t="s">
        <v>298</v>
      </c>
      <c r="J9" s="868" t="s">
        <v>304</v>
      </c>
      <c r="K9" s="893">
        <v>1017559354.9400001</v>
      </c>
      <c r="L9" s="889"/>
      <c r="M9" s="890"/>
      <c r="N9" s="894"/>
      <c r="O9" s="895"/>
      <c r="P9" s="898"/>
    </row>
    <row r="10" spans="1:159">
      <c r="A10" s="887" t="s">
        <v>293</v>
      </c>
      <c r="B10" s="868" t="s">
        <v>293</v>
      </c>
      <c r="C10" s="868" t="s">
        <v>293</v>
      </c>
      <c r="D10" s="868" t="s">
        <v>293</v>
      </c>
      <c r="E10" s="868" t="s">
        <v>301</v>
      </c>
      <c r="F10" s="868" t="s">
        <v>301</v>
      </c>
      <c r="J10" s="868" t="s">
        <v>305</v>
      </c>
      <c r="K10" s="893">
        <v>457576368.54000002</v>
      </c>
      <c r="L10" s="889"/>
      <c r="M10" s="890"/>
      <c r="N10" s="894"/>
      <c r="O10" s="895"/>
      <c r="P10" s="898"/>
    </row>
    <row r="11" spans="1:159">
      <c r="A11" s="887" t="s">
        <v>293</v>
      </c>
      <c r="B11" s="868" t="s">
        <v>293</v>
      </c>
      <c r="C11" s="868" t="s">
        <v>293</v>
      </c>
      <c r="D11" s="868" t="s">
        <v>293</v>
      </c>
      <c r="E11" s="868" t="s">
        <v>306</v>
      </c>
      <c r="I11" s="868" t="s">
        <v>307</v>
      </c>
      <c r="K11" s="893"/>
      <c r="L11" s="889">
        <f>SUM(K12:K13)</f>
        <v>6730701204.9800005</v>
      </c>
      <c r="M11" s="890"/>
      <c r="P11" s="896"/>
    </row>
    <row r="12" spans="1:159">
      <c r="A12" s="887" t="s">
        <v>293</v>
      </c>
      <c r="B12" s="868" t="s">
        <v>293</v>
      </c>
      <c r="C12" s="868" t="s">
        <v>293</v>
      </c>
      <c r="D12" s="868" t="s">
        <v>293</v>
      </c>
      <c r="E12" s="868" t="s">
        <v>306</v>
      </c>
      <c r="F12" s="868" t="s">
        <v>298</v>
      </c>
      <c r="J12" s="868" t="s">
        <v>308</v>
      </c>
      <c r="K12" s="893">
        <v>6021675284.3500004</v>
      </c>
      <c r="L12" s="889"/>
      <c r="M12" s="890"/>
      <c r="N12" s="894"/>
      <c r="O12" s="895"/>
      <c r="P12" s="896"/>
    </row>
    <row r="13" spans="1:159">
      <c r="A13" s="887" t="s">
        <v>293</v>
      </c>
      <c r="B13" s="868" t="s">
        <v>293</v>
      </c>
      <c r="C13" s="868" t="s">
        <v>293</v>
      </c>
      <c r="D13" s="868" t="s">
        <v>293</v>
      </c>
      <c r="E13" s="868" t="s">
        <v>306</v>
      </c>
      <c r="F13" s="868" t="s">
        <v>301</v>
      </c>
      <c r="J13" s="868" t="s">
        <v>309</v>
      </c>
      <c r="K13" s="893">
        <v>709025920.63</v>
      </c>
      <c r="L13" s="889"/>
      <c r="M13" s="890"/>
      <c r="N13" s="894"/>
      <c r="O13" s="895"/>
      <c r="P13" s="896"/>
    </row>
    <row r="14" spans="1:159">
      <c r="A14" s="887" t="s">
        <v>293</v>
      </c>
      <c r="B14" s="868" t="s">
        <v>293</v>
      </c>
      <c r="C14" s="868" t="s">
        <v>293</v>
      </c>
      <c r="D14" s="868" t="s">
        <v>293</v>
      </c>
      <c r="E14" s="868" t="s">
        <v>310</v>
      </c>
      <c r="I14" s="868" t="s">
        <v>311</v>
      </c>
      <c r="K14" s="868"/>
      <c r="L14" s="893">
        <v>1590652.13</v>
      </c>
      <c r="M14" s="890"/>
      <c r="P14" s="896"/>
    </row>
    <row r="15" spans="1:159">
      <c r="A15" s="887" t="s">
        <v>293</v>
      </c>
      <c r="B15" s="868" t="s">
        <v>293</v>
      </c>
      <c r="C15" s="868" t="s">
        <v>293</v>
      </c>
      <c r="D15" s="868" t="s">
        <v>293</v>
      </c>
      <c r="E15" s="868" t="s">
        <v>312</v>
      </c>
      <c r="I15" s="868" t="s">
        <v>313</v>
      </c>
      <c r="K15" s="868"/>
      <c r="L15" s="893">
        <v>16947151.199999999</v>
      </c>
      <c r="M15" s="890"/>
      <c r="P15" s="896"/>
    </row>
    <row r="16" spans="1:159">
      <c r="A16" s="887" t="s">
        <v>293</v>
      </c>
      <c r="B16" s="868" t="s">
        <v>293</v>
      </c>
      <c r="C16" s="868" t="s">
        <v>293</v>
      </c>
      <c r="D16" s="868" t="s">
        <v>293</v>
      </c>
      <c r="E16" s="868" t="s">
        <v>314</v>
      </c>
      <c r="I16" s="868" t="s">
        <v>315</v>
      </c>
      <c r="L16" s="899">
        <v>43197771.859999999</v>
      </c>
      <c r="M16" s="890"/>
      <c r="P16" s="892"/>
    </row>
    <row r="17" spans="1:16">
      <c r="A17" s="887" t="s">
        <v>293</v>
      </c>
      <c r="B17" s="868" t="s">
        <v>293</v>
      </c>
      <c r="C17" s="868" t="s">
        <v>293</v>
      </c>
      <c r="D17" s="868" t="s">
        <v>293</v>
      </c>
      <c r="E17" s="868" t="s">
        <v>316</v>
      </c>
      <c r="I17" s="868" t="s">
        <v>317</v>
      </c>
      <c r="K17" s="868"/>
      <c r="L17" s="893">
        <v>8182530.5999999996</v>
      </c>
      <c r="M17" s="890"/>
      <c r="P17" s="892"/>
    </row>
    <row r="18" spans="1:16">
      <c r="A18" s="887" t="s">
        <v>293</v>
      </c>
      <c r="B18" s="868" t="s">
        <v>293</v>
      </c>
      <c r="C18" s="868" t="s">
        <v>293</v>
      </c>
      <c r="D18" s="868" t="s">
        <v>293</v>
      </c>
      <c r="E18" s="868" t="s">
        <v>318</v>
      </c>
      <c r="I18" s="868" t="s">
        <v>319</v>
      </c>
      <c r="K18" s="868"/>
      <c r="L18" s="893">
        <v>4149865.67</v>
      </c>
      <c r="M18" s="890"/>
      <c r="P18" s="892"/>
    </row>
    <row r="19" spans="1:16">
      <c r="A19" s="887" t="s">
        <v>293</v>
      </c>
      <c r="B19" s="868" t="s">
        <v>293</v>
      </c>
      <c r="C19" s="868" t="s">
        <v>293</v>
      </c>
      <c r="D19" s="868" t="s">
        <v>293</v>
      </c>
      <c r="E19" s="868" t="s">
        <v>320</v>
      </c>
      <c r="I19" s="868" t="s">
        <v>321</v>
      </c>
      <c r="K19" s="868"/>
      <c r="L19" s="893">
        <v>26754043.25</v>
      </c>
      <c r="M19" s="890"/>
      <c r="P19" s="892"/>
    </row>
    <row r="20" spans="1:16">
      <c r="A20" s="887" t="s">
        <v>293</v>
      </c>
      <c r="B20" s="868" t="s">
        <v>293</v>
      </c>
      <c r="C20" s="868" t="s">
        <v>293</v>
      </c>
      <c r="D20" s="868" t="s">
        <v>293</v>
      </c>
      <c r="E20" s="868" t="s">
        <v>322</v>
      </c>
      <c r="I20" s="868" t="s">
        <v>323</v>
      </c>
      <c r="K20" s="868"/>
      <c r="L20" s="893">
        <v>982253798</v>
      </c>
      <c r="M20" s="890"/>
      <c r="P20" s="892"/>
    </row>
    <row r="21" spans="1:16">
      <c r="A21" s="887" t="s">
        <v>293</v>
      </c>
      <c r="B21" s="868" t="s">
        <v>293</v>
      </c>
      <c r="C21" s="868" t="s">
        <v>293</v>
      </c>
      <c r="D21" s="868" t="s">
        <v>293</v>
      </c>
      <c r="E21" s="868" t="s">
        <v>324</v>
      </c>
      <c r="I21" s="868" t="s">
        <v>325</v>
      </c>
      <c r="K21" s="868"/>
      <c r="L21" s="888">
        <v>23585445.789999999</v>
      </c>
      <c r="M21" s="890"/>
      <c r="P21" s="892"/>
    </row>
    <row r="22" spans="1:16">
      <c r="A22" s="887" t="s">
        <v>293</v>
      </c>
      <c r="B22" s="868" t="s">
        <v>293</v>
      </c>
      <c r="C22" s="868" t="s">
        <v>293</v>
      </c>
      <c r="D22" s="868" t="s">
        <v>293</v>
      </c>
      <c r="E22" s="868" t="s">
        <v>326</v>
      </c>
      <c r="I22" s="868" t="s">
        <v>327</v>
      </c>
      <c r="K22" s="893"/>
      <c r="L22" s="889">
        <f>SUM(K23:K24)</f>
        <v>578999.31999999995</v>
      </c>
      <c r="M22" s="890"/>
      <c r="P22" s="892"/>
    </row>
    <row r="23" spans="1:16">
      <c r="A23" s="887" t="s">
        <v>293</v>
      </c>
      <c r="B23" s="868" t="s">
        <v>293</v>
      </c>
      <c r="C23" s="868" t="s">
        <v>293</v>
      </c>
      <c r="D23" s="868" t="s">
        <v>293</v>
      </c>
      <c r="E23" s="868" t="s">
        <v>326</v>
      </c>
      <c r="F23" s="868" t="s">
        <v>298</v>
      </c>
      <c r="J23" s="868" t="s">
        <v>328</v>
      </c>
      <c r="K23" s="900">
        <v>578998.31999999995</v>
      </c>
      <c r="L23" s="901"/>
      <c r="M23" s="890"/>
      <c r="P23" s="892"/>
    </row>
    <row r="24" spans="1:16">
      <c r="A24" s="887" t="s">
        <v>293</v>
      </c>
      <c r="B24" s="868" t="s">
        <v>293</v>
      </c>
      <c r="C24" s="868" t="s">
        <v>293</v>
      </c>
      <c r="D24" s="868" t="s">
        <v>293</v>
      </c>
      <c r="E24" s="868" t="s">
        <v>326</v>
      </c>
      <c r="F24" s="868" t="s">
        <v>301</v>
      </c>
      <c r="J24" s="868" t="s">
        <v>329</v>
      </c>
      <c r="K24" s="893">
        <v>1</v>
      </c>
      <c r="L24" s="889"/>
      <c r="M24" s="890"/>
      <c r="P24" s="892"/>
    </row>
    <row r="25" spans="1:16">
      <c r="A25" s="887" t="s">
        <v>293</v>
      </c>
      <c r="B25" s="868" t="s">
        <v>293</v>
      </c>
      <c r="C25" s="868" t="s">
        <v>293</v>
      </c>
      <c r="D25" s="868" t="s">
        <v>293</v>
      </c>
      <c r="E25" s="868" t="s">
        <v>330</v>
      </c>
      <c r="I25" s="868" t="s">
        <v>331</v>
      </c>
      <c r="K25" s="868"/>
      <c r="L25" s="893">
        <v>267187960</v>
      </c>
      <c r="M25" s="890"/>
      <c r="P25" s="892"/>
    </row>
    <row r="26" spans="1:16">
      <c r="A26" s="887" t="s">
        <v>293</v>
      </c>
      <c r="B26" s="868" t="s">
        <v>293</v>
      </c>
      <c r="C26" s="868" t="s">
        <v>293</v>
      </c>
      <c r="D26" s="868" t="s">
        <v>293</v>
      </c>
      <c r="E26" s="868" t="s">
        <v>332</v>
      </c>
      <c r="I26" s="868" t="s">
        <v>333</v>
      </c>
      <c r="K26" s="868"/>
      <c r="L26" s="900">
        <v>3050722.4</v>
      </c>
      <c r="M26" s="890"/>
      <c r="P26" s="892"/>
    </row>
    <row r="27" spans="1:16">
      <c r="A27" s="887" t="s">
        <v>293</v>
      </c>
      <c r="B27" s="868" t="s">
        <v>293</v>
      </c>
      <c r="C27" s="868" t="s">
        <v>293</v>
      </c>
      <c r="D27" s="868" t="s">
        <v>293</v>
      </c>
      <c r="E27" s="868" t="s">
        <v>334</v>
      </c>
      <c r="I27" s="868" t="s">
        <v>335</v>
      </c>
      <c r="K27" s="893"/>
      <c r="L27" s="889">
        <f>SUM(K28:K36)</f>
        <v>125867179.45000002</v>
      </c>
      <c r="M27" s="890"/>
      <c r="P27" s="892"/>
    </row>
    <row r="28" spans="1:16">
      <c r="A28" s="887" t="s">
        <v>293</v>
      </c>
      <c r="B28" s="868" t="s">
        <v>293</v>
      </c>
      <c r="C28" s="868" t="s">
        <v>293</v>
      </c>
      <c r="D28" s="868" t="s">
        <v>293</v>
      </c>
      <c r="E28" s="868" t="s">
        <v>334</v>
      </c>
      <c r="F28" s="868" t="s">
        <v>298</v>
      </c>
      <c r="J28" s="868" t="s">
        <v>336</v>
      </c>
      <c r="K28" s="893">
        <v>26544029</v>
      </c>
      <c r="L28" s="889"/>
      <c r="M28" s="890"/>
      <c r="N28" s="857"/>
      <c r="P28" s="892"/>
    </row>
    <row r="29" spans="1:16">
      <c r="A29" s="887" t="s">
        <v>293</v>
      </c>
      <c r="B29" s="868" t="s">
        <v>293</v>
      </c>
      <c r="C29" s="868" t="s">
        <v>293</v>
      </c>
      <c r="D29" s="868" t="s">
        <v>293</v>
      </c>
      <c r="E29" s="868" t="s">
        <v>334</v>
      </c>
      <c r="F29" s="868" t="s">
        <v>301</v>
      </c>
      <c r="J29" s="868" t="s">
        <v>337</v>
      </c>
      <c r="K29" s="893">
        <v>18402348.5</v>
      </c>
      <c r="L29" s="889"/>
      <c r="M29" s="890"/>
      <c r="N29" s="857"/>
      <c r="P29" s="892"/>
    </row>
    <row r="30" spans="1:16">
      <c r="A30" s="887" t="s">
        <v>293</v>
      </c>
      <c r="B30" s="868" t="s">
        <v>293</v>
      </c>
      <c r="C30" s="868" t="s">
        <v>293</v>
      </c>
      <c r="D30" s="868" t="s">
        <v>293</v>
      </c>
      <c r="E30" s="868" t="s">
        <v>334</v>
      </c>
      <c r="F30" s="868" t="s">
        <v>306</v>
      </c>
      <c r="J30" s="868" t="s">
        <v>338</v>
      </c>
      <c r="K30" s="893">
        <v>17232050.600000001</v>
      </c>
      <c r="L30" s="889"/>
      <c r="M30" s="890"/>
      <c r="N30" s="857"/>
      <c r="P30" s="892"/>
    </row>
    <row r="31" spans="1:16">
      <c r="A31" s="887" t="s">
        <v>293</v>
      </c>
      <c r="B31" s="868" t="s">
        <v>293</v>
      </c>
      <c r="C31" s="868" t="s">
        <v>293</v>
      </c>
      <c r="D31" s="868" t="s">
        <v>293</v>
      </c>
      <c r="E31" s="868" t="s">
        <v>334</v>
      </c>
      <c r="F31" s="868" t="s">
        <v>310</v>
      </c>
      <c r="J31" s="868" t="s">
        <v>339</v>
      </c>
      <c r="K31" s="893">
        <v>13195932.800000001</v>
      </c>
      <c r="L31" s="889"/>
      <c r="M31" s="890"/>
      <c r="N31" s="857"/>
      <c r="P31" s="892"/>
    </row>
    <row r="32" spans="1:16">
      <c r="A32" s="887" t="s">
        <v>293</v>
      </c>
      <c r="B32" s="868" t="s">
        <v>293</v>
      </c>
      <c r="C32" s="868" t="s">
        <v>293</v>
      </c>
      <c r="D32" s="868" t="s">
        <v>293</v>
      </c>
      <c r="E32" s="868" t="s">
        <v>334</v>
      </c>
      <c r="F32" s="868" t="s">
        <v>312</v>
      </c>
      <c r="J32" s="868" t="s">
        <v>340</v>
      </c>
      <c r="K32" s="893">
        <v>29041649.399999999</v>
      </c>
      <c r="L32" s="889"/>
      <c r="M32" s="890"/>
      <c r="N32" s="857"/>
      <c r="P32" s="892"/>
    </row>
    <row r="33" spans="1:16">
      <c r="A33" s="887" t="s">
        <v>293</v>
      </c>
      <c r="B33" s="868" t="s">
        <v>293</v>
      </c>
      <c r="C33" s="868" t="s">
        <v>293</v>
      </c>
      <c r="D33" s="868" t="s">
        <v>293</v>
      </c>
      <c r="E33" s="868" t="s">
        <v>334</v>
      </c>
      <c r="F33" s="868" t="s">
        <v>314</v>
      </c>
      <c r="J33" s="868" t="s">
        <v>341</v>
      </c>
      <c r="K33" s="893">
        <v>12020155.4</v>
      </c>
      <c r="L33" s="889"/>
      <c r="M33" s="890"/>
      <c r="N33" s="857"/>
      <c r="P33" s="892"/>
    </row>
    <row r="34" spans="1:16">
      <c r="A34" s="887" t="str">
        <f t="shared" ref="A34:E35" si="0">A33</f>
        <v>1.</v>
      </c>
      <c r="B34" s="868" t="str">
        <f t="shared" si="0"/>
        <v>1.</v>
      </c>
      <c r="C34" s="868" t="str">
        <f t="shared" si="0"/>
        <v>1.</v>
      </c>
      <c r="D34" s="868" t="str">
        <f t="shared" si="0"/>
        <v>1.</v>
      </c>
      <c r="E34" s="868" t="str">
        <f t="shared" si="0"/>
        <v>15.</v>
      </c>
      <c r="F34" s="868" t="s">
        <v>316</v>
      </c>
      <c r="J34" s="868" t="s">
        <v>342</v>
      </c>
      <c r="K34" s="893">
        <v>5494277.25</v>
      </c>
      <c r="L34" s="889"/>
      <c r="M34" s="890"/>
      <c r="N34" s="857"/>
      <c r="P34" s="892"/>
    </row>
    <row r="35" spans="1:16">
      <c r="A35" s="887" t="str">
        <f t="shared" si="0"/>
        <v>1.</v>
      </c>
      <c r="B35" s="868" t="str">
        <f t="shared" si="0"/>
        <v>1.</v>
      </c>
      <c r="C35" s="868" t="str">
        <f t="shared" si="0"/>
        <v>1.</v>
      </c>
      <c r="D35" s="868" t="str">
        <f t="shared" si="0"/>
        <v>1.</v>
      </c>
      <c r="E35" s="868" t="str">
        <f t="shared" si="0"/>
        <v>15.</v>
      </c>
      <c r="F35" s="868" t="s">
        <v>318</v>
      </c>
      <c r="J35" s="868" t="s">
        <v>343</v>
      </c>
      <c r="K35" s="893">
        <v>1750176.3</v>
      </c>
      <c r="L35" s="889"/>
      <c r="M35" s="890"/>
      <c r="N35" s="857"/>
      <c r="P35" s="892"/>
    </row>
    <row r="36" spans="1:16">
      <c r="A36" s="887" t="s">
        <v>293</v>
      </c>
      <c r="B36" s="868" t="s">
        <v>293</v>
      </c>
      <c r="C36" s="868" t="s">
        <v>293</v>
      </c>
      <c r="D36" s="868" t="s">
        <v>293</v>
      </c>
      <c r="E36" s="868" t="s">
        <v>334</v>
      </c>
      <c r="F36" s="868" t="s">
        <v>320</v>
      </c>
      <c r="J36" s="868" t="s">
        <v>344</v>
      </c>
      <c r="K36" s="893">
        <v>2186560.2000000002</v>
      </c>
      <c r="L36" s="889"/>
      <c r="M36" s="890"/>
      <c r="N36" s="857"/>
      <c r="P36" s="892"/>
    </row>
    <row r="37" spans="1:16">
      <c r="A37" s="887" t="s">
        <v>293</v>
      </c>
      <c r="B37" s="868" t="s">
        <v>293</v>
      </c>
      <c r="C37" s="868" t="s">
        <v>293</v>
      </c>
      <c r="D37" s="868" t="s">
        <v>293</v>
      </c>
      <c r="E37" s="868" t="s">
        <v>345</v>
      </c>
      <c r="I37" s="868" t="s">
        <v>346</v>
      </c>
      <c r="K37" s="893"/>
      <c r="L37" s="889">
        <v>20126713.199999999</v>
      </c>
      <c r="M37" s="890"/>
      <c r="P37" s="892"/>
    </row>
    <row r="38" spans="1:16">
      <c r="A38" s="887" t="s">
        <v>293</v>
      </c>
      <c r="B38" s="868" t="s">
        <v>293</v>
      </c>
      <c r="C38" s="868" t="s">
        <v>293</v>
      </c>
      <c r="D38" s="868" t="s">
        <v>293</v>
      </c>
      <c r="E38" s="868" t="s">
        <v>347</v>
      </c>
      <c r="I38" s="868" t="s">
        <v>348</v>
      </c>
      <c r="K38" s="893"/>
      <c r="L38" s="889">
        <f>SUM(K39:K42)</f>
        <v>2201046244.52</v>
      </c>
      <c r="M38" s="890"/>
      <c r="P38" s="892"/>
    </row>
    <row r="39" spans="1:16">
      <c r="A39" s="887" t="s">
        <v>293</v>
      </c>
      <c r="B39" s="868" t="s">
        <v>293</v>
      </c>
      <c r="C39" s="868" t="s">
        <v>293</v>
      </c>
      <c r="D39" s="868" t="s">
        <v>293</v>
      </c>
      <c r="E39" s="868" t="s">
        <v>347</v>
      </c>
      <c r="F39" s="868" t="s">
        <v>298</v>
      </c>
      <c r="J39" s="868" t="s">
        <v>349</v>
      </c>
      <c r="K39" s="888">
        <v>39487454.859999999</v>
      </c>
      <c r="L39" s="902"/>
      <c r="M39" s="890"/>
      <c r="P39" s="892"/>
    </row>
    <row r="40" spans="1:16">
      <c r="A40" s="887" t="s">
        <v>293</v>
      </c>
      <c r="B40" s="868" t="s">
        <v>293</v>
      </c>
      <c r="C40" s="868" t="s">
        <v>293</v>
      </c>
      <c r="D40" s="868" t="s">
        <v>293</v>
      </c>
      <c r="E40" s="868" t="s">
        <v>347</v>
      </c>
      <c r="F40" s="868" t="s">
        <v>301</v>
      </c>
      <c r="J40" s="868" t="s">
        <v>350</v>
      </c>
      <c r="K40" s="893">
        <v>667758399.78999996</v>
      </c>
      <c r="L40" s="889"/>
      <c r="M40" s="890"/>
      <c r="P40" s="892"/>
    </row>
    <row r="41" spans="1:16">
      <c r="A41" s="887" t="s">
        <v>293</v>
      </c>
      <c r="B41" s="868" t="s">
        <v>293</v>
      </c>
      <c r="C41" s="868" t="s">
        <v>293</v>
      </c>
      <c r="D41" s="868" t="s">
        <v>293</v>
      </c>
      <c r="E41" s="868" t="s">
        <v>347</v>
      </c>
      <c r="F41" s="868" t="s">
        <v>306</v>
      </c>
      <c r="J41" s="868" t="s">
        <v>351</v>
      </c>
      <c r="K41" s="893">
        <v>1493076457.0999999</v>
      </c>
      <c r="L41" s="889"/>
      <c r="M41" s="890"/>
      <c r="P41" s="892"/>
    </row>
    <row r="42" spans="1:16" ht="13.5" thickBot="1">
      <c r="A42" s="887" t="s">
        <v>293</v>
      </c>
      <c r="B42" s="868" t="s">
        <v>293</v>
      </c>
      <c r="C42" s="868" t="s">
        <v>293</v>
      </c>
      <c r="D42" s="868" t="s">
        <v>293</v>
      </c>
      <c r="E42" s="868" t="s">
        <v>347</v>
      </c>
      <c r="F42" s="868" t="s">
        <v>310</v>
      </c>
      <c r="J42" s="868" t="s">
        <v>352</v>
      </c>
      <c r="K42" s="893">
        <v>723932.77</v>
      </c>
      <c r="L42" s="889"/>
      <c r="M42" s="890"/>
      <c r="P42" s="892"/>
    </row>
    <row r="43" spans="1:16" ht="13.5" thickBot="1">
      <c r="A43" s="903" t="s">
        <v>293</v>
      </c>
      <c r="B43" s="904" t="s">
        <v>293</v>
      </c>
      <c r="C43" s="904" t="s">
        <v>293</v>
      </c>
      <c r="D43" s="904" t="s">
        <v>353</v>
      </c>
      <c r="E43" s="905"/>
      <c r="F43" s="905"/>
      <c r="G43" s="905"/>
      <c r="H43" s="905"/>
      <c r="I43" s="904" t="s">
        <v>354</v>
      </c>
      <c r="J43" s="905"/>
      <c r="K43" s="906"/>
      <c r="L43" s="907"/>
      <c r="M43" s="908">
        <f>SUM(L44:L72)</f>
        <v>730792775.05000007</v>
      </c>
      <c r="N43" s="904"/>
      <c r="O43" s="904"/>
      <c r="P43" s="909"/>
    </row>
    <row r="44" spans="1:16" ht="13.5" hidden="1" thickBot="1">
      <c r="A44" s="910"/>
      <c r="B44" s="911"/>
      <c r="C44" s="911"/>
      <c r="D44" s="911"/>
      <c r="E44" s="912"/>
      <c r="F44" s="912"/>
      <c r="G44" s="912"/>
      <c r="H44" s="912"/>
      <c r="I44" s="912" t="s">
        <v>355</v>
      </c>
      <c r="J44" s="912"/>
      <c r="K44" s="893"/>
      <c r="L44" s="889"/>
      <c r="P44" s="892"/>
    </row>
    <row r="45" spans="1:16" ht="13.5" hidden="1" thickBot="1">
      <c r="A45" s="913"/>
      <c r="B45" s="891"/>
      <c r="C45" s="891"/>
      <c r="D45" s="891"/>
      <c r="I45" s="891"/>
      <c r="K45" s="893"/>
      <c r="L45" s="889"/>
      <c r="P45" s="892"/>
    </row>
    <row r="46" spans="1:16">
      <c r="A46" s="914" t="s">
        <v>293</v>
      </c>
      <c r="B46" s="915" t="s">
        <v>293</v>
      </c>
      <c r="C46" s="915" t="s">
        <v>293</v>
      </c>
      <c r="D46" s="915" t="s">
        <v>353</v>
      </c>
      <c r="E46" s="915" t="s">
        <v>298</v>
      </c>
      <c r="F46" s="915"/>
      <c r="G46" s="915"/>
      <c r="H46" s="915"/>
      <c r="I46" s="915" t="s">
        <v>356</v>
      </c>
      <c r="J46" s="915"/>
      <c r="K46" s="916"/>
      <c r="L46" s="917">
        <f>SUM(K47:K51)</f>
        <v>216677880.96000001</v>
      </c>
      <c r="M46" s="918"/>
      <c r="N46" s="919"/>
      <c r="O46" s="919"/>
      <c r="P46" s="920"/>
    </row>
    <row r="47" spans="1:16">
      <c r="A47" s="887" t="s">
        <v>293</v>
      </c>
      <c r="B47" s="868" t="s">
        <v>293</v>
      </c>
      <c r="C47" s="868" t="s">
        <v>293</v>
      </c>
      <c r="D47" s="868" t="s">
        <v>353</v>
      </c>
      <c r="E47" s="868" t="str">
        <f>E46</f>
        <v>01.</v>
      </c>
      <c r="F47" s="868" t="s">
        <v>298</v>
      </c>
      <c r="J47" s="868" t="s">
        <v>357</v>
      </c>
      <c r="K47" s="893">
        <v>196660730.40000001</v>
      </c>
      <c r="L47" s="889"/>
      <c r="P47" s="892"/>
    </row>
    <row r="48" spans="1:16">
      <c r="A48" s="887" t="s">
        <v>293</v>
      </c>
      <c r="B48" s="868" t="s">
        <v>293</v>
      </c>
      <c r="C48" s="868" t="s">
        <v>293</v>
      </c>
      <c r="D48" s="868" t="s">
        <v>353</v>
      </c>
      <c r="E48" s="868" t="str">
        <f>E47</f>
        <v>01.</v>
      </c>
      <c r="F48" s="868" t="s">
        <v>301</v>
      </c>
      <c r="J48" s="868" t="s">
        <v>358</v>
      </c>
      <c r="K48" s="893">
        <v>7547659.8700000001</v>
      </c>
      <c r="L48" s="889"/>
      <c r="P48" s="892"/>
    </row>
    <row r="49" spans="1:16">
      <c r="A49" s="887" t="s">
        <v>293</v>
      </c>
      <c r="B49" s="868" t="s">
        <v>293</v>
      </c>
      <c r="C49" s="868" t="s">
        <v>293</v>
      </c>
      <c r="D49" s="868" t="s">
        <v>353</v>
      </c>
      <c r="E49" s="868" t="str">
        <f>E48</f>
        <v>01.</v>
      </c>
      <c r="F49" s="868" t="s">
        <v>306</v>
      </c>
      <c r="J49" s="868" t="s">
        <v>359</v>
      </c>
      <c r="K49" s="893">
        <v>1315908.67</v>
      </c>
      <c r="L49" s="889"/>
      <c r="P49" s="892"/>
    </row>
    <row r="50" spans="1:16">
      <c r="A50" s="887" t="s">
        <v>293</v>
      </c>
      <c r="B50" s="868" t="s">
        <v>293</v>
      </c>
      <c r="C50" s="868" t="s">
        <v>293</v>
      </c>
      <c r="D50" s="868" t="s">
        <v>353</v>
      </c>
      <c r="E50" s="868" t="str">
        <f>E49</f>
        <v>01.</v>
      </c>
      <c r="F50" s="868" t="s">
        <v>310</v>
      </c>
      <c r="J50" s="868" t="s">
        <v>360</v>
      </c>
      <c r="K50" s="893">
        <v>2277375</v>
      </c>
      <c r="L50" s="889"/>
      <c r="P50" s="892"/>
    </row>
    <row r="51" spans="1:16">
      <c r="A51" s="887" t="s">
        <v>293</v>
      </c>
      <c r="B51" s="868" t="s">
        <v>293</v>
      </c>
      <c r="C51" s="868" t="s">
        <v>293</v>
      </c>
      <c r="D51" s="868" t="s">
        <v>353</v>
      </c>
      <c r="E51" s="868" t="str">
        <f>E50</f>
        <v>01.</v>
      </c>
      <c r="F51" s="868" t="s">
        <v>312</v>
      </c>
      <c r="J51" s="868" t="s">
        <v>361</v>
      </c>
      <c r="K51" s="893">
        <v>8876207.0199999996</v>
      </c>
      <c r="L51" s="889"/>
      <c r="P51" s="892"/>
    </row>
    <row r="52" spans="1:16">
      <c r="A52" s="887" t="s">
        <v>293</v>
      </c>
      <c r="B52" s="868" t="s">
        <v>293</v>
      </c>
      <c r="C52" s="868" t="s">
        <v>293</v>
      </c>
      <c r="D52" s="868" t="s">
        <v>353</v>
      </c>
      <c r="E52" s="868" t="s">
        <v>301</v>
      </c>
      <c r="I52" s="868" t="s">
        <v>362</v>
      </c>
      <c r="K52" s="893"/>
      <c r="L52" s="889">
        <f>SUM(K53:K56)</f>
        <v>250721359.5</v>
      </c>
      <c r="P52" s="892"/>
    </row>
    <row r="53" spans="1:16">
      <c r="A53" s="887" t="s">
        <v>293</v>
      </c>
      <c r="B53" s="868" t="s">
        <v>293</v>
      </c>
      <c r="C53" s="868" t="s">
        <v>293</v>
      </c>
      <c r="D53" s="868" t="s">
        <v>353</v>
      </c>
      <c r="E53" s="868" t="s">
        <v>301</v>
      </c>
      <c r="F53" s="868" t="s">
        <v>298</v>
      </c>
      <c r="J53" s="868" t="s">
        <v>363</v>
      </c>
      <c r="K53" s="893">
        <v>32306312.5</v>
      </c>
      <c r="L53" s="889"/>
      <c r="P53" s="892"/>
    </row>
    <row r="54" spans="1:16">
      <c r="A54" s="887" t="s">
        <v>293</v>
      </c>
      <c r="B54" s="868" t="s">
        <v>293</v>
      </c>
      <c r="C54" s="868" t="s">
        <v>293</v>
      </c>
      <c r="D54" s="868" t="s">
        <v>353</v>
      </c>
      <c r="E54" s="868" t="s">
        <v>301</v>
      </c>
      <c r="F54" s="868" t="s">
        <v>301</v>
      </c>
      <c r="J54" s="868" t="s">
        <v>364</v>
      </c>
      <c r="K54" s="893">
        <v>1</v>
      </c>
      <c r="L54" s="889"/>
      <c r="P54" s="892"/>
    </row>
    <row r="55" spans="1:16">
      <c r="A55" s="887" t="s">
        <v>293</v>
      </c>
      <c r="B55" s="868" t="s">
        <v>293</v>
      </c>
      <c r="C55" s="868" t="s">
        <v>293</v>
      </c>
      <c r="D55" s="868" t="s">
        <v>353</v>
      </c>
      <c r="E55" s="868" t="s">
        <v>301</v>
      </c>
      <c r="F55" s="868" t="s">
        <v>306</v>
      </c>
      <c r="J55" s="868" t="s">
        <v>365</v>
      </c>
      <c r="K55" s="893">
        <v>218415045</v>
      </c>
      <c r="L55" s="889"/>
      <c r="P55" s="892"/>
    </row>
    <row r="56" spans="1:16">
      <c r="A56" s="887" t="s">
        <v>293</v>
      </c>
      <c r="B56" s="868" t="s">
        <v>293</v>
      </c>
      <c r="C56" s="868" t="s">
        <v>293</v>
      </c>
      <c r="D56" s="868" t="s">
        <v>353</v>
      </c>
      <c r="E56" s="868" t="s">
        <v>301</v>
      </c>
      <c r="F56" s="868" t="s">
        <v>310</v>
      </c>
      <c r="J56" s="868" t="s">
        <v>366</v>
      </c>
      <c r="K56" s="888">
        <v>1</v>
      </c>
      <c r="L56" s="889"/>
      <c r="P56" s="892"/>
    </row>
    <row r="57" spans="1:16">
      <c r="A57" s="887" t="s">
        <v>293</v>
      </c>
      <c r="B57" s="868" t="s">
        <v>293</v>
      </c>
      <c r="C57" s="868" t="s">
        <v>293</v>
      </c>
      <c r="D57" s="868" t="s">
        <v>353</v>
      </c>
      <c r="E57" s="868" t="s">
        <v>306</v>
      </c>
      <c r="I57" s="868" t="s">
        <v>367</v>
      </c>
      <c r="K57" s="893"/>
      <c r="L57" s="889">
        <f>SUM(K58:K61)</f>
        <v>6189871.96</v>
      </c>
      <c r="P57" s="892"/>
    </row>
    <row r="58" spans="1:16">
      <c r="A58" s="887" t="s">
        <v>293</v>
      </c>
      <c r="B58" s="868" t="s">
        <v>293</v>
      </c>
      <c r="C58" s="868" t="s">
        <v>293</v>
      </c>
      <c r="D58" s="868" t="s">
        <v>353</v>
      </c>
      <c r="E58" s="868" t="s">
        <v>306</v>
      </c>
      <c r="F58" s="868" t="s">
        <v>298</v>
      </c>
      <c r="J58" s="868" t="s">
        <v>368</v>
      </c>
      <c r="K58" s="893">
        <v>273000</v>
      </c>
      <c r="L58" s="889"/>
      <c r="P58" s="892"/>
    </row>
    <row r="59" spans="1:16" ht="13.5" hidden="1" thickBot="1">
      <c r="A59" s="887" t="s">
        <v>293</v>
      </c>
      <c r="B59" s="868" t="s">
        <v>293</v>
      </c>
      <c r="C59" s="868" t="s">
        <v>293</v>
      </c>
      <c r="D59" s="868" t="s">
        <v>353</v>
      </c>
      <c r="E59" s="868" t="s">
        <v>306</v>
      </c>
      <c r="J59" s="921" t="s">
        <v>369</v>
      </c>
      <c r="K59" s="893"/>
      <c r="L59" s="889"/>
      <c r="N59" s="922"/>
      <c r="P59" s="892"/>
    </row>
    <row r="60" spans="1:16" ht="13.5" hidden="1" thickBot="1">
      <c r="A60" s="887" t="s">
        <v>293</v>
      </c>
      <c r="B60" s="868" t="s">
        <v>293</v>
      </c>
      <c r="C60" s="868" t="s">
        <v>293</v>
      </c>
      <c r="D60" s="868" t="s">
        <v>353</v>
      </c>
      <c r="E60" s="868" t="s">
        <v>306</v>
      </c>
      <c r="J60" s="921" t="s">
        <v>370</v>
      </c>
      <c r="K60" s="893"/>
      <c r="L60" s="889"/>
      <c r="N60" s="922"/>
      <c r="P60" s="892"/>
    </row>
    <row r="61" spans="1:16">
      <c r="A61" s="887" t="s">
        <v>293</v>
      </c>
      <c r="B61" s="868" t="s">
        <v>293</v>
      </c>
      <c r="C61" s="868" t="s">
        <v>293</v>
      </c>
      <c r="D61" s="868" t="s">
        <v>353</v>
      </c>
      <c r="E61" s="868" t="s">
        <v>306</v>
      </c>
      <c r="F61" s="868" t="s">
        <v>301</v>
      </c>
      <c r="J61" s="868" t="s">
        <v>371</v>
      </c>
      <c r="K61" s="893">
        <v>5916871.96</v>
      </c>
      <c r="L61" s="889"/>
      <c r="P61" s="892"/>
    </row>
    <row r="62" spans="1:16">
      <c r="A62" s="887" t="s">
        <v>293</v>
      </c>
      <c r="B62" s="868" t="s">
        <v>293</v>
      </c>
      <c r="C62" s="868" t="s">
        <v>293</v>
      </c>
      <c r="D62" s="868" t="s">
        <v>353</v>
      </c>
      <c r="E62" s="868" t="s">
        <v>310</v>
      </c>
      <c r="I62" s="868" t="s">
        <v>372</v>
      </c>
      <c r="K62" s="893"/>
      <c r="L62" s="889">
        <f>SUM(K63:K66)</f>
        <v>169036449.80000001</v>
      </c>
      <c r="P62" s="892"/>
    </row>
    <row r="63" spans="1:16">
      <c r="A63" s="887" t="s">
        <v>293</v>
      </c>
      <c r="B63" s="868" t="s">
        <v>293</v>
      </c>
      <c r="C63" s="868" t="s">
        <v>293</v>
      </c>
      <c r="D63" s="868" t="s">
        <v>353</v>
      </c>
      <c r="E63" s="868" t="s">
        <v>310</v>
      </c>
      <c r="F63" s="868" t="s">
        <v>298</v>
      </c>
      <c r="J63" s="868" t="s">
        <v>373</v>
      </c>
      <c r="K63" s="893">
        <v>837375</v>
      </c>
      <c r="L63" s="889"/>
      <c r="P63" s="892"/>
    </row>
    <row r="64" spans="1:16">
      <c r="A64" s="887" t="s">
        <v>293</v>
      </c>
      <c r="B64" s="868" t="s">
        <v>293</v>
      </c>
      <c r="C64" s="868" t="s">
        <v>293</v>
      </c>
      <c r="D64" s="868" t="s">
        <v>353</v>
      </c>
      <c r="E64" s="868" t="s">
        <v>310</v>
      </c>
      <c r="F64" s="868" t="s">
        <v>301</v>
      </c>
      <c r="J64" s="868" t="s">
        <v>374</v>
      </c>
      <c r="K64" s="893">
        <v>119713726</v>
      </c>
      <c r="L64" s="889"/>
      <c r="P64" s="892"/>
    </row>
    <row r="65" spans="1:18" hidden="1">
      <c r="A65" s="887" t="s">
        <v>293</v>
      </c>
      <c r="B65" s="868" t="s">
        <v>293</v>
      </c>
      <c r="C65" s="868" t="s">
        <v>293</v>
      </c>
      <c r="D65" s="868" t="s">
        <v>353</v>
      </c>
      <c r="E65" s="868" t="s">
        <v>310</v>
      </c>
      <c r="F65" s="868" t="s">
        <v>306</v>
      </c>
      <c r="J65" s="868" t="s">
        <v>375</v>
      </c>
      <c r="K65" s="893"/>
      <c r="L65" s="889"/>
      <c r="P65" s="892"/>
    </row>
    <row r="66" spans="1:18">
      <c r="A66" s="887" t="s">
        <v>293</v>
      </c>
      <c r="B66" s="868" t="s">
        <v>293</v>
      </c>
      <c r="C66" s="868" t="s">
        <v>293</v>
      </c>
      <c r="D66" s="868" t="s">
        <v>353</v>
      </c>
      <c r="E66" s="868" t="s">
        <v>310</v>
      </c>
      <c r="F66" s="868" t="s">
        <v>310</v>
      </c>
      <c r="J66" s="868" t="s">
        <v>376</v>
      </c>
      <c r="K66" s="893">
        <v>48485348.799999997</v>
      </c>
      <c r="L66" s="889"/>
      <c r="P66" s="892"/>
    </row>
    <row r="67" spans="1:18">
      <c r="A67" s="887" t="s">
        <v>293</v>
      </c>
      <c r="B67" s="868" t="s">
        <v>293</v>
      </c>
      <c r="C67" s="868" t="s">
        <v>293</v>
      </c>
      <c r="D67" s="868" t="s">
        <v>353</v>
      </c>
      <c r="E67" s="868" t="s">
        <v>312</v>
      </c>
      <c r="I67" s="868" t="s">
        <v>377</v>
      </c>
      <c r="K67" s="893"/>
      <c r="L67" s="889">
        <f>SUM(K68:K74)</f>
        <v>88167212.830000013</v>
      </c>
      <c r="P67" s="892"/>
    </row>
    <row r="68" spans="1:18">
      <c r="A68" s="887" t="s">
        <v>293</v>
      </c>
      <c r="B68" s="868" t="s">
        <v>293</v>
      </c>
      <c r="C68" s="868" t="s">
        <v>293</v>
      </c>
      <c r="D68" s="868" t="s">
        <v>353</v>
      </c>
      <c r="E68" s="868" t="s">
        <v>312</v>
      </c>
      <c r="F68" s="868" t="s">
        <v>298</v>
      </c>
      <c r="J68" s="868" t="s">
        <v>378</v>
      </c>
      <c r="K68" s="893">
        <v>17429122.199999999</v>
      </c>
      <c r="L68" s="889"/>
      <c r="P68" s="892"/>
    </row>
    <row r="69" spans="1:18">
      <c r="A69" s="887" t="s">
        <v>293</v>
      </c>
      <c r="B69" s="868" t="s">
        <v>293</v>
      </c>
      <c r="C69" s="868" t="s">
        <v>293</v>
      </c>
      <c r="D69" s="868" t="s">
        <v>353</v>
      </c>
      <c r="E69" s="868" t="s">
        <v>312</v>
      </c>
      <c r="F69" s="868" t="s">
        <v>301</v>
      </c>
      <c r="J69" s="868" t="s">
        <v>379</v>
      </c>
      <c r="K69" s="893">
        <v>23349504.5</v>
      </c>
      <c r="L69" s="889"/>
      <c r="N69" s="889"/>
      <c r="P69" s="892"/>
    </row>
    <row r="70" spans="1:18">
      <c r="A70" s="887" t="s">
        <v>293</v>
      </c>
      <c r="B70" s="868" t="s">
        <v>293</v>
      </c>
      <c r="C70" s="868" t="s">
        <v>293</v>
      </c>
      <c r="D70" s="868" t="s">
        <v>353</v>
      </c>
      <c r="E70" s="868" t="s">
        <v>312</v>
      </c>
      <c r="F70" s="868" t="s">
        <v>306</v>
      </c>
      <c r="J70" s="868" t="s">
        <v>380</v>
      </c>
      <c r="K70" s="893">
        <v>5067300</v>
      </c>
      <c r="L70" s="889"/>
      <c r="P70" s="892"/>
    </row>
    <row r="71" spans="1:18" hidden="1">
      <c r="A71" s="923" t="s">
        <v>293</v>
      </c>
      <c r="B71" s="924" t="s">
        <v>293</v>
      </c>
      <c r="C71" s="924" t="s">
        <v>293</v>
      </c>
      <c r="D71" s="924" t="s">
        <v>353</v>
      </c>
      <c r="E71" s="868" t="s">
        <v>312</v>
      </c>
      <c r="F71" s="924"/>
      <c r="G71" s="924"/>
      <c r="H71" s="924"/>
      <c r="I71" s="924"/>
      <c r="J71" s="922" t="s">
        <v>381</v>
      </c>
      <c r="P71" s="892"/>
    </row>
    <row r="72" spans="1:18">
      <c r="A72" s="887" t="s">
        <v>293</v>
      </c>
      <c r="B72" s="868" t="s">
        <v>293</v>
      </c>
      <c r="C72" s="868" t="s">
        <v>293</v>
      </c>
      <c r="D72" s="868" t="s">
        <v>353</v>
      </c>
      <c r="E72" s="868" t="s">
        <v>312</v>
      </c>
      <c r="F72" s="925" t="s">
        <v>310</v>
      </c>
      <c r="J72" s="868" t="s">
        <v>382</v>
      </c>
      <c r="K72" s="893">
        <v>9571285.1300000008</v>
      </c>
      <c r="L72" s="889"/>
      <c r="N72" s="868"/>
      <c r="O72" s="868"/>
      <c r="P72" s="926"/>
    </row>
    <row r="73" spans="1:18">
      <c r="A73" s="927" t="s">
        <v>293</v>
      </c>
      <c r="B73" s="928" t="s">
        <v>293</v>
      </c>
      <c r="C73" s="928" t="s">
        <v>293</v>
      </c>
      <c r="D73" s="928" t="s">
        <v>353</v>
      </c>
      <c r="E73" s="928" t="s">
        <v>312</v>
      </c>
      <c r="F73" s="929" t="s">
        <v>312</v>
      </c>
      <c r="J73" s="868" t="s">
        <v>383</v>
      </c>
      <c r="K73" s="893">
        <v>1</v>
      </c>
      <c r="L73" s="889"/>
      <c r="P73" s="892"/>
    </row>
    <row r="74" spans="1:18" ht="13.5" thickBot="1">
      <c r="A74" s="930" t="s">
        <v>293</v>
      </c>
      <c r="B74" s="931" t="s">
        <v>293</v>
      </c>
      <c r="C74" s="931" t="s">
        <v>293</v>
      </c>
      <c r="D74" s="931" t="s">
        <v>353</v>
      </c>
      <c r="E74" s="931" t="s">
        <v>312</v>
      </c>
      <c r="F74" s="932" t="s">
        <v>314</v>
      </c>
      <c r="G74" s="931"/>
      <c r="H74" s="931"/>
      <c r="I74" s="931"/>
      <c r="J74" s="931" t="s">
        <v>695</v>
      </c>
      <c r="K74" s="933">
        <v>32750000</v>
      </c>
      <c r="L74" s="934"/>
      <c r="M74" s="935"/>
      <c r="N74" s="934"/>
      <c r="O74" s="934"/>
      <c r="P74" s="936"/>
    </row>
    <row r="75" spans="1:18" s="878" customFormat="1" ht="13.5" thickBot="1">
      <c r="A75" s="937" t="s">
        <v>293</v>
      </c>
      <c r="B75" s="938" t="s">
        <v>293</v>
      </c>
      <c r="C75" s="938" t="s">
        <v>353</v>
      </c>
      <c r="D75" s="938"/>
      <c r="E75" s="937"/>
      <c r="F75" s="939"/>
      <c r="G75" s="939"/>
      <c r="H75" s="938" t="s">
        <v>384</v>
      </c>
      <c r="I75" s="939"/>
      <c r="J75" s="939"/>
      <c r="K75" s="940"/>
      <c r="L75" s="941"/>
      <c r="M75" s="942"/>
      <c r="N75" s="943">
        <f>SUM(M76:M89)</f>
        <v>11153669107.059999</v>
      </c>
      <c r="O75" s="938"/>
      <c r="P75" s="944"/>
      <c r="R75" s="869"/>
    </row>
    <row r="76" spans="1:18" ht="13.5" thickBot="1">
      <c r="A76" s="903" t="s">
        <v>293</v>
      </c>
      <c r="B76" s="904" t="s">
        <v>293</v>
      </c>
      <c r="C76" s="904" t="s">
        <v>353</v>
      </c>
      <c r="D76" s="904" t="s">
        <v>293</v>
      </c>
      <c r="E76" s="904"/>
      <c r="F76" s="905"/>
      <c r="G76" s="905"/>
      <c r="H76" s="905"/>
      <c r="I76" s="904" t="s">
        <v>385</v>
      </c>
      <c r="J76" s="905"/>
      <c r="K76" s="906"/>
      <c r="L76" s="907"/>
      <c r="M76" s="945">
        <f>SUM(L77:L88)</f>
        <v>2427026132</v>
      </c>
      <c r="N76" s="904"/>
      <c r="O76" s="904"/>
      <c r="P76" s="909"/>
    </row>
    <row r="77" spans="1:18">
      <c r="A77" s="887" t="s">
        <v>293</v>
      </c>
      <c r="B77" s="868" t="s">
        <v>293</v>
      </c>
      <c r="C77" s="868" t="s">
        <v>353</v>
      </c>
      <c r="D77" s="868" t="s">
        <v>293</v>
      </c>
      <c r="E77" s="868" t="s">
        <v>298</v>
      </c>
      <c r="I77" s="868" t="s">
        <v>386</v>
      </c>
      <c r="K77" s="893"/>
      <c r="L77" s="889">
        <f>SUM(K84:K86)</f>
        <v>2269806131</v>
      </c>
      <c r="M77" s="946"/>
      <c r="P77" s="892"/>
    </row>
    <row r="78" spans="1:18" hidden="1">
      <c r="A78" s="887" t="s">
        <v>293</v>
      </c>
      <c r="B78" s="868" t="s">
        <v>293</v>
      </c>
      <c r="C78" s="868" t="s">
        <v>353</v>
      </c>
      <c r="D78" s="868" t="s">
        <v>293</v>
      </c>
      <c r="E78" s="868" t="s">
        <v>298</v>
      </c>
      <c r="J78" s="868" t="s">
        <v>387</v>
      </c>
      <c r="K78" s="893"/>
      <c r="L78" s="889"/>
      <c r="M78" s="946"/>
      <c r="P78" s="892"/>
    </row>
    <row r="79" spans="1:18" hidden="1">
      <c r="A79" s="887" t="s">
        <v>293</v>
      </c>
      <c r="B79" s="868" t="s">
        <v>293</v>
      </c>
      <c r="C79" s="868" t="s">
        <v>353</v>
      </c>
      <c r="D79" s="868" t="s">
        <v>293</v>
      </c>
      <c r="E79" s="868" t="s">
        <v>298</v>
      </c>
      <c r="J79" s="868" t="s">
        <v>388</v>
      </c>
      <c r="K79" s="893"/>
      <c r="L79" s="889"/>
      <c r="M79" s="946"/>
      <c r="P79" s="892"/>
    </row>
    <row r="80" spans="1:18" hidden="1">
      <c r="A80" s="887" t="s">
        <v>293</v>
      </c>
      <c r="B80" s="868" t="s">
        <v>293</v>
      </c>
      <c r="C80" s="868" t="s">
        <v>353</v>
      </c>
      <c r="D80" s="868" t="s">
        <v>293</v>
      </c>
      <c r="E80" s="868" t="s">
        <v>298</v>
      </c>
      <c r="J80" s="868" t="s">
        <v>389</v>
      </c>
      <c r="K80" s="893"/>
      <c r="L80" s="889"/>
      <c r="M80" s="946"/>
      <c r="P80" s="892"/>
    </row>
    <row r="81" spans="1:20" hidden="1">
      <c r="A81" s="887" t="s">
        <v>293</v>
      </c>
      <c r="B81" s="868" t="s">
        <v>293</v>
      </c>
      <c r="C81" s="868" t="s">
        <v>353</v>
      </c>
      <c r="D81" s="868" t="s">
        <v>293</v>
      </c>
      <c r="E81" s="868" t="s">
        <v>298</v>
      </c>
      <c r="J81" s="868" t="s">
        <v>390</v>
      </c>
      <c r="K81" s="893"/>
      <c r="L81" s="889"/>
      <c r="M81" s="946"/>
      <c r="P81" s="892"/>
    </row>
    <row r="82" spans="1:20" hidden="1">
      <c r="A82" s="887" t="s">
        <v>293</v>
      </c>
      <c r="B82" s="868" t="s">
        <v>293</v>
      </c>
      <c r="C82" s="868" t="s">
        <v>353</v>
      </c>
      <c r="D82" s="868" t="s">
        <v>293</v>
      </c>
      <c r="E82" s="868" t="s">
        <v>298</v>
      </c>
      <c r="J82" s="868" t="s">
        <v>391</v>
      </c>
      <c r="K82" s="893"/>
      <c r="L82" s="889"/>
      <c r="M82" s="946"/>
      <c r="P82" s="892"/>
    </row>
    <row r="83" spans="1:20" hidden="1">
      <c r="A83" s="887" t="s">
        <v>293</v>
      </c>
      <c r="B83" s="868" t="s">
        <v>293</v>
      </c>
      <c r="C83" s="868" t="s">
        <v>353</v>
      </c>
      <c r="D83" s="868" t="s">
        <v>293</v>
      </c>
      <c r="E83" s="868" t="s">
        <v>298</v>
      </c>
      <c r="J83" s="868" t="s">
        <v>392</v>
      </c>
      <c r="K83" s="893"/>
      <c r="L83" s="889"/>
      <c r="M83" s="946"/>
      <c r="P83" s="892"/>
    </row>
    <row r="84" spans="1:20">
      <c r="A84" s="887" t="s">
        <v>293</v>
      </c>
      <c r="B84" s="868" t="s">
        <v>293</v>
      </c>
      <c r="C84" s="868" t="s">
        <v>353</v>
      </c>
      <c r="D84" s="868" t="s">
        <v>293</v>
      </c>
      <c r="E84" s="868" t="s">
        <v>298</v>
      </c>
      <c r="F84" s="868" t="s">
        <v>298</v>
      </c>
      <c r="J84" s="868" t="s">
        <v>393</v>
      </c>
      <c r="K84" s="947">
        <f>719966251+659589879</f>
        <v>1379556130</v>
      </c>
      <c r="L84" s="889"/>
      <c r="M84" s="946"/>
      <c r="P84" s="892"/>
    </row>
    <row r="85" spans="1:20">
      <c r="A85" s="887" t="s">
        <v>293</v>
      </c>
      <c r="B85" s="868" t="s">
        <v>293</v>
      </c>
      <c r="C85" s="868" t="s">
        <v>353</v>
      </c>
      <c r="D85" s="868" t="s">
        <v>293</v>
      </c>
      <c r="E85" s="868" t="s">
        <v>298</v>
      </c>
      <c r="F85" s="868" t="s">
        <v>301</v>
      </c>
      <c r="J85" s="868" t="s">
        <v>394</v>
      </c>
      <c r="K85" s="893">
        <v>890250000</v>
      </c>
      <c r="L85" s="889"/>
      <c r="M85" s="946"/>
      <c r="P85" s="892"/>
    </row>
    <row r="86" spans="1:20">
      <c r="A86" s="887" t="s">
        <v>293</v>
      </c>
      <c r="B86" s="868" t="s">
        <v>293</v>
      </c>
      <c r="C86" s="868" t="s">
        <v>353</v>
      </c>
      <c r="D86" s="868" t="s">
        <v>293</v>
      </c>
      <c r="E86" s="868" t="s">
        <v>298</v>
      </c>
      <c r="F86" s="868" t="s">
        <v>306</v>
      </c>
      <c r="J86" s="868" t="s">
        <v>395</v>
      </c>
      <c r="K86" s="888">
        <v>1</v>
      </c>
      <c r="L86" s="889"/>
      <c r="M86" s="946"/>
      <c r="P86" s="892"/>
    </row>
    <row r="87" spans="1:20">
      <c r="A87" s="887" t="s">
        <v>293</v>
      </c>
      <c r="B87" s="868" t="s">
        <v>293</v>
      </c>
      <c r="C87" s="868" t="s">
        <v>353</v>
      </c>
      <c r="D87" s="868" t="s">
        <v>293</v>
      </c>
      <c r="E87" s="868" t="s">
        <v>301</v>
      </c>
      <c r="I87" s="868" t="s">
        <v>396</v>
      </c>
      <c r="K87" s="893"/>
      <c r="L87" s="889">
        <v>1</v>
      </c>
      <c r="M87" s="946"/>
      <c r="P87" s="892"/>
    </row>
    <row r="88" spans="1:20" ht="13.5" thickBot="1">
      <c r="A88" s="887" t="s">
        <v>293</v>
      </c>
      <c r="B88" s="868" t="s">
        <v>293</v>
      </c>
      <c r="C88" s="868" t="s">
        <v>353</v>
      </c>
      <c r="D88" s="868" t="s">
        <v>293</v>
      </c>
      <c r="E88" s="868" t="s">
        <v>306</v>
      </c>
      <c r="I88" s="868" t="s">
        <v>397</v>
      </c>
      <c r="K88" s="893"/>
      <c r="L88" s="889">
        <v>157220000</v>
      </c>
      <c r="M88" s="946"/>
      <c r="P88" s="892"/>
    </row>
    <row r="89" spans="1:20" ht="13.5" thickBot="1">
      <c r="A89" s="903" t="s">
        <v>293</v>
      </c>
      <c r="B89" s="904" t="s">
        <v>293</v>
      </c>
      <c r="C89" s="904" t="s">
        <v>353</v>
      </c>
      <c r="D89" s="904" t="s">
        <v>353</v>
      </c>
      <c r="E89" s="905"/>
      <c r="F89" s="905"/>
      <c r="G89" s="905"/>
      <c r="H89" s="905"/>
      <c r="I89" s="904" t="s">
        <v>398</v>
      </c>
      <c r="J89" s="905"/>
      <c r="K89" s="906"/>
      <c r="L89" s="907"/>
      <c r="M89" s="945">
        <f>SUM(L90:L93)</f>
        <v>8726642975.0599995</v>
      </c>
      <c r="N89" s="906"/>
      <c r="O89" s="906"/>
      <c r="P89" s="948"/>
    </row>
    <row r="90" spans="1:20">
      <c r="A90" s="914" t="s">
        <v>293</v>
      </c>
      <c r="B90" s="915" t="s">
        <v>293</v>
      </c>
      <c r="C90" s="915" t="s">
        <v>353</v>
      </c>
      <c r="D90" s="915" t="s">
        <v>353</v>
      </c>
      <c r="E90" s="915" t="s">
        <v>298</v>
      </c>
      <c r="F90" s="915"/>
      <c r="G90" s="915"/>
      <c r="H90" s="915"/>
      <c r="I90" s="915" t="s">
        <v>399</v>
      </c>
      <c r="J90" s="915"/>
      <c r="K90" s="916"/>
      <c r="L90" s="917">
        <v>7683266629.54</v>
      </c>
      <c r="M90" s="919"/>
      <c r="O90" s="919"/>
      <c r="P90" s="920"/>
      <c r="Q90" s="857"/>
      <c r="R90" s="949"/>
      <c r="S90" s="891"/>
      <c r="T90" s="891"/>
    </row>
    <row r="91" spans="1:20">
      <c r="A91" s="887" t="s">
        <v>293</v>
      </c>
      <c r="B91" s="868" t="s">
        <v>293</v>
      </c>
      <c r="C91" s="868" t="s">
        <v>353</v>
      </c>
      <c r="D91" s="868" t="s">
        <v>353</v>
      </c>
      <c r="E91" s="868" t="s">
        <v>301</v>
      </c>
      <c r="I91" s="868" t="s">
        <v>400</v>
      </c>
      <c r="K91" s="893"/>
      <c r="L91" s="889">
        <v>1</v>
      </c>
      <c r="M91" s="891"/>
      <c r="P91" s="892"/>
    </row>
    <row r="92" spans="1:20">
      <c r="A92" s="887" t="s">
        <v>293</v>
      </c>
      <c r="B92" s="868" t="s">
        <v>293</v>
      </c>
      <c r="C92" s="868" t="s">
        <v>353</v>
      </c>
      <c r="D92" s="868" t="s">
        <v>353</v>
      </c>
      <c r="E92" s="868" t="s">
        <v>306</v>
      </c>
      <c r="I92" s="868" t="s">
        <v>401</v>
      </c>
      <c r="K92" s="893"/>
      <c r="L92" s="889">
        <v>994392417.01999998</v>
      </c>
      <c r="M92" s="891"/>
      <c r="P92" s="892"/>
    </row>
    <row r="93" spans="1:20" ht="13.5" thickBot="1">
      <c r="A93" s="930" t="str">
        <f>A92</f>
        <v>1.</v>
      </c>
      <c r="B93" s="931" t="str">
        <f>B92</f>
        <v>1.</v>
      </c>
      <c r="C93" s="931" t="str">
        <f>C92</f>
        <v>2.</v>
      </c>
      <c r="D93" s="931" t="str">
        <f>D92</f>
        <v>2.</v>
      </c>
      <c r="E93" s="931" t="s">
        <v>310</v>
      </c>
      <c r="F93" s="931"/>
      <c r="G93" s="931"/>
      <c r="H93" s="931"/>
      <c r="I93" s="931" t="s">
        <v>402</v>
      </c>
      <c r="J93" s="934"/>
      <c r="K93" s="950"/>
      <c r="L93" s="951">
        <v>48983927.5</v>
      </c>
      <c r="M93" s="934"/>
      <c r="N93" s="934"/>
      <c r="O93" s="934"/>
      <c r="P93" s="936"/>
      <c r="Q93" s="891"/>
      <c r="R93" s="949"/>
      <c r="S93" s="891"/>
    </row>
    <row r="94" spans="1:20" ht="13.5" thickBot="1">
      <c r="A94" s="860" t="s">
        <v>293</v>
      </c>
      <c r="B94" s="861" t="s">
        <v>353</v>
      </c>
      <c r="C94" s="861"/>
      <c r="D94" s="861"/>
      <c r="E94" s="861"/>
      <c r="F94" s="861"/>
      <c r="G94" s="861" t="s">
        <v>403</v>
      </c>
      <c r="H94" s="862"/>
      <c r="I94" s="862"/>
      <c r="J94" s="862"/>
      <c r="K94" s="952"/>
      <c r="L94" s="864"/>
      <c r="M94" s="865"/>
      <c r="N94" s="861"/>
      <c r="O94" s="866">
        <f>SUM(N95:N107)</f>
        <v>4350934536.2800007</v>
      </c>
      <c r="P94" s="867"/>
    </row>
    <row r="95" spans="1:20" s="878" customFormat="1" ht="13.5" thickBot="1">
      <c r="A95" s="953" t="s">
        <v>293</v>
      </c>
      <c r="B95" s="954" t="s">
        <v>353</v>
      </c>
      <c r="C95" s="954" t="s">
        <v>293</v>
      </c>
      <c r="D95" s="954"/>
      <c r="E95" s="955"/>
      <c r="F95" s="955"/>
      <c r="G95" s="955"/>
      <c r="H95" s="954" t="s">
        <v>404</v>
      </c>
      <c r="I95" s="955"/>
      <c r="J95" s="955"/>
      <c r="K95" s="956"/>
      <c r="L95" s="957"/>
      <c r="M95" s="958"/>
      <c r="N95" s="959">
        <f>SUM(M96)</f>
        <v>4160001</v>
      </c>
      <c r="O95" s="954"/>
      <c r="P95" s="960"/>
      <c r="R95" s="869"/>
    </row>
    <row r="96" spans="1:20" ht="13.5" thickBot="1">
      <c r="A96" s="903" t="s">
        <v>293</v>
      </c>
      <c r="B96" s="904" t="s">
        <v>353</v>
      </c>
      <c r="C96" s="904" t="s">
        <v>293</v>
      </c>
      <c r="D96" s="904" t="s">
        <v>293</v>
      </c>
      <c r="E96" s="905"/>
      <c r="F96" s="905"/>
      <c r="G96" s="904"/>
      <c r="H96" s="904"/>
      <c r="I96" s="904" t="s">
        <v>405</v>
      </c>
      <c r="J96" s="904"/>
      <c r="K96" s="906"/>
      <c r="L96" s="907"/>
      <c r="M96" s="945">
        <f>SUM(L97:L99)</f>
        <v>4160001</v>
      </c>
      <c r="N96" s="904"/>
      <c r="O96" s="904"/>
      <c r="P96" s="909"/>
    </row>
    <row r="97" spans="1:18">
      <c r="A97" s="887" t="s">
        <v>293</v>
      </c>
      <c r="B97" s="868" t="s">
        <v>353</v>
      </c>
      <c r="C97" s="868" t="s">
        <v>293</v>
      </c>
      <c r="D97" s="868" t="s">
        <v>293</v>
      </c>
      <c r="E97" s="868" t="s">
        <v>298</v>
      </c>
      <c r="I97" s="868" t="s">
        <v>406</v>
      </c>
      <c r="K97" s="893"/>
      <c r="L97" s="889">
        <v>1</v>
      </c>
      <c r="M97" s="946"/>
      <c r="P97" s="892"/>
    </row>
    <row r="98" spans="1:18">
      <c r="A98" s="887" t="s">
        <v>293</v>
      </c>
      <c r="B98" s="868" t="s">
        <v>353</v>
      </c>
      <c r="C98" s="868" t="s">
        <v>293</v>
      </c>
      <c r="D98" s="868" t="s">
        <v>293</v>
      </c>
      <c r="E98" s="868" t="s">
        <v>301</v>
      </c>
      <c r="I98" s="868" t="s">
        <v>407</v>
      </c>
      <c r="K98" s="893"/>
      <c r="L98" s="889">
        <v>1560000</v>
      </c>
      <c r="M98" s="946"/>
      <c r="P98" s="892"/>
    </row>
    <row r="99" spans="1:18" ht="13.5" thickBot="1">
      <c r="A99" s="887" t="s">
        <v>293</v>
      </c>
      <c r="B99" s="868" t="s">
        <v>353</v>
      </c>
      <c r="C99" s="868" t="s">
        <v>293</v>
      </c>
      <c r="D99" s="868" t="s">
        <v>293</v>
      </c>
      <c r="E99" s="868" t="s">
        <v>306</v>
      </c>
      <c r="I99" s="868" t="s">
        <v>408</v>
      </c>
      <c r="K99" s="893"/>
      <c r="L99" s="889">
        <v>2600000</v>
      </c>
      <c r="M99" s="946"/>
      <c r="P99" s="892"/>
    </row>
    <row r="100" spans="1:18" s="878" customFormat="1" ht="13.5" thickBot="1">
      <c r="A100" s="860" t="s">
        <v>293</v>
      </c>
      <c r="B100" s="861" t="s">
        <v>353</v>
      </c>
      <c r="C100" s="861" t="s">
        <v>353</v>
      </c>
      <c r="D100" s="861"/>
      <c r="E100" s="861"/>
      <c r="F100" s="862"/>
      <c r="G100" s="862"/>
      <c r="H100" s="861" t="s">
        <v>409</v>
      </c>
      <c r="I100" s="862"/>
      <c r="J100" s="862"/>
      <c r="K100" s="952"/>
      <c r="L100" s="864"/>
      <c r="M100" s="865"/>
      <c r="N100" s="866">
        <f>SUM(M101)</f>
        <v>4346774535.2800007</v>
      </c>
      <c r="O100" s="861"/>
      <c r="P100" s="867"/>
      <c r="R100" s="869"/>
    </row>
    <row r="101" spans="1:18" ht="13.5" thickBot="1">
      <c r="A101" s="903" t="s">
        <v>293</v>
      </c>
      <c r="B101" s="904" t="s">
        <v>353</v>
      </c>
      <c r="C101" s="904" t="s">
        <v>353</v>
      </c>
      <c r="D101" s="904" t="s">
        <v>293</v>
      </c>
      <c r="E101" s="904"/>
      <c r="F101" s="905"/>
      <c r="G101" s="904"/>
      <c r="H101" s="904"/>
      <c r="I101" s="904" t="s">
        <v>410</v>
      </c>
      <c r="J101" s="904"/>
      <c r="K101" s="906"/>
      <c r="L101" s="907"/>
      <c r="M101" s="945">
        <f>SUM(L102:L107)</f>
        <v>4346774535.2800007</v>
      </c>
      <c r="N101" s="904"/>
      <c r="O101" s="904"/>
      <c r="P101" s="909"/>
    </row>
    <row r="102" spans="1:18">
      <c r="A102" s="887" t="s">
        <v>293</v>
      </c>
      <c r="B102" s="868" t="s">
        <v>353</v>
      </c>
      <c r="C102" s="868" t="s">
        <v>353</v>
      </c>
      <c r="D102" s="868" t="s">
        <v>293</v>
      </c>
      <c r="E102" s="868" t="s">
        <v>298</v>
      </c>
      <c r="I102" s="868" t="s">
        <v>386</v>
      </c>
      <c r="K102" s="893"/>
      <c r="L102" s="889">
        <f>SUM(K103:K105)</f>
        <v>4346774533.2800007</v>
      </c>
      <c r="M102" s="946"/>
      <c r="P102" s="892"/>
    </row>
    <row r="103" spans="1:18">
      <c r="A103" s="887" t="s">
        <v>293</v>
      </c>
      <c r="B103" s="868" t="s">
        <v>353</v>
      </c>
      <c r="C103" s="868" t="s">
        <v>353</v>
      </c>
      <c r="D103" s="868" t="s">
        <v>293</v>
      </c>
      <c r="E103" s="868" t="s">
        <v>298</v>
      </c>
      <c r="F103" s="868" t="s">
        <v>298</v>
      </c>
      <c r="J103" s="868" t="s">
        <v>411</v>
      </c>
      <c r="K103" s="893">
        <v>325000000</v>
      </c>
      <c r="L103" s="889"/>
      <c r="M103" s="946"/>
      <c r="P103" s="892"/>
      <c r="R103" s="961"/>
    </row>
    <row r="104" spans="1:18">
      <c r="A104" s="887" t="s">
        <v>293</v>
      </c>
      <c r="B104" s="868" t="s">
        <v>353</v>
      </c>
      <c r="C104" s="868" t="s">
        <v>353</v>
      </c>
      <c r="D104" s="868" t="s">
        <v>293</v>
      </c>
      <c r="E104" s="868" t="s">
        <v>298</v>
      </c>
      <c r="F104" s="868" t="s">
        <v>301</v>
      </c>
      <c r="J104" s="868" t="s">
        <v>412</v>
      </c>
      <c r="K104" s="893">
        <v>4021774532.2800002</v>
      </c>
      <c r="L104" s="889"/>
      <c r="M104" s="946"/>
      <c r="P104" s="892"/>
    </row>
    <row r="105" spans="1:18">
      <c r="A105" s="887" t="s">
        <v>293</v>
      </c>
      <c r="B105" s="868" t="s">
        <v>353</v>
      </c>
      <c r="C105" s="868" t="s">
        <v>353</v>
      </c>
      <c r="D105" s="868" t="s">
        <v>293</v>
      </c>
      <c r="E105" s="868" t="s">
        <v>298</v>
      </c>
      <c r="F105" s="868" t="s">
        <v>306</v>
      </c>
      <c r="J105" s="868" t="s">
        <v>395</v>
      </c>
      <c r="K105" s="893">
        <v>1</v>
      </c>
      <c r="L105" s="889"/>
      <c r="M105" s="946"/>
      <c r="P105" s="892"/>
    </row>
    <row r="106" spans="1:18">
      <c r="A106" s="887" t="s">
        <v>293</v>
      </c>
      <c r="B106" s="868" t="s">
        <v>353</v>
      </c>
      <c r="C106" s="868" t="s">
        <v>413</v>
      </c>
      <c r="D106" s="868" t="s">
        <v>293</v>
      </c>
      <c r="E106" s="868" t="s">
        <v>301</v>
      </c>
      <c r="I106" s="868" t="s">
        <v>396</v>
      </c>
      <c r="K106" s="893"/>
      <c r="L106" s="889">
        <v>1</v>
      </c>
      <c r="M106" s="946"/>
      <c r="P106" s="892"/>
    </row>
    <row r="107" spans="1:18" ht="13.5" thickBot="1">
      <c r="A107" s="887" t="s">
        <v>293</v>
      </c>
      <c r="B107" s="868" t="s">
        <v>353</v>
      </c>
      <c r="C107" s="868" t="s">
        <v>413</v>
      </c>
      <c r="D107" s="868" t="s">
        <v>293</v>
      </c>
      <c r="E107" s="868" t="s">
        <v>306</v>
      </c>
      <c r="I107" s="868" t="s">
        <v>397</v>
      </c>
      <c r="K107" s="893"/>
      <c r="L107" s="889">
        <v>1</v>
      </c>
      <c r="M107" s="946"/>
      <c r="P107" s="892"/>
    </row>
    <row r="108" spans="1:18" ht="13.5" thickBot="1">
      <c r="A108" s="937" t="s">
        <v>293</v>
      </c>
      <c r="B108" s="938" t="s">
        <v>413</v>
      </c>
      <c r="C108" s="938"/>
      <c r="D108" s="939"/>
      <c r="E108" s="939"/>
      <c r="F108" s="939"/>
      <c r="G108" s="938" t="s">
        <v>414</v>
      </c>
      <c r="H108" s="939"/>
      <c r="I108" s="939"/>
      <c r="J108" s="939"/>
      <c r="K108" s="940"/>
      <c r="L108" s="941"/>
      <c r="M108" s="942"/>
      <c r="N108" s="938"/>
      <c r="O108" s="943">
        <f>SUM(N109:N130)</f>
        <v>13</v>
      </c>
      <c r="P108" s="944"/>
    </row>
    <row r="109" spans="1:18" s="878" customFormat="1" ht="13.5" thickBot="1">
      <c r="A109" s="860" t="s">
        <v>293</v>
      </c>
      <c r="B109" s="861" t="s">
        <v>413</v>
      </c>
      <c r="C109" s="861" t="s">
        <v>293</v>
      </c>
      <c r="D109" s="861"/>
      <c r="E109" s="861"/>
      <c r="F109" s="861"/>
      <c r="G109" s="862"/>
      <c r="H109" s="861" t="s">
        <v>415</v>
      </c>
      <c r="I109" s="862"/>
      <c r="J109" s="862"/>
      <c r="K109" s="952"/>
      <c r="L109" s="864"/>
      <c r="M109" s="865"/>
      <c r="N109" s="866">
        <f>SUM(M110:M122)</f>
        <v>8</v>
      </c>
      <c r="O109" s="861"/>
      <c r="P109" s="867"/>
      <c r="R109" s="869"/>
    </row>
    <row r="110" spans="1:18" ht="13.5" thickBot="1">
      <c r="A110" s="903" t="s">
        <v>293</v>
      </c>
      <c r="B110" s="904" t="s">
        <v>413</v>
      </c>
      <c r="C110" s="904" t="s">
        <v>293</v>
      </c>
      <c r="D110" s="904" t="s">
        <v>293</v>
      </c>
      <c r="E110" s="904"/>
      <c r="F110" s="904"/>
      <c r="G110" s="904"/>
      <c r="H110" s="904"/>
      <c r="I110" s="904" t="s">
        <v>416</v>
      </c>
      <c r="J110" s="904"/>
      <c r="K110" s="906"/>
      <c r="L110" s="907"/>
      <c r="M110" s="945">
        <f>SUM(L111)</f>
        <v>1</v>
      </c>
      <c r="N110" s="904"/>
      <c r="O110" s="904"/>
      <c r="P110" s="909"/>
    </row>
    <row r="111" spans="1:18" ht="13.5" thickBot="1">
      <c r="A111" s="887" t="s">
        <v>293</v>
      </c>
      <c r="B111" s="868" t="s">
        <v>413</v>
      </c>
      <c r="C111" s="868" t="s">
        <v>293</v>
      </c>
      <c r="D111" s="868" t="s">
        <v>293</v>
      </c>
      <c r="E111" s="868" t="s">
        <v>298</v>
      </c>
      <c r="I111" s="868" t="s">
        <v>417</v>
      </c>
      <c r="K111" s="893"/>
      <c r="L111" s="889">
        <v>1</v>
      </c>
      <c r="M111" s="946"/>
      <c r="P111" s="892"/>
    </row>
    <row r="112" spans="1:18" ht="13.5" thickBot="1">
      <c r="A112" s="903" t="s">
        <v>293</v>
      </c>
      <c r="B112" s="904" t="s">
        <v>413</v>
      </c>
      <c r="C112" s="904" t="s">
        <v>293</v>
      </c>
      <c r="D112" s="904" t="s">
        <v>353</v>
      </c>
      <c r="E112" s="905"/>
      <c r="F112" s="905"/>
      <c r="G112" s="904"/>
      <c r="H112" s="904"/>
      <c r="I112" s="904" t="s">
        <v>418</v>
      </c>
      <c r="J112" s="904"/>
      <c r="K112" s="906"/>
      <c r="L112" s="907"/>
      <c r="M112" s="945">
        <f>SUM(L113:L115)</f>
        <v>3</v>
      </c>
      <c r="N112" s="904"/>
      <c r="O112" s="904"/>
      <c r="P112" s="909"/>
    </row>
    <row r="113" spans="1:18">
      <c r="A113" s="887" t="s">
        <v>293</v>
      </c>
      <c r="B113" s="868" t="s">
        <v>413</v>
      </c>
      <c r="C113" s="868" t="s">
        <v>293</v>
      </c>
      <c r="D113" s="868" t="s">
        <v>353</v>
      </c>
      <c r="E113" s="868" t="s">
        <v>298</v>
      </c>
      <c r="I113" s="868" t="s">
        <v>419</v>
      </c>
      <c r="K113" s="893"/>
      <c r="L113" s="889">
        <v>1</v>
      </c>
      <c r="M113" s="946"/>
      <c r="P113" s="892"/>
    </row>
    <row r="114" spans="1:18">
      <c r="A114" s="887" t="s">
        <v>293</v>
      </c>
      <c r="B114" s="868" t="s">
        <v>413</v>
      </c>
      <c r="C114" s="868" t="s">
        <v>293</v>
      </c>
      <c r="D114" s="868" t="s">
        <v>353</v>
      </c>
      <c r="E114" s="868" t="s">
        <v>301</v>
      </c>
      <c r="I114" s="868" t="s">
        <v>420</v>
      </c>
      <c r="K114" s="893"/>
      <c r="L114" s="889">
        <v>1</v>
      </c>
      <c r="M114" s="946"/>
      <c r="P114" s="892"/>
    </row>
    <row r="115" spans="1:18" ht="13.5" thickBot="1">
      <c r="A115" s="887" t="s">
        <v>293</v>
      </c>
      <c r="B115" s="868" t="s">
        <v>413</v>
      </c>
      <c r="C115" s="868" t="s">
        <v>293</v>
      </c>
      <c r="D115" s="868" t="s">
        <v>353</v>
      </c>
      <c r="E115" s="868" t="s">
        <v>306</v>
      </c>
      <c r="I115" s="868" t="s">
        <v>421</v>
      </c>
      <c r="K115" s="893"/>
      <c r="L115" s="889">
        <v>1</v>
      </c>
      <c r="M115" s="946"/>
      <c r="P115" s="892"/>
    </row>
    <row r="116" spans="1:18" ht="13.5" thickBot="1">
      <c r="A116" s="903" t="s">
        <v>293</v>
      </c>
      <c r="B116" s="904" t="s">
        <v>413</v>
      </c>
      <c r="C116" s="904" t="s">
        <v>293</v>
      </c>
      <c r="D116" s="904" t="s">
        <v>413</v>
      </c>
      <c r="E116" s="905"/>
      <c r="F116" s="905"/>
      <c r="G116" s="904"/>
      <c r="H116" s="904"/>
      <c r="I116" s="904" t="s">
        <v>422</v>
      </c>
      <c r="J116" s="905"/>
      <c r="K116" s="906"/>
      <c r="L116" s="907"/>
      <c r="M116" s="945">
        <f>SUM(L117)</f>
        <v>1</v>
      </c>
      <c r="N116" s="904"/>
      <c r="O116" s="904"/>
      <c r="P116" s="909"/>
    </row>
    <row r="117" spans="1:18" ht="13.5" thickBot="1">
      <c r="A117" s="887" t="s">
        <v>293</v>
      </c>
      <c r="B117" s="868" t="s">
        <v>413</v>
      </c>
      <c r="C117" s="868" t="s">
        <v>293</v>
      </c>
      <c r="D117" s="868" t="s">
        <v>413</v>
      </c>
      <c r="E117" s="868" t="s">
        <v>298</v>
      </c>
      <c r="I117" s="868" t="s">
        <v>423</v>
      </c>
      <c r="K117" s="893"/>
      <c r="L117" s="889">
        <v>1</v>
      </c>
      <c r="M117" s="946"/>
      <c r="P117" s="892"/>
    </row>
    <row r="118" spans="1:18" ht="13.5" thickBot="1">
      <c r="A118" s="903" t="s">
        <v>293</v>
      </c>
      <c r="B118" s="904" t="s">
        <v>413</v>
      </c>
      <c r="C118" s="904" t="s">
        <v>293</v>
      </c>
      <c r="D118" s="904" t="s">
        <v>424</v>
      </c>
      <c r="E118" s="905"/>
      <c r="F118" s="905"/>
      <c r="G118" s="904"/>
      <c r="H118" s="904"/>
      <c r="I118" s="904" t="s">
        <v>425</v>
      </c>
      <c r="J118" s="905"/>
      <c r="K118" s="906"/>
      <c r="L118" s="907"/>
      <c r="M118" s="945">
        <f>SUM(L119)</f>
        <v>1</v>
      </c>
      <c r="N118" s="904"/>
      <c r="O118" s="904"/>
      <c r="P118" s="909"/>
    </row>
    <row r="119" spans="1:18" ht="13.5" thickBot="1">
      <c r="A119" s="887" t="s">
        <v>293</v>
      </c>
      <c r="B119" s="868" t="s">
        <v>413</v>
      </c>
      <c r="C119" s="868" t="s">
        <v>293</v>
      </c>
      <c r="D119" s="868" t="s">
        <v>424</v>
      </c>
      <c r="E119" s="868" t="s">
        <v>298</v>
      </c>
      <c r="I119" s="868" t="s">
        <v>426</v>
      </c>
      <c r="K119" s="893"/>
      <c r="L119" s="889">
        <v>1</v>
      </c>
      <c r="M119" s="946"/>
      <c r="P119" s="892"/>
    </row>
    <row r="120" spans="1:18" ht="13.5" thickBot="1">
      <c r="A120" s="903" t="s">
        <v>293</v>
      </c>
      <c r="B120" s="904" t="s">
        <v>413</v>
      </c>
      <c r="C120" s="904" t="s">
        <v>293</v>
      </c>
      <c r="D120" s="904" t="s">
        <v>427</v>
      </c>
      <c r="E120" s="905"/>
      <c r="F120" s="905"/>
      <c r="G120" s="904"/>
      <c r="H120" s="904"/>
      <c r="I120" s="904" t="s">
        <v>428</v>
      </c>
      <c r="J120" s="905"/>
      <c r="K120" s="906"/>
      <c r="L120" s="907"/>
      <c r="M120" s="945">
        <f>SUM(L121:L122)</f>
        <v>2</v>
      </c>
      <c r="N120" s="904"/>
      <c r="O120" s="904"/>
      <c r="P120" s="909"/>
    </row>
    <row r="121" spans="1:18">
      <c r="A121" s="887" t="s">
        <v>293</v>
      </c>
      <c r="B121" s="868" t="s">
        <v>413</v>
      </c>
      <c r="C121" s="868" t="s">
        <v>293</v>
      </c>
      <c r="D121" s="868" t="s">
        <v>427</v>
      </c>
      <c r="E121" s="868" t="s">
        <v>298</v>
      </c>
      <c r="I121" s="868" t="s">
        <v>429</v>
      </c>
      <c r="K121" s="893"/>
      <c r="L121" s="889">
        <v>1</v>
      </c>
      <c r="M121" s="946"/>
      <c r="P121" s="892"/>
    </row>
    <row r="122" spans="1:18" ht="13.5" thickBot="1">
      <c r="A122" s="887" t="s">
        <v>293</v>
      </c>
      <c r="B122" s="868" t="s">
        <v>413</v>
      </c>
      <c r="C122" s="868" t="s">
        <v>293</v>
      </c>
      <c r="D122" s="868" t="s">
        <v>427</v>
      </c>
      <c r="E122" s="868" t="s">
        <v>301</v>
      </c>
      <c r="I122" s="868" t="s">
        <v>430</v>
      </c>
      <c r="K122" s="893"/>
      <c r="L122" s="889">
        <v>1</v>
      </c>
      <c r="M122" s="946"/>
      <c r="P122" s="892"/>
    </row>
    <row r="123" spans="1:18" s="878" customFormat="1" ht="13.5" thickBot="1">
      <c r="A123" s="860" t="s">
        <v>293</v>
      </c>
      <c r="B123" s="861" t="s">
        <v>413</v>
      </c>
      <c r="C123" s="861" t="s">
        <v>353</v>
      </c>
      <c r="D123" s="861"/>
      <c r="E123" s="861"/>
      <c r="F123" s="862"/>
      <c r="G123" s="862"/>
      <c r="H123" s="861" t="s">
        <v>431</v>
      </c>
      <c r="I123" s="862"/>
      <c r="J123" s="862"/>
      <c r="K123" s="952"/>
      <c r="L123" s="864"/>
      <c r="M123" s="865"/>
      <c r="N123" s="866">
        <f>SUM(M124:M131)</f>
        <v>5</v>
      </c>
      <c r="O123" s="861"/>
      <c r="P123" s="867"/>
      <c r="R123" s="869"/>
    </row>
    <row r="124" spans="1:18" ht="13.5" thickBot="1">
      <c r="A124" s="903" t="s">
        <v>293</v>
      </c>
      <c r="B124" s="904" t="s">
        <v>413</v>
      </c>
      <c r="C124" s="904" t="s">
        <v>353</v>
      </c>
      <c r="D124" s="904" t="s">
        <v>293</v>
      </c>
      <c r="E124" s="904"/>
      <c r="F124" s="905"/>
      <c r="G124" s="905"/>
      <c r="H124" s="904"/>
      <c r="I124" s="904" t="s">
        <v>432</v>
      </c>
      <c r="J124" s="905"/>
      <c r="K124" s="906"/>
      <c r="L124" s="907"/>
      <c r="M124" s="945">
        <f>SUM(L125:L127)</f>
        <v>3</v>
      </c>
      <c r="N124" s="904"/>
      <c r="O124" s="904"/>
      <c r="P124" s="909"/>
    </row>
    <row r="125" spans="1:18">
      <c r="A125" s="887" t="s">
        <v>293</v>
      </c>
      <c r="B125" s="868" t="s">
        <v>413</v>
      </c>
      <c r="C125" s="868" t="s">
        <v>353</v>
      </c>
      <c r="D125" s="868" t="s">
        <v>293</v>
      </c>
      <c r="E125" s="868" t="s">
        <v>298</v>
      </c>
      <c r="I125" s="868" t="s">
        <v>433</v>
      </c>
      <c r="L125" s="889">
        <v>1</v>
      </c>
      <c r="M125" s="946"/>
      <c r="P125" s="892"/>
    </row>
    <row r="126" spans="1:18">
      <c r="A126" s="887" t="s">
        <v>293</v>
      </c>
      <c r="B126" s="868" t="s">
        <v>413</v>
      </c>
      <c r="C126" s="868" t="s">
        <v>353</v>
      </c>
      <c r="D126" s="868" t="s">
        <v>293</v>
      </c>
      <c r="E126" s="868" t="s">
        <v>301</v>
      </c>
      <c r="I126" s="868" t="s">
        <v>434</v>
      </c>
      <c r="K126" s="893"/>
      <c r="L126" s="889">
        <v>1</v>
      </c>
      <c r="M126" s="946"/>
      <c r="P126" s="892"/>
    </row>
    <row r="127" spans="1:18" ht="13.5" thickBot="1">
      <c r="A127" s="887" t="str">
        <f>A124</f>
        <v>1.</v>
      </c>
      <c r="B127" s="868" t="str">
        <f>B124</f>
        <v>3.</v>
      </c>
      <c r="C127" s="868" t="str">
        <f>C124</f>
        <v>2.</v>
      </c>
      <c r="D127" s="868" t="str">
        <f>D124</f>
        <v>1.</v>
      </c>
      <c r="E127" s="868" t="s">
        <v>306</v>
      </c>
      <c r="I127" s="868" t="s">
        <v>435</v>
      </c>
      <c r="K127" s="893"/>
      <c r="L127" s="889">
        <v>1</v>
      </c>
      <c r="M127" s="946"/>
      <c r="P127" s="892"/>
    </row>
    <row r="128" spans="1:18" ht="13.5" thickBot="1">
      <c r="A128" s="903" t="s">
        <v>293</v>
      </c>
      <c r="B128" s="904" t="s">
        <v>413</v>
      </c>
      <c r="C128" s="904" t="s">
        <v>353</v>
      </c>
      <c r="D128" s="904" t="s">
        <v>353</v>
      </c>
      <c r="E128" s="904"/>
      <c r="F128" s="905"/>
      <c r="G128" s="905"/>
      <c r="H128" s="904"/>
      <c r="I128" s="904" t="s">
        <v>436</v>
      </c>
      <c r="J128" s="905"/>
      <c r="K128" s="906"/>
      <c r="L128" s="907"/>
      <c r="M128" s="945">
        <f>SUM(L129:L130)</f>
        <v>2</v>
      </c>
      <c r="N128" s="904"/>
      <c r="O128" s="904"/>
      <c r="P128" s="909"/>
    </row>
    <row r="129" spans="1:18">
      <c r="A129" s="887" t="s">
        <v>293</v>
      </c>
      <c r="B129" s="868" t="s">
        <v>413</v>
      </c>
      <c r="C129" s="868" t="s">
        <v>353</v>
      </c>
      <c r="D129" s="868" t="s">
        <v>353</v>
      </c>
      <c r="E129" s="868" t="s">
        <v>298</v>
      </c>
      <c r="I129" s="868" t="s">
        <v>437</v>
      </c>
      <c r="K129" s="893"/>
      <c r="L129" s="889">
        <v>1</v>
      </c>
      <c r="M129" s="946"/>
      <c r="P129" s="892"/>
    </row>
    <row r="130" spans="1:18" ht="13.5" thickBot="1">
      <c r="A130" s="887" t="s">
        <v>293</v>
      </c>
      <c r="B130" s="868" t="s">
        <v>413</v>
      </c>
      <c r="C130" s="868" t="s">
        <v>353</v>
      </c>
      <c r="D130" s="868" t="s">
        <v>353</v>
      </c>
      <c r="E130" s="868" t="s">
        <v>301</v>
      </c>
      <c r="I130" s="868" t="s">
        <v>438</v>
      </c>
      <c r="K130" s="893"/>
      <c r="L130" s="889">
        <v>1</v>
      </c>
      <c r="M130" s="946"/>
      <c r="P130" s="892"/>
    </row>
    <row r="131" spans="1:18" ht="13.5" thickBot="1">
      <c r="A131" s="937" t="s">
        <v>293</v>
      </c>
      <c r="B131" s="938" t="s">
        <v>424</v>
      </c>
      <c r="C131" s="939"/>
      <c r="D131" s="939"/>
      <c r="E131" s="939"/>
      <c r="F131" s="939"/>
      <c r="G131" s="938" t="s">
        <v>109</v>
      </c>
      <c r="H131" s="938"/>
      <c r="I131" s="939"/>
      <c r="J131" s="939"/>
      <c r="K131" s="940"/>
      <c r="L131" s="941"/>
      <c r="M131" s="942"/>
      <c r="N131" s="943"/>
      <c r="O131" s="943">
        <f>SUM(N132)</f>
        <v>3201397.5</v>
      </c>
      <c r="P131" s="962"/>
    </row>
    <row r="132" spans="1:18" s="878" customFormat="1" ht="13.5" thickBot="1">
      <c r="A132" s="963" t="s">
        <v>293</v>
      </c>
      <c r="B132" s="964" t="s">
        <v>424</v>
      </c>
      <c r="C132" s="964" t="s">
        <v>293</v>
      </c>
      <c r="D132" s="964"/>
      <c r="E132" s="964"/>
      <c r="F132" s="964"/>
      <c r="G132" s="964"/>
      <c r="H132" s="964" t="s">
        <v>439</v>
      </c>
      <c r="I132" s="964"/>
      <c r="J132" s="965"/>
      <c r="K132" s="966"/>
      <c r="L132" s="967"/>
      <c r="M132" s="967"/>
      <c r="N132" s="968">
        <v>3201397.5</v>
      </c>
      <c r="O132" s="968"/>
      <c r="P132" s="969"/>
      <c r="R132" s="869"/>
    </row>
    <row r="133" spans="1:18">
      <c r="K133" s="889"/>
      <c r="L133" s="889"/>
      <c r="M133" s="946"/>
    </row>
    <row r="134" spans="1:18">
      <c r="K134" s="889"/>
      <c r="L134" s="889"/>
      <c r="M134" s="946"/>
    </row>
    <row r="135" spans="1:18">
      <c r="K135" s="889"/>
      <c r="L135" s="889"/>
      <c r="M135" s="946"/>
    </row>
    <row r="136" spans="1:18">
      <c r="K136" s="889"/>
      <c r="L136" s="889"/>
      <c r="M136" s="946"/>
    </row>
    <row r="137" spans="1:18">
      <c r="K137" s="889"/>
      <c r="L137" s="889"/>
      <c r="M137" s="946"/>
    </row>
    <row r="138" spans="1:18">
      <c r="K138" s="889"/>
      <c r="L138" s="889"/>
      <c r="M138" s="946"/>
    </row>
    <row r="139" spans="1:18">
      <c r="K139" s="889"/>
      <c r="L139" s="889"/>
      <c r="M139" s="946"/>
    </row>
    <row r="140" spans="1:18">
      <c r="K140" s="889"/>
      <c r="L140" s="889"/>
      <c r="M140" s="946"/>
    </row>
    <row r="141" spans="1:18">
      <c r="K141" s="889"/>
      <c r="L141" s="889"/>
      <c r="M141" s="946"/>
    </row>
    <row r="142" spans="1:18">
      <c r="K142" s="889"/>
      <c r="L142" s="889"/>
      <c r="M142" s="946"/>
    </row>
    <row r="143" spans="1:18">
      <c r="K143" s="889"/>
      <c r="L143" s="889"/>
      <c r="M143" s="946"/>
    </row>
    <row r="144" spans="1:18">
      <c r="K144" s="889"/>
      <c r="L144" s="889"/>
      <c r="M144" s="946"/>
    </row>
    <row r="145" spans="11:13">
      <c r="K145" s="889"/>
      <c r="L145" s="889"/>
      <c r="M145" s="946"/>
    </row>
    <row r="146" spans="11:13">
      <c r="K146" s="889"/>
      <c r="L146" s="889"/>
      <c r="M146" s="946"/>
    </row>
    <row r="147" spans="11:13">
      <c r="K147" s="889"/>
      <c r="L147" s="889"/>
      <c r="M147" s="946"/>
    </row>
    <row r="148" spans="11:13">
      <c r="K148" s="889"/>
      <c r="L148" s="889"/>
      <c r="M148" s="946"/>
    </row>
    <row r="149" spans="11:13">
      <c r="K149" s="889"/>
      <c r="L149" s="889"/>
      <c r="M149" s="946"/>
    </row>
    <row r="150" spans="11:13">
      <c r="K150" s="889"/>
      <c r="L150" s="889"/>
      <c r="M150" s="946"/>
    </row>
    <row r="151" spans="11:13">
      <c r="K151" s="889"/>
      <c r="L151" s="889"/>
      <c r="M151" s="946"/>
    </row>
    <row r="152" spans="11:13">
      <c r="K152" s="889"/>
      <c r="L152" s="889"/>
      <c r="M152" s="946"/>
    </row>
    <row r="153" spans="11:13">
      <c r="K153" s="889"/>
      <c r="L153" s="889"/>
      <c r="M153" s="946"/>
    </row>
    <row r="154" spans="11:13">
      <c r="K154" s="889"/>
      <c r="L154" s="889"/>
      <c r="M154" s="946"/>
    </row>
    <row r="155" spans="11:13">
      <c r="K155" s="889"/>
      <c r="L155" s="889"/>
      <c r="M155" s="946"/>
    </row>
    <row r="156" spans="11:13">
      <c r="K156" s="889"/>
      <c r="L156" s="889"/>
      <c r="M156" s="946"/>
    </row>
    <row r="157" spans="11:13">
      <c r="K157" s="889"/>
      <c r="L157" s="889"/>
      <c r="M157" s="946"/>
    </row>
    <row r="158" spans="11:13">
      <c r="K158" s="889"/>
      <c r="L158" s="889"/>
      <c r="M158" s="946"/>
    </row>
    <row r="159" spans="11:13">
      <c r="K159" s="889"/>
      <c r="L159" s="889"/>
      <c r="M159" s="946"/>
    </row>
    <row r="160" spans="11:13">
      <c r="K160" s="889"/>
      <c r="L160" s="889"/>
      <c r="M160" s="946"/>
    </row>
    <row r="161" spans="11:13">
      <c r="K161" s="889"/>
      <c r="L161" s="889"/>
      <c r="M161" s="946"/>
    </row>
    <row r="162" spans="11:13">
      <c r="K162" s="889"/>
      <c r="L162" s="889"/>
      <c r="M162" s="946"/>
    </row>
    <row r="163" spans="11:13">
      <c r="K163" s="889"/>
      <c r="L163" s="889"/>
      <c r="M163" s="946"/>
    </row>
    <row r="164" spans="11:13">
      <c r="K164" s="889"/>
      <c r="L164" s="889"/>
      <c r="M164" s="946"/>
    </row>
    <row r="165" spans="11:13">
      <c r="K165" s="889"/>
      <c r="L165" s="889"/>
      <c r="M165" s="946"/>
    </row>
    <row r="166" spans="11:13">
      <c r="K166" s="889"/>
      <c r="L166" s="889"/>
      <c r="M166" s="946"/>
    </row>
    <row r="167" spans="11:13">
      <c r="K167" s="889"/>
      <c r="L167" s="889"/>
      <c r="M167" s="946"/>
    </row>
    <row r="168" spans="11:13">
      <c r="K168" s="889"/>
      <c r="L168" s="889"/>
      <c r="M168" s="946"/>
    </row>
    <row r="169" spans="11:13">
      <c r="K169" s="889"/>
      <c r="L169" s="889"/>
      <c r="M169" s="946"/>
    </row>
    <row r="170" spans="11:13">
      <c r="K170" s="889"/>
      <c r="L170" s="889"/>
      <c r="M170" s="946"/>
    </row>
    <row r="171" spans="11:13">
      <c r="K171" s="889"/>
      <c r="L171" s="889"/>
      <c r="M171" s="946"/>
    </row>
    <row r="172" spans="11:13">
      <c r="K172" s="889"/>
      <c r="L172" s="889"/>
      <c r="M172" s="946"/>
    </row>
    <row r="173" spans="11:13">
      <c r="K173" s="889"/>
      <c r="L173" s="889"/>
      <c r="M173" s="946"/>
    </row>
    <row r="174" spans="11:13">
      <c r="K174" s="889"/>
      <c r="L174" s="889"/>
      <c r="M174" s="946"/>
    </row>
    <row r="175" spans="11:13">
      <c r="K175" s="889"/>
      <c r="L175" s="889"/>
      <c r="M175" s="946"/>
    </row>
    <row r="176" spans="11:13">
      <c r="K176" s="889"/>
      <c r="L176" s="889"/>
      <c r="M176" s="946"/>
    </row>
    <row r="177" spans="11:13">
      <c r="K177" s="889"/>
      <c r="L177" s="889"/>
      <c r="M177" s="946"/>
    </row>
    <row r="178" spans="11:13">
      <c r="K178" s="889"/>
      <c r="L178" s="889"/>
      <c r="M178" s="946"/>
    </row>
    <row r="179" spans="11:13">
      <c r="K179" s="889"/>
      <c r="L179" s="889"/>
      <c r="M179" s="946"/>
    </row>
    <row r="180" spans="11:13">
      <c r="K180" s="889"/>
      <c r="L180" s="889"/>
      <c r="M180" s="946"/>
    </row>
    <row r="181" spans="11:13">
      <c r="K181" s="889"/>
      <c r="L181" s="889"/>
      <c r="M181" s="946"/>
    </row>
    <row r="182" spans="11:13">
      <c r="K182" s="889"/>
      <c r="L182" s="889"/>
      <c r="M182" s="946"/>
    </row>
    <row r="183" spans="11:13">
      <c r="K183" s="889"/>
      <c r="L183" s="889"/>
      <c r="M183" s="946"/>
    </row>
    <row r="184" spans="11:13">
      <c r="K184" s="889"/>
      <c r="L184" s="889"/>
      <c r="M184" s="946"/>
    </row>
    <row r="185" spans="11:13">
      <c r="K185" s="889"/>
      <c r="L185" s="889"/>
      <c r="M185" s="946"/>
    </row>
    <row r="186" spans="11:13">
      <c r="K186" s="889"/>
      <c r="L186" s="889"/>
      <c r="M186" s="946"/>
    </row>
    <row r="187" spans="11:13">
      <c r="K187" s="889"/>
      <c r="L187" s="889"/>
      <c r="M187" s="946"/>
    </row>
    <row r="188" spans="11:13">
      <c r="K188" s="889"/>
      <c r="L188" s="889"/>
      <c r="M188" s="946"/>
    </row>
    <row r="189" spans="11:13">
      <c r="K189" s="889"/>
      <c r="L189" s="889"/>
      <c r="M189" s="946"/>
    </row>
    <row r="190" spans="11:13">
      <c r="K190" s="889"/>
      <c r="L190" s="889"/>
      <c r="M190" s="946"/>
    </row>
    <row r="191" spans="11:13">
      <c r="K191" s="889"/>
      <c r="L191" s="889"/>
      <c r="M191" s="946"/>
    </row>
    <row r="192" spans="11:13">
      <c r="K192" s="889"/>
      <c r="L192" s="889"/>
      <c r="M192" s="946"/>
    </row>
    <row r="193" spans="11:13">
      <c r="K193" s="889"/>
      <c r="L193" s="889"/>
      <c r="M193" s="946"/>
    </row>
    <row r="194" spans="11:13">
      <c r="K194" s="889"/>
      <c r="L194" s="889"/>
      <c r="M194" s="946"/>
    </row>
    <row r="195" spans="11:13">
      <c r="K195" s="889"/>
      <c r="L195" s="889"/>
      <c r="M195" s="946"/>
    </row>
    <row r="196" spans="11:13">
      <c r="K196" s="889"/>
      <c r="L196" s="889"/>
      <c r="M196" s="946"/>
    </row>
    <row r="197" spans="11:13">
      <c r="K197" s="889"/>
      <c r="L197" s="889"/>
      <c r="M197" s="946"/>
    </row>
    <row r="198" spans="11:13">
      <c r="K198" s="889"/>
      <c r="L198" s="889"/>
      <c r="M198" s="946"/>
    </row>
    <row r="199" spans="11:13">
      <c r="K199" s="889"/>
      <c r="L199" s="889"/>
      <c r="M199" s="946"/>
    </row>
    <row r="200" spans="11:13">
      <c r="K200" s="889"/>
      <c r="L200" s="889"/>
      <c r="M200" s="946"/>
    </row>
    <row r="201" spans="11:13">
      <c r="K201" s="889"/>
      <c r="L201" s="889"/>
      <c r="M201" s="946"/>
    </row>
    <row r="202" spans="11:13">
      <c r="K202" s="889"/>
      <c r="L202" s="889"/>
      <c r="M202" s="946"/>
    </row>
    <row r="203" spans="11:13">
      <c r="K203" s="889"/>
      <c r="L203" s="889"/>
      <c r="M203" s="946"/>
    </row>
    <row r="204" spans="11:13">
      <c r="K204" s="889"/>
      <c r="L204" s="889"/>
      <c r="M204" s="946"/>
    </row>
    <row r="205" spans="11:13">
      <c r="K205" s="889"/>
      <c r="L205" s="889"/>
      <c r="M205" s="946"/>
    </row>
    <row r="206" spans="11:13">
      <c r="K206" s="889"/>
      <c r="L206" s="889"/>
      <c r="M206" s="946"/>
    </row>
    <row r="207" spans="11:13">
      <c r="K207" s="889"/>
      <c r="L207" s="889"/>
      <c r="M207" s="946"/>
    </row>
    <row r="208" spans="11:13">
      <c r="K208" s="889"/>
      <c r="L208" s="889"/>
      <c r="M208" s="946"/>
    </row>
    <row r="209" spans="11:13">
      <c r="K209" s="889"/>
      <c r="L209" s="889"/>
      <c r="M209" s="946"/>
    </row>
    <row r="210" spans="11:13">
      <c r="K210" s="889"/>
      <c r="L210" s="889"/>
      <c r="M210" s="946"/>
    </row>
    <row r="211" spans="11:13">
      <c r="K211" s="889"/>
      <c r="L211" s="889"/>
      <c r="M211" s="946"/>
    </row>
    <row r="212" spans="11:13">
      <c r="K212" s="889"/>
      <c r="L212" s="889"/>
      <c r="M212" s="946"/>
    </row>
    <row r="213" spans="11:13">
      <c r="K213" s="889"/>
      <c r="L213" s="889"/>
      <c r="M213" s="946"/>
    </row>
    <row r="214" spans="11:13">
      <c r="K214" s="889"/>
      <c r="L214" s="889"/>
      <c r="M214" s="946"/>
    </row>
    <row r="215" spans="11:13">
      <c r="K215" s="889"/>
      <c r="L215" s="889"/>
      <c r="M215" s="946"/>
    </row>
    <row r="216" spans="11:13">
      <c r="K216" s="889"/>
      <c r="L216" s="889"/>
      <c r="M216" s="946"/>
    </row>
    <row r="217" spans="11:13">
      <c r="K217" s="889"/>
      <c r="L217" s="889"/>
      <c r="M217" s="946"/>
    </row>
    <row r="218" spans="11:13">
      <c r="K218" s="889"/>
      <c r="L218" s="889"/>
      <c r="M218" s="946"/>
    </row>
    <row r="219" spans="11:13">
      <c r="K219" s="889"/>
      <c r="L219" s="889"/>
      <c r="M219" s="946"/>
    </row>
    <row r="220" spans="11:13">
      <c r="K220" s="889"/>
      <c r="L220" s="889"/>
      <c r="M220" s="946"/>
    </row>
    <row r="221" spans="11:13">
      <c r="K221" s="889"/>
      <c r="L221" s="889"/>
      <c r="M221" s="946"/>
    </row>
    <row r="222" spans="11:13">
      <c r="K222" s="889"/>
      <c r="L222" s="889"/>
      <c r="M222" s="946"/>
    </row>
    <row r="223" spans="11:13">
      <c r="K223" s="889"/>
      <c r="L223" s="889"/>
      <c r="M223" s="946"/>
    </row>
    <row r="224" spans="11:13">
      <c r="K224" s="889"/>
      <c r="L224" s="889"/>
      <c r="M224" s="946"/>
    </row>
    <row r="225" spans="11:13">
      <c r="K225" s="889"/>
      <c r="L225" s="889"/>
      <c r="M225" s="946"/>
    </row>
    <row r="226" spans="11:13">
      <c r="K226" s="889"/>
      <c r="L226" s="889"/>
      <c r="M226" s="946"/>
    </row>
    <row r="227" spans="11:13">
      <c r="K227" s="889"/>
      <c r="L227" s="889"/>
      <c r="M227" s="946"/>
    </row>
    <row r="228" spans="11:13">
      <c r="K228" s="889"/>
      <c r="L228" s="889"/>
      <c r="M228" s="946"/>
    </row>
    <row r="229" spans="11:13">
      <c r="K229" s="889"/>
      <c r="L229" s="889"/>
      <c r="M229" s="946"/>
    </row>
    <row r="230" spans="11:13">
      <c r="K230" s="889"/>
      <c r="L230" s="889"/>
      <c r="M230" s="946"/>
    </row>
    <row r="231" spans="11:13">
      <c r="K231" s="889"/>
      <c r="L231" s="889"/>
      <c r="M231" s="946"/>
    </row>
    <row r="232" spans="11:13">
      <c r="K232" s="889"/>
      <c r="L232" s="889"/>
      <c r="M232" s="946"/>
    </row>
    <row r="233" spans="11:13">
      <c r="K233" s="889"/>
      <c r="L233" s="889"/>
      <c r="M233" s="946"/>
    </row>
    <row r="234" spans="11:13">
      <c r="K234" s="889"/>
      <c r="L234" s="889"/>
      <c r="M234" s="946"/>
    </row>
    <row r="235" spans="11:13">
      <c r="K235" s="889"/>
      <c r="L235" s="889"/>
      <c r="M235" s="946"/>
    </row>
    <row r="236" spans="11:13">
      <c r="K236" s="889"/>
      <c r="L236" s="889"/>
      <c r="M236" s="946"/>
    </row>
    <row r="237" spans="11:13">
      <c r="K237" s="889"/>
      <c r="L237" s="889"/>
      <c r="M237" s="946"/>
    </row>
    <row r="238" spans="11:13">
      <c r="K238" s="889"/>
      <c r="L238" s="889"/>
      <c r="M238" s="946"/>
    </row>
    <row r="239" spans="11:13">
      <c r="K239" s="889"/>
      <c r="L239" s="889"/>
      <c r="M239" s="946"/>
    </row>
    <row r="240" spans="11:13">
      <c r="K240" s="889"/>
      <c r="L240" s="889"/>
      <c r="M240" s="946"/>
    </row>
    <row r="241" spans="11:13">
      <c r="K241" s="889"/>
      <c r="L241" s="889"/>
      <c r="M241" s="946"/>
    </row>
    <row r="242" spans="11:13">
      <c r="K242" s="889"/>
      <c r="L242" s="889"/>
      <c r="M242" s="946"/>
    </row>
    <row r="243" spans="11:13">
      <c r="K243" s="889"/>
      <c r="L243" s="889"/>
      <c r="M243" s="946"/>
    </row>
    <row r="244" spans="11:13">
      <c r="K244" s="889"/>
      <c r="L244" s="889"/>
      <c r="M244" s="946"/>
    </row>
    <row r="245" spans="11:13">
      <c r="K245" s="889"/>
      <c r="L245" s="889"/>
      <c r="M245" s="946"/>
    </row>
    <row r="246" spans="11:13">
      <c r="K246" s="889"/>
      <c r="L246" s="889"/>
      <c r="M246" s="946"/>
    </row>
    <row r="247" spans="11:13">
      <c r="K247" s="889"/>
      <c r="L247" s="889"/>
      <c r="M247" s="946"/>
    </row>
    <row r="248" spans="11:13">
      <c r="K248" s="889"/>
      <c r="L248" s="889"/>
      <c r="M248" s="946"/>
    </row>
    <row r="249" spans="11:13">
      <c r="K249" s="889"/>
      <c r="L249" s="889"/>
      <c r="M249" s="946"/>
    </row>
    <row r="250" spans="11:13">
      <c r="K250" s="889"/>
      <c r="L250" s="889"/>
      <c r="M250" s="946"/>
    </row>
    <row r="251" spans="11:13">
      <c r="K251" s="889"/>
      <c r="L251" s="889"/>
      <c r="M251" s="946"/>
    </row>
    <row r="252" spans="11:13">
      <c r="K252" s="889"/>
      <c r="L252" s="889"/>
      <c r="M252" s="946"/>
    </row>
    <row r="253" spans="11:13">
      <c r="K253" s="889"/>
      <c r="L253" s="889"/>
      <c r="M253" s="946"/>
    </row>
    <row r="254" spans="11:13">
      <c r="K254" s="889"/>
      <c r="L254" s="889"/>
      <c r="M254" s="946"/>
    </row>
    <row r="255" spans="11:13">
      <c r="K255" s="889"/>
      <c r="L255" s="889"/>
      <c r="M255" s="946"/>
    </row>
    <row r="256" spans="11:13">
      <c r="K256" s="889"/>
      <c r="L256" s="889"/>
      <c r="M256" s="946"/>
    </row>
    <row r="257" spans="11:13">
      <c r="K257" s="889"/>
      <c r="L257" s="889"/>
      <c r="M257" s="946"/>
    </row>
    <row r="258" spans="11:13">
      <c r="K258" s="889"/>
      <c r="L258" s="889"/>
      <c r="M258" s="946"/>
    </row>
    <row r="259" spans="11:13">
      <c r="K259" s="889"/>
      <c r="L259" s="889"/>
      <c r="M259" s="946"/>
    </row>
    <row r="260" spans="11:13">
      <c r="K260" s="889"/>
      <c r="L260" s="889"/>
      <c r="M260" s="946"/>
    </row>
    <row r="261" spans="11:13">
      <c r="K261" s="889"/>
      <c r="L261" s="889"/>
      <c r="M261" s="946"/>
    </row>
    <row r="262" spans="11:13">
      <c r="K262" s="889"/>
      <c r="L262" s="889"/>
      <c r="M262" s="946"/>
    </row>
    <row r="263" spans="11:13">
      <c r="K263" s="889"/>
      <c r="L263" s="889"/>
      <c r="M263" s="946"/>
    </row>
    <row r="264" spans="11:13">
      <c r="K264" s="889"/>
      <c r="L264" s="889"/>
      <c r="M264" s="946"/>
    </row>
    <row r="265" spans="11:13">
      <c r="K265" s="889"/>
      <c r="L265" s="889"/>
      <c r="M265" s="946"/>
    </row>
    <row r="266" spans="11:13">
      <c r="K266" s="889"/>
      <c r="L266" s="889"/>
      <c r="M266" s="946"/>
    </row>
    <row r="267" spans="11:13">
      <c r="K267" s="889"/>
      <c r="L267" s="889"/>
      <c r="M267" s="946"/>
    </row>
    <row r="268" spans="11:13">
      <c r="K268" s="889"/>
      <c r="L268" s="889"/>
      <c r="M268" s="946"/>
    </row>
    <row r="269" spans="11:13">
      <c r="K269" s="889"/>
      <c r="L269" s="889"/>
      <c r="M269" s="946"/>
    </row>
    <row r="270" spans="11:13">
      <c r="K270" s="889"/>
      <c r="L270" s="889"/>
      <c r="M270" s="946"/>
    </row>
    <row r="271" spans="11:13">
      <c r="K271" s="889"/>
      <c r="L271" s="889"/>
      <c r="M271" s="946"/>
    </row>
    <row r="272" spans="11:13">
      <c r="K272" s="889"/>
      <c r="L272" s="889"/>
      <c r="M272" s="946"/>
    </row>
    <row r="273" spans="11:13">
      <c r="K273" s="889"/>
      <c r="L273" s="889"/>
      <c r="M273" s="946"/>
    </row>
    <row r="274" spans="11:13">
      <c r="K274" s="889"/>
      <c r="L274" s="889"/>
      <c r="M274" s="946"/>
    </row>
    <row r="275" spans="11:13">
      <c r="K275" s="889"/>
      <c r="L275" s="889"/>
      <c r="M275" s="946"/>
    </row>
    <row r="276" spans="11:13">
      <c r="K276" s="889"/>
      <c r="L276" s="889"/>
      <c r="M276" s="946"/>
    </row>
    <row r="277" spans="11:13">
      <c r="K277" s="889"/>
      <c r="L277" s="889"/>
      <c r="M277" s="946"/>
    </row>
    <row r="278" spans="11:13">
      <c r="K278" s="889"/>
      <c r="L278" s="889"/>
      <c r="M278" s="946"/>
    </row>
    <row r="279" spans="11:13">
      <c r="K279" s="889"/>
      <c r="L279" s="889"/>
      <c r="M279" s="946"/>
    </row>
    <row r="280" spans="11:13">
      <c r="K280" s="889"/>
      <c r="L280" s="889"/>
      <c r="M280" s="946"/>
    </row>
    <row r="281" spans="11:13">
      <c r="K281" s="889"/>
      <c r="L281" s="889"/>
      <c r="M281" s="946"/>
    </row>
    <row r="282" spans="11:13">
      <c r="K282" s="889"/>
      <c r="L282" s="889"/>
      <c r="M282" s="946"/>
    </row>
    <row r="283" spans="11:13">
      <c r="K283" s="889"/>
      <c r="L283" s="889"/>
      <c r="M283" s="946"/>
    </row>
    <row r="284" spans="11:13">
      <c r="K284" s="889"/>
      <c r="L284" s="889"/>
      <c r="M284" s="946"/>
    </row>
    <row r="285" spans="11:13">
      <c r="K285" s="889"/>
      <c r="L285" s="889"/>
      <c r="M285" s="946"/>
    </row>
    <row r="286" spans="11:13">
      <c r="K286" s="889"/>
      <c r="L286" s="889"/>
      <c r="M286" s="946"/>
    </row>
    <row r="287" spans="11:13">
      <c r="K287" s="889"/>
      <c r="L287" s="889"/>
      <c r="M287" s="946"/>
    </row>
    <row r="288" spans="11:13">
      <c r="K288" s="889"/>
      <c r="L288" s="889"/>
      <c r="M288" s="946"/>
    </row>
    <row r="289" spans="11:13">
      <c r="K289" s="889"/>
      <c r="L289" s="889"/>
      <c r="M289" s="946"/>
    </row>
    <row r="290" spans="11:13">
      <c r="K290" s="889"/>
      <c r="L290" s="889"/>
      <c r="M290" s="946"/>
    </row>
    <row r="291" spans="11:13">
      <c r="K291" s="889"/>
      <c r="L291" s="889"/>
      <c r="M291" s="946"/>
    </row>
    <row r="292" spans="11:13">
      <c r="K292" s="889"/>
      <c r="L292" s="889"/>
      <c r="M292" s="946"/>
    </row>
    <row r="293" spans="11:13">
      <c r="K293" s="889"/>
      <c r="L293" s="889"/>
      <c r="M293" s="946"/>
    </row>
    <row r="294" spans="11:13">
      <c r="K294" s="889"/>
      <c r="L294" s="889"/>
      <c r="M294" s="946"/>
    </row>
    <row r="295" spans="11:13">
      <c r="K295" s="889"/>
      <c r="L295" s="889"/>
      <c r="M295" s="946"/>
    </row>
    <row r="296" spans="11:13">
      <c r="K296" s="889"/>
      <c r="L296" s="889"/>
      <c r="M296" s="946"/>
    </row>
    <row r="297" spans="11:13">
      <c r="K297" s="889"/>
      <c r="L297" s="889"/>
      <c r="M297" s="946"/>
    </row>
    <row r="298" spans="11:13">
      <c r="K298" s="889"/>
      <c r="L298" s="889"/>
      <c r="M298" s="946"/>
    </row>
    <row r="299" spans="11:13">
      <c r="K299" s="889"/>
      <c r="L299" s="889"/>
      <c r="M299" s="946"/>
    </row>
    <row r="300" spans="11:13">
      <c r="K300" s="889"/>
      <c r="L300" s="889"/>
      <c r="M300" s="946"/>
    </row>
    <row r="301" spans="11:13">
      <c r="K301" s="889"/>
      <c r="L301" s="889"/>
      <c r="M301" s="946"/>
    </row>
    <row r="302" spans="11:13">
      <c r="K302" s="889"/>
      <c r="L302" s="889"/>
      <c r="M302" s="946"/>
    </row>
    <row r="303" spans="11:13">
      <c r="K303" s="889"/>
      <c r="L303" s="889"/>
      <c r="M303" s="946"/>
    </row>
    <row r="304" spans="11:13">
      <c r="K304" s="889"/>
      <c r="L304" s="889"/>
      <c r="M304" s="946"/>
    </row>
    <row r="305" spans="11:13">
      <c r="K305" s="889"/>
      <c r="L305" s="889"/>
      <c r="M305" s="946"/>
    </row>
    <row r="306" spans="11:13">
      <c r="K306" s="889"/>
      <c r="L306" s="889"/>
      <c r="M306" s="946"/>
    </row>
    <row r="307" spans="11:13">
      <c r="K307" s="889"/>
      <c r="L307" s="889"/>
      <c r="M307" s="946"/>
    </row>
    <row r="308" spans="11:13">
      <c r="K308" s="889"/>
      <c r="L308" s="889"/>
      <c r="M308" s="946"/>
    </row>
    <row r="309" spans="11:13">
      <c r="K309" s="889"/>
      <c r="L309" s="889"/>
      <c r="M309" s="946"/>
    </row>
    <row r="310" spans="11:13">
      <c r="K310" s="889"/>
      <c r="L310" s="889"/>
      <c r="M310" s="946"/>
    </row>
    <row r="311" spans="11:13">
      <c r="K311" s="889"/>
      <c r="L311" s="889"/>
      <c r="M311" s="946"/>
    </row>
    <row r="312" spans="11:13">
      <c r="K312" s="889"/>
      <c r="L312" s="889"/>
      <c r="M312" s="946"/>
    </row>
    <row r="313" spans="11:13">
      <c r="K313" s="889"/>
      <c r="L313" s="889"/>
      <c r="M313" s="946"/>
    </row>
    <row r="314" spans="11:13">
      <c r="K314" s="889"/>
      <c r="L314" s="889"/>
      <c r="M314" s="946"/>
    </row>
    <row r="315" spans="11:13">
      <c r="K315" s="889"/>
      <c r="L315" s="889"/>
      <c r="M315" s="946"/>
    </row>
    <row r="316" spans="11:13">
      <c r="K316" s="889"/>
      <c r="L316" s="889"/>
      <c r="M316" s="946"/>
    </row>
    <row r="317" spans="11:13">
      <c r="K317" s="889"/>
      <c r="L317" s="889"/>
      <c r="M317" s="946"/>
    </row>
    <row r="318" spans="11:13">
      <c r="K318" s="889"/>
      <c r="L318" s="889"/>
      <c r="M318" s="946"/>
    </row>
    <row r="319" spans="11:13">
      <c r="K319" s="889"/>
      <c r="L319" s="889"/>
      <c r="M319" s="946"/>
    </row>
    <row r="320" spans="11:13">
      <c r="K320" s="889"/>
      <c r="L320" s="889"/>
      <c r="M320" s="946"/>
    </row>
    <row r="321" spans="11:13">
      <c r="K321" s="889"/>
      <c r="L321" s="889"/>
      <c r="M321" s="946"/>
    </row>
    <row r="322" spans="11:13">
      <c r="K322" s="889"/>
      <c r="L322" s="889"/>
      <c r="M322" s="946"/>
    </row>
    <row r="323" spans="11:13">
      <c r="K323" s="889"/>
      <c r="L323" s="889"/>
      <c r="M323" s="946"/>
    </row>
    <row r="324" spans="11:13">
      <c r="K324" s="889"/>
      <c r="L324" s="889"/>
      <c r="M324" s="946"/>
    </row>
    <row r="325" spans="11:13">
      <c r="K325" s="889"/>
      <c r="L325" s="889"/>
      <c r="M325" s="946"/>
    </row>
    <row r="326" spans="11:13">
      <c r="K326" s="889"/>
      <c r="L326" s="889"/>
      <c r="M326" s="946"/>
    </row>
    <row r="327" spans="11:13">
      <c r="K327" s="889"/>
      <c r="L327" s="889"/>
      <c r="M327" s="946"/>
    </row>
    <row r="328" spans="11:13">
      <c r="K328" s="889"/>
      <c r="L328" s="889"/>
      <c r="M328" s="946"/>
    </row>
    <row r="329" spans="11:13">
      <c r="K329" s="889"/>
      <c r="L329" s="889"/>
      <c r="M329" s="946"/>
    </row>
    <row r="330" spans="11:13">
      <c r="K330" s="889"/>
      <c r="L330" s="889"/>
      <c r="M330" s="946"/>
    </row>
    <row r="331" spans="11:13">
      <c r="K331" s="889"/>
      <c r="L331" s="889"/>
      <c r="M331" s="946"/>
    </row>
    <row r="332" spans="11:13">
      <c r="K332" s="889"/>
      <c r="L332" s="889"/>
      <c r="M332" s="946"/>
    </row>
    <row r="333" spans="11:13">
      <c r="K333" s="889"/>
      <c r="L333" s="889"/>
      <c r="M333" s="946"/>
    </row>
    <row r="334" spans="11:13">
      <c r="K334" s="889"/>
      <c r="L334" s="889"/>
      <c r="M334" s="946"/>
    </row>
    <row r="335" spans="11:13">
      <c r="K335" s="889"/>
      <c r="L335" s="889"/>
      <c r="M335" s="946"/>
    </row>
    <row r="336" spans="11:13">
      <c r="K336" s="889"/>
      <c r="L336" s="889"/>
      <c r="M336" s="946"/>
    </row>
    <row r="337" spans="11:13">
      <c r="K337" s="889"/>
      <c r="L337" s="889"/>
      <c r="M337" s="946"/>
    </row>
    <row r="338" spans="11:13">
      <c r="K338" s="889"/>
      <c r="L338" s="889"/>
      <c r="M338" s="946"/>
    </row>
    <row r="339" spans="11:13">
      <c r="K339" s="889"/>
      <c r="L339" s="889"/>
      <c r="M339" s="946"/>
    </row>
    <row r="340" spans="11:13">
      <c r="K340" s="889"/>
      <c r="L340" s="889"/>
      <c r="M340" s="946"/>
    </row>
    <row r="341" spans="11:13">
      <c r="K341" s="889"/>
      <c r="L341" s="889"/>
      <c r="M341" s="946"/>
    </row>
    <row r="342" spans="11:13">
      <c r="K342" s="889"/>
      <c r="L342" s="889"/>
      <c r="M342" s="946"/>
    </row>
    <row r="343" spans="11:13">
      <c r="K343" s="889"/>
      <c r="L343" s="889"/>
      <c r="M343" s="946"/>
    </row>
    <row r="344" spans="11:13">
      <c r="K344" s="889"/>
      <c r="L344" s="889"/>
      <c r="M344" s="946"/>
    </row>
    <row r="345" spans="11:13">
      <c r="K345" s="889"/>
      <c r="L345" s="889"/>
      <c r="M345" s="946"/>
    </row>
    <row r="346" spans="11:13">
      <c r="K346" s="889"/>
      <c r="L346" s="889"/>
      <c r="M346" s="946"/>
    </row>
    <row r="347" spans="11:13">
      <c r="K347" s="889"/>
      <c r="L347" s="889"/>
      <c r="M347" s="946"/>
    </row>
    <row r="348" spans="11:13">
      <c r="K348" s="889"/>
      <c r="L348" s="889"/>
      <c r="M348" s="946"/>
    </row>
    <row r="349" spans="11:13">
      <c r="K349" s="889"/>
      <c r="L349" s="889"/>
      <c r="M349" s="946"/>
    </row>
    <row r="350" spans="11:13">
      <c r="K350" s="889"/>
      <c r="L350" s="889"/>
      <c r="M350" s="946"/>
    </row>
    <row r="351" spans="11:13">
      <c r="K351" s="889"/>
      <c r="L351" s="889"/>
      <c r="M351" s="946"/>
    </row>
    <row r="352" spans="11:13">
      <c r="K352" s="889"/>
      <c r="L352" s="889"/>
      <c r="M352" s="946"/>
    </row>
    <row r="353" spans="11:13">
      <c r="K353" s="889"/>
      <c r="L353" s="889"/>
      <c r="M353" s="946"/>
    </row>
    <row r="354" spans="11:13">
      <c r="K354" s="889"/>
      <c r="L354" s="889"/>
      <c r="M354" s="946"/>
    </row>
    <row r="355" spans="11:13">
      <c r="K355" s="889"/>
      <c r="L355" s="889"/>
      <c r="M355" s="946"/>
    </row>
    <row r="356" spans="11:13">
      <c r="K356" s="889"/>
      <c r="L356" s="889"/>
      <c r="M356" s="946"/>
    </row>
    <row r="357" spans="11:13">
      <c r="K357" s="889"/>
      <c r="L357" s="889"/>
      <c r="M357" s="946"/>
    </row>
    <row r="358" spans="11:13">
      <c r="K358" s="889"/>
      <c r="L358" s="889"/>
      <c r="M358" s="946"/>
    </row>
    <row r="359" spans="11:13">
      <c r="K359" s="889"/>
      <c r="L359" s="889"/>
      <c r="M359" s="946"/>
    </row>
    <row r="360" spans="11:13">
      <c r="K360" s="889"/>
      <c r="L360" s="889"/>
      <c r="M360" s="946"/>
    </row>
    <row r="361" spans="11:13">
      <c r="K361" s="889"/>
      <c r="L361" s="889"/>
      <c r="M361" s="946"/>
    </row>
    <row r="362" spans="11:13">
      <c r="K362" s="889"/>
      <c r="L362" s="889"/>
      <c r="M362" s="946"/>
    </row>
    <row r="363" spans="11:13">
      <c r="K363" s="889"/>
      <c r="L363" s="889"/>
      <c r="M363" s="946"/>
    </row>
    <row r="364" spans="11:13">
      <c r="K364" s="889"/>
      <c r="L364" s="889"/>
      <c r="M364" s="946"/>
    </row>
    <row r="365" spans="11:13">
      <c r="K365" s="889"/>
      <c r="L365" s="889"/>
      <c r="M365" s="946"/>
    </row>
    <row r="366" spans="11:13">
      <c r="K366" s="889"/>
      <c r="L366" s="889"/>
      <c r="M366" s="946"/>
    </row>
    <row r="367" spans="11:13">
      <c r="K367" s="889"/>
      <c r="L367" s="889"/>
      <c r="M367" s="946"/>
    </row>
    <row r="368" spans="11:13">
      <c r="K368" s="889"/>
      <c r="L368" s="889"/>
      <c r="M368" s="946"/>
    </row>
    <row r="369" spans="11:13">
      <c r="K369" s="889"/>
      <c r="L369" s="889"/>
      <c r="M369" s="946"/>
    </row>
    <row r="370" spans="11:13">
      <c r="K370" s="889"/>
      <c r="L370" s="889"/>
      <c r="M370" s="946"/>
    </row>
    <row r="371" spans="11:13">
      <c r="K371" s="889"/>
      <c r="L371" s="889"/>
      <c r="M371" s="946"/>
    </row>
    <row r="372" spans="11:13">
      <c r="K372" s="889"/>
      <c r="L372" s="889"/>
      <c r="M372" s="946"/>
    </row>
    <row r="373" spans="11:13">
      <c r="K373" s="889"/>
      <c r="L373" s="889"/>
      <c r="M373" s="946"/>
    </row>
    <row r="374" spans="11:13">
      <c r="K374" s="889"/>
      <c r="L374" s="889"/>
      <c r="M374" s="946"/>
    </row>
    <row r="375" spans="11:13">
      <c r="K375" s="889"/>
      <c r="L375" s="889"/>
      <c r="M375" s="946"/>
    </row>
    <row r="376" spans="11:13">
      <c r="K376" s="889"/>
      <c r="L376" s="889"/>
      <c r="M376" s="946"/>
    </row>
    <row r="377" spans="11:13">
      <c r="K377" s="889"/>
      <c r="L377" s="889"/>
      <c r="M377" s="946"/>
    </row>
    <row r="378" spans="11:13">
      <c r="K378" s="889"/>
      <c r="L378" s="889"/>
      <c r="M378" s="946"/>
    </row>
    <row r="379" spans="11:13">
      <c r="K379" s="889"/>
      <c r="L379" s="889"/>
      <c r="M379" s="946"/>
    </row>
    <row r="380" spans="11:13">
      <c r="K380" s="889"/>
      <c r="L380" s="889"/>
      <c r="M380" s="946"/>
    </row>
    <row r="381" spans="11:13">
      <c r="K381" s="889"/>
      <c r="L381" s="889"/>
      <c r="M381" s="946"/>
    </row>
    <row r="382" spans="11:13">
      <c r="K382" s="889"/>
      <c r="L382" s="889"/>
      <c r="M382" s="946"/>
    </row>
    <row r="383" spans="11:13">
      <c r="K383" s="889"/>
      <c r="L383" s="889"/>
      <c r="M383" s="946"/>
    </row>
    <row r="384" spans="11:13">
      <c r="K384" s="889"/>
      <c r="L384" s="889"/>
      <c r="M384" s="946"/>
    </row>
    <row r="385" spans="11:13">
      <c r="K385" s="889"/>
      <c r="L385" s="889"/>
      <c r="M385" s="946"/>
    </row>
    <row r="386" spans="11:13">
      <c r="K386" s="889"/>
      <c r="L386" s="889"/>
      <c r="M386" s="946"/>
    </row>
    <row r="387" spans="11:13">
      <c r="K387" s="889"/>
      <c r="L387" s="889"/>
      <c r="M387" s="946"/>
    </row>
    <row r="388" spans="11:13">
      <c r="K388" s="889"/>
      <c r="L388" s="889"/>
      <c r="M388" s="946"/>
    </row>
    <row r="389" spans="11:13">
      <c r="K389" s="889"/>
      <c r="L389" s="889"/>
      <c r="M389" s="946"/>
    </row>
    <row r="390" spans="11:13">
      <c r="K390" s="889"/>
      <c r="L390" s="889"/>
      <c r="M390" s="946"/>
    </row>
    <row r="391" spans="11:13">
      <c r="K391" s="889"/>
      <c r="L391" s="889"/>
      <c r="M391" s="946"/>
    </row>
    <row r="392" spans="11:13">
      <c r="K392" s="889"/>
      <c r="L392" s="889"/>
      <c r="M392" s="946"/>
    </row>
    <row r="393" spans="11:13">
      <c r="K393" s="889"/>
      <c r="L393" s="889"/>
      <c r="M393" s="946"/>
    </row>
    <row r="394" spans="11:13">
      <c r="K394" s="889"/>
      <c r="L394" s="889"/>
      <c r="M394" s="946"/>
    </row>
    <row r="395" spans="11:13">
      <c r="K395" s="889"/>
      <c r="L395" s="889"/>
      <c r="M395" s="946"/>
    </row>
    <row r="396" spans="11:13">
      <c r="K396" s="889"/>
      <c r="L396" s="889"/>
      <c r="M396" s="946"/>
    </row>
    <row r="397" spans="11:13">
      <c r="K397" s="889"/>
      <c r="L397" s="889"/>
      <c r="M397" s="946"/>
    </row>
    <row r="398" spans="11:13">
      <c r="K398" s="889"/>
      <c r="L398" s="889"/>
      <c r="M398" s="946"/>
    </row>
    <row r="399" spans="11:13">
      <c r="K399" s="889"/>
      <c r="L399" s="889"/>
      <c r="M399" s="946"/>
    </row>
    <row r="400" spans="11:13">
      <c r="K400" s="889"/>
      <c r="L400" s="889"/>
      <c r="M400" s="946"/>
    </row>
    <row r="401" spans="11:13">
      <c r="K401" s="889"/>
      <c r="L401" s="889"/>
      <c r="M401" s="946"/>
    </row>
    <row r="402" spans="11:13">
      <c r="K402" s="889"/>
      <c r="L402" s="889"/>
      <c r="M402" s="946"/>
    </row>
    <row r="403" spans="11:13">
      <c r="K403" s="889"/>
      <c r="L403" s="889"/>
      <c r="M403" s="946"/>
    </row>
    <row r="404" spans="11:13">
      <c r="K404" s="889"/>
      <c r="L404" s="889"/>
      <c r="M404" s="946"/>
    </row>
    <row r="405" spans="11:13">
      <c r="K405" s="889"/>
      <c r="L405" s="889"/>
      <c r="M405" s="946"/>
    </row>
    <row r="406" spans="11:13">
      <c r="K406" s="889"/>
      <c r="L406" s="889"/>
      <c r="M406" s="946"/>
    </row>
  </sheetData>
  <mergeCells count="1">
    <mergeCell ref="G1:J1"/>
  </mergeCells>
  <pageMargins left="0.23622047244094491" right="3.937007874015748E-2" top="0.74803149606299213" bottom="0.74803149606299213" header="0.31496062992125984" footer="0.31496062992125984"/>
  <pageSetup paperSize="9" scale="99" orientation="landscape" horizontalDpi="720" verticalDpi="720" r:id="rId1"/>
  <headerFooter>
    <oddHeader>&amp;L&amp;"Arial Narrow,Normal"&amp;8Cálculo de Recursos Año 2016&amp;R&amp;"Arial Narrow,Normal"&amp;8MUNICIPALIDAD DE VILLA MARÍA
Secretaría de Economía y Administración</oddHeader>
    <oddFooter>&amp;C&amp;"Arial Narrow,Normal"&amp;8Recursos 
&amp;P de &amp;N</oddFooter>
  </headerFooter>
  <rowBreaks count="3" manualBreakCount="3">
    <brk id="37" max="15" man="1"/>
    <brk id="88" max="15" man="1"/>
    <brk id="12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topLeftCell="E1" workbookViewId="0">
      <selection activeCell="A5" sqref="A5:A12"/>
    </sheetView>
  </sheetViews>
  <sheetFormatPr baseColWidth="10" defaultColWidth="14.42578125" defaultRowHeight="15" customHeight="1"/>
  <cols>
    <col min="1" max="1" width="31.7109375" customWidth="1"/>
    <col min="2" max="2" width="13.5703125" customWidth="1"/>
    <col min="3" max="3" width="12.7109375" customWidth="1"/>
    <col min="4" max="4" width="12.42578125" customWidth="1"/>
    <col min="5" max="5" width="13" customWidth="1"/>
    <col min="6" max="6" width="11.7109375" customWidth="1"/>
    <col min="7" max="7" width="13.42578125" customWidth="1"/>
    <col min="8" max="8" width="12.5703125" customWidth="1"/>
    <col min="9" max="9" width="16.42578125" bestFit="1" customWidth="1"/>
    <col min="10" max="10" width="14" customWidth="1"/>
    <col min="11" max="11" width="13.85546875" customWidth="1"/>
    <col min="12" max="12" width="17.140625" customWidth="1"/>
    <col min="13" max="13" width="6.140625" customWidth="1"/>
    <col min="14" max="14" width="5.85546875" customWidth="1"/>
    <col min="15" max="15" width="13.140625" customWidth="1"/>
    <col min="16" max="16" width="6.28515625" hidden="1" customWidth="1"/>
    <col min="17" max="17" width="16" customWidth="1"/>
    <col min="18" max="18" width="12.28515625" customWidth="1"/>
    <col min="19" max="26" width="10.7109375" customWidth="1"/>
  </cols>
  <sheetData>
    <row r="1" spans="1:26" ht="13.5" customHeight="1">
      <c r="A1" s="293">
        <v>2024</v>
      </c>
      <c r="B1" s="13"/>
      <c r="C1" s="13"/>
      <c r="D1" s="13"/>
      <c r="E1" s="13"/>
      <c r="F1" s="13"/>
      <c r="G1" s="13"/>
      <c r="H1" s="13"/>
      <c r="I1" s="13"/>
      <c r="J1" s="13"/>
      <c r="K1" s="13"/>
      <c r="L1" s="13"/>
      <c r="M1" s="28"/>
      <c r="N1" s="294"/>
      <c r="O1" s="13"/>
      <c r="P1" s="13"/>
      <c r="Q1" s="13"/>
      <c r="R1" s="13"/>
      <c r="S1" s="13"/>
      <c r="T1" s="13"/>
      <c r="U1" s="13"/>
      <c r="V1" s="13"/>
      <c r="W1" s="13"/>
      <c r="X1" s="13"/>
      <c r="Y1" s="13"/>
      <c r="Z1" s="13"/>
    </row>
    <row r="2" spans="1:26" ht="13.5" customHeight="1">
      <c r="A2" s="295" t="s">
        <v>124</v>
      </c>
      <c r="B2" s="28"/>
      <c r="C2" s="13"/>
      <c r="D2" s="13"/>
      <c r="E2" s="13"/>
      <c r="F2" s="13"/>
      <c r="G2" s="13"/>
      <c r="H2" s="13"/>
      <c r="I2" s="13"/>
      <c r="J2" s="13"/>
      <c r="K2" s="13"/>
      <c r="L2" s="27"/>
      <c r="M2" s="28"/>
      <c r="N2" s="294"/>
      <c r="O2" s="13"/>
      <c r="P2" s="13"/>
      <c r="Q2" s="13"/>
      <c r="R2" s="13"/>
      <c r="S2" s="13"/>
      <c r="T2" s="13"/>
      <c r="U2" s="13"/>
      <c r="V2" s="13"/>
      <c r="W2" s="13"/>
      <c r="X2" s="13"/>
      <c r="Y2" s="13"/>
      <c r="Z2" s="13"/>
    </row>
    <row r="3" spans="1:26" ht="13.5" customHeight="1">
      <c r="A3" s="296" t="s">
        <v>125</v>
      </c>
      <c r="B3" s="17" t="s">
        <v>2</v>
      </c>
      <c r="C3" s="17" t="s">
        <v>3</v>
      </c>
      <c r="D3" s="17" t="s">
        <v>4</v>
      </c>
      <c r="E3" s="17" t="s">
        <v>5</v>
      </c>
      <c r="F3" s="17" t="s">
        <v>6</v>
      </c>
      <c r="G3" s="17" t="s">
        <v>7</v>
      </c>
      <c r="H3" s="17" t="s">
        <v>79</v>
      </c>
      <c r="I3" s="17" t="s">
        <v>80</v>
      </c>
      <c r="J3" s="17" t="s">
        <v>126</v>
      </c>
      <c r="K3" s="17" t="s">
        <v>81</v>
      </c>
      <c r="L3" s="17">
        <v>2024</v>
      </c>
      <c r="M3" s="297" t="s">
        <v>127</v>
      </c>
      <c r="N3" s="294"/>
      <c r="O3" s="298" t="s">
        <v>674</v>
      </c>
      <c r="P3" s="298" t="s">
        <v>127</v>
      </c>
      <c r="Q3" s="298" t="s">
        <v>125</v>
      </c>
      <c r="R3" s="13"/>
      <c r="S3" s="13"/>
      <c r="T3" s="13"/>
      <c r="U3" s="13"/>
      <c r="V3" s="13"/>
      <c r="W3" s="13"/>
      <c r="X3" s="13"/>
      <c r="Y3" s="13"/>
      <c r="Z3" s="13"/>
    </row>
    <row r="4" spans="1:26" ht="13.5" customHeight="1">
      <c r="A4" s="299" t="s">
        <v>128</v>
      </c>
      <c r="B4" s="300"/>
      <c r="C4" s="301"/>
      <c r="D4" s="301"/>
      <c r="E4" s="301"/>
      <c r="F4" s="301"/>
      <c r="G4" s="301"/>
      <c r="H4" s="301"/>
      <c r="I4" s="301"/>
      <c r="J4" s="301"/>
      <c r="K4" s="301"/>
      <c r="L4" s="301">
        <f t="shared" ref="L4:L24" si="0">SUM(B4:K4)</f>
        <v>0</v>
      </c>
      <c r="M4" s="302" t="e">
        <f>L4/L26*100</f>
        <v>#REF!</v>
      </c>
      <c r="N4" s="303" t="e">
        <f t="shared" ref="N4:N24" si="1">L4/O4-1</f>
        <v>#DIV/0!</v>
      </c>
      <c r="O4" s="304">
        <v>0</v>
      </c>
      <c r="P4" s="305" t="e">
        <f>L4/O4-1</f>
        <v>#DIV/0!</v>
      </c>
      <c r="Q4" s="306" t="s">
        <v>129</v>
      </c>
      <c r="R4" s="307" t="e">
        <f t="shared" ref="R4:R11" si="2">L4/O4-1</f>
        <v>#DIV/0!</v>
      </c>
      <c r="S4" s="308"/>
      <c r="T4" s="308"/>
      <c r="U4" s="308"/>
      <c r="V4" s="308"/>
      <c r="W4" s="308"/>
      <c r="X4" s="308"/>
      <c r="Y4" s="308"/>
      <c r="Z4" s="308"/>
    </row>
    <row r="5" spans="1:26" ht="13.5" customHeight="1">
      <c r="A5" s="309" t="s">
        <v>690</v>
      </c>
      <c r="B5" s="310" t="e">
        <f>'ASESORIA LETRADA 2024'!#REF!</f>
        <v>#REF!</v>
      </c>
      <c r="C5" s="310" t="e">
        <f>'ASESORIA LETRADA 2024'!#REF!</f>
        <v>#REF!</v>
      </c>
      <c r="D5" s="310" t="e">
        <f>'ASESORIA LETRADA 2024'!#REF!</f>
        <v>#REF!</v>
      </c>
      <c r="E5" s="310" t="e">
        <f>'ASESORIA LETRADA 2024'!#REF!</f>
        <v>#REF!</v>
      </c>
      <c r="F5" s="310" t="e">
        <f>'ASESORIA LETRADA 2024'!#REF!</f>
        <v>#REF!</v>
      </c>
      <c r="G5" s="310" t="e">
        <f>'ASESORIA LETRADA 2024'!#REF!</f>
        <v>#REF!</v>
      </c>
      <c r="H5" s="310" t="e">
        <f>'ASESORIA LETRADA 2024'!#REF!</f>
        <v>#REF!</v>
      </c>
      <c r="I5" s="310" t="e">
        <f>'ASESORIA LETRADA 2024'!#REF!</f>
        <v>#REF!</v>
      </c>
      <c r="J5" s="310" t="e">
        <f>'ASESORIA LETRADA 2024'!#REF!</f>
        <v>#REF!</v>
      </c>
      <c r="K5" s="310" t="e">
        <f>'ASESORIA LETRADA 2024'!#REF!</f>
        <v>#REF!</v>
      </c>
      <c r="L5" s="311" t="e">
        <f>SUM(B5:K5)</f>
        <v>#REF!</v>
      </c>
      <c r="M5" s="312" t="e">
        <f>L5/L26*100</f>
        <v>#REF!</v>
      </c>
      <c r="N5" s="313" t="e">
        <f t="shared" si="1"/>
        <v>#REF!</v>
      </c>
      <c r="O5" s="740">
        <v>1260491343.4300001</v>
      </c>
      <c r="P5" s="314"/>
      <c r="Q5" s="309" t="s">
        <v>690</v>
      </c>
      <c r="R5" s="315" t="e">
        <f t="shared" si="2"/>
        <v>#REF!</v>
      </c>
      <c r="S5" s="316"/>
      <c r="T5" s="316"/>
      <c r="U5" s="316"/>
      <c r="V5" s="316"/>
      <c r="W5" s="316"/>
      <c r="X5" s="316"/>
      <c r="Y5" s="316"/>
      <c r="Z5" s="316"/>
    </row>
    <row r="6" spans="1:26" ht="13.5" customHeight="1">
      <c r="A6" s="317" t="s">
        <v>687</v>
      </c>
      <c r="B6" s="318">
        <f>'Prevención, Segur y Conviv 2024'!E20</f>
        <v>0</v>
      </c>
      <c r="C6" s="318">
        <f>'Prevención, Segur y Conviv 2024'!F20</f>
        <v>0</v>
      </c>
      <c r="D6" s="318">
        <f>'Prevención, Segur y Conviv 2024'!G20</f>
        <v>0</v>
      </c>
      <c r="E6" s="318">
        <f>'Prevención, Segur y Conviv 2024'!H20</f>
        <v>0</v>
      </c>
      <c r="F6" s="318">
        <f>'Prevención, Segur y Conviv 2024'!I19</f>
        <v>0</v>
      </c>
      <c r="G6" s="318">
        <f>'Prevención, Segur y Conviv 2024'!J19</f>
        <v>0</v>
      </c>
      <c r="H6" s="318">
        <f>'Prevención, Segur y Conviv 2024'!K19</f>
        <v>0</v>
      </c>
      <c r="I6" s="318">
        <f>'Prevención, Segur y Conviv 2024'!L19</f>
        <v>0</v>
      </c>
      <c r="J6" s="318">
        <f>'Prevención, Segur y Conviv 2024'!M19</f>
        <v>0</v>
      </c>
      <c r="K6" s="318">
        <f>'Prevención, Segur y Conviv 2024'!N19</f>
        <v>0</v>
      </c>
      <c r="L6" s="319">
        <f t="shared" si="0"/>
        <v>0</v>
      </c>
      <c r="M6" s="320" t="e">
        <f>L6/L26*100</f>
        <v>#REF!</v>
      </c>
      <c r="N6" s="321">
        <f t="shared" si="1"/>
        <v>-1</v>
      </c>
      <c r="O6" s="741">
        <v>1379816137</v>
      </c>
      <c r="P6" s="322">
        <f t="shared" ref="P6:P11" si="3">L6/O6-1</f>
        <v>-1</v>
      </c>
      <c r="Q6" s="317" t="s">
        <v>687</v>
      </c>
      <c r="R6" s="323">
        <f t="shared" si="2"/>
        <v>-1</v>
      </c>
      <c r="S6" s="324"/>
      <c r="T6" s="324"/>
      <c r="U6" s="324"/>
      <c r="V6" s="324"/>
      <c r="W6" s="324"/>
      <c r="X6" s="324"/>
      <c r="Y6" s="324"/>
      <c r="Z6" s="324"/>
    </row>
    <row r="7" spans="1:26" ht="13.5" customHeight="1">
      <c r="A7" s="325" t="s">
        <v>685</v>
      </c>
      <c r="B7" s="326">
        <f>'DESARROLLO URBANO 2024'!E14</f>
        <v>0</v>
      </c>
      <c r="C7" s="326">
        <f>'DESARROLLO URBANO 2024'!F14</f>
        <v>0</v>
      </c>
      <c r="D7" s="326">
        <f>'DESARROLLO URBANO 2024'!G14</f>
        <v>0</v>
      </c>
      <c r="E7" s="326">
        <f>'DESARROLLO URBANO 2024'!H14</f>
        <v>0</v>
      </c>
      <c r="F7" s="326">
        <f>'DESARROLLO URBANO 2024'!I14</f>
        <v>0</v>
      </c>
      <c r="G7" s="326">
        <f>'DESARROLLO URBANO 2024'!J14</f>
        <v>0</v>
      </c>
      <c r="H7" s="326">
        <f>'DESARROLLO URBANO 2024'!K14</f>
        <v>0</v>
      </c>
      <c r="I7" s="326">
        <f>'DESARROLLO URBANO 2024'!L14</f>
        <v>0</v>
      </c>
      <c r="J7" s="326">
        <f>'DESARROLLO URBANO 2024'!M14</f>
        <v>0</v>
      </c>
      <c r="K7" s="326">
        <f>'DESARROLLO URBANO 2024'!N14</f>
        <v>0</v>
      </c>
      <c r="L7" s="327">
        <f t="shared" si="0"/>
        <v>0</v>
      </c>
      <c r="M7" s="328" t="e">
        <f>L7/L26*100</f>
        <v>#REF!</v>
      </c>
      <c r="N7" s="329">
        <f t="shared" si="1"/>
        <v>-1</v>
      </c>
      <c r="O7" s="742">
        <v>9583957466</v>
      </c>
      <c r="P7" s="330">
        <f t="shared" si="3"/>
        <v>-1</v>
      </c>
      <c r="Q7" s="325" t="s">
        <v>685</v>
      </c>
      <c r="R7" s="331">
        <f t="shared" si="2"/>
        <v>-1</v>
      </c>
      <c r="S7" s="332"/>
      <c r="T7" s="332"/>
      <c r="U7" s="332"/>
      <c r="V7" s="332"/>
      <c r="W7" s="332"/>
      <c r="X7" s="332"/>
      <c r="Y7" s="332"/>
      <c r="Z7" s="332"/>
    </row>
    <row r="8" spans="1:26" ht="13.5" customHeight="1">
      <c r="A8" s="333" t="s">
        <v>689</v>
      </c>
      <c r="B8" s="334">
        <f>'ECONOMIA 2024'!E11</f>
        <v>0</v>
      </c>
      <c r="C8" s="334">
        <f>'ECONOMIA 2024'!F11</f>
        <v>0</v>
      </c>
      <c r="D8" s="334">
        <f>'ECONOMIA 2024'!G11</f>
        <v>0</v>
      </c>
      <c r="E8" s="334">
        <f>'ECONOMIA 2024'!H11</f>
        <v>0</v>
      </c>
      <c r="F8" s="334">
        <f>'ECONOMIA 2024'!I11</f>
        <v>0</v>
      </c>
      <c r="G8" s="334">
        <f>'ECONOMIA 2024'!J11</f>
        <v>0</v>
      </c>
      <c r="H8" s="334">
        <f>'ECONOMIA 2024'!K11</f>
        <v>0</v>
      </c>
      <c r="I8" s="334">
        <f>'ECONOMIA 2024'!L11</f>
        <v>0</v>
      </c>
      <c r="J8" s="334">
        <f>'ECONOMIA 2024'!M11</f>
        <v>0</v>
      </c>
      <c r="K8" s="334">
        <f>'ECONOMIA 2024'!N11</f>
        <v>0</v>
      </c>
      <c r="L8" s="335">
        <f t="shared" si="0"/>
        <v>0</v>
      </c>
      <c r="M8" s="336" t="e">
        <f>L8/L26*100</f>
        <v>#REF!</v>
      </c>
      <c r="N8" s="337">
        <f t="shared" si="1"/>
        <v>-1</v>
      </c>
      <c r="O8" s="743">
        <v>818946655</v>
      </c>
      <c r="P8" s="338">
        <f t="shared" si="3"/>
        <v>-1</v>
      </c>
      <c r="Q8" s="333" t="s">
        <v>689</v>
      </c>
      <c r="R8" s="339">
        <f t="shared" si="2"/>
        <v>-1</v>
      </c>
      <c r="S8" s="340"/>
      <c r="T8" s="340"/>
      <c r="U8" s="340"/>
      <c r="V8" s="340"/>
      <c r="W8" s="340"/>
      <c r="X8" s="340"/>
      <c r="Y8" s="340"/>
      <c r="Z8" s="340"/>
    </row>
    <row r="9" spans="1:26" ht="13.5" customHeight="1">
      <c r="A9" s="341" t="s">
        <v>686</v>
      </c>
      <c r="B9" s="342">
        <f>'EDUCACION E IGUALDAD 2024'!E11</f>
        <v>0</v>
      </c>
      <c r="C9" s="342">
        <f>'EDUCACION E IGUALDAD 2024'!F11</f>
        <v>0</v>
      </c>
      <c r="D9" s="342">
        <f>'EDUCACION E IGUALDAD 2024'!G11</f>
        <v>0</v>
      </c>
      <c r="E9" s="342">
        <f>'EDUCACION E IGUALDAD 2024'!H11</f>
        <v>0</v>
      </c>
      <c r="F9" s="342">
        <f>'EDUCACION E IGUALDAD 2024'!I11</f>
        <v>0</v>
      </c>
      <c r="G9" s="342">
        <f>'EDUCACION E IGUALDAD 2024'!J11</f>
        <v>0</v>
      </c>
      <c r="H9" s="342">
        <f>'EDUCACION E IGUALDAD 2024'!K11</f>
        <v>0</v>
      </c>
      <c r="I9" s="342">
        <f>'EDUCACION E IGUALDAD 2024'!L11</f>
        <v>0</v>
      </c>
      <c r="J9" s="342">
        <f>'EDUCACION E IGUALDAD 2024'!M11</f>
        <v>0</v>
      </c>
      <c r="K9" s="342">
        <f>'EDUCACION E IGUALDAD 2024'!N11</f>
        <v>0</v>
      </c>
      <c r="L9" s="343">
        <f t="shared" si="0"/>
        <v>0</v>
      </c>
      <c r="M9" s="344" t="e">
        <f>L9/L26*100</f>
        <v>#REF!</v>
      </c>
      <c r="N9" s="345">
        <f t="shared" si="1"/>
        <v>-1</v>
      </c>
      <c r="O9" s="744">
        <v>863700176</v>
      </c>
      <c r="P9" s="346">
        <f t="shared" si="3"/>
        <v>-1</v>
      </c>
      <c r="Q9" s="341" t="s">
        <v>686</v>
      </c>
      <c r="R9" s="347">
        <f t="shared" si="2"/>
        <v>-1</v>
      </c>
      <c r="S9" s="348"/>
      <c r="T9" s="348"/>
      <c r="U9" s="348"/>
      <c r="V9" s="348"/>
      <c r="W9" s="348"/>
      <c r="X9" s="348"/>
      <c r="Y9" s="348"/>
      <c r="Z9" s="348"/>
    </row>
    <row r="10" spans="1:26" ht="13.5" customHeight="1">
      <c r="A10" s="349" t="s">
        <v>684</v>
      </c>
      <c r="B10" s="350" t="e">
        <f>#REF!</f>
        <v>#REF!</v>
      </c>
      <c r="C10" s="350" t="e">
        <f>#REF!</f>
        <v>#REF!</v>
      </c>
      <c r="D10" s="350" t="e">
        <f>#REF!</f>
        <v>#REF!</v>
      </c>
      <c r="E10" s="350" t="e">
        <f>#REF!</f>
        <v>#REF!</v>
      </c>
      <c r="F10" s="350" t="e">
        <f>#REF!</f>
        <v>#REF!</v>
      </c>
      <c r="G10" s="350" t="e">
        <f>#REF!</f>
        <v>#REF!</v>
      </c>
      <c r="H10" s="350" t="e">
        <f>#REF!</f>
        <v>#REF!</v>
      </c>
      <c r="I10" s="350" t="e">
        <f>#REF!</f>
        <v>#REF!</v>
      </c>
      <c r="J10" s="350" t="e">
        <f>#REF!</f>
        <v>#REF!</v>
      </c>
      <c r="K10" s="350" t="e">
        <f>#REF!</f>
        <v>#REF!</v>
      </c>
      <c r="L10" s="351" t="e">
        <f t="shared" si="0"/>
        <v>#REF!</v>
      </c>
      <c r="M10" s="352" t="e">
        <f>L10/L26*100</f>
        <v>#REF!</v>
      </c>
      <c r="N10" s="353" t="e">
        <f t="shared" si="1"/>
        <v>#REF!</v>
      </c>
      <c r="O10" s="745">
        <v>1278739204</v>
      </c>
      <c r="P10" s="354" t="e">
        <f t="shared" si="3"/>
        <v>#REF!</v>
      </c>
      <c r="Q10" s="349" t="s">
        <v>684</v>
      </c>
      <c r="R10" s="355" t="e">
        <f t="shared" si="2"/>
        <v>#REF!</v>
      </c>
      <c r="S10" s="356"/>
      <c r="T10" s="356"/>
      <c r="U10" s="356"/>
      <c r="V10" s="356"/>
      <c r="W10" s="356"/>
      <c r="X10" s="356"/>
      <c r="Y10" s="356"/>
      <c r="Z10" s="356"/>
    </row>
    <row r="11" spans="1:26" ht="13.5" customHeight="1">
      <c r="A11" s="357" t="s">
        <v>683</v>
      </c>
      <c r="B11" s="358" t="e">
        <f>'EDUCACION E IGUALDAD 2024'!#REF!</f>
        <v>#REF!</v>
      </c>
      <c r="C11" s="358" t="e">
        <f>'EDUCACION E IGUALDAD 2024'!#REF!</f>
        <v>#REF!</v>
      </c>
      <c r="D11" s="358" t="e">
        <f>'EDUCACION E IGUALDAD 2024'!#REF!</f>
        <v>#REF!</v>
      </c>
      <c r="E11" s="358" t="e">
        <f>'EDUCACION E IGUALDAD 2024'!#REF!</f>
        <v>#REF!</v>
      </c>
      <c r="F11" s="358" t="e">
        <f>'EDUCACION E IGUALDAD 2024'!#REF!</f>
        <v>#REF!</v>
      </c>
      <c r="G11" s="358" t="e">
        <f>'EDUCACION E IGUALDAD 2024'!#REF!</f>
        <v>#REF!</v>
      </c>
      <c r="H11" s="358" t="e">
        <f>'EDUCACION E IGUALDAD 2024'!#REF!</f>
        <v>#REF!</v>
      </c>
      <c r="I11" s="358" t="e">
        <f>'EDUCACION E IGUALDAD 2024'!#REF!</f>
        <v>#REF!</v>
      </c>
      <c r="J11" s="358" t="e">
        <f>'EDUCACION E IGUALDAD 2024'!#REF!</f>
        <v>#REF!</v>
      </c>
      <c r="K11" s="358" t="e">
        <f>'EDUCACION E IGUALDAD 2024'!#REF!</f>
        <v>#REF!</v>
      </c>
      <c r="L11" s="359" t="e">
        <f t="shared" si="0"/>
        <v>#REF!</v>
      </c>
      <c r="M11" s="360" t="e">
        <f>L11/L26*100</f>
        <v>#REF!</v>
      </c>
      <c r="N11" s="361" t="e">
        <f t="shared" si="1"/>
        <v>#REF!</v>
      </c>
      <c r="O11" s="746">
        <v>909352495</v>
      </c>
      <c r="P11" s="362" t="e">
        <f t="shared" si="3"/>
        <v>#REF!</v>
      </c>
      <c r="Q11" s="357" t="s">
        <v>683</v>
      </c>
      <c r="R11" s="363" t="e">
        <f t="shared" si="2"/>
        <v>#REF!</v>
      </c>
      <c r="S11" s="364"/>
      <c r="T11" s="364"/>
      <c r="U11" s="364"/>
      <c r="V11" s="364"/>
      <c r="W11" s="364"/>
      <c r="X11" s="364"/>
      <c r="Y11" s="364"/>
      <c r="Z11" s="364"/>
    </row>
    <row r="12" spans="1:26" ht="13.5" customHeight="1">
      <c r="A12" s="357" t="s">
        <v>688</v>
      </c>
      <c r="B12" s="358" t="e">
        <f>#REF!</f>
        <v>#REF!</v>
      </c>
      <c r="C12" s="358" t="e">
        <f>#REF!</f>
        <v>#REF!</v>
      </c>
      <c r="D12" s="358" t="e">
        <f>#REF!</f>
        <v>#REF!</v>
      </c>
      <c r="E12" s="358" t="e">
        <f>#REF!</f>
        <v>#REF!</v>
      </c>
      <c r="F12" s="358" t="e">
        <f>#REF!</f>
        <v>#REF!</v>
      </c>
      <c r="G12" s="358" t="e">
        <f>#REF!</f>
        <v>#REF!</v>
      </c>
      <c r="H12" s="358" t="e">
        <f>#REF!</f>
        <v>#REF!</v>
      </c>
      <c r="I12" s="358" t="e">
        <f>#REF!</f>
        <v>#REF!</v>
      </c>
      <c r="J12" s="358" t="e">
        <f>#REF!</f>
        <v>#REF!</v>
      </c>
      <c r="K12" s="358" t="e">
        <f>#REF!</f>
        <v>#REF!</v>
      </c>
      <c r="L12" s="359" t="e">
        <f t="shared" si="0"/>
        <v>#REF!</v>
      </c>
      <c r="M12" s="360" t="e">
        <f>L12/L26*100</f>
        <v>#REF!</v>
      </c>
      <c r="N12" s="361" t="e">
        <f t="shared" si="1"/>
        <v>#REF!</v>
      </c>
      <c r="O12" s="746">
        <v>53583790</v>
      </c>
      <c r="P12" s="362"/>
      <c r="Q12" s="357" t="s">
        <v>688</v>
      </c>
      <c r="R12" s="363"/>
      <c r="S12" s="364"/>
      <c r="T12" s="364"/>
      <c r="U12" s="364"/>
      <c r="V12" s="364"/>
      <c r="W12" s="364"/>
      <c r="X12" s="364"/>
      <c r="Y12" s="364"/>
      <c r="Z12" s="364"/>
    </row>
    <row r="13" spans="1:26" ht="13.5" customHeight="1">
      <c r="A13" s="365" t="s">
        <v>130</v>
      </c>
      <c r="B13" s="366" t="e">
        <f>'JUSTICIA DE FALTAS 2024'!#REF!</f>
        <v>#REF!</v>
      </c>
      <c r="C13" s="366" t="e">
        <f>'JUSTICIA DE FALTAS 2024'!#REF!</f>
        <v>#REF!</v>
      </c>
      <c r="D13" s="366" t="e">
        <f>'JUSTICIA DE FALTAS 2024'!#REF!</f>
        <v>#REF!</v>
      </c>
      <c r="E13" s="366" t="e">
        <f>'JUSTICIA DE FALTAS 2024'!#REF!</f>
        <v>#REF!</v>
      </c>
      <c r="F13" s="366" t="e">
        <f>'JUSTICIA DE FALTAS 2024'!#REF!</f>
        <v>#REF!</v>
      </c>
      <c r="G13" s="366" t="e">
        <f>'JUSTICIA DE FALTAS 2024'!#REF!</f>
        <v>#REF!</v>
      </c>
      <c r="H13" s="366">
        <f>'JUSTICIA DE FALTAS 2024'!D12</f>
        <v>0</v>
      </c>
      <c r="I13" s="366">
        <f>'JUSTICIA DE FALTAS 2024'!E12</f>
        <v>0</v>
      </c>
      <c r="J13" s="366">
        <f>'JUSTICIA DE FALTAS 2024'!F12</f>
        <v>0</v>
      </c>
      <c r="K13" s="366">
        <f>'JUSTICIA DE FALTAS 2024'!G12</f>
        <v>0</v>
      </c>
      <c r="L13" s="367" t="e">
        <f t="shared" si="0"/>
        <v>#REF!</v>
      </c>
      <c r="M13" s="368" t="e">
        <f>L13/L26*100</f>
        <v>#REF!</v>
      </c>
      <c r="N13" s="361" t="e">
        <f t="shared" si="1"/>
        <v>#REF!</v>
      </c>
      <c r="O13" s="747">
        <v>99917913</v>
      </c>
      <c r="P13" s="370" t="e">
        <f t="shared" ref="P13:P26" si="4">L13/O13-1</f>
        <v>#REF!</v>
      </c>
      <c r="Q13" s="371" t="s">
        <v>131</v>
      </c>
      <c r="R13" s="19" t="e">
        <f t="shared" ref="R13:R25" si="5">L13/O13-1</f>
        <v>#REF!</v>
      </c>
      <c r="S13" s="13"/>
      <c r="T13" s="13"/>
      <c r="U13" s="13"/>
      <c r="V13" s="13"/>
      <c r="W13" s="13"/>
      <c r="X13" s="13"/>
      <c r="Y13" s="13"/>
      <c r="Z13" s="13"/>
    </row>
    <row r="14" spans="1:26" ht="13.5" customHeight="1">
      <c r="A14" s="365" t="s">
        <v>132</v>
      </c>
      <c r="B14" s="372" t="e">
        <f>'Concejo Deliberante '!#REF!</f>
        <v>#REF!</v>
      </c>
      <c r="C14" s="372" t="e">
        <f>'Concejo Deliberante '!#REF!</f>
        <v>#REF!</v>
      </c>
      <c r="D14" s="372" t="e">
        <f>'Concejo Deliberante '!#REF!</f>
        <v>#REF!</v>
      </c>
      <c r="E14" s="372" t="e">
        <f>'Concejo Deliberante '!#REF!</f>
        <v>#REF!</v>
      </c>
      <c r="F14" s="372" t="e">
        <f>'Concejo Deliberante '!#REF!</f>
        <v>#REF!</v>
      </c>
      <c r="G14" s="372" t="e">
        <f>'Concejo Deliberante '!#REF!</f>
        <v>#REF!</v>
      </c>
      <c r="H14" s="372">
        <f>'Concejo Deliberante '!D16</f>
        <v>0</v>
      </c>
      <c r="I14" s="372">
        <f>'Concejo Deliberante '!E16</f>
        <v>0</v>
      </c>
      <c r="J14" s="372">
        <f>'Concejo Deliberante '!F16</f>
        <v>0</v>
      </c>
      <c r="K14" s="372">
        <f>'Concejo Deliberante '!G16</f>
        <v>0</v>
      </c>
      <c r="L14" s="367" t="e">
        <f t="shared" si="0"/>
        <v>#REF!</v>
      </c>
      <c r="M14" s="368" t="e">
        <f>L14/L26*100</f>
        <v>#REF!</v>
      </c>
      <c r="N14" s="361" t="e">
        <f t="shared" si="1"/>
        <v>#REF!</v>
      </c>
      <c r="O14" s="747">
        <v>288073158</v>
      </c>
      <c r="P14" s="370" t="e">
        <f t="shared" si="4"/>
        <v>#REF!</v>
      </c>
      <c r="Q14" s="371" t="s">
        <v>133</v>
      </c>
      <c r="R14" s="19" t="e">
        <f t="shared" si="5"/>
        <v>#REF!</v>
      </c>
      <c r="S14" s="13"/>
      <c r="T14" s="13"/>
      <c r="U14" s="13"/>
      <c r="V14" s="13"/>
      <c r="W14" s="13"/>
      <c r="X14" s="13"/>
      <c r="Y14" s="13"/>
      <c r="Z14" s="13"/>
    </row>
    <row r="15" spans="1:26" ht="13.5" customHeight="1">
      <c r="A15" s="365" t="s">
        <v>134</v>
      </c>
      <c r="B15" s="366" t="e">
        <f>'Trib-ctas '!#REF!</f>
        <v>#REF!</v>
      </c>
      <c r="C15" s="366" t="e">
        <f>'Trib-ctas '!#REF!</f>
        <v>#REF!</v>
      </c>
      <c r="D15" s="366" t="e">
        <f>'Trib-ctas '!#REF!</f>
        <v>#REF!</v>
      </c>
      <c r="E15" s="366" t="e">
        <f>'Trib-ctas '!#REF!</f>
        <v>#REF!</v>
      </c>
      <c r="F15" s="366" t="e">
        <f>'Trib-ctas '!#REF!</f>
        <v>#REF!</v>
      </c>
      <c r="G15" s="366">
        <f>'Trib-ctas '!E19</f>
        <v>0</v>
      </c>
      <c r="H15" s="366">
        <f>'Trib-ctas '!F19</f>
        <v>0</v>
      </c>
      <c r="I15" s="366">
        <f>'Trib-ctas '!G19</f>
        <v>0</v>
      </c>
      <c r="J15" s="366">
        <f>'Trib-ctas '!H19</f>
        <v>0</v>
      </c>
      <c r="K15" s="366">
        <f>'Trib-ctas '!I19</f>
        <v>0</v>
      </c>
      <c r="L15" s="367" t="e">
        <f t="shared" si="0"/>
        <v>#REF!</v>
      </c>
      <c r="M15" s="368" t="e">
        <f>L15/L26*100</f>
        <v>#REF!</v>
      </c>
      <c r="N15" s="361" t="e">
        <f t="shared" si="1"/>
        <v>#REF!</v>
      </c>
      <c r="O15" s="747">
        <v>116956411</v>
      </c>
      <c r="P15" s="370" t="e">
        <f t="shared" si="4"/>
        <v>#REF!</v>
      </c>
      <c r="Q15" s="371" t="s">
        <v>135</v>
      </c>
      <c r="R15" s="19" t="e">
        <f t="shared" si="5"/>
        <v>#REF!</v>
      </c>
      <c r="S15" s="13"/>
      <c r="T15" s="13"/>
      <c r="U15" s="13"/>
      <c r="V15" s="13"/>
      <c r="W15" s="13"/>
      <c r="X15" s="13"/>
      <c r="Y15" s="13"/>
      <c r="Z15" s="13"/>
    </row>
    <row r="16" spans="1:26" ht="13.5" customHeight="1">
      <c r="A16" s="365" t="s">
        <v>136</v>
      </c>
      <c r="B16" s="366" t="e">
        <f>Auditoria!#REF!</f>
        <v>#REF!</v>
      </c>
      <c r="C16" s="366" t="e">
        <f>Auditoria!#REF!</f>
        <v>#REF!</v>
      </c>
      <c r="D16" s="366" t="e">
        <f>Auditoria!#REF!</f>
        <v>#REF!</v>
      </c>
      <c r="E16" s="366" t="e">
        <f>Auditoria!#REF!</f>
        <v>#REF!</v>
      </c>
      <c r="F16" s="366" t="e">
        <f>Auditoria!#REF!</f>
        <v>#REF!</v>
      </c>
      <c r="G16" s="366">
        <f>Auditoria!D23</f>
        <v>0</v>
      </c>
      <c r="H16" s="366">
        <f>Auditoria!E23</f>
        <v>0</v>
      </c>
      <c r="I16" s="366">
        <f>Auditoria!F23</f>
        <v>0</v>
      </c>
      <c r="J16" s="366">
        <f>Auditoria!G23</f>
        <v>0</v>
      </c>
      <c r="K16" s="366">
        <f>Auditoria!H23</f>
        <v>0</v>
      </c>
      <c r="L16" s="367" t="e">
        <f t="shared" si="0"/>
        <v>#REF!</v>
      </c>
      <c r="M16" s="368" t="e">
        <f>L16/L26*100</f>
        <v>#REF!</v>
      </c>
      <c r="N16" s="361" t="e">
        <f t="shared" si="1"/>
        <v>#REF!</v>
      </c>
      <c r="O16" s="747">
        <v>40120972</v>
      </c>
      <c r="P16" s="370" t="e">
        <f t="shared" si="4"/>
        <v>#REF!</v>
      </c>
      <c r="Q16" s="371" t="s">
        <v>137</v>
      </c>
      <c r="R16" s="19" t="e">
        <f t="shared" si="5"/>
        <v>#REF!</v>
      </c>
      <c r="S16" s="13"/>
      <c r="T16" s="13"/>
      <c r="U16" s="13"/>
      <c r="V16" s="13"/>
      <c r="W16" s="13"/>
      <c r="X16" s="13"/>
      <c r="Y16" s="13"/>
      <c r="Z16" s="13"/>
    </row>
    <row r="17" spans="1:26" ht="13.5" customHeight="1">
      <c r="A17" s="365" t="s">
        <v>138</v>
      </c>
      <c r="B17" s="366" t="e">
        <f>'T-Reclam-Apelac'!#REF!</f>
        <v>#REF!</v>
      </c>
      <c r="C17" s="366" t="e">
        <f>'T-Reclam-Apelac'!#REF!</f>
        <v>#REF!</v>
      </c>
      <c r="D17" s="366" t="e">
        <f>'T-Reclam-Apelac'!#REF!</f>
        <v>#REF!</v>
      </c>
      <c r="E17" s="366" t="e">
        <f>'T-Reclam-Apelac'!#REF!</f>
        <v>#REF!</v>
      </c>
      <c r="F17" s="366" t="e">
        <f>'T-Reclam-Apelac'!#REF!</f>
        <v>#REF!</v>
      </c>
      <c r="G17" s="366" t="e">
        <f>'T-Reclam-Apelac'!#REF!</f>
        <v>#REF!</v>
      </c>
      <c r="H17" s="366">
        <f>'T-Reclam-Apelac'!D11</f>
        <v>0</v>
      </c>
      <c r="I17" s="366">
        <f>'T-Reclam-Apelac'!E11</f>
        <v>0</v>
      </c>
      <c r="J17" s="366">
        <f>'T-Reclam-Apelac'!F11</f>
        <v>0</v>
      </c>
      <c r="K17" s="366">
        <f>'T-Reclam-Apelac'!G11</f>
        <v>0</v>
      </c>
      <c r="L17" s="367" t="e">
        <f t="shared" si="0"/>
        <v>#REF!</v>
      </c>
      <c r="M17" s="368" t="e">
        <f>L17/L26*100</f>
        <v>#REF!</v>
      </c>
      <c r="N17" s="361" t="e">
        <f t="shared" si="1"/>
        <v>#REF!</v>
      </c>
      <c r="O17" s="747">
        <v>170000</v>
      </c>
      <c r="P17" s="370" t="e">
        <f t="shared" si="4"/>
        <v>#REF!</v>
      </c>
      <c r="Q17" s="371" t="s">
        <v>139</v>
      </c>
      <c r="R17" s="19" t="e">
        <f t="shared" si="5"/>
        <v>#REF!</v>
      </c>
      <c r="S17" s="13"/>
      <c r="T17" s="13"/>
      <c r="U17" s="13"/>
      <c r="V17" s="13"/>
      <c r="W17" s="13"/>
      <c r="X17" s="13"/>
      <c r="Y17" s="13"/>
      <c r="Z17" s="13"/>
    </row>
    <row r="18" spans="1:26" ht="13.5" customHeight="1">
      <c r="A18" s="365" t="s">
        <v>140</v>
      </c>
      <c r="B18" s="366" t="e">
        <f>'Ente Control SM '!#REF!</f>
        <v>#REF!</v>
      </c>
      <c r="C18" s="366" t="e">
        <f>'Ente Control SM '!#REF!</f>
        <v>#REF!</v>
      </c>
      <c r="D18" s="366" t="e">
        <f>'Ente Control SM '!#REF!</f>
        <v>#REF!</v>
      </c>
      <c r="E18" s="366" t="e">
        <f>'Ente Control SM '!#REF!</f>
        <v>#REF!</v>
      </c>
      <c r="F18" s="366" t="e">
        <f>'Ente Control SM '!#REF!</f>
        <v>#REF!</v>
      </c>
      <c r="G18" s="366">
        <f>'Ente Control SM '!D15</f>
        <v>0</v>
      </c>
      <c r="H18" s="366">
        <f>'Ente Control SM '!E15</f>
        <v>0</v>
      </c>
      <c r="I18" s="366">
        <f>'Ente Control SM '!F15</f>
        <v>0</v>
      </c>
      <c r="J18" s="366">
        <f>'Ente Control SM '!G15</f>
        <v>0</v>
      </c>
      <c r="K18" s="366">
        <f>'Ente Control SM '!H15</f>
        <v>0</v>
      </c>
      <c r="L18" s="367" t="e">
        <f t="shared" si="0"/>
        <v>#REF!</v>
      </c>
      <c r="M18" s="368" t="e">
        <f>L18/L26*100</f>
        <v>#REF!</v>
      </c>
      <c r="N18" s="361" t="e">
        <f t="shared" si="1"/>
        <v>#REF!</v>
      </c>
      <c r="O18" s="747">
        <v>415000</v>
      </c>
      <c r="P18" s="370" t="e">
        <f t="shared" si="4"/>
        <v>#REF!</v>
      </c>
      <c r="Q18" s="371" t="s">
        <v>141</v>
      </c>
      <c r="R18" s="19" t="e">
        <f t="shared" si="5"/>
        <v>#REF!</v>
      </c>
      <c r="S18" s="13"/>
      <c r="T18" s="13"/>
      <c r="U18" s="13"/>
      <c r="V18" s="13"/>
      <c r="W18" s="13"/>
      <c r="X18" s="13"/>
      <c r="Y18" s="13"/>
      <c r="Z18" s="13"/>
    </row>
    <row r="19" spans="1:26" ht="13.5" customHeight="1">
      <c r="A19" s="365" t="s">
        <v>142</v>
      </c>
      <c r="B19" s="366" t="e">
        <f>'T-Admis-Conc-'!#REF!</f>
        <v>#REF!</v>
      </c>
      <c r="C19" s="366" t="e">
        <f>'T-Admis-Conc-'!#REF!</f>
        <v>#REF!</v>
      </c>
      <c r="D19" s="366" t="e">
        <f>'T-Admis-Conc-'!#REF!</f>
        <v>#REF!</v>
      </c>
      <c r="E19" s="366" t="e">
        <f>'T-Admis-Conc-'!#REF!</f>
        <v>#REF!</v>
      </c>
      <c r="F19" s="366" t="e">
        <f>'T-Admis-Conc-'!#REF!</f>
        <v>#REF!</v>
      </c>
      <c r="G19" s="366">
        <f>'T-Admis-Conc-'!D15</f>
        <v>0</v>
      </c>
      <c r="H19" s="366">
        <f>'T-Admis-Conc-'!E15</f>
        <v>0</v>
      </c>
      <c r="I19" s="366">
        <f>'T-Admis-Conc-'!F15</f>
        <v>0</v>
      </c>
      <c r="J19" s="366">
        <f>'T-Admis-Conc-'!G15</f>
        <v>0</v>
      </c>
      <c r="K19" s="366">
        <f>'T-Admis-Conc-'!H15</f>
        <v>0</v>
      </c>
      <c r="L19" s="367" t="e">
        <f t="shared" si="0"/>
        <v>#REF!</v>
      </c>
      <c r="M19" s="368" t="e">
        <f>L19/L26*100</f>
        <v>#REF!</v>
      </c>
      <c r="N19" s="361" t="e">
        <f t="shared" si="1"/>
        <v>#REF!</v>
      </c>
      <c r="O19" s="747">
        <v>350500</v>
      </c>
      <c r="P19" s="370" t="e">
        <f t="shared" si="4"/>
        <v>#REF!</v>
      </c>
      <c r="Q19" s="371" t="s">
        <v>143</v>
      </c>
      <c r="R19" s="19" t="e">
        <f t="shared" si="5"/>
        <v>#REF!</v>
      </c>
      <c r="S19" s="13"/>
      <c r="T19" s="13"/>
      <c r="U19" s="13"/>
      <c r="V19" s="13"/>
      <c r="W19" s="13"/>
      <c r="X19" s="13"/>
      <c r="Y19" s="13"/>
      <c r="Z19" s="13"/>
    </row>
    <row r="20" spans="1:26" ht="13.5">
      <c r="A20" s="365" t="s">
        <v>144</v>
      </c>
      <c r="B20" s="366" t="e">
        <f>CAM!#REF!</f>
        <v>#REF!</v>
      </c>
      <c r="C20" s="366" t="e">
        <f>CAM!#REF!</f>
        <v>#REF!</v>
      </c>
      <c r="D20" s="366" t="e">
        <f>CAM!#REF!</f>
        <v>#REF!</v>
      </c>
      <c r="E20" s="366" t="e">
        <f>CAM!#REF!</f>
        <v>#REF!</v>
      </c>
      <c r="F20" s="366" t="e">
        <f>CAM!#REF!</f>
        <v>#REF!</v>
      </c>
      <c r="G20" s="366" t="e">
        <f>CAM!#REF!</f>
        <v>#REF!</v>
      </c>
      <c r="H20" s="366">
        <f>CAM!D20</f>
        <v>0</v>
      </c>
      <c r="I20" s="366">
        <f>CAM!E20</f>
        <v>0</v>
      </c>
      <c r="J20" s="366">
        <f>CAM!F20</f>
        <v>0</v>
      </c>
      <c r="K20" s="366">
        <f>CAM!G20</f>
        <v>0</v>
      </c>
      <c r="L20" s="373" t="e">
        <f t="shared" si="0"/>
        <v>#REF!</v>
      </c>
      <c r="M20" s="368" t="e">
        <f>L20/L29*100</f>
        <v>#REF!</v>
      </c>
      <c r="N20" s="361" t="e">
        <f t="shared" si="1"/>
        <v>#REF!</v>
      </c>
      <c r="O20" s="748">
        <v>3376000</v>
      </c>
      <c r="P20" s="370" t="e">
        <f t="shared" si="4"/>
        <v>#REF!</v>
      </c>
      <c r="Q20" s="371" t="s">
        <v>145</v>
      </c>
      <c r="R20" s="19" t="e">
        <f t="shared" si="5"/>
        <v>#REF!</v>
      </c>
      <c r="S20" s="13"/>
      <c r="T20" s="13"/>
      <c r="U20" s="13"/>
      <c r="V20" s="13"/>
      <c r="W20" s="13"/>
      <c r="X20" s="13"/>
      <c r="Y20" s="13"/>
      <c r="Z20" s="13"/>
    </row>
    <row r="21" spans="1:26" ht="13.5" hidden="1" customHeight="1">
      <c r="A21" s="374" t="s">
        <v>146</v>
      </c>
      <c r="B21" s="375"/>
      <c r="C21" s="375"/>
      <c r="D21" s="375"/>
      <c r="E21" s="375"/>
      <c r="F21" s="375"/>
      <c r="G21" s="375"/>
      <c r="H21" s="375"/>
      <c r="I21" s="375"/>
      <c r="J21" s="375"/>
      <c r="K21" s="375"/>
      <c r="L21" s="376">
        <f t="shared" si="0"/>
        <v>0</v>
      </c>
      <c r="M21" s="368"/>
      <c r="N21" s="361">
        <f t="shared" si="1"/>
        <v>-1</v>
      </c>
      <c r="O21" s="748">
        <v>3990000</v>
      </c>
      <c r="P21" s="370">
        <f>L21/O24-1</f>
        <v>-1</v>
      </c>
      <c r="Q21" s="371"/>
      <c r="R21" s="19">
        <f t="shared" si="5"/>
        <v>-1</v>
      </c>
      <c r="S21" s="13"/>
      <c r="T21" s="13"/>
      <c r="U21" s="13"/>
      <c r="V21" s="13"/>
      <c r="W21" s="13"/>
      <c r="X21" s="13"/>
      <c r="Y21" s="13"/>
      <c r="Z21" s="13"/>
    </row>
    <row r="22" spans="1:26" ht="13.5" hidden="1">
      <c r="A22" s="374" t="s">
        <v>147</v>
      </c>
      <c r="B22" s="375"/>
      <c r="C22" s="375"/>
      <c r="D22" s="375"/>
      <c r="E22" s="375"/>
      <c r="F22" s="375"/>
      <c r="G22" s="375"/>
      <c r="H22" s="375"/>
      <c r="I22" s="375"/>
      <c r="J22" s="375"/>
      <c r="K22" s="375"/>
      <c r="L22" s="376">
        <f t="shared" si="0"/>
        <v>0</v>
      </c>
      <c r="M22" s="368"/>
      <c r="N22" s="361" t="e">
        <f t="shared" si="1"/>
        <v>#DIV/0!</v>
      </c>
      <c r="O22" s="369">
        <v>0</v>
      </c>
      <c r="P22" s="370" t="e">
        <f t="shared" si="4"/>
        <v>#DIV/0!</v>
      </c>
      <c r="Q22" s="371"/>
      <c r="R22" s="19" t="e">
        <f t="shared" si="5"/>
        <v>#DIV/0!</v>
      </c>
      <c r="S22" s="13"/>
      <c r="T22" s="13"/>
      <c r="U22" s="13"/>
      <c r="V22" s="13"/>
      <c r="W22" s="13"/>
      <c r="X22" s="13"/>
      <c r="Y22" s="13"/>
      <c r="Z22" s="13"/>
    </row>
    <row r="23" spans="1:26" ht="13.5" hidden="1">
      <c r="A23" s="374" t="s">
        <v>148</v>
      </c>
      <c r="B23" s="375"/>
      <c r="C23" s="375"/>
      <c r="D23" s="375"/>
      <c r="E23" s="375"/>
      <c r="F23" s="375"/>
      <c r="G23" s="375"/>
      <c r="H23" s="375"/>
      <c r="I23" s="375"/>
      <c r="J23" s="375"/>
      <c r="K23" s="375"/>
      <c r="L23" s="376">
        <f t="shared" si="0"/>
        <v>0</v>
      </c>
      <c r="M23" s="368"/>
      <c r="N23" s="361" t="e">
        <f t="shared" si="1"/>
        <v>#DIV/0!</v>
      </c>
      <c r="O23" s="369">
        <v>0</v>
      </c>
      <c r="P23" s="370" t="e">
        <f t="shared" si="4"/>
        <v>#DIV/0!</v>
      </c>
      <c r="Q23" s="371"/>
      <c r="R23" s="19" t="e">
        <f t="shared" si="5"/>
        <v>#DIV/0!</v>
      </c>
      <c r="S23" s="13"/>
      <c r="T23" s="13"/>
      <c r="U23" s="13"/>
      <c r="V23" s="13"/>
      <c r="W23" s="13"/>
      <c r="X23" s="13"/>
      <c r="Y23" s="13"/>
      <c r="Z23" s="13"/>
    </row>
    <row r="24" spans="1:26" ht="13.5" customHeight="1">
      <c r="A24" s="365" t="s">
        <v>149</v>
      </c>
      <c r="B24" s="377" t="e">
        <f>'JUSTICIA ELECTORAL'!#REF!</f>
        <v>#REF!</v>
      </c>
      <c r="C24" s="377" t="e">
        <f>'JUSTICIA ELECTORAL'!#REF!</f>
        <v>#REF!</v>
      </c>
      <c r="D24" s="377" t="e">
        <f>'JUSTICIA ELECTORAL'!#REF!</f>
        <v>#REF!</v>
      </c>
      <c r="E24" s="377" t="e">
        <f>'JUSTICIA ELECTORAL'!#REF!</f>
        <v>#REF!</v>
      </c>
      <c r="F24" s="377" t="e">
        <f>'JUSTICIA ELECTORAL'!#REF!</f>
        <v>#REF!</v>
      </c>
      <c r="G24" s="377" t="e">
        <f>'JUSTICIA ELECTORAL'!#REF!</f>
        <v>#REF!</v>
      </c>
      <c r="H24" s="377" t="e">
        <f>'JUSTICIA ELECTORAL'!#REF!</f>
        <v>#REF!</v>
      </c>
      <c r="I24" s="377" t="e">
        <f>'JUSTICIA ELECTORAL'!#REF!</f>
        <v>#REF!</v>
      </c>
      <c r="J24" s="377" t="e">
        <f>'JUSTICIA ELECTORAL'!#REF!</f>
        <v>#REF!</v>
      </c>
      <c r="K24" s="377" t="e">
        <f>'JUSTICIA ELECTORAL'!#REF!</f>
        <v>#REF!</v>
      </c>
      <c r="L24" s="373" t="e">
        <f t="shared" si="0"/>
        <v>#REF!</v>
      </c>
      <c r="M24" s="368" t="e">
        <f>L24/L29*100</f>
        <v>#REF!</v>
      </c>
      <c r="N24" s="361" t="e">
        <f t="shared" si="1"/>
        <v>#REF!</v>
      </c>
      <c r="O24" s="618">
        <v>328750</v>
      </c>
      <c r="P24" s="370" t="e">
        <f>L24/#REF!-1</f>
        <v>#REF!</v>
      </c>
      <c r="Q24" s="371" t="s">
        <v>150</v>
      </c>
      <c r="R24" s="19" t="e">
        <f t="shared" si="5"/>
        <v>#REF!</v>
      </c>
      <c r="S24" s="13"/>
      <c r="T24" s="13"/>
      <c r="U24" s="13"/>
      <c r="V24" s="13"/>
      <c r="W24" s="13"/>
      <c r="X24" s="13"/>
      <c r="Y24" s="13"/>
      <c r="Z24" s="13"/>
    </row>
    <row r="25" spans="1:26" ht="13.5" customHeight="1">
      <c r="A25" s="378" t="s">
        <v>151</v>
      </c>
      <c r="B25" s="13"/>
      <c r="C25" s="379"/>
      <c r="D25" s="379"/>
      <c r="E25" s="379"/>
      <c r="F25" s="379"/>
      <c r="G25" s="375"/>
      <c r="H25" s="13"/>
      <c r="I25" s="379"/>
      <c r="J25" s="379"/>
      <c r="K25" s="379"/>
      <c r="L25" s="380"/>
      <c r="M25" s="368"/>
      <c r="N25" s="381" t="e">
        <f>L25/O25-1</f>
        <v>#DIV/0!</v>
      </c>
      <c r="O25" s="379">
        <v>0</v>
      </c>
      <c r="P25" s="382" t="e">
        <f t="shared" si="4"/>
        <v>#DIV/0!</v>
      </c>
      <c r="Q25" s="13"/>
      <c r="R25" s="27" t="e">
        <f t="shared" si="5"/>
        <v>#DIV/0!</v>
      </c>
      <c r="S25" s="13"/>
      <c r="T25" s="13"/>
      <c r="U25" s="13"/>
      <c r="V25" s="13"/>
      <c r="W25" s="13"/>
      <c r="X25" s="13"/>
      <c r="Y25" s="13"/>
      <c r="Z25" s="13"/>
    </row>
    <row r="26" spans="1:26" ht="13.5" customHeight="1">
      <c r="A26" s="383" t="s">
        <v>152</v>
      </c>
      <c r="B26" s="384" t="e">
        <f t="shared" ref="B26:K26" si="6">SUM(B4:B24)</f>
        <v>#REF!</v>
      </c>
      <c r="C26" s="384" t="e">
        <f t="shared" si="6"/>
        <v>#REF!</v>
      </c>
      <c r="D26" s="384" t="e">
        <f t="shared" si="6"/>
        <v>#REF!</v>
      </c>
      <c r="E26" s="384" t="e">
        <f t="shared" si="6"/>
        <v>#REF!</v>
      </c>
      <c r="F26" s="384" t="e">
        <f t="shared" si="6"/>
        <v>#REF!</v>
      </c>
      <c r="G26" s="384" t="e">
        <f t="shared" si="6"/>
        <v>#REF!</v>
      </c>
      <c r="H26" s="384" t="e">
        <f t="shared" si="6"/>
        <v>#REF!</v>
      </c>
      <c r="I26" s="384" t="e">
        <f t="shared" si="6"/>
        <v>#REF!</v>
      </c>
      <c r="J26" s="384" t="e">
        <f t="shared" si="6"/>
        <v>#REF!</v>
      </c>
      <c r="K26" s="384" t="e">
        <f t="shared" si="6"/>
        <v>#REF!</v>
      </c>
      <c r="L26" s="385" t="e">
        <f>SUM(L4:L24)+L25</f>
        <v>#REF!</v>
      </c>
      <c r="M26" s="386" t="e">
        <f>SUM(M4:M25)</f>
        <v>#REF!</v>
      </c>
      <c r="N26" s="381"/>
      <c r="O26" s="387">
        <f>SUM(O4:O25)</f>
        <v>16702285970.43</v>
      </c>
      <c r="P26" s="388" t="e">
        <f t="shared" si="4"/>
        <v>#REF!</v>
      </c>
      <c r="Q26" s="13"/>
      <c r="R26" s="13"/>
      <c r="S26" s="13"/>
      <c r="T26" s="13"/>
      <c r="U26" s="13"/>
      <c r="V26" s="13"/>
      <c r="W26" s="13"/>
      <c r="X26" s="13"/>
      <c r="Y26" s="13"/>
      <c r="Z26" s="13"/>
    </row>
    <row r="27" spans="1:26" ht="13.5" customHeight="1">
      <c r="A27" s="383"/>
      <c r="B27" s="389" t="e">
        <f>B26/L26</f>
        <v>#REF!</v>
      </c>
      <c r="C27" s="389" t="e">
        <f>C26/L26</f>
        <v>#REF!</v>
      </c>
      <c r="D27" s="389" t="e">
        <f>D26/L26</f>
        <v>#REF!</v>
      </c>
      <c r="E27" s="389" t="e">
        <f>E26/L26</f>
        <v>#REF!</v>
      </c>
      <c r="F27" s="389" t="e">
        <f>F26/L26</f>
        <v>#REF!</v>
      </c>
      <c r="G27" s="389" t="e">
        <f>G26/L26</f>
        <v>#REF!</v>
      </c>
      <c r="H27" s="389" t="e">
        <f>H26/L26</f>
        <v>#REF!</v>
      </c>
      <c r="I27" s="389" t="e">
        <f>I26/L26</f>
        <v>#REF!</v>
      </c>
      <c r="J27" s="389" t="e">
        <f>J26/L26</f>
        <v>#REF!</v>
      </c>
      <c r="K27" s="389" t="e">
        <f>K26/L26</f>
        <v>#REF!</v>
      </c>
      <c r="L27" s="390" t="e">
        <f>SUM(B27:K27)</f>
        <v>#REF!</v>
      </c>
      <c r="M27" s="391"/>
      <c r="N27" s="392"/>
      <c r="O27" s="393" t="e">
        <f>L26/O26-1</f>
        <v>#REF!</v>
      </c>
      <c r="P27" s="394"/>
      <c r="Q27" s="13"/>
      <c r="R27" s="13"/>
      <c r="S27" s="13"/>
      <c r="T27" s="13"/>
      <c r="U27" s="13"/>
      <c r="V27" s="13"/>
      <c r="W27" s="13"/>
      <c r="X27" s="13"/>
      <c r="Y27" s="13"/>
      <c r="Z27" s="13"/>
    </row>
    <row r="28" spans="1:26" ht="13.5" customHeight="1">
      <c r="A28" s="395"/>
      <c r="B28" s="27"/>
      <c r="C28" s="13"/>
      <c r="D28" s="13"/>
      <c r="E28" s="13"/>
      <c r="F28" s="13"/>
      <c r="G28" s="13"/>
      <c r="H28" s="13"/>
      <c r="I28" s="13"/>
      <c r="J28" s="653" t="e">
        <f>G12</f>
        <v>#REF!</v>
      </c>
      <c r="K28" s="396" t="s">
        <v>153</v>
      </c>
      <c r="L28" s="397"/>
      <c r="M28" s="398"/>
      <c r="N28" s="392"/>
      <c r="O28" s="399"/>
      <c r="P28" s="388" t="e">
        <f>L28/O28-1</f>
        <v>#DIV/0!</v>
      </c>
      <c r="Q28" s="13"/>
      <c r="R28" s="13"/>
      <c r="S28" s="13"/>
      <c r="T28" s="13"/>
      <c r="U28" s="13"/>
      <c r="V28" s="13"/>
      <c r="W28" s="13"/>
      <c r="X28" s="13"/>
      <c r="Y28" s="13"/>
      <c r="Z28" s="13"/>
    </row>
    <row r="29" spans="1:26" ht="13.5" customHeight="1">
      <c r="A29" s="400" t="s">
        <v>154</v>
      </c>
      <c r="B29" s="401"/>
      <c r="C29" s="401"/>
      <c r="D29" s="401"/>
      <c r="E29" s="401"/>
      <c r="F29" s="401"/>
      <c r="G29" s="401"/>
      <c r="H29" s="401"/>
      <c r="I29" s="375" t="e">
        <f>J29-L29</f>
        <v>#REF!</v>
      </c>
      <c r="J29" s="651">
        <v>2869272812.9000001</v>
      </c>
      <c r="K29" s="401"/>
      <c r="L29" s="402" t="e">
        <f>L28+L26</f>
        <v>#REF!</v>
      </c>
      <c r="M29" s="398"/>
      <c r="N29" s="381" t="e">
        <f>L29/O29-1</f>
        <v>#REF!</v>
      </c>
      <c r="O29" s="403">
        <f>+O26</f>
        <v>16702285970.43</v>
      </c>
      <c r="P29" s="388" t="e">
        <f>L29/O29-1</f>
        <v>#REF!</v>
      </c>
      <c r="Q29" s="404">
        <f>O29*1.2</f>
        <v>20042743164.515999</v>
      </c>
      <c r="R29" s="13"/>
      <c r="S29" s="13"/>
      <c r="T29" s="13"/>
      <c r="U29" s="13"/>
      <c r="V29" s="13"/>
      <c r="W29" s="13"/>
      <c r="X29" s="13"/>
      <c r="Y29" s="13"/>
      <c r="Z29" s="13"/>
    </row>
    <row r="30" spans="1:26" ht="13.5" customHeight="1">
      <c r="A30" s="405"/>
      <c r="B30" s="13"/>
      <c r="C30" s="13"/>
      <c r="D30" s="13"/>
      <c r="E30" s="13"/>
      <c r="F30" s="13"/>
      <c r="G30" s="13"/>
      <c r="H30" s="13"/>
      <c r="I30" s="13"/>
      <c r="J30" s="1274" t="e">
        <f>SUM(B26:K26)</f>
        <v>#REF!</v>
      </c>
      <c r="K30" s="1275"/>
      <c r="L30" s="406" t="e">
        <f>L26-J30</f>
        <v>#REF!</v>
      </c>
      <c r="M30" s="28"/>
      <c r="N30" s="294"/>
      <c r="O30" s="407"/>
      <c r="P30" s="19"/>
      <c r="Q30" s="16" t="e">
        <f>L29-Q29</f>
        <v>#REF!</v>
      </c>
      <c r="R30" s="13"/>
      <c r="S30" s="13"/>
      <c r="T30" s="13"/>
      <c r="U30" s="13"/>
      <c r="V30" s="13"/>
      <c r="W30" s="13"/>
      <c r="X30" s="13"/>
      <c r="Y30" s="13"/>
      <c r="Z30" s="13"/>
    </row>
    <row r="31" spans="1:26" ht="13.5" hidden="1" customHeight="1">
      <c r="A31" s="405"/>
      <c r="B31" s="13"/>
      <c r="C31" s="283"/>
      <c r="D31" s="13"/>
      <c r="E31" s="13"/>
      <c r="F31" s="1276" t="s">
        <v>155</v>
      </c>
      <c r="G31" s="1277"/>
      <c r="H31" s="409" t="e">
        <f>L29-L14-G26</f>
        <v>#REF!</v>
      </c>
      <c r="I31" s="652"/>
      <c r="J31" s="13" t="e">
        <f>G26/L26*100</f>
        <v>#REF!</v>
      </c>
      <c r="K31" s="410" t="s">
        <v>156</v>
      </c>
      <c r="L31" s="411"/>
      <c r="M31" s="28"/>
      <c r="N31" s="294"/>
      <c r="O31" s="412"/>
      <c r="P31" s="19"/>
      <c r="Q31" s="19"/>
      <c r="R31" s="13"/>
      <c r="S31" s="13"/>
      <c r="T31" s="13"/>
      <c r="U31" s="13"/>
      <c r="V31" s="13"/>
      <c r="W31" s="13"/>
      <c r="X31" s="13"/>
      <c r="Y31" s="13"/>
      <c r="Z31" s="13"/>
    </row>
    <row r="32" spans="1:26" ht="13.5" hidden="1" customHeight="1">
      <c r="A32" s="405"/>
      <c r="B32" s="13"/>
      <c r="C32" s="13"/>
      <c r="D32" s="13"/>
      <c r="E32" s="13"/>
      <c r="F32" s="13"/>
      <c r="G32" s="13"/>
      <c r="H32" s="13"/>
      <c r="I32" s="13"/>
      <c r="J32" s="13"/>
      <c r="K32" s="410"/>
      <c r="L32" s="13"/>
      <c r="M32" s="28"/>
      <c r="N32" s="413" t="e">
        <f>L29/O29-1</f>
        <v>#REF!</v>
      </c>
      <c r="O32" s="19"/>
      <c r="P32" s="19"/>
      <c r="Q32" s="19"/>
      <c r="R32" s="13"/>
      <c r="S32" s="13"/>
      <c r="T32" s="13"/>
      <c r="U32" s="13"/>
      <c r="V32" s="13"/>
      <c r="W32" s="13"/>
      <c r="X32" s="13"/>
      <c r="Y32" s="13"/>
      <c r="Z32" s="13"/>
    </row>
    <row r="33" spans="1:26" ht="13.5" hidden="1" customHeight="1">
      <c r="A33" s="414" t="s">
        <v>157</v>
      </c>
      <c r="B33" s="415">
        <v>2009</v>
      </c>
      <c r="C33" s="416">
        <v>2010</v>
      </c>
      <c r="D33" s="417" t="s">
        <v>158</v>
      </c>
      <c r="E33" s="418">
        <v>2011</v>
      </c>
      <c r="F33" s="417" t="s">
        <v>159</v>
      </c>
      <c r="G33" s="419">
        <v>2012</v>
      </c>
      <c r="H33" s="420" t="s">
        <v>160</v>
      </c>
      <c r="I33" s="421">
        <v>2013</v>
      </c>
      <c r="J33" s="408" t="s">
        <v>161</v>
      </c>
      <c r="K33" s="421" t="s">
        <v>162</v>
      </c>
      <c r="L33" s="421" t="s">
        <v>163</v>
      </c>
      <c r="M33" s="422"/>
      <c r="N33" s="381"/>
      <c r="O33" s="19"/>
      <c r="P33" s="19"/>
      <c r="Q33" s="13"/>
      <c r="R33" s="13"/>
      <c r="S33" s="13"/>
      <c r="T33" s="13"/>
      <c r="U33" s="13"/>
      <c r="V33" s="13"/>
      <c r="W33" s="13"/>
      <c r="X33" s="13"/>
      <c r="Y33" s="13"/>
      <c r="Z33" s="13"/>
    </row>
    <row r="34" spans="1:26" ht="13.5" hidden="1" customHeight="1">
      <c r="A34" s="423" t="s">
        <v>164</v>
      </c>
      <c r="B34" s="424">
        <f>87028999.22</f>
        <v>87028999.219999999</v>
      </c>
      <c r="C34" s="424">
        <v>117479365</v>
      </c>
      <c r="D34" s="425">
        <f>C34/B34-1</f>
        <v>0.34988757831196859</v>
      </c>
      <c r="E34" s="426">
        <v>147193284</v>
      </c>
      <c r="F34" s="427">
        <f>E34/C34-1</f>
        <v>0.25292883562998481</v>
      </c>
      <c r="G34" s="428">
        <f>227499397-5000000-25396413</f>
        <v>197102984</v>
      </c>
      <c r="H34" s="429">
        <f>G34/E34-1</f>
        <v>0.33907593229593269</v>
      </c>
      <c r="I34" s="430">
        <f>F63-I35-I36</f>
        <v>254539024</v>
      </c>
      <c r="J34" s="431">
        <f>I34/G34-1</f>
        <v>0.29140116924866044</v>
      </c>
      <c r="K34" s="432">
        <f>473587065-K36</f>
        <v>351084683</v>
      </c>
      <c r="L34" s="433">
        <f>K34/I34-1</f>
        <v>0.37929609960317912</v>
      </c>
      <c r="M34" s="422"/>
      <c r="N34" s="13"/>
      <c r="O34" s="19"/>
      <c r="P34" s="19"/>
      <c r="Q34" s="13"/>
      <c r="R34" s="13"/>
      <c r="S34" s="13"/>
      <c r="T34" s="13"/>
      <c r="U34" s="13"/>
      <c r="V34" s="13"/>
      <c r="W34" s="13"/>
      <c r="X34" s="13"/>
      <c r="Y34" s="13"/>
      <c r="Z34" s="13"/>
    </row>
    <row r="35" spans="1:26" ht="13.5" hidden="1" customHeight="1">
      <c r="A35" s="434" t="s">
        <v>165</v>
      </c>
      <c r="B35" s="435">
        <v>2000000</v>
      </c>
      <c r="C35" s="435">
        <v>3000000</v>
      </c>
      <c r="D35" s="436">
        <f>C35/B35-1</f>
        <v>0.5</v>
      </c>
      <c r="E35" s="437">
        <v>4000000</v>
      </c>
      <c r="F35" s="438">
        <f>E35/C35-1</f>
        <v>0.33333333333333326</v>
      </c>
      <c r="G35" s="439">
        <v>5000000</v>
      </c>
      <c r="H35" s="440">
        <f>G35/E35-1</f>
        <v>0.25</v>
      </c>
      <c r="I35" s="441">
        <f>F62</f>
        <v>5000000</v>
      </c>
      <c r="J35" s="440">
        <f>I35/G35-1</f>
        <v>0</v>
      </c>
      <c r="K35" s="442">
        <v>0</v>
      </c>
      <c r="L35" s="433">
        <f>K35/I35-1</f>
        <v>-1</v>
      </c>
      <c r="M35" s="422"/>
      <c r="N35" s="406"/>
      <c r="O35" s="19"/>
      <c r="P35" s="19"/>
      <c r="Q35" s="13"/>
      <c r="R35" s="13"/>
      <c r="S35" s="13"/>
      <c r="T35" s="13"/>
      <c r="U35" s="13"/>
      <c r="V35" s="13"/>
      <c r="W35" s="13"/>
      <c r="X35" s="13"/>
      <c r="Y35" s="13"/>
      <c r="Z35" s="13"/>
    </row>
    <row r="36" spans="1:26" ht="13.5" hidden="1" customHeight="1">
      <c r="A36" s="443" t="s">
        <v>166</v>
      </c>
      <c r="B36" s="444">
        <f>93488316.92+5546819.88</f>
        <v>99035136.799999997</v>
      </c>
      <c r="C36" s="444">
        <f>108576044+7809129</f>
        <v>116385173</v>
      </c>
      <c r="D36" s="445">
        <f>C36/B36-1</f>
        <v>0.17519071271682241</v>
      </c>
      <c r="E36" s="446">
        <f>D50</f>
        <v>2011</v>
      </c>
      <c r="F36" s="447">
        <f>E36/C36-1</f>
        <v>-0.9999827211667246</v>
      </c>
      <c r="G36" s="448">
        <f>25396413+78304134</f>
        <v>103700547</v>
      </c>
      <c r="H36" s="449">
        <f>G36/E36-1</f>
        <v>51565.656887120836</v>
      </c>
      <c r="I36" s="450">
        <f>F57</f>
        <v>105436307</v>
      </c>
      <c r="J36" s="451">
        <f>I36/G36-1</f>
        <v>1.6738195218970242E-2</v>
      </c>
      <c r="K36" s="452">
        <v>122502382</v>
      </c>
      <c r="L36" s="453">
        <f>K36/I36-1</f>
        <v>0.16186146390730483</v>
      </c>
      <c r="M36" s="422"/>
      <c r="N36" s="406"/>
      <c r="O36" s="19"/>
      <c r="P36" s="19"/>
      <c r="Q36" s="13"/>
      <c r="R36" s="13"/>
      <c r="S36" s="13"/>
      <c r="T36" s="13"/>
      <c r="U36" s="13"/>
      <c r="V36" s="13"/>
      <c r="W36" s="13"/>
      <c r="X36" s="13"/>
      <c r="Y36" s="13"/>
      <c r="Z36" s="13"/>
    </row>
    <row r="37" spans="1:26" ht="13.5" hidden="1" customHeight="1">
      <c r="A37" s="454" t="s">
        <v>167</v>
      </c>
      <c r="B37" s="455">
        <f>SUM(B34:B36)</f>
        <v>188064136.01999998</v>
      </c>
      <c r="C37" s="455">
        <f>SUM(C34:C36)</f>
        <v>236864538</v>
      </c>
      <c r="D37" s="456">
        <f>C37/B37-1</f>
        <v>0.25948808216581098</v>
      </c>
      <c r="E37" s="457">
        <f>SUM(E34:E36)</f>
        <v>151195295</v>
      </c>
      <c r="F37" s="458">
        <f>E37/C37-1</f>
        <v>-0.36168032464192679</v>
      </c>
      <c r="G37" s="459">
        <f>SUM(G34:G36)</f>
        <v>305803531</v>
      </c>
      <c r="H37" s="460">
        <f>G37/E37-1</f>
        <v>1.0225730635334918</v>
      </c>
      <c r="I37" s="461">
        <f>SUM(I34:I36)</f>
        <v>364975331</v>
      </c>
      <c r="J37" s="460">
        <f>I37/G37-1</f>
        <v>0.19349613069052496</v>
      </c>
      <c r="K37" s="462">
        <f>SUM(K34:K36)</f>
        <v>473587065</v>
      </c>
      <c r="L37" s="463">
        <f>K37/I37-1</f>
        <v>0.29758650729191327</v>
      </c>
      <c r="M37" s="422"/>
      <c r="N37" s="406"/>
      <c r="O37" s="19"/>
      <c r="P37" s="19"/>
      <c r="Q37" s="13"/>
      <c r="R37" s="13"/>
      <c r="S37" s="13"/>
      <c r="T37" s="13"/>
      <c r="U37" s="13"/>
      <c r="V37" s="13"/>
      <c r="W37" s="13"/>
      <c r="X37" s="13"/>
      <c r="Y37" s="13"/>
      <c r="Z37" s="13"/>
    </row>
    <row r="38" spans="1:26" ht="13.5" hidden="1" customHeight="1">
      <c r="A38" s="464" t="s">
        <v>168</v>
      </c>
      <c r="B38" s="465"/>
      <c r="C38" s="456"/>
      <c r="D38" s="466">
        <f>C37/B37-1</f>
        <v>0.25948808216581098</v>
      </c>
      <c r="E38" s="467">
        <f>E37/C37-1</f>
        <v>-0.36168032464192679</v>
      </c>
      <c r="F38" s="417"/>
      <c r="G38" s="460">
        <f>G37/E37-1</f>
        <v>1.0225730635334918</v>
      </c>
      <c r="H38" s="468"/>
      <c r="I38" s="393">
        <f>I37/G37-1</f>
        <v>0.19349613069052496</v>
      </c>
      <c r="J38" s="468"/>
      <c r="K38" s="469">
        <f>K37/I37-1</f>
        <v>0.29758650729191327</v>
      </c>
      <c r="L38" s="470"/>
      <c r="M38" s="422"/>
      <c r="N38" s="406"/>
      <c r="O38" s="19"/>
      <c r="P38" s="19"/>
      <c r="Q38" s="13"/>
      <c r="R38" s="13"/>
      <c r="S38" s="13"/>
      <c r="T38" s="13"/>
      <c r="U38" s="13"/>
      <c r="V38" s="13"/>
      <c r="W38" s="13"/>
      <c r="X38" s="13"/>
      <c r="Y38" s="13"/>
      <c r="Z38" s="13"/>
    </row>
    <row r="39" spans="1:26" ht="13.5" hidden="1" customHeight="1">
      <c r="A39" s="405"/>
      <c r="B39" s="13"/>
      <c r="C39" s="13"/>
      <c r="D39" s="13"/>
      <c r="E39" s="13"/>
      <c r="F39" s="13"/>
      <c r="G39" s="13"/>
      <c r="H39" s="13"/>
      <c r="I39" s="13"/>
      <c r="J39" s="13"/>
      <c r="K39" s="13"/>
      <c r="L39" s="13"/>
      <c r="M39" s="422"/>
      <c r="N39" s="406"/>
      <c r="O39" s="19"/>
      <c r="P39" s="19"/>
      <c r="Q39" s="13"/>
      <c r="R39" s="13"/>
      <c r="S39" s="13"/>
      <c r="T39" s="13"/>
      <c r="U39" s="13"/>
      <c r="V39" s="13"/>
      <c r="W39" s="13"/>
      <c r="X39" s="13"/>
      <c r="Y39" s="13"/>
      <c r="Z39" s="13"/>
    </row>
    <row r="40" spans="1:26" ht="13.5" hidden="1" customHeight="1">
      <c r="A40" s="414" t="s">
        <v>157</v>
      </c>
      <c r="B40" s="415" t="s">
        <v>169</v>
      </c>
      <c r="C40" s="471">
        <v>2015</v>
      </c>
      <c r="D40" s="417"/>
      <c r="E40" s="472" t="s">
        <v>170</v>
      </c>
      <c r="F40" s="473" t="s">
        <v>171</v>
      </c>
      <c r="G40" s="474">
        <v>2016</v>
      </c>
      <c r="H40" s="475" t="s">
        <v>172</v>
      </c>
      <c r="I40" s="476">
        <v>2017</v>
      </c>
      <c r="J40" s="475" t="s">
        <v>173</v>
      </c>
      <c r="K40" s="267"/>
      <c r="L40" s="476">
        <v>2017</v>
      </c>
      <c r="M40" s="477" t="s">
        <v>173</v>
      </c>
      <c r="N40" s="381"/>
      <c r="O40" s="19"/>
      <c r="P40" s="19"/>
      <c r="Q40" s="13"/>
      <c r="R40" s="13"/>
      <c r="S40" s="13"/>
      <c r="T40" s="13"/>
      <c r="U40" s="13"/>
      <c r="V40" s="13"/>
      <c r="W40" s="13"/>
      <c r="X40" s="13"/>
      <c r="Y40" s="13"/>
      <c r="Z40" s="13"/>
    </row>
    <row r="41" spans="1:26" ht="13.5" hidden="1" customHeight="1">
      <c r="A41" s="423" t="s">
        <v>164</v>
      </c>
      <c r="B41" s="424">
        <v>351084683</v>
      </c>
      <c r="C41" s="478">
        <v>484765149</v>
      </c>
      <c r="D41" s="436">
        <f>C41/B41-1</f>
        <v>0.38076416452494444</v>
      </c>
      <c r="E41" s="479">
        <f>C41</f>
        <v>484765149</v>
      </c>
      <c r="F41" s="480">
        <f>E41/C41-1</f>
        <v>0</v>
      </c>
      <c r="G41" s="481"/>
      <c r="H41" s="482">
        <f>G41/C41-1</f>
        <v>-1</v>
      </c>
      <c r="I41" s="426" t="e">
        <f>L29</f>
        <v>#REF!</v>
      </c>
      <c r="J41" s="482" t="e">
        <f>I41/E41-1</f>
        <v>#REF!</v>
      </c>
      <c r="K41" s="13"/>
      <c r="L41" s="426">
        <f>O29</f>
        <v>16702285970.43</v>
      </c>
      <c r="M41" s="483">
        <f>L41/H41-1</f>
        <v>-16702285971.43</v>
      </c>
      <c r="N41" s="13"/>
      <c r="O41" s="19"/>
      <c r="P41" s="19"/>
      <c r="Q41" s="13"/>
      <c r="R41" s="13"/>
      <c r="S41" s="13"/>
      <c r="T41" s="13"/>
      <c r="U41" s="13"/>
      <c r="V41" s="13"/>
      <c r="W41" s="13"/>
      <c r="X41" s="13"/>
      <c r="Y41" s="13"/>
      <c r="Z41" s="13"/>
    </row>
    <row r="42" spans="1:26" ht="13.5" hidden="1" customHeight="1">
      <c r="A42" s="484" t="s">
        <v>166</v>
      </c>
      <c r="B42" s="485">
        <v>122502382</v>
      </c>
      <c r="C42" s="486">
        <v>114930003</v>
      </c>
      <c r="D42" s="436">
        <f>C42/B42-1</f>
        <v>-6.1814136805927622E-2</v>
      </c>
      <c r="E42" s="487">
        <f>C42</f>
        <v>114930003</v>
      </c>
      <c r="F42" s="488">
        <f>E42/C42-1</f>
        <v>0</v>
      </c>
      <c r="G42" s="489"/>
      <c r="H42" s="490">
        <f>G42/C42-1</f>
        <v>-1</v>
      </c>
      <c r="I42" s="491">
        <f>L28</f>
        <v>0</v>
      </c>
      <c r="J42" s="490">
        <f>I42/E42-1</f>
        <v>-1</v>
      </c>
      <c r="K42" s="13"/>
      <c r="L42" s="491">
        <f>O28</f>
        <v>0</v>
      </c>
      <c r="M42" s="492">
        <f>L42/H42-1</f>
        <v>-1</v>
      </c>
      <c r="N42" s="406"/>
      <c r="O42" s="19"/>
      <c r="P42" s="19"/>
      <c r="Q42" s="13"/>
      <c r="R42" s="13"/>
      <c r="S42" s="13"/>
      <c r="T42" s="13"/>
      <c r="U42" s="13"/>
      <c r="V42" s="13"/>
      <c r="W42" s="13"/>
      <c r="X42" s="13"/>
      <c r="Y42" s="13"/>
      <c r="Z42" s="13"/>
    </row>
    <row r="43" spans="1:26" ht="13.5" hidden="1" customHeight="1">
      <c r="A43" s="493" t="s">
        <v>174</v>
      </c>
      <c r="B43" s="494">
        <v>36900000</v>
      </c>
      <c r="C43" s="495"/>
      <c r="D43" s="496"/>
      <c r="E43" s="497">
        <v>50000000</v>
      </c>
      <c r="F43" s="498"/>
      <c r="G43" s="499"/>
      <c r="H43" s="500"/>
      <c r="I43" s="501"/>
      <c r="J43" s="500"/>
      <c r="K43" s="81"/>
      <c r="L43" s="501"/>
      <c r="M43" s="502"/>
      <c r="N43" s="406"/>
      <c r="O43" s="19"/>
      <c r="P43" s="19"/>
      <c r="Q43" s="13"/>
      <c r="R43" s="13"/>
      <c r="S43" s="13"/>
      <c r="T43" s="13"/>
      <c r="U43" s="13"/>
      <c r="V43" s="13"/>
      <c r="W43" s="13"/>
      <c r="X43" s="13"/>
      <c r="Y43" s="13"/>
      <c r="Z43" s="13"/>
    </row>
    <row r="44" spans="1:26" ht="13.5" hidden="1" customHeight="1">
      <c r="A44" s="503" t="s">
        <v>167</v>
      </c>
      <c r="B44" s="504">
        <f>SUM(B41:B43)</f>
        <v>510487065</v>
      </c>
      <c r="C44" s="505">
        <f>SUM(C41:C42)</f>
        <v>599695152</v>
      </c>
      <c r="D44" s="458"/>
      <c r="E44" s="506">
        <f>SUM(E41:E43)</f>
        <v>649695152</v>
      </c>
      <c r="F44" s="467">
        <f>E44/C44-1</f>
        <v>8.337569485637597E-2</v>
      </c>
      <c r="G44" s="507">
        <f>SUM(G41:G42)</f>
        <v>0</v>
      </c>
      <c r="H44" s="508">
        <f>G44/C44-1</f>
        <v>-1</v>
      </c>
      <c r="I44" s="457" t="e">
        <f>SUM(I41:I42)</f>
        <v>#REF!</v>
      </c>
      <c r="J44" s="508" t="e">
        <f>I44/E44-1</f>
        <v>#REF!</v>
      </c>
      <c r="K44" s="81"/>
      <c r="L44" s="457">
        <f>SUM(L41:L42)</f>
        <v>16702285970.43</v>
      </c>
      <c r="M44" s="509">
        <f>L44/H44-1</f>
        <v>-16702285971.43</v>
      </c>
      <c r="N44" s="406"/>
      <c r="O44" s="19"/>
      <c r="P44" s="19"/>
      <c r="Q44" s="13"/>
      <c r="R44" s="13"/>
      <c r="S44" s="13"/>
      <c r="T44" s="13"/>
      <c r="U44" s="13"/>
      <c r="V44" s="13"/>
      <c r="W44" s="13"/>
      <c r="X44" s="13"/>
      <c r="Y44" s="13"/>
      <c r="Z44" s="13"/>
    </row>
    <row r="45" spans="1:26" ht="13.5" hidden="1" customHeight="1">
      <c r="A45" s="408" t="s">
        <v>168</v>
      </c>
      <c r="B45" s="510"/>
      <c r="C45" s="511"/>
      <c r="D45" s="466"/>
      <c r="E45" s="512"/>
      <c r="F45" s="467">
        <f>E44/C44-1</f>
        <v>8.337569485637597E-2</v>
      </c>
      <c r="G45" s="513"/>
      <c r="H45" s="508">
        <f>G44/C44-1</f>
        <v>-1</v>
      </c>
      <c r="I45" s="458"/>
      <c r="J45" s="508" t="e">
        <f>I44/E44-1</f>
        <v>#REF!</v>
      </c>
      <c r="K45" s="514"/>
      <c r="L45" s="458"/>
      <c r="M45" s="509">
        <f>L44/H44-1</f>
        <v>-16702285971.43</v>
      </c>
      <c r="N45" s="406"/>
      <c r="O45" s="19"/>
      <c r="P45" s="19"/>
      <c r="Q45" s="13"/>
      <c r="R45" s="13"/>
      <c r="S45" s="13"/>
      <c r="T45" s="13"/>
      <c r="U45" s="13"/>
      <c r="V45" s="13"/>
      <c r="W45" s="13"/>
      <c r="X45" s="13"/>
      <c r="Y45" s="13"/>
      <c r="Z45" s="13"/>
    </row>
    <row r="46" spans="1:26" ht="13.5" hidden="1" customHeight="1">
      <c r="A46" s="405"/>
      <c r="B46" s="13"/>
      <c r="C46" s="13"/>
      <c r="D46" s="13"/>
      <c r="E46" s="283"/>
      <c r="F46" s="13"/>
      <c r="G46" s="13"/>
      <c r="H46" s="13"/>
      <c r="I46" s="13"/>
      <c r="J46" s="13"/>
      <c r="K46" s="13"/>
      <c r="L46" s="13"/>
      <c r="M46" s="422"/>
      <c r="N46" s="406"/>
      <c r="O46" s="19"/>
      <c r="P46" s="19"/>
      <c r="Q46" s="13"/>
      <c r="R46" s="13"/>
      <c r="S46" s="13"/>
      <c r="T46" s="13"/>
      <c r="U46" s="13"/>
      <c r="V46" s="13"/>
      <c r="W46" s="13"/>
      <c r="X46" s="13"/>
      <c r="Y46" s="13"/>
      <c r="Z46" s="13"/>
    </row>
    <row r="47" spans="1:26" ht="13.5" hidden="1" customHeight="1">
      <c r="A47" s="405"/>
      <c r="B47" s="13"/>
      <c r="C47" s="13"/>
      <c r="D47" s="13"/>
      <c r="E47" s="283"/>
      <c r="F47" s="13"/>
      <c r="G47" s="13"/>
      <c r="H47" s="515"/>
      <c r="I47" s="515"/>
      <c r="J47" s="515"/>
      <c r="K47" s="515"/>
      <c r="L47" s="515"/>
      <c r="M47" s="422"/>
      <c r="N47" s="406"/>
      <c r="O47" s="19"/>
      <c r="P47" s="19"/>
      <c r="Q47" s="13"/>
      <c r="R47" s="13"/>
      <c r="S47" s="13"/>
      <c r="T47" s="13"/>
      <c r="U47" s="13"/>
      <c r="V47" s="13"/>
      <c r="W47" s="13"/>
      <c r="X47" s="13"/>
      <c r="Y47" s="13"/>
      <c r="Z47" s="13"/>
    </row>
    <row r="48" spans="1:26" ht="14.25" hidden="1" customHeight="1">
      <c r="A48" s="405"/>
      <c r="B48" s="13"/>
      <c r="C48" s="13"/>
      <c r="D48" s="13"/>
      <c r="E48" s="283"/>
      <c r="F48" s="13"/>
      <c r="G48" s="13"/>
      <c r="H48" s="515"/>
      <c r="I48" s="515"/>
      <c r="J48" s="515"/>
      <c r="K48" s="515"/>
      <c r="L48" s="515"/>
      <c r="M48" s="422"/>
      <c r="N48" s="406"/>
      <c r="O48" s="19"/>
      <c r="P48" s="19"/>
      <c r="Q48" s="13"/>
      <c r="R48" s="13"/>
      <c r="S48" s="13"/>
      <c r="T48" s="13"/>
      <c r="U48" s="13"/>
      <c r="V48" s="13"/>
      <c r="W48" s="13"/>
      <c r="X48" s="13"/>
      <c r="Y48" s="13"/>
      <c r="Z48" s="13"/>
    </row>
    <row r="49" spans="1:26" ht="13.5" hidden="1" customHeight="1">
      <c r="A49" s="405"/>
      <c r="B49" s="13"/>
      <c r="C49" s="13"/>
      <c r="D49" s="13"/>
      <c r="E49" s="13"/>
      <c r="F49" s="13"/>
      <c r="G49" s="13"/>
      <c r="H49" s="28"/>
      <c r="I49" s="13"/>
      <c r="J49" s="267"/>
      <c r="K49" s="15"/>
      <c r="L49" s="13"/>
      <c r="M49" s="422"/>
      <c r="N49" s="406"/>
      <c r="O49" s="19"/>
      <c r="P49" s="19"/>
      <c r="Q49" s="13"/>
      <c r="R49" s="13"/>
      <c r="S49" s="13"/>
      <c r="T49" s="13"/>
      <c r="U49" s="13"/>
      <c r="V49" s="13"/>
      <c r="W49" s="13"/>
      <c r="X49" s="13"/>
      <c r="Y49" s="13"/>
      <c r="Z49" s="13"/>
    </row>
    <row r="50" spans="1:26" ht="13.5" hidden="1" customHeight="1">
      <c r="A50" s="516" t="s">
        <v>175</v>
      </c>
      <c r="B50" s="415">
        <v>2009</v>
      </c>
      <c r="C50" s="476">
        <v>2010</v>
      </c>
      <c r="D50" s="416">
        <v>2011</v>
      </c>
      <c r="E50" s="517">
        <v>2012</v>
      </c>
      <c r="F50" s="416">
        <v>2013</v>
      </c>
      <c r="G50" s="517">
        <v>2014</v>
      </c>
      <c r="H50" s="416" t="s">
        <v>176</v>
      </c>
      <c r="I50" s="416">
        <v>2015</v>
      </c>
      <c r="J50" s="518" t="s">
        <v>177</v>
      </c>
      <c r="K50" s="518" t="s">
        <v>178</v>
      </c>
      <c r="L50" s="27"/>
      <c r="M50" s="28"/>
      <c r="N50" s="294"/>
      <c r="O50" s="28"/>
      <c r="P50" s="19"/>
      <c r="Q50" s="28"/>
      <c r="R50" s="13"/>
      <c r="S50" s="13"/>
      <c r="T50" s="13"/>
      <c r="U50" s="13"/>
      <c r="V50" s="13"/>
      <c r="W50" s="13"/>
      <c r="X50" s="13"/>
      <c r="Y50" s="13"/>
      <c r="Z50" s="13"/>
    </row>
    <row r="51" spans="1:26" ht="13.5" hidden="1" customHeight="1">
      <c r="A51" s="519" t="s">
        <v>2</v>
      </c>
      <c r="B51" s="520"/>
      <c r="C51" s="521">
        <v>47002374</v>
      </c>
      <c r="D51" s="520">
        <v>58344243</v>
      </c>
      <c r="E51" s="522">
        <v>72058715</v>
      </c>
      <c r="F51" s="523">
        <v>90899087</v>
      </c>
      <c r="G51" s="491">
        <v>122124587</v>
      </c>
      <c r="H51" s="491">
        <v>155124587</v>
      </c>
      <c r="I51" s="523">
        <v>187751860</v>
      </c>
      <c r="J51" s="524">
        <f>I51+32000000</f>
        <v>219751860</v>
      </c>
      <c r="K51" s="525">
        <f t="shared" ref="K51:K61" si="7">J51/H51-1</f>
        <v>0.4166152784019983</v>
      </c>
      <c r="L51" s="13"/>
      <c r="M51" s="28"/>
      <c r="N51" s="294"/>
      <c r="O51" s="28"/>
      <c r="P51" s="19"/>
      <c r="Q51" s="526"/>
      <c r="R51" s="13"/>
      <c r="S51" s="13"/>
      <c r="T51" s="13"/>
      <c r="U51" s="13"/>
      <c r="V51" s="13"/>
      <c r="W51" s="13"/>
      <c r="X51" s="13"/>
      <c r="Y51" s="13"/>
      <c r="Z51" s="13"/>
    </row>
    <row r="52" spans="1:26" ht="13.5" hidden="1" customHeight="1">
      <c r="A52" s="527" t="s">
        <v>179</v>
      </c>
      <c r="B52" s="435"/>
      <c r="C52" s="437">
        <v>7945915</v>
      </c>
      <c r="D52" s="435">
        <v>10952544</v>
      </c>
      <c r="E52" s="528">
        <v>14251561</v>
      </c>
      <c r="F52" s="369">
        <v>17939177</v>
      </c>
      <c r="G52" s="491">
        <v>24242634</v>
      </c>
      <c r="H52" s="491">
        <v>28777564</v>
      </c>
      <c r="I52" s="369">
        <v>32273917</v>
      </c>
      <c r="J52" s="524">
        <f>I52+500000</f>
        <v>32773917</v>
      </c>
      <c r="K52" s="525">
        <f t="shared" si="7"/>
        <v>0.13887044087539868</v>
      </c>
      <c r="L52" s="13"/>
      <c r="M52" s="28"/>
      <c r="N52" s="294"/>
      <c r="O52" s="28"/>
      <c r="P52" s="19"/>
      <c r="Q52" s="526"/>
      <c r="R52" s="13"/>
      <c r="S52" s="13"/>
      <c r="T52" s="13"/>
      <c r="U52" s="13"/>
      <c r="V52" s="13"/>
      <c r="W52" s="13"/>
      <c r="X52" s="13"/>
      <c r="Y52" s="13"/>
      <c r="Z52" s="13"/>
    </row>
    <row r="53" spans="1:26" ht="13.5" hidden="1" customHeight="1">
      <c r="A53" s="527" t="s">
        <v>4</v>
      </c>
      <c r="B53" s="435"/>
      <c r="C53" s="437">
        <v>41899362</v>
      </c>
      <c r="D53" s="435">
        <v>53420675</v>
      </c>
      <c r="E53" s="528">
        <v>74527878</v>
      </c>
      <c r="F53" s="369">
        <v>97234674</v>
      </c>
      <c r="G53" s="491">
        <v>135825734</v>
      </c>
      <c r="H53" s="491">
        <v>135290804</v>
      </c>
      <c r="I53" s="369">
        <v>190134467</v>
      </c>
      <c r="J53" s="524">
        <f>I53-16500000</f>
        <v>173634467</v>
      </c>
      <c r="K53" s="525">
        <f t="shared" si="7"/>
        <v>0.28341662453273608</v>
      </c>
      <c r="L53" s="13"/>
      <c r="M53" s="28"/>
      <c r="N53" s="294"/>
      <c r="O53" s="406"/>
      <c r="P53" s="19"/>
      <c r="Q53" s="19"/>
      <c r="R53" s="13"/>
      <c r="S53" s="13"/>
      <c r="T53" s="13"/>
      <c r="U53" s="13"/>
      <c r="V53" s="13"/>
      <c r="W53" s="13"/>
      <c r="X53" s="13"/>
      <c r="Y53" s="13"/>
      <c r="Z53" s="13"/>
    </row>
    <row r="54" spans="1:26" ht="13.5" hidden="1" customHeight="1">
      <c r="A54" s="527" t="s">
        <v>45</v>
      </c>
      <c r="B54" s="435"/>
      <c r="C54" s="437">
        <v>6317131</v>
      </c>
      <c r="D54" s="435">
        <v>8612772</v>
      </c>
      <c r="E54" s="528">
        <v>16096724</v>
      </c>
      <c r="F54" s="369">
        <v>22848513</v>
      </c>
      <c r="G54" s="491">
        <v>31114594</v>
      </c>
      <c r="H54" s="491">
        <v>39414594</v>
      </c>
      <c r="I54" s="369">
        <v>37243874</v>
      </c>
      <c r="J54" s="524">
        <f>I54+10150000</f>
        <v>47393874</v>
      </c>
      <c r="K54" s="525">
        <f t="shared" si="7"/>
        <v>0.20244481016346372</v>
      </c>
      <c r="L54" s="13"/>
      <c r="M54" s="28"/>
      <c r="N54" s="294"/>
      <c r="O54" s="406"/>
      <c r="P54" s="19"/>
      <c r="Q54" s="19"/>
      <c r="R54" s="13"/>
      <c r="S54" s="13"/>
      <c r="T54" s="13"/>
      <c r="U54" s="13"/>
      <c r="V54" s="13"/>
      <c r="W54" s="13"/>
      <c r="X54" s="13"/>
      <c r="Y54" s="13"/>
      <c r="Z54" s="13"/>
    </row>
    <row r="55" spans="1:26" ht="13.5" hidden="1" customHeight="1">
      <c r="A55" s="527" t="s">
        <v>48</v>
      </c>
      <c r="B55" s="435"/>
      <c r="C55" s="437">
        <v>5349122</v>
      </c>
      <c r="D55" s="435">
        <v>7059747</v>
      </c>
      <c r="E55" s="528">
        <v>8876903</v>
      </c>
      <c r="F55" s="369">
        <v>7534526</v>
      </c>
      <c r="G55" s="491">
        <v>14837726</v>
      </c>
      <c r="H55" s="491">
        <v>7837726</v>
      </c>
      <c r="I55" s="369">
        <v>14627754</v>
      </c>
      <c r="J55" s="524">
        <f>I55-5500000</f>
        <v>9127754</v>
      </c>
      <c r="K55" s="525">
        <f t="shared" si="7"/>
        <v>0.16459212786974176</v>
      </c>
      <c r="L55" s="13"/>
      <c r="M55" s="28"/>
      <c r="N55" s="294"/>
      <c r="O55" s="406"/>
      <c r="P55" s="19"/>
      <c r="Q55" s="19"/>
      <c r="R55" s="13"/>
      <c r="S55" s="13"/>
      <c r="T55" s="13"/>
      <c r="U55" s="13"/>
      <c r="V55" s="13"/>
      <c r="W55" s="13"/>
      <c r="X55" s="13"/>
      <c r="Y55" s="13"/>
      <c r="Z55" s="13"/>
    </row>
    <row r="56" spans="1:26" ht="13.5" hidden="1" customHeight="1">
      <c r="A56" s="527" t="s">
        <v>180</v>
      </c>
      <c r="B56" s="435"/>
      <c r="C56" s="437"/>
      <c r="D56" s="435">
        <v>0</v>
      </c>
      <c r="E56" s="528"/>
      <c r="F56" s="371"/>
      <c r="G56" s="529"/>
      <c r="H56" s="529"/>
      <c r="I56" s="371"/>
      <c r="J56" s="524" t="e">
        <f>I56/H56-1</f>
        <v>#DIV/0!</v>
      </c>
      <c r="K56" s="525" t="e">
        <f t="shared" si="7"/>
        <v>#DIV/0!</v>
      </c>
      <c r="L56" s="13"/>
      <c r="M56" s="28"/>
      <c r="N56" s="294"/>
      <c r="O56" s="406"/>
      <c r="P56" s="19"/>
      <c r="Q56" s="19"/>
      <c r="R56" s="13"/>
      <c r="S56" s="13"/>
      <c r="T56" s="13"/>
      <c r="U56" s="13"/>
      <c r="V56" s="13"/>
      <c r="W56" s="13"/>
      <c r="X56" s="13"/>
      <c r="Y56" s="13"/>
      <c r="Z56" s="13"/>
    </row>
    <row r="57" spans="1:26" ht="13.5" hidden="1" customHeight="1">
      <c r="A57" s="530" t="s">
        <v>181</v>
      </c>
      <c r="B57" s="13"/>
      <c r="C57" s="531">
        <f>108576044+7809129</f>
        <v>116385173</v>
      </c>
      <c r="D57" s="435">
        <v>106576680</v>
      </c>
      <c r="E57" s="532">
        <f>25396413+78304134</f>
        <v>103700547</v>
      </c>
      <c r="F57" s="369">
        <v>105436307</v>
      </c>
      <c r="G57" s="491">
        <v>122502382</v>
      </c>
      <c r="H57" s="491">
        <v>127502382</v>
      </c>
      <c r="I57" s="369">
        <v>114930003</v>
      </c>
      <c r="J57" s="524">
        <f>I57+22000000+10000000</f>
        <v>146930003</v>
      </c>
      <c r="K57" s="525">
        <f t="shared" si="7"/>
        <v>0.15237065139692851</v>
      </c>
      <c r="L57" s="13"/>
      <c r="M57" s="28"/>
      <c r="N57" s="294"/>
      <c r="O57" s="406"/>
      <c r="P57" s="19"/>
      <c r="Q57" s="19"/>
      <c r="R57" s="13"/>
      <c r="S57" s="13"/>
      <c r="T57" s="13"/>
      <c r="U57" s="13"/>
      <c r="V57" s="13"/>
      <c r="W57" s="13"/>
      <c r="X57" s="13"/>
      <c r="Y57" s="13"/>
      <c r="Z57" s="13"/>
    </row>
    <row r="58" spans="1:26" ht="13.5" hidden="1" customHeight="1">
      <c r="A58" s="527" t="s">
        <v>80</v>
      </c>
      <c r="B58" s="371"/>
      <c r="C58" s="437">
        <v>3717622</v>
      </c>
      <c r="D58" s="435">
        <v>3389960</v>
      </c>
      <c r="E58" s="528">
        <v>2685749</v>
      </c>
      <c r="F58" s="369">
        <v>7670741</v>
      </c>
      <c r="G58" s="491">
        <v>9536111</v>
      </c>
      <c r="H58" s="491">
        <v>3736111</v>
      </c>
      <c r="I58" s="369">
        <v>7372207</v>
      </c>
      <c r="J58" s="524">
        <f>I58</f>
        <v>7372207</v>
      </c>
      <c r="K58" s="525">
        <f t="shared" si="7"/>
        <v>0.97323018507747761</v>
      </c>
      <c r="L58" s="13"/>
      <c r="M58" s="28"/>
      <c r="N58" s="294"/>
      <c r="O58" s="406"/>
      <c r="P58" s="19"/>
      <c r="Q58" s="19"/>
      <c r="R58" s="13"/>
      <c r="S58" s="13"/>
      <c r="T58" s="13"/>
      <c r="U58" s="13"/>
      <c r="V58" s="13"/>
      <c r="W58" s="13"/>
      <c r="X58" s="13"/>
      <c r="Y58" s="13"/>
      <c r="Z58" s="13"/>
    </row>
    <row r="59" spans="1:26" ht="13.5" hidden="1" customHeight="1">
      <c r="A59" s="527" t="s">
        <v>182</v>
      </c>
      <c r="B59" s="371"/>
      <c r="C59" s="437">
        <v>300000</v>
      </c>
      <c r="D59" s="435">
        <v>1100000</v>
      </c>
      <c r="E59" s="528">
        <v>1678068</v>
      </c>
      <c r="F59" s="369">
        <v>1702746</v>
      </c>
      <c r="G59" s="491">
        <v>1915338</v>
      </c>
      <c r="H59" s="491">
        <v>1915338</v>
      </c>
      <c r="I59" s="369">
        <v>2445211</v>
      </c>
      <c r="J59" s="524">
        <f>I59</f>
        <v>2445211</v>
      </c>
      <c r="K59" s="525">
        <f t="shared" si="7"/>
        <v>0.2766472549492569</v>
      </c>
      <c r="L59" s="13"/>
      <c r="M59" s="28"/>
      <c r="N59" s="294"/>
      <c r="O59" s="406"/>
      <c r="P59" s="19"/>
      <c r="Q59" s="19"/>
      <c r="R59" s="13"/>
      <c r="S59" s="13"/>
      <c r="T59" s="13"/>
      <c r="U59" s="13"/>
      <c r="V59" s="13"/>
      <c r="W59" s="13"/>
      <c r="X59" s="13"/>
      <c r="Y59" s="13"/>
      <c r="Z59" s="13"/>
    </row>
    <row r="60" spans="1:26" ht="13.5" hidden="1" customHeight="1">
      <c r="A60" s="527" t="s">
        <v>183</v>
      </c>
      <c r="B60" s="371"/>
      <c r="C60" s="437">
        <v>3120000</v>
      </c>
      <c r="D60" s="435">
        <v>3510000</v>
      </c>
      <c r="E60" s="528">
        <v>6178921</v>
      </c>
      <c r="F60" s="369">
        <v>7961095</v>
      </c>
      <c r="G60" s="491">
        <v>10739497</v>
      </c>
      <c r="H60" s="491">
        <v>10139497</v>
      </c>
      <c r="I60" s="369">
        <v>12167397</v>
      </c>
      <c r="J60" s="524">
        <f>I60</f>
        <v>12167397</v>
      </c>
      <c r="K60" s="525">
        <f t="shared" si="7"/>
        <v>0.20000005917453301</v>
      </c>
      <c r="L60" s="13"/>
      <c r="M60" s="28"/>
      <c r="N60" s="294"/>
      <c r="O60" s="406"/>
      <c r="P60" s="19"/>
      <c r="Q60" s="19"/>
      <c r="R60" s="13"/>
      <c r="S60" s="13"/>
      <c r="T60" s="13"/>
      <c r="U60" s="13"/>
      <c r="V60" s="13"/>
      <c r="W60" s="13"/>
      <c r="X60" s="13"/>
      <c r="Y60" s="13"/>
      <c r="Z60" s="13"/>
    </row>
    <row r="61" spans="1:26" ht="13.5" hidden="1" customHeight="1">
      <c r="A61" s="527" t="s">
        <v>184</v>
      </c>
      <c r="B61" s="371"/>
      <c r="C61" s="437">
        <v>1827839</v>
      </c>
      <c r="D61" s="435">
        <v>803343</v>
      </c>
      <c r="E61" s="528">
        <v>748465</v>
      </c>
      <c r="F61" s="369">
        <v>748465</v>
      </c>
      <c r="G61" s="491">
        <v>748462</v>
      </c>
      <c r="H61" s="491">
        <v>748462</v>
      </c>
      <c r="I61" s="369">
        <v>748462</v>
      </c>
      <c r="J61" s="524">
        <f>I61</f>
        <v>748462</v>
      </c>
      <c r="K61" s="525">
        <f t="shared" si="7"/>
        <v>0</v>
      </c>
      <c r="L61" s="13"/>
      <c r="M61" s="28"/>
      <c r="N61" s="294"/>
      <c r="O61" s="406"/>
      <c r="P61" s="19"/>
      <c r="Q61" s="19"/>
      <c r="R61" s="13"/>
      <c r="S61" s="13"/>
      <c r="T61" s="13"/>
      <c r="U61" s="13"/>
      <c r="V61" s="13"/>
      <c r="W61" s="13"/>
      <c r="X61" s="13"/>
      <c r="Y61" s="13"/>
      <c r="Z61" s="13"/>
    </row>
    <row r="62" spans="1:26" ht="13.5" hidden="1" customHeight="1">
      <c r="A62" s="530" t="s">
        <v>185</v>
      </c>
      <c r="B62" s="533"/>
      <c r="C62" s="531">
        <v>3000000</v>
      </c>
      <c r="D62" s="534">
        <v>4000000</v>
      </c>
      <c r="E62" s="532">
        <v>5000000</v>
      </c>
      <c r="F62" s="534">
        <v>5000000</v>
      </c>
      <c r="G62" s="535">
        <v>0</v>
      </c>
      <c r="H62" s="535">
        <v>0</v>
      </c>
      <c r="I62" s="533">
        <v>0</v>
      </c>
      <c r="J62" s="524"/>
      <c r="K62" s="525"/>
      <c r="L62" s="13"/>
      <c r="M62" s="28"/>
      <c r="N62" s="294"/>
      <c r="O62" s="406"/>
      <c r="P62" s="19"/>
      <c r="Q62" s="19"/>
      <c r="R62" s="13"/>
      <c r="S62" s="13"/>
      <c r="T62" s="13"/>
      <c r="U62" s="13"/>
      <c r="V62" s="13"/>
      <c r="W62" s="13"/>
      <c r="X62" s="13"/>
      <c r="Y62" s="13"/>
      <c r="Z62" s="13"/>
    </row>
    <row r="63" spans="1:26" ht="13.5" hidden="1" customHeight="1">
      <c r="A63" s="536" t="s">
        <v>167</v>
      </c>
      <c r="B63" s="461"/>
      <c r="C63" s="537">
        <f t="shared" ref="C63:I63" si="8">SUM(C51:C62)</f>
        <v>236864538</v>
      </c>
      <c r="D63" s="538">
        <f t="shared" si="8"/>
        <v>257769964</v>
      </c>
      <c r="E63" s="537">
        <f t="shared" si="8"/>
        <v>305803531</v>
      </c>
      <c r="F63" s="538">
        <f t="shared" si="8"/>
        <v>364975331</v>
      </c>
      <c r="G63" s="539">
        <f t="shared" si="8"/>
        <v>473587065</v>
      </c>
      <c r="H63" s="538">
        <f t="shared" si="8"/>
        <v>510487065</v>
      </c>
      <c r="I63" s="538">
        <f t="shared" si="8"/>
        <v>599695152</v>
      </c>
      <c r="J63" s="538">
        <f>J51+J52+J53+J54+J55+J57+J58+J59+J60+J61</f>
        <v>652345152</v>
      </c>
      <c r="K63" s="540"/>
      <c r="L63" s="13"/>
      <c r="M63" s="28"/>
      <c r="N63" s="294"/>
      <c r="O63" s="406"/>
      <c r="P63" s="19"/>
      <c r="Q63" s="19"/>
      <c r="R63" s="13"/>
      <c r="S63" s="13"/>
      <c r="T63" s="13"/>
      <c r="U63" s="13"/>
      <c r="V63" s="13"/>
      <c r="W63" s="13"/>
      <c r="X63" s="13"/>
      <c r="Y63" s="13"/>
      <c r="Z63" s="13"/>
    </row>
    <row r="64" spans="1:26" ht="13.5" hidden="1" customHeight="1">
      <c r="A64" s="536" t="s">
        <v>168</v>
      </c>
      <c r="B64" s="465"/>
      <c r="C64" s="458"/>
      <c r="D64" s="456">
        <f>D63/C63-1</f>
        <v>8.8258994683281911E-2</v>
      </c>
      <c r="E64" s="466">
        <f>E63/D63-1</f>
        <v>0.18634276179671572</v>
      </c>
      <c r="F64" s="456">
        <f>F63/E63-1</f>
        <v>0.19349613069052496</v>
      </c>
      <c r="G64" s="458">
        <f>G63/F63-1</f>
        <v>0.29758650729191327</v>
      </c>
      <c r="H64" s="465"/>
      <c r="I64" s="541">
        <f>I63/G63-1</f>
        <v>0.26628279427353019</v>
      </c>
      <c r="J64" s="541">
        <f>I63/H63-1</f>
        <v>0.17475092537359393</v>
      </c>
      <c r="K64" s="541">
        <f>J63/H63-1</f>
        <v>0.27788772081815627</v>
      </c>
      <c r="L64" s="13"/>
      <c r="M64" s="28"/>
      <c r="N64" s="294"/>
      <c r="O64" s="406"/>
      <c r="P64" s="19"/>
      <c r="Q64" s="19"/>
      <c r="R64" s="13"/>
      <c r="S64" s="13"/>
      <c r="T64" s="13"/>
      <c r="U64" s="13"/>
      <c r="V64" s="13"/>
      <c r="W64" s="13"/>
      <c r="X64" s="13"/>
      <c r="Y64" s="13"/>
      <c r="Z64" s="13"/>
    </row>
    <row r="65" spans="1:26" ht="13.5" hidden="1" customHeight="1">
      <c r="A65" s="542"/>
      <c r="B65" s="13"/>
      <c r="C65" s="19"/>
      <c r="D65" s="19"/>
      <c r="E65" s="19"/>
      <c r="F65" s="19"/>
      <c r="G65" s="19"/>
      <c r="H65" s="13"/>
      <c r="I65" s="13"/>
      <c r="J65" s="19">
        <f>+J63/I63-1</f>
        <v>8.7794606683763821E-2</v>
      </c>
      <c r="K65" s="19"/>
      <c r="L65" s="13"/>
      <c r="M65" s="28"/>
      <c r="N65" s="294"/>
      <c r="O65" s="406"/>
      <c r="P65" s="19"/>
      <c r="Q65" s="19"/>
      <c r="R65" s="13"/>
      <c r="S65" s="13"/>
      <c r="T65" s="13"/>
      <c r="U65" s="13"/>
      <c r="V65" s="13"/>
      <c r="W65" s="13"/>
      <c r="X65" s="13"/>
      <c r="Y65" s="13"/>
      <c r="Z65" s="13"/>
    </row>
    <row r="66" spans="1:26" ht="13.5" hidden="1" customHeight="1">
      <c r="A66" s="13"/>
      <c r="B66" s="13"/>
      <c r="C66" s="13"/>
      <c r="D66" s="13"/>
      <c r="E66" s="13"/>
      <c r="F66" s="13"/>
      <c r="G66" s="13"/>
      <c r="H66" s="13"/>
      <c r="I66" s="13"/>
      <c r="J66" s="13"/>
      <c r="K66" s="13"/>
      <c r="L66" s="13"/>
      <c r="M66" s="28"/>
      <c r="N66" s="294"/>
      <c r="O66" s="13"/>
      <c r="P66" s="13"/>
      <c r="Q66" s="13"/>
      <c r="R66" s="13"/>
      <c r="S66" s="13"/>
      <c r="T66" s="13"/>
      <c r="U66" s="13"/>
      <c r="V66" s="13"/>
      <c r="W66" s="13"/>
      <c r="X66" s="13"/>
      <c r="Y66" s="13"/>
      <c r="Z66" s="13"/>
    </row>
    <row r="67" spans="1:26" ht="13.5" hidden="1" customHeight="1">
      <c r="A67" s="516" t="s">
        <v>175</v>
      </c>
      <c r="B67" s="415">
        <v>2015</v>
      </c>
      <c r="C67" s="476" t="s">
        <v>177</v>
      </c>
      <c r="D67" s="416">
        <v>2016</v>
      </c>
      <c r="E67" s="517" t="s">
        <v>186</v>
      </c>
      <c r="F67" s="543" t="s">
        <v>187</v>
      </c>
      <c r="G67" s="517">
        <v>2017</v>
      </c>
      <c r="H67" s="416"/>
      <c r="I67" s="416"/>
      <c r="J67" s="518"/>
      <c r="K67" s="518"/>
      <c r="L67" s="27"/>
      <c r="M67" s="28"/>
      <c r="N67" s="294"/>
      <c r="O67" s="28"/>
      <c r="P67" s="19"/>
      <c r="Q67" s="28"/>
      <c r="R67" s="13"/>
      <c r="S67" s="13"/>
      <c r="T67" s="13"/>
      <c r="U67" s="13"/>
      <c r="V67" s="13"/>
      <c r="W67" s="13"/>
      <c r="X67" s="13"/>
      <c r="Y67" s="13"/>
      <c r="Z67" s="13"/>
    </row>
    <row r="68" spans="1:26" ht="13.5" hidden="1" customHeight="1">
      <c r="A68" s="519" t="s">
        <v>2</v>
      </c>
      <c r="B68" s="523">
        <v>187751860</v>
      </c>
      <c r="C68" s="524">
        <f>B68+32000000</f>
        <v>219751860</v>
      </c>
      <c r="D68" s="520"/>
      <c r="E68" s="544">
        <f t="shared" ref="E68:E78" si="9">D68/B68-1</f>
        <v>-1</v>
      </c>
      <c r="F68" s="436">
        <f t="shared" ref="F68:F78" si="10">D68/C68-1</f>
        <v>-1</v>
      </c>
      <c r="G68" s="491">
        <v>326578382</v>
      </c>
      <c r="H68" s="491"/>
      <c r="I68" s="523"/>
      <c r="J68" s="525"/>
      <c r="K68" s="525"/>
      <c r="L68" s="13"/>
      <c r="M68" s="28"/>
      <c r="N68" s="294"/>
      <c r="O68" s="28"/>
      <c r="P68" s="19"/>
      <c r="Q68" s="526"/>
      <c r="R68" s="13"/>
      <c r="S68" s="13"/>
      <c r="T68" s="13"/>
      <c r="U68" s="13"/>
      <c r="V68" s="13"/>
      <c r="W68" s="13"/>
      <c r="X68" s="13"/>
      <c r="Y68" s="13"/>
      <c r="Z68" s="13"/>
    </row>
    <row r="69" spans="1:26" ht="13.5" hidden="1" customHeight="1">
      <c r="A69" s="527" t="s">
        <v>179</v>
      </c>
      <c r="B69" s="369">
        <v>32273917</v>
      </c>
      <c r="C69" s="524">
        <f>B69</f>
        <v>32273917</v>
      </c>
      <c r="D69" s="435"/>
      <c r="E69" s="544">
        <f t="shared" si="9"/>
        <v>-1</v>
      </c>
      <c r="F69" s="436">
        <f t="shared" si="10"/>
        <v>-1</v>
      </c>
      <c r="G69" s="491">
        <v>58291298</v>
      </c>
      <c r="H69" s="491"/>
      <c r="I69" s="369"/>
      <c r="J69" s="525"/>
      <c r="K69" s="525"/>
      <c r="L69" s="13"/>
      <c r="M69" s="28"/>
      <c r="N69" s="294"/>
      <c r="O69" s="28"/>
      <c r="P69" s="19"/>
      <c r="Q69" s="526"/>
      <c r="R69" s="13"/>
      <c r="S69" s="13"/>
      <c r="T69" s="13"/>
      <c r="U69" s="13"/>
      <c r="V69" s="13"/>
      <c r="W69" s="13"/>
      <c r="X69" s="13"/>
      <c r="Y69" s="13"/>
      <c r="Z69" s="13"/>
    </row>
    <row r="70" spans="1:26" ht="13.5" hidden="1" customHeight="1">
      <c r="A70" s="527" t="s">
        <v>4</v>
      </c>
      <c r="B70" s="369">
        <v>190134467</v>
      </c>
      <c r="C70" s="524">
        <f>B70-16500000</f>
        <v>173634467</v>
      </c>
      <c r="D70" s="435"/>
      <c r="E70" s="544">
        <f t="shared" si="9"/>
        <v>-1</v>
      </c>
      <c r="F70" s="436">
        <f t="shared" si="10"/>
        <v>-1</v>
      </c>
      <c r="G70" s="491">
        <v>309177447.5</v>
      </c>
      <c r="H70" s="491"/>
      <c r="I70" s="369"/>
      <c r="J70" s="525"/>
      <c r="K70" s="525"/>
      <c r="L70" s="13"/>
      <c r="M70" s="28"/>
      <c r="N70" s="294"/>
      <c r="O70" s="406"/>
      <c r="P70" s="19"/>
      <c r="Q70" s="19"/>
      <c r="R70" s="13"/>
      <c r="S70" s="13"/>
      <c r="T70" s="13"/>
      <c r="U70" s="13"/>
      <c r="V70" s="13"/>
      <c r="W70" s="13"/>
      <c r="X70" s="13"/>
      <c r="Y70" s="13"/>
      <c r="Z70" s="13"/>
    </row>
    <row r="71" spans="1:26" ht="13.5" hidden="1" customHeight="1">
      <c r="A71" s="527" t="s">
        <v>45</v>
      </c>
      <c r="B71" s="369">
        <v>37243874</v>
      </c>
      <c r="C71" s="524">
        <f>B71+8500000</f>
        <v>45743874</v>
      </c>
      <c r="D71" s="435"/>
      <c r="E71" s="544">
        <f t="shared" si="9"/>
        <v>-1</v>
      </c>
      <c r="F71" s="436">
        <f t="shared" si="10"/>
        <v>-1</v>
      </c>
      <c r="G71" s="491">
        <v>78859470</v>
      </c>
      <c r="H71" s="491"/>
      <c r="I71" s="369"/>
      <c r="J71" s="525"/>
      <c r="K71" s="525"/>
      <c r="L71" s="13"/>
      <c r="M71" s="28"/>
      <c r="N71" s="294"/>
      <c r="O71" s="406"/>
      <c r="P71" s="19"/>
      <c r="Q71" s="19"/>
      <c r="R71" s="13"/>
      <c r="S71" s="13"/>
      <c r="T71" s="13"/>
      <c r="U71" s="13"/>
      <c r="V71" s="13"/>
      <c r="W71" s="13"/>
      <c r="X71" s="13"/>
      <c r="Y71" s="13"/>
      <c r="Z71" s="13"/>
    </row>
    <row r="72" spans="1:26" ht="13.5" hidden="1" customHeight="1">
      <c r="A72" s="527" t="s">
        <v>48</v>
      </c>
      <c r="B72" s="369">
        <v>14627754</v>
      </c>
      <c r="C72" s="524">
        <f>B72-5500000</f>
        <v>9127754</v>
      </c>
      <c r="D72" s="435"/>
      <c r="E72" s="544">
        <f t="shared" si="9"/>
        <v>-1</v>
      </c>
      <c r="F72" s="436">
        <f t="shared" si="10"/>
        <v>-1</v>
      </c>
      <c r="G72" s="491">
        <v>21258182.5</v>
      </c>
      <c r="H72" s="491"/>
      <c r="I72" s="369"/>
      <c r="J72" s="525"/>
      <c r="K72" s="525"/>
      <c r="L72" s="13"/>
      <c r="M72" s="28"/>
      <c r="N72" s="294"/>
      <c r="O72" s="406"/>
      <c r="P72" s="19"/>
      <c r="Q72" s="19"/>
      <c r="R72" s="13"/>
      <c r="S72" s="13"/>
      <c r="T72" s="13"/>
      <c r="U72" s="13"/>
      <c r="V72" s="13"/>
      <c r="W72" s="13"/>
      <c r="X72" s="13"/>
      <c r="Y72" s="13"/>
      <c r="Z72" s="13"/>
    </row>
    <row r="73" spans="1:26" ht="13.5" hidden="1" customHeight="1">
      <c r="A73" s="527" t="s">
        <v>180</v>
      </c>
      <c r="B73" s="371"/>
      <c r="C73" s="524" t="e">
        <f>B73/A73-1</f>
        <v>#VALUE!</v>
      </c>
      <c r="D73" s="435"/>
      <c r="E73" s="544" t="e">
        <f t="shared" si="9"/>
        <v>#DIV/0!</v>
      </c>
      <c r="F73" s="436" t="e">
        <f t="shared" si="10"/>
        <v>#VALUE!</v>
      </c>
      <c r="G73" s="529"/>
      <c r="H73" s="529"/>
      <c r="I73" s="371"/>
      <c r="J73" s="525"/>
      <c r="K73" s="525"/>
      <c r="L73" s="13"/>
      <c r="M73" s="28"/>
      <c r="N73" s="294"/>
      <c r="O73" s="406"/>
      <c r="P73" s="19"/>
      <c r="Q73" s="19"/>
      <c r="R73" s="13"/>
      <c r="S73" s="13"/>
      <c r="T73" s="13"/>
      <c r="U73" s="13"/>
      <c r="V73" s="13"/>
      <c r="W73" s="13"/>
      <c r="X73" s="13"/>
      <c r="Y73" s="13"/>
      <c r="Z73" s="13"/>
    </row>
    <row r="74" spans="1:26" ht="13.5" hidden="1" customHeight="1">
      <c r="A74" s="530" t="s">
        <v>181</v>
      </c>
      <c r="B74" s="369">
        <v>114930003</v>
      </c>
      <c r="C74" s="524">
        <f>B74+22000000+9500000</f>
        <v>146430003</v>
      </c>
      <c r="D74" s="435"/>
      <c r="E74" s="544">
        <f t="shared" si="9"/>
        <v>-1</v>
      </c>
      <c r="F74" s="436">
        <f t="shared" si="10"/>
        <v>-1</v>
      </c>
      <c r="G74" s="491">
        <v>219305065</v>
      </c>
      <c r="H74" s="491"/>
      <c r="I74" s="369"/>
      <c r="J74" s="525"/>
      <c r="K74" s="525"/>
      <c r="L74" s="13"/>
      <c r="M74" s="28"/>
      <c r="N74" s="294"/>
      <c r="O74" s="406"/>
      <c r="P74" s="19"/>
      <c r="Q74" s="19"/>
      <c r="R74" s="13"/>
      <c r="S74" s="13"/>
      <c r="T74" s="13"/>
      <c r="U74" s="13"/>
      <c r="V74" s="13"/>
      <c r="W74" s="13"/>
      <c r="X74" s="13"/>
      <c r="Y74" s="13"/>
      <c r="Z74" s="13"/>
    </row>
    <row r="75" spans="1:26" ht="13.5" hidden="1" customHeight="1">
      <c r="A75" s="527" t="s">
        <v>80</v>
      </c>
      <c r="B75" s="369">
        <v>7372207</v>
      </c>
      <c r="C75" s="524">
        <f>B75</f>
        <v>7372207</v>
      </c>
      <c r="D75" s="435"/>
      <c r="E75" s="544">
        <f t="shared" si="9"/>
        <v>-1</v>
      </c>
      <c r="F75" s="436">
        <f t="shared" si="10"/>
        <v>-1</v>
      </c>
      <c r="G75" s="491">
        <v>6051622</v>
      </c>
      <c r="H75" s="491"/>
      <c r="I75" s="369"/>
      <c r="J75" s="525"/>
      <c r="K75" s="525"/>
      <c r="L75" s="13"/>
      <c r="M75" s="28"/>
      <c r="N75" s="294"/>
      <c r="O75" s="406"/>
      <c r="P75" s="19"/>
      <c r="Q75" s="19"/>
      <c r="R75" s="13"/>
      <c r="S75" s="13"/>
      <c r="T75" s="13"/>
      <c r="U75" s="13"/>
      <c r="V75" s="13"/>
      <c r="W75" s="13"/>
      <c r="X75" s="13"/>
      <c r="Y75" s="13"/>
      <c r="Z75" s="13"/>
    </row>
    <row r="76" spans="1:26" ht="13.5" hidden="1" customHeight="1">
      <c r="A76" s="527" t="s">
        <v>182</v>
      </c>
      <c r="B76" s="369">
        <v>2445211</v>
      </c>
      <c r="C76" s="524">
        <f>B76</f>
        <v>2445211</v>
      </c>
      <c r="D76" s="435"/>
      <c r="E76" s="544">
        <f t="shared" si="9"/>
        <v>-1</v>
      </c>
      <c r="F76" s="436">
        <f t="shared" si="10"/>
        <v>-1</v>
      </c>
      <c r="G76" s="491">
        <v>3354349</v>
      </c>
      <c r="H76" s="491"/>
      <c r="I76" s="369"/>
      <c r="J76" s="525"/>
      <c r="K76" s="525"/>
      <c r="L76" s="13"/>
      <c r="M76" s="28"/>
      <c r="N76" s="294"/>
      <c r="O76" s="406"/>
      <c r="P76" s="19"/>
      <c r="Q76" s="19"/>
      <c r="R76" s="13"/>
      <c r="S76" s="13"/>
      <c r="T76" s="13"/>
      <c r="U76" s="13"/>
      <c r="V76" s="13"/>
      <c r="W76" s="13"/>
      <c r="X76" s="13"/>
      <c r="Y76" s="13"/>
      <c r="Z76" s="13"/>
    </row>
    <row r="77" spans="1:26" ht="13.5" hidden="1" customHeight="1">
      <c r="A77" s="527" t="s">
        <v>183</v>
      </c>
      <c r="B77" s="369">
        <v>12167397</v>
      </c>
      <c r="C77" s="524">
        <f>B77</f>
        <v>12167397</v>
      </c>
      <c r="D77" s="435"/>
      <c r="E77" s="544">
        <f t="shared" si="9"/>
        <v>-1</v>
      </c>
      <c r="F77" s="436">
        <f t="shared" si="10"/>
        <v>-1</v>
      </c>
      <c r="G77" s="491"/>
      <c r="H77" s="491"/>
      <c r="I77" s="369"/>
      <c r="J77" s="525"/>
      <c r="K77" s="525"/>
      <c r="L77" s="13"/>
      <c r="M77" s="28"/>
      <c r="N77" s="294"/>
      <c r="O77" s="406"/>
      <c r="P77" s="19"/>
      <c r="Q77" s="19"/>
      <c r="R77" s="13"/>
      <c r="S77" s="13"/>
      <c r="T77" s="13"/>
      <c r="U77" s="13"/>
      <c r="V77" s="13"/>
      <c r="W77" s="13"/>
      <c r="X77" s="13"/>
      <c r="Y77" s="13"/>
      <c r="Z77" s="13"/>
    </row>
    <row r="78" spans="1:26" ht="13.5" hidden="1" customHeight="1">
      <c r="A78" s="527" t="s">
        <v>184</v>
      </c>
      <c r="B78" s="369">
        <v>748462</v>
      </c>
      <c r="C78" s="524">
        <f>B78</f>
        <v>748462</v>
      </c>
      <c r="D78" s="435"/>
      <c r="E78" s="544">
        <f t="shared" si="9"/>
        <v>-1</v>
      </c>
      <c r="F78" s="436">
        <f t="shared" si="10"/>
        <v>-1</v>
      </c>
      <c r="G78" s="491">
        <v>24368845</v>
      </c>
      <c r="H78" s="491"/>
      <c r="I78" s="369"/>
      <c r="J78" s="525"/>
      <c r="K78" s="525"/>
      <c r="L78" s="13"/>
      <c r="M78" s="28"/>
      <c r="N78" s="294"/>
      <c r="O78" s="406"/>
      <c r="P78" s="19"/>
      <c r="Q78" s="19"/>
      <c r="R78" s="13"/>
      <c r="S78" s="13"/>
      <c r="T78" s="13"/>
      <c r="U78" s="13"/>
      <c r="V78" s="13"/>
      <c r="W78" s="13"/>
      <c r="X78" s="13"/>
      <c r="Y78" s="13"/>
      <c r="Z78" s="13"/>
    </row>
    <row r="79" spans="1:26" ht="13.5" hidden="1" customHeight="1">
      <c r="A79" s="530" t="s">
        <v>185</v>
      </c>
      <c r="B79" s="533">
        <v>0</v>
      </c>
      <c r="C79" s="524"/>
      <c r="D79" s="534"/>
      <c r="E79" s="532"/>
      <c r="F79" s="534"/>
      <c r="G79" s="535"/>
      <c r="H79" s="535"/>
      <c r="I79" s="533"/>
      <c r="J79" s="525"/>
      <c r="K79" s="525"/>
      <c r="L79" s="13"/>
      <c r="M79" s="28"/>
      <c r="N79" s="294"/>
      <c r="O79" s="406"/>
      <c r="P79" s="19"/>
      <c r="Q79" s="19"/>
      <c r="R79" s="13"/>
      <c r="S79" s="13"/>
      <c r="T79" s="13"/>
      <c r="U79" s="13"/>
      <c r="V79" s="13"/>
      <c r="W79" s="13"/>
      <c r="X79" s="13"/>
      <c r="Y79" s="13"/>
      <c r="Z79" s="13"/>
    </row>
    <row r="80" spans="1:26" ht="13.5" hidden="1" customHeight="1">
      <c r="A80" s="536" t="s">
        <v>167</v>
      </c>
      <c r="B80" s="461">
        <f>SUM(B68:B79)</f>
        <v>599695152</v>
      </c>
      <c r="C80" s="537">
        <f>C68+C69+C70+C71+C72+C74+C75+C76+C77+C78</f>
        <v>649695152</v>
      </c>
      <c r="D80" s="538">
        <f>SUM(D68:D79)</f>
        <v>0</v>
      </c>
      <c r="E80" s="545">
        <f>D80/B80-1</f>
        <v>-1</v>
      </c>
      <c r="F80" s="545">
        <f>D80/C80-1</f>
        <v>-1</v>
      </c>
      <c r="G80" s="539">
        <f>SUM(G68:G79)</f>
        <v>1047244661</v>
      </c>
      <c r="H80" s="538">
        <f>SUM(H68:H79)</f>
        <v>0</v>
      </c>
      <c r="I80" s="538">
        <f>SUM(I68:I79)</f>
        <v>0</v>
      </c>
      <c r="J80" s="540"/>
      <c r="K80" s="540"/>
      <c r="L80" s="13"/>
      <c r="M80" s="28"/>
      <c r="N80" s="294"/>
      <c r="O80" s="406"/>
      <c r="P80" s="19"/>
      <c r="Q80" s="19"/>
      <c r="R80" s="13"/>
      <c r="S80" s="13"/>
      <c r="T80" s="13"/>
      <c r="U80" s="13"/>
      <c r="V80" s="13"/>
      <c r="W80" s="13"/>
      <c r="X80" s="13"/>
      <c r="Y80" s="13"/>
      <c r="Z80" s="13"/>
    </row>
    <row r="81" spans="1:26" ht="13.5" hidden="1" customHeight="1">
      <c r="A81" s="536" t="s">
        <v>168</v>
      </c>
      <c r="B81" s="465"/>
      <c r="C81" s="546">
        <v>50000000</v>
      </c>
      <c r="D81" s="547">
        <f>D80/B80-1</f>
        <v>-1</v>
      </c>
      <c r="E81" s="466" t="e">
        <f>E80/D80-1</f>
        <v>#DIV/0!</v>
      </c>
      <c r="F81" s="456">
        <f>F80/E80-1</f>
        <v>0</v>
      </c>
      <c r="G81" s="458"/>
      <c r="H81" s="465"/>
      <c r="I81" s="465"/>
      <c r="J81" s="541" t="e">
        <f>I80/H80-1</f>
        <v>#DIV/0!</v>
      </c>
      <c r="K81" s="541" t="e">
        <f>I80/H80-1</f>
        <v>#DIV/0!</v>
      </c>
      <c r="L81" s="13"/>
      <c r="M81" s="28"/>
      <c r="N81" s="294"/>
      <c r="O81" s="406"/>
      <c r="P81" s="19"/>
      <c r="Q81" s="19"/>
      <c r="R81" s="13"/>
      <c r="S81" s="13"/>
      <c r="T81" s="13"/>
      <c r="U81" s="13"/>
      <c r="V81" s="13"/>
      <c r="W81" s="13"/>
      <c r="X81" s="13"/>
      <c r="Y81" s="13"/>
      <c r="Z81" s="13"/>
    </row>
    <row r="82" spans="1:26" ht="13.5" hidden="1" customHeight="1">
      <c r="A82" s="542"/>
      <c r="B82" s="13"/>
      <c r="C82" s="19"/>
      <c r="D82" s="548">
        <f>D80/C80-1</f>
        <v>-1</v>
      </c>
      <c r="E82" s="19"/>
      <c r="F82" s="19"/>
      <c r="G82" s="19"/>
      <c r="H82" s="13"/>
      <c r="I82" s="13"/>
      <c r="J82" s="19"/>
      <c r="K82" s="19"/>
      <c r="L82" s="13"/>
      <c r="M82" s="28"/>
      <c r="N82" s="294"/>
      <c r="O82" s="406"/>
      <c r="P82" s="19"/>
      <c r="Q82" s="19"/>
      <c r="R82" s="13"/>
      <c r="S82" s="13"/>
      <c r="T82" s="13"/>
      <c r="U82" s="13"/>
      <c r="V82" s="13"/>
      <c r="W82" s="13"/>
      <c r="X82" s="13"/>
      <c r="Y82" s="13"/>
      <c r="Z82" s="13"/>
    </row>
    <row r="83" spans="1:26" ht="13.5" hidden="1" customHeight="1">
      <c r="A83" s="13"/>
      <c r="B83" s="13"/>
      <c r="C83" s="13"/>
      <c r="D83" s="13"/>
      <c r="E83" s="13"/>
      <c r="F83" s="13"/>
      <c r="G83" s="13"/>
      <c r="H83" s="13"/>
      <c r="I83" s="13"/>
      <c r="J83" s="13"/>
      <c r="K83" s="13"/>
      <c r="L83" s="13"/>
      <c r="M83" s="28"/>
      <c r="N83" s="294"/>
      <c r="O83" s="13"/>
      <c r="P83" s="13"/>
      <c r="Q83" s="13"/>
      <c r="R83" s="13"/>
      <c r="S83" s="13"/>
      <c r="T83" s="13"/>
      <c r="U83" s="13"/>
      <c r="V83" s="13"/>
      <c r="W83" s="13"/>
      <c r="X83" s="13"/>
      <c r="Y83" s="13"/>
      <c r="Z83" s="13"/>
    </row>
    <row r="84" spans="1:26" ht="13.5" hidden="1" customHeight="1">
      <c r="A84" s="549" t="s">
        <v>124</v>
      </c>
      <c r="B84" s="371"/>
      <c r="C84" s="371"/>
      <c r="D84" s="550" t="e">
        <f>SUM(D85:D99)</f>
        <v>#REF!</v>
      </c>
      <c r="E84" s="81"/>
      <c r="F84" s="549" t="s">
        <v>188</v>
      </c>
      <c r="G84" s="371"/>
      <c r="H84" s="371"/>
      <c r="I84" s="551" t="e">
        <f>SUM(I86:I98)</f>
        <v>#REF!</v>
      </c>
      <c r="J84" s="552" t="e">
        <f>D84-I84</f>
        <v>#REF!</v>
      </c>
      <c r="K84" s="13"/>
      <c r="L84" s="13"/>
      <c r="M84" s="28"/>
      <c r="N84" s="294"/>
      <c r="O84" s="13"/>
      <c r="P84" s="13"/>
      <c r="Q84" s="13" t="s">
        <v>189</v>
      </c>
      <c r="R84" s="13"/>
      <c r="S84" s="13"/>
      <c r="T84" s="13"/>
      <c r="U84" s="13"/>
      <c r="V84" s="13"/>
      <c r="W84" s="13"/>
      <c r="X84" s="13"/>
      <c r="Y84" s="13"/>
      <c r="Z84" s="13"/>
    </row>
    <row r="85" spans="1:26" ht="13.5" hidden="1" customHeight="1">
      <c r="A85" s="371" t="s">
        <v>190</v>
      </c>
      <c r="B85" s="371"/>
      <c r="C85" s="371"/>
      <c r="D85" s="369" t="e">
        <f>SUM(C86:C92)</f>
        <v>#REF!</v>
      </c>
      <c r="E85" s="13"/>
      <c r="F85" s="371"/>
      <c r="G85" s="371"/>
      <c r="H85" s="371"/>
      <c r="I85" s="371"/>
      <c r="J85" s="13"/>
      <c r="K85" s="13"/>
      <c r="L85" s="13"/>
      <c r="M85" s="28"/>
      <c r="N85" s="294"/>
      <c r="O85" s="13"/>
      <c r="P85" s="13"/>
      <c r="Q85" s="13"/>
      <c r="R85" s="13"/>
      <c r="S85" s="13"/>
      <c r="T85" s="13"/>
      <c r="U85" s="13"/>
      <c r="V85" s="13"/>
      <c r="W85" s="13"/>
      <c r="X85" s="13"/>
      <c r="Y85" s="13"/>
      <c r="Z85" s="13"/>
    </row>
    <row r="86" spans="1:26" ht="13.5" hidden="1" customHeight="1">
      <c r="A86" s="371" t="s">
        <v>191</v>
      </c>
      <c r="B86" s="371"/>
      <c r="C86" s="369" t="e">
        <f>B26</f>
        <v>#REF!</v>
      </c>
      <c r="D86" s="371"/>
      <c r="E86" s="13"/>
      <c r="F86" s="371" t="s">
        <v>192</v>
      </c>
      <c r="G86" s="371"/>
      <c r="H86" s="371"/>
      <c r="I86" s="553" t="e">
        <f>SUM(H87:H88)</f>
        <v>#REF!</v>
      </c>
      <c r="J86" s="13"/>
      <c r="K86" s="13"/>
      <c r="L86" s="13"/>
      <c r="M86" s="28"/>
      <c r="N86" s="294"/>
      <c r="O86" s="13"/>
      <c r="P86" s="13"/>
      <c r="Q86" s="13">
        <v>789210931.88999999</v>
      </c>
      <c r="R86" s="13"/>
      <c r="S86" s="13"/>
      <c r="T86" s="13"/>
      <c r="U86" s="13"/>
      <c r="V86" s="13"/>
      <c r="W86" s="13"/>
      <c r="X86" s="13"/>
      <c r="Y86" s="13"/>
      <c r="Z86" s="13"/>
    </row>
    <row r="87" spans="1:26" ht="13.5" hidden="1" customHeight="1">
      <c r="A87" s="371" t="s">
        <v>193</v>
      </c>
      <c r="B87" s="371"/>
      <c r="C87" s="369" t="e">
        <f>C26</f>
        <v>#REF!</v>
      </c>
      <c r="D87" s="371"/>
      <c r="E87" s="13"/>
      <c r="F87" s="371" t="s">
        <v>194</v>
      </c>
      <c r="G87" s="371"/>
      <c r="H87" s="553" t="e">
        <f>#REF!</f>
        <v>#REF!</v>
      </c>
      <c r="I87" s="371"/>
      <c r="J87" s="554"/>
      <c r="K87" s="13"/>
      <c r="L87" s="13"/>
      <c r="M87" s="28"/>
      <c r="N87" s="294"/>
      <c r="O87" s="13"/>
      <c r="P87" s="13"/>
      <c r="Q87" s="13"/>
      <c r="R87" s="13"/>
      <c r="S87" s="13"/>
      <c r="T87" s="13"/>
      <c r="U87" s="13"/>
      <c r="V87" s="13"/>
      <c r="W87" s="13"/>
      <c r="X87" s="13"/>
      <c r="Y87" s="13"/>
      <c r="Z87" s="13"/>
    </row>
    <row r="88" spans="1:26" ht="13.5" hidden="1" customHeight="1">
      <c r="A88" s="371" t="s">
        <v>195</v>
      </c>
      <c r="B88" s="371"/>
      <c r="C88" s="369" t="e">
        <f>D26</f>
        <v>#REF!</v>
      </c>
      <c r="D88" s="371"/>
      <c r="E88" s="13"/>
      <c r="F88" s="371" t="s">
        <v>196</v>
      </c>
      <c r="G88" s="371"/>
      <c r="H88" s="553" t="e">
        <f>#REF!</f>
        <v>#REF!</v>
      </c>
      <c r="I88" s="371"/>
      <c r="J88" s="13"/>
      <c r="K88" s="13"/>
      <c r="L88" s="13"/>
      <c r="M88" s="28"/>
      <c r="N88" s="294"/>
      <c r="O88" s="13"/>
      <c r="P88" s="13"/>
      <c r="Q88" s="13"/>
      <c r="R88" s="13"/>
      <c r="S88" s="13"/>
      <c r="T88" s="13"/>
      <c r="U88" s="13"/>
      <c r="V88" s="13"/>
      <c r="W88" s="13"/>
      <c r="X88" s="13"/>
      <c r="Y88" s="13"/>
      <c r="Z88" s="13"/>
    </row>
    <row r="89" spans="1:26" ht="13.5" hidden="1" customHeight="1">
      <c r="A89" s="371" t="s">
        <v>197</v>
      </c>
      <c r="B89" s="371"/>
      <c r="C89" s="369" t="e">
        <f>E26</f>
        <v>#REF!</v>
      </c>
      <c r="D89" s="371"/>
      <c r="E89" s="13"/>
      <c r="F89" s="371"/>
      <c r="G89" s="371"/>
      <c r="H89" s="371"/>
      <c r="I89" s="371"/>
      <c r="J89" s="13"/>
      <c r="K89" s="13"/>
      <c r="L89" s="13"/>
      <c r="M89" s="28"/>
      <c r="N89" s="294"/>
      <c r="O89" s="13"/>
      <c r="P89" s="13"/>
      <c r="Q89" s="13"/>
      <c r="R89" s="13"/>
      <c r="S89" s="13"/>
      <c r="T89" s="13"/>
      <c r="U89" s="13"/>
      <c r="V89" s="13"/>
      <c r="W89" s="13"/>
      <c r="X89" s="13"/>
      <c r="Y89" s="13"/>
      <c r="Z89" s="13"/>
    </row>
    <row r="90" spans="1:26" ht="13.5" hidden="1" customHeight="1">
      <c r="A90" s="371" t="s">
        <v>198</v>
      </c>
      <c r="B90" s="371"/>
      <c r="C90" s="369" t="e">
        <f>K26</f>
        <v>#REF!</v>
      </c>
      <c r="D90" s="371"/>
      <c r="E90" s="13"/>
      <c r="F90" s="371" t="s">
        <v>199</v>
      </c>
      <c r="G90" s="371"/>
      <c r="H90" s="371"/>
      <c r="I90" s="553" t="e">
        <f>SUM(H91:H93)</f>
        <v>#REF!</v>
      </c>
      <c r="J90" s="13"/>
      <c r="K90" s="13"/>
      <c r="L90" s="13"/>
      <c r="M90" s="28"/>
      <c r="N90" s="294"/>
      <c r="O90" s="13"/>
      <c r="P90" s="13"/>
      <c r="Q90" s="13"/>
      <c r="R90" s="13"/>
      <c r="S90" s="13"/>
      <c r="T90" s="13"/>
      <c r="U90" s="13"/>
      <c r="V90" s="13"/>
      <c r="W90" s="13"/>
      <c r="X90" s="13"/>
      <c r="Y90" s="13"/>
      <c r="Z90" s="13"/>
    </row>
    <row r="91" spans="1:26" ht="13.5" hidden="1" customHeight="1">
      <c r="A91" s="371" t="s">
        <v>200</v>
      </c>
      <c r="B91" s="371"/>
      <c r="C91" s="369" t="e">
        <f>H26</f>
        <v>#REF!</v>
      </c>
      <c r="D91" s="371"/>
      <c r="E91" s="13"/>
      <c r="F91" s="371" t="s">
        <v>201</v>
      </c>
      <c r="G91" s="371"/>
      <c r="H91" s="553" t="e">
        <f>#REF!</f>
        <v>#REF!</v>
      </c>
      <c r="I91" s="371"/>
      <c r="J91" s="13"/>
      <c r="K91" s="13"/>
      <c r="L91" s="13"/>
      <c r="M91" s="28"/>
      <c r="N91" s="294"/>
      <c r="O91" s="13"/>
      <c r="P91" s="13"/>
      <c r="Q91" s="13"/>
      <c r="R91" s="13"/>
      <c r="S91" s="13"/>
      <c r="T91" s="13"/>
      <c r="U91" s="13"/>
      <c r="V91" s="13"/>
      <c r="W91" s="13"/>
      <c r="X91" s="13"/>
      <c r="Y91" s="13"/>
      <c r="Z91" s="13"/>
    </row>
    <row r="92" spans="1:26" ht="13.5" hidden="1" customHeight="1">
      <c r="A92" s="371" t="s">
        <v>202</v>
      </c>
      <c r="B92" s="371"/>
      <c r="C92" s="369">
        <f>L25</f>
        <v>0</v>
      </c>
      <c r="D92" s="369"/>
      <c r="E92" s="13"/>
      <c r="F92" s="371" t="s">
        <v>203</v>
      </c>
      <c r="G92" s="371"/>
      <c r="H92" s="435" t="e">
        <f>#REF!</f>
        <v>#REF!</v>
      </c>
      <c r="I92" s="435"/>
      <c r="J92" s="13"/>
      <c r="K92" s="13"/>
      <c r="L92" s="13"/>
      <c r="M92" s="28"/>
      <c r="N92" s="294"/>
      <c r="O92" s="13"/>
      <c r="P92" s="13"/>
      <c r="Q92" s="13"/>
      <c r="R92" s="13"/>
      <c r="S92" s="13"/>
      <c r="T92" s="13"/>
      <c r="U92" s="13"/>
      <c r="V92" s="13"/>
      <c r="W92" s="13"/>
      <c r="X92" s="13"/>
      <c r="Y92" s="13"/>
      <c r="Z92" s="13"/>
    </row>
    <row r="93" spans="1:26" ht="13.5" hidden="1" customHeight="1">
      <c r="A93" s="371"/>
      <c r="B93" s="371"/>
      <c r="C93" s="371"/>
      <c r="D93" s="371"/>
      <c r="E93" s="13"/>
      <c r="F93" s="371"/>
      <c r="G93" s="371"/>
      <c r="H93" s="435"/>
      <c r="I93" s="435"/>
      <c r="J93" s="13"/>
      <c r="K93" s="13"/>
      <c r="L93" s="13"/>
      <c r="M93" s="28"/>
      <c r="N93" s="294"/>
      <c r="O93" s="13"/>
      <c r="P93" s="13"/>
      <c r="Q93" s="13"/>
      <c r="R93" s="13"/>
      <c r="S93" s="13"/>
      <c r="T93" s="13"/>
      <c r="U93" s="13"/>
      <c r="V93" s="13"/>
      <c r="W93" s="13"/>
      <c r="X93" s="13"/>
      <c r="Y93" s="13"/>
      <c r="Z93" s="13"/>
    </row>
    <row r="94" spans="1:26" ht="13.5" hidden="1" customHeight="1">
      <c r="A94" s="371" t="s">
        <v>204</v>
      </c>
      <c r="B94" s="371"/>
      <c r="C94" s="371"/>
      <c r="D94" s="369" t="e">
        <f>SUM(C95:C97)</f>
        <v>#REF!</v>
      </c>
      <c r="E94" s="13"/>
      <c r="F94" s="371" t="s">
        <v>205</v>
      </c>
      <c r="G94" s="371"/>
      <c r="H94" s="435"/>
      <c r="I94" s="435" t="e">
        <f>SUM(H95:H96)</f>
        <v>#REF!</v>
      </c>
      <c r="J94" s="13"/>
      <c r="K94" s="13"/>
      <c r="L94" s="13"/>
      <c r="M94" s="28"/>
      <c r="N94" s="294"/>
      <c r="O94" s="13"/>
      <c r="P94" s="13"/>
      <c r="Q94" s="13"/>
      <c r="R94" s="13"/>
      <c r="S94" s="13"/>
      <c r="T94" s="13"/>
      <c r="U94" s="13"/>
      <c r="V94" s="13"/>
      <c r="W94" s="13"/>
      <c r="X94" s="13"/>
      <c r="Y94" s="13"/>
      <c r="Z94" s="13"/>
    </row>
    <row r="95" spans="1:26" ht="13.5" hidden="1" customHeight="1">
      <c r="A95" s="371" t="s">
        <v>206</v>
      </c>
      <c r="B95" s="371"/>
      <c r="C95" s="369">
        <f>G7</f>
        <v>0</v>
      </c>
      <c r="D95" s="371"/>
      <c r="E95" s="13"/>
      <c r="F95" s="371" t="s">
        <v>207</v>
      </c>
      <c r="G95" s="371"/>
      <c r="H95" s="435" t="e">
        <f>#REF!</f>
        <v>#REF!</v>
      </c>
      <c r="I95" s="435"/>
      <c r="J95" s="13"/>
      <c r="K95" s="13"/>
      <c r="L95" s="13"/>
      <c r="M95" s="28"/>
      <c r="N95" s="294"/>
      <c r="O95" s="13"/>
      <c r="P95" s="13"/>
      <c r="Q95" s="13"/>
      <c r="R95" s="13"/>
      <c r="S95" s="13"/>
      <c r="T95" s="13"/>
      <c r="U95" s="13"/>
      <c r="V95" s="13"/>
      <c r="W95" s="13"/>
      <c r="X95" s="13"/>
      <c r="Y95" s="13"/>
      <c r="Z95" s="13"/>
    </row>
    <row r="96" spans="1:26" ht="13.5" hidden="1" customHeight="1">
      <c r="A96" s="371" t="s">
        <v>208</v>
      </c>
      <c r="B96" s="371"/>
      <c r="C96" s="369" t="e">
        <f>J26</f>
        <v>#REF!</v>
      </c>
      <c r="D96" s="371"/>
      <c r="E96" s="13"/>
      <c r="F96" s="371" t="s">
        <v>209</v>
      </c>
      <c r="G96" s="371"/>
      <c r="H96" s="371" t="e">
        <f>#REF!</f>
        <v>#REF!</v>
      </c>
      <c r="I96" s="371"/>
      <c r="J96" s="13"/>
      <c r="K96" s="13"/>
      <c r="L96" s="13"/>
      <c r="M96" s="28"/>
      <c r="N96" s="294"/>
      <c r="O96" s="13"/>
      <c r="P96" s="13"/>
      <c r="Q96" s="13"/>
      <c r="R96" s="13"/>
      <c r="S96" s="13"/>
      <c r="T96" s="13"/>
      <c r="U96" s="13"/>
      <c r="V96" s="13"/>
      <c r="W96" s="13"/>
      <c r="X96" s="13"/>
      <c r="Y96" s="13"/>
      <c r="Z96" s="13"/>
    </row>
    <row r="97" spans="1:26" ht="13.5" hidden="1" customHeight="1">
      <c r="A97" s="371" t="s">
        <v>210</v>
      </c>
      <c r="B97" s="371"/>
      <c r="C97" s="369" t="e">
        <f>F26</f>
        <v>#REF!</v>
      </c>
      <c r="D97" s="371"/>
      <c r="E97" s="13"/>
      <c r="F97" s="371"/>
      <c r="G97" s="371"/>
      <c r="H97" s="371"/>
      <c r="I97" s="371"/>
      <c r="J97" s="13"/>
      <c r="K97" s="13"/>
      <c r="L97" s="13"/>
      <c r="M97" s="28"/>
      <c r="N97" s="294"/>
      <c r="O97" s="13"/>
      <c r="P97" s="13"/>
      <c r="Q97" s="13"/>
      <c r="R97" s="13"/>
      <c r="S97" s="13"/>
      <c r="T97" s="13"/>
      <c r="U97" s="13"/>
      <c r="V97" s="13"/>
      <c r="W97" s="13"/>
      <c r="X97" s="13"/>
      <c r="Y97" s="13"/>
      <c r="Z97" s="13"/>
    </row>
    <row r="98" spans="1:26" ht="13.5" hidden="1" customHeight="1">
      <c r="A98" s="13"/>
      <c r="B98" s="13"/>
      <c r="C98" s="13"/>
      <c r="D98" s="371"/>
      <c r="E98" s="13"/>
      <c r="F98" s="371" t="s">
        <v>211</v>
      </c>
      <c r="G98" s="371"/>
      <c r="H98" s="435" t="e">
        <f>#REF!</f>
        <v>#REF!</v>
      </c>
      <c r="I98" s="369" t="e">
        <f>H98</f>
        <v>#REF!</v>
      </c>
      <c r="J98" s="13"/>
      <c r="K98" s="13"/>
      <c r="L98" s="13"/>
      <c r="M98" s="28"/>
      <c r="N98" s="294"/>
      <c r="O98" s="13"/>
      <c r="P98" s="13"/>
      <c r="Q98" s="13"/>
      <c r="R98" s="13"/>
      <c r="S98" s="13"/>
      <c r="T98" s="13"/>
      <c r="U98" s="13"/>
      <c r="V98" s="13"/>
      <c r="W98" s="13"/>
      <c r="X98" s="13"/>
      <c r="Y98" s="13"/>
      <c r="Z98" s="13"/>
    </row>
    <row r="99" spans="1:26" ht="13.5" hidden="1" customHeight="1">
      <c r="A99" s="371" t="s">
        <v>212</v>
      </c>
      <c r="B99" s="371"/>
      <c r="C99" s="369"/>
      <c r="D99" s="435" t="e">
        <f>I26</f>
        <v>#REF!</v>
      </c>
      <c r="E99" s="13"/>
      <c r="F99" s="13"/>
      <c r="G99" s="13"/>
      <c r="H99" s="13"/>
      <c r="I99" s="13"/>
      <c r="J99" s="13"/>
      <c r="K99" s="13"/>
      <c r="L99" s="13"/>
      <c r="M99" s="28"/>
      <c r="N99" s="294"/>
      <c r="O99" s="13"/>
      <c r="P99" s="13"/>
      <c r="Q99" s="13"/>
      <c r="R99" s="13"/>
      <c r="S99" s="13"/>
      <c r="T99" s="13"/>
      <c r="U99" s="13"/>
      <c r="V99" s="13"/>
      <c r="W99" s="13"/>
      <c r="X99" s="13"/>
      <c r="Y99" s="13"/>
      <c r="Z99" s="13"/>
    </row>
    <row r="100" spans="1:26" ht="13.5" hidden="1" customHeight="1">
      <c r="A100" s="28"/>
      <c r="B100" s="28"/>
      <c r="C100" s="13"/>
      <c r="D100" s="19"/>
      <c r="E100" s="13"/>
      <c r="F100" s="13"/>
      <c r="G100" s="13"/>
      <c r="H100" s="13"/>
      <c r="I100" s="13"/>
      <c r="J100" s="13"/>
      <c r="K100" s="13"/>
      <c r="L100" s="13"/>
      <c r="M100" s="28"/>
      <c r="N100" s="294"/>
      <c r="O100" s="13"/>
      <c r="P100" s="13"/>
      <c r="Q100" s="13"/>
      <c r="R100" s="13"/>
      <c r="S100" s="13"/>
      <c r="T100" s="13"/>
      <c r="U100" s="13"/>
      <c r="V100" s="13"/>
      <c r="W100" s="13"/>
      <c r="X100" s="13"/>
      <c r="Y100" s="13"/>
      <c r="Z100" s="13"/>
    </row>
    <row r="101" spans="1:26" ht="13.5" hidden="1" customHeight="1">
      <c r="A101" s="555" t="s">
        <v>213</v>
      </c>
      <c r="B101" s="556"/>
      <c r="C101" s="557"/>
      <c r="D101" s="19"/>
      <c r="E101" s="558" t="s">
        <v>214</v>
      </c>
      <c r="F101" s="12"/>
      <c r="G101" s="12"/>
      <c r="H101" s="557"/>
      <c r="I101" s="13"/>
      <c r="J101" s="13"/>
      <c r="K101" s="13"/>
      <c r="L101" s="13"/>
      <c r="M101" s="28"/>
      <c r="N101" s="294"/>
      <c r="O101" s="13"/>
      <c r="P101" s="13"/>
      <c r="Q101" s="13"/>
      <c r="R101" s="13"/>
      <c r="S101" s="13"/>
      <c r="T101" s="13"/>
      <c r="U101" s="13"/>
      <c r="V101" s="13"/>
      <c r="W101" s="13"/>
      <c r="X101" s="13"/>
      <c r="Y101" s="13"/>
      <c r="Z101" s="13"/>
    </row>
    <row r="102" spans="1:26" ht="13.5" hidden="1" customHeight="1">
      <c r="A102" s="1278" t="s">
        <v>215</v>
      </c>
      <c r="B102" s="1279"/>
      <c r="C102" s="559" t="e">
        <f>D84-D99</f>
        <v>#REF!</v>
      </c>
      <c r="D102" s="13"/>
      <c r="E102" s="560" t="s">
        <v>216</v>
      </c>
      <c r="F102" s="561"/>
      <c r="G102" s="561"/>
      <c r="H102" s="562" t="e">
        <f>I86+I98</f>
        <v>#REF!</v>
      </c>
      <c r="I102" s="563"/>
      <c r="J102" s="13"/>
      <c r="K102" s="13"/>
      <c r="L102" s="13"/>
      <c r="M102" s="28"/>
      <c r="N102" s="294"/>
      <c r="O102" s="13"/>
      <c r="P102" s="13"/>
      <c r="Q102" s="13"/>
      <c r="R102" s="13"/>
      <c r="S102" s="13"/>
      <c r="T102" s="13"/>
      <c r="U102" s="13"/>
      <c r="V102" s="13"/>
      <c r="W102" s="13"/>
      <c r="X102" s="13"/>
      <c r="Y102" s="13"/>
      <c r="Z102" s="13"/>
    </row>
    <row r="103" spans="1:26" ht="13.5" hidden="1" customHeight="1">
      <c r="A103" s="1270" t="s">
        <v>217</v>
      </c>
      <c r="B103" s="1271"/>
      <c r="C103" s="564" t="e">
        <f>I84-I94</f>
        <v>#REF!</v>
      </c>
      <c r="D103" s="13"/>
      <c r="E103" s="565" t="s">
        <v>218</v>
      </c>
      <c r="F103" s="566"/>
      <c r="G103" s="566"/>
      <c r="H103" s="567" t="e">
        <f>D85</f>
        <v>#REF!</v>
      </c>
      <c r="I103" s="13"/>
      <c r="J103" s="13"/>
      <c r="K103" s="13"/>
      <c r="L103" s="13"/>
      <c r="M103" s="28"/>
      <c r="N103" s="294"/>
      <c r="O103" s="13"/>
      <c r="P103" s="13"/>
      <c r="Q103" s="13"/>
      <c r="R103" s="13"/>
      <c r="S103" s="13"/>
      <c r="T103" s="13"/>
      <c r="U103" s="13"/>
      <c r="V103" s="13"/>
      <c r="W103" s="13"/>
      <c r="X103" s="13"/>
      <c r="Y103" s="13"/>
      <c r="Z103" s="13"/>
    </row>
    <row r="104" spans="1:26" ht="13.5" hidden="1" customHeight="1">
      <c r="A104" s="1270" t="s">
        <v>219</v>
      </c>
      <c r="B104" s="1271"/>
      <c r="C104" s="568" t="e">
        <f>C103-C102</f>
        <v>#REF!</v>
      </c>
      <c r="D104" s="13"/>
      <c r="E104" s="565" t="s">
        <v>220</v>
      </c>
      <c r="F104" s="566"/>
      <c r="G104" s="566"/>
      <c r="H104" s="569"/>
      <c r="I104" s="13"/>
      <c r="J104" s="13"/>
      <c r="K104" s="13"/>
      <c r="L104" s="13"/>
      <c r="M104" s="28"/>
      <c r="N104" s="294"/>
      <c r="O104" s="13"/>
      <c r="P104" s="13"/>
      <c r="Q104" s="13"/>
      <c r="R104" s="13"/>
      <c r="S104" s="13"/>
      <c r="T104" s="13"/>
      <c r="U104" s="13"/>
      <c r="V104" s="13"/>
      <c r="W104" s="13"/>
      <c r="X104" s="13"/>
      <c r="Y104" s="13"/>
      <c r="Z104" s="13"/>
    </row>
    <row r="105" spans="1:26" ht="13.5" hidden="1" customHeight="1">
      <c r="A105" s="570"/>
      <c r="B105" s="40"/>
      <c r="C105" s="571"/>
      <c r="D105" s="13"/>
      <c r="E105" s="572" t="s">
        <v>221</v>
      </c>
      <c r="F105" s="573"/>
      <c r="G105" s="573"/>
      <c r="H105" s="574" t="e">
        <f>H102-H103</f>
        <v>#REF!</v>
      </c>
      <c r="I105" s="563"/>
      <c r="J105" s="13"/>
      <c r="K105" s="13"/>
      <c r="L105" s="13"/>
      <c r="M105" s="28"/>
      <c r="N105" s="294"/>
      <c r="O105" s="13"/>
      <c r="P105" s="13"/>
      <c r="Q105" s="13"/>
      <c r="R105" s="13"/>
      <c r="S105" s="13"/>
      <c r="T105" s="13"/>
      <c r="U105" s="13"/>
      <c r="V105" s="13"/>
      <c r="W105" s="13"/>
      <c r="X105" s="13"/>
      <c r="Y105" s="13"/>
      <c r="Z105" s="13"/>
    </row>
    <row r="106" spans="1:26" ht="13.5" hidden="1" customHeight="1">
      <c r="A106" s="1270" t="s">
        <v>205</v>
      </c>
      <c r="B106" s="1271"/>
      <c r="C106" s="575" t="e">
        <f>#REF!</f>
        <v>#REF!</v>
      </c>
      <c r="D106" s="13"/>
      <c r="E106" s="576"/>
      <c r="F106" s="573"/>
      <c r="G106" s="573"/>
      <c r="H106" s="577"/>
      <c r="I106" s="563"/>
      <c r="J106" s="563"/>
      <c r="K106" s="13"/>
      <c r="L106" s="13"/>
      <c r="M106" s="28"/>
      <c r="N106" s="294"/>
      <c r="O106" s="13"/>
      <c r="P106" s="13"/>
      <c r="Q106" s="13"/>
      <c r="R106" s="13"/>
      <c r="S106" s="13"/>
      <c r="T106" s="13"/>
      <c r="U106" s="13"/>
      <c r="V106" s="13"/>
      <c r="W106" s="13"/>
      <c r="X106" s="13"/>
      <c r="Y106" s="13"/>
      <c r="Z106" s="13"/>
    </row>
    <row r="107" spans="1:26" ht="13.5" hidden="1" customHeight="1">
      <c r="A107" s="1270" t="s">
        <v>222</v>
      </c>
      <c r="B107" s="1271"/>
      <c r="C107" s="575"/>
      <c r="D107" s="13"/>
      <c r="E107" s="565" t="s">
        <v>223</v>
      </c>
      <c r="F107" s="566"/>
      <c r="G107" s="566"/>
      <c r="H107" s="578" t="e">
        <f>I90</f>
        <v>#REF!</v>
      </c>
      <c r="I107" s="563" t="e">
        <f>H107+H102</f>
        <v>#REF!</v>
      </c>
      <c r="J107" s="13"/>
      <c r="K107" s="13"/>
      <c r="L107" s="13"/>
      <c r="M107" s="28"/>
      <c r="N107" s="294"/>
      <c r="O107" s="13"/>
      <c r="P107" s="13"/>
      <c r="Q107" s="13"/>
      <c r="R107" s="13"/>
      <c r="S107" s="13"/>
      <c r="T107" s="13"/>
      <c r="U107" s="13"/>
      <c r="V107" s="13"/>
      <c r="W107" s="13"/>
      <c r="X107" s="13"/>
      <c r="Y107" s="13"/>
      <c r="Z107" s="13"/>
    </row>
    <row r="108" spans="1:26" ht="13.5" hidden="1" customHeight="1">
      <c r="A108" s="371" t="s">
        <v>224</v>
      </c>
      <c r="B108" s="371"/>
      <c r="C108" s="371"/>
      <c r="D108" s="13"/>
      <c r="E108" s="565" t="s">
        <v>225</v>
      </c>
      <c r="F108" s="566"/>
      <c r="G108" s="566"/>
      <c r="H108" s="567" t="e">
        <f>D94</f>
        <v>#REF!</v>
      </c>
      <c r="I108" s="27"/>
      <c r="J108" s="13"/>
      <c r="K108" s="13"/>
      <c r="L108" s="13"/>
      <c r="M108" s="28"/>
      <c r="N108" s="294"/>
      <c r="O108" s="13"/>
      <c r="P108" s="13"/>
      <c r="Q108" s="13"/>
      <c r="R108" s="13"/>
      <c r="S108" s="13"/>
      <c r="T108" s="13"/>
      <c r="U108" s="13"/>
      <c r="V108" s="13"/>
      <c r="W108" s="13"/>
      <c r="X108" s="13"/>
      <c r="Y108" s="13"/>
      <c r="Z108" s="13"/>
    </row>
    <row r="109" spans="1:26" ht="13.5" hidden="1" customHeight="1">
      <c r="A109" s="570"/>
      <c r="B109" s="40"/>
      <c r="C109" s="571"/>
      <c r="D109" s="13"/>
      <c r="E109" s="579" t="s">
        <v>226</v>
      </c>
      <c r="F109" s="580"/>
      <c r="G109" s="580"/>
      <c r="H109" s="581" t="e">
        <f>H105+H107-H108</f>
        <v>#REF!</v>
      </c>
      <c r="I109" s="13"/>
      <c r="J109" s="13"/>
      <c r="K109" s="13"/>
      <c r="L109" s="13"/>
      <c r="M109" s="28"/>
      <c r="N109" s="294"/>
      <c r="O109" s="13"/>
      <c r="P109" s="13"/>
      <c r="Q109" s="13"/>
      <c r="R109" s="13"/>
      <c r="S109" s="13"/>
      <c r="T109" s="13"/>
      <c r="U109" s="13"/>
      <c r="V109" s="13"/>
      <c r="W109" s="13"/>
      <c r="X109" s="13"/>
      <c r="Y109" s="13"/>
      <c r="Z109" s="13"/>
    </row>
    <row r="110" spans="1:26" ht="13.5" hidden="1" customHeight="1">
      <c r="A110" s="1270" t="s">
        <v>227</v>
      </c>
      <c r="B110" s="1271"/>
      <c r="C110" s="569"/>
      <c r="D110" s="13"/>
      <c r="E110" s="11"/>
      <c r="F110" s="582"/>
      <c r="G110" s="583"/>
      <c r="H110" s="557"/>
      <c r="I110" s="584" t="e">
        <f>H109+H113-H116</f>
        <v>#REF!</v>
      </c>
      <c r="J110" s="585"/>
      <c r="K110" s="13"/>
      <c r="L110" s="13"/>
      <c r="M110" s="28"/>
      <c r="N110" s="294"/>
      <c r="O110" s="13"/>
      <c r="P110" s="13"/>
      <c r="Q110" s="13"/>
      <c r="R110" s="13"/>
      <c r="S110" s="13"/>
      <c r="T110" s="13"/>
      <c r="U110" s="13"/>
      <c r="V110" s="13"/>
      <c r="W110" s="13"/>
      <c r="X110" s="13"/>
      <c r="Y110" s="13"/>
      <c r="Z110" s="13"/>
    </row>
    <row r="111" spans="1:26" ht="13.5" hidden="1" customHeight="1">
      <c r="A111" s="1272" t="s">
        <v>228</v>
      </c>
      <c r="B111" s="1273"/>
      <c r="C111" s="586" t="e">
        <f>D99</f>
        <v>#REF!</v>
      </c>
      <c r="D111" s="13"/>
      <c r="E111" s="587" t="s">
        <v>229</v>
      </c>
      <c r="F111" s="588"/>
      <c r="G111" s="588"/>
      <c r="H111" s="589"/>
      <c r="I111" s="590" t="s">
        <v>230</v>
      </c>
      <c r="J111" s="398"/>
      <c r="K111" s="13"/>
      <c r="L111" s="13"/>
      <c r="M111" s="28"/>
      <c r="N111" s="294"/>
      <c r="O111" s="13"/>
      <c r="P111" s="13"/>
      <c r="Q111" s="13"/>
      <c r="R111" s="13"/>
      <c r="S111" s="13"/>
      <c r="T111" s="13"/>
      <c r="U111" s="13"/>
      <c r="V111" s="13"/>
      <c r="W111" s="13"/>
      <c r="X111" s="13"/>
      <c r="Y111" s="13"/>
      <c r="Z111" s="13"/>
    </row>
    <row r="112" spans="1:26" ht="13.5" hidden="1" customHeight="1">
      <c r="A112" s="13"/>
      <c r="B112" s="13"/>
      <c r="C112" s="27" t="e">
        <f>C102+C111</f>
        <v>#REF!</v>
      </c>
      <c r="D112" s="13"/>
      <c r="E112" s="565" t="s">
        <v>205</v>
      </c>
      <c r="F112" s="566"/>
      <c r="G112" s="566"/>
      <c r="H112" s="569"/>
      <c r="I112" s="563"/>
      <c r="J112" s="27"/>
      <c r="K112" s="13"/>
      <c r="L112" s="13"/>
      <c r="M112" s="28"/>
      <c r="N112" s="294"/>
      <c r="O112" s="13"/>
      <c r="P112" s="13"/>
      <c r="Q112" s="13"/>
      <c r="R112" s="13"/>
      <c r="S112" s="13"/>
      <c r="T112" s="13"/>
      <c r="U112" s="13"/>
      <c r="V112" s="13"/>
      <c r="W112" s="13"/>
      <c r="X112" s="13"/>
      <c r="Y112" s="13"/>
      <c r="Z112" s="13"/>
    </row>
    <row r="113" spans="1:26" ht="13.5" hidden="1" customHeight="1">
      <c r="A113" s="591" t="s">
        <v>231</v>
      </c>
      <c r="B113" s="592" t="e">
        <f>I84</f>
        <v>#REF!</v>
      </c>
      <c r="C113" s="27" t="e">
        <f>C103+C106</f>
        <v>#REF!</v>
      </c>
      <c r="D113" s="13"/>
      <c r="E113" s="565" t="s">
        <v>222</v>
      </c>
      <c r="F113" s="566"/>
      <c r="G113" s="566"/>
      <c r="H113" s="567" t="e">
        <f>I94</f>
        <v>#REF!</v>
      </c>
      <c r="I113" s="14"/>
      <c r="J113" s="27"/>
      <c r="K113" s="13"/>
      <c r="L113" s="13"/>
      <c r="M113" s="28"/>
      <c r="N113" s="294"/>
      <c r="O113" s="13"/>
      <c r="P113" s="13"/>
      <c r="Q113" s="13"/>
      <c r="R113" s="13"/>
      <c r="S113" s="13"/>
      <c r="T113" s="13"/>
      <c r="U113" s="13"/>
      <c r="V113" s="13"/>
      <c r="W113" s="13"/>
      <c r="X113" s="13"/>
      <c r="Y113" s="13"/>
      <c r="Z113" s="13"/>
    </row>
    <row r="114" spans="1:26" ht="13.5" hidden="1" customHeight="1">
      <c r="A114" s="593" t="s">
        <v>232</v>
      </c>
      <c r="B114" s="594" t="e">
        <f>D85+D94</f>
        <v>#REF!</v>
      </c>
      <c r="C114" s="283" t="e">
        <f>C113-C112</f>
        <v>#REF!</v>
      </c>
      <c r="D114" s="13"/>
      <c r="E114" s="565" t="s">
        <v>233</v>
      </c>
      <c r="F114" s="566"/>
      <c r="G114" s="566"/>
      <c r="H114" s="569"/>
      <c r="I114" s="13"/>
      <c r="J114" s="13"/>
      <c r="K114" s="13"/>
      <c r="L114" s="13"/>
      <c r="M114" s="28"/>
      <c r="N114" s="294"/>
      <c r="O114" s="13"/>
      <c r="P114" s="13"/>
      <c r="Q114" s="13"/>
      <c r="R114" s="13"/>
      <c r="S114" s="13"/>
      <c r="T114" s="13"/>
      <c r="U114" s="13"/>
      <c r="V114" s="13"/>
      <c r="W114" s="13"/>
      <c r="X114" s="13"/>
      <c r="Y114" s="13"/>
      <c r="Z114" s="13"/>
    </row>
    <row r="115" spans="1:26" ht="13.5" hidden="1" customHeight="1">
      <c r="A115" s="529" t="s">
        <v>234</v>
      </c>
      <c r="B115" s="594" t="e">
        <f>B113-B114</f>
        <v>#REF!</v>
      </c>
      <c r="C115" s="13"/>
      <c r="D115" s="13"/>
      <c r="E115" s="565" t="s">
        <v>227</v>
      </c>
      <c r="F115" s="566"/>
      <c r="G115" s="566"/>
      <c r="H115" s="569"/>
      <c r="I115" s="13"/>
      <c r="J115" s="27"/>
      <c r="K115" s="13"/>
      <c r="L115" s="13"/>
      <c r="M115" s="28"/>
      <c r="N115" s="294"/>
      <c r="O115" s="13"/>
      <c r="P115" s="13"/>
      <c r="Q115" s="13"/>
      <c r="R115" s="13"/>
      <c r="S115" s="13"/>
      <c r="T115" s="13"/>
      <c r="U115" s="13"/>
      <c r="V115" s="13"/>
      <c r="W115" s="13"/>
      <c r="X115" s="13"/>
      <c r="Y115" s="13"/>
      <c r="Z115" s="13"/>
    </row>
    <row r="116" spans="1:26" ht="13.5" hidden="1" customHeight="1">
      <c r="A116" s="15"/>
      <c r="B116" s="13"/>
      <c r="C116" s="13"/>
      <c r="D116" s="13"/>
      <c r="E116" s="595" t="s">
        <v>235</v>
      </c>
      <c r="F116" s="596"/>
      <c r="G116" s="596"/>
      <c r="H116" s="586" t="e">
        <f>D99</f>
        <v>#REF!</v>
      </c>
      <c r="I116" s="13"/>
      <c r="J116" s="13"/>
      <c r="K116" s="13"/>
      <c r="L116" s="13"/>
      <c r="M116" s="28"/>
      <c r="N116" s="294"/>
      <c r="O116" s="13"/>
      <c r="P116" s="13"/>
      <c r="Q116" s="13"/>
      <c r="R116" s="13"/>
      <c r="S116" s="13"/>
      <c r="T116" s="13"/>
      <c r="U116" s="13"/>
      <c r="V116" s="13"/>
      <c r="W116" s="13"/>
      <c r="X116" s="13"/>
      <c r="Y116" s="13"/>
      <c r="Z116" s="13"/>
    </row>
    <row r="117" spans="1:26" ht="13.5" hidden="1" customHeight="1">
      <c r="A117" s="13"/>
      <c r="B117" s="27"/>
      <c r="C117" s="13"/>
      <c r="D117" s="13"/>
      <c r="E117" s="13"/>
      <c r="F117" s="13"/>
      <c r="G117" s="13"/>
      <c r="H117" s="13"/>
      <c r="I117" s="13"/>
      <c r="J117" s="13"/>
      <c r="K117" s="13"/>
      <c r="L117" s="13"/>
      <c r="M117" s="28"/>
      <c r="N117" s="294"/>
      <c r="O117" s="13"/>
      <c r="P117" s="13"/>
      <c r="Q117" s="13"/>
      <c r="R117" s="13"/>
      <c r="S117" s="13"/>
      <c r="T117" s="13"/>
      <c r="U117" s="13"/>
      <c r="V117" s="13"/>
      <c r="W117" s="13"/>
      <c r="X117" s="13"/>
      <c r="Y117" s="13"/>
      <c r="Z117" s="13"/>
    </row>
    <row r="118" spans="1:26" ht="13.5" hidden="1" customHeight="1">
      <c r="A118" s="13"/>
      <c r="B118" s="13"/>
      <c r="C118" s="13"/>
      <c r="D118" s="13"/>
      <c r="E118" s="597" t="s">
        <v>236</v>
      </c>
      <c r="F118" s="597"/>
      <c r="G118" s="597"/>
      <c r="H118" s="597"/>
      <c r="I118" s="597"/>
      <c r="J118" s="597"/>
      <c r="K118" s="597"/>
      <c r="L118" s="13"/>
      <c r="M118" s="28"/>
      <c r="N118" s="294"/>
      <c r="O118" s="13"/>
      <c r="P118" s="13"/>
      <c r="Q118" s="13"/>
      <c r="R118" s="13"/>
      <c r="S118" s="13"/>
      <c r="T118" s="13"/>
      <c r="U118" s="13"/>
      <c r="V118" s="13"/>
      <c r="W118" s="13"/>
      <c r="X118" s="13"/>
      <c r="Y118" s="13"/>
      <c r="Z118" s="13"/>
    </row>
    <row r="119" spans="1:26" ht="13.5" hidden="1" customHeight="1">
      <c r="A119" s="13"/>
      <c r="B119" s="13"/>
      <c r="C119" s="13"/>
      <c r="D119" s="13"/>
      <c r="E119" s="597" t="s">
        <v>237</v>
      </c>
      <c r="F119" s="597"/>
      <c r="G119" s="597"/>
      <c r="H119" s="597"/>
      <c r="I119" s="597"/>
      <c r="J119" s="597"/>
      <c r="K119" s="597"/>
      <c r="L119" s="13"/>
      <c r="M119" s="28"/>
      <c r="N119" s="294"/>
      <c r="O119" s="13"/>
      <c r="P119" s="13"/>
      <c r="Q119" s="13"/>
      <c r="R119" s="13"/>
      <c r="S119" s="13"/>
      <c r="T119" s="13"/>
      <c r="U119" s="13"/>
      <c r="V119" s="13"/>
      <c r="W119" s="13"/>
      <c r="X119" s="13"/>
      <c r="Y119" s="13"/>
      <c r="Z119" s="13"/>
    </row>
    <row r="120" spans="1:26" ht="13.5" hidden="1" customHeight="1">
      <c r="A120" s="13"/>
      <c r="B120" s="13"/>
      <c r="C120" s="13"/>
      <c r="D120" s="13"/>
      <c r="E120" s="597" t="s">
        <v>238</v>
      </c>
      <c r="F120" s="597"/>
      <c r="G120" s="597"/>
      <c r="H120" s="597"/>
      <c r="I120" s="597"/>
      <c r="J120" s="597"/>
      <c r="K120" s="597"/>
      <c r="L120" s="13"/>
      <c r="M120" s="28"/>
      <c r="N120" s="294"/>
      <c r="O120" s="13"/>
      <c r="P120" s="13"/>
      <c r="Q120" s="13"/>
      <c r="R120" s="13"/>
      <c r="S120" s="13"/>
      <c r="T120" s="13"/>
      <c r="U120" s="13"/>
      <c r="V120" s="13"/>
      <c r="W120" s="13"/>
      <c r="X120" s="13"/>
      <c r="Y120" s="13"/>
      <c r="Z120" s="13"/>
    </row>
    <row r="121" spans="1:26" ht="13.5" hidden="1" customHeight="1">
      <c r="A121" s="13"/>
      <c r="B121" s="13"/>
      <c r="C121" s="13"/>
      <c r="D121" s="13"/>
      <c r="E121" s="597"/>
      <c r="F121" s="597"/>
      <c r="G121" s="597"/>
      <c r="H121" s="597"/>
      <c r="I121" s="597"/>
      <c r="J121" s="597"/>
      <c r="K121" s="597"/>
      <c r="L121" s="13"/>
      <c r="M121" s="28"/>
      <c r="N121" s="294"/>
      <c r="O121" s="13"/>
      <c r="P121" s="13"/>
      <c r="Q121" s="13"/>
      <c r="R121" s="13"/>
      <c r="S121" s="13"/>
      <c r="T121" s="13"/>
      <c r="U121" s="13"/>
      <c r="V121" s="13"/>
      <c r="W121" s="13"/>
      <c r="X121" s="13"/>
      <c r="Y121" s="13"/>
      <c r="Z121" s="13"/>
    </row>
    <row r="122" spans="1:26" ht="13.5" customHeight="1">
      <c r="A122" s="13"/>
      <c r="B122" s="27" t="e">
        <f>B26*0.8</f>
        <v>#REF!</v>
      </c>
      <c r="C122" s="13"/>
      <c r="D122" s="13"/>
      <c r="E122" s="13"/>
      <c r="F122" s="13"/>
      <c r="G122" s="13"/>
      <c r="H122" s="13"/>
      <c r="I122" s="13"/>
      <c r="J122" s="13"/>
      <c r="K122" s="13"/>
      <c r="L122" s="13"/>
      <c r="M122" s="28"/>
      <c r="N122" s="294"/>
      <c r="O122" s="13"/>
      <c r="P122" s="13"/>
      <c r="Q122" s="13"/>
      <c r="R122" s="13"/>
      <c r="S122" s="13"/>
      <c r="T122" s="13"/>
      <c r="U122" s="13"/>
      <c r="V122" s="13"/>
      <c r="W122" s="13"/>
      <c r="X122" s="13"/>
      <c r="Y122" s="13"/>
      <c r="Z122" s="13"/>
    </row>
    <row r="123" spans="1:26" ht="13.5" customHeight="1">
      <c r="A123" s="13"/>
      <c r="B123" s="13"/>
      <c r="C123" s="13"/>
      <c r="D123" s="13"/>
      <c r="E123" s="13"/>
      <c r="F123" s="13"/>
      <c r="G123" s="13"/>
      <c r="H123" s="13"/>
      <c r="I123" s="14"/>
      <c r="J123" s="13"/>
      <c r="K123" s="13"/>
      <c r="L123" s="13"/>
      <c r="M123" s="28"/>
      <c r="N123" s="294"/>
      <c r="O123" s="13"/>
      <c r="P123" s="13"/>
      <c r="Q123" s="13"/>
      <c r="R123" s="13"/>
      <c r="S123" s="13"/>
      <c r="T123" s="13"/>
      <c r="U123" s="13"/>
      <c r="V123" s="13"/>
      <c r="W123" s="13"/>
      <c r="X123" s="13"/>
      <c r="Y123" s="13"/>
      <c r="Z123" s="13"/>
    </row>
    <row r="124" spans="1:26" ht="13.5" customHeight="1">
      <c r="A124" s="13"/>
      <c r="B124" s="13"/>
      <c r="C124" s="13"/>
      <c r="D124" s="13"/>
      <c r="E124" s="13"/>
      <c r="F124" s="13"/>
      <c r="G124" s="13"/>
      <c r="H124" s="13"/>
      <c r="I124" s="13"/>
      <c r="J124" s="13"/>
      <c r="K124" s="13"/>
      <c r="L124" s="13"/>
      <c r="M124" s="28"/>
      <c r="N124" s="294"/>
      <c r="O124" s="13"/>
      <c r="P124" s="13"/>
      <c r="Q124" s="13"/>
      <c r="R124" s="13"/>
      <c r="S124" s="13"/>
      <c r="T124" s="13"/>
      <c r="U124" s="13"/>
      <c r="V124" s="13"/>
      <c r="W124" s="13"/>
      <c r="X124" s="13"/>
      <c r="Y124" s="13"/>
      <c r="Z124" s="13"/>
    </row>
    <row r="125" spans="1:26" ht="13.5" customHeight="1">
      <c r="A125" s="13"/>
      <c r="B125" s="13"/>
      <c r="C125" s="13"/>
      <c r="D125" s="13"/>
      <c r="E125" s="13"/>
      <c r="F125" s="13"/>
      <c r="G125" s="13"/>
      <c r="H125" s="13"/>
      <c r="I125" s="13"/>
      <c r="J125" s="13"/>
      <c r="K125" s="13"/>
      <c r="L125" s="13"/>
      <c r="M125" s="28"/>
      <c r="N125" s="294"/>
      <c r="O125" s="13"/>
      <c r="P125" s="13"/>
      <c r="Q125" s="13"/>
      <c r="R125" s="13"/>
      <c r="S125" s="13"/>
      <c r="T125" s="13"/>
      <c r="U125" s="13"/>
      <c r="V125" s="13"/>
      <c r="W125" s="13"/>
      <c r="X125" s="13"/>
      <c r="Y125" s="13"/>
      <c r="Z125" s="13"/>
    </row>
    <row r="126" spans="1:26" ht="13.5" customHeight="1">
      <c r="A126" s="13"/>
      <c r="B126" s="13"/>
      <c r="C126" s="13"/>
      <c r="D126" s="13"/>
      <c r="E126" s="13"/>
      <c r="F126" s="13"/>
      <c r="G126" s="13"/>
      <c r="H126" s="13"/>
      <c r="I126" s="13"/>
      <c r="J126" s="13"/>
      <c r="K126" s="13"/>
      <c r="L126" s="13"/>
      <c r="M126" s="28"/>
      <c r="N126" s="294"/>
      <c r="O126" s="13"/>
      <c r="P126" s="13"/>
      <c r="Q126" s="13"/>
      <c r="R126" s="13"/>
      <c r="S126" s="13"/>
      <c r="T126" s="13"/>
      <c r="U126" s="13"/>
      <c r="V126" s="13"/>
      <c r="W126" s="13"/>
      <c r="X126" s="13"/>
      <c r="Y126" s="13"/>
      <c r="Z126" s="13"/>
    </row>
    <row r="127" spans="1:26" ht="13.5" customHeight="1">
      <c r="A127" s="13"/>
      <c r="B127" s="13"/>
      <c r="C127" s="13"/>
      <c r="D127" s="13"/>
      <c r="E127" s="13"/>
      <c r="F127" s="13"/>
      <c r="G127" s="13"/>
      <c r="H127" s="13"/>
      <c r="I127" s="13"/>
      <c r="J127" s="13"/>
      <c r="K127" s="13"/>
      <c r="L127" s="13"/>
      <c r="M127" s="28"/>
      <c r="N127" s="294"/>
      <c r="O127" s="13"/>
      <c r="P127" s="13"/>
      <c r="Q127" s="13"/>
      <c r="R127" s="13"/>
      <c r="S127" s="13"/>
      <c r="T127" s="13"/>
      <c r="U127" s="13"/>
      <c r="V127" s="13"/>
      <c r="W127" s="13"/>
      <c r="X127" s="13"/>
      <c r="Y127" s="13"/>
      <c r="Z127" s="13"/>
    </row>
    <row r="128" spans="1:26" ht="13.5" customHeight="1">
      <c r="A128" s="13"/>
      <c r="B128" s="13"/>
      <c r="C128" s="13"/>
      <c r="D128" s="13"/>
      <c r="E128" s="13"/>
      <c r="F128" s="13"/>
      <c r="G128" s="13"/>
      <c r="H128" s="13"/>
      <c r="I128" s="13"/>
      <c r="J128" s="13"/>
      <c r="K128" s="13"/>
      <c r="L128" s="13"/>
      <c r="M128" s="28"/>
      <c r="N128" s="294"/>
      <c r="O128" s="13"/>
      <c r="P128" s="13"/>
      <c r="Q128" s="13"/>
      <c r="R128" s="13"/>
      <c r="S128" s="13"/>
      <c r="T128" s="13"/>
      <c r="U128" s="13"/>
      <c r="V128" s="13"/>
      <c r="W128" s="13"/>
      <c r="X128" s="13"/>
      <c r="Y128" s="13"/>
      <c r="Z128" s="13"/>
    </row>
    <row r="129" spans="1:26" ht="13.5" customHeight="1">
      <c r="A129" s="13"/>
      <c r="B129" s="13"/>
      <c r="C129" s="13"/>
      <c r="D129" s="13"/>
      <c r="E129" s="13"/>
      <c r="F129" s="13"/>
      <c r="G129" s="13"/>
      <c r="H129" s="13"/>
      <c r="I129" s="13"/>
      <c r="J129" s="13"/>
      <c r="K129" s="13"/>
      <c r="L129" s="13"/>
      <c r="M129" s="28"/>
      <c r="N129" s="294"/>
      <c r="O129" s="13"/>
      <c r="P129" s="13"/>
      <c r="Q129" s="13"/>
      <c r="R129" s="13"/>
      <c r="S129" s="13"/>
      <c r="T129" s="13"/>
      <c r="U129" s="13"/>
      <c r="V129" s="13"/>
      <c r="W129" s="13"/>
      <c r="X129" s="13"/>
      <c r="Y129" s="13"/>
      <c r="Z129" s="13"/>
    </row>
    <row r="130" spans="1:26" ht="13.5" customHeight="1">
      <c r="A130" s="13"/>
      <c r="B130" s="13"/>
      <c r="C130" s="13"/>
      <c r="D130" s="13"/>
      <c r="E130" s="13"/>
      <c r="F130" s="13"/>
      <c r="G130" s="13"/>
      <c r="H130" s="13"/>
      <c r="I130" s="13"/>
      <c r="J130" s="13"/>
      <c r="K130" s="13"/>
      <c r="L130" s="13"/>
      <c r="M130" s="28"/>
      <c r="N130" s="294"/>
      <c r="O130" s="13"/>
      <c r="P130" s="13"/>
      <c r="Q130" s="13"/>
      <c r="R130" s="13"/>
      <c r="S130" s="13"/>
      <c r="T130" s="13"/>
      <c r="U130" s="13"/>
      <c r="V130" s="13"/>
      <c r="W130" s="13"/>
      <c r="X130" s="13"/>
      <c r="Y130" s="13"/>
      <c r="Z130" s="13"/>
    </row>
    <row r="131" spans="1:26" ht="13.5" customHeight="1">
      <c r="A131" s="13"/>
      <c r="B131" s="13"/>
      <c r="C131" s="13"/>
      <c r="D131" s="13"/>
      <c r="E131" s="13"/>
      <c r="F131" s="13"/>
      <c r="G131" s="13"/>
      <c r="H131" s="13"/>
      <c r="I131" s="13"/>
      <c r="J131" s="13"/>
      <c r="K131" s="13"/>
      <c r="L131" s="13"/>
      <c r="M131" s="28"/>
      <c r="N131" s="294"/>
      <c r="O131" s="13"/>
      <c r="P131" s="13"/>
      <c r="Q131" s="13"/>
      <c r="R131" s="13"/>
      <c r="S131" s="13"/>
      <c r="T131" s="13"/>
      <c r="U131" s="13"/>
      <c r="V131" s="13"/>
      <c r="W131" s="13"/>
      <c r="X131" s="13"/>
      <c r="Y131" s="13"/>
      <c r="Z131" s="13"/>
    </row>
    <row r="132" spans="1:26" ht="13.5" customHeight="1">
      <c r="A132" s="13"/>
      <c r="B132" s="13"/>
      <c r="C132" s="598"/>
      <c r="D132" s="27"/>
      <c r="E132" s="13"/>
      <c r="F132" s="13"/>
      <c r="G132" s="13"/>
      <c r="H132" s="13"/>
      <c r="I132" s="13"/>
      <c r="J132" s="13"/>
      <c r="K132" s="13"/>
      <c r="L132" s="13"/>
      <c r="M132" s="28"/>
      <c r="N132" s="294"/>
      <c r="O132" s="13"/>
      <c r="P132" s="13"/>
      <c r="Q132" s="13"/>
      <c r="R132" s="13"/>
      <c r="S132" s="13"/>
      <c r="T132" s="13"/>
      <c r="U132" s="13"/>
      <c r="V132" s="13"/>
      <c r="W132" s="13"/>
      <c r="X132" s="13"/>
      <c r="Y132" s="13"/>
      <c r="Z132" s="13"/>
    </row>
    <row r="133" spans="1:26" ht="13.5" customHeight="1">
      <c r="A133" s="13"/>
      <c r="B133" s="13"/>
      <c r="C133" s="13"/>
      <c r="D133" s="13"/>
      <c r="E133" s="13"/>
      <c r="F133" s="13"/>
      <c r="G133" s="13"/>
      <c r="H133" s="13"/>
      <c r="I133" s="13"/>
      <c r="J133" s="13"/>
      <c r="K133" s="13"/>
      <c r="L133" s="13"/>
      <c r="M133" s="28"/>
      <c r="N133" s="294"/>
      <c r="O133" s="13"/>
      <c r="P133" s="13"/>
      <c r="Q133" s="13"/>
      <c r="R133" s="13"/>
      <c r="S133" s="13"/>
      <c r="T133" s="13"/>
      <c r="U133" s="13"/>
      <c r="V133" s="13"/>
      <c r="W133" s="13"/>
      <c r="X133" s="13"/>
      <c r="Y133" s="13"/>
      <c r="Z133" s="13"/>
    </row>
    <row r="134" spans="1:26" ht="13.5" customHeight="1">
      <c r="A134" s="13"/>
      <c r="B134" s="13"/>
      <c r="C134" s="13"/>
      <c r="D134" s="13"/>
      <c r="E134" s="13"/>
      <c r="F134" s="13"/>
      <c r="G134" s="13"/>
      <c r="H134" s="13"/>
      <c r="I134" s="13"/>
      <c r="J134" s="13"/>
      <c r="K134" s="13"/>
      <c r="L134" s="13"/>
      <c r="M134" s="28"/>
      <c r="N134" s="294"/>
      <c r="O134" s="13"/>
      <c r="P134" s="13"/>
      <c r="Q134" s="13"/>
      <c r="R134" s="13"/>
      <c r="S134" s="13"/>
      <c r="T134" s="13"/>
      <c r="U134" s="13"/>
      <c r="V134" s="13"/>
      <c r="W134" s="13"/>
      <c r="X134" s="13"/>
      <c r="Y134" s="13"/>
      <c r="Z134" s="13"/>
    </row>
    <row r="135" spans="1:26" ht="13.5" customHeight="1">
      <c r="A135" s="13"/>
      <c r="B135" s="13"/>
      <c r="C135" s="13"/>
      <c r="D135" s="13"/>
      <c r="E135" s="13"/>
      <c r="F135" s="13"/>
      <c r="G135" s="13"/>
      <c r="H135" s="13"/>
      <c r="I135" s="13"/>
      <c r="J135" s="13"/>
      <c r="K135" s="13"/>
      <c r="L135" s="13"/>
      <c r="M135" s="28"/>
      <c r="N135" s="294"/>
      <c r="O135" s="13"/>
      <c r="P135" s="13"/>
      <c r="Q135" s="13"/>
      <c r="R135" s="13"/>
      <c r="S135" s="13"/>
      <c r="T135" s="13"/>
      <c r="U135" s="13"/>
      <c r="V135" s="13"/>
      <c r="W135" s="13"/>
      <c r="X135" s="13"/>
      <c r="Y135" s="13"/>
      <c r="Z135" s="13"/>
    </row>
    <row r="136" spans="1:26" ht="13.5" customHeight="1">
      <c r="A136" s="13"/>
      <c r="B136" s="13"/>
      <c r="C136" s="13"/>
      <c r="D136" s="13"/>
      <c r="E136" s="13"/>
      <c r="F136" s="13"/>
      <c r="G136" s="13"/>
      <c r="H136" s="13"/>
      <c r="I136" s="13"/>
      <c r="J136" s="13"/>
      <c r="K136" s="13"/>
      <c r="L136" s="13"/>
      <c r="M136" s="28"/>
      <c r="N136" s="294"/>
      <c r="O136" s="13"/>
      <c r="P136" s="13"/>
      <c r="Q136" s="13"/>
      <c r="R136" s="13"/>
      <c r="S136" s="13"/>
      <c r="T136" s="13"/>
      <c r="U136" s="13"/>
      <c r="V136" s="13"/>
      <c r="W136" s="13"/>
      <c r="X136" s="13"/>
      <c r="Y136" s="13"/>
      <c r="Z136" s="13"/>
    </row>
    <row r="137" spans="1:26" ht="13.5" customHeight="1">
      <c r="A137" s="13"/>
      <c r="B137" s="13"/>
      <c r="C137" s="13"/>
      <c r="D137" s="13"/>
      <c r="E137" s="13"/>
      <c r="F137" s="13"/>
      <c r="G137" s="13"/>
      <c r="H137" s="13"/>
      <c r="I137" s="13"/>
      <c r="J137" s="13"/>
      <c r="K137" s="13"/>
      <c r="L137" s="13"/>
      <c r="M137" s="28"/>
      <c r="N137" s="294"/>
      <c r="O137" s="13"/>
      <c r="P137" s="13"/>
      <c r="Q137" s="13"/>
      <c r="R137" s="13"/>
      <c r="S137" s="13"/>
      <c r="T137" s="13"/>
      <c r="U137" s="13"/>
      <c r="V137" s="13"/>
      <c r="W137" s="13"/>
      <c r="X137" s="13"/>
      <c r="Y137" s="13"/>
      <c r="Z137" s="13"/>
    </row>
    <row r="138" spans="1:26" ht="13.5" customHeight="1">
      <c r="A138" s="13"/>
      <c r="B138" s="13"/>
      <c r="C138" s="13"/>
      <c r="D138" s="13"/>
      <c r="E138" s="13"/>
      <c r="F138" s="13"/>
      <c r="G138" s="13"/>
      <c r="H138" s="13"/>
      <c r="I138" s="13"/>
      <c r="J138" s="13"/>
      <c r="K138" s="13"/>
      <c r="L138" s="13"/>
      <c r="M138" s="28"/>
      <c r="N138" s="294"/>
      <c r="O138" s="13"/>
      <c r="P138" s="13"/>
      <c r="Q138" s="13"/>
      <c r="R138" s="13"/>
      <c r="S138" s="13"/>
      <c r="T138" s="13"/>
      <c r="U138" s="13"/>
      <c r="V138" s="13"/>
      <c r="W138" s="13"/>
      <c r="X138" s="13"/>
      <c r="Y138" s="13"/>
      <c r="Z138" s="13"/>
    </row>
    <row r="139" spans="1:26" ht="13.5" customHeight="1">
      <c r="A139" s="13"/>
      <c r="B139" s="13"/>
      <c r="C139" s="13"/>
      <c r="D139" s="13"/>
      <c r="E139" s="13"/>
      <c r="F139" s="13"/>
      <c r="G139" s="13"/>
      <c r="H139" s="13"/>
      <c r="I139" s="13"/>
      <c r="J139" s="13"/>
      <c r="K139" s="13"/>
      <c r="L139" s="13"/>
      <c r="M139" s="28"/>
      <c r="N139" s="294"/>
      <c r="O139" s="13"/>
      <c r="P139" s="13"/>
      <c r="Q139" s="13"/>
      <c r="R139" s="13"/>
      <c r="S139" s="13"/>
      <c r="T139" s="13"/>
      <c r="U139" s="13"/>
      <c r="V139" s="13"/>
      <c r="W139" s="13"/>
      <c r="X139" s="13"/>
      <c r="Y139" s="13"/>
      <c r="Z139" s="13"/>
    </row>
    <row r="140" spans="1:26" ht="13.5" customHeight="1">
      <c r="A140" s="13"/>
      <c r="B140" s="13"/>
      <c r="C140" s="13"/>
      <c r="D140" s="13"/>
      <c r="E140" s="13"/>
      <c r="F140" s="13"/>
      <c r="G140" s="13"/>
      <c r="H140" s="13"/>
      <c r="I140" s="13"/>
      <c r="J140" s="13"/>
      <c r="K140" s="13"/>
      <c r="L140" s="13"/>
      <c r="M140" s="28"/>
      <c r="N140" s="294"/>
      <c r="O140" s="13"/>
      <c r="P140" s="13"/>
      <c r="Q140" s="13"/>
      <c r="R140" s="13"/>
      <c r="S140" s="13"/>
      <c r="T140" s="13"/>
      <c r="U140" s="13"/>
      <c r="V140" s="13"/>
      <c r="W140" s="13"/>
      <c r="X140" s="13"/>
      <c r="Y140" s="13"/>
      <c r="Z140" s="13"/>
    </row>
    <row r="141" spans="1:26" ht="13.5" customHeight="1">
      <c r="A141" s="13"/>
      <c r="B141" s="13"/>
      <c r="C141" s="13"/>
      <c r="D141" s="13"/>
      <c r="E141" s="13"/>
      <c r="F141" s="13"/>
      <c r="G141" s="13"/>
      <c r="H141" s="13"/>
      <c r="I141" s="13"/>
      <c r="J141" s="13"/>
      <c r="K141" s="13"/>
      <c r="L141" s="13"/>
      <c r="M141" s="28"/>
      <c r="N141" s="294"/>
      <c r="O141" s="13"/>
      <c r="P141" s="13"/>
      <c r="Q141" s="13"/>
      <c r="R141" s="13"/>
      <c r="S141" s="13"/>
      <c r="T141" s="13"/>
      <c r="U141" s="13"/>
      <c r="V141" s="13"/>
      <c r="W141" s="13"/>
      <c r="X141" s="13"/>
      <c r="Y141" s="13"/>
      <c r="Z141" s="13"/>
    </row>
    <row r="142" spans="1:26" ht="13.5" customHeight="1">
      <c r="A142" s="13"/>
      <c r="B142" s="13"/>
      <c r="C142" s="13"/>
      <c r="D142" s="13"/>
      <c r="E142" s="13"/>
      <c r="F142" s="13"/>
      <c r="G142" s="13"/>
      <c r="H142" s="13"/>
      <c r="I142" s="13"/>
      <c r="J142" s="13"/>
      <c r="K142" s="13"/>
      <c r="L142" s="13"/>
      <c r="M142" s="28"/>
      <c r="N142" s="294"/>
      <c r="O142" s="13"/>
      <c r="P142" s="13"/>
      <c r="Q142" s="13"/>
      <c r="R142" s="13"/>
      <c r="S142" s="13"/>
      <c r="T142" s="13"/>
      <c r="U142" s="13"/>
      <c r="V142" s="13"/>
      <c r="W142" s="13"/>
      <c r="X142" s="13"/>
      <c r="Y142" s="13"/>
      <c r="Z142" s="13"/>
    </row>
    <row r="143" spans="1:26" ht="13.5" customHeight="1">
      <c r="A143" s="13"/>
      <c r="B143" s="13"/>
      <c r="C143" s="13"/>
      <c r="D143" s="13"/>
      <c r="E143" s="13"/>
      <c r="F143" s="13"/>
      <c r="G143" s="13"/>
      <c r="H143" s="13"/>
      <c r="I143" s="13"/>
      <c r="J143" s="13"/>
      <c r="K143" s="13"/>
      <c r="L143" s="13"/>
      <c r="M143" s="28"/>
      <c r="N143" s="294"/>
      <c r="O143" s="13"/>
      <c r="P143" s="13"/>
      <c r="Q143" s="13"/>
      <c r="R143" s="13"/>
      <c r="S143" s="13"/>
      <c r="T143" s="13"/>
      <c r="U143" s="13"/>
      <c r="V143" s="13"/>
      <c r="W143" s="13"/>
      <c r="X143" s="13"/>
      <c r="Y143" s="13"/>
      <c r="Z143" s="13"/>
    </row>
    <row r="144" spans="1:26" ht="13.5" customHeight="1">
      <c r="A144" s="13"/>
      <c r="B144" s="13"/>
      <c r="C144" s="13"/>
      <c r="D144" s="13"/>
      <c r="E144" s="13"/>
      <c r="F144" s="13"/>
      <c r="G144" s="13"/>
      <c r="H144" s="13"/>
      <c r="I144" s="13"/>
      <c r="J144" s="13"/>
      <c r="K144" s="13"/>
      <c r="L144" s="13"/>
      <c r="M144" s="28"/>
      <c r="N144" s="294"/>
      <c r="O144" s="13"/>
      <c r="P144" s="13"/>
      <c r="Q144" s="13"/>
      <c r="R144" s="13"/>
      <c r="S144" s="13"/>
      <c r="T144" s="13"/>
      <c r="U144" s="13"/>
      <c r="V144" s="13"/>
      <c r="W144" s="13"/>
      <c r="X144" s="13"/>
      <c r="Y144" s="13"/>
      <c r="Z144" s="13"/>
    </row>
    <row r="145" spans="1:26" ht="13.5" customHeight="1">
      <c r="A145" s="13"/>
      <c r="B145" s="13"/>
      <c r="C145" s="13"/>
      <c r="D145" s="13"/>
      <c r="E145" s="13"/>
      <c r="F145" s="13"/>
      <c r="G145" s="13"/>
      <c r="H145" s="13"/>
      <c r="I145" s="13"/>
      <c r="J145" s="13"/>
      <c r="K145" s="13"/>
      <c r="L145" s="13"/>
      <c r="M145" s="28"/>
      <c r="N145" s="294"/>
      <c r="O145" s="13"/>
      <c r="P145" s="13"/>
      <c r="Q145" s="13"/>
      <c r="R145" s="13"/>
      <c r="S145" s="13"/>
      <c r="T145" s="13"/>
      <c r="U145" s="13"/>
      <c r="V145" s="13"/>
      <c r="W145" s="13"/>
      <c r="X145" s="13"/>
      <c r="Y145" s="13"/>
      <c r="Z145" s="13"/>
    </row>
    <row r="146" spans="1:26" ht="13.5" customHeight="1">
      <c r="A146" s="13"/>
      <c r="B146" s="13"/>
      <c r="C146" s="13"/>
      <c r="D146" s="13"/>
      <c r="E146" s="13"/>
      <c r="F146" s="13"/>
      <c r="G146" s="13"/>
      <c r="H146" s="13"/>
      <c r="I146" s="13"/>
      <c r="J146" s="13"/>
      <c r="K146" s="13"/>
      <c r="L146" s="13"/>
      <c r="M146" s="28"/>
      <c r="N146" s="294"/>
      <c r="O146" s="13"/>
      <c r="P146" s="13"/>
      <c r="Q146" s="13"/>
      <c r="R146" s="13"/>
      <c r="S146" s="13"/>
      <c r="T146" s="13"/>
      <c r="U146" s="13"/>
      <c r="V146" s="13"/>
      <c r="W146" s="13"/>
      <c r="X146" s="13"/>
      <c r="Y146" s="13"/>
      <c r="Z146" s="13"/>
    </row>
    <row r="147" spans="1:26" ht="13.5" customHeight="1">
      <c r="A147" s="13"/>
      <c r="B147" s="13"/>
      <c r="C147" s="13"/>
      <c r="D147" s="13"/>
      <c r="E147" s="13"/>
      <c r="F147" s="13"/>
      <c r="G147" s="13"/>
      <c r="H147" s="13"/>
      <c r="I147" s="13"/>
      <c r="J147" s="13"/>
      <c r="K147" s="13"/>
      <c r="L147" s="13"/>
      <c r="M147" s="28"/>
      <c r="N147" s="294"/>
      <c r="O147" s="13"/>
      <c r="P147" s="13"/>
      <c r="Q147" s="13"/>
      <c r="R147" s="13"/>
      <c r="S147" s="13"/>
      <c r="T147" s="13"/>
      <c r="U147" s="13"/>
      <c r="V147" s="13"/>
      <c r="W147" s="13"/>
      <c r="X147" s="13"/>
      <c r="Y147" s="13"/>
      <c r="Z147" s="13"/>
    </row>
    <row r="148" spans="1:26" ht="13.5" customHeight="1">
      <c r="A148" s="13"/>
      <c r="B148" s="13"/>
      <c r="C148" s="13"/>
      <c r="D148" s="13"/>
      <c r="E148" s="13"/>
      <c r="F148" s="13"/>
      <c r="G148" s="13"/>
      <c r="H148" s="13"/>
      <c r="I148" s="13"/>
      <c r="J148" s="13"/>
      <c r="K148" s="13"/>
      <c r="L148" s="13"/>
      <c r="M148" s="28"/>
      <c r="N148" s="294"/>
      <c r="O148" s="13"/>
      <c r="P148" s="13"/>
      <c r="Q148" s="13"/>
      <c r="R148" s="13"/>
      <c r="S148" s="13"/>
      <c r="T148" s="13"/>
      <c r="U148" s="13"/>
      <c r="V148" s="13"/>
      <c r="W148" s="13"/>
      <c r="X148" s="13"/>
      <c r="Y148" s="13"/>
      <c r="Z148" s="13"/>
    </row>
    <row r="149" spans="1:26" ht="13.5" customHeight="1">
      <c r="A149" s="13"/>
      <c r="B149" s="13"/>
      <c r="C149" s="13"/>
      <c r="D149" s="13"/>
      <c r="E149" s="13"/>
      <c r="F149" s="13"/>
      <c r="G149" s="13"/>
      <c r="H149" s="13"/>
      <c r="I149" s="13"/>
      <c r="J149" s="13"/>
      <c r="K149" s="13"/>
      <c r="L149" s="13"/>
      <c r="M149" s="28"/>
      <c r="N149" s="294"/>
      <c r="O149" s="13"/>
      <c r="P149" s="13"/>
      <c r="Q149" s="13"/>
      <c r="R149" s="13"/>
      <c r="S149" s="13"/>
      <c r="T149" s="13"/>
      <c r="U149" s="13"/>
      <c r="V149" s="13"/>
      <c r="W149" s="13"/>
      <c r="X149" s="13"/>
      <c r="Y149" s="13"/>
      <c r="Z149" s="13"/>
    </row>
    <row r="150" spans="1:26" ht="13.5" customHeight="1">
      <c r="A150" s="13"/>
      <c r="B150" s="13"/>
      <c r="C150" s="13"/>
      <c r="D150" s="13"/>
      <c r="E150" s="13"/>
      <c r="F150" s="13"/>
      <c r="G150" s="13"/>
      <c r="H150" s="13"/>
      <c r="I150" s="13"/>
      <c r="J150" s="13"/>
      <c r="K150" s="13"/>
      <c r="L150" s="13"/>
      <c r="M150" s="28"/>
      <c r="N150" s="294"/>
      <c r="O150" s="13"/>
      <c r="P150" s="13"/>
      <c r="Q150" s="13"/>
      <c r="R150" s="13"/>
      <c r="S150" s="13"/>
      <c r="T150" s="13"/>
      <c r="U150" s="13"/>
      <c r="V150" s="13"/>
      <c r="W150" s="13"/>
      <c r="X150" s="13"/>
      <c r="Y150" s="13"/>
      <c r="Z150" s="13"/>
    </row>
    <row r="151" spans="1:26" ht="13.5" customHeight="1">
      <c r="A151" s="13"/>
      <c r="B151" s="13"/>
      <c r="C151" s="13"/>
      <c r="D151" s="13"/>
      <c r="E151" s="13"/>
      <c r="F151" s="13"/>
      <c r="G151" s="13"/>
      <c r="H151" s="13"/>
      <c r="I151" s="13"/>
      <c r="J151" s="13"/>
      <c r="K151" s="13"/>
      <c r="L151" s="13"/>
      <c r="M151" s="28"/>
      <c r="N151" s="294"/>
      <c r="O151" s="13"/>
      <c r="P151" s="13"/>
      <c r="Q151" s="13"/>
      <c r="R151" s="13"/>
      <c r="S151" s="13"/>
      <c r="T151" s="13"/>
      <c r="U151" s="13"/>
      <c r="V151" s="13"/>
      <c r="W151" s="13"/>
      <c r="X151" s="13"/>
      <c r="Y151" s="13"/>
      <c r="Z151" s="13"/>
    </row>
    <row r="152" spans="1:26" ht="13.5" customHeight="1">
      <c r="A152" s="13"/>
      <c r="B152" s="13"/>
      <c r="C152" s="13"/>
      <c r="D152" s="13"/>
      <c r="E152" s="13"/>
      <c r="F152" s="13"/>
      <c r="G152" s="13"/>
      <c r="H152" s="13"/>
      <c r="I152" s="13"/>
      <c r="J152" s="13"/>
      <c r="K152" s="13"/>
      <c r="L152" s="13"/>
      <c r="M152" s="28"/>
      <c r="N152" s="294"/>
      <c r="O152" s="13"/>
      <c r="P152" s="13"/>
      <c r="Q152" s="13"/>
      <c r="R152" s="13"/>
      <c r="S152" s="13"/>
      <c r="T152" s="13"/>
      <c r="U152" s="13"/>
      <c r="V152" s="13"/>
      <c r="W152" s="13"/>
      <c r="X152" s="13"/>
      <c r="Y152" s="13"/>
      <c r="Z152" s="13"/>
    </row>
    <row r="153" spans="1:26" ht="13.5" customHeight="1">
      <c r="A153" s="13"/>
      <c r="B153" s="13"/>
      <c r="C153" s="13"/>
      <c r="D153" s="13"/>
      <c r="E153" s="13"/>
      <c r="F153" s="13"/>
      <c r="G153" s="13"/>
      <c r="H153" s="13"/>
      <c r="I153" s="13"/>
      <c r="J153" s="13"/>
      <c r="K153" s="13"/>
      <c r="L153" s="13"/>
      <c r="M153" s="28"/>
      <c r="N153" s="294"/>
      <c r="O153" s="13"/>
      <c r="P153" s="13"/>
      <c r="Q153" s="13"/>
      <c r="R153" s="13"/>
      <c r="S153" s="13"/>
      <c r="T153" s="13"/>
      <c r="U153" s="13"/>
      <c r="V153" s="13"/>
      <c r="W153" s="13"/>
      <c r="X153" s="13"/>
      <c r="Y153" s="13"/>
      <c r="Z153" s="13"/>
    </row>
    <row r="154" spans="1:26" ht="13.5" customHeight="1">
      <c r="A154" s="13"/>
      <c r="B154" s="13"/>
      <c r="C154" s="13"/>
      <c r="D154" s="13"/>
      <c r="E154" s="13"/>
      <c r="F154" s="13"/>
      <c r="G154" s="13"/>
      <c r="H154" s="13"/>
      <c r="I154" s="13"/>
      <c r="J154" s="13"/>
      <c r="K154" s="13"/>
      <c r="L154" s="13"/>
      <c r="M154" s="28"/>
      <c r="N154" s="294"/>
      <c r="O154" s="13"/>
      <c r="P154" s="13"/>
      <c r="Q154" s="13"/>
      <c r="R154" s="13"/>
      <c r="S154" s="13"/>
      <c r="T154" s="13"/>
      <c r="U154" s="13"/>
      <c r="V154" s="13"/>
      <c r="W154" s="13"/>
      <c r="X154" s="13"/>
      <c r="Y154" s="13"/>
      <c r="Z154" s="13"/>
    </row>
    <row r="155" spans="1:26" ht="13.5" customHeight="1">
      <c r="A155" s="13"/>
      <c r="B155" s="13"/>
      <c r="C155" s="13"/>
      <c r="D155" s="13"/>
      <c r="E155" s="13"/>
      <c r="F155" s="13"/>
      <c r="G155" s="13"/>
      <c r="H155" s="13"/>
      <c r="I155" s="13"/>
      <c r="J155" s="13"/>
      <c r="K155" s="13"/>
      <c r="L155" s="13"/>
      <c r="M155" s="28"/>
      <c r="N155" s="294"/>
      <c r="O155" s="13"/>
      <c r="P155" s="13"/>
      <c r="Q155" s="13"/>
      <c r="R155" s="13"/>
      <c r="S155" s="13"/>
      <c r="T155" s="13"/>
      <c r="U155" s="13"/>
      <c r="V155" s="13"/>
      <c r="W155" s="13"/>
      <c r="X155" s="13"/>
      <c r="Y155" s="13"/>
      <c r="Z155" s="13"/>
    </row>
    <row r="156" spans="1:26" ht="13.5" customHeight="1">
      <c r="A156" s="13"/>
      <c r="B156" s="13"/>
      <c r="C156" s="13"/>
      <c r="D156" s="13"/>
      <c r="E156" s="13"/>
      <c r="F156" s="13"/>
      <c r="G156" s="13"/>
      <c r="H156" s="13"/>
      <c r="I156" s="13"/>
      <c r="J156" s="13"/>
      <c r="K156" s="13"/>
      <c r="L156" s="13"/>
      <c r="M156" s="28"/>
      <c r="N156" s="294"/>
      <c r="O156" s="13"/>
      <c r="P156" s="13"/>
      <c r="Q156" s="13"/>
      <c r="R156" s="13"/>
      <c r="S156" s="13"/>
      <c r="T156" s="13"/>
      <c r="U156" s="13"/>
      <c r="V156" s="13"/>
      <c r="W156" s="13"/>
      <c r="X156" s="13"/>
      <c r="Y156" s="13"/>
      <c r="Z156" s="13"/>
    </row>
    <row r="157" spans="1:26" ht="13.5" customHeight="1">
      <c r="A157" s="13"/>
      <c r="B157" s="13"/>
      <c r="C157" s="13"/>
      <c r="D157" s="13"/>
      <c r="E157" s="13"/>
      <c r="F157" s="13"/>
      <c r="G157" s="13"/>
      <c r="H157" s="13"/>
      <c r="I157" s="13"/>
      <c r="J157" s="13"/>
      <c r="K157" s="13"/>
      <c r="L157" s="13"/>
      <c r="M157" s="28"/>
      <c r="N157" s="294"/>
      <c r="O157" s="13"/>
      <c r="P157" s="13"/>
      <c r="Q157" s="13"/>
      <c r="R157" s="13"/>
      <c r="S157" s="13"/>
      <c r="T157" s="13"/>
      <c r="U157" s="13"/>
      <c r="V157" s="13"/>
      <c r="W157" s="13"/>
      <c r="X157" s="13"/>
      <c r="Y157" s="13"/>
      <c r="Z157" s="13"/>
    </row>
    <row r="158" spans="1:26" ht="13.5" customHeight="1">
      <c r="A158" s="13"/>
      <c r="B158" s="13"/>
      <c r="C158" s="13"/>
      <c r="D158" s="13"/>
      <c r="E158" s="13"/>
      <c r="F158" s="13"/>
      <c r="G158" s="13"/>
      <c r="H158" s="13"/>
      <c r="I158" s="13"/>
      <c r="J158" s="13"/>
      <c r="K158" s="13"/>
      <c r="L158" s="13"/>
      <c r="M158" s="28"/>
      <c r="N158" s="294"/>
      <c r="O158" s="13"/>
      <c r="P158" s="13"/>
      <c r="Q158" s="13"/>
      <c r="R158" s="13"/>
      <c r="S158" s="13"/>
      <c r="T158" s="13"/>
      <c r="U158" s="13"/>
      <c r="V158" s="13"/>
      <c r="W158" s="13"/>
      <c r="X158" s="13"/>
      <c r="Y158" s="13"/>
      <c r="Z158" s="13"/>
    </row>
    <row r="159" spans="1:26" ht="13.5" customHeight="1">
      <c r="A159" s="13"/>
      <c r="B159" s="13"/>
      <c r="C159" s="13"/>
      <c r="D159" s="13"/>
      <c r="E159" s="13"/>
      <c r="F159" s="13"/>
      <c r="G159" s="13"/>
      <c r="H159" s="13"/>
      <c r="I159" s="13"/>
      <c r="J159" s="13"/>
      <c r="K159" s="13"/>
      <c r="L159" s="13"/>
      <c r="M159" s="28"/>
      <c r="N159" s="294"/>
      <c r="O159" s="13"/>
      <c r="P159" s="13"/>
      <c r="Q159" s="13"/>
      <c r="R159" s="13"/>
      <c r="S159" s="13"/>
      <c r="T159" s="13"/>
      <c r="U159" s="13"/>
      <c r="V159" s="13"/>
      <c r="W159" s="13"/>
      <c r="X159" s="13"/>
      <c r="Y159" s="13"/>
      <c r="Z159" s="13"/>
    </row>
    <row r="160" spans="1:26" ht="13.5" customHeight="1">
      <c r="A160" s="13"/>
      <c r="B160" s="13"/>
      <c r="C160" s="13"/>
      <c r="D160" s="13"/>
      <c r="E160" s="13"/>
      <c r="F160" s="13"/>
      <c r="G160" s="13"/>
      <c r="H160" s="13"/>
      <c r="I160" s="13"/>
      <c r="J160" s="13"/>
      <c r="K160" s="13"/>
      <c r="L160" s="13"/>
      <c r="M160" s="28"/>
      <c r="N160" s="294"/>
      <c r="O160" s="13"/>
      <c r="P160" s="13"/>
      <c r="Q160" s="13"/>
      <c r="R160" s="13"/>
      <c r="S160" s="13"/>
      <c r="T160" s="13"/>
      <c r="U160" s="13"/>
      <c r="V160" s="13"/>
      <c r="W160" s="13"/>
      <c r="X160" s="13"/>
      <c r="Y160" s="13"/>
      <c r="Z160" s="13"/>
    </row>
    <row r="161" spans="1:26" ht="13.5" customHeight="1">
      <c r="A161" s="13"/>
      <c r="B161" s="13"/>
      <c r="C161" s="13"/>
      <c r="D161" s="13"/>
      <c r="E161" s="13"/>
      <c r="F161" s="13"/>
      <c r="G161" s="13"/>
      <c r="H161" s="13"/>
      <c r="I161" s="13"/>
      <c r="J161" s="13"/>
      <c r="K161" s="13"/>
      <c r="L161" s="13"/>
      <c r="M161" s="28"/>
      <c r="N161" s="294"/>
      <c r="O161" s="13"/>
      <c r="P161" s="13"/>
      <c r="Q161" s="13"/>
      <c r="R161" s="13"/>
      <c r="S161" s="13"/>
      <c r="T161" s="13"/>
      <c r="U161" s="13"/>
      <c r="V161" s="13"/>
      <c r="W161" s="13"/>
      <c r="X161" s="13"/>
      <c r="Y161" s="13"/>
      <c r="Z161" s="13"/>
    </row>
    <row r="162" spans="1:26" ht="13.5" customHeight="1">
      <c r="A162" s="13"/>
      <c r="B162" s="13"/>
      <c r="C162" s="13"/>
      <c r="D162" s="13"/>
      <c r="E162" s="13"/>
      <c r="F162" s="13"/>
      <c r="G162" s="13"/>
      <c r="H162" s="13"/>
      <c r="I162" s="13"/>
      <c r="J162" s="13"/>
      <c r="K162" s="13"/>
      <c r="L162" s="13"/>
      <c r="M162" s="28"/>
      <c r="N162" s="294"/>
      <c r="O162" s="13"/>
      <c r="P162" s="13"/>
      <c r="Q162" s="13"/>
      <c r="R162" s="13"/>
      <c r="S162" s="13"/>
      <c r="T162" s="13"/>
      <c r="U162" s="13"/>
      <c r="V162" s="13"/>
      <c r="W162" s="13"/>
      <c r="X162" s="13"/>
      <c r="Y162" s="13"/>
      <c r="Z162" s="13"/>
    </row>
    <row r="163" spans="1:26" ht="13.5" customHeight="1">
      <c r="A163" s="13"/>
      <c r="B163" s="13"/>
      <c r="C163" s="13"/>
      <c r="D163" s="13"/>
      <c r="E163" s="13"/>
      <c r="F163" s="13"/>
      <c r="G163" s="13"/>
      <c r="H163" s="13"/>
      <c r="I163" s="13"/>
      <c r="J163" s="13"/>
      <c r="K163" s="13"/>
      <c r="L163" s="13"/>
      <c r="M163" s="28"/>
      <c r="N163" s="294"/>
      <c r="O163" s="13"/>
      <c r="P163" s="13"/>
      <c r="Q163" s="13"/>
      <c r="R163" s="13"/>
      <c r="S163" s="13"/>
      <c r="T163" s="13"/>
      <c r="U163" s="13"/>
      <c r="V163" s="13"/>
      <c r="W163" s="13"/>
      <c r="X163" s="13"/>
      <c r="Y163" s="13"/>
      <c r="Z163" s="13"/>
    </row>
    <row r="164" spans="1:26" ht="13.5" customHeight="1">
      <c r="A164" s="13"/>
      <c r="B164" s="13"/>
      <c r="C164" s="13"/>
      <c r="D164" s="13"/>
      <c r="E164" s="13"/>
      <c r="F164" s="13"/>
      <c r="G164" s="13"/>
      <c r="H164" s="13"/>
      <c r="I164" s="13"/>
      <c r="J164" s="13"/>
      <c r="K164" s="13"/>
      <c r="L164" s="13"/>
      <c r="M164" s="28"/>
      <c r="N164" s="294"/>
      <c r="O164" s="13"/>
      <c r="P164" s="13"/>
      <c r="Q164" s="13"/>
      <c r="R164" s="13"/>
      <c r="S164" s="13"/>
      <c r="T164" s="13"/>
      <c r="U164" s="13"/>
      <c r="V164" s="13"/>
      <c r="W164" s="13"/>
      <c r="X164" s="13"/>
      <c r="Y164" s="13"/>
      <c r="Z164" s="13"/>
    </row>
    <row r="165" spans="1:26" ht="13.5" customHeight="1">
      <c r="A165" s="13"/>
      <c r="B165" s="13"/>
      <c r="C165" s="13"/>
      <c r="D165" s="13"/>
      <c r="E165" s="13"/>
      <c r="F165" s="13"/>
      <c r="G165" s="13"/>
      <c r="H165" s="13"/>
      <c r="I165" s="13"/>
      <c r="J165" s="13"/>
      <c r="K165" s="13"/>
      <c r="L165" s="13"/>
      <c r="M165" s="28"/>
      <c r="N165" s="294"/>
      <c r="O165" s="13"/>
      <c r="P165" s="13"/>
      <c r="Q165" s="13"/>
      <c r="R165" s="13"/>
      <c r="S165" s="13"/>
      <c r="T165" s="13"/>
      <c r="U165" s="13"/>
      <c r="V165" s="13"/>
      <c r="W165" s="13"/>
      <c r="X165" s="13"/>
      <c r="Y165" s="13"/>
      <c r="Z165" s="13"/>
    </row>
    <row r="166" spans="1:26" ht="13.5" customHeight="1">
      <c r="A166" s="13"/>
      <c r="B166" s="13"/>
      <c r="C166" s="13"/>
      <c r="D166" s="13"/>
      <c r="E166" s="13"/>
      <c r="F166" s="13"/>
      <c r="G166" s="13"/>
      <c r="H166" s="13"/>
      <c r="I166" s="13"/>
      <c r="J166" s="13"/>
      <c r="K166" s="13"/>
      <c r="L166" s="13"/>
      <c r="M166" s="28"/>
      <c r="N166" s="294"/>
      <c r="O166" s="13"/>
      <c r="P166" s="13"/>
      <c r="Q166" s="13"/>
      <c r="R166" s="13"/>
      <c r="S166" s="13"/>
      <c r="T166" s="13"/>
      <c r="U166" s="13"/>
      <c r="V166" s="13"/>
      <c r="W166" s="13"/>
      <c r="X166" s="13"/>
      <c r="Y166" s="13"/>
      <c r="Z166" s="13"/>
    </row>
    <row r="167" spans="1:26" ht="13.5" customHeight="1">
      <c r="A167" s="13"/>
      <c r="B167" s="13"/>
      <c r="C167" s="13"/>
      <c r="D167" s="13"/>
      <c r="E167" s="13"/>
      <c r="F167" s="13"/>
      <c r="G167" s="13"/>
      <c r="H167" s="13"/>
      <c r="I167" s="13"/>
      <c r="J167" s="13"/>
      <c r="K167" s="13"/>
      <c r="L167" s="13"/>
      <c r="M167" s="28"/>
      <c r="N167" s="294"/>
      <c r="O167" s="13"/>
      <c r="P167" s="13"/>
      <c r="Q167" s="13"/>
      <c r="R167" s="13"/>
      <c r="S167" s="13"/>
      <c r="T167" s="13"/>
      <c r="U167" s="13"/>
      <c r="V167" s="13"/>
      <c r="W167" s="13"/>
      <c r="X167" s="13"/>
      <c r="Y167" s="13"/>
      <c r="Z167" s="13"/>
    </row>
    <row r="168" spans="1:26" ht="13.5" customHeight="1">
      <c r="A168" s="13"/>
      <c r="B168" s="13"/>
      <c r="C168" s="13"/>
      <c r="D168" s="13"/>
      <c r="E168" s="13"/>
      <c r="F168" s="13"/>
      <c r="G168" s="13"/>
      <c r="H168" s="13"/>
      <c r="I168" s="13"/>
      <c r="J168" s="13"/>
      <c r="K168" s="13"/>
      <c r="L168" s="13"/>
      <c r="M168" s="28"/>
      <c r="N168" s="294"/>
      <c r="O168" s="13"/>
      <c r="P168" s="13"/>
      <c r="Q168" s="13"/>
      <c r="R168" s="13"/>
      <c r="S168" s="13"/>
      <c r="T168" s="13"/>
      <c r="U168" s="13"/>
      <c r="V168" s="13"/>
      <c r="W168" s="13"/>
      <c r="X168" s="13"/>
      <c r="Y168" s="13"/>
      <c r="Z168" s="13"/>
    </row>
    <row r="169" spans="1:26" ht="13.5" customHeight="1">
      <c r="A169" s="13"/>
      <c r="B169" s="13"/>
      <c r="C169" s="13"/>
      <c r="D169" s="13"/>
      <c r="E169" s="13"/>
      <c r="F169" s="13"/>
      <c r="G169" s="13"/>
      <c r="H169" s="13"/>
      <c r="I169" s="13"/>
      <c r="J169" s="13"/>
      <c r="K169" s="13"/>
      <c r="L169" s="13"/>
      <c r="M169" s="28"/>
      <c r="N169" s="294"/>
      <c r="O169" s="13"/>
      <c r="P169" s="13"/>
      <c r="Q169" s="13"/>
      <c r="R169" s="13"/>
      <c r="S169" s="13"/>
      <c r="T169" s="13"/>
      <c r="U169" s="13"/>
      <c r="V169" s="13"/>
      <c r="W169" s="13"/>
      <c r="X169" s="13"/>
      <c r="Y169" s="13"/>
      <c r="Z169" s="13"/>
    </row>
    <row r="170" spans="1:26" ht="13.5" customHeight="1">
      <c r="A170" s="13"/>
      <c r="B170" s="13"/>
      <c r="C170" s="13"/>
      <c r="D170" s="13"/>
      <c r="E170" s="13"/>
      <c r="F170" s="13"/>
      <c r="G170" s="13"/>
      <c r="H170" s="13"/>
      <c r="I170" s="13"/>
      <c r="J170" s="13"/>
      <c r="K170" s="13"/>
      <c r="L170" s="13"/>
      <c r="M170" s="28"/>
      <c r="N170" s="294"/>
      <c r="O170" s="13"/>
      <c r="P170" s="13"/>
      <c r="Q170" s="13"/>
      <c r="R170" s="13"/>
      <c r="S170" s="13"/>
      <c r="T170" s="13"/>
      <c r="U170" s="13"/>
      <c r="V170" s="13"/>
      <c r="W170" s="13"/>
      <c r="X170" s="13"/>
      <c r="Y170" s="13"/>
      <c r="Z170" s="13"/>
    </row>
    <row r="171" spans="1:26" ht="13.5" customHeight="1">
      <c r="A171" s="13"/>
      <c r="B171" s="13"/>
      <c r="C171" s="13"/>
      <c r="D171" s="13"/>
      <c r="E171" s="13"/>
      <c r="F171" s="13"/>
      <c r="G171" s="13"/>
      <c r="H171" s="13"/>
      <c r="I171" s="13"/>
      <c r="J171" s="13"/>
      <c r="K171" s="13"/>
      <c r="L171" s="13"/>
      <c r="M171" s="28"/>
      <c r="N171" s="294"/>
      <c r="O171" s="13"/>
      <c r="P171" s="13"/>
      <c r="Q171" s="13"/>
      <c r="R171" s="13"/>
      <c r="S171" s="13"/>
      <c r="T171" s="13"/>
      <c r="U171" s="13"/>
      <c r="V171" s="13"/>
      <c r="W171" s="13"/>
      <c r="X171" s="13"/>
      <c r="Y171" s="13"/>
      <c r="Z171" s="13"/>
    </row>
    <row r="172" spans="1:26" ht="13.5" customHeight="1">
      <c r="A172" s="13"/>
      <c r="B172" s="13"/>
      <c r="C172" s="13"/>
      <c r="D172" s="13"/>
      <c r="E172" s="13"/>
      <c r="F172" s="13"/>
      <c r="G172" s="13"/>
      <c r="H172" s="13"/>
      <c r="I172" s="13"/>
      <c r="J172" s="13"/>
      <c r="K172" s="13"/>
      <c r="L172" s="13"/>
      <c r="M172" s="28"/>
      <c r="N172" s="294"/>
      <c r="O172" s="13"/>
      <c r="P172" s="13"/>
      <c r="Q172" s="13"/>
      <c r="R172" s="13"/>
      <c r="S172" s="13"/>
      <c r="T172" s="13"/>
      <c r="U172" s="13"/>
      <c r="V172" s="13"/>
      <c r="W172" s="13"/>
      <c r="X172" s="13"/>
      <c r="Y172" s="13"/>
      <c r="Z172" s="13"/>
    </row>
    <row r="173" spans="1:26" ht="13.5" customHeight="1">
      <c r="A173" s="13"/>
      <c r="B173" s="13"/>
      <c r="C173" s="13"/>
      <c r="D173" s="13"/>
      <c r="E173" s="13"/>
      <c r="F173" s="13"/>
      <c r="G173" s="13"/>
      <c r="H173" s="13"/>
      <c r="I173" s="13"/>
      <c r="J173" s="13"/>
      <c r="K173" s="13"/>
      <c r="L173" s="13"/>
      <c r="M173" s="28"/>
      <c r="N173" s="294"/>
      <c r="O173" s="13"/>
      <c r="P173" s="13"/>
      <c r="Q173" s="13"/>
      <c r="R173" s="13"/>
      <c r="S173" s="13"/>
      <c r="T173" s="13"/>
      <c r="U173" s="13"/>
      <c r="V173" s="13"/>
      <c r="W173" s="13"/>
      <c r="X173" s="13"/>
      <c r="Y173" s="13"/>
      <c r="Z173" s="13"/>
    </row>
    <row r="174" spans="1:26" ht="13.5" customHeight="1">
      <c r="A174" s="13"/>
      <c r="B174" s="13"/>
      <c r="C174" s="13"/>
      <c r="D174" s="13"/>
      <c r="E174" s="13"/>
      <c r="F174" s="13"/>
      <c r="G174" s="13"/>
      <c r="H174" s="13"/>
      <c r="I174" s="13"/>
      <c r="J174" s="13"/>
      <c r="K174" s="13"/>
      <c r="L174" s="13"/>
      <c r="M174" s="28"/>
      <c r="N174" s="294"/>
      <c r="O174" s="13"/>
      <c r="P174" s="13"/>
      <c r="Q174" s="13"/>
      <c r="R174" s="13"/>
      <c r="S174" s="13"/>
      <c r="T174" s="13"/>
      <c r="U174" s="13"/>
      <c r="V174" s="13"/>
      <c r="W174" s="13"/>
      <c r="X174" s="13"/>
      <c r="Y174" s="13"/>
      <c r="Z174" s="13"/>
    </row>
    <row r="175" spans="1:26" ht="13.5" customHeight="1">
      <c r="A175" s="13"/>
      <c r="B175" s="13"/>
      <c r="C175" s="13"/>
      <c r="D175" s="13"/>
      <c r="E175" s="13"/>
      <c r="F175" s="13"/>
      <c r="G175" s="13"/>
      <c r="H175" s="13"/>
      <c r="I175" s="13"/>
      <c r="J175" s="13"/>
      <c r="K175" s="13"/>
      <c r="L175" s="13"/>
      <c r="M175" s="28"/>
      <c r="N175" s="294"/>
      <c r="O175" s="13"/>
      <c r="P175" s="13"/>
      <c r="Q175" s="13"/>
      <c r="R175" s="13"/>
      <c r="S175" s="13"/>
      <c r="T175" s="13"/>
      <c r="U175" s="13"/>
      <c r="V175" s="13"/>
      <c r="W175" s="13"/>
      <c r="X175" s="13"/>
      <c r="Y175" s="13"/>
      <c r="Z175" s="13"/>
    </row>
    <row r="176" spans="1:26" ht="13.5" customHeight="1">
      <c r="A176" s="13"/>
      <c r="B176" s="13"/>
      <c r="C176" s="13"/>
      <c r="D176" s="13"/>
      <c r="E176" s="13"/>
      <c r="F176" s="13"/>
      <c r="G176" s="13"/>
      <c r="H176" s="13"/>
      <c r="I176" s="13"/>
      <c r="J176" s="13"/>
      <c r="K176" s="13"/>
      <c r="L176" s="13"/>
      <c r="M176" s="28"/>
      <c r="N176" s="294"/>
      <c r="O176" s="13"/>
      <c r="P176" s="13"/>
      <c r="Q176" s="13"/>
      <c r="R176" s="13"/>
      <c r="S176" s="13"/>
      <c r="T176" s="13"/>
      <c r="U176" s="13"/>
      <c r="V176" s="13"/>
      <c r="W176" s="13"/>
      <c r="X176" s="13"/>
      <c r="Y176" s="13"/>
      <c r="Z176" s="13"/>
    </row>
    <row r="177" spans="1:26" ht="13.5" customHeight="1">
      <c r="A177" s="13"/>
      <c r="B177" s="13"/>
      <c r="C177" s="13"/>
      <c r="D177" s="13"/>
      <c r="E177" s="13"/>
      <c r="F177" s="13"/>
      <c r="G177" s="13"/>
      <c r="H177" s="13"/>
      <c r="I177" s="13"/>
      <c r="J177" s="13"/>
      <c r="K177" s="13"/>
      <c r="L177" s="13"/>
      <c r="M177" s="28"/>
      <c r="N177" s="294"/>
      <c r="O177" s="13"/>
      <c r="P177" s="13"/>
      <c r="Q177" s="13"/>
      <c r="R177" s="13"/>
      <c r="S177" s="13"/>
      <c r="T177" s="13"/>
      <c r="U177" s="13"/>
      <c r="V177" s="13"/>
      <c r="W177" s="13"/>
      <c r="X177" s="13"/>
      <c r="Y177" s="13"/>
      <c r="Z177" s="13"/>
    </row>
    <row r="178" spans="1:26" ht="13.5" customHeight="1">
      <c r="A178" s="13"/>
      <c r="B178" s="13"/>
      <c r="C178" s="13"/>
      <c r="D178" s="13"/>
      <c r="E178" s="13"/>
      <c r="F178" s="13"/>
      <c r="G178" s="13"/>
      <c r="H178" s="13"/>
      <c r="I178" s="13"/>
      <c r="J178" s="13"/>
      <c r="K178" s="13"/>
      <c r="L178" s="13"/>
      <c r="M178" s="28"/>
      <c r="N178" s="294"/>
      <c r="O178" s="13"/>
      <c r="P178" s="13"/>
      <c r="Q178" s="13"/>
      <c r="R178" s="13"/>
      <c r="S178" s="13"/>
      <c r="T178" s="13"/>
      <c r="U178" s="13"/>
      <c r="V178" s="13"/>
      <c r="W178" s="13"/>
      <c r="X178" s="13"/>
      <c r="Y178" s="13"/>
      <c r="Z178" s="13"/>
    </row>
    <row r="179" spans="1:26" ht="13.5" customHeight="1">
      <c r="A179" s="13"/>
      <c r="B179" s="13"/>
      <c r="C179" s="13"/>
      <c r="D179" s="13"/>
      <c r="E179" s="13"/>
      <c r="F179" s="13"/>
      <c r="G179" s="13"/>
      <c r="H179" s="13"/>
      <c r="I179" s="13"/>
      <c r="J179" s="13"/>
      <c r="K179" s="13"/>
      <c r="L179" s="13"/>
      <c r="M179" s="28"/>
      <c r="N179" s="294"/>
      <c r="O179" s="13"/>
      <c r="P179" s="13"/>
      <c r="Q179" s="13"/>
      <c r="R179" s="13"/>
      <c r="S179" s="13"/>
      <c r="T179" s="13"/>
      <c r="U179" s="13"/>
      <c r="V179" s="13"/>
      <c r="W179" s="13"/>
      <c r="X179" s="13"/>
      <c r="Y179" s="13"/>
      <c r="Z179" s="13"/>
    </row>
    <row r="180" spans="1:26" ht="13.5" customHeight="1">
      <c r="A180" s="13"/>
      <c r="B180" s="13"/>
      <c r="C180" s="13"/>
      <c r="D180" s="13"/>
      <c r="E180" s="13"/>
      <c r="F180" s="13"/>
      <c r="G180" s="13"/>
      <c r="H180" s="13"/>
      <c r="I180" s="13"/>
      <c r="J180" s="13"/>
      <c r="K180" s="13"/>
      <c r="L180" s="13"/>
      <c r="M180" s="28"/>
      <c r="N180" s="294"/>
      <c r="O180" s="13"/>
      <c r="P180" s="13"/>
      <c r="Q180" s="13"/>
      <c r="R180" s="13"/>
      <c r="S180" s="13"/>
      <c r="T180" s="13"/>
      <c r="U180" s="13"/>
      <c r="V180" s="13"/>
      <c r="W180" s="13"/>
      <c r="X180" s="13"/>
      <c r="Y180" s="13"/>
      <c r="Z180" s="13"/>
    </row>
    <row r="181" spans="1:26" ht="13.5" customHeight="1">
      <c r="A181" s="13"/>
      <c r="B181" s="13"/>
      <c r="C181" s="13"/>
      <c r="D181" s="13"/>
      <c r="E181" s="13"/>
      <c r="F181" s="13"/>
      <c r="G181" s="13"/>
      <c r="H181" s="13"/>
      <c r="I181" s="13"/>
      <c r="J181" s="13"/>
      <c r="K181" s="13"/>
      <c r="L181" s="13"/>
      <c r="M181" s="28"/>
      <c r="N181" s="294"/>
      <c r="O181" s="13"/>
      <c r="P181" s="13"/>
      <c r="Q181" s="13"/>
      <c r="R181" s="13"/>
      <c r="S181" s="13"/>
      <c r="T181" s="13"/>
      <c r="U181" s="13"/>
      <c r="V181" s="13"/>
      <c r="W181" s="13"/>
      <c r="X181" s="13"/>
      <c r="Y181" s="13"/>
      <c r="Z181" s="13"/>
    </row>
    <row r="182" spans="1:26" ht="13.5" customHeight="1">
      <c r="A182" s="13"/>
      <c r="B182" s="13"/>
      <c r="C182" s="13"/>
      <c r="D182" s="13"/>
      <c r="E182" s="13"/>
      <c r="F182" s="13"/>
      <c r="G182" s="13"/>
      <c r="H182" s="13"/>
      <c r="I182" s="13"/>
      <c r="J182" s="13"/>
      <c r="K182" s="13"/>
      <c r="L182" s="13"/>
      <c r="M182" s="28"/>
      <c r="N182" s="294"/>
      <c r="O182" s="13"/>
      <c r="P182" s="13"/>
      <c r="Q182" s="13"/>
      <c r="R182" s="13"/>
      <c r="S182" s="13"/>
      <c r="T182" s="13"/>
      <c r="U182" s="13"/>
      <c r="V182" s="13"/>
      <c r="W182" s="13"/>
      <c r="X182" s="13"/>
      <c r="Y182" s="13"/>
      <c r="Z182" s="13"/>
    </row>
    <row r="183" spans="1:26" ht="13.5" customHeight="1">
      <c r="A183" s="13"/>
      <c r="B183" s="13"/>
      <c r="C183" s="13"/>
      <c r="D183" s="13"/>
      <c r="E183" s="13"/>
      <c r="F183" s="13"/>
      <c r="G183" s="13"/>
      <c r="H183" s="13"/>
      <c r="I183" s="13"/>
      <c r="J183" s="13"/>
      <c r="K183" s="13"/>
      <c r="L183" s="13"/>
      <c r="M183" s="28"/>
      <c r="N183" s="294"/>
      <c r="O183" s="13"/>
      <c r="P183" s="13"/>
      <c r="Q183" s="13"/>
      <c r="R183" s="13"/>
      <c r="S183" s="13"/>
      <c r="T183" s="13"/>
      <c r="U183" s="13"/>
      <c r="V183" s="13"/>
      <c r="W183" s="13"/>
      <c r="X183" s="13"/>
      <c r="Y183" s="13"/>
      <c r="Z183" s="13"/>
    </row>
    <row r="184" spans="1:26" ht="13.5" customHeight="1">
      <c r="A184" s="13"/>
      <c r="B184" s="13"/>
      <c r="C184" s="13"/>
      <c r="D184" s="13"/>
      <c r="E184" s="13"/>
      <c r="F184" s="13"/>
      <c r="G184" s="13"/>
      <c r="H184" s="13"/>
      <c r="I184" s="13"/>
      <c r="J184" s="13"/>
      <c r="K184" s="13"/>
      <c r="L184" s="13"/>
      <c r="M184" s="28"/>
      <c r="N184" s="294"/>
      <c r="O184" s="13"/>
      <c r="P184" s="13"/>
      <c r="Q184" s="13"/>
      <c r="R184" s="13"/>
      <c r="S184" s="13"/>
      <c r="T184" s="13"/>
      <c r="U184" s="13"/>
      <c r="V184" s="13"/>
      <c r="W184" s="13"/>
      <c r="X184" s="13"/>
      <c r="Y184" s="13"/>
      <c r="Z184" s="13"/>
    </row>
    <row r="185" spans="1:26" ht="13.5" customHeight="1">
      <c r="A185" s="13"/>
      <c r="B185" s="13"/>
      <c r="C185" s="13"/>
      <c r="D185" s="13"/>
      <c r="E185" s="13"/>
      <c r="F185" s="13"/>
      <c r="G185" s="13"/>
      <c r="H185" s="13"/>
      <c r="I185" s="13"/>
      <c r="J185" s="13"/>
      <c r="K185" s="13"/>
      <c r="L185" s="13"/>
      <c r="M185" s="28"/>
      <c r="N185" s="294"/>
      <c r="O185" s="13"/>
      <c r="P185" s="13"/>
      <c r="Q185" s="13"/>
      <c r="R185" s="13"/>
      <c r="S185" s="13"/>
      <c r="T185" s="13"/>
      <c r="U185" s="13"/>
      <c r="V185" s="13"/>
      <c r="W185" s="13"/>
      <c r="X185" s="13"/>
      <c r="Y185" s="13"/>
      <c r="Z185" s="13"/>
    </row>
    <row r="186" spans="1:26" ht="13.5" customHeight="1">
      <c r="A186" s="13"/>
      <c r="B186" s="13"/>
      <c r="C186" s="13"/>
      <c r="D186" s="13"/>
      <c r="E186" s="13"/>
      <c r="F186" s="13"/>
      <c r="G186" s="13"/>
      <c r="H186" s="13"/>
      <c r="I186" s="13"/>
      <c r="J186" s="13"/>
      <c r="K186" s="13"/>
      <c r="L186" s="13"/>
      <c r="M186" s="28"/>
      <c r="N186" s="294"/>
      <c r="O186" s="13"/>
      <c r="P186" s="13"/>
      <c r="Q186" s="13"/>
      <c r="R186" s="13"/>
      <c r="S186" s="13"/>
      <c r="T186" s="13"/>
      <c r="U186" s="13"/>
      <c r="V186" s="13"/>
      <c r="W186" s="13"/>
      <c r="X186" s="13"/>
      <c r="Y186" s="13"/>
      <c r="Z186" s="13"/>
    </row>
    <row r="187" spans="1:26" ht="13.5" customHeight="1">
      <c r="A187" s="13"/>
      <c r="B187" s="13"/>
      <c r="C187" s="13"/>
      <c r="D187" s="13"/>
      <c r="E187" s="13"/>
      <c r="F187" s="13"/>
      <c r="G187" s="13"/>
      <c r="H187" s="13"/>
      <c r="I187" s="13"/>
      <c r="J187" s="13"/>
      <c r="K187" s="13"/>
      <c r="L187" s="13"/>
      <c r="M187" s="28"/>
      <c r="N187" s="294"/>
      <c r="O187" s="13"/>
      <c r="P187" s="13"/>
      <c r="Q187" s="13"/>
      <c r="R187" s="13"/>
      <c r="S187" s="13"/>
      <c r="T187" s="13"/>
      <c r="U187" s="13"/>
      <c r="V187" s="13"/>
      <c r="W187" s="13"/>
      <c r="X187" s="13"/>
      <c r="Y187" s="13"/>
      <c r="Z187" s="13"/>
    </row>
    <row r="188" spans="1:26" ht="13.5" customHeight="1">
      <c r="A188" s="13"/>
      <c r="B188" s="13"/>
      <c r="C188" s="13"/>
      <c r="D188" s="13"/>
      <c r="E188" s="13"/>
      <c r="F188" s="13"/>
      <c r="G188" s="13"/>
      <c r="H188" s="13"/>
      <c r="I188" s="13"/>
      <c r="J188" s="13"/>
      <c r="K188" s="13"/>
      <c r="L188" s="13"/>
      <c r="M188" s="28"/>
      <c r="N188" s="294"/>
      <c r="O188" s="13"/>
      <c r="P188" s="13"/>
      <c r="Q188" s="13"/>
      <c r="R188" s="13"/>
      <c r="S188" s="13"/>
      <c r="T188" s="13"/>
      <c r="U188" s="13"/>
      <c r="V188" s="13"/>
      <c r="W188" s="13"/>
      <c r="X188" s="13"/>
      <c r="Y188" s="13"/>
      <c r="Z188" s="13"/>
    </row>
    <row r="189" spans="1:26" ht="13.5" customHeight="1">
      <c r="A189" s="13"/>
      <c r="B189" s="13"/>
      <c r="C189" s="13"/>
      <c r="D189" s="13"/>
      <c r="E189" s="13"/>
      <c r="F189" s="13"/>
      <c r="G189" s="13"/>
      <c r="H189" s="13"/>
      <c r="I189" s="13"/>
      <c r="J189" s="13"/>
      <c r="K189" s="13"/>
      <c r="L189" s="13"/>
      <c r="M189" s="28"/>
      <c r="N189" s="294"/>
      <c r="O189" s="13"/>
      <c r="P189" s="13"/>
      <c r="Q189" s="13"/>
      <c r="R189" s="13"/>
      <c r="S189" s="13"/>
      <c r="T189" s="13"/>
      <c r="U189" s="13"/>
      <c r="V189" s="13"/>
      <c r="W189" s="13"/>
      <c r="X189" s="13"/>
      <c r="Y189" s="13"/>
      <c r="Z189" s="13"/>
    </row>
    <row r="190" spans="1:26" ht="13.5" customHeight="1">
      <c r="A190" s="13"/>
      <c r="B190" s="13"/>
      <c r="C190" s="13"/>
      <c r="D190" s="13"/>
      <c r="E190" s="13"/>
      <c r="F190" s="13"/>
      <c r="G190" s="13"/>
      <c r="H190" s="13"/>
      <c r="I190" s="13"/>
      <c r="J190" s="13"/>
      <c r="K190" s="13"/>
      <c r="L190" s="13"/>
      <c r="M190" s="28"/>
      <c r="N190" s="294"/>
      <c r="O190" s="13"/>
      <c r="P190" s="13"/>
      <c r="Q190" s="13"/>
      <c r="R190" s="13"/>
      <c r="S190" s="13"/>
      <c r="T190" s="13"/>
      <c r="U190" s="13"/>
      <c r="V190" s="13"/>
      <c r="W190" s="13"/>
      <c r="X190" s="13"/>
      <c r="Y190" s="13"/>
      <c r="Z190" s="13"/>
    </row>
    <row r="191" spans="1:26" ht="13.5" customHeight="1">
      <c r="A191" s="13"/>
      <c r="B191" s="13"/>
      <c r="C191" s="13"/>
      <c r="D191" s="13"/>
      <c r="E191" s="13"/>
      <c r="F191" s="13"/>
      <c r="G191" s="13"/>
      <c r="H191" s="13"/>
      <c r="I191" s="13"/>
      <c r="J191" s="13"/>
      <c r="K191" s="13"/>
      <c r="L191" s="13"/>
      <c r="M191" s="28"/>
      <c r="N191" s="294"/>
      <c r="O191" s="13"/>
      <c r="P191" s="13"/>
      <c r="Q191" s="13"/>
      <c r="R191" s="13"/>
      <c r="S191" s="13"/>
      <c r="T191" s="13"/>
      <c r="U191" s="13"/>
      <c r="V191" s="13"/>
      <c r="W191" s="13"/>
      <c r="X191" s="13"/>
      <c r="Y191" s="13"/>
      <c r="Z191" s="13"/>
    </row>
    <row r="192" spans="1:26" ht="13.5" customHeight="1">
      <c r="A192" s="13"/>
      <c r="B192" s="13"/>
      <c r="C192" s="13"/>
      <c r="D192" s="13"/>
      <c r="E192" s="13"/>
      <c r="F192" s="13"/>
      <c r="G192" s="13"/>
      <c r="H192" s="13"/>
      <c r="I192" s="13"/>
      <c r="J192" s="13"/>
      <c r="K192" s="13"/>
      <c r="L192" s="13"/>
      <c r="M192" s="28"/>
      <c r="N192" s="294"/>
      <c r="O192" s="13"/>
      <c r="P192" s="13"/>
      <c r="Q192" s="13"/>
      <c r="R192" s="13"/>
      <c r="S192" s="13"/>
      <c r="T192" s="13"/>
      <c r="U192" s="13"/>
      <c r="V192" s="13"/>
      <c r="W192" s="13"/>
      <c r="X192" s="13"/>
      <c r="Y192" s="13"/>
      <c r="Z192" s="13"/>
    </row>
    <row r="193" spans="1:26" ht="13.5" customHeight="1">
      <c r="A193" s="13"/>
      <c r="B193" s="13"/>
      <c r="C193" s="13"/>
      <c r="D193" s="13"/>
      <c r="E193" s="13"/>
      <c r="F193" s="13"/>
      <c r="G193" s="13"/>
      <c r="H193" s="13"/>
      <c r="I193" s="13"/>
      <c r="J193" s="13"/>
      <c r="K193" s="13"/>
      <c r="L193" s="13"/>
      <c r="M193" s="28"/>
      <c r="N193" s="294"/>
      <c r="O193" s="13"/>
      <c r="P193" s="13"/>
      <c r="Q193" s="13"/>
      <c r="R193" s="13"/>
      <c r="S193" s="13"/>
      <c r="T193" s="13"/>
      <c r="U193" s="13"/>
      <c r="V193" s="13"/>
      <c r="W193" s="13"/>
      <c r="X193" s="13"/>
      <c r="Y193" s="13"/>
      <c r="Z193" s="13"/>
    </row>
    <row r="194" spans="1:26" ht="13.5" customHeight="1">
      <c r="A194" s="13"/>
      <c r="B194" s="13"/>
      <c r="C194" s="13"/>
      <c r="D194" s="13"/>
      <c r="E194" s="13"/>
      <c r="F194" s="13"/>
      <c r="G194" s="13"/>
      <c r="H194" s="13"/>
      <c r="I194" s="13"/>
      <c r="J194" s="13"/>
      <c r="K194" s="13"/>
      <c r="L194" s="13"/>
      <c r="M194" s="28"/>
      <c r="N194" s="294"/>
      <c r="O194" s="13"/>
      <c r="P194" s="13"/>
      <c r="Q194" s="13"/>
      <c r="R194" s="13"/>
      <c r="S194" s="13"/>
      <c r="T194" s="13"/>
      <c r="U194" s="13"/>
      <c r="V194" s="13"/>
      <c r="W194" s="13"/>
      <c r="X194" s="13"/>
      <c r="Y194" s="13"/>
      <c r="Z194" s="13"/>
    </row>
    <row r="195" spans="1:26" ht="13.5" customHeight="1">
      <c r="A195" s="13"/>
      <c r="B195" s="13"/>
      <c r="C195" s="13"/>
      <c r="D195" s="13"/>
      <c r="E195" s="13"/>
      <c r="F195" s="13"/>
      <c r="G195" s="13"/>
      <c r="H195" s="13"/>
      <c r="I195" s="13"/>
      <c r="J195" s="13"/>
      <c r="K195" s="13"/>
      <c r="L195" s="13"/>
      <c r="M195" s="28"/>
      <c r="N195" s="294"/>
      <c r="O195" s="13"/>
      <c r="P195" s="13"/>
      <c r="Q195" s="13"/>
      <c r="R195" s="13"/>
      <c r="S195" s="13"/>
      <c r="T195" s="13"/>
      <c r="U195" s="13"/>
      <c r="V195" s="13"/>
      <c r="W195" s="13"/>
      <c r="X195" s="13"/>
      <c r="Y195" s="13"/>
      <c r="Z195" s="13"/>
    </row>
    <row r="196" spans="1:26" ht="13.5" customHeight="1">
      <c r="A196" s="13"/>
      <c r="B196" s="13"/>
      <c r="C196" s="13"/>
      <c r="D196" s="13"/>
      <c r="E196" s="13"/>
      <c r="F196" s="13"/>
      <c r="G196" s="13"/>
      <c r="H196" s="13"/>
      <c r="I196" s="13"/>
      <c r="J196" s="13"/>
      <c r="K196" s="13"/>
      <c r="L196" s="13"/>
      <c r="M196" s="28"/>
      <c r="N196" s="294"/>
      <c r="O196" s="13"/>
      <c r="P196" s="13"/>
      <c r="Q196" s="13"/>
      <c r="R196" s="13"/>
      <c r="S196" s="13"/>
      <c r="T196" s="13"/>
      <c r="U196" s="13"/>
      <c r="V196" s="13"/>
      <c r="W196" s="13"/>
      <c r="X196" s="13"/>
      <c r="Y196" s="13"/>
      <c r="Z196" s="13"/>
    </row>
    <row r="197" spans="1:26" ht="13.5" customHeight="1">
      <c r="A197" s="13"/>
      <c r="B197" s="13"/>
      <c r="C197" s="13"/>
      <c r="D197" s="13"/>
      <c r="E197" s="13"/>
      <c r="F197" s="13"/>
      <c r="G197" s="13"/>
      <c r="H197" s="13"/>
      <c r="I197" s="13"/>
      <c r="J197" s="13"/>
      <c r="K197" s="13"/>
      <c r="L197" s="13"/>
      <c r="M197" s="28"/>
      <c r="N197" s="294"/>
      <c r="O197" s="13"/>
      <c r="P197" s="13"/>
      <c r="Q197" s="13"/>
      <c r="R197" s="13"/>
      <c r="S197" s="13"/>
      <c r="T197" s="13"/>
      <c r="U197" s="13"/>
      <c r="V197" s="13"/>
      <c r="W197" s="13"/>
      <c r="X197" s="13"/>
      <c r="Y197" s="13"/>
      <c r="Z197" s="13"/>
    </row>
    <row r="198" spans="1:26" ht="13.5" customHeight="1">
      <c r="A198" s="13"/>
      <c r="B198" s="13"/>
      <c r="C198" s="13"/>
      <c r="D198" s="13"/>
      <c r="E198" s="13"/>
      <c r="F198" s="13"/>
      <c r="G198" s="13"/>
      <c r="H198" s="13"/>
      <c r="I198" s="13"/>
      <c r="J198" s="13"/>
      <c r="K198" s="13"/>
      <c r="L198" s="13"/>
      <c r="M198" s="28"/>
      <c r="N198" s="294"/>
      <c r="O198" s="13"/>
      <c r="P198" s="13"/>
      <c r="Q198" s="13"/>
      <c r="R198" s="13"/>
      <c r="S198" s="13"/>
      <c r="T198" s="13"/>
      <c r="U198" s="13"/>
      <c r="V198" s="13"/>
      <c r="W198" s="13"/>
      <c r="X198" s="13"/>
      <c r="Y198" s="13"/>
      <c r="Z198" s="13"/>
    </row>
    <row r="199" spans="1:26" ht="13.5" customHeight="1">
      <c r="A199" s="13"/>
      <c r="B199" s="13"/>
      <c r="C199" s="13"/>
      <c r="D199" s="13"/>
      <c r="E199" s="13"/>
      <c r="F199" s="13"/>
      <c r="G199" s="13"/>
      <c r="H199" s="13"/>
      <c r="I199" s="13"/>
      <c r="J199" s="13"/>
      <c r="K199" s="13"/>
      <c r="L199" s="13"/>
      <c r="M199" s="28"/>
      <c r="N199" s="294"/>
      <c r="O199" s="13"/>
      <c r="P199" s="13"/>
      <c r="Q199" s="13"/>
      <c r="R199" s="13"/>
      <c r="S199" s="13"/>
      <c r="T199" s="13"/>
      <c r="U199" s="13"/>
      <c r="V199" s="13"/>
      <c r="W199" s="13"/>
      <c r="X199" s="13"/>
      <c r="Y199" s="13"/>
      <c r="Z199" s="13"/>
    </row>
    <row r="200" spans="1:26" ht="13.5" customHeight="1">
      <c r="A200" s="13"/>
      <c r="B200" s="13"/>
      <c r="C200" s="13"/>
      <c r="D200" s="13"/>
      <c r="E200" s="13"/>
      <c r="F200" s="13"/>
      <c r="G200" s="13"/>
      <c r="H200" s="13"/>
      <c r="I200" s="13"/>
      <c r="J200" s="13"/>
      <c r="K200" s="13"/>
      <c r="L200" s="13"/>
      <c r="M200" s="28"/>
      <c r="N200" s="294"/>
      <c r="O200" s="13"/>
      <c r="P200" s="13"/>
      <c r="Q200" s="13"/>
      <c r="R200" s="13"/>
      <c r="S200" s="13"/>
      <c r="T200" s="13"/>
      <c r="U200" s="13"/>
      <c r="V200" s="13"/>
      <c r="W200" s="13"/>
      <c r="X200" s="13"/>
      <c r="Y200" s="13"/>
      <c r="Z200" s="13"/>
    </row>
    <row r="201" spans="1:26" ht="13.5" customHeight="1">
      <c r="A201" s="13"/>
      <c r="B201" s="13"/>
      <c r="C201" s="13"/>
      <c r="D201" s="13"/>
      <c r="E201" s="13"/>
      <c r="F201" s="13"/>
      <c r="G201" s="13"/>
      <c r="H201" s="13"/>
      <c r="I201" s="13"/>
      <c r="J201" s="13"/>
      <c r="K201" s="13"/>
      <c r="L201" s="13"/>
      <c r="M201" s="28"/>
      <c r="N201" s="294"/>
      <c r="O201" s="13"/>
      <c r="P201" s="13"/>
      <c r="Q201" s="13"/>
      <c r="R201" s="13"/>
      <c r="S201" s="13"/>
      <c r="T201" s="13"/>
      <c r="U201" s="13"/>
      <c r="V201" s="13"/>
      <c r="W201" s="13"/>
      <c r="X201" s="13"/>
      <c r="Y201" s="13"/>
      <c r="Z201" s="13"/>
    </row>
    <row r="202" spans="1:26" ht="13.5" customHeight="1">
      <c r="A202" s="13"/>
      <c r="B202" s="13"/>
      <c r="C202" s="13"/>
      <c r="D202" s="13"/>
      <c r="E202" s="13"/>
      <c r="F202" s="13"/>
      <c r="G202" s="13"/>
      <c r="H202" s="13"/>
      <c r="I202" s="13"/>
      <c r="J202" s="13"/>
      <c r="K202" s="13"/>
      <c r="L202" s="13"/>
      <c r="M202" s="28"/>
      <c r="N202" s="294"/>
      <c r="O202" s="13"/>
      <c r="P202" s="13"/>
      <c r="Q202" s="13"/>
      <c r="R202" s="13"/>
      <c r="S202" s="13"/>
      <c r="T202" s="13"/>
      <c r="U202" s="13"/>
      <c r="V202" s="13"/>
      <c r="W202" s="13"/>
      <c r="X202" s="13"/>
      <c r="Y202" s="13"/>
      <c r="Z202" s="13"/>
    </row>
    <row r="203" spans="1:26" ht="13.5" customHeight="1">
      <c r="A203" s="13"/>
      <c r="B203" s="13"/>
      <c r="C203" s="13"/>
      <c r="D203" s="13"/>
      <c r="E203" s="13"/>
      <c r="F203" s="13"/>
      <c r="G203" s="13"/>
      <c r="H203" s="13"/>
      <c r="I203" s="13"/>
      <c r="J203" s="13"/>
      <c r="K203" s="13"/>
      <c r="L203" s="13"/>
      <c r="M203" s="28"/>
      <c r="N203" s="294"/>
      <c r="O203" s="13"/>
      <c r="P203" s="13"/>
      <c r="Q203" s="13"/>
      <c r="R203" s="13"/>
      <c r="S203" s="13"/>
      <c r="T203" s="13"/>
      <c r="U203" s="13"/>
      <c r="V203" s="13"/>
      <c r="W203" s="13"/>
      <c r="X203" s="13"/>
      <c r="Y203" s="13"/>
      <c r="Z203" s="13"/>
    </row>
    <row r="204" spans="1:26" ht="13.5" customHeight="1">
      <c r="A204" s="13"/>
      <c r="B204" s="13"/>
      <c r="C204" s="13"/>
      <c r="D204" s="13"/>
      <c r="E204" s="13"/>
      <c r="F204" s="13"/>
      <c r="G204" s="13"/>
      <c r="H204" s="13"/>
      <c r="I204" s="13"/>
      <c r="J204" s="13"/>
      <c r="K204" s="13"/>
      <c r="L204" s="13"/>
      <c r="M204" s="28"/>
      <c r="N204" s="294"/>
      <c r="O204" s="13"/>
      <c r="P204" s="13"/>
      <c r="Q204" s="13"/>
      <c r="R204" s="13"/>
      <c r="S204" s="13"/>
      <c r="T204" s="13"/>
      <c r="U204" s="13"/>
      <c r="V204" s="13"/>
      <c r="W204" s="13"/>
      <c r="X204" s="13"/>
      <c r="Y204" s="13"/>
      <c r="Z204" s="13"/>
    </row>
    <row r="205" spans="1:26" ht="13.5" customHeight="1">
      <c r="A205" s="13"/>
      <c r="B205" s="13"/>
      <c r="C205" s="13"/>
      <c r="D205" s="13"/>
      <c r="E205" s="13"/>
      <c r="F205" s="13"/>
      <c r="G205" s="13"/>
      <c r="H205" s="13"/>
      <c r="I205" s="13"/>
      <c r="J205" s="13"/>
      <c r="K205" s="13"/>
      <c r="L205" s="13"/>
      <c r="M205" s="28"/>
      <c r="N205" s="294"/>
      <c r="O205" s="13"/>
      <c r="P205" s="13"/>
      <c r="Q205" s="13"/>
      <c r="R205" s="13"/>
      <c r="S205" s="13"/>
      <c r="T205" s="13"/>
      <c r="U205" s="13"/>
      <c r="V205" s="13"/>
      <c r="W205" s="13"/>
      <c r="X205" s="13"/>
      <c r="Y205" s="13"/>
      <c r="Z205" s="13"/>
    </row>
    <row r="206" spans="1:26" ht="13.5" customHeight="1">
      <c r="A206" s="13"/>
      <c r="B206" s="13"/>
      <c r="C206" s="13"/>
      <c r="D206" s="13"/>
      <c r="E206" s="13"/>
      <c r="F206" s="13"/>
      <c r="G206" s="13"/>
      <c r="H206" s="13"/>
      <c r="I206" s="13"/>
      <c r="J206" s="13"/>
      <c r="K206" s="13"/>
      <c r="L206" s="13"/>
      <c r="M206" s="28"/>
      <c r="N206" s="294"/>
      <c r="O206" s="13"/>
      <c r="P206" s="13"/>
      <c r="Q206" s="13"/>
      <c r="R206" s="13"/>
      <c r="S206" s="13"/>
      <c r="T206" s="13"/>
      <c r="U206" s="13"/>
      <c r="V206" s="13"/>
      <c r="W206" s="13"/>
      <c r="X206" s="13"/>
      <c r="Y206" s="13"/>
      <c r="Z206" s="13"/>
    </row>
    <row r="207" spans="1:26" ht="13.5" customHeight="1">
      <c r="A207" s="13"/>
      <c r="B207" s="13"/>
      <c r="C207" s="13"/>
      <c r="D207" s="13"/>
      <c r="E207" s="13"/>
      <c r="F207" s="13"/>
      <c r="G207" s="13"/>
      <c r="H207" s="13"/>
      <c r="I207" s="13"/>
      <c r="J207" s="13"/>
      <c r="K207" s="13"/>
      <c r="L207" s="13"/>
      <c r="M207" s="28"/>
      <c r="N207" s="294"/>
      <c r="O207" s="13"/>
      <c r="P207" s="13"/>
      <c r="Q207" s="13"/>
      <c r="R207" s="13"/>
      <c r="S207" s="13"/>
      <c r="T207" s="13"/>
      <c r="U207" s="13"/>
      <c r="V207" s="13"/>
      <c r="W207" s="13"/>
      <c r="X207" s="13"/>
      <c r="Y207" s="13"/>
      <c r="Z207" s="13"/>
    </row>
    <row r="208" spans="1:26" ht="13.5" customHeight="1">
      <c r="A208" s="13"/>
      <c r="B208" s="13"/>
      <c r="C208" s="13"/>
      <c r="D208" s="13"/>
      <c r="E208" s="13"/>
      <c r="F208" s="13"/>
      <c r="G208" s="13"/>
      <c r="H208" s="13"/>
      <c r="I208" s="13"/>
      <c r="J208" s="13"/>
      <c r="K208" s="13"/>
      <c r="L208" s="13"/>
      <c r="M208" s="28"/>
      <c r="N208" s="294"/>
      <c r="O208" s="13"/>
      <c r="P208" s="13"/>
      <c r="Q208" s="13"/>
      <c r="R208" s="13"/>
      <c r="S208" s="13"/>
      <c r="T208" s="13"/>
      <c r="U208" s="13"/>
      <c r="V208" s="13"/>
      <c r="W208" s="13"/>
      <c r="X208" s="13"/>
      <c r="Y208" s="13"/>
      <c r="Z208" s="13"/>
    </row>
    <row r="209" spans="1:26" ht="13.5" customHeight="1">
      <c r="A209" s="13"/>
      <c r="B209" s="13"/>
      <c r="C209" s="13"/>
      <c r="D209" s="13"/>
      <c r="E209" s="13"/>
      <c r="F209" s="13"/>
      <c r="G209" s="13"/>
      <c r="H209" s="13"/>
      <c r="I209" s="13"/>
      <c r="J209" s="13"/>
      <c r="K209" s="13"/>
      <c r="L209" s="13"/>
      <c r="M209" s="28"/>
      <c r="N209" s="294"/>
      <c r="O209" s="13"/>
      <c r="P209" s="13"/>
      <c r="Q209" s="13"/>
      <c r="R209" s="13"/>
      <c r="S209" s="13"/>
      <c r="T209" s="13"/>
      <c r="U209" s="13"/>
      <c r="V209" s="13"/>
      <c r="W209" s="13"/>
      <c r="X209" s="13"/>
      <c r="Y209" s="13"/>
      <c r="Z209" s="13"/>
    </row>
    <row r="210" spans="1:26" ht="13.5" customHeight="1">
      <c r="A210" s="13"/>
      <c r="B210" s="13"/>
      <c r="C210" s="13"/>
      <c r="D210" s="13"/>
      <c r="E210" s="13"/>
      <c r="F210" s="13"/>
      <c r="G210" s="13"/>
      <c r="H210" s="13"/>
      <c r="I210" s="13"/>
      <c r="J210" s="13"/>
      <c r="K210" s="13"/>
      <c r="L210" s="13"/>
      <c r="M210" s="28"/>
      <c r="N210" s="294"/>
      <c r="O210" s="13"/>
      <c r="P210" s="13"/>
      <c r="Q210" s="13"/>
      <c r="R210" s="13"/>
      <c r="S210" s="13"/>
      <c r="T210" s="13"/>
      <c r="U210" s="13"/>
      <c r="V210" s="13"/>
      <c r="W210" s="13"/>
      <c r="X210" s="13"/>
      <c r="Y210" s="13"/>
      <c r="Z210" s="13"/>
    </row>
    <row r="211" spans="1:26" ht="13.5" customHeight="1">
      <c r="A211" s="13"/>
      <c r="B211" s="13"/>
      <c r="C211" s="13"/>
      <c r="D211" s="13"/>
      <c r="E211" s="13"/>
      <c r="F211" s="13"/>
      <c r="G211" s="13"/>
      <c r="H211" s="13"/>
      <c r="I211" s="13"/>
      <c r="J211" s="13"/>
      <c r="K211" s="13"/>
      <c r="L211" s="13"/>
      <c r="M211" s="28"/>
      <c r="N211" s="294"/>
      <c r="O211" s="13"/>
      <c r="P211" s="13"/>
      <c r="Q211" s="13"/>
      <c r="R211" s="13"/>
      <c r="S211" s="13"/>
      <c r="T211" s="13"/>
      <c r="U211" s="13"/>
      <c r="V211" s="13"/>
      <c r="W211" s="13"/>
      <c r="X211" s="13"/>
      <c r="Y211" s="13"/>
      <c r="Z211" s="13"/>
    </row>
    <row r="212" spans="1:26" ht="13.5" customHeight="1">
      <c r="A212" s="13"/>
      <c r="B212" s="13"/>
      <c r="C212" s="13"/>
      <c r="D212" s="13"/>
      <c r="E212" s="13"/>
      <c r="F212" s="13"/>
      <c r="G212" s="13"/>
      <c r="H212" s="13"/>
      <c r="I212" s="13"/>
      <c r="J212" s="13"/>
      <c r="K212" s="13"/>
      <c r="L212" s="13"/>
      <c r="M212" s="28"/>
      <c r="N212" s="294"/>
      <c r="O212" s="13"/>
      <c r="P212" s="13"/>
      <c r="Q212" s="13"/>
      <c r="R212" s="13"/>
      <c r="S212" s="13"/>
      <c r="T212" s="13"/>
      <c r="U212" s="13"/>
      <c r="V212" s="13"/>
      <c r="W212" s="13"/>
      <c r="X212" s="13"/>
      <c r="Y212" s="13"/>
      <c r="Z212" s="13"/>
    </row>
    <row r="213" spans="1:26" ht="13.5" customHeight="1">
      <c r="A213" s="13"/>
      <c r="B213" s="13"/>
      <c r="C213" s="13"/>
      <c r="D213" s="13"/>
      <c r="E213" s="13"/>
      <c r="F213" s="13"/>
      <c r="G213" s="13"/>
      <c r="H213" s="13"/>
      <c r="I213" s="13"/>
      <c r="J213" s="13"/>
      <c r="K213" s="13"/>
      <c r="L213" s="13"/>
      <c r="M213" s="28"/>
      <c r="N213" s="294"/>
      <c r="O213" s="13"/>
      <c r="P213" s="13"/>
      <c r="Q213" s="13"/>
      <c r="R213" s="13"/>
      <c r="S213" s="13"/>
      <c r="T213" s="13"/>
      <c r="U213" s="13"/>
      <c r="V213" s="13"/>
      <c r="W213" s="13"/>
      <c r="X213" s="13"/>
      <c r="Y213" s="13"/>
      <c r="Z213" s="13"/>
    </row>
    <row r="214" spans="1:26" ht="13.5" customHeight="1">
      <c r="A214" s="13"/>
      <c r="B214" s="13"/>
      <c r="C214" s="13"/>
      <c r="D214" s="13"/>
      <c r="E214" s="13"/>
      <c r="F214" s="13"/>
      <c r="G214" s="13"/>
      <c r="H214" s="13"/>
      <c r="I214" s="13"/>
      <c r="J214" s="13"/>
      <c r="K214" s="13"/>
      <c r="L214" s="13"/>
      <c r="M214" s="28"/>
      <c r="N214" s="294"/>
      <c r="O214" s="13"/>
      <c r="P214" s="13"/>
      <c r="Q214" s="13"/>
      <c r="R214" s="13"/>
      <c r="S214" s="13"/>
      <c r="T214" s="13"/>
      <c r="U214" s="13"/>
      <c r="V214" s="13"/>
      <c r="W214" s="13"/>
      <c r="X214" s="13"/>
      <c r="Y214" s="13"/>
      <c r="Z214" s="13"/>
    </row>
    <row r="215" spans="1:26" ht="13.5" customHeight="1">
      <c r="A215" s="13"/>
      <c r="B215" s="13"/>
      <c r="C215" s="13"/>
      <c r="D215" s="13"/>
      <c r="E215" s="13"/>
      <c r="F215" s="13"/>
      <c r="G215" s="13"/>
      <c r="H215" s="13"/>
      <c r="I215" s="13"/>
      <c r="J215" s="13"/>
      <c r="K215" s="13"/>
      <c r="L215" s="13"/>
      <c r="M215" s="28"/>
      <c r="N215" s="294"/>
      <c r="O215" s="13"/>
      <c r="P215" s="13"/>
      <c r="Q215" s="13"/>
      <c r="R215" s="13"/>
      <c r="S215" s="13"/>
      <c r="T215" s="13"/>
      <c r="U215" s="13"/>
      <c r="V215" s="13"/>
      <c r="W215" s="13"/>
      <c r="X215" s="13"/>
      <c r="Y215" s="13"/>
      <c r="Z215" s="13"/>
    </row>
    <row r="216" spans="1:26" ht="13.5" customHeight="1">
      <c r="A216" s="13"/>
      <c r="B216" s="13"/>
      <c r="C216" s="13"/>
      <c r="D216" s="13"/>
      <c r="E216" s="13"/>
      <c r="F216" s="13"/>
      <c r="G216" s="13"/>
      <c r="H216" s="13"/>
      <c r="I216" s="13"/>
      <c r="J216" s="13"/>
      <c r="K216" s="13"/>
      <c r="L216" s="13"/>
      <c r="M216" s="28"/>
      <c r="N216" s="294"/>
      <c r="O216" s="13"/>
      <c r="P216" s="13"/>
      <c r="Q216" s="13"/>
      <c r="R216" s="13"/>
      <c r="S216" s="13"/>
      <c r="T216" s="13"/>
      <c r="U216" s="13"/>
      <c r="V216" s="13"/>
      <c r="W216" s="13"/>
      <c r="X216" s="13"/>
      <c r="Y216" s="13"/>
      <c r="Z216" s="13"/>
    </row>
    <row r="217" spans="1:26" ht="13.5" customHeight="1">
      <c r="A217" s="13"/>
      <c r="B217" s="13"/>
      <c r="C217" s="13"/>
      <c r="D217" s="13"/>
      <c r="E217" s="13"/>
      <c r="F217" s="13"/>
      <c r="G217" s="13"/>
      <c r="H217" s="13"/>
      <c r="I217" s="13"/>
      <c r="J217" s="13"/>
      <c r="K217" s="13"/>
      <c r="L217" s="13"/>
      <c r="M217" s="28"/>
      <c r="N217" s="294"/>
      <c r="O217" s="13"/>
      <c r="P217" s="13"/>
      <c r="Q217" s="13"/>
      <c r="R217" s="13"/>
      <c r="S217" s="13"/>
      <c r="T217" s="13"/>
      <c r="U217" s="13"/>
      <c r="V217" s="13"/>
      <c r="W217" s="13"/>
      <c r="X217" s="13"/>
      <c r="Y217" s="13"/>
      <c r="Z217" s="13"/>
    </row>
    <row r="218" spans="1:26" ht="13.5" customHeight="1">
      <c r="A218" s="13"/>
      <c r="B218" s="13"/>
      <c r="C218" s="13"/>
      <c r="D218" s="13"/>
      <c r="E218" s="13"/>
      <c r="F218" s="13"/>
      <c r="G218" s="13"/>
      <c r="H218" s="13"/>
      <c r="I218" s="13"/>
      <c r="J218" s="13"/>
      <c r="K218" s="13"/>
      <c r="L218" s="13"/>
      <c r="M218" s="28"/>
      <c r="N218" s="294"/>
      <c r="O218" s="13"/>
      <c r="P218" s="13"/>
      <c r="Q218" s="13"/>
      <c r="R218" s="13"/>
      <c r="S218" s="13"/>
      <c r="T218" s="13"/>
      <c r="U218" s="13"/>
      <c r="V218" s="13"/>
      <c r="W218" s="13"/>
      <c r="X218" s="13"/>
      <c r="Y218" s="13"/>
      <c r="Z218" s="13"/>
    </row>
    <row r="219" spans="1:26" ht="13.5" customHeight="1">
      <c r="A219" s="13"/>
      <c r="B219" s="13"/>
      <c r="C219" s="13"/>
      <c r="D219" s="13"/>
      <c r="E219" s="13"/>
      <c r="F219" s="13"/>
      <c r="G219" s="13"/>
      <c r="H219" s="13"/>
      <c r="I219" s="13"/>
      <c r="J219" s="13"/>
      <c r="K219" s="13"/>
      <c r="L219" s="13"/>
      <c r="M219" s="28"/>
      <c r="N219" s="294"/>
      <c r="O219" s="13"/>
      <c r="P219" s="13"/>
      <c r="Q219" s="13"/>
      <c r="R219" s="13"/>
      <c r="S219" s="13"/>
      <c r="T219" s="13"/>
      <c r="U219" s="13"/>
      <c r="V219" s="13"/>
      <c r="W219" s="13"/>
      <c r="X219" s="13"/>
      <c r="Y219" s="13"/>
      <c r="Z219" s="13"/>
    </row>
    <row r="220" spans="1:26" ht="13.5" customHeight="1">
      <c r="A220" s="13"/>
      <c r="B220" s="13"/>
      <c r="C220" s="13"/>
      <c r="D220" s="13"/>
      <c r="E220" s="13"/>
      <c r="F220" s="13"/>
      <c r="G220" s="13"/>
      <c r="H220" s="13"/>
      <c r="I220" s="13"/>
      <c r="J220" s="13"/>
      <c r="K220" s="13"/>
      <c r="L220" s="13"/>
      <c r="M220" s="28"/>
      <c r="N220" s="294"/>
      <c r="O220" s="13"/>
      <c r="P220" s="13"/>
      <c r="Q220" s="13"/>
      <c r="R220" s="13"/>
      <c r="S220" s="13"/>
      <c r="T220" s="13"/>
      <c r="U220" s="13"/>
      <c r="V220" s="13"/>
      <c r="W220" s="13"/>
      <c r="X220" s="13"/>
      <c r="Y220" s="13"/>
      <c r="Z220" s="13"/>
    </row>
    <row r="221" spans="1:26" ht="13.5" customHeight="1">
      <c r="A221" s="13"/>
      <c r="B221" s="13"/>
      <c r="C221" s="13"/>
      <c r="D221" s="13"/>
      <c r="E221" s="13"/>
      <c r="F221" s="13"/>
      <c r="G221" s="13"/>
      <c r="H221" s="13"/>
      <c r="I221" s="13"/>
      <c r="J221" s="13"/>
      <c r="K221" s="13"/>
      <c r="L221" s="13"/>
      <c r="M221" s="28"/>
      <c r="N221" s="294"/>
      <c r="O221" s="13"/>
      <c r="P221" s="13"/>
      <c r="Q221" s="13"/>
      <c r="R221" s="13"/>
      <c r="S221" s="13"/>
      <c r="T221" s="13"/>
      <c r="U221" s="13"/>
      <c r="V221" s="13"/>
      <c r="W221" s="13"/>
      <c r="X221" s="13"/>
      <c r="Y221" s="13"/>
      <c r="Z221" s="13"/>
    </row>
    <row r="222" spans="1:26" ht="13.5" customHeight="1">
      <c r="A222" s="13"/>
      <c r="B222" s="13"/>
      <c r="C222" s="13"/>
      <c r="D222" s="13"/>
      <c r="E222" s="13"/>
      <c r="F222" s="13"/>
      <c r="G222" s="13"/>
      <c r="H222" s="13"/>
      <c r="I222" s="13"/>
      <c r="J222" s="13"/>
      <c r="K222" s="13"/>
      <c r="L222" s="13"/>
      <c r="M222" s="28"/>
      <c r="N222" s="294"/>
      <c r="O222" s="13"/>
      <c r="P222" s="13"/>
      <c r="Q222" s="13"/>
      <c r="R222" s="13"/>
      <c r="S222" s="13"/>
      <c r="T222" s="13"/>
      <c r="U222" s="13"/>
      <c r="V222" s="13"/>
      <c r="W222" s="13"/>
      <c r="X222" s="13"/>
      <c r="Y222" s="13"/>
      <c r="Z222" s="13"/>
    </row>
    <row r="223" spans="1:26" ht="13.5" customHeight="1">
      <c r="A223" s="13"/>
      <c r="B223" s="13"/>
      <c r="C223" s="13"/>
      <c r="D223" s="13"/>
      <c r="E223" s="13"/>
      <c r="F223" s="13"/>
      <c r="G223" s="13"/>
      <c r="H223" s="13"/>
      <c r="I223" s="13"/>
      <c r="J223" s="13"/>
      <c r="K223" s="13"/>
      <c r="L223" s="13"/>
      <c r="M223" s="28"/>
      <c r="N223" s="294"/>
      <c r="O223" s="13"/>
      <c r="P223" s="13"/>
      <c r="Q223" s="13"/>
      <c r="R223" s="13"/>
      <c r="S223" s="13"/>
      <c r="T223" s="13"/>
      <c r="U223" s="13"/>
      <c r="V223" s="13"/>
      <c r="W223" s="13"/>
      <c r="X223" s="13"/>
      <c r="Y223" s="13"/>
      <c r="Z223" s="13"/>
    </row>
    <row r="224" spans="1:26" ht="13.5" customHeight="1">
      <c r="A224" s="13"/>
      <c r="B224" s="13"/>
      <c r="C224" s="13"/>
      <c r="D224" s="13"/>
      <c r="E224" s="13"/>
      <c r="F224" s="13"/>
      <c r="G224" s="13"/>
      <c r="H224" s="13"/>
      <c r="I224" s="13"/>
      <c r="J224" s="13"/>
      <c r="K224" s="13"/>
      <c r="L224" s="13"/>
      <c r="M224" s="28"/>
      <c r="N224" s="294"/>
      <c r="O224" s="13"/>
      <c r="P224" s="13"/>
      <c r="Q224" s="13"/>
      <c r="R224" s="13"/>
      <c r="S224" s="13"/>
      <c r="T224" s="13"/>
      <c r="U224" s="13"/>
      <c r="V224" s="13"/>
      <c r="W224" s="13"/>
      <c r="X224" s="13"/>
      <c r="Y224" s="13"/>
      <c r="Z224" s="13"/>
    </row>
    <row r="225" spans="1:26" ht="13.5" customHeight="1">
      <c r="A225" s="13"/>
      <c r="B225" s="13"/>
      <c r="C225" s="13"/>
      <c r="D225" s="13"/>
      <c r="E225" s="13"/>
      <c r="F225" s="13"/>
      <c r="G225" s="13"/>
      <c r="H225" s="13"/>
      <c r="I225" s="13"/>
      <c r="J225" s="13"/>
      <c r="K225" s="13"/>
      <c r="L225" s="13"/>
      <c r="M225" s="28"/>
      <c r="N225" s="294"/>
      <c r="O225" s="13"/>
      <c r="P225" s="13"/>
      <c r="Q225" s="13"/>
      <c r="R225" s="13"/>
      <c r="S225" s="13"/>
      <c r="T225" s="13"/>
      <c r="U225" s="13"/>
      <c r="V225" s="13"/>
      <c r="W225" s="13"/>
      <c r="X225" s="13"/>
      <c r="Y225" s="13"/>
      <c r="Z225" s="13"/>
    </row>
    <row r="226" spans="1:26" ht="13.5" customHeight="1">
      <c r="A226" s="13"/>
      <c r="B226" s="13"/>
      <c r="C226" s="13"/>
      <c r="D226" s="13"/>
      <c r="E226" s="13"/>
      <c r="F226" s="13"/>
      <c r="G226" s="13"/>
      <c r="H226" s="13"/>
      <c r="I226" s="13"/>
      <c r="J226" s="13"/>
      <c r="K226" s="13"/>
      <c r="L226" s="13"/>
      <c r="M226" s="28"/>
      <c r="N226" s="294"/>
      <c r="O226" s="13"/>
      <c r="P226" s="13"/>
      <c r="Q226" s="13"/>
      <c r="R226" s="13"/>
      <c r="S226" s="13"/>
      <c r="T226" s="13"/>
      <c r="U226" s="13"/>
      <c r="V226" s="13"/>
      <c r="W226" s="13"/>
      <c r="X226" s="13"/>
      <c r="Y226" s="13"/>
      <c r="Z226" s="13"/>
    </row>
    <row r="227" spans="1:26" ht="13.5" customHeight="1">
      <c r="A227" s="13"/>
      <c r="B227" s="13"/>
      <c r="C227" s="13"/>
      <c r="D227" s="13"/>
      <c r="E227" s="13"/>
      <c r="F227" s="13"/>
      <c r="G227" s="13"/>
      <c r="H227" s="13"/>
      <c r="I227" s="13"/>
      <c r="J227" s="13"/>
      <c r="K227" s="13"/>
      <c r="L227" s="13"/>
      <c r="M227" s="28"/>
      <c r="N227" s="294"/>
      <c r="O227" s="13"/>
      <c r="P227" s="13"/>
      <c r="Q227" s="13"/>
      <c r="R227" s="13"/>
      <c r="S227" s="13"/>
      <c r="T227" s="13"/>
      <c r="U227" s="13"/>
      <c r="V227" s="13"/>
      <c r="W227" s="13"/>
      <c r="X227" s="13"/>
      <c r="Y227" s="13"/>
      <c r="Z227" s="13"/>
    </row>
    <row r="228" spans="1:26" ht="13.5" customHeight="1">
      <c r="A228" s="13"/>
      <c r="B228" s="13"/>
      <c r="C228" s="13"/>
      <c r="D228" s="13"/>
      <c r="E228" s="13"/>
      <c r="F228" s="13"/>
      <c r="G228" s="13"/>
      <c r="H228" s="13"/>
      <c r="I228" s="13"/>
      <c r="J228" s="13"/>
      <c r="K228" s="13"/>
      <c r="L228" s="13"/>
      <c r="M228" s="28"/>
      <c r="N228" s="294"/>
      <c r="O228" s="13"/>
      <c r="P228" s="13"/>
      <c r="Q228" s="13"/>
      <c r="R228" s="13"/>
      <c r="S228" s="13"/>
      <c r="T228" s="13"/>
      <c r="U228" s="13"/>
      <c r="V228" s="13"/>
      <c r="W228" s="13"/>
      <c r="X228" s="13"/>
      <c r="Y228" s="13"/>
      <c r="Z228" s="13"/>
    </row>
    <row r="229" spans="1:26" ht="13.5" customHeight="1">
      <c r="A229" s="13"/>
      <c r="B229" s="13"/>
      <c r="C229" s="13"/>
      <c r="D229" s="13"/>
      <c r="E229" s="13"/>
      <c r="F229" s="13"/>
      <c r="G229" s="13"/>
      <c r="H229" s="13"/>
      <c r="I229" s="13"/>
      <c r="J229" s="13"/>
      <c r="K229" s="13"/>
      <c r="L229" s="13"/>
      <c r="M229" s="28"/>
      <c r="N229" s="294"/>
      <c r="O229" s="13"/>
      <c r="P229" s="13"/>
      <c r="Q229" s="13"/>
      <c r="R229" s="13"/>
      <c r="S229" s="13"/>
      <c r="T229" s="13"/>
      <c r="U229" s="13"/>
      <c r="V229" s="13"/>
      <c r="W229" s="13"/>
      <c r="X229" s="13"/>
      <c r="Y229" s="13"/>
      <c r="Z229" s="13"/>
    </row>
    <row r="230" spans="1:26" ht="13.5" customHeight="1">
      <c r="A230" s="13"/>
      <c r="B230" s="13"/>
      <c r="C230" s="13"/>
      <c r="D230" s="13"/>
      <c r="E230" s="13"/>
      <c r="F230" s="13"/>
      <c r="G230" s="13"/>
      <c r="H230" s="13"/>
      <c r="I230" s="13"/>
      <c r="J230" s="13"/>
      <c r="K230" s="13"/>
      <c r="L230" s="13"/>
      <c r="M230" s="28"/>
      <c r="N230" s="294"/>
      <c r="O230" s="13"/>
      <c r="P230" s="13"/>
      <c r="Q230" s="13"/>
      <c r="R230" s="13"/>
      <c r="S230" s="13"/>
      <c r="T230" s="13"/>
      <c r="U230" s="13"/>
      <c r="V230" s="13"/>
      <c r="W230" s="13"/>
      <c r="X230" s="13"/>
      <c r="Y230" s="13"/>
      <c r="Z230" s="13"/>
    </row>
    <row r="231" spans="1:26" ht="13.5" customHeight="1">
      <c r="A231" s="13"/>
      <c r="B231" s="13"/>
      <c r="C231" s="13"/>
      <c r="D231" s="13"/>
      <c r="E231" s="13"/>
      <c r="F231" s="13"/>
      <c r="G231" s="13"/>
      <c r="H231" s="13"/>
      <c r="I231" s="13"/>
      <c r="J231" s="13"/>
      <c r="K231" s="13"/>
      <c r="L231" s="13"/>
      <c r="M231" s="28"/>
      <c r="N231" s="294"/>
      <c r="O231" s="13"/>
      <c r="P231" s="13"/>
      <c r="Q231" s="13"/>
      <c r="R231" s="13"/>
      <c r="S231" s="13"/>
      <c r="T231" s="13"/>
      <c r="U231" s="13"/>
      <c r="V231" s="13"/>
      <c r="W231" s="13"/>
      <c r="X231" s="13"/>
      <c r="Y231" s="13"/>
      <c r="Z231" s="13"/>
    </row>
    <row r="232" spans="1:26" ht="13.5" customHeight="1">
      <c r="A232" s="13"/>
      <c r="B232" s="13"/>
      <c r="C232" s="13"/>
      <c r="D232" s="13"/>
      <c r="E232" s="13"/>
      <c r="F232" s="13"/>
      <c r="G232" s="13"/>
      <c r="H232" s="13"/>
      <c r="I232" s="13"/>
      <c r="J232" s="13"/>
      <c r="K232" s="13"/>
      <c r="L232" s="13"/>
      <c r="M232" s="28"/>
      <c r="N232" s="294"/>
      <c r="O232" s="13"/>
      <c r="P232" s="13"/>
      <c r="Q232" s="13"/>
      <c r="R232" s="13"/>
      <c r="S232" s="13"/>
      <c r="T232" s="13"/>
      <c r="U232" s="13"/>
      <c r="V232" s="13"/>
      <c r="W232" s="13"/>
      <c r="X232" s="13"/>
      <c r="Y232" s="13"/>
      <c r="Z232" s="13"/>
    </row>
    <row r="233" spans="1:26" ht="13.5" customHeight="1">
      <c r="A233" s="13"/>
      <c r="B233" s="13"/>
      <c r="C233" s="13"/>
      <c r="D233" s="13"/>
      <c r="E233" s="13"/>
      <c r="F233" s="13"/>
      <c r="G233" s="13"/>
      <c r="H233" s="13"/>
      <c r="I233" s="13"/>
      <c r="J233" s="13"/>
      <c r="K233" s="13"/>
      <c r="L233" s="13"/>
      <c r="M233" s="28"/>
      <c r="N233" s="294"/>
      <c r="O233" s="13"/>
      <c r="P233" s="13"/>
      <c r="Q233" s="13"/>
      <c r="R233" s="13"/>
      <c r="S233" s="13"/>
      <c r="T233" s="13"/>
      <c r="U233" s="13"/>
      <c r="V233" s="13"/>
      <c r="W233" s="13"/>
      <c r="X233" s="13"/>
      <c r="Y233" s="13"/>
      <c r="Z233" s="13"/>
    </row>
    <row r="234" spans="1:26" ht="13.5" customHeight="1">
      <c r="A234" s="13"/>
      <c r="B234" s="13"/>
      <c r="C234" s="13"/>
      <c r="D234" s="13"/>
      <c r="E234" s="13"/>
      <c r="F234" s="13"/>
      <c r="G234" s="13"/>
      <c r="H234" s="13"/>
      <c r="I234" s="13"/>
      <c r="J234" s="13"/>
      <c r="K234" s="13"/>
      <c r="L234" s="13"/>
      <c r="M234" s="28"/>
      <c r="N234" s="294"/>
      <c r="O234" s="13"/>
      <c r="P234" s="13"/>
      <c r="Q234" s="13"/>
      <c r="R234" s="13"/>
      <c r="S234" s="13"/>
      <c r="T234" s="13"/>
      <c r="U234" s="13"/>
      <c r="V234" s="13"/>
      <c r="W234" s="13"/>
      <c r="X234" s="13"/>
      <c r="Y234" s="13"/>
      <c r="Z234" s="13"/>
    </row>
    <row r="235" spans="1:26" ht="13.5" customHeight="1">
      <c r="A235" s="13"/>
      <c r="B235" s="13"/>
      <c r="C235" s="13"/>
      <c r="D235" s="13"/>
      <c r="E235" s="13"/>
      <c r="F235" s="13"/>
      <c r="G235" s="13"/>
      <c r="H235" s="13"/>
      <c r="I235" s="13"/>
      <c r="J235" s="13"/>
      <c r="K235" s="13"/>
      <c r="L235" s="13"/>
      <c r="M235" s="28"/>
      <c r="N235" s="294"/>
      <c r="O235" s="13"/>
      <c r="P235" s="13"/>
      <c r="Q235" s="13"/>
      <c r="R235" s="13"/>
      <c r="S235" s="13"/>
      <c r="T235" s="13"/>
      <c r="U235" s="13"/>
      <c r="V235" s="13"/>
      <c r="W235" s="13"/>
      <c r="X235" s="13"/>
      <c r="Y235" s="13"/>
      <c r="Z235" s="13"/>
    </row>
    <row r="236" spans="1:26" ht="13.5" customHeight="1">
      <c r="A236" s="13"/>
      <c r="B236" s="13"/>
      <c r="C236" s="13"/>
      <c r="D236" s="13"/>
      <c r="E236" s="13"/>
      <c r="F236" s="13"/>
      <c r="G236" s="13"/>
      <c r="H236" s="13"/>
      <c r="I236" s="13"/>
      <c r="J236" s="13"/>
      <c r="K236" s="13"/>
      <c r="L236" s="13"/>
      <c r="M236" s="28"/>
      <c r="N236" s="294"/>
      <c r="O236" s="13"/>
      <c r="P236" s="13"/>
      <c r="Q236" s="13"/>
      <c r="R236" s="13"/>
      <c r="S236" s="13"/>
      <c r="T236" s="13"/>
      <c r="U236" s="13"/>
      <c r="V236" s="13"/>
      <c r="W236" s="13"/>
      <c r="X236" s="13"/>
      <c r="Y236" s="13"/>
      <c r="Z236" s="13"/>
    </row>
    <row r="237" spans="1:26" ht="13.5" customHeight="1">
      <c r="A237" s="13"/>
      <c r="B237" s="13"/>
      <c r="C237" s="13"/>
      <c r="D237" s="13"/>
      <c r="E237" s="13"/>
      <c r="F237" s="13"/>
      <c r="G237" s="13"/>
      <c r="H237" s="13"/>
      <c r="I237" s="13"/>
      <c r="J237" s="13"/>
      <c r="K237" s="13"/>
      <c r="L237" s="13"/>
      <c r="M237" s="28"/>
      <c r="N237" s="294"/>
      <c r="O237" s="13"/>
      <c r="P237" s="13"/>
      <c r="Q237" s="13"/>
      <c r="R237" s="13"/>
      <c r="S237" s="13"/>
      <c r="T237" s="13"/>
      <c r="U237" s="13"/>
      <c r="V237" s="13"/>
      <c r="W237" s="13"/>
      <c r="X237" s="13"/>
      <c r="Y237" s="13"/>
      <c r="Z237" s="13"/>
    </row>
    <row r="238" spans="1:26" ht="13.5" customHeight="1">
      <c r="A238" s="13"/>
      <c r="B238" s="13"/>
      <c r="C238" s="13"/>
      <c r="D238" s="13"/>
      <c r="E238" s="13"/>
      <c r="F238" s="13"/>
      <c r="G238" s="13"/>
      <c r="H238" s="13"/>
      <c r="I238" s="13"/>
      <c r="J238" s="13"/>
      <c r="K238" s="13"/>
      <c r="L238" s="13"/>
      <c r="M238" s="28"/>
      <c r="N238" s="294"/>
      <c r="O238" s="13"/>
      <c r="P238" s="13"/>
      <c r="Q238" s="13"/>
      <c r="R238" s="13"/>
      <c r="S238" s="13"/>
      <c r="T238" s="13"/>
      <c r="U238" s="13"/>
      <c r="V238" s="13"/>
      <c r="W238" s="13"/>
      <c r="X238" s="13"/>
      <c r="Y238" s="13"/>
      <c r="Z238" s="13"/>
    </row>
    <row r="239" spans="1:26" ht="13.5" customHeight="1">
      <c r="A239" s="13"/>
      <c r="B239" s="13"/>
      <c r="C239" s="13"/>
      <c r="D239" s="13"/>
      <c r="E239" s="13"/>
      <c r="F239" s="13"/>
      <c r="G239" s="13"/>
      <c r="H239" s="13"/>
      <c r="I239" s="13"/>
      <c r="J239" s="13"/>
      <c r="K239" s="13"/>
      <c r="L239" s="13"/>
      <c r="M239" s="28"/>
      <c r="N239" s="294"/>
      <c r="O239" s="13"/>
      <c r="P239" s="13"/>
      <c r="Q239" s="13"/>
      <c r="R239" s="13"/>
      <c r="S239" s="13"/>
      <c r="T239" s="13"/>
      <c r="U239" s="13"/>
      <c r="V239" s="13"/>
      <c r="W239" s="13"/>
      <c r="X239" s="13"/>
      <c r="Y239" s="13"/>
      <c r="Z239" s="13"/>
    </row>
    <row r="240" spans="1:26" ht="13.5" customHeight="1">
      <c r="A240" s="13"/>
      <c r="B240" s="13"/>
      <c r="C240" s="13"/>
      <c r="D240" s="13"/>
      <c r="E240" s="13"/>
      <c r="F240" s="13"/>
      <c r="G240" s="13"/>
      <c r="H240" s="13"/>
      <c r="I240" s="13"/>
      <c r="J240" s="13"/>
      <c r="K240" s="13"/>
      <c r="L240" s="13"/>
      <c r="M240" s="28"/>
      <c r="N240" s="294"/>
      <c r="O240" s="13"/>
      <c r="P240" s="13"/>
      <c r="Q240" s="13"/>
      <c r="R240" s="13"/>
      <c r="S240" s="13"/>
      <c r="T240" s="13"/>
      <c r="U240" s="13"/>
      <c r="V240" s="13"/>
      <c r="W240" s="13"/>
      <c r="X240" s="13"/>
      <c r="Y240" s="13"/>
      <c r="Z240" s="13"/>
    </row>
    <row r="241" spans="1:26" ht="13.5" customHeight="1">
      <c r="A241" s="13"/>
      <c r="B241" s="13"/>
      <c r="C241" s="13"/>
      <c r="D241" s="13"/>
      <c r="E241" s="13"/>
      <c r="F241" s="13"/>
      <c r="G241" s="13"/>
      <c r="H241" s="13"/>
      <c r="I241" s="13"/>
      <c r="J241" s="13"/>
      <c r="K241" s="13"/>
      <c r="L241" s="13"/>
      <c r="M241" s="28"/>
      <c r="N241" s="294"/>
      <c r="O241" s="13"/>
      <c r="P241" s="13"/>
      <c r="Q241" s="13"/>
      <c r="R241" s="13"/>
      <c r="S241" s="13"/>
      <c r="T241" s="13"/>
      <c r="U241" s="13"/>
      <c r="V241" s="13"/>
      <c r="W241" s="13"/>
      <c r="X241" s="13"/>
      <c r="Y241" s="13"/>
      <c r="Z241" s="13"/>
    </row>
    <row r="242" spans="1:26" ht="13.5" customHeight="1">
      <c r="A242" s="13"/>
      <c r="B242" s="13"/>
      <c r="C242" s="13"/>
      <c r="D242" s="13"/>
      <c r="E242" s="13"/>
      <c r="F242" s="13"/>
      <c r="G242" s="13"/>
      <c r="H242" s="13"/>
      <c r="I242" s="13"/>
      <c r="J242" s="13"/>
      <c r="K242" s="13"/>
      <c r="L242" s="13"/>
      <c r="M242" s="28"/>
      <c r="N242" s="294"/>
      <c r="O242" s="13"/>
      <c r="P242" s="13"/>
      <c r="Q242" s="13"/>
      <c r="R242" s="13"/>
      <c r="S242" s="13"/>
      <c r="T242" s="13"/>
      <c r="U242" s="13"/>
      <c r="V242" s="13"/>
      <c r="W242" s="13"/>
      <c r="X242" s="13"/>
      <c r="Y242" s="13"/>
      <c r="Z242" s="13"/>
    </row>
    <row r="243" spans="1:26" ht="13.5" customHeight="1">
      <c r="A243" s="13"/>
      <c r="B243" s="13"/>
      <c r="C243" s="13"/>
      <c r="D243" s="13"/>
      <c r="E243" s="13"/>
      <c r="F243" s="13"/>
      <c r="G243" s="13"/>
      <c r="H243" s="13"/>
      <c r="I243" s="13"/>
      <c r="J243" s="13"/>
      <c r="K243" s="13"/>
      <c r="L243" s="13"/>
      <c r="M243" s="28"/>
      <c r="N243" s="294"/>
      <c r="O243" s="13"/>
      <c r="P243" s="13"/>
      <c r="Q243" s="13"/>
      <c r="R243" s="13"/>
      <c r="S243" s="13"/>
      <c r="T243" s="13"/>
      <c r="U243" s="13"/>
      <c r="V243" s="13"/>
      <c r="W243" s="13"/>
      <c r="X243" s="13"/>
      <c r="Y243" s="13"/>
      <c r="Z243" s="13"/>
    </row>
    <row r="244" spans="1:26" ht="13.5" customHeight="1">
      <c r="A244" s="13"/>
      <c r="B244" s="13"/>
      <c r="C244" s="13"/>
      <c r="D244" s="13"/>
      <c r="E244" s="13"/>
      <c r="F244" s="13"/>
      <c r="G244" s="13"/>
      <c r="H244" s="13"/>
      <c r="I244" s="13"/>
      <c r="J244" s="13"/>
      <c r="K244" s="13"/>
      <c r="L244" s="13"/>
      <c r="M244" s="28"/>
      <c r="N244" s="294"/>
      <c r="O244" s="13"/>
      <c r="P244" s="13"/>
      <c r="Q244" s="13"/>
      <c r="R244" s="13"/>
      <c r="S244" s="13"/>
      <c r="T244" s="13"/>
      <c r="U244" s="13"/>
      <c r="V244" s="13"/>
      <c r="W244" s="13"/>
      <c r="X244" s="13"/>
      <c r="Y244" s="13"/>
      <c r="Z244" s="13"/>
    </row>
    <row r="245" spans="1:26" ht="13.5" customHeight="1">
      <c r="A245" s="13"/>
      <c r="B245" s="13"/>
      <c r="C245" s="13"/>
      <c r="D245" s="13"/>
      <c r="E245" s="13"/>
      <c r="F245" s="13"/>
      <c r="G245" s="13"/>
      <c r="H245" s="13"/>
      <c r="I245" s="13"/>
      <c r="J245" s="13"/>
      <c r="K245" s="13"/>
      <c r="L245" s="13"/>
      <c r="M245" s="28"/>
      <c r="N245" s="294"/>
      <c r="O245" s="13"/>
      <c r="P245" s="13"/>
      <c r="Q245" s="13"/>
      <c r="R245" s="13"/>
      <c r="S245" s="13"/>
      <c r="T245" s="13"/>
      <c r="U245" s="13"/>
      <c r="V245" s="13"/>
      <c r="W245" s="13"/>
      <c r="X245" s="13"/>
      <c r="Y245" s="13"/>
      <c r="Z245" s="13"/>
    </row>
    <row r="246" spans="1:26" ht="13.5" customHeight="1">
      <c r="A246" s="13"/>
      <c r="B246" s="13"/>
      <c r="C246" s="13"/>
      <c r="D246" s="13"/>
      <c r="E246" s="13"/>
      <c r="F246" s="13"/>
      <c r="G246" s="13"/>
      <c r="H246" s="13"/>
      <c r="I246" s="13"/>
      <c r="J246" s="13"/>
      <c r="K246" s="13"/>
      <c r="L246" s="13"/>
      <c r="M246" s="28"/>
      <c r="N246" s="294"/>
      <c r="O246" s="13"/>
      <c r="P246" s="13"/>
      <c r="Q246" s="13"/>
      <c r="R246" s="13"/>
      <c r="S246" s="13"/>
      <c r="T246" s="13"/>
      <c r="U246" s="13"/>
      <c r="V246" s="13"/>
      <c r="W246" s="13"/>
      <c r="X246" s="13"/>
      <c r="Y246" s="13"/>
      <c r="Z246" s="13"/>
    </row>
    <row r="247" spans="1:26" ht="13.5" customHeight="1">
      <c r="A247" s="13"/>
      <c r="B247" s="13"/>
      <c r="C247" s="13"/>
      <c r="D247" s="13"/>
      <c r="E247" s="13"/>
      <c r="F247" s="13"/>
      <c r="G247" s="13"/>
      <c r="H247" s="13"/>
      <c r="I247" s="13"/>
      <c r="J247" s="13"/>
      <c r="K247" s="13"/>
      <c r="L247" s="13"/>
      <c r="M247" s="28"/>
      <c r="N247" s="294"/>
      <c r="O247" s="13"/>
      <c r="P247" s="13"/>
      <c r="Q247" s="13"/>
      <c r="R247" s="13"/>
      <c r="S247" s="13"/>
      <c r="T247" s="13"/>
      <c r="U247" s="13"/>
      <c r="V247" s="13"/>
      <c r="W247" s="13"/>
      <c r="X247" s="13"/>
      <c r="Y247" s="13"/>
      <c r="Z247" s="13"/>
    </row>
    <row r="248" spans="1:26" ht="13.5" customHeight="1">
      <c r="A248" s="13"/>
      <c r="B248" s="13"/>
      <c r="C248" s="13"/>
      <c r="D248" s="13"/>
      <c r="E248" s="13"/>
      <c r="F248" s="13"/>
      <c r="G248" s="13"/>
      <c r="H248" s="13"/>
      <c r="I248" s="13"/>
      <c r="J248" s="13"/>
      <c r="K248" s="13"/>
      <c r="L248" s="13"/>
      <c r="M248" s="28"/>
      <c r="N248" s="294"/>
      <c r="O248" s="13"/>
      <c r="P248" s="13"/>
      <c r="Q248" s="13"/>
      <c r="R248" s="13"/>
      <c r="S248" s="13"/>
      <c r="T248" s="13"/>
      <c r="U248" s="13"/>
      <c r="V248" s="13"/>
      <c r="W248" s="13"/>
      <c r="X248" s="13"/>
      <c r="Y248" s="13"/>
      <c r="Z248" s="13"/>
    </row>
    <row r="249" spans="1:26" ht="13.5" customHeight="1">
      <c r="A249" s="13"/>
      <c r="B249" s="13"/>
      <c r="C249" s="13"/>
      <c r="D249" s="13"/>
      <c r="E249" s="13"/>
      <c r="F249" s="13"/>
      <c r="G249" s="13"/>
      <c r="H249" s="13"/>
      <c r="I249" s="13"/>
      <c r="J249" s="13"/>
      <c r="K249" s="13"/>
      <c r="L249" s="13"/>
      <c r="M249" s="28"/>
      <c r="N249" s="294"/>
      <c r="O249" s="13"/>
      <c r="P249" s="13"/>
      <c r="Q249" s="13"/>
      <c r="R249" s="13"/>
      <c r="S249" s="13"/>
      <c r="T249" s="13"/>
      <c r="U249" s="13"/>
      <c r="V249" s="13"/>
      <c r="W249" s="13"/>
      <c r="X249" s="13"/>
      <c r="Y249" s="13"/>
      <c r="Z249" s="13"/>
    </row>
    <row r="250" spans="1:26" ht="13.5" customHeight="1">
      <c r="A250" s="13"/>
      <c r="B250" s="13"/>
      <c r="C250" s="13"/>
      <c r="D250" s="13"/>
      <c r="E250" s="13"/>
      <c r="F250" s="13"/>
      <c r="G250" s="13"/>
      <c r="H250" s="13"/>
      <c r="I250" s="13"/>
      <c r="J250" s="13"/>
      <c r="K250" s="13"/>
      <c r="L250" s="13"/>
      <c r="M250" s="28"/>
      <c r="N250" s="294"/>
      <c r="O250" s="13"/>
      <c r="P250" s="13"/>
      <c r="Q250" s="13"/>
      <c r="R250" s="13"/>
      <c r="S250" s="13"/>
      <c r="T250" s="13"/>
      <c r="U250" s="13"/>
      <c r="V250" s="13"/>
      <c r="W250" s="13"/>
      <c r="X250" s="13"/>
      <c r="Y250" s="13"/>
      <c r="Z250" s="13"/>
    </row>
    <row r="251" spans="1:26" ht="13.5" customHeight="1">
      <c r="A251" s="13"/>
      <c r="B251" s="13"/>
      <c r="C251" s="13"/>
      <c r="D251" s="13"/>
      <c r="E251" s="13"/>
      <c r="F251" s="13"/>
      <c r="G251" s="13"/>
      <c r="H251" s="13"/>
      <c r="I251" s="13"/>
      <c r="J251" s="13"/>
      <c r="K251" s="13"/>
      <c r="L251" s="13"/>
      <c r="M251" s="28"/>
      <c r="N251" s="294"/>
      <c r="O251" s="13"/>
      <c r="P251" s="13"/>
      <c r="Q251" s="13"/>
      <c r="R251" s="13"/>
      <c r="S251" s="13"/>
      <c r="T251" s="13"/>
      <c r="U251" s="13"/>
      <c r="V251" s="13"/>
      <c r="W251" s="13"/>
      <c r="X251" s="13"/>
      <c r="Y251" s="13"/>
      <c r="Z251" s="13"/>
    </row>
    <row r="252" spans="1:26" ht="13.5" customHeight="1">
      <c r="A252" s="13"/>
      <c r="B252" s="13"/>
      <c r="C252" s="13"/>
      <c r="D252" s="13"/>
      <c r="E252" s="13"/>
      <c r="F252" s="13"/>
      <c r="G252" s="13"/>
      <c r="H252" s="13"/>
      <c r="I252" s="13"/>
      <c r="J252" s="13"/>
      <c r="K252" s="13"/>
      <c r="L252" s="13"/>
      <c r="M252" s="28"/>
      <c r="N252" s="294"/>
      <c r="O252" s="13"/>
      <c r="P252" s="13"/>
      <c r="Q252" s="13"/>
      <c r="R252" s="13"/>
      <c r="S252" s="13"/>
      <c r="T252" s="13"/>
      <c r="U252" s="13"/>
      <c r="V252" s="13"/>
      <c r="W252" s="13"/>
      <c r="X252" s="13"/>
      <c r="Y252" s="13"/>
      <c r="Z252" s="13"/>
    </row>
    <row r="253" spans="1:26" ht="13.5" customHeight="1">
      <c r="A253" s="13"/>
      <c r="B253" s="13"/>
      <c r="C253" s="13"/>
      <c r="D253" s="13"/>
      <c r="E253" s="13"/>
      <c r="F253" s="13"/>
      <c r="G253" s="13"/>
      <c r="H253" s="13"/>
      <c r="I253" s="13"/>
      <c r="J253" s="13"/>
      <c r="K253" s="13"/>
      <c r="L253" s="13"/>
      <c r="M253" s="28"/>
      <c r="N253" s="294"/>
      <c r="O253" s="13"/>
      <c r="P253" s="13"/>
      <c r="Q253" s="13"/>
      <c r="R253" s="13"/>
      <c r="S253" s="13"/>
      <c r="T253" s="13"/>
      <c r="U253" s="13"/>
      <c r="V253" s="13"/>
      <c r="W253" s="13"/>
      <c r="X253" s="13"/>
      <c r="Y253" s="13"/>
      <c r="Z253" s="13"/>
    </row>
    <row r="254" spans="1:26" ht="13.5" customHeight="1">
      <c r="A254" s="13"/>
      <c r="B254" s="13"/>
      <c r="C254" s="13"/>
      <c r="D254" s="13"/>
      <c r="E254" s="13"/>
      <c r="F254" s="13"/>
      <c r="G254" s="13"/>
      <c r="H254" s="13"/>
      <c r="I254" s="13"/>
      <c r="J254" s="13"/>
      <c r="K254" s="13"/>
      <c r="L254" s="13"/>
      <c r="M254" s="28"/>
      <c r="N254" s="294"/>
      <c r="O254" s="13"/>
      <c r="P254" s="13"/>
      <c r="Q254" s="13"/>
      <c r="R254" s="13"/>
      <c r="S254" s="13"/>
      <c r="T254" s="13"/>
      <c r="U254" s="13"/>
      <c r="V254" s="13"/>
      <c r="W254" s="13"/>
      <c r="X254" s="13"/>
      <c r="Y254" s="13"/>
      <c r="Z254" s="13"/>
    </row>
    <row r="255" spans="1:26" ht="13.5" customHeight="1">
      <c r="A255" s="13"/>
      <c r="B255" s="13"/>
      <c r="C255" s="13"/>
      <c r="D255" s="13"/>
      <c r="E255" s="13"/>
      <c r="F255" s="13"/>
      <c r="G255" s="13"/>
      <c r="H255" s="13"/>
      <c r="I255" s="13"/>
      <c r="J255" s="13"/>
      <c r="K255" s="13"/>
      <c r="L255" s="13"/>
      <c r="M255" s="28"/>
      <c r="N255" s="294"/>
      <c r="O255" s="13"/>
      <c r="P255" s="13"/>
      <c r="Q255" s="13"/>
      <c r="R255" s="13"/>
      <c r="S255" s="13"/>
      <c r="T255" s="13"/>
      <c r="U255" s="13"/>
      <c r="V255" s="13"/>
      <c r="W255" s="13"/>
      <c r="X255" s="13"/>
      <c r="Y255" s="13"/>
      <c r="Z255" s="13"/>
    </row>
    <row r="256" spans="1:26" ht="13.5" customHeight="1">
      <c r="A256" s="13"/>
      <c r="B256" s="13"/>
      <c r="C256" s="13"/>
      <c r="D256" s="13"/>
      <c r="E256" s="13"/>
      <c r="F256" s="13"/>
      <c r="G256" s="13"/>
      <c r="H256" s="13"/>
      <c r="I256" s="13"/>
      <c r="J256" s="13"/>
      <c r="K256" s="13"/>
      <c r="L256" s="13"/>
      <c r="M256" s="28"/>
      <c r="N256" s="294"/>
      <c r="O256" s="13"/>
      <c r="P256" s="13"/>
      <c r="Q256" s="13"/>
      <c r="R256" s="13"/>
      <c r="S256" s="13"/>
      <c r="T256" s="13"/>
      <c r="U256" s="13"/>
      <c r="V256" s="13"/>
      <c r="W256" s="13"/>
      <c r="X256" s="13"/>
      <c r="Y256" s="13"/>
      <c r="Z256" s="13"/>
    </row>
    <row r="257" spans="1:26" ht="13.5" customHeight="1">
      <c r="A257" s="13"/>
      <c r="B257" s="13"/>
      <c r="C257" s="13"/>
      <c r="D257" s="13"/>
      <c r="E257" s="13"/>
      <c r="F257" s="13"/>
      <c r="G257" s="13"/>
      <c r="H257" s="13"/>
      <c r="I257" s="13"/>
      <c r="J257" s="13"/>
      <c r="K257" s="13"/>
      <c r="L257" s="13"/>
      <c r="M257" s="28"/>
      <c r="N257" s="294"/>
      <c r="O257" s="13"/>
      <c r="P257" s="13"/>
      <c r="Q257" s="13"/>
      <c r="R257" s="13"/>
      <c r="S257" s="13"/>
      <c r="T257" s="13"/>
      <c r="U257" s="13"/>
      <c r="V257" s="13"/>
      <c r="W257" s="13"/>
      <c r="X257" s="13"/>
      <c r="Y257" s="13"/>
      <c r="Z257" s="13"/>
    </row>
    <row r="258" spans="1:26" ht="13.5" customHeight="1">
      <c r="A258" s="13"/>
      <c r="B258" s="13"/>
      <c r="C258" s="13"/>
      <c r="D258" s="13"/>
      <c r="E258" s="13"/>
      <c r="F258" s="13"/>
      <c r="G258" s="13"/>
      <c r="H258" s="13"/>
      <c r="I258" s="13"/>
      <c r="J258" s="13"/>
      <c r="K258" s="13"/>
      <c r="L258" s="13"/>
      <c r="M258" s="28"/>
      <c r="N258" s="294"/>
      <c r="O258" s="13"/>
      <c r="P258" s="13"/>
      <c r="Q258" s="13"/>
      <c r="R258" s="13"/>
      <c r="S258" s="13"/>
      <c r="T258" s="13"/>
      <c r="U258" s="13"/>
      <c r="V258" s="13"/>
      <c r="W258" s="13"/>
      <c r="X258" s="13"/>
      <c r="Y258" s="13"/>
      <c r="Z258" s="13"/>
    </row>
    <row r="259" spans="1:26" ht="13.5" customHeight="1">
      <c r="A259" s="13"/>
      <c r="B259" s="13"/>
      <c r="C259" s="13"/>
      <c r="D259" s="13"/>
      <c r="E259" s="13"/>
      <c r="F259" s="13"/>
      <c r="G259" s="13"/>
      <c r="H259" s="13"/>
      <c r="I259" s="13"/>
      <c r="J259" s="13"/>
      <c r="K259" s="13"/>
      <c r="L259" s="13"/>
      <c r="M259" s="28"/>
      <c r="N259" s="294"/>
      <c r="O259" s="13"/>
      <c r="P259" s="13"/>
      <c r="Q259" s="13"/>
      <c r="R259" s="13"/>
      <c r="S259" s="13"/>
      <c r="T259" s="13"/>
      <c r="U259" s="13"/>
      <c r="V259" s="13"/>
      <c r="W259" s="13"/>
      <c r="X259" s="13"/>
      <c r="Y259" s="13"/>
      <c r="Z259" s="13"/>
    </row>
    <row r="260" spans="1:26" ht="13.5" customHeight="1">
      <c r="A260" s="13"/>
      <c r="B260" s="13"/>
      <c r="C260" s="13"/>
      <c r="D260" s="13"/>
      <c r="E260" s="13"/>
      <c r="F260" s="13"/>
      <c r="G260" s="13"/>
      <c r="H260" s="13"/>
      <c r="I260" s="13"/>
      <c r="J260" s="13"/>
      <c r="K260" s="13"/>
      <c r="L260" s="13"/>
      <c r="M260" s="28"/>
      <c r="N260" s="294"/>
      <c r="O260" s="13"/>
      <c r="P260" s="13"/>
      <c r="Q260" s="13"/>
      <c r="R260" s="13"/>
      <c r="S260" s="13"/>
      <c r="T260" s="13"/>
      <c r="U260" s="13"/>
      <c r="V260" s="13"/>
      <c r="W260" s="13"/>
      <c r="X260" s="13"/>
      <c r="Y260" s="13"/>
      <c r="Z260" s="13"/>
    </row>
    <row r="261" spans="1:26" ht="13.5" customHeight="1">
      <c r="A261" s="13"/>
      <c r="B261" s="13"/>
      <c r="C261" s="13"/>
      <c r="D261" s="13"/>
      <c r="E261" s="13"/>
      <c r="F261" s="13"/>
      <c r="G261" s="13"/>
      <c r="H261" s="13"/>
      <c r="I261" s="13"/>
      <c r="J261" s="13"/>
      <c r="K261" s="13"/>
      <c r="L261" s="13"/>
      <c r="M261" s="28"/>
      <c r="N261" s="294"/>
      <c r="O261" s="13"/>
      <c r="P261" s="13"/>
      <c r="Q261" s="13"/>
      <c r="R261" s="13"/>
      <c r="S261" s="13"/>
      <c r="T261" s="13"/>
      <c r="U261" s="13"/>
      <c r="V261" s="13"/>
      <c r="W261" s="13"/>
      <c r="X261" s="13"/>
      <c r="Y261" s="13"/>
      <c r="Z261" s="13"/>
    </row>
    <row r="262" spans="1:26" ht="13.5" customHeight="1">
      <c r="A262" s="13"/>
      <c r="B262" s="13"/>
      <c r="C262" s="13"/>
      <c r="D262" s="13"/>
      <c r="E262" s="13"/>
      <c r="F262" s="13"/>
      <c r="G262" s="13"/>
      <c r="H262" s="13"/>
      <c r="I262" s="13"/>
      <c r="J262" s="13"/>
      <c r="K262" s="13"/>
      <c r="L262" s="13"/>
      <c r="M262" s="28"/>
      <c r="N262" s="294"/>
      <c r="O262" s="13"/>
      <c r="P262" s="13"/>
      <c r="Q262" s="13"/>
      <c r="R262" s="13"/>
      <c r="S262" s="13"/>
      <c r="T262" s="13"/>
      <c r="U262" s="13"/>
      <c r="V262" s="13"/>
      <c r="W262" s="13"/>
      <c r="X262" s="13"/>
      <c r="Y262" s="13"/>
      <c r="Z262" s="13"/>
    </row>
    <row r="263" spans="1:26" ht="13.5" customHeight="1">
      <c r="A263" s="13"/>
      <c r="B263" s="13"/>
      <c r="C263" s="13"/>
      <c r="D263" s="13"/>
      <c r="E263" s="13"/>
      <c r="F263" s="13"/>
      <c r="G263" s="13"/>
      <c r="H263" s="13"/>
      <c r="I263" s="13"/>
      <c r="J263" s="13"/>
      <c r="K263" s="13"/>
      <c r="L263" s="13"/>
      <c r="M263" s="28"/>
      <c r="N263" s="294"/>
      <c r="O263" s="13"/>
      <c r="P263" s="13"/>
      <c r="Q263" s="13"/>
      <c r="R263" s="13"/>
      <c r="S263" s="13"/>
      <c r="T263" s="13"/>
      <c r="U263" s="13"/>
      <c r="V263" s="13"/>
      <c r="W263" s="13"/>
      <c r="X263" s="13"/>
      <c r="Y263" s="13"/>
      <c r="Z263" s="13"/>
    </row>
    <row r="264" spans="1:26" ht="13.5" customHeight="1">
      <c r="A264" s="13"/>
      <c r="B264" s="13"/>
      <c r="C264" s="13"/>
      <c r="D264" s="13"/>
      <c r="E264" s="13"/>
      <c r="F264" s="13"/>
      <c r="G264" s="13"/>
      <c r="H264" s="13"/>
      <c r="I264" s="13"/>
      <c r="J264" s="13"/>
      <c r="K264" s="13"/>
      <c r="L264" s="13"/>
      <c r="M264" s="28"/>
      <c r="N264" s="294"/>
      <c r="O264" s="13"/>
      <c r="P264" s="13"/>
      <c r="Q264" s="13"/>
      <c r="R264" s="13"/>
      <c r="S264" s="13"/>
      <c r="T264" s="13"/>
      <c r="U264" s="13"/>
      <c r="V264" s="13"/>
      <c r="W264" s="13"/>
      <c r="X264" s="13"/>
      <c r="Y264" s="13"/>
      <c r="Z264" s="13"/>
    </row>
    <row r="265" spans="1:26" ht="13.5" customHeight="1">
      <c r="A265" s="13"/>
      <c r="B265" s="13"/>
      <c r="C265" s="13"/>
      <c r="D265" s="13"/>
      <c r="E265" s="13"/>
      <c r="F265" s="13"/>
      <c r="G265" s="13"/>
      <c r="H265" s="13"/>
      <c r="I265" s="13"/>
      <c r="J265" s="13"/>
      <c r="K265" s="13"/>
      <c r="L265" s="13"/>
      <c r="M265" s="28"/>
      <c r="N265" s="294"/>
      <c r="O265" s="13"/>
      <c r="P265" s="13"/>
      <c r="Q265" s="13"/>
      <c r="R265" s="13"/>
      <c r="S265" s="13"/>
      <c r="T265" s="13"/>
      <c r="U265" s="13"/>
      <c r="V265" s="13"/>
      <c r="W265" s="13"/>
      <c r="X265" s="13"/>
      <c r="Y265" s="13"/>
      <c r="Z265" s="13"/>
    </row>
    <row r="266" spans="1:26" ht="13.5" customHeight="1">
      <c r="A266" s="13"/>
      <c r="B266" s="13"/>
      <c r="C266" s="13"/>
      <c r="D266" s="13"/>
      <c r="E266" s="13"/>
      <c r="F266" s="13"/>
      <c r="G266" s="13"/>
      <c r="H266" s="13"/>
      <c r="I266" s="13"/>
      <c r="J266" s="13"/>
      <c r="K266" s="13"/>
      <c r="L266" s="13"/>
      <c r="M266" s="28"/>
      <c r="N266" s="294"/>
      <c r="O266" s="13"/>
      <c r="P266" s="13"/>
      <c r="Q266" s="13"/>
      <c r="R266" s="13"/>
      <c r="S266" s="13"/>
      <c r="T266" s="13"/>
      <c r="U266" s="13"/>
      <c r="V266" s="13"/>
      <c r="W266" s="13"/>
      <c r="X266" s="13"/>
      <c r="Y266" s="13"/>
      <c r="Z266" s="13"/>
    </row>
    <row r="267" spans="1:26" ht="13.5" customHeight="1">
      <c r="A267" s="13"/>
      <c r="B267" s="13"/>
      <c r="C267" s="13"/>
      <c r="D267" s="13"/>
      <c r="E267" s="13"/>
      <c r="F267" s="13"/>
      <c r="G267" s="13"/>
      <c r="H267" s="13"/>
      <c r="I267" s="13"/>
      <c r="J267" s="13"/>
      <c r="K267" s="13"/>
      <c r="L267" s="13"/>
      <c r="M267" s="28"/>
      <c r="N267" s="294"/>
      <c r="O267" s="13"/>
      <c r="P267" s="13"/>
      <c r="Q267" s="13"/>
      <c r="R267" s="13"/>
      <c r="S267" s="13"/>
      <c r="T267" s="13"/>
      <c r="U267" s="13"/>
      <c r="V267" s="13"/>
      <c r="W267" s="13"/>
      <c r="X267" s="13"/>
      <c r="Y267" s="13"/>
      <c r="Z267" s="13"/>
    </row>
    <row r="268" spans="1:26" ht="13.5" customHeight="1">
      <c r="A268" s="13"/>
      <c r="B268" s="13"/>
      <c r="C268" s="13"/>
      <c r="D268" s="13"/>
      <c r="E268" s="13"/>
      <c r="F268" s="13"/>
      <c r="G268" s="13"/>
      <c r="H268" s="13"/>
      <c r="I268" s="13"/>
      <c r="J268" s="13"/>
      <c r="K268" s="13"/>
      <c r="L268" s="13"/>
      <c r="M268" s="28"/>
      <c r="N268" s="294"/>
      <c r="O268" s="13"/>
      <c r="P268" s="13"/>
      <c r="Q268" s="13"/>
      <c r="R268" s="13"/>
      <c r="S268" s="13"/>
      <c r="T268" s="13"/>
      <c r="U268" s="13"/>
      <c r="V268" s="13"/>
      <c r="W268" s="13"/>
      <c r="X268" s="13"/>
      <c r="Y268" s="13"/>
      <c r="Z268" s="13"/>
    </row>
    <row r="269" spans="1:26" ht="13.5" customHeight="1">
      <c r="A269" s="13"/>
      <c r="B269" s="13"/>
      <c r="C269" s="13"/>
      <c r="D269" s="13"/>
      <c r="E269" s="13"/>
      <c r="F269" s="13"/>
      <c r="G269" s="13"/>
      <c r="H269" s="13"/>
      <c r="I269" s="13"/>
      <c r="J269" s="13"/>
      <c r="K269" s="13"/>
      <c r="L269" s="13"/>
      <c r="M269" s="28"/>
      <c r="N269" s="294"/>
      <c r="O269" s="13"/>
      <c r="P269" s="13"/>
      <c r="Q269" s="13"/>
      <c r="R269" s="13"/>
      <c r="S269" s="13"/>
      <c r="T269" s="13"/>
      <c r="U269" s="13"/>
      <c r="V269" s="13"/>
      <c r="W269" s="13"/>
      <c r="X269" s="13"/>
      <c r="Y269" s="13"/>
      <c r="Z269" s="13"/>
    </row>
    <row r="270" spans="1:26" ht="13.5" customHeight="1">
      <c r="A270" s="13"/>
      <c r="B270" s="13"/>
      <c r="C270" s="13"/>
      <c r="D270" s="13"/>
      <c r="E270" s="13"/>
      <c r="F270" s="13"/>
      <c r="G270" s="13"/>
      <c r="H270" s="13"/>
      <c r="I270" s="13"/>
      <c r="J270" s="13"/>
      <c r="K270" s="13"/>
      <c r="L270" s="13"/>
      <c r="M270" s="28"/>
      <c r="N270" s="294"/>
      <c r="O270" s="13"/>
      <c r="P270" s="13"/>
      <c r="Q270" s="13"/>
      <c r="R270" s="13"/>
      <c r="S270" s="13"/>
      <c r="T270" s="13"/>
      <c r="U270" s="13"/>
      <c r="V270" s="13"/>
      <c r="W270" s="13"/>
      <c r="X270" s="13"/>
      <c r="Y270" s="13"/>
      <c r="Z270" s="13"/>
    </row>
    <row r="271" spans="1:26" ht="13.5" customHeight="1">
      <c r="A271" s="13"/>
      <c r="B271" s="13"/>
      <c r="C271" s="13"/>
      <c r="D271" s="13"/>
      <c r="E271" s="13"/>
      <c r="F271" s="13"/>
      <c r="G271" s="13"/>
      <c r="H271" s="13"/>
      <c r="I271" s="13"/>
      <c r="J271" s="13"/>
      <c r="K271" s="13"/>
      <c r="L271" s="13"/>
      <c r="M271" s="28"/>
      <c r="N271" s="294"/>
      <c r="O271" s="13"/>
      <c r="P271" s="13"/>
      <c r="Q271" s="13"/>
      <c r="R271" s="13"/>
      <c r="S271" s="13"/>
      <c r="T271" s="13"/>
      <c r="U271" s="13"/>
      <c r="V271" s="13"/>
      <c r="W271" s="13"/>
      <c r="X271" s="13"/>
      <c r="Y271" s="13"/>
      <c r="Z271" s="13"/>
    </row>
    <row r="272" spans="1:26" ht="13.5" customHeight="1">
      <c r="A272" s="13"/>
      <c r="B272" s="13"/>
      <c r="C272" s="13"/>
      <c r="D272" s="13"/>
      <c r="E272" s="13"/>
      <c r="F272" s="13"/>
      <c r="G272" s="13"/>
      <c r="H272" s="13"/>
      <c r="I272" s="13"/>
      <c r="J272" s="13"/>
      <c r="K272" s="13"/>
      <c r="L272" s="13"/>
      <c r="M272" s="28"/>
      <c r="N272" s="294"/>
      <c r="O272" s="13"/>
      <c r="P272" s="13"/>
      <c r="Q272" s="13"/>
      <c r="R272" s="13"/>
      <c r="S272" s="13"/>
      <c r="T272" s="13"/>
      <c r="U272" s="13"/>
      <c r="V272" s="13"/>
      <c r="W272" s="13"/>
      <c r="X272" s="13"/>
      <c r="Y272" s="13"/>
      <c r="Z272" s="13"/>
    </row>
    <row r="273" spans="1:26" ht="13.5" customHeight="1">
      <c r="A273" s="13"/>
      <c r="B273" s="13"/>
      <c r="C273" s="13"/>
      <c r="D273" s="13"/>
      <c r="E273" s="13"/>
      <c r="F273" s="13"/>
      <c r="G273" s="13"/>
      <c r="H273" s="13"/>
      <c r="I273" s="13"/>
      <c r="J273" s="13"/>
      <c r="K273" s="13"/>
      <c r="L273" s="13"/>
      <c r="M273" s="28"/>
      <c r="N273" s="294"/>
      <c r="O273" s="13"/>
      <c r="P273" s="13"/>
      <c r="Q273" s="13"/>
      <c r="R273" s="13"/>
      <c r="S273" s="13"/>
      <c r="T273" s="13"/>
      <c r="U273" s="13"/>
      <c r="V273" s="13"/>
      <c r="W273" s="13"/>
      <c r="X273" s="13"/>
      <c r="Y273" s="13"/>
      <c r="Z273" s="13"/>
    </row>
    <row r="274" spans="1:26" ht="13.5" customHeight="1">
      <c r="A274" s="13"/>
      <c r="B274" s="13"/>
      <c r="C274" s="13"/>
      <c r="D274" s="13"/>
      <c r="E274" s="13"/>
      <c r="F274" s="13"/>
      <c r="G274" s="13"/>
      <c r="H274" s="13"/>
      <c r="I274" s="13"/>
      <c r="J274" s="13"/>
      <c r="K274" s="13"/>
      <c r="L274" s="13"/>
      <c r="M274" s="28"/>
      <c r="N274" s="294"/>
      <c r="O274" s="13"/>
      <c r="P274" s="13"/>
      <c r="Q274" s="13"/>
      <c r="R274" s="13"/>
      <c r="S274" s="13"/>
      <c r="T274" s="13"/>
      <c r="U274" s="13"/>
      <c r="V274" s="13"/>
      <c r="W274" s="13"/>
      <c r="X274" s="13"/>
      <c r="Y274" s="13"/>
      <c r="Z274" s="13"/>
    </row>
    <row r="275" spans="1:26" ht="13.5" customHeight="1">
      <c r="A275" s="13"/>
      <c r="B275" s="13"/>
      <c r="C275" s="13"/>
      <c r="D275" s="13"/>
      <c r="E275" s="13"/>
      <c r="F275" s="13"/>
      <c r="G275" s="13"/>
      <c r="H275" s="13"/>
      <c r="I275" s="13"/>
      <c r="J275" s="13"/>
      <c r="K275" s="13"/>
      <c r="L275" s="13"/>
      <c r="M275" s="28"/>
      <c r="N275" s="294"/>
      <c r="O275" s="13"/>
      <c r="P275" s="13"/>
      <c r="Q275" s="13"/>
      <c r="R275" s="13"/>
      <c r="S275" s="13"/>
      <c r="T275" s="13"/>
      <c r="U275" s="13"/>
      <c r="V275" s="13"/>
      <c r="W275" s="13"/>
      <c r="X275" s="13"/>
      <c r="Y275" s="13"/>
      <c r="Z275" s="13"/>
    </row>
    <row r="276" spans="1:26" ht="13.5" customHeight="1">
      <c r="A276" s="13"/>
      <c r="B276" s="13"/>
      <c r="C276" s="13"/>
      <c r="D276" s="13"/>
      <c r="E276" s="13"/>
      <c r="F276" s="13"/>
      <c r="G276" s="13"/>
      <c r="H276" s="13"/>
      <c r="I276" s="13"/>
      <c r="J276" s="13"/>
      <c r="K276" s="13"/>
      <c r="L276" s="13"/>
      <c r="M276" s="28"/>
      <c r="N276" s="294"/>
      <c r="O276" s="13"/>
      <c r="P276" s="13"/>
      <c r="Q276" s="13"/>
      <c r="R276" s="13"/>
      <c r="S276" s="13"/>
      <c r="T276" s="13"/>
      <c r="U276" s="13"/>
      <c r="V276" s="13"/>
      <c r="W276" s="13"/>
      <c r="X276" s="13"/>
      <c r="Y276" s="13"/>
      <c r="Z276" s="13"/>
    </row>
    <row r="277" spans="1:26" ht="13.5" customHeight="1">
      <c r="A277" s="13"/>
      <c r="B277" s="13"/>
      <c r="C277" s="13"/>
      <c r="D277" s="13"/>
      <c r="E277" s="13"/>
      <c r="F277" s="13"/>
      <c r="G277" s="13"/>
      <c r="H277" s="13"/>
      <c r="I277" s="13"/>
      <c r="J277" s="13"/>
      <c r="K277" s="13"/>
      <c r="L277" s="13"/>
      <c r="M277" s="28"/>
      <c r="N277" s="294"/>
      <c r="O277" s="13"/>
      <c r="P277" s="13"/>
      <c r="Q277" s="13"/>
      <c r="R277" s="13"/>
      <c r="S277" s="13"/>
      <c r="T277" s="13"/>
      <c r="U277" s="13"/>
      <c r="V277" s="13"/>
      <c r="W277" s="13"/>
      <c r="X277" s="13"/>
      <c r="Y277" s="13"/>
      <c r="Z277" s="13"/>
    </row>
    <row r="278" spans="1:26" ht="13.5" customHeight="1">
      <c r="A278" s="13"/>
      <c r="B278" s="13"/>
      <c r="C278" s="13"/>
      <c r="D278" s="13"/>
      <c r="E278" s="13"/>
      <c r="F278" s="13"/>
      <c r="G278" s="13"/>
      <c r="H278" s="13"/>
      <c r="I278" s="13"/>
      <c r="J278" s="13"/>
      <c r="K278" s="13"/>
      <c r="L278" s="13"/>
      <c r="M278" s="28"/>
      <c r="N278" s="294"/>
      <c r="O278" s="13"/>
      <c r="P278" s="13"/>
      <c r="Q278" s="13"/>
      <c r="R278" s="13"/>
      <c r="S278" s="13"/>
      <c r="T278" s="13"/>
      <c r="U278" s="13"/>
      <c r="V278" s="13"/>
      <c r="W278" s="13"/>
      <c r="X278" s="13"/>
      <c r="Y278" s="13"/>
      <c r="Z278" s="13"/>
    </row>
    <row r="279" spans="1:26" ht="13.5" customHeight="1">
      <c r="A279" s="13"/>
      <c r="B279" s="13"/>
      <c r="C279" s="13"/>
      <c r="D279" s="13"/>
      <c r="E279" s="13"/>
      <c r="F279" s="13"/>
      <c r="G279" s="13"/>
      <c r="H279" s="13"/>
      <c r="I279" s="13"/>
      <c r="J279" s="13"/>
      <c r="K279" s="13"/>
      <c r="L279" s="13"/>
      <c r="M279" s="28"/>
      <c r="N279" s="294"/>
      <c r="O279" s="13"/>
      <c r="P279" s="13"/>
      <c r="Q279" s="13"/>
      <c r="R279" s="13"/>
      <c r="S279" s="13"/>
      <c r="T279" s="13"/>
      <c r="U279" s="13"/>
      <c r="V279" s="13"/>
      <c r="W279" s="13"/>
      <c r="X279" s="13"/>
      <c r="Y279" s="13"/>
      <c r="Z279" s="13"/>
    </row>
    <row r="280" spans="1:26" ht="13.5" customHeight="1">
      <c r="A280" s="13"/>
      <c r="B280" s="13"/>
      <c r="C280" s="13"/>
      <c r="D280" s="13"/>
      <c r="E280" s="13"/>
      <c r="F280" s="13"/>
      <c r="G280" s="13"/>
      <c r="H280" s="13"/>
      <c r="I280" s="13"/>
      <c r="J280" s="13"/>
      <c r="K280" s="13"/>
      <c r="L280" s="13"/>
      <c r="M280" s="28"/>
      <c r="N280" s="294"/>
      <c r="O280" s="13"/>
      <c r="P280" s="13"/>
      <c r="Q280" s="13"/>
      <c r="R280" s="13"/>
      <c r="S280" s="13"/>
      <c r="T280" s="13"/>
      <c r="U280" s="13"/>
      <c r="V280" s="13"/>
      <c r="W280" s="13"/>
      <c r="X280" s="13"/>
      <c r="Y280" s="13"/>
      <c r="Z280" s="13"/>
    </row>
    <row r="281" spans="1:26" ht="13.5" customHeight="1">
      <c r="A281" s="13"/>
      <c r="B281" s="13"/>
      <c r="C281" s="13"/>
      <c r="D281" s="13"/>
      <c r="E281" s="13"/>
      <c r="F281" s="13"/>
      <c r="G281" s="13"/>
      <c r="H281" s="13"/>
      <c r="I281" s="13"/>
      <c r="J281" s="13"/>
      <c r="K281" s="13"/>
      <c r="L281" s="13"/>
      <c r="M281" s="28"/>
      <c r="N281" s="294"/>
      <c r="O281" s="13"/>
      <c r="P281" s="13"/>
      <c r="Q281" s="13"/>
      <c r="R281" s="13"/>
      <c r="S281" s="13"/>
      <c r="T281" s="13"/>
      <c r="U281" s="13"/>
      <c r="V281" s="13"/>
      <c r="W281" s="13"/>
      <c r="X281" s="13"/>
      <c r="Y281" s="13"/>
      <c r="Z281" s="13"/>
    </row>
    <row r="282" spans="1:26" ht="13.5" customHeight="1">
      <c r="A282" s="13"/>
      <c r="B282" s="13"/>
      <c r="C282" s="13"/>
      <c r="D282" s="13"/>
      <c r="E282" s="13"/>
      <c r="F282" s="13"/>
      <c r="G282" s="13"/>
      <c r="H282" s="13"/>
      <c r="I282" s="13"/>
      <c r="J282" s="13"/>
      <c r="K282" s="13"/>
      <c r="L282" s="13"/>
      <c r="M282" s="28"/>
      <c r="N282" s="294"/>
      <c r="O282" s="13"/>
      <c r="P282" s="13"/>
      <c r="Q282" s="13"/>
      <c r="R282" s="13"/>
      <c r="S282" s="13"/>
      <c r="T282" s="13"/>
      <c r="U282" s="13"/>
      <c r="V282" s="13"/>
      <c r="W282" s="13"/>
      <c r="X282" s="13"/>
      <c r="Y282" s="13"/>
      <c r="Z282" s="13"/>
    </row>
    <row r="283" spans="1:26" ht="13.5" customHeight="1">
      <c r="A283" s="13"/>
      <c r="B283" s="13"/>
      <c r="C283" s="13"/>
      <c r="D283" s="13"/>
      <c r="E283" s="13"/>
      <c r="F283" s="13"/>
      <c r="G283" s="13"/>
      <c r="H283" s="13"/>
      <c r="I283" s="13"/>
      <c r="J283" s="13"/>
      <c r="K283" s="13"/>
      <c r="L283" s="13"/>
      <c r="M283" s="28"/>
      <c r="N283" s="294"/>
      <c r="O283" s="13"/>
      <c r="P283" s="13"/>
      <c r="Q283" s="13"/>
      <c r="R283" s="13"/>
      <c r="S283" s="13"/>
      <c r="T283" s="13"/>
      <c r="U283" s="13"/>
      <c r="V283" s="13"/>
      <c r="W283" s="13"/>
      <c r="X283" s="13"/>
      <c r="Y283" s="13"/>
      <c r="Z283" s="13"/>
    </row>
    <row r="284" spans="1:26" ht="13.5" customHeight="1">
      <c r="A284" s="13"/>
      <c r="B284" s="13"/>
      <c r="C284" s="13"/>
      <c r="D284" s="13"/>
      <c r="E284" s="13"/>
      <c r="F284" s="13"/>
      <c r="G284" s="13"/>
      <c r="H284" s="13"/>
      <c r="I284" s="13"/>
      <c r="J284" s="13"/>
      <c r="K284" s="13"/>
      <c r="L284" s="13"/>
      <c r="M284" s="28"/>
      <c r="N284" s="294"/>
      <c r="O284" s="13"/>
      <c r="P284" s="13"/>
      <c r="Q284" s="13"/>
      <c r="R284" s="13"/>
      <c r="S284" s="13"/>
      <c r="T284" s="13"/>
      <c r="U284" s="13"/>
      <c r="V284" s="13"/>
      <c r="W284" s="13"/>
      <c r="X284" s="13"/>
      <c r="Y284" s="13"/>
      <c r="Z284" s="13"/>
    </row>
    <row r="285" spans="1:26" ht="13.5" customHeight="1">
      <c r="A285" s="13"/>
      <c r="B285" s="13"/>
      <c r="C285" s="13"/>
      <c r="D285" s="13"/>
      <c r="E285" s="13"/>
      <c r="F285" s="13"/>
      <c r="G285" s="13"/>
      <c r="H285" s="13"/>
      <c r="I285" s="13"/>
      <c r="J285" s="13"/>
      <c r="K285" s="13"/>
      <c r="L285" s="13"/>
      <c r="M285" s="28"/>
      <c r="N285" s="294"/>
      <c r="O285" s="13"/>
      <c r="P285" s="13"/>
      <c r="Q285" s="13"/>
      <c r="R285" s="13"/>
      <c r="S285" s="13"/>
      <c r="T285" s="13"/>
      <c r="U285" s="13"/>
      <c r="V285" s="13"/>
      <c r="W285" s="13"/>
      <c r="X285" s="13"/>
      <c r="Y285" s="13"/>
      <c r="Z285" s="13"/>
    </row>
    <row r="286" spans="1:26" ht="13.5" customHeight="1">
      <c r="A286" s="13"/>
      <c r="B286" s="13"/>
      <c r="C286" s="13"/>
      <c r="D286" s="13"/>
      <c r="E286" s="13"/>
      <c r="F286" s="13"/>
      <c r="G286" s="13"/>
      <c r="H286" s="13"/>
      <c r="I286" s="13"/>
      <c r="J286" s="13"/>
      <c r="K286" s="13"/>
      <c r="L286" s="13"/>
      <c r="M286" s="28"/>
      <c r="N286" s="294"/>
      <c r="O286" s="13"/>
      <c r="P286" s="13"/>
      <c r="Q286" s="13"/>
      <c r="R286" s="13"/>
      <c r="S286" s="13"/>
      <c r="T286" s="13"/>
      <c r="U286" s="13"/>
      <c r="V286" s="13"/>
      <c r="W286" s="13"/>
      <c r="X286" s="13"/>
      <c r="Y286" s="13"/>
      <c r="Z286" s="13"/>
    </row>
    <row r="287" spans="1:26" ht="13.5" customHeight="1">
      <c r="A287" s="13"/>
      <c r="B287" s="13"/>
      <c r="C287" s="13"/>
      <c r="D287" s="13"/>
      <c r="E287" s="13"/>
      <c r="F287" s="13"/>
      <c r="G287" s="13"/>
      <c r="H287" s="13"/>
      <c r="I287" s="13"/>
      <c r="J287" s="13"/>
      <c r="K287" s="13"/>
      <c r="L287" s="13"/>
      <c r="M287" s="28"/>
      <c r="N287" s="294"/>
      <c r="O287" s="13"/>
      <c r="P287" s="13"/>
      <c r="Q287" s="13"/>
      <c r="R287" s="13"/>
      <c r="S287" s="13"/>
      <c r="T287" s="13"/>
      <c r="U287" s="13"/>
      <c r="V287" s="13"/>
      <c r="W287" s="13"/>
      <c r="X287" s="13"/>
      <c r="Y287" s="13"/>
      <c r="Z287" s="13"/>
    </row>
    <row r="288" spans="1:26" ht="13.5" customHeight="1">
      <c r="A288" s="13"/>
      <c r="B288" s="13"/>
      <c r="C288" s="13"/>
      <c r="D288" s="13"/>
      <c r="E288" s="13"/>
      <c r="F288" s="13"/>
      <c r="G288" s="13"/>
      <c r="H288" s="13"/>
      <c r="I288" s="13"/>
      <c r="J288" s="13"/>
      <c r="K288" s="13"/>
      <c r="L288" s="13"/>
      <c r="M288" s="28"/>
      <c r="N288" s="294"/>
      <c r="O288" s="13"/>
      <c r="P288" s="13"/>
      <c r="Q288" s="13"/>
      <c r="R288" s="13"/>
      <c r="S288" s="13"/>
      <c r="T288" s="13"/>
      <c r="U288" s="13"/>
      <c r="V288" s="13"/>
      <c r="W288" s="13"/>
      <c r="X288" s="13"/>
      <c r="Y288" s="13"/>
      <c r="Z288" s="13"/>
    </row>
    <row r="289" spans="1:26" ht="13.5" customHeight="1">
      <c r="A289" s="13"/>
      <c r="B289" s="13"/>
      <c r="C289" s="13"/>
      <c r="D289" s="13"/>
      <c r="E289" s="13"/>
      <c r="F289" s="13"/>
      <c r="G289" s="13"/>
      <c r="H289" s="13"/>
      <c r="I289" s="13"/>
      <c r="J289" s="13"/>
      <c r="K289" s="13"/>
      <c r="L289" s="13"/>
      <c r="M289" s="28"/>
      <c r="N289" s="294"/>
      <c r="O289" s="13"/>
      <c r="P289" s="13"/>
      <c r="Q289" s="13"/>
      <c r="R289" s="13"/>
      <c r="S289" s="13"/>
      <c r="T289" s="13"/>
      <c r="U289" s="13"/>
      <c r="V289" s="13"/>
      <c r="W289" s="13"/>
      <c r="X289" s="13"/>
      <c r="Y289" s="13"/>
      <c r="Z289" s="13"/>
    </row>
    <row r="290" spans="1:26" ht="13.5" customHeight="1">
      <c r="A290" s="13"/>
      <c r="B290" s="13"/>
      <c r="C290" s="13"/>
      <c r="D290" s="13"/>
      <c r="E290" s="13"/>
      <c r="F290" s="13"/>
      <c r="G290" s="13"/>
      <c r="H290" s="13"/>
      <c r="I290" s="13"/>
      <c r="J290" s="13"/>
      <c r="K290" s="13"/>
      <c r="L290" s="13"/>
      <c r="M290" s="28"/>
      <c r="N290" s="294"/>
      <c r="O290" s="13"/>
      <c r="P290" s="13"/>
      <c r="Q290" s="13"/>
      <c r="R290" s="13"/>
      <c r="S290" s="13"/>
      <c r="T290" s="13"/>
      <c r="U290" s="13"/>
      <c r="V290" s="13"/>
      <c r="W290" s="13"/>
      <c r="X290" s="13"/>
      <c r="Y290" s="13"/>
      <c r="Z290" s="13"/>
    </row>
    <row r="291" spans="1:26" ht="13.5" customHeight="1">
      <c r="A291" s="13"/>
      <c r="B291" s="13"/>
      <c r="C291" s="13"/>
      <c r="D291" s="13"/>
      <c r="E291" s="13"/>
      <c r="F291" s="13"/>
      <c r="G291" s="13"/>
      <c r="H291" s="13"/>
      <c r="I291" s="13"/>
      <c r="J291" s="13"/>
      <c r="K291" s="13"/>
      <c r="L291" s="13"/>
      <c r="M291" s="28"/>
      <c r="N291" s="294"/>
      <c r="O291" s="13"/>
      <c r="P291" s="13"/>
      <c r="Q291" s="13"/>
      <c r="R291" s="13"/>
      <c r="S291" s="13"/>
      <c r="T291" s="13"/>
      <c r="U291" s="13"/>
      <c r="V291" s="13"/>
      <c r="W291" s="13"/>
      <c r="X291" s="13"/>
      <c r="Y291" s="13"/>
      <c r="Z291" s="13"/>
    </row>
    <row r="292" spans="1:26" ht="13.5" customHeight="1">
      <c r="A292" s="13"/>
      <c r="B292" s="13"/>
      <c r="C292" s="13"/>
      <c r="D292" s="13"/>
      <c r="E292" s="13"/>
      <c r="F292" s="13"/>
      <c r="G292" s="13"/>
      <c r="H292" s="13"/>
      <c r="I292" s="13"/>
      <c r="J292" s="13"/>
      <c r="K292" s="13"/>
      <c r="L292" s="13"/>
      <c r="M292" s="28"/>
      <c r="N292" s="294"/>
      <c r="O292" s="13"/>
      <c r="P292" s="13"/>
      <c r="Q292" s="13"/>
      <c r="R292" s="13"/>
      <c r="S292" s="13"/>
      <c r="T292" s="13"/>
      <c r="U292" s="13"/>
      <c r="V292" s="13"/>
      <c r="W292" s="13"/>
      <c r="X292" s="13"/>
      <c r="Y292" s="13"/>
      <c r="Z292" s="13"/>
    </row>
    <row r="293" spans="1:26" ht="13.5" customHeight="1">
      <c r="A293" s="13"/>
      <c r="B293" s="13"/>
      <c r="C293" s="13"/>
      <c r="D293" s="13"/>
      <c r="E293" s="13"/>
      <c r="F293" s="13"/>
      <c r="G293" s="13"/>
      <c r="H293" s="13"/>
      <c r="I293" s="13"/>
      <c r="J293" s="13"/>
      <c r="K293" s="13"/>
      <c r="L293" s="13"/>
      <c r="M293" s="28"/>
      <c r="N293" s="294"/>
      <c r="O293" s="13"/>
      <c r="P293" s="13"/>
      <c r="Q293" s="13"/>
      <c r="R293" s="13"/>
      <c r="S293" s="13"/>
      <c r="T293" s="13"/>
      <c r="U293" s="13"/>
      <c r="V293" s="13"/>
      <c r="W293" s="13"/>
      <c r="X293" s="13"/>
      <c r="Y293" s="13"/>
      <c r="Z293" s="13"/>
    </row>
    <row r="294" spans="1:26" ht="13.5" customHeight="1">
      <c r="A294" s="13"/>
      <c r="B294" s="13"/>
      <c r="C294" s="13"/>
      <c r="D294" s="13"/>
      <c r="E294" s="13"/>
      <c r="F294" s="13"/>
      <c r="G294" s="13"/>
      <c r="H294" s="13"/>
      <c r="I294" s="13"/>
      <c r="J294" s="13"/>
      <c r="K294" s="13"/>
      <c r="L294" s="13"/>
      <c r="M294" s="28"/>
      <c r="N294" s="294"/>
      <c r="O294" s="13"/>
      <c r="P294" s="13"/>
      <c r="Q294" s="13"/>
      <c r="R294" s="13"/>
      <c r="S294" s="13"/>
      <c r="T294" s="13"/>
      <c r="U294" s="13"/>
      <c r="V294" s="13"/>
      <c r="W294" s="13"/>
      <c r="X294" s="13"/>
      <c r="Y294" s="13"/>
      <c r="Z294" s="13"/>
    </row>
    <row r="295" spans="1:26" ht="13.5" customHeight="1">
      <c r="A295" s="13"/>
      <c r="B295" s="13"/>
      <c r="C295" s="13"/>
      <c r="D295" s="13"/>
      <c r="E295" s="13"/>
      <c r="F295" s="13"/>
      <c r="G295" s="13"/>
      <c r="H295" s="13"/>
      <c r="I295" s="13"/>
      <c r="J295" s="13"/>
      <c r="K295" s="13"/>
      <c r="L295" s="13"/>
      <c r="M295" s="28"/>
      <c r="N295" s="294"/>
      <c r="O295" s="13"/>
      <c r="P295" s="13"/>
      <c r="Q295" s="13"/>
      <c r="R295" s="13"/>
      <c r="S295" s="13"/>
      <c r="T295" s="13"/>
      <c r="U295" s="13"/>
      <c r="V295" s="13"/>
      <c r="W295" s="13"/>
      <c r="X295" s="13"/>
      <c r="Y295" s="13"/>
      <c r="Z295" s="13"/>
    </row>
    <row r="296" spans="1:26" ht="13.5" customHeight="1">
      <c r="A296" s="13"/>
      <c r="B296" s="13"/>
      <c r="C296" s="13"/>
      <c r="D296" s="13"/>
      <c r="E296" s="13"/>
      <c r="F296" s="13"/>
      <c r="G296" s="13"/>
      <c r="H296" s="13"/>
      <c r="I296" s="13"/>
      <c r="J296" s="13"/>
      <c r="K296" s="13"/>
      <c r="L296" s="13"/>
      <c r="M296" s="28"/>
      <c r="N296" s="294"/>
      <c r="O296" s="13"/>
      <c r="P296" s="13"/>
      <c r="Q296" s="13"/>
      <c r="R296" s="13"/>
      <c r="S296" s="13"/>
      <c r="T296" s="13"/>
      <c r="U296" s="13"/>
      <c r="V296" s="13"/>
      <c r="W296" s="13"/>
      <c r="X296" s="13"/>
      <c r="Y296" s="13"/>
      <c r="Z296" s="13"/>
    </row>
    <row r="297" spans="1:26" ht="13.5" customHeight="1">
      <c r="A297" s="13"/>
      <c r="B297" s="13"/>
      <c r="C297" s="13"/>
      <c r="D297" s="13"/>
      <c r="E297" s="13"/>
      <c r="F297" s="13"/>
      <c r="G297" s="13"/>
      <c r="H297" s="13"/>
      <c r="I297" s="13"/>
      <c r="J297" s="13"/>
      <c r="K297" s="13"/>
      <c r="L297" s="13"/>
      <c r="M297" s="28"/>
      <c r="N297" s="294"/>
      <c r="O297" s="13"/>
      <c r="P297" s="13"/>
      <c r="Q297" s="13"/>
      <c r="R297" s="13"/>
      <c r="S297" s="13"/>
      <c r="T297" s="13"/>
      <c r="U297" s="13"/>
      <c r="V297" s="13"/>
      <c r="W297" s="13"/>
      <c r="X297" s="13"/>
      <c r="Y297" s="13"/>
      <c r="Z297" s="13"/>
    </row>
    <row r="298" spans="1:26" ht="13.5" customHeight="1">
      <c r="A298" s="13"/>
      <c r="B298" s="13"/>
      <c r="C298" s="13"/>
      <c r="D298" s="13"/>
      <c r="E298" s="13"/>
      <c r="F298" s="13"/>
      <c r="G298" s="13"/>
      <c r="H298" s="13"/>
      <c r="I298" s="13"/>
      <c r="J298" s="13"/>
      <c r="K298" s="13"/>
      <c r="L298" s="13"/>
      <c r="M298" s="28"/>
      <c r="N298" s="294"/>
      <c r="O298" s="13"/>
      <c r="P298" s="13"/>
      <c r="Q298" s="13"/>
      <c r="R298" s="13"/>
      <c r="S298" s="13"/>
      <c r="T298" s="13"/>
      <c r="U298" s="13"/>
      <c r="V298" s="13"/>
      <c r="W298" s="13"/>
      <c r="X298" s="13"/>
      <c r="Y298" s="13"/>
      <c r="Z298" s="13"/>
    </row>
    <row r="299" spans="1:26" ht="13.5" customHeight="1">
      <c r="A299" s="13"/>
      <c r="B299" s="13"/>
      <c r="C299" s="13"/>
      <c r="D299" s="13"/>
      <c r="E299" s="13"/>
      <c r="F299" s="13"/>
      <c r="G299" s="13"/>
      <c r="H299" s="13"/>
      <c r="I299" s="13"/>
      <c r="J299" s="13"/>
      <c r="K299" s="13"/>
      <c r="L299" s="13"/>
      <c r="M299" s="28"/>
      <c r="N299" s="294"/>
      <c r="O299" s="13"/>
      <c r="P299" s="13"/>
      <c r="Q299" s="13"/>
      <c r="R299" s="13"/>
      <c r="S299" s="13"/>
      <c r="T299" s="13"/>
      <c r="U299" s="13"/>
      <c r="V299" s="13"/>
      <c r="W299" s="13"/>
      <c r="X299" s="13"/>
      <c r="Y299" s="13"/>
      <c r="Z299" s="13"/>
    </row>
    <row r="300" spans="1:26" ht="13.5" customHeight="1">
      <c r="A300" s="13"/>
      <c r="B300" s="13"/>
      <c r="C300" s="13"/>
      <c r="D300" s="13"/>
      <c r="E300" s="13"/>
      <c r="F300" s="13"/>
      <c r="G300" s="13"/>
      <c r="H300" s="13"/>
      <c r="I300" s="13"/>
      <c r="J300" s="13"/>
      <c r="K300" s="13"/>
      <c r="L300" s="13"/>
      <c r="M300" s="28"/>
      <c r="N300" s="294"/>
      <c r="O300" s="13"/>
      <c r="P300" s="13"/>
      <c r="Q300" s="13"/>
      <c r="R300" s="13"/>
      <c r="S300" s="13"/>
      <c r="T300" s="13"/>
      <c r="U300" s="13"/>
      <c r="V300" s="13"/>
      <c r="W300" s="13"/>
      <c r="X300" s="13"/>
      <c r="Y300" s="13"/>
      <c r="Z300" s="13"/>
    </row>
    <row r="301" spans="1:26" ht="13.5" customHeight="1">
      <c r="A301" s="13"/>
      <c r="B301" s="13"/>
      <c r="C301" s="13"/>
      <c r="D301" s="13"/>
      <c r="E301" s="13"/>
      <c r="F301" s="13"/>
      <c r="G301" s="13"/>
      <c r="H301" s="13"/>
      <c r="I301" s="13"/>
      <c r="J301" s="13"/>
      <c r="K301" s="13"/>
      <c r="L301" s="13"/>
      <c r="M301" s="28"/>
      <c r="N301" s="294"/>
      <c r="O301" s="13"/>
      <c r="P301" s="13"/>
      <c r="Q301" s="13"/>
      <c r="R301" s="13"/>
      <c r="S301" s="13"/>
      <c r="T301" s="13"/>
      <c r="U301" s="13"/>
      <c r="V301" s="13"/>
      <c r="W301" s="13"/>
      <c r="X301" s="13"/>
      <c r="Y301" s="13"/>
      <c r="Z301" s="13"/>
    </row>
    <row r="302" spans="1:26" ht="13.5" customHeight="1">
      <c r="A302" s="13"/>
      <c r="B302" s="13"/>
      <c r="C302" s="13"/>
      <c r="D302" s="13"/>
      <c r="E302" s="13"/>
      <c r="F302" s="13"/>
      <c r="G302" s="13"/>
      <c r="H302" s="13"/>
      <c r="I302" s="13"/>
      <c r="J302" s="13"/>
      <c r="K302" s="13"/>
      <c r="L302" s="13"/>
      <c r="M302" s="28"/>
      <c r="N302" s="294"/>
      <c r="O302" s="13"/>
      <c r="P302" s="13"/>
      <c r="Q302" s="13"/>
      <c r="R302" s="13"/>
      <c r="S302" s="13"/>
      <c r="T302" s="13"/>
      <c r="U302" s="13"/>
      <c r="V302" s="13"/>
      <c r="W302" s="13"/>
      <c r="X302" s="13"/>
      <c r="Y302" s="13"/>
      <c r="Z302" s="13"/>
    </row>
    <row r="303" spans="1:26" ht="13.5" customHeight="1">
      <c r="A303" s="13"/>
      <c r="B303" s="13"/>
      <c r="C303" s="13"/>
      <c r="D303" s="13"/>
      <c r="E303" s="13"/>
      <c r="F303" s="13"/>
      <c r="G303" s="13"/>
      <c r="H303" s="13"/>
      <c r="I303" s="13"/>
      <c r="J303" s="13"/>
      <c r="K303" s="13"/>
      <c r="L303" s="13"/>
      <c r="M303" s="28"/>
      <c r="N303" s="294"/>
      <c r="O303" s="13"/>
      <c r="P303" s="13"/>
      <c r="Q303" s="13"/>
      <c r="R303" s="13"/>
      <c r="S303" s="13"/>
      <c r="T303" s="13"/>
      <c r="U303" s="13"/>
      <c r="V303" s="13"/>
      <c r="W303" s="13"/>
      <c r="X303" s="13"/>
      <c r="Y303" s="13"/>
      <c r="Z303" s="13"/>
    </row>
    <row r="304" spans="1:26" ht="13.5" customHeight="1">
      <c r="A304" s="13"/>
      <c r="B304" s="13"/>
      <c r="C304" s="13"/>
      <c r="D304" s="13"/>
      <c r="E304" s="13"/>
      <c r="F304" s="13"/>
      <c r="G304" s="13"/>
      <c r="H304" s="13"/>
      <c r="I304" s="13"/>
      <c r="J304" s="13"/>
      <c r="K304" s="13"/>
      <c r="L304" s="13"/>
      <c r="M304" s="28"/>
      <c r="N304" s="294"/>
      <c r="O304" s="13"/>
      <c r="P304" s="13"/>
      <c r="Q304" s="13"/>
      <c r="R304" s="13"/>
      <c r="S304" s="13"/>
      <c r="T304" s="13"/>
      <c r="U304" s="13"/>
      <c r="V304" s="13"/>
      <c r="W304" s="13"/>
      <c r="X304" s="13"/>
      <c r="Y304" s="13"/>
      <c r="Z304" s="13"/>
    </row>
    <row r="305" spans="1:26" ht="13.5" customHeight="1">
      <c r="A305" s="13"/>
      <c r="B305" s="13"/>
      <c r="C305" s="13"/>
      <c r="D305" s="13"/>
      <c r="E305" s="13"/>
      <c r="F305" s="13"/>
      <c r="G305" s="13"/>
      <c r="H305" s="13"/>
      <c r="I305" s="13"/>
      <c r="J305" s="13"/>
      <c r="K305" s="13"/>
      <c r="L305" s="13"/>
      <c r="M305" s="28"/>
      <c r="N305" s="294"/>
      <c r="O305" s="13"/>
      <c r="P305" s="13"/>
      <c r="Q305" s="13"/>
      <c r="R305" s="13"/>
      <c r="S305" s="13"/>
      <c r="T305" s="13"/>
      <c r="U305" s="13"/>
      <c r="V305" s="13"/>
      <c r="W305" s="13"/>
      <c r="X305" s="13"/>
      <c r="Y305" s="13"/>
      <c r="Z305" s="13"/>
    </row>
    <row r="306" spans="1:26" ht="13.5" customHeight="1">
      <c r="A306" s="13"/>
      <c r="B306" s="13"/>
      <c r="C306" s="13"/>
      <c r="D306" s="13"/>
      <c r="E306" s="13"/>
      <c r="F306" s="13"/>
      <c r="G306" s="13"/>
      <c r="H306" s="13"/>
      <c r="I306" s="13"/>
      <c r="J306" s="13"/>
      <c r="K306" s="13"/>
      <c r="L306" s="13"/>
      <c r="M306" s="28"/>
      <c r="N306" s="294"/>
      <c r="O306" s="13"/>
      <c r="P306" s="13"/>
      <c r="Q306" s="13"/>
      <c r="R306" s="13"/>
      <c r="S306" s="13"/>
      <c r="T306" s="13"/>
      <c r="U306" s="13"/>
      <c r="V306" s="13"/>
      <c r="W306" s="13"/>
      <c r="X306" s="13"/>
      <c r="Y306" s="13"/>
      <c r="Z306" s="13"/>
    </row>
    <row r="307" spans="1:26" ht="13.5" customHeight="1">
      <c r="A307" s="13"/>
      <c r="B307" s="13"/>
      <c r="C307" s="13"/>
      <c r="D307" s="13"/>
      <c r="E307" s="13"/>
      <c r="F307" s="13"/>
      <c r="G307" s="13"/>
      <c r="H307" s="13"/>
      <c r="I307" s="13"/>
      <c r="J307" s="13"/>
      <c r="K307" s="13"/>
      <c r="L307" s="13"/>
      <c r="M307" s="28"/>
      <c r="N307" s="294"/>
      <c r="O307" s="13"/>
      <c r="P307" s="13"/>
      <c r="Q307" s="13"/>
      <c r="R307" s="13"/>
      <c r="S307" s="13"/>
      <c r="T307" s="13"/>
      <c r="U307" s="13"/>
      <c r="V307" s="13"/>
      <c r="W307" s="13"/>
      <c r="X307" s="13"/>
      <c r="Y307" s="13"/>
      <c r="Z307" s="13"/>
    </row>
    <row r="308" spans="1:26" ht="13.5" customHeight="1">
      <c r="A308" s="13"/>
      <c r="B308" s="13"/>
      <c r="C308" s="13"/>
      <c r="D308" s="13"/>
      <c r="E308" s="13"/>
      <c r="F308" s="13"/>
      <c r="G308" s="13"/>
      <c r="H308" s="13"/>
      <c r="I308" s="13"/>
      <c r="J308" s="13"/>
      <c r="K308" s="13"/>
      <c r="L308" s="13"/>
      <c r="M308" s="28"/>
      <c r="N308" s="294"/>
      <c r="O308" s="13"/>
      <c r="P308" s="13"/>
      <c r="Q308" s="13"/>
      <c r="R308" s="13"/>
      <c r="S308" s="13"/>
      <c r="T308" s="13"/>
      <c r="U308" s="13"/>
      <c r="V308" s="13"/>
      <c r="W308" s="13"/>
      <c r="X308" s="13"/>
      <c r="Y308" s="13"/>
      <c r="Z308" s="13"/>
    </row>
    <row r="309" spans="1:26" ht="13.5" customHeight="1">
      <c r="A309" s="13"/>
      <c r="B309" s="13"/>
      <c r="C309" s="13"/>
      <c r="D309" s="13"/>
      <c r="E309" s="13"/>
      <c r="F309" s="13"/>
      <c r="G309" s="13"/>
      <c r="H309" s="13"/>
      <c r="I309" s="13"/>
      <c r="J309" s="13"/>
      <c r="K309" s="13"/>
      <c r="L309" s="13"/>
      <c r="M309" s="28"/>
      <c r="N309" s="294"/>
      <c r="O309" s="13"/>
      <c r="P309" s="13"/>
      <c r="Q309" s="13"/>
      <c r="R309" s="13"/>
      <c r="S309" s="13"/>
      <c r="T309" s="13"/>
      <c r="U309" s="13"/>
      <c r="V309" s="13"/>
      <c r="W309" s="13"/>
      <c r="X309" s="13"/>
      <c r="Y309" s="13"/>
      <c r="Z309" s="13"/>
    </row>
    <row r="310" spans="1:26" ht="13.5" customHeight="1">
      <c r="A310" s="13"/>
      <c r="B310" s="13"/>
      <c r="C310" s="13"/>
      <c r="D310" s="13"/>
      <c r="E310" s="13"/>
      <c r="F310" s="13"/>
      <c r="G310" s="13"/>
      <c r="H310" s="13"/>
      <c r="I310" s="13"/>
      <c r="J310" s="13"/>
      <c r="K310" s="13"/>
      <c r="L310" s="13"/>
      <c r="M310" s="28"/>
      <c r="N310" s="294"/>
      <c r="O310" s="13"/>
      <c r="P310" s="13"/>
      <c r="Q310" s="13"/>
      <c r="R310" s="13"/>
      <c r="S310" s="13"/>
      <c r="T310" s="13"/>
      <c r="U310" s="13"/>
      <c r="V310" s="13"/>
      <c r="W310" s="13"/>
      <c r="X310" s="13"/>
      <c r="Y310" s="13"/>
      <c r="Z310" s="13"/>
    </row>
    <row r="311" spans="1:26" ht="13.5" customHeight="1">
      <c r="A311" s="13"/>
      <c r="B311" s="13"/>
      <c r="C311" s="13"/>
      <c r="D311" s="13"/>
      <c r="E311" s="13"/>
      <c r="F311" s="13"/>
      <c r="G311" s="13"/>
      <c r="H311" s="13"/>
      <c r="I311" s="13"/>
      <c r="J311" s="13"/>
      <c r="K311" s="13"/>
      <c r="L311" s="13"/>
      <c r="M311" s="28"/>
      <c r="N311" s="294"/>
      <c r="O311" s="13"/>
      <c r="P311" s="13"/>
      <c r="Q311" s="13"/>
      <c r="R311" s="13"/>
      <c r="S311" s="13"/>
      <c r="T311" s="13"/>
      <c r="U311" s="13"/>
      <c r="V311" s="13"/>
      <c r="W311" s="13"/>
      <c r="X311" s="13"/>
      <c r="Y311" s="13"/>
      <c r="Z311" s="13"/>
    </row>
    <row r="312" spans="1:26" ht="13.5" customHeight="1">
      <c r="A312" s="13"/>
      <c r="B312" s="13"/>
      <c r="C312" s="13"/>
      <c r="D312" s="13"/>
      <c r="E312" s="13"/>
      <c r="F312" s="13"/>
      <c r="G312" s="13"/>
      <c r="H312" s="13"/>
      <c r="I312" s="13"/>
      <c r="J312" s="13"/>
      <c r="K312" s="13"/>
      <c r="L312" s="13"/>
      <c r="M312" s="28"/>
      <c r="N312" s="294"/>
      <c r="O312" s="13"/>
      <c r="P312" s="13"/>
      <c r="Q312" s="13"/>
      <c r="R312" s="13"/>
      <c r="S312" s="13"/>
      <c r="T312" s="13"/>
      <c r="U312" s="13"/>
      <c r="V312" s="13"/>
      <c r="W312" s="13"/>
      <c r="X312" s="13"/>
      <c r="Y312" s="13"/>
      <c r="Z312" s="13"/>
    </row>
    <row r="313" spans="1:26" ht="13.5" customHeight="1">
      <c r="A313" s="13"/>
      <c r="B313" s="13"/>
      <c r="C313" s="13"/>
      <c r="D313" s="13"/>
      <c r="E313" s="13"/>
      <c r="F313" s="13"/>
      <c r="G313" s="13"/>
      <c r="H313" s="13"/>
      <c r="I313" s="13"/>
      <c r="J313" s="13"/>
      <c r="K313" s="13"/>
      <c r="L313" s="13"/>
      <c r="M313" s="28"/>
      <c r="N313" s="294"/>
      <c r="O313" s="13"/>
      <c r="P313" s="13"/>
      <c r="Q313" s="13"/>
      <c r="R313" s="13"/>
      <c r="S313" s="13"/>
      <c r="T313" s="13"/>
      <c r="U313" s="13"/>
      <c r="V313" s="13"/>
      <c r="W313" s="13"/>
      <c r="X313" s="13"/>
      <c r="Y313" s="13"/>
      <c r="Z313" s="13"/>
    </row>
    <row r="314" spans="1:26" ht="13.5" customHeight="1">
      <c r="A314" s="13"/>
      <c r="B314" s="13"/>
      <c r="C314" s="13"/>
      <c r="D314" s="13"/>
      <c r="E314" s="13"/>
      <c r="F314" s="13"/>
      <c r="G314" s="13"/>
      <c r="H314" s="13"/>
      <c r="I314" s="13"/>
      <c r="J314" s="13"/>
      <c r="K314" s="13"/>
      <c r="L314" s="13"/>
      <c r="M314" s="28"/>
      <c r="N314" s="294"/>
      <c r="O314" s="13"/>
      <c r="P314" s="13"/>
      <c r="Q314" s="13"/>
      <c r="R314" s="13"/>
      <c r="S314" s="13"/>
      <c r="T314" s="13"/>
      <c r="U314" s="13"/>
      <c r="V314" s="13"/>
      <c r="W314" s="13"/>
      <c r="X314" s="13"/>
      <c r="Y314" s="13"/>
      <c r="Z314" s="13"/>
    </row>
    <row r="315" spans="1:26" ht="13.5" customHeight="1">
      <c r="A315" s="13"/>
      <c r="B315" s="13"/>
      <c r="C315" s="13"/>
      <c r="D315" s="13"/>
      <c r="E315" s="13"/>
      <c r="F315" s="13"/>
      <c r="G315" s="13"/>
      <c r="H315" s="13"/>
      <c r="I315" s="13"/>
      <c r="J315" s="13"/>
      <c r="K315" s="13"/>
      <c r="L315" s="13"/>
      <c r="M315" s="28"/>
      <c r="N315" s="294"/>
      <c r="O315" s="13"/>
      <c r="P315" s="13"/>
      <c r="Q315" s="13"/>
      <c r="R315" s="13"/>
      <c r="S315" s="13"/>
      <c r="T315" s="13"/>
      <c r="U315" s="13"/>
      <c r="V315" s="13"/>
      <c r="W315" s="13"/>
      <c r="X315" s="13"/>
      <c r="Y315" s="13"/>
      <c r="Z315" s="13"/>
    </row>
    <row r="316" spans="1:26" ht="13.5" customHeight="1">
      <c r="A316" s="13"/>
      <c r="B316" s="13"/>
      <c r="C316" s="13"/>
      <c r="D316" s="13"/>
      <c r="E316" s="13"/>
      <c r="F316" s="13"/>
      <c r="G316" s="13"/>
      <c r="H316" s="13"/>
      <c r="I316" s="13"/>
      <c r="J316" s="13"/>
      <c r="K316" s="13"/>
      <c r="L316" s="13"/>
      <c r="M316" s="28"/>
      <c r="N316" s="294"/>
      <c r="O316" s="13"/>
      <c r="P316" s="13"/>
      <c r="Q316" s="13"/>
      <c r="R316" s="13"/>
      <c r="S316" s="13"/>
      <c r="T316" s="13"/>
      <c r="U316" s="13"/>
      <c r="V316" s="13"/>
      <c r="W316" s="13"/>
      <c r="X316" s="13"/>
      <c r="Y316" s="13"/>
      <c r="Z316" s="13"/>
    </row>
    <row r="317" spans="1:26" ht="13.5" customHeight="1">
      <c r="A317" s="13"/>
      <c r="B317" s="13"/>
      <c r="C317" s="13"/>
      <c r="D317" s="13"/>
      <c r="E317" s="13"/>
      <c r="F317" s="13"/>
      <c r="G317" s="13"/>
      <c r="H317" s="13"/>
      <c r="I317" s="13"/>
      <c r="J317" s="13"/>
      <c r="K317" s="13"/>
      <c r="L317" s="13"/>
      <c r="M317" s="28"/>
      <c r="N317" s="294"/>
      <c r="O317" s="13"/>
      <c r="P317" s="13"/>
      <c r="Q317" s="13"/>
      <c r="R317" s="13"/>
      <c r="S317" s="13"/>
      <c r="T317" s="13"/>
      <c r="U317" s="13"/>
      <c r="V317" s="13"/>
      <c r="W317" s="13"/>
      <c r="X317" s="13"/>
      <c r="Y317" s="13"/>
      <c r="Z317" s="13"/>
    </row>
    <row r="318" spans="1:26" ht="13.5" customHeight="1">
      <c r="A318" s="13"/>
      <c r="B318" s="13"/>
      <c r="C318" s="13"/>
      <c r="D318" s="13"/>
      <c r="E318" s="13"/>
      <c r="F318" s="13"/>
      <c r="G318" s="13"/>
      <c r="H318" s="13"/>
      <c r="I318" s="13"/>
      <c r="J318" s="13"/>
      <c r="K318" s="13"/>
      <c r="L318" s="13"/>
      <c r="M318" s="28"/>
      <c r="N318" s="294"/>
      <c r="O318" s="13"/>
      <c r="P318" s="13"/>
      <c r="Q318" s="13"/>
      <c r="R318" s="13"/>
      <c r="S318" s="13"/>
      <c r="T318" s="13"/>
      <c r="U318" s="13"/>
      <c r="V318" s="13"/>
      <c r="W318" s="13"/>
      <c r="X318" s="13"/>
      <c r="Y318" s="13"/>
      <c r="Z318" s="13"/>
    </row>
    <row r="319" spans="1:26" ht="13.5" customHeight="1">
      <c r="A319" s="13"/>
      <c r="B319" s="13"/>
      <c r="C319" s="13"/>
      <c r="D319" s="13"/>
      <c r="E319" s="13"/>
      <c r="F319" s="13"/>
      <c r="G319" s="13"/>
      <c r="H319" s="13"/>
      <c r="I319" s="13"/>
      <c r="J319" s="13"/>
      <c r="K319" s="13"/>
      <c r="L319" s="13"/>
      <c r="M319" s="28"/>
      <c r="N319" s="294"/>
      <c r="O319" s="13"/>
      <c r="P319" s="13"/>
      <c r="Q319" s="13"/>
      <c r="R319" s="13"/>
      <c r="S319" s="13"/>
      <c r="T319" s="13"/>
      <c r="U319" s="13"/>
      <c r="V319" s="13"/>
      <c r="W319" s="13"/>
      <c r="X319" s="13"/>
      <c r="Y319" s="13"/>
      <c r="Z319" s="13"/>
    </row>
    <row r="320" spans="1:26" ht="13.5" customHeight="1">
      <c r="A320" s="13"/>
      <c r="B320" s="13"/>
      <c r="C320" s="13"/>
      <c r="D320" s="13"/>
      <c r="E320" s="13"/>
      <c r="F320" s="13"/>
      <c r="G320" s="13"/>
      <c r="H320" s="13"/>
      <c r="I320" s="13"/>
      <c r="J320" s="13"/>
      <c r="K320" s="13"/>
      <c r="L320" s="13"/>
      <c r="M320" s="28"/>
      <c r="N320" s="294"/>
      <c r="O320" s="13"/>
      <c r="P320" s="13"/>
      <c r="Q320" s="13"/>
      <c r="R320" s="13"/>
      <c r="S320" s="13"/>
      <c r="T320" s="13"/>
      <c r="U320" s="13"/>
      <c r="V320" s="13"/>
      <c r="W320" s="13"/>
      <c r="X320" s="13"/>
      <c r="Y320" s="13"/>
      <c r="Z320" s="13"/>
    </row>
    <row r="321" spans="1:26" ht="13.5" customHeight="1">
      <c r="A321" s="13"/>
      <c r="B321" s="13"/>
      <c r="C321" s="13"/>
      <c r="D321" s="13"/>
      <c r="E321" s="13"/>
      <c r="F321" s="13"/>
      <c r="G321" s="13"/>
      <c r="H321" s="13"/>
      <c r="I321" s="13"/>
      <c r="J321" s="13"/>
      <c r="K321" s="13"/>
      <c r="L321" s="13"/>
      <c r="M321" s="28"/>
      <c r="N321" s="294"/>
      <c r="O321" s="13"/>
      <c r="P321" s="13"/>
      <c r="Q321" s="13"/>
      <c r="R321" s="13"/>
      <c r="S321" s="13"/>
      <c r="T321" s="13"/>
      <c r="U321" s="13"/>
      <c r="V321" s="13"/>
      <c r="W321" s="13"/>
      <c r="X321" s="13"/>
      <c r="Y321" s="13"/>
      <c r="Z321" s="13"/>
    </row>
    <row r="322" spans="1:26" ht="13.5" customHeight="1">
      <c r="A322" s="13"/>
      <c r="B322" s="13"/>
      <c r="C322" s="13"/>
      <c r="D322" s="13"/>
      <c r="E322" s="13"/>
      <c r="F322" s="13"/>
      <c r="G322" s="13"/>
      <c r="H322" s="13"/>
      <c r="I322" s="13"/>
      <c r="J322" s="13"/>
      <c r="K322" s="13"/>
      <c r="L322" s="13"/>
      <c r="M322" s="28"/>
      <c r="N322" s="294"/>
      <c r="O322" s="13"/>
      <c r="P322" s="13"/>
      <c r="Q322" s="13"/>
      <c r="R322" s="13"/>
      <c r="S322" s="13"/>
      <c r="T322" s="13"/>
      <c r="U322" s="13"/>
      <c r="V322" s="13"/>
      <c r="W322" s="13"/>
      <c r="X322" s="13"/>
      <c r="Y322" s="13"/>
      <c r="Z322" s="13"/>
    </row>
    <row r="323" spans="1:26" ht="13.5" customHeight="1">
      <c r="A323" s="13"/>
      <c r="B323" s="13"/>
      <c r="C323" s="13"/>
      <c r="D323" s="13"/>
      <c r="E323" s="13"/>
      <c r="F323" s="13"/>
      <c r="G323" s="13"/>
      <c r="H323" s="13"/>
      <c r="I323" s="13"/>
      <c r="J323" s="13"/>
      <c r="K323" s="13"/>
      <c r="L323" s="13"/>
      <c r="M323" s="28"/>
      <c r="N323" s="294"/>
      <c r="O323" s="13"/>
      <c r="P323" s="13"/>
      <c r="Q323" s="13"/>
      <c r="R323" s="13"/>
      <c r="S323" s="13"/>
      <c r="T323" s="13"/>
      <c r="U323" s="13"/>
      <c r="V323" s="13"/>
      <c r="W323" s="13"/>
      <c r="X323" s="13"/>
      <c r="Y323" s="13"/>
      <c r="Z323" s="13"/>
    </row>
    <row r="324" spans="1:26" ht="13.5" customHeight="1">
      <c r="A324" s="13"/>
      <c r="B324" s="13"/>
      <c r="C324" s="13"/>
      <c r="D324" s="13"/>
      <c r="E324" s="13"/>
      <c r="F324" s="13"/>
      <c r="G324" s="13"/>
      <c r="H324" s="13"/>
      <c r="I324" s="13"/>
      <c r="J324" s="13"/>
      <c r="K324" s="13"/>
      <c r="L324" s="13"/>
      <c r="M324" s="28"/>
      <c r="N324" s="294"/>
      <c r="O324" s="13"/>
      <c r="P324" s="13"/>
      <c r="Q324" s="13"/>
      <c r="R324" s="13"/>
      <c r="S324" s="13"/>
      <c r="T324" s="13"/>
      <c r="U324" s="13"/>
      <c r="V324" s="13"/>
      <c r="W324" s="13"/>
      <c r="X324" s="13"/>
      <c r="Y324" s="13"/>
      <c r="Z324" s="13"/>
    </row>
    <row r="325" spans="1:26" ht="13.5" customHeight="1">
      <c r="A325" s="13"/>
      <c r="B325" s="13"/>
      <c r="C325" s="13"/>
      <c r="D325" s="13"/>
      <c r="E325" s="13"/>
      <c r="F325" s="13"/>
      <c r="G325" s="13"/>
      <c r="H325" s="13"/>
      <c r="I325" s="13"/>
      <c r="J325" s="13"/>
      <c r="K325" s="13"/>
      <c r="L325" s="13"/>
      <c r="M325" s="28"/>
      <c r="N325" s="294"/>
      <c r="O325" s="13"/>
      <c r="P325" s="13"/>
      <c r="Q325" s="13"/>
      <c r="R325" s="13"/>
      <c r="S325" s="13"/>
      <c r="T325" s="13"/>
      <c r="U325" s="13"/>
      <c r="V325" s="13"/>
      <c r="W325" s="13"/>
      <c r="X325" s="13"/>
      <c r="Y325" s="13"/>
      <c r="Z325" s="13"/>
    </row>
    <row r="326" spans="1:26" ht="13.5" customHeight="1">
      <c r="A326" s="13"/>
      <c r="B326" s="13"/>
      <c r="C326" s="13"/>
      <c r="D326" s="13"/>
      <c r="E326" s="13"/>
      <c r="F326" s="13"/>
      <c r="G326" s="13"/>
      <c r="H326" s="13"/>
      <c r="I326" s="13"/>
      <c r="J326" s="13"/>
      <c r="K326" s="13"/>
      <c r="L326" s="13"/>
      <c r="M326" s="28"/>
      <c r="N326" s="294"/>
      <c r="O326" s="13"/>
      <c r="P326" s="13"/>
      <c r="Q326" s="13"/>
      <c r="R326" s="13"/>
      <c r="S326" s="13"/>
      <c r="T326" s="13"/>
      <c r="U326" s="13"/>
      <c r="V326" s="13"/>
      <c r="W326" s="13"/>
      <c r="X326" s="13"/>
      <c r="Y326" s="13"/>
      <c r="Z326" s="13"/>
    </row>
    <row r="327" spans="1:26" ht="13.5" customHeight="1">
      <c r="A327" s="13"/>
      <c r="B327" s="13"/>
      <c r="C327" s="13"/>
      <c r="D327" s="13"/>
      <c r="E327" s="13"/>
      <c r="F327" s="13"/>
      <c r="G327" s="13"/>
      <c r="H327" s="13"/>
      <c r="I327" s="13"/>
      <c r="J327" s="13"/>
      <c r="K327" s="13"/>
      <c r="L327" s="13"/>
      <c r="M327" s="28"/>
      <c r="N327" s="294"/>
      <c r="O327" s="13"/>
      <c r="P327" s="13"/>
      <c r="Q327" s="13"/>
      <c r="R327" s="13"/>
      <c r="S327" s="13"/>
      <c r="T327" s="13"/>
      <c r="U327" s="13"/>
      <c r="V327" s="13"/>
      <c r="W327" s="13"/>
      <c r="X327" s="13"/>
      <c r="Y327" s="13"/>
      <c r="Z327" s="13"/>
    </row>
    <row r="328" spans="1:26" ht="13.5" customHeight="1">
      <c r="A328" s="13"/>
      <c r="B328" s="13"/>
      <c r="C328" s="13"/>
      <c r="D328" s="13"/>
      <c r="E328" s="13"/>
      <c r="F328" s="13"/>
      <c r="G328" s="13"/>
      <c r="H328" s="13"/>
      <c r="I328" s="13"/>
      <c r="J328" s="13"/>
      <c r="K328" s="13"/>
      <c r="L328" s="13"/>
      <c r="M328" s="28"/>
      <c r="N328" s="294"/>
      <c r="O328" s="13"/>
      <c r="P328" s="13"/>
      <c r="Q328" s="13"/>
      <c r="R328" s="13"/>
      <c r="S328" s="13"/>
      <c r="T328" s="13"/>
      <c r="U328" s="13"/>
      <c r="V328" s="13"/>
      <c r="W328" s="13"/>
      <c r="X328" s="13"/>
      <c r="Y328" s="13"/>
      <c r="Z328" s="13"/>
    </row>
    <row r="329" spans="1:26" ht="13.5" customHeight="1">
      <c r="A329" s="13"/>
      <c r="B329" s="13"/>
      <c r="C329" s="13"/>
      <c r="D329" s="13"/>
      <c r="E329" s="13"/>
      <c r="F329" s="13"/>
      <c r="G329" s="13"/>
      <c r="H329" s="13"/>
      <c r="I329" s="13"/>
      <c r="J329" s="13"/>
      <c r="K329" s="13"/>
      <c r="L329" s="13"/>
      <c r="M329" s="28"/>
      <c r="N329" s="294"/>
      <c r="O329" s="13"/>
      <c r="P329" s="13"/>
      <c r="Q329" s="13"/>
      <c r="R329" s="13"/>
      <c r="S329" s="13"/>
      <c r="T329" s="13"/>
      <c r="U329" s="13"/>
      <c r="V329" s="13"/>
      <c r="W329" s="13"/>
      <c r="X329" s="13"/>
      <c r="Y329" s="13"/>
      <c r="Z329" s="13"/>
    </row>
    <row r="330" spans="1:26" ht="13.5" customHeight="1">
      <c r="A330" s="13"/>
      <c r="B330" s="13"/>
      <c r="C330" s="13"/>
      <c r="D330" s="13"/>
      <c r="E330" s="13"/>
      <c r="F330" s="13"/>
      <c r="G330" s="13"/>
      <c r="H330" s="13"/>
      <c r="I330" s="13"/>
      <c r="J330" s="13"/>
      <c r="K330" s="13"/>
      <c r="L330" s="13"/>
      <c r="M330" s="28"/>
      <c r="N330" s="294"/>
      <c r="O330" s="13"/>
      <c r="P330" s="13"/>
      <c r="Q330" s="13"/>
      <c r="R330" s="13"/>
      <c r="S330" s="13"/>
      <c r="T330" s="13"/>
      <c r="U330" s="13"/>
      <c r="V330" s="13"/>
      <c r="W330" s="13"/>
      <c r="X330" s="13"/>
      <c r="Y330" s="13"/>
      <c r="Z330" s="13"/>
    </row>
    <row r="331" spans="1:26" ht="13.5" customHeight="1">
      <c r="A331" s="13"/>
      <c r="B331" s="13"/>
      <c r="C331" s="13"/>
      <c r="D331" s="13"/>
      <c r="E331" s="13"/>
      <c r="F331" s="13"/>
      <c r="G331" s="13"/>
      <c r="H331" s="13"/>
      <c r="I331" s="13"/>
      <c r="J331" s="13"/>
      <c r="K331" s="13"/>
      <c r="L331" s="13"/>
      <c r="M331" s="28"/>
      <c r="N331" s="294"/>
      <c r="O331" s="13"/>
      <c r="P331" s="13"/>
      <c r="Q331" s="13"/>
      <c r="R331" s="13"/>
      <c r="S331" s="13"/>
      <c r="T331" s="13"/>
      <c r="U331" s="13"/>
      <c r="V331" s="13"/>
      <c r="W331" s="13"/>
      <c r="X331" s="13"/>
      <c r="Y331" s="13"/>
      <c r="Z331" s="13"/>
    </row>
    <row r="332" spans="1:26" ht="13.5" customHeight="1">
      <c r="A332" s="13"/>
      <c r="B332" s="13"/>
      <c r="C332" s="13"/>
      <c r="D332" s="13"/>
      <c r="E332" s="13"/>
      <c r="F332" s="13"/>
      <c r="G332" s="13"/>
      <c r="H332" s="13"/>
      <c r="I332" s="13"/>
      <c r="J332" s="13"/>
      <c r="K332" s="13"/>
      <c r="L332" s="13"/>
      <c r="M332" s="28"/>
      <c r="N332" s="294"/>
      <c r="O332" s="13"/>
      <c r="P332" s="13"/>
      <c r="Q332" s="13"/>
      <c r="R332" s="13"/>
      <c r="S332" s="13"/>
      <c r="T332" s="13"/>
      <c r="U332" s="13"/>
      <c r="V332" s="13"/>
      <c r="W332" s="13"/>
      <c r="X332" s="13"/>
      <c r="Y332" s="13"/>
      <c r="Z332" s="13"/>
    </row>
    <row r="333" spans="1:26" ht="13.5" customHeight="1">
      <c r="A333" s="13"/>
      <c r="B333" s="13"/>
      <c r="C333" s="13"/>
      <c r="D333" s="13"/>
      <c r="E333" s="13"/>
      <c r="F333" s="13"/>
      <c r="G333" s="13"/>
      <c r="H333" s="13"/>
      <c r="I333" s="13"/>
      <c r="J333" s="13"/>
      <c r="K333" s="13"/>
      <c r="L333" s="13"/>
      <c r="M333" s="28"/>
      <c r="N333" s="294"/>
      <c r="O333" s="13"/>
      <c r="P333" s="13"/>
      <c r="Q333" s="13"/>
      <c r="R333" s="13"/>
      <c r="S333" s="13"/>
      <c r="T333" s="13"/>
      <c r="U333" s="13"/>
      <c r="V333" s="13"/>
      <c r="W333" s="13"/>
      <c r="X333" s="13"/>
      <c r="Y333" s="13"/>
      <c r="Z333" s="13"/>
    </row>
    <row r="334" spans="1:26" ht="13.5" customHeight="1">
      <c r="A334" s="13"/>
      <c r="B334" s="13"/>
      <c r="C334" s="13"/>
      <c r="D334" s="13"/>
      <c r="E334" s="13"/>
      <c r="F334" s="13"/>
      <c r="G334" s="13"/>
      <c r="H334" s="13"/>
      <c r="I334" s="13"/>
      <c r="J334" s="13"/>
      <c r="K334" s="13"/>
      <c r="L334" s="13"/>
      <c r="M334" s="28"/>
      <c r="N334" s="294"/>
      <c r="O334" s="13"/>
      <c r="P334" s="13"/>
      <c r="Q334" s="13"/>
      <c r="R334" s="13"/>
      <c r="S334" s="13"/>
      <c r="T334" s="13"/>
      <c r="U334" s="13"/>
      <c r="V334" s="13"/>
      <c r="W334" s="13"/>
      <c r="X334" s="13"/>
      <c r="Y334" s="13"/>
      <c r="Z334" s="13"/>
    </row>
    <row r="335" spans="1:26" ht="13.5" customHeight="1">
      <c r="A335" s="13"/>
      <c r="B335" s="13"/>
      <c r="C335" s="13"/>
      <c r="D335" s="13"/>
      <c r="E335" s="13"/>
      <c r="F335" s="13"/>
      <c r="G335" s="13"/>
      <c r="H335" s="13"/>
      <c r="I335" s="13"/>
      <c r="J335" s="13"/>
      <c r="K335" s="13"/>
      <c r="L335" s="13"/>
      <c r="M335" s="28"/>
      <c r="N335" s="294"/>
      <c r="O335" s="13"/>
      <c r="P335" s="13"/>
      <c r="Q335" s="13"/>
      <c r="R335" s="13"/>
      <c r="S335" s="13"/>
      <c r="T335" s="13"/>
      <c r="U335" s="13"/>
      <c r="V335" s="13"/>
      <c r="W335" s="13"/>
      <c r="X335" s="13"/>
      <c r="Y335" s="13"/>
      <c r="Z335" s="13"/>
    </row>
    <row r="336" spans="1:26" ht="13.5" customHeight="1">
      <c r="A336" s="13"/>
      <c r="B336" s="13"/>
      <c r="C336" s="13"/>
      <c r="D336" s="13"/>
      <c r="E336" s="13"/>
      <c r="F336" s="13"/>
      <c r="G336" s="13"/>
      <c r="H336" s="13"/>
      <c r="I336" s="13"/>
      <c r="J336" s="13"/>
      <c r="K336" s="13"/>
      <c r="L336" s="13"/>
      <c r="M336" s="28"/>
      <c r="N336" s="294"/>
      <c r="O336" s="13"/>
      <c r="P336" s="13"/>
      <c r="Q336" s="13"/>
      <c r="R336" s="13"/>
      <c r="S336" s="13"/>
      <c r="T336" s="13"/>
      <c r="U336" s="13"/>
      <c r="V336" s="13"/>
      <c r="W336" s="13"/>
      <c r="X336" s="13"/>
      <c r="Y336" s="13"/>
      <c r="Z336" s="13"/>
    </row>
    <row r="337" spans="1:26" ht="13.5" customHeight="1">
      <c r="A337" s="13"/>
      <c r="B337" s="13"/>
      <c r="C337" s="13"/>
      <c r="D337" s="13"/>
      <c r="E337" s="13"/>
      <c r="F337" s="13"/>
      <c r="G337" s="13"/>
      <c r="H337" s="13"/>
      <c r="I337" s="13"/>
      <c r="J337" s="13"/>
      <c r="K337" s="13"/>
      <c r="L337" s="13"/>
      <c r="M337" s="28"/>
      <c r="N337" s="294"/>
      <c r="O337" s="13"/>
      <c r="P337" s="13"/>
      <c r="Q337" s="13"/>
      <c r="R337" s="13"/>
      <c r="S337" s="13"/>
      <c r="T337" s="13"/>
      <c r="U337" s="13"/>
      <c r="V337" s="13"/>
      <c r="W337" s="13"/>
      <c r="X337" s="13"/>
      <c r="Y337" s="13"/>
      <c r="Z337" s="13"/>
    </row>
    <row r="338" spans="1:26" ht="13.5" customHeight="1">
      <c r="A338" s="13"/>
      <c r="B338" s="13"/>
      <c r="C338" s="13"/>
      <c r="D338" s="13"/>
      <c r="E338" s="13"/>
      <c r="F338" s="13"/>
      <c r="G338" s="13"/>
      <c r="H338" s="13"/>
      <c r="I338" s="13"/>
      <c r="J338" s="13"/>
      <c r="K338" s="13"/>
      <c r="L338" s="13"/>
      <c r="M338" s="28"/>
      <c r="N338" s="294"/>
      <c r="O338" s="13"/>
      <c r="P338" s="13"/>
      <c r="Q338" s="13"/>
      <c r="R338" s="13"/>
      <c r="S338" s="13"/>
      <c r="T338" s="13"/>
      <c r="U338" s="13"/>
      <c r="V338" s="13"/>
      <c r="W338" s="13"/>
      <c r="X338" s="13"/>
      <c r="Y338" s="13"/>
      <c r="Z338" s="13"/>
    </row>
    <row r="339" spans="1:26" ht="13.5" customHeight="1">
      <c r="A339" s="13"/>
      <c r="B339" s="13"/>
      <c r="C339" s="13"/>
      <c r="D339" s="13"/>
      <c r="E339" s="13"/>
      <c r="F339" s="13"/>
      <c r="G339" s="13"/>
      <c r="H339" s="13"/>
      <c r="I339" s="13"/>
      <c r="J339" s="13"/>
      <c r="K339" s="13"/>
      <c r="L339" s="13"/>
      <c r="M339" s="28"/>
      <c r="N339" s="294"/>
      <c r="O339" s="13"/>
      <c r="P339" s="13"/>
      <c r="Q339" s="13"/>
      <c r="R339" s="13"/>
      <c r="S339" s="13"/>
      <c r="T339" s="13"/>
      <c r="U339" s="13"/>
      <c r="V339" s="13"/>
      <c r="W339" s="13"/>
      <c r="X339" s="13"/>
      <c r="Y339" s="13"/>
      <c r="Z339" s="13"/>
    </row>
    <row r="340" spans="1:26" ht="13.5" customHeight="1">
      <c r="A340" s="13"/>
      <c r="B340" s="13"/>
      <c r="C340" s="13"/>
      <c r="D340" s="13"/>
      <c r="E340" s="13"/>
      <c r="F340" s="13"/>
      <c r="G340" s="13"/>
      <c r="H340" s="13"/>
      <c r="I340" s="13"/>
      <c r="J340" s="13"/>
      <c r="K340" s="13"/>
      <c r="L340" s="13"/>
      <c r="M340" s="28"/>
      <c r="N340" s="294"/>
      <c r="O340" s="13"/>
      <c r="P340" s="13"/>
      <c r="Q340" s="13"/>
      <c r="R340" s="13"/>
      <c r="S340" s="13"/>
      <c r="T340" s="13"/>
      <c r="U340" s="13"/>
      <c r="V340" s="13"/>
      <c r="W340" s="13"/>
      <c r="X340" s="13"/>
      <c r="Y340" s="13"/>
      <c r="Z340" s="13"/>
    </row>
    <row r="341" spans="1:26" ht="13.5" customHeight="1">
      <c r="A341" s="13"/>
      <c r="B341" s="13"/>
      <c r="C341" s="13"/>
      <c r="D341" s="13"/>
      <c r="E341" s="13"/>
      <c r="F341" s="13"/>
      <c r="G341" s="13"/>
      <c r="H341" s="13"/>
      <c r="I341" s="13"/>
      <c r="J341" s="13"/>
      <c r="K341" s="13"/>
      <c r="L341" s="13"/>
      <c r="M341" s="28"/>
      <c r="N341" s="294"/>
      <c r="O341" s="13"/>
      <c r="P341" s="13"/>
      <c r="Q341" s="13"/>
      <c r="R341" s="13"/>
      <c r="S341" s="13"/>
      <c r="T341" s="13"/>
      <c r="U341" s="13"/>
      <c r="V341" s="13"/>
      <c r="W341" s="13"/>
      <c r="X341" s="13"/>
      <c r="Y341" s="13"/>
      <c r="Z341" s="13"/>
    </row>
    <row r="342" spans="1:26" ht="13.5" customHeight="1">
      <c r="A342" s="13"/>
      <c r="B342" s="13"/>
      <c r="C342" s="13"/>
      <c r="D342" s="13"/>
      <c r="E342" s="13"/>
      <c r="F342" s="13"/>
      <c r="G342" s="13"/>
      <c r="H342" s="13"/>
      <c r="I342" s="13"/>
      <c r="J342" s="13"/>
      <c r="K342" s="13"/>
      <c r="L342" s="13"/>
      <c r="M342" s="28"/>
      <c r="N342" s="294"/>
      <c r="O342" s="13"/>
      <c r="P342" s="13"/>
      <c r="Q342" s="13"/>
      <c r="R342" s="13"/>
      <c r="S342" s="13"/>
      <c r="T342" s="13"/>
      <c r="U342" s="13"/>
      <c r="V342" s="13"/>
      <c r="W342" s="13"/>
      <c r="X342" s="13"/>
      <c r="Y342" s="13"/>
      <c r="Z342" s="13"/>
    </row>
    <row r="343" spans="1:26" ht="13.5" customHeight="1">
      <c r="A343" s="13"/>
      <c r="B343" s="13"/>
      <c r="C343" s="13"/>
      <c r="D343" s="13"/>
      <c r="E343" s="13"/>
      <c r="F343" s="13"/>
      <c r="G343" s="13"/>
      <c r="H343" s="13"/>
      <c r="I343" s="13"/>
      <c r="J343" s="13"/>
      <c r="K343" s="13"/>
      <c r="L343" s="13"/>
      <c r="M343" s="28"/>
      <c r="N343" s="294"/>
      <c r="O343" s="13"/>
      <c r="P343" s="13"/>
      <c r="Q343" s="13"/>
      <c r="R343" s="13"/>
      <c r="S343" s="13"/>
      <c r="T343" s="13"/>
      <c r="U343" s="13"/>
      <c r="V343" s="13"/>
      <c r="W343" s="13"/>
      <c r="X343" s="13"/>
      <c r="Y343" s="13"/>
      <c r="Z343" s="13"/>
    </row>
    <row r="344" spans="1:26" ht="13.5" customHeight="1">
      <c r="A344" s="13"/>
      <c r="B344" s="13"/>
      <c r="C344" s="13"/>
      <c r="D344" s="13"/>
      <c r="E344" s="13"/>
      <c r="F344" s="13"/>
      <c r="G344" s="13"/>
      <c r="H344" s="13"/>
      <c r="I344" s="13"/>
      <c r="J344" s="13"/>
      <c r="K344" s="13"/>
      <c r="L344" s="13"/>
      <c r="M344" s="28"/>
      <c r="N344" s="294"/>
      <c r="O344" s="13"/>
      <c r="P344" s="13"/>
      <c r="Q344" s="13"/>
      <c r="R344" s="13"/>
      <c r="S344" s="13"/>
      <c r="T344" s="13"/>
      <c r="U344" s="13"/>
      <c r="V344" s="13"/>
      <c r="W344" s="13"/>
      <c r="X344" s="13"/>
      <c r="Y344" s="13"/>
      <c r="Z344" s="13"/>
    </row>
    <row r="345" spans="1:26" ht="13.5" customHeight="1">
      <c r="A345" s="13"/>
      <c r="B345" s="13"/>
      <c r="C345" s="13"/>
      <c r="D345" s="13"/>
      <c r="E345" s="13"/>
      <c r="F345" s="13"/>
      <c r="G345" s="13"/>
      <c r="H345" s="13"/>
      <c r="I345" s="13"/>
      <c r="J345" s="13"/>
      <c r="K345" s="13"/>
      <c r="L345" s="13"/>
      <c r="M345" s="28"/>
      <c r="N345" s="294"/>
      <c r="O345" s="13"/>
      <c r="P345" s="13"/>
      <c r="Q345" s="13"/>
      <c r="R345" s="13"/>
      <c r="S345" s="13"/>
      <c r="T345" s="13"/>
      <c r="U345" s="13"/>
      <c r="V345" s="13"/>
      <c r="W345" s="13"/>
      <c r="X345" s="13"/>
      <c r="Y345" s="13"/>
      <c r="Z345" s="13"/>
    </row>
    <row r="346" spans="1:26" ht="13.5" customHeight="1">
      <c r="A346" s="13"/>
      <c r="B346" s="13"/>
      <c r="C346" s="13"/>
      <c r="D346" s="13"/>
      <c r="E346" s="13"/>
      <c r="F346" s="13"/>
      <c r="G346" s="13"/>
      <c r="H346" s="13"/>
      <c r="I346" s="13"/>
      <c r="J346" s="13"/>
      <c r="K346" s="13"/>
      <c r="L346" s="13"/>
      <c r="M346" s="28"/>
      <c r="N346" s="294"/>
      <c r="O346" s="13"/>
      <c r="P346" s="13"/>
      <c r="Q346" s="13"/>
      <c r="R346" s="13"/>
      <c r="S346" s="13"/>
      <c r="T346" s="13"/>
      <c r="U346" s="13"/>
      <c r="V346" s="13"/>
      <c r="W346" s="13"/>
      <c r="X346" s="13"/>
      <c r="Y346" s="13"/>
      <c r="Z346" s="13"/>
    </row>
    <row r="347" spans="1:26" ht="13.5" customHeight="1">
      <c r="A347" s="13"/>
      <c r="B347" s="13"/>
      <c r="C347" s="13"/>
      <c r="D347" s="13"/>
      <c r="E347" s="13"/>
      <c r="F347" s="13"/>
      <c r="G347" s="13"/>
      <c r="H347" s="13"/>
      <c r="I347" s="13"/>
      <c r="J347" s="13"/>
      <c r="K347" s="13"/>
      <c r="L347" s="13"/>
      <c r="M347" s="28"/>
      <c r="N347" s="294"/>
      <c r="O347" s="13"/>
      <c r="P347" s="13"/>
      <c r="Q347" s="13"/>
      <c r="R347" s="13"/>
      <c r="S347" s="13"/>
      <c r="T347" s="13"/>
      <c r="U347" s="13"/>
      <c r="V347" s="13"/>
      <c r="W347" s="13"/>
      <c r="X347" s="13"/>
      <c r="Y347" s="13"/>
      <c r="Z347" s="13"/>
    </row>
    <row r="348" spans="1:26" ht="13.5" customHeight="1">
      <c r="A348" s="13"/>
      <c r="B348" s="13"/>
      <c r="C348" s="13"/>
      <c r="D348" s="13"/>
      <c r="E348" s="13"/>
      <c r="F348" s="13"/>
      <c r="G348" s="13"/>
      <c r="H348" s="13"/>
      <c r="I348" s="13"/>
      <c r="J348" s="13"/>
      <c r="K348" s="13"/>
      <c r="L348" s="13"/>
      <c r="M348" s="28"/>
      <c r="N348" s="294"/>
      <c r="O348" s="13"/>
      <c r="P348" s="13"/>
      <c r="Q348" s="13"/>
      <c r="R348" s="13"/>
      <c r="S348" s="13"/>
      <c r="T348" s="13"/>
      <c r="U348" s="13"/>
      <c r="V348" s="13"/>
      <c r="W348" s="13"/>
      <c r="X348" s="13"/>
      <c r="Y348" s="13"/>
      <c r="Z348" s="13"/>
    </row>
    <row r="349" spans="1:26" ht="13.5" customHeight="1">
      <c r="A349" s="13"/>
      <c r="B349" s="13"/>
      <c r="C349" s="13"/>
      <c r="D349" s="13"/>
      <c r="E349" s="13"/>
      <c r="F349" s="13"/>
      <c r="G349" s="13"/>
      <c r="H349" s="13"/>
      <c r="I349" s="13"/>
      <c r="J349" s="13"/>
      <c r="K349" s="13"/>
      <c r="L349" s="13"/>
      <c r="M349" s="28"/>
      <c r="N349" s="294"/>
      <c r="O349" s="13"/>
      <c r="P349" s="13"/>
      <c r="Q349" s="13"/>
      <c r="R349" s="13"/>
      <c r="S349" s="13"/>
      <c r="T349" s="13"/>
      <c r="U349" s="13"/>
      <c r="V349" s="13"/>
      <c r="W349" s="13"/>
      <c r="X349" s="13"/>
      <c r="Y349" s="13"/>
      <c r="Z349" s="13"/>
    </row>
    <row r="350" spans="1:26" ht="13.5" customHeight="1">
      <c r="A350" s="13"/>
      <c r="B350" s="13"/>
      <c r="C350" s="13"/>
      <c r="D350" s="13"/>
      <c r="E350" s="13"/>
      <c r="F350" s="13"/>
      <c r="G350" s="13"/>
      <c r="H350" s="13"/>
      <c r="I350" s="13"/>
      <c r="J350" s="13"/>
      <c r="K350" s="13"/>
      <c r="L350" s="13"/>
      <c r="M350" s="28"/>
      <c r="N350" s="294"/>
      <c r="O350" s="13"/>
      <c r="P350" s="13"/>
      <c r="Q350" s="13"/>
      <c r="R350" s="13"/>
      <c r="S350" s="13"/>
      <c r="T350" s="13"/>
      <c r="U350" s="13"/>
      <c r="V350" s="13"/>
      <c r="W350" s="13"/>
      <c r="X350" s="13"/>
      <c r="Y350" s="13"/>
      <c r="Z350" s="13"/>
    </row>
    <row r="351" spans="1:26" ht="13.5" customHeight="1">
      <c r="A351" s="13"/>
      <c r="B351" s="13"/>
      <c r="C351" s="13"/>
      <c r="D351" s="13"/>
      <c r="E351" s="13"/>
      <c r="F351" s="13"/>
      <c r="G351" s="13"/>
      <c r="H351" s="13"/>
      <c r="I351" s="13"/>
      <c r="J351" s="13"/>
      <c r="K351" s="13"/>
      <c r="L351" s="13"/>
      <c r="M351" s="28"/>
      <c r="N351" s="294"/>
      <c r="O351" s="13"/>
      <c r="P351" s="13"/>
      <c r="Q351" s="13"/>
      <c r="R351" s="13"/>
      <c r="S351" s="13"/>
      <c r="T351" s="13"/>
      <c r="U351" s="13"/>
      <c r="V351" s="13"/>
      <c r="W351" s="13"/>
      <c r="X351" s="13"/>
      <c r="Y351" s="13"/>
      <c r="Z351" s="13"/>
    </row>
    <row r="352" spans="1:26" ht="13.5" customHeight="1">
      <c r="A352" s="13"/>
      <c r="B352" s="13"/>
      <c r="C352" s="13"/>
      <c r="D352" s="13"/>
      <c r="E352" s="13"/>
      <c r="F352" s="13"/>
      <c r="G352" s="13"/>
      <c r="H352" s="13"/>
      <c r="I352" s="13"/>
      <c r="J352" s="13"/>
      <c r="K352" s="13"/>
      <c r="L352" s="13"/>
      <c r="M352" s="28"/>
      <c r="N352" s="294"/>
      <c r="O352" s="13"/>
      <c r="P352" s="13"/>
      <c r="Q352" s="13"/>
      <c r="R352" s="13"/>
      <c r="S352" s="13"/>
      <c r="T352" s="13"/>
      <c r="U352" s="13"/>
      <c r="V352" s="13"/>
      <c r="W352" s="13"/>
      <c r="X352" s="13"/>
      <c r="Y352" s="13"/>
      <c r="Z352" s="13"/>
    </row>
    <row r="353" spans="1:26" ht="13.5" customHeight="1">
      <c r="A353" s="13"/>
      <c r="B353" s="13"/>
      <c r="C353" s="13"/>
      <c r="D353" s="13"/>
      <c r="E353" s="13"/>
      <c r="F353" s="13"/>
      <c r="G353" s="13"/>
      <c r="H353" s="13"/>
      <c r="I353" s="13"/>
      <c r="J353" s="13"/>
      <c r="K353" s="13"/>
      <c r="L353" s="13"/>
      <c r="M353" s="28"/>
      <c r="N353" s="294"/>
      <c r="O353" s="13"/>
      <c r="P353" s="13"/>
      <c r="Q353" s="13"/>
      <c r="R353" s="13"/>
      <c r="S353" s="13"/>
      <c r="T353" s="13"/>
      <c r="U353" s="13"/>
      <c r="V353" s="13"/>
      <c r="W353" s="13"/>
      <c r="X353" s="13"/>
      <c r="Y353" s="13"/>
      <c r="Z353" s="13"/>
    </row>
    <row r="354" spans="1:26" ht="13.5" customHeight="1">
      <c r="A354" s="13"/>
      <c r="B354" s="13"/>
      <c r="C354" s="13"/>
      <c r="D354" s="13"/>
      <c r="E354" s="13"/>
      <c r="F354" s="13"/>
      <c r="G354" s="13"/>
      <c r="H354" s="13"/>
      <c r="I354" s="13"/>
      <c r="J354" s="13"/>
      <c r="K354" s="13"/>
      <c r="L354" s="13"/>
      <c r="M354" s="28"/>
      <c r="N354" s="294"/>
      <c r="O354" s="13"/>
      <c r="P354" s="13"/>
      <c r="Q354" s="13"/>
      <c r="R354" s="13"/>
      <c r="S354" s="13"/>
      <c r="T354" s="13"/>
      <c r="U354" s="13"/>
      <c r="V354" s="13"/>
      <c r="W354" s="13"/>
      <c r="X354" s="13"/>
      <c r="Y354" s="13"/>
      <c r="Z354" s="13"/>
    </row>
    <row r="355" spans="1:26" ht="13.5" customHeight="1">
      <c r="A355" s="13"/>
      <c r="B355" s="13"/>
      <c r="C355" s="13"/>
      <c r="D355" s="13"/>
      <c r="E355" s="13"/>
      <c r="F355" s="13"/>
      <c r="G355" s="13"/>
      <c r="H355" s="13"/>
      <c r="I355" s="13"/>
      <c r="J355" s="13"/>
      <c r="K355" s="13"/>
      <c r="L355" s="13"/>
      <c r="M355" s="28"/>
      <c r="N355" s="294"/>
      <c r="O355" s="13"/>
      <c r="P355" s="13"/>
      <c r="Q355" s="13"/>
      <c r="R355" s="13"/>
      <c r="S355" s="13"/>
      <c r="T355" s="13"/>
      <c r="U355" s="13"/>
      <c r="V355" s="13"/>
      <c r="W355" s="13"/>
      <c r="X355" s="13"/>
      <c r="Y355" s="13"/>
      <c r="Z355" s="13"/>
    </row>
    <row r="356" spans="1:26" ht="13.5" customHeight="1">
      <c r="A356" s="13"/>
      <c r="B356" s="13"/>
      <c r="C356" s="13"/>
      <c r="D356" s="13"/>
      <c r="E356" s="13"/>
      <c r="F356" s="13"/>
      <c r="G356" s="13"/>
      <c r="H356" s="13"/>
      <c r="I356" s="13"/>
      <c r="J356" s="13"/>
      <c r="K356" s="13"/>
      <c r="L356" s="13"/>
      <c r="M356" s="28"/>
      <c r="N356" s="294"/>
      <c r="O356" s="13"/>
      <c r="P356" s="13"/>
      <c r="Q356" s="13"/>
      <c r="R356" s="13"/>
      <c r="S356" s="13"/>
      <c r="T356" s="13"/>
      <c r="U356" s="13"/>
      <c r="V356" s="13"/>
      <c r="W356" s="13"/>
      <c r="X356" s="13"/>
      <c r="Y356" s="13"/>
      <c r="Z356" s="13"/>
    </row>
    <row r="357" spans="1:26" ht="13.5" customHeight="1">
      <c r="A357" s="13"/>
      <c r="B357" s="13"/>
      <c r="C357" s="13"/>
      <c r="D357" s="13"/>
      <c r="E357" s="13"/>
      <c r="F357" s="13"/>
      <c r="G357" s="13"/>
      <c r="H357" s="13"/>
      <c r="I357" s="13"/>
      <c r="J357" s="13"/>
      <c r="K357" s="13"/>
      <c r="L357" s="13"/>
      <c r="M357" s="28"/>
      <c r="N357" s="294"/>
      <c r="O357" s="13"/>
      <c r="P357" s="13"/>
      <c r="Q357" s="13"/>
      <c r="R357" s="13"/>
      <c r="S357" s="13"/>
      <c r="T357" s="13"/>
      <c r="U357" s="13"/>
      <c r="V357" s="13"/>
      <c r="W357" s="13"/>
      <c r="X357" s="13"/>
      <c r="Y357" s="13"/>
      <c r="Z357" s="13"/>
    </row>
    <row r="358" spans="1:26" ht="13.5" customHeight="1">
      <c r="A358" s="13"/>
      <c r="B358" s="13"/>
      <c r="C358" s="13"/>
      <c r="D358" s="13"/>
      <c r="E358" s="13"/>
      <c r="F358" s="13"/>
      <c r="G358" s="13"/>
      <c r="H358" s="13"/>
      <c r="I358" s="13"/>
      <c r="J358" s="13"/>
      <c r="K358" s="13"/>
      <c r="L358" s="13"/>
      <c r="M358" s="28"/>
      <c r="N358" s="294"/>
      <c r="O358" s="13"/>
      <c r="P358" s="13"/>
      <c r="Q358" s="13"/>
      <c r="R358" s="13"/>
      <c r="S358" s="13"/>
      <c r="T358" s="13"/>
      <c r="U358" s="13"/>
      <c r="V358" s="13"/>
      <c r="W358" s="13"/>
      <c r="X358" s="13"/>
      <c r="Y358" s="13"/>
      <c r="Z358" s="13"/>
    </row>
    <row r="359" spans="1:26" ht="13.5" customHeight="1">
      <c r="A359" s="13"/>
      <c r="B359" s="13"/>
      <c r="C359" s="13"/>
      <c r="D359" s="13"/>
      <c r="E359" s="13"/>
      <c r="F359" s="13"/>
      <c r="G359" s="13"/>
      <c r="H359" s="13"/>
      <c r="I359" s="13"/>
      <c r="J359" s="13"/>
      <c r="K359" s="13"/>
      <c r="L359" s="13"/>
      <c r="M359" s="28"/>
      <c r="N359" s="294"/>
      <c r="O359" s="13"/>
      <c r="P359" s="13"/>
      <c r="Q359" s="13"/>
      <c r="R359" s="13"/>
      <c r="S359" s="13"/>
      <c r="T359" s="13"/>
      <c r="U359" s="13"/>
      <c r="V359" s="13"/>
      <c r="W359" s="13"/>
      <c r="X359" s="13"/>
      <c r="Y359" s="13"/>
      <c r="Z359" s="13"/>
    </row>
    <row r="360" spans="1:26" ht="13.5" customHeight="1">
      <c r="A360" s="13"/>
      <c r="B360" s="13"/>
      <c r="C360" s="13"/>
      <c r="D360" s="13"/>
      <c r="E360" s="13"/>
      <c r="F360" s="13"/>
      <c r="G360" s="13"/>
      <c r="H360" s="13"/>
      <c r="I360" s="13"/>
      <c r="J360" s="13"/>
      <c r="K360" s="13"/>
      <c r="L360" s="13"/>
      <c r="M360" s="28"/>
      <c r="N360" s="294"/>
      <c r="O360" s="13"/>
      <c r="P360" s="13"/>
      <c r="Q360" s="13"/>
      <c r="R360" s="13"/>
      <c r="S360" s="13"/>
      <c r="T360" s="13"/>
      <c r="U360" s="13"/>
      <c r="V360" s="13"/>
      <c r="W360" s="13"/>
      <c r="X360" s="13"/>
      <c r="Y360" s="13"/>
      <c r="Z360" s="13"/>
    </row>
    <row r="361" spans="1:26" ht="13.5" customHeight="1">
      <c r="A361" s="13"/>
      <c r="B361" s="13"/>
      <c r="C361" s="13"/>
      <c r="D361" s="13"/>
      <c r="E361" s="13"/>
      <c r="F361" s="13"/>
      <c r="G361" s="13"/>
      <c r="H361" s="13"/>
      <c r="I361" s="13"/>
      <c r="J361" s="13"/>
      <c r="K361" s="13"/>
      <c r="L361" s="13"/>
      <c r="M361" s="28"/>
      <c r="N361" s="294"/>
      <c r="O361" s="13"/>
      <c r="P361" s="13"/>
      <c r="Q361" s="13"/>
      <c r="R361" s="13"/>
      <c r="S361" s="13"/>
      <c r="T361" s="13"/>
      <c r="U361" s="13"/>
      <c r="V361" s="13"/>
      <c r="W361" s="13"/>
      <c r="X361" s="13"/>
      <c r="Y361" s="13"/>
      <c r="Z361" s="13"/>
    </row>
    <row r="362" spans="1:26" ht="13.5" customHeight="1">
      <c r="A362" s="13"/>
      <c r="B362" s="13"/>
      <c r="C362" s="13"/>
      <c r="D362" s="13"/>
      <c r="E362" s="13"/>
      <c r="F362" s="13"/>
      <c r="G362" s="13"/>
      <c r="H362" s="13"/>
      <c r="I362" s="13"/>
      <c r="J362" s="13"/>
      <c r="K362" s="13"/>
      <c r="L362" s="13"/>
      <c r="M362" s="28"/>
      <c r="N362" s="294"/>
      <c r="O362" s="13"/>
      <c r="P362" s="13"/>
      <c r="Q362" s="13"/>
      <c r="R362" s="13"/>
      <c r="S362" s="13"/>
      <c r="T362" s="13"/>
      <c r="U362" s="13"/>
      <c r="V362" s="13"/>
      <c r="W362" s="13"/>
      <c r="X362" s="13"/>
      <c r="Y362" s="13"/>
      <c r="Z362" s="13"/>
    </row>
    <row r="363" spans="1:26" ht="13.5" customHeight="1">
      <c r="A363" s="13"/>
      <c r="B363" s="13"/>
      <c r="C363" s="13"/>
      <c r="D363" s="13"/>
      <c r="E363" s="13"/>
      <c r="F363" s="13"/>
      <c r="G363" s="13"/>
      <c r="H363" s="13"/>
      <c r="I363" s="13"/>
      <c r="J363" s="13"/>
      <c r="K363" s="13"/>
      <c r="L363" s="13"/>
      <c r="M363" s="28"/>
      <c r="N363" s="294"/>
      <c r="O363" s="13"/>
      <c r="P363" s="13"/>
      <c r="Q363" s="13"/>
      <c r="R363" s="13"/>
      <c r="S363" s="13"/>
      <c r="T363" s="13"/>
      <c r="U363" s="13"/>
      <c r="V363" s="13"/>
      <c r="W363" s="13"/>
      <c r="X363" s="13"/>
      <c r="Y363" s="13"/>
      <c r="Z363" s="13"/>
    </row>
    <row r="364" spans="1:26" ht="13.5" customHeight="1">
      <c r="A364" s="13"/>
      <c r="B364" s="13"/>
      <c r="C364" s="13"/>
      <c r="D364" s="13"/>
      <c r="E364" s="13"/>
      <c r="F364" s="13"/>
      <c r="G364" s="13"/>
      <c r="H364" s="13"/>
      <c r="I364" s="13"/>
      <c r="J364" s="13"/>
      <c r="K364" s="13"/>
      <c r="L364" s="13"/>
      <c r="M364" s="28"/>
      <c r="N364" s="294"/>
      <c r="O364" s="13"/>
      <c r="P364" s="13"/>
      <c r="Q364" s="13"/>
      <c r="R364" s="13"/>
      <c r="S364" s="13"/>
      <c r="T364" s="13"/>
      <c r="U364" s="13"/>
      <c r="V364" s="13"/>
      <c r="W364" s="13"/>
      <c r="X364" s="13"/>
      <c r="Y364" s="13"/>
      <c r="Z364" s="13"/>
    </row>
    <row r="365" spans="1:26" ht="13.5" customHeight="1">
      <c r="A365" s="13"/>
      <c r="B365" s="13"/>
      <c r="C365" s="13"/>
      <c r="D365" s="13"/>
      <c r="E365" s="13"/>
      <c r="F365" s="13"/>
      <c r="G365" s="13"/>
      <c r="H365" s="13"/>
      <c r="I365" s="13"/>
      <c r="J365" s="13"/>
      <c r="K365" s="13"/>
      <c r="L365" s="13"/>
      <c r="M365" s="28"/>
      <c r="N365" s="294"/>
      <c r="O365" s="13"/>
      <c r="P365" s="13"/>
      <c r="Q365" s="13"/>
      <c r="R365" s="13"/>
      <c r="S365" s="13"/>
      <c r="T365" s="13"/>
      <c r="U365" s="13"/>
      <c r="V365" s="13"/>
      <c r="W365" s="13"/>
      <c r="X365" s="13"/>
      <c r="Y365" s="13"/>
      <c r="Z365" s="13"/>
    </row>
    <row r="366" spans="1:26" ht="13.5" customHeight="1">
      <c r="A366" s="13"/>
      <c r="B366" s="13"/>
      <c r="C366" s="13"/>
      <c r="D366" s="13"/>
      <c r="E366" s="13"/>
      <c r="F366" s="13"/>
      <c r="G366" s="13"/>
      <c r="H366" s="13"/>
      <c r="I366" s="13"/>
      <c r="J366" s="13"/>
      <c r="K366" s="13"/>
      <c r="L366" s="13"/>
      <c r="M366" s="28"/>
      <c r="N366" s="294"/>
      <c r="O366" s="13"/>
      <c r="P366" s="13"/>
      <c r="Q366" s="13"/>
      <c r="R366" s="13"/>
      <c r="S366" s="13"/>
      <c r="T366" s="13"/>
      <c r="U366" s="13"/>
      <c r="V366" s="13"/>
      <c r="W366" s="13"/>
      <c r="X366" s="13"/>
      <c r="Y366" s="13"/>
      <c r="Z366" s="13"/>
    </row>
    <row r="367" spans="1:26" ht="13.5" customHeight="1">
      <c r="A367" s="13"/>
      <c r="B367" s="13"/>
      <c r="C367" s="13"/>
      <c r="D367" s="13"/>
      <c r="E367" s="13"/>
      <c r="F367" s="13"/>
      <c r="G367" s="13"/>
      <c r="H367" s="13"/>
      <c r="I367" s="13"/>
      <c r="J367" s="13"/>
      <c r="K367" s="13"/>
      <c r="L367" s="13"/>
      <c r="M367" s="28"/>
      <c r="N367" s="294"/>
      <c r="O367" s="13"/>
      <c r="P367" s="13"/>
      <c r="Q367" s="13"/>
      <c r="R367" s="13"/>
      <c r="S367" s="13"/>
      <c r="T367" s="13"/>
      <c r="U367" s="13"/>
      <c r="V367" s="13"/>
      <c r="W367" s="13"/>
      <c r="X367" s="13"/>
      <c r="Y367" s="13"/>
      <c r="Z367" s="13"/>
    </row>
    <row r="368" spans="1:26" ht="13.5" customHeight="1">
      <c r="A368" s="13"/>
      <c r="B368" s="13"/>
      <c r="C368" s="13"/>
      <c r="D368" s="13"/>
      <c r="E368" s="13"/>
      <c r="F368" s="13"/>
      <c r="G368" s="13"/>
      <c r="H368" s="13"/>
      <c r="I368" s="13"/>
      <c r="J368" s="13"/>
      <c r="K368" s="13"/>
      <c r="L368" s="13"/>
      <c r="M368" s="28"/>
      <c r="N368" s="294"/>
      <c r="O368" s="13"/>
      <c r="P368" s="13"/>
      <c r="Q368" s="13"/>
      <c r="R368" s="13"/>
      <c r="S368" s="13"/>
      <c r="T368" s="13"/>
      <c r="U368" s="13"/>
      <c r="V368" s="13"/>
      <c r="W368" s="13"/>
      <c r="X368" s="13"/>
      <c r="Y368" s="13"/>
      <c r="Z368" s="13"/>
    </row>
    <row r="369" spans="1:26" ht="13.5" customHeight="1">
      <c r="A369" s="13"/>
      <c r="B369" s="13"/>
      <c r="C369" s="13"/>
      <c r="D369" s="13"/>
      <c r="E369" s="13"/>
      <c r="F369" s="13"/>
      <c r="G369" s="13"/>
      <c r="H369" s="13"/>
      <c r="I369" s="13"/>
      <c r="J369" s="13"/>
      <c r="K369" s="13"/>
      <c r="L369" s="13"/>
      <c r="M369" s="28"/>
      <c r="N369" s="294"/>
      <c r="O369" s="13"/>
      <c r="P369" s="13"/>
      <c r="Q369" s="13"/>
      <c r="R369" s="13"/>
      <c r="S369" s="13"/>
      <c r="T369" s="13"/>
      <c r="U369" s="13"/>
      <c r="V369" s="13"/>
      <c r="W369" s="13"/>
      <c r="X369" s="13"/>
      <c r="Y369" s="13"/>
      <c r="Z369" s="13"/>
    </row>
    <row r="370" spans="1:26" ht="13.5" customHeight="1">
      <c r="A370" s="13"/>
      <c r="B370" s="13"/>
      <c r="C370" s="13"/>
      <c r="D370" s="13"/>
      <c r="E370" s="13"/>
      <c r="F370" s="13"/>
      <c r="G370" s="13"/>
      <c r="H370" s="13"/>
      <c r="I370" s="13"/>
      <c r="J370" s="13"/>
      <c r="K370" s="13"/>
      <c r="L370" s="13"/>
      <c r="M370" s="28"/>
      <c r="N370" s="294"/>
      <c r="O370" s="13"/>
      <c r="P370" s="13"/>
      <c r="Q370" s="13"/>
      <c r="R370" s="13"/>
      <c r="S370" s="13"/>
      <c r="T370" s="13"/>
      <c r="U370" s="13"/>
      <c r="V370" s="13"/>
      <c r="W370" s="13"/>
      <c r="X370" s="13"/>
      <c r="Y370" s="13"/>
      <c r="Z370" s="13"/>
    </row>
    <row r="371" spans="1:26" ht="13.5" customHeight="1">
      <c r="A371" s="13"/>
      <c r="B371" s="13"/>
      <c r="C371" s="13"/>
      <c r="D371" s="13"/>
      <c r="E371" s="13"/>
      <c r="F371" s="13"/>
      <c r="G371" s="13"/>
      <c r="H371" s="13"/>
      <c r="I371" s="13"/>
      <c r="J371" s="13"/>
      <c r="K371" s="13"/>
      <c r="L371" s="13"/>
      <c r="M371" s="28"/>
      <c r="N371" s="294"/>
      <c r="O371" s="13"/>
      <c r="P371" s="13"/>
      <c r="Q371" s="13"/>
      <c r="R371" s="13"/>
      <c r="S371" s="13"/>
      <c r="T371" s="13"/>
      <c r="U371" s="13"/>
      <c r="V371" s="13"/>
      <c r="W371" s="13"/>
      <c r="X371" s="13"/>
      <c r="Y371" s="13"/>
      <c r="Z371" s="13"/>
    </row>
    <row r="372" spans="1:26" ht="13.5" customHeight="1">
      <c r="A372" s="13"/>
      <c r="B372" s="13"/>
      <c r="C372" s="13"/>
      <c r="D372" s="13"/>
      <c r="E372" s="13"/>
      <c r="F372" s="13"/>
      <c r="G372" s="13"/>
      <c r="H372" s="13"/>
      <c r="I372" s="13"/>
      <c r="J372" s="13"/>
      <c r="K372" s="13"/>
      <c r="L372" s="13"/>
      <c r="M372" s="28"/>
      <c r="N372" s="294"/>
      <c r="O372" s="13"/>
      <c r="P372" s="13"/>
      <c r="Q372" s="13"/>
      <c r="R372" s="13"/>
      <c r="S372" s="13"/>
      <c r="T372" s="13"/>
      <c r="U372" s="13"/>
      <c r="V372" s="13"/>
      <c r="W372" s="13"/>
      <c r="X372" s="13"/>
      <c r="Y372" s="13"/>
      <c r="Z372" s="13"/>
    </row>
    <row r="373" spans="1:26" ht="13.5" customHeight="1">
      <c r="A373" s="13"/>
      <c r="B373" s="13"/>
      <c r="C373" s="13"/>
      <c r="D373" s="13"/>
      <c r="E373" s="13"/>
      <c r="F373" s="13"/>
      <c r="G373" s="13"/>
      <c r="H373" s="13"/>
      <c r="I373" s="13"/>
      <c r="J373" s="13"/>
      <c r="K373" s="13"/>
      <c r="L373" s="13"/>
      <c r="M373" s="28"/>
      <c r="N373" s="294"/>
      <c r="O373" s="13"/>
      <c r="P373" s="13"/>
      <c r="Q373" s="13"/>
      <c r="R373" s="13"/>
      <c r="S373" s="13"/>
      <c r="T373" s="13"/>
      <c r="U373" s="13"/>
      <c r="V373" s="13"/>
      <c r="W373" s="13"/>
      <c r="X373" s="13"/>
      <c r="Y373" s="13"/>
      <c r="Z373" s="13"/>
    </row>
    <row r="374" spans="1:26" ht="13.5" customHeight="1">
      <c r="A374" s="13"/>
      <c r="B374" s="13"/>
      <c r="C374" s="13"/>
      <c r="D374" s="13"/>
      <c r="E374" s="13"/>
      <c r="F374" s="13"/>
      <c r="G374" s="13"/>
      <c r="H374" s="13"/>
      <c r="I374" s="13"/>
      <c r="J374" s="13"/>
      <c r="K374" s="13"/>
      <c r="L374" s="13"/>
      <c r="M374" s="28"/>
      <c r="N374" s="294"/>
      <c r="O374" s="13"/>
      <c r="P374" s="13"/>
      <c r="Q374" s="13"/>
      <c r="R374" s="13"/>
      <c r="S374" s="13"/>
      <c r="T374" s="13"/>
      <c r="U374" s="13"/>
      <c r="V374" s="13"/>
      <c r="W374" s="13"/>
      <c r="X374" s="13"/>
      <c r="Y374" s="13"/>
      <c r="Z374" s="13"/>
    </row>
    <row r="375" spans="1:26" ht="13.5" customHeight="1">
      <c r="A375" s="13"/>
      <c r="B375" s="13"/>
      <c r="C375" s="13"/>
      <c r="D375" s="13"/>
      <c r="E375" s="13"/>
      <c r="F375" s="13"/>
      <c r="G375" s="13"/>
      <c r="H375" s="13"/>
      <c r="I375" s="13"/>
      <c r="J375" s="13"/>
      <c r="K375" s="13"/>
      <c r="L375" s="13"/>
      <c r="M375" s="28"/>
      <c r="N375" s="294"/>
      <c r="O375" s="13"/>
      <c r="P375" s="13"/>
      <c r="Q375" s="13"/>
      <c r="R375" s="13"/>
      <c r="S375" s="13"/>
      <c r="T375" s="13"/>
      <c r="U375" s="13"/>
      <c r="V375" s="13"/>
      <c r="W375" s="13"/>
      <c r="X375" s="13"/>
      <c r="Y375" s="13"/>
      <c r="Z375" s="13"/>
    </row>
    <row r="376" spans="1:26" ht="13.5" customHeight="1">
      <c r="A376" s="13"/>
      <c r="B376" s="13"/>
      <c r="C376" s="13"/>
      <c r="D376" s="13"/>
      <c r="E376" s="13"/>
      <c r="F376" s="13"/>
      <c r="G376" s="13"/>
      <c r="H376" s="13"/>
      <c r="I376" s="13"/>
      <c r="J376" s="13"/>
      <c r="K376" s="13"/>
      <c r="L376" s="13"/>
      <c r="M376" s="28"/>
      <c r="N376" s="294"/>
      <c r="O376" s="13"/>
      <c r="P376" s="13"/>
      <c r="Q376" s="13"/>
      <c r="R376" s="13"/>
      <c r="S376" s="13"/>
      <c r="T376" s="13"/>
      <c r="U376" s="13"/>
      <c r="V376" s="13"/>
      <c r="W376" s="13"/>
      <c r="X376" s="13"/>
      <c r="Y376" s="13"/>
      <c r="Z376" s="13"/>
    </row>
    <row r="377" spans="1:26" ht="13.5" customHeight="1">
      <c r="A377" s="13"/>
      <c r="B377" s="13"/>
      <c r="C377" s="13"/>
      <c r="D377" s="13"/>
      <c r="E377" s="13"/>
      <c r="F377" s="13"/>
      <c r="G377" s="13"/>
      <c r="H377" s="13"/>
      <c r="I377" s="13"/>
      <c r="J377" s="13"/>
      <c r="K377" s="13"/>
      <c r="L377" s="13"/>
      <c r="M377" s="28"/>
      <c r="N377" s="294"/>
      <c r="O377" s="13"/>
      <c r="P377" s="13"/>
      <c r="Q377" s="13"/>
      <c r="R377" s="13"/>
      <c r="S377" s="13"/>
      <c r="T377" s="13"/>
      <c r="U377" s="13"/>
      <c r="V377" s="13"/>
      <c r="W377" s="13"/>
      <c r="X377" s="13"/>
      <c r="Y377" s="13"/>
      <c r="Z377" s="13"/>
    </row>
    <row r="378" spans="1:26" ht="13.5" customHeight="1">
      <c r="A378" s="13"/>
      <c r="B378" s="13"/>
      <c r="C378" s="13"/>
      <c r="D378" s="13"/>
      <c r="E378" s="13"/>
      <c r="F378" s="13"/>
      <c r="G378" s="13"/>
      <c r="H378" s="13"/>
      <c r="I378" s="13"/>
      <c r="J378" s="13"/>
      <c r="K378" s="13"/>
      <c r="L378" s="13"/>
      <c r="M378" s="28"/>
      <c r="N378" s="294"/>
      <c r="O378" s="13"/>
      <c r="P378" s="13"/>
      <c r="Q378" s="13"/>
      <c r="R378" s="13"/>
      <c r="S378" s="13"/>
      <c r="T378" s="13"/>
      <c r="U378" s="13"/>
      <c r="V378" s="13"/>
      <c r="W378" s="13"/>
      <c r="X378" s="13"/>
      <c r="Y378" s="13"/>
      <c r="Z378" s="13"/>
    </row>
    <row r="379" spans="1:26" ht="13.5" customHeight="1">
      <c r="A379" s="13"/>
      <c r="B379" s="13"/>
      <c r="C379" s="13"/>
      <c r="D379" s="13"/>
      <c r="E379" s="13"/>
      <c r="F379" s="13"/>
      <c r="G379" s="13"/>
      <c r="H379" s="13"/>
      <c r="I379" s="13"/>
      <c r="J379" s="13"/>
      <c r="K379" s="13"/>
      <c r="L379" s="13"/>
      <c r="M379" s="28"/>
      <c r="N379" s="294"/>
      <c r="O379" s="13"/>
      <c r="P379" s="13"/>
      <c r="Q379" s="13"/>
      <c r="R379" s="13"/>
      <c r="S379" s="13"/>
      <c r="T379" s="13"/>
      <c r="U379" s="13"/>
      <c r="V379" s="13"/>
      <c r="W379" s="13"/>
      <c r="X379" s="13"/>
      <c r="Y379" s="13"/>
      <c r="Z379" s="13"/>
    </row>
    <row r="380" spans="1:26" ht="13.5" customHeight="1">
      <c r="A380" s="13"/>
      <c r="B380" s="13"/>
      <c r="C380" s="13"/>
      <c r="D380" s="13"/>
      <c r="E380" s="13"/>
      <c r="F380" s="13"/>
      <c r="G380" s="13"/>
      <c r="H380" s="13"/>
      <c r="I380" s="13"/>
      <c r="J380" s="13"/>
      <c r="K380" s="13"/>
      <c r="L380" s="13"/>
      <c r="M380" s="28"/>
      <c r="N380" s="294"/>
      <c r="O380" s="13"/>
      <c r="P380" s="13"/>
      <c r="Q380" s="13"/>
      <c r="R380" s="13"/>
      <c r="S380" s="13"/>
      <c r="T380" s="13"/>
      <c r="U380" s="13"/>
      <c r="V380" s="13"/>
      <c r="W380" s="13"/>
      <c r="X380" s="13"/>
      <c r="Y380" s="13"/>
      <c r="Z380" s="13"/>
    </row>
    <row r="381" spans="1:26" ht="13.5" customHeight="1">
      <c r="A381" s="13"/>
      <c r="B381" s="13"/>
      <c r="C381" s="13"/>
      <c r="D381" s="13"/>
      <c r="E381" s="13"/>
      <c r="F381" s="13"/>
      <c r="G381" s="13"/>
      <c r="H381" s="13"/>
      <c r="I381" s="13"/>
      <c r="J381" s="13"/>
      <c r="K381" s="13"/>
      <c r="L381" s="13"/>
      <c r="M381" s="28"/>
      <c r="N381" s="294"/>
      <c r="O381" s="13"/>
      <c r="P381" s="13"/>
      <c r="Q381" s="13"/>
      <c r="R381" s="13"/>
      <c r="S381" s="13"/>
      <c r="T381" s="13"/>
      <c r="U381" s="13"/>
      <c r="V381" s="13"/>
      <c r="W381" s="13"/>
      <c r="X381" s="13"/>
      <c r="Y381" s="13"/>
      <c r="Z381" s="13"/>
    </row>
    <row r="382" spans="1:26" ht="13.5" customHeight="1">
      <c r="A382" s="13"/>
      <c r="B382" s="13"/>
      <c r="C382" s="13"/>
      <c r="D382" s="13"/>
      <c r="E382" s="13"/>
      <c r="F382" s="13"/>
      <c r="G382" s="13"/>
      <c r="H382" s="13"/>
      <c r="I382" s="13"/>
      <c r="J382" s="13"/>
      <c r="K382" s="13"/>
      <c r="L382" s="13"/>
      <c r="M382" s="28"/>
      <c r="N382" s="294"/>
      <c r="O382" s="13"/>
      <c r="P382" s="13"/>
      <c r="Q382" s="13"/>
      <c r="R382" s="13"/>
      <c r="S382" s="13"/>
      <c r="T382" s="13"/>
      <c r="U382" s="13"/>
      <c r="V382" s="13"/>
      <c r="W382" s="13"/>
      <c r="X382" s="13"/>
      <c r="Y382" s="13"/>
      <c r="Z382" s="13"/>
    </row>
    <row r="383" spans="1:26" ht="13.5" customHeight="1">
      <c r="A383" s="13"/>
      <c r="B383" s="13"/>
      <c r="C383" s="13"/>
      <c r="D383" s="13"/>
      <c r="E383" s="13"/>
      <c r="F383" s="13"/>
      <c r="G383" s="13"/>
      <c r="H383" s="13"/>
      <c r="I383" s="13"/>
      <c r="J383" s="13"/>
      <c r="K383" s="13"/>
      <c r="L383" s="13"/>
      <c r="M383" s="28"/>
      <c r="N383" s="294"/>
      <c r="O383" s="13"/>
      <c r="P383" s="13"/>
      <c r="Q383" s="13"/>
      <c r="R383" s="13"/>
      <c r="S383" s="13"/>
      <c r="T383" s="13"/>
      <c r="U383" s="13"/>
      <c r="V383" s="13"/>
      <c r="W383" s="13"/>
      <c r="X383" s="13"/>
      <c r="Y383" s="13"/>
      <c r="Z383" s="13"/>
    </row>
    <row r="384" spans="1:26" ht="13.5" customHeight="1">
      <c r="A384" s="13"/>
      <c r="B384" s="13"/>
      <c r="C384" s="13"/>
      <c r="D384" s="13"/>
      <c r="E384" s="13"/>
      <c r="F384" s="13"/>
      <c r="G384" s="13"/>
      <c r="H384" s="13"/>
      <c r="I384" s="13"/>
      <c r="J384" s="13"/>
      <c r="K384" s="13"/>
      <c r="L384" s="13"/>
      <c r="M384" s="28"/>
      <c r="N384" s="294"/>
      <c r="O384" s="13"/>
      <c r="P384" s="13"/>
      <c r="Q384" s="13"/>
      <c r="R384" s="13"/>
      <c r="S384" s="13"/>
      <c r="T384" s="13"/>
      <c r="U384" s="13"/>
      <c r="V384" s="13"/>
      <c r="W384" s="13"/>
      <c r="X384" s="13"/>
      <c r="Y384" s="13"/>
      <c r="Z384" s="13"/>
    </row>
    <row r="385" spans="1:26" ht="13.5" customHeight="1">
      <c r="A385" s="13"/>
      <c r="B385" s="13"/>
      <c r="C385" s="13"/>
      <c r="D385" s="13"/>
      <c r="E385" s="13"/>
      <c r="F385" s="13"/>
      <c r="G385" s="13"/>
      <c r="H385" s="13"/>
      <c r="I385" s="13"/>
      <c r="J385" s="13"/>
      <c r="K385" s="13"/>
      <c r="L385" s="13"/>
      <c r="M385" s="28"/>
      <c r="N385" s="294"/>
      <c r="O385" s="13"/>
      <c r="P385" s="13"/>
      <c r="Q385" s="13"/>
      <c r="R385" s="13"/>
      <c r="S385" s="13"/>
      <c r="T385" s="13"/>
      <c r="U385" s="13"/>
      <c r="V385" s="13"/>
      <c r="W385" s="13"/>
      <c r="X385" s="13"/>
      <c r="Y385" s="13"/>
      <c r="Z385" s="13"/>
    </row>
    <row r="386" spans="1:26" ht="13.5" customHeight="1">
      <c r="A386" s="13"/>
      <c r="B386" s="13"/>
      <c r="C386" s="13"/>
      <c r="D386" s="13"/>
      <c r="E386" s="13"/>
      <c r="F386" s="13"/>
      <c r="G386" s="13"/>
      <c r="H386" s="13"/>
      <c r="I386" s="13"/>
      <c r="J386" s="13"/>
      <c r="K386" s="13"/>
      <c r="L386" s="13"/>
      <c r="M386" s="28"/>
      <c r="N386" s="294"/>
      <c r="O386" s="13"/>
      <c r="P386" s="13"/>
      <c r="Q386" s="13"/>
      <c r="R386" s="13"/>
      <c r="S386" s="13"/>
      <c r="T386" s="13"/>
      <c r="U386" s="13"/>
      <c r="V386" s="13"/>
      <c r="W386" s="13"/>
      <c r="X386" s="13"/>
      <c r="Y386" s="13"/>
      <c r="Z386" s="13"/>
    </row>
    <row r="387" spans="1:26" ht="13.5" customHeight="1">
      <c r="A387" s="13"/>
      <c r="B387" s="13"/>
      <c r="C387" s="13"/>
      <c r="D387" s="13"/>
      <c r="E387" s="13"/>
      <c r="F387" s="13"/>
      <c r="G387" s="13"/>
      <c r="H387" s="13"/>
      <c r="I387" s="13"/>
      <c r="J387" s="13"/>
      <c r="K387" s="13"/>
      <c r="L387" s="13"/>
      <c r="M387" s="28"/>
      <c r="N387" s="294"/>
      <c r="O387" s="13"/>
      <c r="P387" s="13"/>
      <c r="Q387" s="13"/>
      <c r="R387" s="13"/>
      <c r="S387" s="13"/>
      <c r="T387" s="13"/>
      <c r="U387" s="13"/>
      <c r="V387" s="13"/>
      <c r="W387" s="13"/>
      <c r="X387" s="13"/>
      <c r="Y387" s="13"/>
      <c r="Z387" s="13"/>
    </row>
    <row r="388" spans="1:26" ht="13.5" customHeight="1">
      <c r="A388" s="13"/>
      <c r="B388" s="13"/>
      <c r="C388" s="13"/>
      <c r="D388" s="13"/>
      <c r="E388" s="13"/>
      <c r="F388" s="13"/>
      <c r="G388" s="13"/>
      <c r="H388" s="13"/>
      <c r="I388" s="13"/>
      <c r="J388" s="13"/>
      <c r="K388" s="13"/>
      <c r="L388" s="13"/>
      <c r="M388" s="28"/>
      <c r="N388" s="294"/>
      <c r="O388" s="13"/>
      <c r="P388" s="13"/>
      <c r="Q388" s="13"/>
      <c r="R388" s="13"/>
      <c r="S388" s="13"/>
      <c r="T388" s="13"/>
      <c r="U388" s="13"/>
      <c r="V388" s="13"/>
      <c r="W388" s="13"/>
      <c r="X388" s="13"/>
      <c r="Y388" s="13"/>
      <c r="Z388" s="13"/>
    </row>
    <row r="389" spans="1:26" ht="13.5" customHeight="1">
      <c r="A389" s="13"/>
      <c r="B389" s="13"/>
      <c r="C389" s="13"/>
      <c r="D389" s="13"/>
      <c r="E389" s="13"/>
      <c r="F389" s="13"/>
      <c r="G389" s="13"/>
      <c r="H389" s="13"/>
      <c r="I389" s="13"/>
      <c r="J389" s="13"/>
      <c r="K389" s="13"/>
      <c r="L389" s="13"/>
      <c r="M389" s="28"/>
      <c r="N389" s="294"/>
      <c r="O389" s="13"/>
      <c r="P389" s="13"/>
      <c r="Q389" s="13"/>
      <c r="R389" s="13"/>
      <c r="S389" s="13"/>
      <c r="T389" s="13"/>
      <c r="U389" s="13"/>
      <c r="V389" s="13"/>
      <c r="W389" s="13"/>
      <c r="X389" s="13"/>
      <c r="Y389" s="13"/>
      <c r="Z389" s="13"/>
    </row>
    <row r="390" spans="1:26" ht="13.5" customHeight="1">
      <c r="A390" s="13"/>
      <c r="B390" s="13"/>
      <c r="C390" s="13"/>
      <c r="D390" s="13"/>
      <c r="E390" s="13"/>
      <c r="F390" s="13"/>
      <c r="G390" s="13"/>
      <c r="H390" s="13"/>
      <c r="I390" s="13"/>
      <c r="J390" s="13"/>
      <c r="K390" s="13"/>
      <c r="L390" s="13"/>
      <c r="M390" s="28"/>
      <c r="N390" s="294"/>
      <c r="O390" s="13"/>
      <c r="P390" s="13"/>
      <c r="Q390" s="13"/>
      <c r="R390" s="13"/>
      <c r="S390" s="13"/>
      <c r="T390" s="13"/>
      <c r="U390" s="13"/>
      <c r="V390" s="13"/>
      <c r="W390" s="13"/>
      <c r="X390" s="13"/>
      <c r="Y390" s="13"/>
      <c r="Z390" s="13"/>
    </row>
    <row r="391" spans="1:26" ht="13.5" customHeight="1">
      <c r="A391" s="13"/>
      <c r="B391" s="13"/>
      <c r="C391" s="13"/>
      <c r="D391" s="13"/>
      <c r="E391" s="13"/>
      <c r="F391" s="13"/>
      <c r="G391" s="13"/>
      <c r="H391" s="13"/>
      <c r="I391" s="13"/>
      <c r="J391" s="13"/>
      <c r="K391" s="13"/>
      <c r="L391" s="13"/>
      <c r="M391" s="28"/>
      <c r="N391" s="294"/>
      <c r="O391" s="13"/>
      <c r="P391" s="13"/>
      <c r="Q391" s="13"/>
      <c r="R391" s="13"/>
      <c r="S391" s="13"/>
      <c r="T391" s="13"/>
      <c r="U391" s="13"/>
      <c r="V391" s="13"/>
      <c r="W391" s="13"/>
      <c r="X391" s="13"/>
      <c r="Y391" s="13"/>
      <c r="Z391" s="13"/>
    </row>
    <row r="392" spans="1:26" ht="13.5" customHeight="1">
      <c r="A392" s="13"/>
      <c r="B392" s="13"/>
      <c r="C392" s="13"/>
      <c r="D392" s="13"/>
      <c r="E392" s="13"/>
      <c r="F392" s="13"/>
      <c r="G392" s="13"/>
      <c r="H392" s="13"/>
      <c r="I392" s="13"/>
      <c r="J392" s="13"/>
      <c r="K392" s="13"/>
      <c r="L392" s="13"/>
      <c r="M392" s="28"/>
      <c r="N392" s="294"/>
      <c r="O392" s="13"/>
      <c r="P392" s="13"/>
      <c r="Q392" s="13"/>
      <c r="R392" s="13"/>
      <c r="S392" s="13"/>
      <c r="T392" s="13"/>
      <c r="U392" s="13"/>
      <c r="V392" s="13"/>
      <c r="W392" s="13"/>
      <c r="X392" s="13"/>
      <c r="Y392" s="13"/>
      <c r="Z392" s="13"/>
    </row>
    <row r="393" spans="1:26" ht="13.5" customHeight="1">
      <c r="A393" s="13"/>
      <c r="B393" s="13"/>
      <c r="C393" s="13"/>
      <c r="D393" s="13"/>
      <c r="E393" s="13"/>
      <c r="F393" s="13"/>
      <c r="G393" s="13"/>
      <c r="H393" s="13"/>
      <c r="I393" s="13"/>
      <c r="J393" s="13"/>
      <c r="K393" s="13"/>
      <c r="L393" s="13"/>
      <c r="M393" s="28"/>
      <c r="N393" s="294"/>
      <c r="O393" s="13"/>
      <c r="P393" s="13"/>
      <c r="Q393" s="13"/>
      <c r="R393" s="13"/>
      <c r="S393" s="13"/>
      <c r="T393" s="13"/>
      <c r="U393" s="13"/>
      <c r="V393" s="13"/>
      <c r="W393" s="13"/>
      <c r="X393" s="13"/>
      <c r="Y393" s="13"/>
      <c r="Z393" s="13"/>
    </row>
    <row r="394" spans="1:26" ht="13.5" customHeight="1">
      <c r="A394" s="13"/>
      <c r="B394" s="13"/>
      <c r="C394" s="13"/>
      <c r="D394" s="13"/>
      <c r="E394" s="13"/>
      <c r="F394" s="13"/>
      <c r="G394" s="13"/>
      <c r="H394" s="13"/>
      <c r="I394" s="13"/>
      <c r="J394" s="13"/>
      <c r="K394" s="13"/>
      <c r="L394" s="13"/>
      <c r="M394" s="28"/>
      <c r="N394" s="294"/>
      <c r="O394" s="13"/>
      <c r="P394" s="13"/>
      <c r="Q394" s="13"/>
      <c r="R394" s="13"/>
      <c r="S394" s="13"/>
      <c r="T394" s="13"/>
      <c r="U394" s="13"/>
      <c r="V394" s="13"/>
      <c r="W394" s="13"/>
      <c r="X394" s="13"/>
      <c r="Y394" s="13"/>
      <c r="Z394" s="13"/>
    </row>
    <row r="395" spans="1:26" ht="13.5" customHeight="1">
      <c r="A395" s="13"/>
      <c r="B395" s="13"/>
      <c r="C395" s="13"/>
      <c r="D395" s="13"/>
      <c r="E395" s="13"/>
      <c r="F395" s="13"/>
      <c r="G395" s="13"/>
      <c r="H395" s="13"/>
      <c r="I395" s="13"/>
      <c r="J395" s="13"/>
      <c r="K395" s="13"/>
      <c r="L395" s="13"/>
      <c r="M395" s="28"/>
      <c r="N395" s="294"/>
      <c r="O395" s="13"/>
      <c r="P395" s="13"/>
      <c r="Q395" s="13"/>
      <c r="R395" s="13"/>
      <c r="S395" s="13"/>
      <c r="T395" s="13"/>
      <c r="U395" s="13"/>
      <c r="V395" s="13"/>
      <c r="W395" s="13"/>
      <c r="X395" s="13"/>
      <c r="Y395" s="13"/>
      <c r="Z395" s="13"/>
    </row>
    <row r="396" spans="1:26" ht="13.5" customHeight="1">
      <c r="A396" s="13"/>
      <c r="B396" s="13"/>
      <c r="C396" s="13"/>
      <c r="D396" s="13"/>
      <c r="E396" s="13"/>
      <c r="F396" s="13"/>
      <c r="G396" s="13"/>
      <c r="H396" s="13"/>
      <c r="I396" s="13"/>
      <c r="J396" s="13"/>
      <c r="K396" s="13"/>
      <c r="L396" s="13"/>
      <c r="M396" s="28"/>
      <c r="N396" s="294"/>
      <c r="O396" s="13"/>
      <c r="P396" s="13"/>
      <c r="Q396" s="13"/>
      <c r="R396" s="13"/>
      <c r="S396" s="13"/>
      <c r="T396" s="13"/>
      <c r="U396" s="13"/>
      <c r="V396" s="13"/>
      <c r="W396" s="13"/>
      <c r="X396" s="13"/>
      <c r="Y396" s="13"/>
      <c r="Z396" s="13"/>
    </row>
    <row r="397" spans="1:26" ht="13.5" customHeight="1">
      <c r="A397" s="13"/>
      <c r="B397" s="13"/>
      <c r="C397" s="13"/>
      <c r="D397" s="13"/>
      <c r="E397" s="13"/>
      <c r="F397" s="13"/>
      <c r="G397" s="13"/>
      <c r="H397" s="13"/>
      <c r="I397" s="13"/>
      <c r="J397" s="13"/>
      <c r="K397" s="13"/>
      <c r="L397" s="13"/>
      <c r="M397" s="28"/>
      <c r="N397" s="294"/>
      <c r="O397" s="13"/>
      <c r="P397" s="13"/>
      <c r="Q397" s="13"/>
      <c r="R397" s="13"/>
      <c r="S397" s="13"/>
      <c r="T397" s="13"/>
      <c r="U397" s="13"/>
      <c r="V397" s="13"/>
      <c r="W397" s="13"/>
      <c r="X397" s="13"/>
      <c r="Y397" s="13"/>
      <c r="Z397" s="13"/>
    </row>
    <row r="398" spans="1:26" ht="13.5" customHeight="1">
      <c r="A398" s="13"/>
      <c r="B398" s="13"/>
      <c r="C398" s="13"/>
      <c r="D398" s="13"/>
      <c r="E398" s="13"/>
      <c r="F398" s="13"/>
      <c r="G398" s="13"/>
      <c r="H398" s="13"/>
      <c r="I398" s="13"/>
      <c r="J398" s="13"/>
      <c r="K398" s="13"/>
      <c r="L398" s="13"/>
      <c r="M398" s="28"/>
      <c r="N398" s="294"/>
      <c r="O398" s="13"/>
      <c r="P398" s="13"/>
      <c r="Q398" s="13"/>
      <c r="R398" s="13"/>
      <c r="S398" s="13"/>
      <c r="T398" s="13"/>
      <c r="U398" s="13"/>
      <c r="V398" s="13"/>
      <c r="W398" s="13"/>
      <c r="X398" s="13"/>
      <c r="Y398" s="13"/>
      <c r="Z398" s="13"/>
    </row>
    <row r="399" spans="1:26" ht="13.5" customHeight="1">
      <c r="A399" s="13"/>
      <c r="B399" s="13"/>
      <c r="C399" s="13"/>
      <c r="D399" s="13"/>
      <c r="E399" s="13"/>
      <c r="F399" s="13"/>
      <c r="G399" s="13"/>
      <c r="H399" s="13"/>
      <c r="I399" s="13"/>
      <c r="J399" s="13"/>
      <c r="K399" s="13"/>
      <c r="L399" s="13"/>
      <c r="M399" s="28"/>
      <c r="N399" s="294"/>
      <c r="O399" s="13"/>
      <c r="P399" s="13"/>
      <c r="Q399" s="13"/>
      <c r="R399" s="13"/>
      <c r="S399" s="13"/>
      <c r="T399" s="13"/>
      <c r="U399" s="13"/>
      <c r="V399" s="13"/>
      <c r="W399" s="13"/>
      <c r="X399" s="13"/>
      <c r="Y399" s="13"/>
      <c r="Z399" s="13"/>
    </row>
    <row r="400" spans="1:26" ht="13.5" customHeight="1">
      <c r="A400" s="13"/>
      <c r="B400" s="13"/>
      <c r="C400" s="13"/>
      <c r="D400" s="13"/>
      <c r="E400" s="13"/>
      <c r="F400" s="13"/>
      <c r="G400" s="13"/>
      <c r="H400" s="13"/>
      <c r="I400" s="13"/>
      <c r="J400" s="13"/>
      <c r="K400" s="13"/>
      <c r="L400" s="13"/>
      <c r="M400" s="28"/>
      <c r="N400" s="294"/>
      <c r="O400" s="13"/>
      <c r="P400" s="13"/>
      <c r="Q400" s="13"/>
      <c r="R400" s="13"/>
      <c r="S400" s="13"/>
      <c r="T400" s="13"/>
      <c r="U400" s="13"/>
      <c r="V400" s="13"/>
      <c r="W400" s="13"/>
      <c r="X400" s="13"/>
      <c r="Y400" s="13"/>
      <c r="Z400" s="13"/>
    </row>
    <row r="401" spans="1:26" ht="13.5" customHeight="1">
      <c r="A401" s="13"/>
      <c r="B401" s="13"/>
      <c r="C401" s="13"/>
      <c r="D401" s="13"/>
      <c r="E401" s="13"/>
      <c r="F401" s="13"/>
      <c r="G401" s="13"/>
      <c r="H401" s="13"/>
      <c r="I401" s="13"/>
      <c r="J401" s="13"/>
      <c r="K401" s="13"/>
      <c r="L401" s="13"/>
      <c r="M401" s="28"/>
      <c r="N401" s="294"/>
      <c r="O401" s="13"/>
      <c r="P401" s="13"/>
      <c r="Q401" s="13"/>
      <c r="R401" s="13"/>
      <c r="S401" s="13"/>
      <c r="T401" s="13"/>
      <c r="U401" s="13"/>
      <c r="V401" s="13"/>
      <c r="W401" s="13"/>
      <c r="X401" s="13"/>
      <c r="Y401" s="13"/>
      <c r="Z401" s="13"/>
    </row>
    <row r="402" spans="1:26" ht="13.5" customHeight="1">
      <c r="A402" s="13"/>
      <c r="B402" s="13"/>
      <c r="C402" s="13"/>
      <c r="D402" s="13"/>
      <c r="E402" s="13"/>
      <c r="F402" s="13"/>
      <c r="G402" s="13"/>
      <c r="H402" s="13"/>
      <c r="I402" s="13"/>
      <c r="J402" s="13"/>
      <c r="K402" s="13"/>
      <c r="L402" s="13"/>
      <c r="M402" s="28"/>
      <c r="N402" s="294"/>
      <c r="O402" s="13"/>
      <c r="P402" s="13"/>
      <c r="Q402" s="13"/>
      <c r="R402" s="13"/>
      <c r="S402" s="13"/>
      <c r="T402" s="13"/>
      <c r="U402" s="13"/>
      <c r="V402" s="13"/>
      <c r="W402" s="13"/>
      <c r="X402" s="13"/>
      <c r="Y402" s="13"/>
      <c r="Z402" s="13"/>
    </row>
    <row r="403" spans="1:26" ht="13.5" customHeight="1">
      <c r="A403" s="13"/>
      <c r="B403" s="13"/>
      <c r="C403" s="13"/>
      <c r="D403" s="13"/>
      <c r="E403" s="13"/>
      <c r="F403" s="13"/>
      <c r="G403" s="13"/>
      <c r="H403" s="13"/>
      <c r="I403" s="13"/>
      <c r="J403" s="13"/>
      <c r="K403" s="13"/>
      <c r="L403" s="13"/>
      <c r="M403" s="28"/>
      <c r="N403" s="294"/>
      <c r="O403" s="13"/>
      <c r="P403" s="13"/>
      <c r="Q403" s="13"/>
      <c r="R403" s="13"/>
      <c r="S403" s="13"/>
      <c r="T403" s="13"/>
      <c r="U403" s="13"/>
      <c r="V403" s="13"/>
      <c r="W403" s="13"/>
      <c r="X403" s="13"/>
      <c r="Y403" s="13"/>
      <c r="Z403" s="13"/>
    </row>
    <row r="404" spans="1:26" ht="13.5" customHeight="1">
      <c r="A404" s="13"/>
      <c r="B404" s="13"/>
      <c r="C404" s="13"/>
      <c r="D404" s="13"/>
      <c r="E404" s="13"/>
      <c r="F404" s="13"/>
      <c r="G404" s="13"/>
      <c r="H404" s="13"/>
      <c r="I404" s="13"/>
      <c r="J404" s="13"/>
      <c r="K404" s="13"/>
      <c r="L404" s="13"/>
      <c r="M404" s="28"/>
      <c r="N404" s="294"/>
      <c r="O404" s="13"/>
      <c r="P404" s="13"/>
      <c r="Q404" s="13"/>
      <c r="R404" s="13"/>
      <c r="S404" s="13"/>
      <c r="T404" s="13"/>
      <c r="U404" s="13"/>
      <c r="V404" s="13"/>
      <c r="W404" s="13"/>
      <c r="X404" s="13"/>
      <c r="Y404" s="13"/>
      <c r="Z404" s="13"/>
    </row>
    <row r="405" spans="1:26" ht="13.5" customHeight="1">
      <c r="A405" s="13"/>
      <c r="B405" s="13"/>
      <c r="C405" s="13"/>
      <c r="D405" s="13"/>
      <c r="E405" s="13"/>
      <c r="F405" s="13"/>
      <c r="G405" s="13"/>
      <c r="H405" s="13"/>
      <c r="I405" s="13"/>
      <c r="J405" s="13"/>
      <c r="K405" s="13"/>
      <c r="L405" s="13"/>
      <c r="M405" s="28"/>
      <c r="N405" s="294"/>
      <c r="O405" s="13"/>
      <c r="P405" s="13"/>
      <c r="Q405" s="13"/>
      <c r="R405" s="13"/>
      <c r="S405" s="13"/>
      <c r="T405" s="13"/>
      <c r="U405" s="13"/>
      <c r="V405" s="13"/>
      <c r="W405" s="13"/>
      <c r="X405" s="13"/>
      <c r="Y405" s="13"/>
      <c r="Z405" s="13"/>
    </row>
    <row r="406" spans="1:26" ht="13.5" customHeight="1">
      <c r="A406" s="13"/>
      <c r="B406" s="13"/>
      <c r="C406" s="13"/>
      <c r="D406" s="13"/>
      <c r="E406" s="13"/>
      <c r="F406" s="13"/>
      <c r="G406" s="13"/>
      <c r="H406" s="13"/>
      <c r="I406" s="13"/>
      <c r="J406" s="13"/>
      <c r="K406" s="13"/>
      <c r="L406" s="13"/>
      <c r="M406" s="28"/>
      <c r="N406" s="294"/>
      <c r="O406" s="13"/>
      <c r="P406" s="13"/>
      <c r="Q406" s="13"/>
      <c r="R406" s="13"/>
      <c r="S406" s="13"/>
      <c r="T406" s="13"/>
      <c r="U406" s="13"/>
      <c r="V406" s="13"/>
      <c r="W406" s="13"/>
      <c r="X406" s="13"/>
      <c r="Y406" s="13"/>
      <c r="Z406" s="13"/>
    </row>
    <row r="407" spans="1:26" ht="13.5" customHeight="1">
      <c r="A407" s="13"/>
      <c r="B407" s="13"/>
      <c r="C407" s="13"/>
      <c r="D407" s="13"/>
      <c r="E407" s="13"/>
      <c r="F407" s="13"/>
      <c r="G407" s="13"/>
      <c r="H407" s="13"/>
      <c r="I407" s="13"/>
      <c r="J407" s="13"/>
      <c r="K407" s="13"/>
      <c r="L407" s="13"/>
      <c r="M407" s="28"/>
      <c r="N407" s="294"/>
      <c r="O407" s="13"/>
      <c r="P407" s="13"/>
      <c r="Q407" s="13"/>
      <c r="R407" s="13"/>
      <c r="S407" s="13"/>
      <c r="T407" s="13"/>
      <c r="U407" s="13"/>
      <c r="V407" s="13"/>
      <c r="W407" s="13"/>
      <c r="X407" s="13"/>
      <c r="Y407" s="13"/>
      <c r="Z407" s="13"/>
    </row>
    <row r="408" spans="1:26" ht="13.5" customHeight="1">
      <c r="A408" s="13"/>
      <c r="B408" s="13"/>
      <c r="C408" s="13"/>
      <c r="D408" s="13"/>
      <c r="E408" s="13"/>
      <c r="F408" s="13"/>
      <c r="G408" s="13"/>
      <c r="H408" s="13"/>
      <c r="I408" s="13"/>
      <c r="J408" s="13"/>
      <c r="K408" s="13"/>
      <c r="L408" s="13"/>
      <c r="M408" s="28"/>
      <c r="N408" s="294"/>
      <c r="O408" s="13"/>
      <c r="P408" s="13"/>
      <c r="Q408" s="13"/>
      <c r="R408" s="13"/>
      <c r="S408" s="13"/>
      <c r="T408" s="13"/>
      <c r="U408" s="13"/>
      <c r="V408" s="13"/>
      <c r="W408" s="13"/>
      <c r="X408" s="13"/>
      <c r="Y408" s="13"/>
      <c r="Z408" s="13"/>
    </row>
    <row r="409" spans="1:26" ht="13.5" customHeight="1">
      <c r="A409" s="13"/>
      <c r="B409" s="13"/>
      <c r="C409" s="13"/>
      <c r="D409" s="13"/>
      <c r="E409" s="13"/>
      <c r="F409" s="13"/>
      <c r="G409" s="13"/>
      <c r="H409" s="13"/>
      <c r="I409" s="13"/>
      <c r="J409" s="13"/>
      <c r="K409" s="13"/>
      <c r="L409" s="13"/>
      <c r="M409" s="28"/>
      <c r="N409" s="294"/>
      <c r="O409" s="13"/>
      <c r="P409" s="13"/>
      <c r="Q409" s="13"/>
      <c r="R409" s="13"/>
      <c r="S409" s="13"/>
      <c r="T409" s="13"/>
      <c r="U409" s="13"/>
      <c r="V409" s="13"/>
      <c r="W409" s="13"/>
      <c r="X409" s="13"/>
      <c r="Y409" s="13"/>
      <c r="Z409" s="13"/>
    </row>
    <row r="410" spans="1:26" ht="13.5" customHeight="1">
      <c r="A410" s="13"/>
      <c r="B410" s="13"/>
      <c r="C410" s="13"/>
      <c r="D410" s="13"/>
      <c r="E410" s="13"/>
      <c r="F410" s="13"/>
      <c r="G410" s="13"/>
      <c r="H410" s="13"/>
      <c r="I410" s="13"/>
      <c r="J410" s="13"/>
      <c r="K410" s="13"/>
      <c r="L410" s="13"/>
      <c r="M410" s="28"/>
      <c r="N410" s="294"/>
      <c r="O410" s="13"/>
      <c r="P410" s="13"/>
      <c r="Q410" s="13"/>
      <c r="R410" s="13"/>
      <c r="S410" s="13"/>
      <c r="T410" s="13"/>
      <c r="U410" s="13"/>
      <c r="V410" s="13"/>
      <c r="W410" s="13"/>
      <c r="X410" s="13"/>
      <c r="Y410" s="13"/>
      <c r="Z410" s="13"/>
    </row>
    <row r="411" spans="1:26" ht="13.5" customHeight="1">
      <c r="A411" s="13"/>
      <c r="B411" s="13"/>
      <c r="C411" s="13"/>
      <c r="D411" s="13"/>
      <c r="E411" s="13"/>
      <c r="F411" s="13"/>
      <c r="G411" s="13"/>
      <c r="H411" s="13"/>
      <c r="I411" s="13"/>
      <c r="J411" s="13"/>
      <c r="K411" s="13"/>
      <c r="L411" s="13"/>
      <c r="M411" s="28"/>
      <c r="N411" s="294"/>
      <c r="O411" s="13"/>
      <c r="P411" s="13"/>
      <c r="Q411" s="13"/>
      <c r="R411" s="13"/>
      <c r="S411" s="13"/>
      <c r="T411" s="13"/>
      <c r="U411" s="13"/>
      <c r="V411" s="13"/>
      <c r="W411" s="13"/>
      <c r="X411" s="13"/>
      <c r="Y411" s="13"/>
      <c r="Z411" s="13"/>
    </row>
    <row r="412" spans="1:26" ht="13.5" customHeight="1">
      <c r="A412" s="13"/>
      <c r="B412" s="13"/>
      <c r="C412" s="13"/>
      <c r="D412" s="13"/>
      <c r="E412" s="13"/>
      <c r="F412" s="13"/>
      <c r="G412" s="13"/>
      <c r="H412" s="13"/>
      <c r="I412" s="13"/>
      <c r="J412" s="13"/>
      <c r="K412" s="13"/>
      <c r="L412" s="13"/>
      <c r="M412" s="28"/>
      <c r="N412" s="294"/>
      <c r="O412" s="13"/>
      <c r="P412" s="13"/>
      <c r="Q412" s="13"/>
      <c r="R412" s="13"/>
      <c r="S412" s="13"/>
      <c r="T412" s="13"/>
      <c r="U412" s="13"/>
      <c r="V412" s="13"/>
      <c r="W412" s="13"/>
      <c r="X412" s="13"/>
      <c r="Y412" s="13"/>
      <c r="Z412" s="13"/>
    </row>
    <row r="413" spans="1:26" ht="13.5" customHeight="1">
      <c r="A413" s="13"/>
      <c r="B413" s="13"/>
      <c r="C413" s="13"/>
      <c r="D413" s="13"/>
      <c r="E413" s="13"/>
      <c r="F413" s="13"/>
      <c r="G413" s="13"/>
      <c r="H413" s="13"/>
      <c r="I413" s="13"/>
      <c r="J413" s="13"/>
      <c r="K413" s="13"/>
      <c r="L413" s="13"/>
      <c r="M413" s="28"/>
      <c r="N413" s="294"/>
      <c r="O413" s="13"/>
      <c r="P413" s="13"/>
      <c r="Q413" s="13"/>
      <c r="R413" s="13"/>
      <c r="S413" s="13"/>
      <c r="T413" s="13"/>
      <c r="U413" s="13"/>
      <c r="V413" s="13"/>
      <c r="W413" s="13"/>
      <c r="X413" s="13"/>
      <c r="Y413" s="13"/>
      <c r="Z413" s="13"/>
    </row>
    <row r="414" spans="1:26" ht="13.5" customHeight="1">
      <c r="A414" s="13"/>
      <c r="B414" s="13"/>
      <c r="C414" s="13"/>
      <c r="D414" s="13"/>
      <c r="E414" s="13"/>
      <c r="F414" s="13"/>
      <c r="G414" s="13"/>
      <c r="H414" s="13"/>
      <c r="I414" s="13"/>
      <c r="J414" s="13"/>
      <c r="K414" s="13"/>
      <c r="L414" s="13"/>
      <c r="M414" s="28"/>
      <c r="N414" s="294"/>
      <c r="O414" s="13"/>
      <c r="P414" s="13"/>
      <c r="Q414" s="13"/>
      <c r="R414" s="13"/>
      <c r="S414" s="13"/>
      <c r="T414" s="13"/>
      <c r="U414" s="13"/>
      <c r="V414" s="13"/>
      <c r="W414" s="13"/>
      <c r="X414" s="13"/>
      <c r="Y414" s="13"/>
      <c r="Z414" s="13"/>
    </row>
    <row r="415" spans="1:26" ht="13.5" customHeight="1">
      <c r="A415" s="13"/>
      <c r="B415" s="13"/>
      <c r="C415" s="13"/>
      <c r="D415" s="13"/>
      <c r="E415" s="13"/>
      <c r="F415" s="13"/>
      <c r="G415" s="13"/>
      <c r="H415" s="13"/>
      <c r="I415" s="13"/>
      <c r="J415" s="13"/>
      <c r="K415" s="13"/>
      <c r="L415" s="13"/>
      <c r="M415" s="28"/>
      <c r="N415" s="294"/>
      <c r="O415" s="13"/>
      <c r="P415" s="13"/>
      <c r="Q415" s="13"/>
      <c r="R415" s="13"/>
      <c r="S415" s="13"/>
      <c r="T415" s="13"/>
      <c r="U415" s="13"/>
      <c r="V415" s="13"/>
      <c r="W415" s="13"/>
      <c r="X415" s="13"/>
      <c r="Y415" s="13"/>
      <c r="Z415" s="13"/>
    </row>
    <row r="416" spans="1:26" ht="13.5" customHeight="1">
      <c r="A416" s="13"/>
      <c r="B416" s="13"/>
      <c r="C416" s="13"/>
      <c r="D416" s="13"/>
      <c r="E416" s="13"/>
      <c r="F416" s="13"/>
      <c r="G416" s="13"/>
      <c r="H416" s="13"/>
      <c r="I416" s="13"/>
      <c r="J416" s="13"/>
      <c r="K416" s="13"/>
      <c r="L416" s="13"/>
      <c r="M416" s="28"/>
      <c r="N416" s="294"/>
      <c r="O416" s="13"/>
      <c r="P416" s="13"/>
      <c r="Q416" s="13"/>
      <c r="R416" s="13"/>
      <c r="S416" s="13"/>
      <c r="T416" s="13"/>
      <c r="U416" s="13"/>
      <c r="V416" s="13"/>
      <c r="W416" s="13"/>
      <c r="X416" s="13"/>
      <c r="Y416" s="13"/>
      <c r="Z416" s="13"/>
    </row>
    <row r="417" spans="1:26" ht="13.5" customHeight="1">
      <c r="A417" s="13"/>
      <c r="B417" s="13"/>
      <c r="C417" s="13"/>
      <c r="D417" s="13"/>
      <c r="E417" s="13"/>
      <c r="F417" s="13"/>
      <c r="G417" s="13"/>
      <c r="H417" s="13"/>
      <c r="I417" s="13"/>
      <c r="J417" s="13"/>
      <c r="K417" s="13"/>
      <c r="L417" s="13"/>
      <c r="M417" s="28"/>
      <c r="N417" s="294"/>
      <c r="O417" s="13"/>
      <c r="P417" s="13"/>
      <c r="Q417" s="13"/>
      <c r="R417" s="13"/>
      <c r="S417" s="13"/>
      <c r="T417" s="13"/>
      <c r="U417" s="13"/>
      <c r="V417" s="13"/>
      <c r="W417" s="13"/>
      <c r="X417" s="13"/>
      <c r="Y417" s="13"/>
      <c r="Z417" s="13"/>
    </row>
    <row r="418" spans="1:26" ht="13.5" customHeight="1">
      <c r="A418" s="13"/>
      <c r="B418" s="13"/>
      <c r="C418" s="13"/>
      <c r="D418" s="13"/>
      <c r="E418" s="13"/>
      <c r="F418" s="13"/>
      <c r="G418" s="13"/>
      <c r="H418" s="13"/>
      <c r="I418" s="13"/>
      <c r="J418" s="13"/>
      <c r="K418" s="13"/>
      <c r="L418" s="13"/>
      <c r="M418" s="28"/>
      <c r="N418" s="294"/>
      <c r="O418" s="13"/>
      <c r="P418" s="13"/>
      <c r="Q418" s="13"/>
      <c r="R418" s="13"/>
      <c r="S418" s="13"/>
      <c r="T418" s="13"/>
      <c r="U418" s="13"/>
      <c r="V418" s="13"/>
      <c r="W418" s="13"/>
      <c r="X418" s="13"/>
      <c r="Y418" s="13"/>
      <c r="Z418" s="13"/>
    </row>
    <row r="419" spans="1:26" ht="13.5" customHeight="1">
      <c r="A419" s="13"/>
      <c r="B419" s="13"/>
      <c r="C419" s="13"/>
      <c r="D419" s="13"/>
      <c r="E419" s="13"/>
      <c r="F419" s="13"/>
      <c r="G419" s="13"/>
      <c r="H419" s="13"/>
      <c r="I419" s="13"/>
      <c r="J419" s="13"/>
      <c r="K419" s="13"/>
      <c r="L419" s="13"/>
      <c r="M419" s="28"/>
      <c r="N419" s="294"/>
      <c r="O419" s="13"/>
      <c r="P419" s="13"/>
      <c r="Q419" s="13"/>
      <c r="R419" s="13"/>
      <c r="S419" s="13"/>
      <c r="T419" s="13"/>
      <c r="U419" s="13"/>
      <c r="V419" s="13"/>
      <c r="W419" s="13"/>
      <c r="X419" s="13"/>
      <c r="Y419" s="13"/>
      <c r="Z419" s="13"/>
    </row>
    <row r="420" spans="1:26" ht="13.5" customHeight="1">
      <c r="A420" s="13"/>
      <c r="B420" s="13"/>
      <c r="C420" s="13"/>
      <c r="D420" s="13"/>
      <c r="E420" s="13"/>
      <c r="F420" s="13"/>
      <c r="G420" s="13"/>
      <c r="H420" s="13"/>
      <c r="I420" s="13"/>
      <c r="J420" s="13"/>
      <c r="K420" s="13"/>
      <c r="L420" s="13"/>
      <c r="M420" s="28"/>
      <c r="N420" s="294"/>
      <c r="O420" s="13"/>
      <c r="P420" s="13"/>
      <c r="Q420" s="13"/>
      <c r="R420" s="13"/>
      <c r="S420" s="13"/>
      <c r="T420" s="13"/>
      <c r="U420" s="13"/>
      <c r="V420" s="13"/>
      <c r="W420" s="13"/>
      <c r="X420" s="13"/>
      <c r="Y420" s="13"/>
      <c r="Z420" s="13"/>
    </row>
    <row r="421" spans="1:26" ht="13.5" customHeight="1">
      <c r="A421" s="13"/>
      <c r="B421" s="13"/>
      <c r="C421" s="13"/>
      <c r="D421" s="13"/>
      <c r="E421" s="13"/>
      <c r="F421" s="13"/>
      <c r="G421" s="13"/>
      <c r="H421" s="13"/>
      <c r="I421" s="13"/>
      <c r="J421" s="13"/>
      <c r="K421" s="13"/>
      <c r="L421" s="13"/>
      <c r="M421" s="28"/>
      <c r="N421" s="294"/>
      <c r="O421" s="13"/>
      <c r="P421" s="13"/>
      <c r="Q421" s="13"/>
      <c r="R421" s="13"/>
      <c r="S421" s="13"/>
      <c r="T421" s="13"/>
      <c r="U421" s="13"/>
      <c r="V421" s="13"/>
      <c r="W421" s="13"/>
      <c r="X421" s="13"/>
      <c r="Y421" s="13"/>
      <c r="Z421" s="13"/>
    </row>
    <row r="422" spans="1:26" ht="13.5" customHeight="1">
      <c r="A422" s="13"/>
      <c r="B422" s="13"/>
      <c r="C422" s="13"/>
      <c r="D422" s="13"/>
      <c r="E422" s="13"/>
      <c r="F422" s="13"/>
      <c r="G422" s="13"/>
      <c r="H422" s="13"/>
      <c r="I422" s="13"/>
      <c r="J422" s="13"/>
      <c r="K422" s="13"/>
      <c r="L422" s="13"/>
      <c r="M422" s="28"/>
      <c r="N422" s="294"/>
      <c r="O422" s="13"/>
      <c r="P422" s="13"/>
      <c r="Q422" s="13"/>
      <c r="R422" s="13"/>
      <c r="S422" s="13"/>
      <c r="T422" s="13"/>
      <c r="U422" s="13"/>
      <c r="V422" s="13"/>
      <c r="W422" s="13"/>
      <c r="X422" s="13"/>
      <c r="Y422" s="13"/>
      <c r="Z422" s="13"/>
    </row>
    <row r="423" spans="1:26" ht="13.5" customHeight="1">
      <c r="A423" s="13"/>
      <c r="B423" s="13"/>
      <c r="C423" s="13"/>
      <c r="D423" s="13"/>
      <c r="E423" s="13"/>
      <c r="F423" s="13"/>
      <c r="G423" s="13"/>
      <c r="H423" s="13"/>
      <c r="I423" s="13"/>
      <c r="J423" s="13"/>
      <c r="K423" s="13"/>
      <c r="L423" s="13"/>
      <c r="M423" s="28"/>
      <c r="N423" s="294"/>
      <c r="O423" s="13"/>
      <c r="P423" s="13"/>
      <c r="Q423" s="13"/>
      <c r="R423" s="13"/>
      <c r="S423" s="13"/>
      <c r="T423" s="13"/>
      <c r="U423" s="13"/>
      <c r="V423" s="13"/>
      <c r="W423" s="13"/>
      <c r="X423" s="13"/>
      <c r="Y423" s="13"/>
      <c r="Z423" s="13"/>
    </row>
    <row r="424" spans="1:26" ht="13.5" customHeight="1">
      <c r="A424" s="13"/>
      <c r="B424" s="13"/>
      <c r="C424" s="13"/>
      <c r="D424" s="13"/>
      <c r="E424" s="13"/>
      <c r="F424" s="13"/>
      <c r="G424" s="13"/>
      <c r="H424" s="13"/>
      <c r="I424" s="13"/>
      <c r="J424" s="13"/>
      <c r="K424" s="13"/>
      <c r="L424" s="13"/>
      <c r="M424" s="28"/>
      <c r="N424" s="294"/>
      <c r="O424" s="13"/>
      <c r="P424" s="13"/>
      <c r="Q424" s="13"/>
      <c r="R424" s="13"/>
      <c r="S424" s="13"/>
      <c r="T424" s="13"/>
      <c r="U424" s="13"/>
      <c r="V424" s="13"/>
      <c r="W424" s="13"/>
      <c r="X424" s="13"/>
      <c r="Y424" s="13"/>
      <c r="Z424" s="13"/>
    </row>
    <row r="425" spans="1:26" ht="13.5" customHeight="1">
      <c r="A425" s="13"/>
      <c r="B425" s="13"/>
      <c r="C425" s="13"/>
      <c r="D425" s="13"/>
      <c r="E425" s="13"/>
      <c r="F425" s="13"/>
      <c r="G425" s="13"/>
      <c r="H425" s="13"/>
      <c r="I425" s="13"/>
      <c r="J425" s="13"/>
      <c r="K425" s="13"/>
      <c r="L425" s="13"/>
      <c r="M425" s="28"/>
      <c r="N425" s="294"/>
      <c r="O425" s="13"/>
      <c r="P425" s="13"/>
      <c r="Q425" s="13"/>
      <c r="R425" s="13"/>
      <c r="S425" s="13"/>
      <c r="T425" s="13"/>
      <c r="U425" s="13"/>
      <c r="V425" s="13"/>
      <c r="W425" s="13"/>
      <c r="X425" s="13"/>
      <c r="Y425" s="13"/>
      <c r="Z425" s="13"/>
    </row>
    <row r="426" spans="1:26" ht="13.5" customHeight="1">
      <c r="A426" s="13"/>
      <c r="B426" s="13"/>
      <c r="C426" s="13"/>
      <c r="D426" s="13"/>
      <c r="E426" s="13"/>
      <c r="F426" s="13"/>
      <c r="G426" s="13"/>
      <c r="H426" s="13"/>
      <c r="I426" s="13"/>
      <c r="J426" s="13"/>
      <c r="K426" s="13"/>
      <c r="L426" s="13"/>
      <c r="M426" s="28"/>
      <c r="N426" s="294"/>
      <c r="O426" s="13"/>
      <c r="P426" s="13"/>
      <c r="Q426" s="13"/>
      <c r="R426" s="13"/>
      <c r="S426" s="13"/>
      <c r="T426" s="13"/>
      <c r="U426" s="13"/>
      <c r="V426" s="13"/>
      <c r="W426" s="13"/>
      <c r="X426" s="13"/>
      <c r="Y426" s="13"/>
      <c r="Z426" s="13"/>
    </row>
    <row r="427" spans="1:26" ht="13.5" customHeight="1">
      <c r="A427" s="13"/>
      <c r="B427" s="13"/>
      <c r="C427" s="13"/>
      <c r="D427" s="13"/>
      <c r="E427" s="13"/>
      <c r="F427" s="13"/>
      <c r="G427" s="13"/>
      <c r="H427" s="13"/>
      <c r="I427" s="13"/>
      <c r="J427" s="13"/>
      <c r="K427" s="13"/>
      <c r="L427" s="13"/>
      <c r="M427" s="28"/>
      <c r="N427" s="294"/>
      <c r="O427" s="13"/>
      <c r="P427" s="13"/>
      <c r="Q427" s="13"/>
      <c r="R427" s="13"/>
      <c r="S427" s="13"/>
      <c r="T427" s="13"/>
      <c r="U427" s="13"/>
      <c r="V427" s="13"/>
      <c r="W427" s="13"/>
      <c r="X427" s="13"/>
      <c r="Y427" s="13"/>
      <c r="Z427" s="13"/>
    </row>
    <row r="428" spans="1:26" ht="13.5" customHeight="1">
      <c r="A428" s="13"/>
      <c r="B428" s="13"/>
      <c r="C428" s="13"/>
      <c r="D428" s="13"/>
      <c r="E428" s="13"/>
      <c r="F428" s="13"/>
      <c r="G428" s="13"/>
      <c r="H428" s="13"/>
      <c r="I428" s="13"/>
      <c r="J428" s="13"/>
      <c r="K428" s="13"/>
      <c r="L428" s="13"/>
      <c r="M428" s="28"/>
      <c r="N428" s="294"/>
      <c r="O428" s="13"/>
      <c r="P428" s="13"/>
      <c r="Q428" s="13"/>
      <c r="R428" s="13"/>
      <c r="S428" s="13"/>
      <c r="T428" s="13"/>
      <c r="U428" s="13"/>
      <c r="V428" s="13"/>
      <c r="W428" s="13"/>
      <c r="X428" s="13"/>
      <c r="Y428" s="13"/>
      <c r="Z428" s="13"/>
    </row>
    <row r="429" spans="1:26" ht="13.5" customHeight="1">
      <c r="A429" s="13"/>
      <c r="B429" s="13"/>
      <c r="C429" s="13"/>
      <c r="D429" s="13"/>
      <c r="E429" s="13"/>
      <c r="F429" s="13"/>
      <c r="G429" s="13"/>
      <c r="H429" s="13"/>
      <c r="I429" s="13"/>
      <c r="J429" s="13"/>
      <c r="K429" s="13"/>
      <c r="L429" s="13"/>
      <c r="M429" s="28"/>
      <c r="N429" s="294"/>
      <c r="O429" s="13"/>
      <c r="P429" s="13"/>
      <c r="Q429" s="13"/>
      <c r="R429" s="13"/>
      <c r="S429" s="13"/>
      <c r="T429" s="13"/>
      <c r="U429" s="13"/>
      <c r="V429" s="13"/>
      <c r="W429" s="13"/>
      <c r="X429" s="13"/>
      <c r="Y429" s="13"/>
      <c r="Z429" s="13"/>
    </row>
    <row r="430" spans="1:26" ht="13.5" customHeight="1">
      <c r="A430" s="13"/>
      <c r="B430" s="13"/>
      <c r="C430" s="13"/>
      <c r="D430" s="13"/>
      <c r="E430" s="13"/>
      <c r="F430" s="13"/>
      <c r="G430" s="13"/>
      <c r="H430" s="13"/>
      <c r="I430" s="13"/>
      <c r="J430" s="13"/>
      <c r="K430" s="13"/>
      <c r="L430" s="13"/>
      <c r="M430" s="28"/>
      <c r="N430" s="294"/>
      <c r="O430" s="13"/>
      <c r="P430" s="13"/>
      <c r="Q430" s="13"/>
      <c r="R430" s="13"/>
      <c r="S430" s="13"/>
      <c r="T430" s="13"/>
      <c r="U430" s="13"/>
      <c r="V430" s="13"/>
      <c r="W430" s="13"/>
      <c r="X430" s="13"/>
      <c r="Y430" s="13"/>
      <c r="Z430" s="13"/>
    </row>
    <row r="431" spans="1:26" ht="13.5" customHeight="1">
      <c r="A431" s="13"/>
      <c r="B431" s="13"/>
      <c r="C431" s="13"/>
      <c r="D431" s="13"/>
      <c r="E431" s="13"/>
      <c r="F431" s="13"/>
      <c r="G431" s="13"/>
      <c r="H431" s="13"/>
      <c r="I431" s="13"/>
      <c r="J431" s="13"/>
      <c r="K431" s="13"/>
      <c r="L431" s="13"/>
      <c r="M431" s="28"/>
      <c r="N431" s="294"/>
      <c r="O431" s="13"/>
      <c r="P431" s="13"/>
      <c r="Q431" s="13"/>
      <c r="R431" s="13"/>
      <c r="S431" s="13"/>
      <c r="T431" s="13"/>
      <c r="U431" s="13"/>
      <c r="V431" s="13"/>
      <c r="W431" s="13"/>
      <c r="X431" s="13"/>
      <c r="Y431" s="13"/>
      <c r="Z431" s="13"/>
    </row>
    <row r="432" spans="1:26" ht="13.5" customHeight="1">
      <c r="A432" s="13"/>
      <c r="B432" s="13"/>
      <c r="C432" s="13"/>
      <c r="D432" s="13"/>
      <c r="E432" s="13"/>
      <c r="F432" s="13"/>
      <c r="G432" s="13"/>
      <c r="H432" s="13"/>
      <c r="I432" s="13"/>
      <c r="J432" s="13"/>
      <c r="K432" s="13"/>
      <c r="L432" s="13"/>
      <c r="M432" s="28"/>
      <c r="N432" s="294"/>
      <c r="O432" s="13"/>
      <c r="P432" s="13"/>
      <c r="Q432" s="13"/>
      <c r="R432" s="13"/>
      <c r="S432" s="13"/>
      <c r="T432" s="13"/>
      <c r="U432" s="13"/>
      <c r="V432" s="13"/>
      <c r="W432" s="13"/>
      <c r="X432" s="13"/>
      <c r="Y432" s="13"/>
      <c r="Z432" s="13"/>
    </row>
    <row r="433" spans="1:26" ht="13.5" customHeight="1">
      <c r="A433" s="13"/>
      <c r="B433" s="13"/>
      <c r="C433" s="13"/>
      <c r="D433" s="13"/>
      <c r="E433" s="13"/>
      <c r="F433" s="13"/>
      <c r="G433" s="13"/>
      <c r="H433" s="13"/>
      <c r="I433" s="13"/>
      <c r="J433" s="13"/>
      <c r="K433" s="13"/>
      <c r="L433" s="13"/>
      <c r="M433" s="28"/>
      <c r="N433" s="294"/>
      <c r="O433" s="13"/>
      <c r="P433" s="13"/>
      <c r="Q433" s="13"/>
      <c r="R433" s="13"/>
      <c r="S433" s="13"/>
      <c r="T433" s="13"/>
      <c r="U433" s="13"/>
      <c r="V433" s="13"/>
      <c r="W433" s="13"/>
      <c r="X433" s="13"/>
      <c r="Y433" s="13"/>
      <c r="Z433" s="13"/>
    </row>
    <row r="434" spans="1:26" ht="13.5" customHeight="1">
      <c r="A434" s="13"/>
      <c r="B434" s="13"/>
      <c r="C434" s="13"/>
      <c r="D434" s="13"/>
      <c r="E434" s="13"/>
      <c r="F434" s="13"/>
      <c r="G434" s="13"/>
      <c r="H434" s="13"/>
      <c r="I434" s="13"/>
      <c r="J434" s="13"/>
      <c r="K434" s="13"/>
      <c r="L434" s="13"/>
      <c r="M434" s="28"/>
      <c r="N434" s="294"/>
      <c r="O434" s="13"/>
      <c r="P434" s="13"/>
      <c r="Q434" s="13"/>
      <c r="R434" s="13"/>
      <c r="S434" s="13"/>
      <c r="T434" s="13"/>
      <c r="U434" s="13"/>
      <c r="V434" s="13"/>
      <c r="W434" s="13"/>
      <c r="X434" s="13"/>
      <c r="Y434" s="13"/>
      <c r="Z434" s="13"/>
    </row>
    <row r="435" spans="1:26" ht="13.5" customHeight="1">
      <c r="A435" s="13"/>
      <c r="B435" s="13"/>
      <c r="C435" s="13"/>
      <c r="D435" s="13"/>
      <c r="E435" s="13"/>
      <c r="F435" s="13"/>
      <c r="G435" s="13"/>
      <c r="H435" s="13"/>
      <c r="I435" s="13"/>
      <c r="J435" s="13"/>
      <c r="K435" s="13"/>
      <c r="L435" s="13"/>
      <c r="M435" s="28"/>
      <c r="N435" s="294"/>
      <c r="O435" s="13"/>
      <c r="P435" s="13"/>
      <c r="Q435" s="13"/>
      <c r="R435" s="13"/>
      <c r="S435" s="13"/>
      <c r="T435" s="13"/>
      <c r="U435" s="13"/>
      <c r="V435" s="13"/>
      <c r="W435" s="13"/>
      <c r="X435" s="13"/>
      <c r="Y435" s="13"/>
      <c r="Z435" s="13"/>
    </row>
    <row r="436" spans="1:26" ht="13.5" customHeight="1">
      <c r="A436" s="13"/>
      <c r="B436" s="13"/>
      <c r="C436" s="13"/>
      <c r="D436" s="13"/>
      <c r="E436" s="13"/>
      <c r="F436" s="13"/>
      <c r="G436" s="13"/>
      <c r="H436" s="13"/>
      <c r="I436" s="13"/>
      <c r="J436" s="13"/>
      <c r="K436" s="13"/>
      <c r="L436" s="13"/>
      <c r="M436" s="28"/>
      <c r="N436" s="294"/>
      <c r="O436" s="13"/>
      <c r="P436" s="13"/>
      <c r="Q436" s="13"/>
      <c r="R436" s="13"/>
      <c r="S436" s="13"/>
      <c r="T436" s="13"/>
      <c r="U436" s="13"/>
      <c r="V436" s="13"/>
      <c r="W436" s="13"/>
      <c r="X436" s="13"/>
      <c r="Y436" s="13"/>
      <c r="Z436" s="13"/>
    </row>
    <row r="437" spans="1:26" ht="13.5" customHeight="1">
      <c r="A437" s="13"/>
      <c r="B437" s="13"/>
      <c r="C437" s="13"/>
      <c r="D437" s="13"/>
      <c r="E437" s="13"/>
      <c r="F437" s="13"/>
      <c r="G437" s="13"/>
      <c r="H437" s="13"/>
      <c r="I437" s="13"/>
      <c r="J437" s="13"/>
      <c r="K437" s="13"/>
      <c r="L437" s="13"/>
      <c r="M437" s="28"/>
      <c r="N437" s="294"/>
      <c r="O437" s="13"/>
      <c r="P437" s="13"/>
      <c r="Q437" s="13"/>
      <c r="R437" s="13"/>
      <c r="S437" s="13"/>
      <c r="T437" s="13"/>
      <c r="U437" s="13"/>
      <c r="V437" s="13"/>
      <c r="W437" s="13"/>
      <c r="X437" s="13"/>
      <c r="Y437" s="13"/>
      <c r="Z437" s="13"/>
    </row>
    <row r="438" spans="1:26" ht="13.5" customHeight="1">
      <c r="A438" s="13"/>
      <c r="B438" s="13"/>
      <c r="C438" s="13"/>
      <c r="D438" s="13"/>
      <c r="E438" s="13"/>
      <c r="F438" s="13"/>
      <c r="G438" s="13"/>
      <c r="H438" s="13"/>
      <c r="I438" s="13"/>
      <c r="J438" s="13"/>
      <c r="K438" s="13"/>
      <c r="L438" s="13"/>
      <c r="M438" s="28"/>
      <c r="N438" s="294"/>
      <c r="O438" s="13"/>
      <c r="P438" s="13"/>
      <c r="Q438" s="13"/>
      <c r="R438" s="13"/>
      <c r="S438" s="13"/>
      <c r="T438" s="13"/>
      <c r="U438" s="13"/>
      <c r="V438" s="13"/>
      <c r="W438" s="13"/>
      <c r="X438" s="13"/>
      <c r="Y438" s="13"/>
      <c r="Z438" s="13"/>
    </row>
    <row r="439" spans="1:26" ht="13.5" customHeight="1">
      <c r="A439" s="13"/>
      <c r="B439" s="13"/>
      <c r="C439" s="13"/>
      <c r="D439" s="13"/>
      <c r="E439" s="13"/>
      <c r="F439" s="13"/>
      <c r="G439" s="13"/>
      <c r="H439" s="13"/>
      <c r="I439" s="13"/>
      <c r="J439" s="13"/>
      <c r="K439" s="13"/>
      <c r="L439" s="13"/>
      <c r="M439" s="28"/>
      <c r="N439" s="294"/>
      <c r="O439" s="13"/>
      <c r="P439" s="13"/>
      <c r="Q439" s="13"/>
      <c r="R439" s="13"/>
      <c r="S439" s="13"/>
      <c r="T439" s="13"/>
      <c r="U439" s="13"/>
      <c r="V439" s="13"/>
      <c r="W439" s="13"/>
      <c r="X439" s="13"/>
      <c r="Y439" s="13"/>
      <c r="Z439" s="13"/>
    </row>
    <row r="440" spans="1:26" ht="13.5" customHeight="1">
      <c r="A440" s="13"/>
      <c r="B440" s="13"/>
      <c r="C440" s="13"/>
      <c r="D440" s="13"/>
      <c r="E440" s="13"/>
      <c r="F440" s="13"/>
      <c r="G440" s="13"/>
      <c r="H440" s="13"/>
      <c r="I440" s="13"/>
      <c r="J440" s="13"/>
      <c r="K440" s="13"/>
      <c r="L440" s="13"/>
      <c r="M440" s="28"/>
      <c r="N440" s="294"/>
      <c r="O440" s="13"/>
      <c r="P440" s="13"/>
      <c r="Q440" s="13"/>
      <c r="R440" s="13"/>
      <c r="S440" s="13"/>
      <c r="T440" s="13"/>
      <c r="U440" s="13"/>
      <c r="V440" s="13"/>
      <c r="W440" s="13"/>
      <c r="X440" s="13"/>
      <c r="Y440" s="13"/>
      <c r="Z440" s="13"/>
    </row>
    <row r="441" spans="1:26" ht="13.5" customHeight="1">
      <c r="A441" s="13"/>
      <c r="B441" s="13"/>
      <c r="C441" s="13"/>
      <c r="D441" s="13"/>
      <c r="E441" s="13"/>
      <c r="F441" s="13"/>
      <c r="G441" s="13"/>
      <c r="H441" s="13"/>
      <c r="I441" s="13"/>
      <c r="J441" s="13"/>
      <c r="K441" s="13"/>
      <c r="L441" s="13"/>
      <c r="M441" s="28"/>
      <c r="N441" s="294"/>
      <c r="O441" s="13"/>
      <c r="P441" s="13"/>
      <c r="Q441" s="13"/>
      <c r="R441" s="13"/>
      <c r="S441" s="13"/>
      <c r="T441" s="13"/>
      <c r="U441" s="13"/>
      <c r="V441" s="13"/>
      <c r="W441" s="13"/>
      <c r="X441" s="13"/>
      <c r="Y441" s="13"/>
      <c r="Z441" s="13"/>
    </row>
    <row r="442" spans="1:26" ht="13.5" customHeight="1">
      <c r="A442" s="13"/>
      <c r="B442" s="13"/>
      <c r="C442" s="13"/>
      <c r="D442" s="13"/>
      <c r="E442" s="13"/>
      <c r="F442" s="13"/>
      <c r="G442" s="13"/>
      <c r="H442" s="13"/>
      <c r="I442" s="13"/>
      <c r="J442" s="13"/>
      <c r="K442" s="13"/>
      <c r="L442" s="13"/>
      <c r="M442" s="28"/>
      <c r="N442" s="294"/>
      <c r="O442" s="13"/>
      <c r="P442" s="13"/>
      <c r="Q442" s="13"/>
      <c r="R442" s="13"/>
      <c r="S442" s="13"/>
      <c r="T442" s="13"/>
      <c r="U442" s="13"/>
      <c r="V442" s="13"/>
      <c r="W442" s="13"/>
      <c r="X442" s="13"/>
      <c r="Y442" s="13"/>
      <c r="Z442" s="13"/>
    </row>
    <row r="443" spans="1:26" ht="13.5" customHeight="1">
      <c r="A443" s="13"/>
      <c r="B443" s="13"/>
      <c r="C443" s="13"/>
      <c r="D443" s="13"/>
      <c r="E443" s="13"/>
      <c r="F443" s="13"/>
      <c r="G443" s="13"/>
      <c r="H443" s="13"/>
      <c r="I443" s="13"/>
      <c r="J443" s="13"/>
      <c r="K443" s="13"/>
      <c r="L443" s="13"/>
      <c r="M443" s="28"/>
      <c r="N443" s="294"/>
      <c r="O443" s="13"/>
      <c r="P443" s="13"/>
      <c r="Q443" s="13"/>
      <c r="R443" s="13"/>
      <c r="S443" s="13"/>
      <c r="T443" s="13"/>
      <c r="U443" s="13"/>
      <c r="V443" s="13"/>
      <c r="W443" s="13"/>
      <c r="X443" s="13"/>
      <c r="Y443" s="13"/>
      <c r="Z443" s="13"/>
    </row>
    <row r="444" spans="1:26" ht="13.5" customHeight="1">
      <c r="A444" s="13"/>
      <c r="B444" s="13"/>
      <c r="C444" s="13"/>
      <c r="D444" s="13"/>
      <c r="E444" s="13"/>
      <c r="F444" s="13"/>
      <c r="G444" s="13"/>
      <c r="H444" s="13"/>
      <c r="I444" s="13"/>
      <c r="J444" s="13"/>
      <c r="K444" s="13"/>
      <c r="L444" s="13"/>
      <c r="M444" s="28"/>
      <c r="N444" s="294"/>
      <c r="O444" s="13"/>
      <c r="P444" s="13"/>
      <c r="Q444" s="13"/>
      <c r="R444" s="13"/>
      <c r="S444" s="13"/>
      <c r="T444" s="13"/>
      <c r="U444" s="13"/>
      <c r="V444" s="13"/>
      <c r="W444" s="13"/>
      <c r="X444" s="13"/>
      <c r="Y444" s="13"/>
      <c r="Z444" s="13"/>
    </row>
    <row r="445" spans="1:26" ht="13.5" customHeight="1">
      <c r="A445" s="13"/>
      <c r="B445" s="13"/>
      <c r="C445" s="13"/>
      <c r="D445" s="13"/>
      <c r="E445" s="13"/>
      <c r="F445" s="13"/>
      <c r="G445" s="13"/>
      <c r="H445" s="13"/>
      <c r="I445" s="13"/>
      <c r="J445" s="13"/>
      <c r="K445" s="13"/>
      <c r="L445" s="13"/>
      <c r="M445" s="28"/>
      <c r="N445" s="294"/>
      <c r="O445" s="13"/>
      <c r="P445" s="13"/>
      <c r="Q445" s="13"/>
      <c r="R445" s="13"/>
      <c r="S445" s="13"/>
      <c r="T445" s="13"/>
      <c r="U445" s="13"/>
      <c r="V445" s="13"/>
      <c r="W445" s="13"/>
      <c r="X445" s="13"/>
      <c r="Y445" s="13"/>
      <c r="Z445" s="13"/>
    </row>
    <row r="446" spans="1:26" ht="13.5" customHeight="1">
      <c r="A446" s="13"/>
      <c r="B446" s="13"/>
      <c r="C446" s="13"/>
      <c r="D446" s="13"/>
      <c r="E446" s="13"/>
      <c r="F446" s="13"/>
      <c r="G446" s="13"/>
      <c r="H446" s="13"/>
      <c r="I446" s="13"/>
      <c r="J446" s="13"/>
      <c r="K446" s="13"/>
      <c r="L446" s="13"/>
      <c r="M446" s="28"/>
      <c r="N446" s="294"/>
      <c r="O446" s="13"/>
      <c r="P446" s="13"/>
      <c r="Q446" s="13"/>
      <c r="R446" s="13"/>
      <c r="S446" s="13"/>
      <c r="T446" s="13"/>
      <c r="U446" s="13"/>
      <c r="V446" s="13"/>
      <c r="W446" s="13"/>
      <c r="X446" s="13"/>
      <c r="Y446" s="13"/>
      <c r="Z446" s="13"/>
    </row>
    <row r="447" spans="1:26" ht="13.5" customHeight="1">
      <c r="A447" s="13"/>
      <c r="B447" s="13"/>
      <c r="C447" s="13"/>
      <c r="D447" s="13"/>
      <c r="E447" s="13"/>
      <c r="F447" s="13"/>
      <c r="G447" s="13"/>
      <c r="H447" s="13"/>
      <c r="I447" s="13"/>
      <c r="J447" s="13"/>
      <c r="K447" s="13"/>
      <c r="L447" s="13"/>
      <c r="M447" s="28"/>
      <c r="N447" s="294"/>
      <c r="O447" s="13"/>
      <c r="P447" s="13"/>
      <c r="Q447" s="13"/>
      <c r="R447" s="13"/>
      <c r="S447" s="13"/>
      <c r="T447" s="13"/>
      <c r="U447" s="13"/>
      <c r="V447" s="13"/>
      <c r="W447" s="13"/>
      <c r="X447" s="13"/>
      <c r="Y447" s="13"/>
      <c r="Z447" s="13"/>
    </row>
    <row r="448" spans="1:26" ht="13.5" customHeight="1">
      <c r="A448" s="13"/>
      <c r="B448" s="13"/>
      <c r="C448" s="13"/>
      <c r="D448" s="13"/>
      <c r="E448" s="13"/>
      <c r="F448" s="13"/>
      <c r="G448" s="13"/>
      <c r="H448" s="13"/>
      <c r="I448" s="13"/>
      <c r="J448" s="13"/>
      <c r="K448" s="13"/>
      <c r="L448" s="13"/>
      <c r="M448" s="28"/>
      <c r="N448" s="294"/>
      <c r="O448" s="13"/>
      <c r="P448" s="13"/>
      <c r="Q448" s="13"/>
      <c r="R448" s="13"/>
      <c r="S448" s="13"/>
      <c r="T448" s="13"/>
      <c r="U448" s="13"/>
      <c r="V448" s="13"/>
      <c r="W448" s="13"/>
      <c r="X448" s="13"/>
      <c r="Y448" s="13"/>
      <c r="Z448" s="13"/>
    </row>
    <row r="449" spans="1:26" ht="13.5" customHeight="1">
      <c r="A449" s="13"/>
      <c r="B449" s="13"/>
      <c r="C449" s="13"/>
      <c r="D449" s="13"/>
      <c r="E449" s="13"/>
      <c r="F449" s="13"/>
      <c r="G449" s="13"/>
      <c r="H449" s="13"/>
      <c r="I449" s="13"/>
      <c r="J449" s="13"/>
      <c r="K449" s="13"/>
      <c r="L449" s="13"/>
      <c r="M449" s="28"/>
      <c r="N449" s="294"/>
      <c r="O449" s="13"/>
      <c r="P449" s="13"/>
      <c r="Q449" s="13"/>
      <c r="R449" s="13"/>
      <c r="S449" s="13"/>
      <c r="T449" s="13"/>
      <c r="U449" s="13"/>
      <c r="V449" s="13"/>
      <c r="W449" s="13"/>
      <c r="X449" s="13"/>
      <c r="Y449" s="13"/>
      <c r="Z449" s="13"/>
    </row>
    <row r="450" spans="1:26" ht="13.5" customHeight="1">
      <c r="A450" s="13"/>
      <c r="B450" s="13"/>
      <c r="C450" s="13"/>
      <c r="D450" s="13"/>
      <c r="E450" s="13"/>
      <c r="F450" s="13"/>
      <c r="G450" s="13"/>
      <c r="H450" s="13"/>
      <c r="I450" s="13"/>
      <c r="J450" s="13"/>
      <c r="K450" s="13"/>
      <c r="L450" s="13"/>
      <c r="M450" s="28"/>
      <c r="N450" s="294"/>
      <c r="O450" s="13"/>
      <c r="P450" s="13"/>
      <c r="Q450" s="13"/>
      <c r="R450" s="13"/>
      <c r="S450" s="13"/>
      <c r="T450" s="13"/>
      <c r="U450" s="13"/>
      <c r="V450" s="13"/>
      <c r="W450" s="13"/>
      <c r="X450" s="13"/>
      <c r="Y450" s="13"/>
      <c r="Z450" s="13"/>
    </row>
    <row r="451" spans="1:26" ht="13.5" customHeight="1">
      <c r="A451" s="13"/>
      <c r="B451" s="13"/>
      <c r="C451" s="13"/>
      <c r="D451" s="13"/>
      <c r="E451" s="13"/>
      <c r="F451" s="13"/>
      <c r="G451" s="13"/>
      <c r="H451" s="13"/>
      <c r="I451" s="13"/>
      <c r="J451" s="13"/>
      <c r="K451" s="13"/>
      <c r="L451" s="13"/>
      <c r="M451" s="28"/>
      <c r="N451" s="294"/>
      <c r="O451" s="13"/>
      <c r="P451" s="13"/>
      <c r="Q451" s="13"/>
      <c r="R451" s="13"/>
      <c r="S451" s="13"/>
      <c r="T451" s="13"/>
      <c r="U451" s="13"/>
      <c r="V451" s="13"/>
      <c r="W451" s="13"/>
      <c r="X451" s="13"/>
      <c r="Y451" s="13"/>
      <c r="Z451" s="13"/>
    </row>
    <row r="452" spans="1:26" ht="13.5" customHeight="1">
      <c r="A452" s="13"/>
      <c r="B452" s="13"/>
      <c r="C452" s="13"/>
      <c r="D452" s="13"/>
      <c r="E452" s="13"/>
      <c r="F452" s="13"/>
      <c r="G452" s="13"/>
      <c r="H452" s="13"/>
      <c r="I452" s="13"/>
      <c r="J452" s="13"/>
      <c r="K452" s="13"/>
      <c r="L452" s="13"/>
      <c r="M452" s="28"/>
      <c r="N452" s="294"/>
      <c r="O452" s="13"/>
      <c r="P452" s="13"/>
      <c r="Q452" s="13"/>
      <c r="R452" s="13"/>
      <c r="S452" s="13"/>
      <c r="T452" s="13"/>
      <c r="U452" s="13"/>
      <c r="V452" s="13"/>
      <c r="W452" s="13"/>
      <c r="X452" s="13"/>
      <c r="Y452" s="13"/>
      <c r="Z452" s="13"/>
    </row>
    <row r="453" spans="1:26" ht="13.5" customHeight="1">
      <c r="A453" s="13"/>
      <c r="B453" s="13"/>
      <c r="C453" s="13"/>
      <c r="D453" s="13"/>
      <c r="E453" s="13"/>
      <c r="F453" s="13"/>
      <c r="G453" s="13"/>
      <c r="H453" s="13"/>
      <c r="I453" s="13"/>
      <c r="J453" s="13"/>
      <c r="K453" s="13"/>
      <c r="L453" s="13"/>
      <c r="M453" s="28"/>
      <c r="N453" s="294"/>
      <c r="O453" s="13"/>
      <c r="P453" s="13"/>
      <c r="Q453" s="13"/>
      <c r="R453" s="13"/>
      <c r="S453" s="13"/>
      <c r="T453" s="13"/>
      <c r="U453" s="13"/>
      <c r="V453" s="13"/>
      <c r="W453" s="13"/>
      <c r="X453" s="13"/>
      <c r="Y453" s="13"/>
      <c r="Z453" s="13"/>
    </row>
    <row r="454" spans="1:26" ht="13.5" customHeight="1">
      <c r="A454" s="13"/>
      <c r="B454" s="13"/>
      <c r="C454" s="13"/>
      <c r="D454" s="13"/>
      <c r="E454" s="13"/>
      <c r="F454" s="13"/>
      <c r="G454" s="13"/>
      <c r="H454" s="13"/>
      <c r="I454" s="13"/>
      <c r="J454" s="13"/>
      <c r="K454" s="13"/>
      <c r="L454" s="13"/>
      <c r="M454" s="28"/>
      <c r="N454" s="294"/>
      <c r="O454" s="13"/>
      <c r="P454" s="13"/>
      <c r="Q454" s="13"/>
      <c r="R454" s="13"/>
      <c r="S454" s="13"/>
      <c r="T454" s="13"/>
      <c r="U454" s="13"/>
      <c r="V454" s="13"/>
      <c r="W454" s="13"/>
      <c r="X454" s="13"/>
      <c r="Y454" s="13"/>
      <c r="Z454" s="13"/>
    </row>
    <row r="455" spans="1:26" ht="13.5" customHeight="1">
      <c r="A455" s="13"/>
      <c r="B455" s="13"/>
      <c r="C455" s="13"/>
      <c r="D455" s="13"/>
      <c r="E455" s="13"/>
      <c r="F455" s="13"/>
      <c r="G455" s="13"/>
      <c r="H455" s="13"/>
      <c r="I455" s="13"/>
      <c r="J455" s="13"/>
      <c r="K455" s="13"/>
      <c r="L455" s="13"/>
      <c r="M455" s="28"/>
      <c r="N455" s="294"/>
      <c r="O455" s="13"/>
      <c r="P455" s="13"/>
      <c r="Q455" s="13"/>
      <c r="R455" s="13"/>
      <c r="S455" s="13"/>
      <c r="T455" s="13"/>
      <c r="U455" s="13"/>
      <c r="V455" s="13"/>
      <c r="W455" s="13"/>
      <c r="X455" s="13"/>
      <c r="Y455" s="13"/>
      <c r="Z455" s="13"/>
    </row>
    <row r="456" spans="1:26" ht="13.5" customHeight="1">
      <c r="A456" s="13"/>
      <c r="B456" s="13"/>
      <c r="C456" s="13"/>
      <c r="D456" s="13"/>
      <c r="E456" s="13"/>
      <c r="F456" s="13"/>
      <c r="G456" s="13"/>
      <c r="H456" s="13"/>
      <c r="I456" s="13"/>
      <c r="J456" s="13"/>
      <c r="K456" s="13"/>
      <c r="L456" s="13"/>
      <c r="M456" s="28"/>
      <c r="N456" s="294"/>
      <c r="O456" s="13"/>
      <c r="P456" s="13"/>
      <c r="Q456" s="13"/>
      <c r="R456" s="13"/>
      <c r="S456" s="13"/>
      <c r="T456" s="13"/>
      <c r="U456" s="13"/>
      <c r="V456" s="13"/>
      <c r="W456" s="13"/>
      <c r="X456" s="13"/>
      <c r="Y456" s="13"/>
      <c r="Z456" s="13"/>
    </row>
    <row r="457" spans="1:26" ht="13.5" customHeight="1">
      <c r="A457" s="13"/>
      <c r="B457" s="13"/>
      <c r="C457" s="13"/>
      <c r="D457" s="13"/>
      <c r="E457" s="13"/>
      <c r="F457" s="13"/>
      <c r="G457" s="13"/>
      <c r="H457" s="13"/>
      <c r="I457" s="13"/>
      <c r="J457" s="13"/>
      <c r="K457" s="13"/>
      <c r="L457" s="13"/>
      <c r="M457" s="28"/>
      <c r="N457" s="294"/>
      <c r="O457" s="13"/>
      <c r="P457" s="13"/>
      <c r="Q457" s="13"/>
      <c r="R457" s="13"/>
      <c r="S457" s="13"/>
      <c r="T457" s="13"/>
      <c r="U457" s="13"/>
      <c r="V457" s="13"/>
      <c r="W457" s="13"/>
      <c r="X457" s="13"/>
      <c r="Y457" s="13"/>
      <c r="Z457" s="13"/>
    </row>
    <row r="458" spans="1:26" ht="13.5" customHeight="1">
      <c r="A458" s="13"/>
      <c r="B458" s="13"/>
      <c r="C458" s="13"/>
      <c r="D458" s="13"/>
      <c r="E458" s="13"/>
      <c r="F458" s="13"/>
      <c r="G458" s="13"/>
      <c r="H458" s="13"/>
      <c r="I458" s="13"/>
      <c r="J458" s="13"/>
      <c r="K458" s="13"/>
      <c r="L458" s="13"/>
      <c r="M458" s="28"/>
      <c r="N458" s="294"/>
      <c r="O458" s="13"/>
      <c r="P458" s="13"/>
      <c r="Q458" s="13"/>
      <c r="R458" s="13"/>
      <c r="S458" s="13"/>
      <c r="T458" s="13"/>
      <c r="U458" s="13"/>
      <c r="V458" s="13"/>
      <c r="W458" s="13"/>
      <c r="X458" s="13"/>
      <c r="Y458" s="13"/>
      <c r="Z458" s="13"/>
    </row>
    <row r="459" spans="1:26" ht="13.5" customHeight="1">
      <c r="A459" s="13"/>
      <c r="B459" s="13"/>
      <c r="C459" s="13"/>
      <c r="D459" s="13"/>
      <c r="E459" s="13"/>
      <c r="F459" s="13"/>
      <c r="G459" s="13"/>
      <c r="H459" s="13"/>
      <c r="I459" s="13"/>
      <c r="J459" s="13"/>
      <c r="K459" s="13"/>
      <c r="L459" s="13"/>
      <c r="M459" s="28"/>
      <c r="N459" s="294"/>
      <c r="O459" s="13"/>
      <c r="P459" s="13"/>
      <c r="Q459" s="13"/>
      <c r="R459" s="13"/>
      <c r="S459" s="13"/>
      <c r="T459" s="13"/>
      <c r="U459" s="13"/>
      <c r="V459" s="13"/>
      <c r="W459" s="13"/>
      <c r="X459" s="13"/>
      <c r="Y459" s="13"/>
      <c r="Z459" s="13"/>
    </row>
    <row r="460" spans="1:26" ht="13.5" customHeight="1">
      <c r="A460" s="13"/>
      <c r="B460" s="13"/>
      <c r="C460" s="13"/>
      <c r="D460" s="13"/>
      <c r="E460" s="13"/>
      <c r="F460" s="13"/>
      <c r="G460" s="13"/>
      <c r="H460" s="13"/>
      <c r="I460" s="13"/>
      <c r="J460" s="13"/>
      <c r="K460" s="13"/>
      <c r="L460" s="13"/>
      <c r="M460" s="28"/>
      <c r="N460" s="294"/>
      <c r="O460" s="13"/>
      <c r="P460" s="13"/>
      <c r="Q460" s="13"/>
      <c r="R460" s="13"/>
      <c r="S460" s="13"/>
      <c r="T460" s="13"/>
      <c r="U460" s="13"/>
      <c r="V460" s="13"/>
      <c r="W460" s="13"/>
      <c r="X460" s="13"/>
      <c r="Y460" s="13"/>
      <c r="Z460" s="13"/>
    </row>
    <row r="461" spans="1:26" ht="13.5" customHeight="1">
      <c r="A461" s="13"/>
      <c r="B461" s="13"/>
      <c r="C461" s="13"/>
      <c r="D461" s="13"/>
      <c r="E461" s="13"/>
      <c r="F461" s="13"/>
      <c r="G461" s="13"/>
      <c r="H461" s="13"/>
      <c r="I461" s="13"/>
      <c r="J461" s="13"/>
      <c r="K461" s="13"/>
      <c r="L461" s="13"/>
      <c r="M461" s="28"/>
      <c r="N461" s="294"/>
      <c r="O461" s="13"/>
      <c r="P461" s="13"/>
      <c r="Q461" s="13"/>
      <c r="R461" s="13"/>
      <c r="S461" s="13"/>
      <c r="T461" s="13"/>
      <c r="U461" s="13"/>
      <c r="V461" s="13"/>
      <c r="W461" s="13"/>
      <c r="X461" s="13"/>
      <c r="Y461" s="13"/>
      <c r="Z461" s="13"/>
    </row>
    <row r="462" spans="1:26" ht="13.5" customHeight="1">
      <c r="A462" s="13"/>
      <c r="B462" s="13"/>
      <c r="C462" s="13"/>
      <c r="D462" s="13"/>
      <c r="E462" s="13"/>
      <c r="F462" s="13"/>
      <c r="G462" s="13"/>
      <c r="H462" s="13"/>
      <c r="I462" s="13"/>
      <c r="J462" s="13"/>
      <c r="K462" s="13"/>
      <c r="L462" s="13"/>
      <c r="M462" s="28"/>
      <c r="N462" s="294"/>
      <c r="O462" s="13"/>
      <c r="P462" s="13"/>
      <c r="Q462" s="13"/>
      <c r="R462" s="13"/>
      <c r="S462" s="13"/>
      <c r="T462" s="13"/>
      <c r="U462" s="13"/>
      <c r="V462" s="13"/>
      <c r="W462" s="13"/>
      <c r="X462" s="13"/>
      <c r="Y462" s="13"/>
      <c r="Z462" s="13"/>
    </row>
    <row r="463" spans="1:26" ht="13.5" customHeight="1">
      <c r="A463" s="13"/>
      <c r="B463" s="13"/>
      <c r="C463" s="13"/>
      <c r="D463" s="13"/>
      <c r="E463" s="13"/>
      <c r="F463" s="13"/>
      <c r="G463" s="13"/>
      <c r="H463" s="13"/>
      <c r="I463" s="13"/>
      <c r="J463" s="13"/>
      <c r="K463" s="13"/>
      <c r="L463" s="13"/>
      <c r="M463" s="28"/>
      <c r="N463" s="294"/>
      <c r="O463" s="13"/>
      <c r="P463" s="13"/>
      <c r="Q463" s="13"/>
      <c r="R463" s="13"/>
      <c r="S463" s="13"/>
      <c r="T463" s="13"/>
      <c r="U463" s="13"/>
      <c r="V463" s="13"/>
      <c r="W463" s="13"/>
      <c r="X463" s="13"/>
      <c r="Y463" s="13"/>
      <c r="Z463" s="13"/>
    </row>
    <row r="464" spans="1:26" ht="13.5" customHeight="1">
      <c r="A464" s="13"/>
      <c r="B464" s="13"/>
      <c r="C464" s="13"/>
      <c r="D464" s="13"/>
      <c r="E464" s="13"/>
      <c r="F464" s="13"/>
      <c r="G464" s="13"/>
      <c r="H464" s="13"/>
      <c r="I464" s="13"/>
      <c r="J464" s="13"/>
      <c r="K464" s="13"/>
      <c r="L464" s="13"/>
      <c r="M464" s="28"/>
      <c r="N464" s="294"/>
      <c r="O464" s="13"/>
      <c r="P464" s="13"/>
      <c r="Q464" s="13"/>
      <c r="R464" s="13"/>
      <c r="S464" s="13"/>
      <c r="T464" s="13"/>
      <c r="U464" s="13"/>
      <c r="V464" s="13"/>
      <c r="W464" s="13"/>
      <c r="X464" s="13"/>
      <c r="Y464" s="13"/>
      <c r="Z464" s="13"/>
    </row>
    <row r="465" spans="1:26" ht="13.5" customHeight="1">
      <c r="A465" s="13"/>
      <c r="B465" s="13"/>
      <c r="C465" s="13"/>
      <c r="D465" s="13"/>
      <c r="E465" s="13"/>
      <c r="F465" s="13"/>
      <c r="G465" s="13"/>
      <c r="H465" s="13"/>
      <c r="I465" s="13"/>
      <c r="J465" s="13"/>
      <c r="K465" s="13"/>
      <c r="L465" s="13"/>
      <c r="M465" s="28"/>
      <c r="N465" s="294"/>
      <c r="O465" s="13"/>
      <c r="P465" s="13"/>
      <c r="Q465" s="13"/>
      <c r="R465" s="13"/>
      <c r="S465" s="13"/>
      <c r="T465" s="13"/>
      <c r="U465" s="13"/>
      <c r="V465" s="13"/>
      <c r="W465" s="13"/>
      <c r="X465" s="13"/>
      <c r="Y465" s="13"/>
      <c r="Z465" s="13"/>
    </row>
    <row r="466" spans="1:26" ht="13.5" customHeight="1">
      <c r="A466" s="13"/>
      <c r="B466" s="13"/>
      <c r="C466" s="13"/>
      <c r="D466" s="13"/>
      <c r="E466" s="13"/>
      <c r="F466" s="13"/>
      <c r="G466" s="13"/>
      <c r="H466" s="13"/>
      <c r="I466" s="13"/>
      <c r="J466" s="13"/>
      <c r="K466" s="13"/>
      <c r="L466" s="13"/>
      <c r="M466" s="28"/>
      <c r="N466" s="294"/>
      <c r="O466" s="13"/>
      <c r="P466" s="13"/>
      <c r="Q466" s="13"/>
      <c r="R466" s="13"/>
      <c r="S466" s="13"/>
      <c r="T466" s="13"/>
      <c r="U466" s="13"/>
      <c r="V466" s="13"/>
      <c r="W466" s="13"/>
      <c r="X466" s="13"/>
      <c r="Y466" s="13"/>
      <c r="Z466" s="13"/>
    </row>
    <row r="467" spans="1:26" ht="13.5" customHeight="1">
      <c r="A467" s="13"/>
      <c r="B467" s="13"/>
      <c r="C467" s="13"/>
      <c r="D467" s="13"/>
      <c r="E467" s="13"/>
      <c r="F467" s="13"/>
      <c r="G467" s="13"/>
      <c r="H467" s="13"/>
      <c r="I467" s="13"/>
      <c r="J467" s="13"/>
      <c r="K467" s="13"/>
      <c r="L467" s="13"/>
      <c r="M467" s="28"/>
      <c r="N467" s="294"/>
      <c r="O467" s="13"/>
      <c r="P467" s="13"/>
      <c r="Q467" s="13"/>
      <c r="R467" s="13"/>
      <c r="S467" s="13"/>
      <c r="T467" s="13"/>
      <c r="U467" s="13"/>
      <c r="V467" s="13"/>
      <c r="W467" s="13"/>
      <c r="X467" s="13"/>
      <c r="Y467" s="13"/>
      <c r="Z467" s="13"/>
    </row>
    <row r="468" spans="1:26" ht="13.5" customHeight="1">
      <c r="A468" s="13"/>
      <c r="B468" s="13"/>
      <c r="C468" s="13"/>
      <c r="D468" s="13"/>
      <c r="E468" s="13"/>
      <c r="F468" s="13"/>
      <c r="G468" s="13"/>
      <c r="H468" s="13"/>
      <c r="I468" s="13"/>
      <c r="J468" s="13"/>
      <c r="K468" s="13"/>
      <c r="L468" s="13"/>
      <c r="M468" s="28"/>
      <c r="N468" s="294"/>
      <c r="O468" s="13"/>
      <c r="P468" s="13"/>
      <c r="Q468" s="13"/>
      <c r="R468" s="13"/>
      <c r="S468" s="13"/>
      <c r="T468" s="13"/>
      <c r="U468" s="13"/>
      <c r="V468" s="13"/>
      <c r="W468" s="13"/>
      <c r="X468" s="13"/>
      <c r="Y468" s="13"/>
      <c r="Z468" s="13"/>
    </row>
    <row r="469" spans="1:26" ht="13.5" customHeight="1">
      <c r="A469" s="13"/>
      <c r="B469" s="13"/>
      <c r="C469" s="13"/>
      <c r="D469" s="13"/>
      <c r="E469" s="13"/>
      <c r="F469" s="13"/>
      <c r="G469" s="13"/>
      <c r="H469" s="13"/>
      <c r="I469" s="13"/>
      <c r="J469" s="13"/>
      <c r="K469" s="13"/>
      <c r="L469" s="13"/>
      <c r="M469" s="28"/>
      <c r="N469" s="294"/>
      <c r="O469" s="13"/>
      <c r="P469" s="13"/>
      <c r="Q469" s="13"/>
      <c r="R469" s="13"/>
      <c r="S469" s="13"/>
      <c r="T469" s="13"/>
      <c r="U469" s="13"/>
      <c r="V469" s="13"/>
      <c r="W469" s="13"/>
      <c r="X469" s="13"/>
      <c r="Y469" s="13"/>
      <c r="Z469" s="13"/>
    </row>
    <row r="470" spans="1:26" ht="13.5" customHeight="1">
      <c r="A470" s="13"/>
      <c r="B470" s="13"/>
      <c r="C470" s="13"/>
      <c r="D470" s="13"/>
      <c r="E470" s="13"/>
      <c r="F470" s="13"/>
      <c r="G470" s="13"/>
      <c r="H470" s="13"/>
      <c r="I470" s="13"/>
      <c r="J470" s="13"/>
      <c r="K470" s="13"/>
      <c r="L470" s="13"/>
      <c r="M470" s="28"/>
      <c r="N470" s="294"/>
      <c r="O470" s="13"/>
      <c r="P470" s="13"/>
      <c r="Q470" s="13"/>
      <c r="R470" s="13"/>
      <c r="S470" s="13"/>
      <c r="T470" s="13"/>
      <c r="U470" s="13"/>
      <c r="V470" s="13"/>
      <c r="W470" s="13"/>
      <c r="X470" s="13"/>
      <c r="Y470" s="13"/>
      <c r="Z470" s="13"/>
    </row>
    <row r="471" spans="1:26" ht="13.5" customHeight="1">
      <c r="A471" s="13"/>
      <c r="B471" s="13"/>
      <c r="C471" s="13"/>
      <c r="D471" s="13"/>
      <c r="E471" s="13"/>
      <c r="F471" s="13"/>
      <c r="G471" s="13"/>
      <c r="H471" s="13"/>
      <c r="I471" s="13"/>
      <c r="J471" s="13"/>
      <c r="K471" s="13"/>
      <c r="L471" s="13"/>
      <c r="M471" s="28"/>
      <c r="N471" s="294"/>
      <c r="O471" s="13"/>
      <c r="P471" s="13"/>
      <c r="Q471" s="13"/>
      <c r="R471" s="13"/>
      <c r="S471" s="13"/>
      <c r="T471" s="13"/>
      <c r="U471" s="13"/>
      <c r="V471" s="13"/>
      <c r="W471" s="13"/>
      <c r="X471" s="13"/>
      <c r="Y471" s="13"/>
      <c r="Z471" s="13"/>
    </row>
    <row r="472" spans="1:26" ht="13.5" customHeight="1">
      <c r="A472" s="13"/>
      <c r="B472" s="13"/>
      <c r="C472" s="13"/>
      <c r="D472" s="13"/>
      <c r="E472" s="13"/>
      <c r="F472" s="13"/>
      <c r="G472" s="13"/>
      <c r="H472" s="13"/>
      <c r="I472" s="13"/>
      <c r="J472" s="13"/>
      <c r="K472" s="13"/>
      <c r="L472" s="13"/>
      <c r="M472" s="28"/>
      <c r="N472" s="294"/>
      <c r="O472" s="13"/>
      <c r="P472" s="13"/>
      <c r="Q472" s="13"/>
      <c r="R472" s="13"/>
      <c r="S472" s="13"/>
      <c r="T472" s="13"/>
      <c r="U472" s="13"/>
      <c r="V472" s="13"/>
      <c r="W472" s="13"/>
      <c r="X472" s="13"/>
      <c r="Y472" s="13"/>
      <c r="Z472" s="13"/>
    </row>
    <row r="473" spans="1:26" ht="13.5" customHeight="1">
      <c r="A473" s="13"/>
      <c r="B473" s="13"/>
      <c r="C473" s="13"/>
      <c r="D473" s="13"/>
      <c r="E473" s="13"/>
      <c r="F473" s="13"/>
      <c r="G473" s="13"/>
      <c r="H473" s="13"/>
      <c r="I473" s="13"/>
      <c r="J473" s="13"/>
      <c r="K473" s="13"/>
      <c r="L473" s="13"/>
      <c r="M473" s="28"/>
      <c r="N473" s="294"/>
      <c r="O473" s="13"/>
      <c r="P473" s="13"/>
      <c r="Q473" s="13"/>
      <c r="R473" s="13"/>
      <c r="S473" s="13"/>
      <c r="T473" s="13"/>
      <c r="U473" s="13"/>
      <c r="V473" s="13"/>
      <c r="W473" s="13"/>
      <c r="X473" s="13"/>
      <c r="Y473" s="13"/>
      <c r="Z473" s="13"/>
    </row>
    <row r="474" spans="1:26" ht="13.5" customHeight="1">
      <c r="A474" s="13"/>
      <c r="B474" s="13"/>
      <c r="C474" s="13"/>
      <c r="D474" s="13"/>
      <c r="E474" s="13"/>
      <c r="F474" s="13"/>
      <c r="G474" s="13"/>
      <c r="H474" s="13"/>
      <c r="I474" s="13"/>
      <c r="J474" s="13"/>
      <c r="K474" s="13"/>
      <c r="L474" s="13"/>
      <c r="M474" s="28"/>
      <c r="N474" s="294"/>
      <c r="O474" s="13"/>
      <c r="P474" s="13"/>
      <c r="Q474" s="13"/>
      <c r="R474" s="13"/>
      <c r="S474" s="13"/>
      <c r="T474" s="13"/>
      <c r="U474" s="13"/>
      <c r="V474" s="13"/>
      <c r="W474" s="13"/>
      <c r="X474" s="13"/>
      <c r="Y474" s="13"/>
      <c r="Z474" s="13"/>
    </row>
    <row r="475" spans="1:26" ht="13.5" customHeight="1">
      <c r="A475" s="13"/>
      <c r="B475" s="13"/>
      <c r="C475" s="13"/>
      <c r="D475" s="13"/>
      <c r="E475" s="13"/>
      <c r="F475" s="13"/>
      <c r="G475" s="13"/>
      <c r="H475" s="13"/>
      <c r="I475" s="13"/>
      <c r="J475" s="13"/>
      <c r="K475" s="13"/>
      <c r="L475" s="13"/>
      <c r="M475" s="28"/>
      <c r="N475" s="294"/>
      <c r="O475" s="13"/>
      <c r="P475" s="13"/>
      <c r="Q475" s="13"/>
      <c r="R475" s="13"/>
      <c r="S475" s="13"/>
      <c r="T475" s="13"/>
      <c r="U475" s="13"/>
      <c r="V475" s="13"/>
      <c r="W475" s="13"/>
      <c r="X475" s="13"/>
      <c r="Y475" s="13"/>
      <c r="Z475" s="13"/>
    </row>
    <row r="476" spans="1:26" ht="13.5" customHeight="1">
      <c r="A476" s="13"/>
      <c r="B476" s="13"/>
      <c r="C476" s="13"/>
      <c r="D476" s="13"/>
      <c r="E476" s="13"/>
      <c r="F476" s="13"/>
      <c r="G476" s="13"/>
      <c r="H476" s="13"/>
      <c r="I476" s="13"/>
      <c r="J476" s="13"/>
      <c r="K476" s="13"/>
      <c r="L476" s="13"/>
      <c r="M476" s="28"/>
      <c r="N476" s="294"/>
      <c r="O476" s="13"/>
      <c r="P476" s="13"/>
      <c r="Q476" s="13"/>
      <c r="R476" s="13"/>
      <c r="S476" s="13"/>
      <c r="T476" s="13"/>
      <c r="U476" s="13"/>
      <c r="V476" s="13"/>
      <c r="W476" s="13"/>
      <c r="X476" s="13"/>
      <c r="Y476" s="13"/>
      <c r="Z476" s="13"/>
    </row>
    <row r="477" spans="1:26" ht="13.5" customHeight="1">
      <c r="A477" s="13"/>
      <c r="B477" s="13"/>
      <c r="C477" s="13"/>
      <c r="D477" s="13"/>
      <c r="E477" s="13"/>
      <c r="F477" s="13"/>
      <c r="G477" s="13"/>
      <c r="H477" s="13"/>
      <c r="I477" s="13"/>
      <c r="J477" s="13"/>
      <c r="K477" s="13"/>
      <c r="L477" s="13"/>
      <c r="M477" s="28"/>
      <c r="N477" s="294"/>
      <c r="O477" s="13"/>
      <c r="P477" s="13"/>
      <c r="Q477" s="13"/>
      <c r="R477" s="13"/>
      <c r="S477" s="13"/>
      <c r="T477" s="13"/>
      <c r="U477" s="13"/>
      <c r="V477" s="13"/>
      <c r="W477" s="13"/>
      <c r="X477" s="13"/>
      <c r="Y477" s="13"/>
      <c r="Z477" s="13"/>
    </row>
    <row r="478" spans="1:26" ht="13.5" customHeight="1">
      <c r="A478" s="13"/>
      <c r="B478" s="13"/>
      <c r="C478" s="13"/>
      <c r="D478" s="13"/>
      <c r="E478" s="13"/>
      <c r="F478" s="13"/>
      <c r="G478" s="13"/>
      <c r="H478" s="13"/>
      <c r="I478" s="13"/>
      <c r="J478" s="13"/>
      <c r="K478" s="13"/>
      <c r="L478" s="13"/>
      <c r="M478" s="28"/>
      <c r="N478" s="294"/>
      <c r="O478" s="13"/>
      <c r="P478" s="13"/>
      <c r="Q478" s="13"/>
      <c r="R478" s="13"/>
      <c r="S478" s="13"/>
      <c r="T478" s="13"/>
      <c r="U478" s="13"/>
      <c r="V478" s="13"/>
      <c r="W478" s="13"/>
      <c r="X478" s="13"/>
      <c r="Y478" s="13"/>
      <c r="Z478" s="13"/>
    </row>
    <row r="479" spans="1:26" ht="13.5" customHeight="1">
      <c r="A479" s="13"/>
      <c r="B479" s="13"/>
      <c r="C479" s="13"/>
      <c r="D479" s="13"/>
      <c r="E479" s="13"/>
      <c r="F479" s="13"/>
      <c r="G479" s="13"/>
      <c r="H479" s="13"/>
      <c r="I479" s="13"/>
      <c r="J479" s="13"/>
      <c r="K479" s="13"/>
      <c r="L479" s="13"/>
      <c r="M479" s="28"/>
      <c r="N479" s="294"/>
      <c r="O479" s="13"/>
      <c r="P479" s="13"/>
      <c r="Q479" s="13"/>
      <c r="R479" s="13"/>
      <c r="S479" s="13"/>
      <c r="T479" s="13"/>
      <c r="U479" s="13"/>
      <c r="V479" s="13"/>
      <c r="W479" s="13"/>
      <c r="X479" s="13"/>
      <c r="Y479" s="13"/>
      <c r="Z479" s="13"/>
    </row>
    <row r="480" spans="1:26" ht="13.5" customHeight="1">
      <c r="A480" s="13"/>
      <c r="B480" s="13"/>
      <c r="C480" s="13"/>
      <c r="D480" s="13"/>
      <c r="E480" s="13"/>
      <c r="F480" s="13"/>
      <c r="G480" s="13"/>
      <c r="H480" s="13"/>
      <c r="I480" s="13"/>
      <c r="J480" s="13"/>
      <c r="K480" s="13"/>
      <c r="L480" s="13"/>
      <c r="M480" s="28"/>
      <c r="N480" s="294"/>
      <c r="O480" s="13"/>
      <c r="P480" s="13"/>
      <c r="Q480" s="13"/>
      <c r="R480" s="13"/>
      <c r="S480" s="13"/>
      <c r="T480" s="13"/>
      <c r="U480" s="13"/>
      <c r="V480" s="13"/>
      <c r="W480" s="13"/>
      <c r="X480" s="13"/>
      <c r="Y480" s="13"/>
      <c r="Z480" s="13"/>
    </row>
    <row r="481" spans="1:26" ht="13.5" customHeight="1">
      <c r="A481" s="13"/>
      <c r="B481" s="13"/>
      <c r="C481" s="13"/>
      <c r="D481" s="13"/>
      <c r="E481" s="13"/>
      <c r="F481" s="13"/>
      <c r="G481" s="13"/>
      <c r="H481" s="13"/>
      <c r="I481" s="13"/>
      <c r="J481" s="13"/>
      <c r="K481" s="13"/>
      <c r="L481" s="13"/>
      <c r="M481" s="28"/>
      <c r="N481" s="294"/>
      <c r="O481" s="13"/>
      <c r="P481" s="13"/>
      <c r="Q481" s="13"/>
      <c r="R481" s="13"/>
      <c r="S481" s="13"/>
      <c r="T481" s="13"/>
      <c r="U481" s="13"/>
      <c r="V481" s="13"/>
      <c r="W481" s="13"/>
      <c r="X481" s="13"/>
      <c r="Y481" s="13"/>
      <c r="Z481" s="13"/>
    </row>
    <row r="482" spans="1:26" ht="13.5" customHeight="1">
      <c r="A482" s="13"/>
      <c r="B482" s="13"/>
      <c r="C482" s="13"/>
      <c r="D482" s="13"/>
      <c r="E482" s="13"/>
      <c r="F482" s="13"/>
      <c r="G482" s="13"/>
      <c r="H482" s="13"/>
      <c r="I482" s="13"/>
      <c r="J482" s="13"/>
      <c r="K482" s="13"/>
      <c r="L482" s="13"/>
      <c r="M482" s="28"/>
      <c r="N482" s="294"/>
      <c r="O482" s="13"/>
      <c r="P482" s="13"/>
      <c r="Q482" s="13"/>
      <c r="R482" s="13"/>
      <c r="S482" s="13"/>
      <c r="T482" s="13"/>
      <c r="U482" s="13"/>
      <c r="V482" s="13"/>
      <c r="W482" s="13"/>
      <c r="X482" s="13"/>
      <c r="Y482" s="13"/>
      <c r="Z482" s="13"/>
    </row>
    <row r="483" spans="1:26" ht="13.5" customHeight="1">
      <c r="A483" s="13"/>
      <c r="B483" s="13"/>
      <c r="C483" s="13"/>
      <c r="D483" s="13"/>
      <c r="E483" s="13"/>
      <c r="F483" s="13"/>
      <c r="G483" s="13"/>
      <c r="H483" s="13"/>
      <c r="I483" s="13"/>
      <c r="J483" s="13"/>
      <c r="K483" s="13"/>
      <c r="L483" s="13"/>
      <c r="M483" s="28"/>
      <c r="N483" s="294"/>
      <c r="O483" s="13"/>
      <c r="P483" s="13"/>
      <c r="Q483" s="13"/>
      <c r="R483" s="13"/>
      <c r="S483" s="13"/>
      <c r="T483" s="13"/>
      <c r="U483" s="13"/>
      <c r="V483" s="13"/>
      <c r="W483" s="13"/>
      <c r="X483" s="13"/>
      <c r="Y483" s="13"/>
      <c r="Z483" s="13"/>
    </row>
    <row r="484" spans="1:26" ht="13.5" customHeight="1">
      <c r="A484" s="13"/>
      <c r="B484" s="13"/>
      <c r="C484" s="13"/>
      <c r="D484" s="13"/>
      <c r="E484" s="13"/>
      <c r="F484" s="13"/>
      <c r="G484" s="13"/>
      <c r="H484" s="13"/>
      <c r="I484" s="13"/>
      <c r="J484" s="13"/>
      <c r="K484" s="13"/>
      <c r="L484" s="13"/>
      <c r="M484" s="28"/>
      <c r="N484" s="294"/>
      <c r="O484" s="13"/>
      <c r="P484" s="13"/>
      <c r="Q484" s="13"/>
      <c r="R484" s="13"/>
      <c r="S484" s="13"/>
      <c r="T484" s="13"/>
      <c r="U484" s="13"/>
      <c r="V484" s="13"/>
      <c r="W484" s="13"/>
      <c r="X484" s="13"/>
      <c r="Y484" s="13"/>
      <c r="Z484" s="13"/>
    </row>
    <row r="485" spans="1:26" ht="13.5" customHeight="1">
      <c r="A485" s="13"/>
      <c r="B485" s="13"/>
      <c r="C485" s="13"/>
      <c r="D485" s="13"/>
      <c r="E485" s="13"/>
      <c r="F485" s="13"/>
      <c r="G485" s="13"/>
      <c r="H485" s="13"/>
      <c r="I485" s="13"/>
      <c r="J485" s="13"/>
      <c r="K485" s="13"/>
      <c r="L485" s="13"/>
      <c r="M485" s="28"/>
      <c r="N485" s="294"/>
      <c r="O485" s="13"/>
      <c r="P485" s="13"/>
      <c r="Q485" s="13"/>
      <c r="R485" s="13"/>
      <c r="S485" s="13"/>
      <c r="T485" s="13"/>
      <c r="U485" s="13"/>
      <c r="V485" s="13"/>
      <c r="W485" s="13"/>
      <c r="X485" s="13"/>
      <c r="Y485" s="13"/>
      <c r="Z485" s="13"/>
    </row>
    <row r="486" spans="1:26" ht="13.5" customHeight="1">
      <c r="A486" s="13"/>
      <c r="B486" s="13"/>
      <c r="C486" s="13"/>
      <c r="D486" s="13"/>
      <c r="E486" s="13"/>
      <c r="F486" s="13"/>
      <c r="G486" s="13"/>
      <c r="H486" s="13"/>
      <c r="I486" s="13"/>
      <c r="J486" s="13"/>
      <c r="K486" s="13"/>
      <c r="L486" s="13"/>
      <c r="M486" s="28"/>
      <c r="N486" s="294"/>
      <c r="O486" s="13"/>
      <c r="P486" s="13"/>
      <c r="Q486" s="13"/>
      <c r="R486" s="13"/>
      <c r="S486" s="13"/>
      <c r="T486" s="13"/>
      <c r="U486" s="13"/>
      <c r="V486" s="13"/>
      <c r="W486" s="13"/>
      <c r="X486" s="13"/>
      <c r="Y486" s="13"/>
      <c r="Z486" s="13"/>
    </row>
    <row r="487" spans="1:26" ht="13.5" customHeight="1">
      <c r="A487" s="13"/>
      <c r="B487" s="13"/>
      <c r="C487" s="13"/>
      <c r="D487" s="13"/>
      <c r="E487" s="13"/>
      <c r="F487" s="13"/>
      <c r="G487" s="13"/>
      <c r="H487" s="13"/>
      <c r="I487" s="13"/>
      <c r="J487" s="13"/>
      <c r="K487" s="13"/>
      <c r="L487" s="13"/>
      <c r="M487" s="28"/>
      <c r="N487" s="294"/>
      <c r="O487" s="13"/>
      <c r="P487" s="13"/>
      <c r="Q487" s="13"/>
      <c r="R487" s="13"/>
      <c r="S487" s="13"/>
      <c r="T487" s="13"/>
      <c r="U487" s="13"/>
      <c r="V487" s="13"/>
      <c r="W487" s="13"/>
      <c r="X487" s="13"/>
      <c r="Y487" s="13"/>
      <c r="Z487" s="13"/>
    </row>
    <row r="488" spans="1:26" ht="13.5" customHeight="1">
      <c r="A488" s="13"/>
      <c r="B488" s="13"/>
      <c r="C488" s="13"/>
      <c r="D488" s="13"/>
      <c r="E488" s="13"/>
      <c r="F488" s="13"/>
      <c r="G488" s="13"/>
      <c r="H488" s="13"/>
      <c r="I488" s="13"/>
      <c r="J488" s="13"/>
      <c r="K488" s="13"/>
      <c r="L488" s="13"/>
      <c r="M488" s="28"/>
      <c r="N488" s="294"/>
      <c r="O488" s="13"/>
      <c r="P488" s="13"/>
      <c r="Q488" s="13"/>
      <c r="R488" s="13"/>
      <c r="S488" s="13"/>
      <c r="T488" s="13"/>
      <c r="U488" s="13"/>
      <c r="V488" s="13"/>
      <c r="W488" s="13"/>
      <c r="X488" s="13"/>
      <c r="Y488" s="13"/>
      <c r="Z488" s="13"/>
    </row>
    <row r="489" spans="1:26" ht="13.5" customHeight="1">
      <c r="A489" s="13"/>
      <c r="B489" s="13"/>
      <c r="C489" s="13"/>
      <c r="D489" s="13"/>
      <c r="E489" s="13"/>
      <c r="F489" s="13"/>
      <c r="G489" s="13"/>
      <c r="H489" s="13"/>
      <c r="I489" s="13"/>
      <c r="J489" s="13"/>
      <c r="K489" s="13"/>
      <c r="L489" s="13"/>
      <c r="M489" s="28"/>
      <c r="N489" s="294"/>
      <c r="O489" s="13"/>
      <c r="P489" s="13"/>
      <c r="Q489" s="13"/>
      <c r="R489" s="13"/>
      <c r="S489" s="13"/>
      <c r="T489" s="13"/>
      <c r="U489" s="13"/>
      <c r="V489" s="13"/>
      <c r="W489" s="13"/>
      <c r="X489" s="13"/>
      <c r="Y489" s="13"/>
      <c r="Z489" s="13"/>
    </row>
    <row r="490" spans="1:26" ht="13.5" customHeight="1">
      <c r="A490" s="13"/>
      <c r="B490" s="13"/>
      <c r="C490" s="13"/>
      <c r="D490" s="13"/>
      <c r="E490" s="13"/>
      <c r="F490" s="13"/>
      <c r="G490" s="13"/>
      <c r="H490" s="13"/>
      <c r="I490" s="13"/>
      <c r="J490" s="13"/>
      <c r="K490" s="13"/>
      <c r="L490" s="13"/>
      <c r="M490" s="28"/>
      <c r="N490" s="294"/>
      <c r="O490" s="13"/>
      <c r="P490" s="13"/>
      <c r="Q490" s="13"/>
      <c r="R490" s="13"/>
      <c r="S490" s="13"/>
      <c r="T490" s="13"/>
      <c r="U490" s="13"/>
      <c r="V490" s="13"/>
      <c r="W490" s="13"/>
      <c r="X490" s="13"/>
      <c r="Y490" s="13"/>
      <c r="Z490" s="13"/>
    </row>
    <row r="491" spans="1:26" ht="13.5" customHeight="1">
      <c r="A491" s="13"/>
      <c r="B491" s="13"/>
      <c r="C491" s="13"/>
      <c r="D491" s="13"/>
      <c r="E491" s="13"/>
      <c r="F491" s="13"/>
      <c r="G491" s="13"/>
      <c r="H491" s="13"/>
      <c r="I491" s="13"/>
      <c r="J491" s="13"/>
      <c r="K491" s="13"/>
      <c r="L491" s="13"/>
      <c r="M491" s="28"/>
      <c r="N491" s="294"/>
      <c r="O491" s="13"/>
      <c r="P491" s="13"/>
      <c r="Q491" s="13"/>
      <c r="R491" s="13"/>
      <c r="S491" s="13"/>
      <c r="T491" s="13"/>
      <c r="U491" s="13"/>
      <c r="V491" s="13"/>
      <c r="W491" s="13"/>
      <c r="X491" s="13"/>
      <c r="Y491" s="13"/>
      <c r="Z491" s="13"/>
    </row>
    <row r="492" spans="1:26" ht="13.5" customHeight="1">
      <c r="A492" s="13"/>
      <c r="B492" s="13"/>
      <c r="C492" s="13"/>
      <c r="D492" s="13"/>
      <c r="E492" s="13"/>
      <c r="F492" s="13"/>
      <c r="G492" s="13"/>
      <c r="H492" s="13"/>
      <c r="I492" s="13"/>
      <c r="J492" s="13"/>
      <c r="K492" s="13"/>
      <c r="L492" s="13"/>
      <c r="M492" s="28"/>
      <c r="N492" s="294"/>
      <c r="O492" s="13"/>
      <c r="P492" s="13"/>
      <c r="Q492" s="13"/>
      <c r="R492" s="13"/>
      <c r="S492" s="13"/>
      <c r="T492" s="13"/>
      <c r="U492" s="13"/>
      <c r="V492" s="13"/>
      <c r="W492" s="13"/>
      <c r="X492" s="13"/>
      <c r="Y492" s="13"/>
      <c r="Z492" s="13"/>
    </row>
    <row r="493" spans="1:26" ht="13.5" customHeight="1">
      <c r="A493" s="13"/>
      <c r="B493" s="13"/>
      <c r="C493" s="13"/>
      <c r="D493" s="13"/>
      <c r="E493" s="13"/>
      <c r="F493" s="13"/>
      <c r="G493" s="13"/>
      <c r="H493" s="13"/>
      <c r="I493" s="13"/>
      <c r="J493" s="13"/>
      <c r="K493" s="13"/>
      <c r="L493" s="13"/>
      <c r="M493" s="28"/>
      <c r="N493" s="294"/>
      <c r="O493" s="13"/>
      <c r="P493" s="13"/>
      <c r="Q493" s="13"/>
      <c r="R493" s="13"/>
      <c r="S493" s="13"/>
      <c r="T493" s="13"/>
      <c r="U493" s="13"/>
      <c r="V493" s="13"/>
      <c r="W493" s="13"/>
      <c r="X493" s="13"/>
      <c r="Y493" s="13"/>
      <c r="Z493" s="13"/>
    </row>
    <row r="494" spans="1:26" ht="13.5" customHeight="1">
      <c r="A494" s="13"/>
      <c r="B494" s="13"/>
      <c r="C494" s="13"/>
      <c r="D494" s="13"/>
      <c r="E494" s="13"/>
      <c r="F494" s="13"/>
      <c r="G494" s="13"/>
      <c r="H494" s="13"/>
      <c r="I494" s="13"/>
      <c r="J494" s="13"/>
      <c r="K494" s="13"/>
      <c r="L494" s="13"/>
      <c r="M494" s="28"/>
      <c r="N494" s="294"/>
      <c r="O494" s="13"/>
      <c r="P494" s="13"/>
      <c r="Q494" s="13"/>
      <c r="R494" s="13"/>
      <c r="S494" s="13"/>
      <c r="T494" s="13"/>
      <c r="U494" s="13"/>
      <c r="V494" s="13"/>
      <c r="W494" s="13"/>
      <c r="X494" s="13"/>
      <c r="Y494" s="13"/>
      <c r="Z494" s="13"/>
    </row>
    <row r="495" spans="1:26" ht="13.5" customHeight="1">
      <c r="A495" s="13"/>
      <c r="B495" s="13"/>
      <c r="C495" s="13"/>
      <c r="D495" s="13"/>
      <c r="E495" s="13"/>
      <c r="F495" s="13"/>
      <c r="G495" s="13"/>
      <c r="H495" s="13"/>
      <c r="I495" s="13"/>
      <c r="J495" s="13"/>
      <c r="K495" s="13"/>
      <c r="L495" s="13"/>
      <c r="M495" s="28"/>
      <c r="N495" s="294"/>
      <c r="O495" s="13"/>
      <c r="P495" s="13"/>
      <c r="Q495" s="13"/>
      <c r="R495" s="13"/>
      <c r="S495" s="13"/>
      <c r="T495" s="13"/>
      <c r="U495" s="13"/>
      <c r="V495" s="13"/>
      <c r="W495" s="13"/>
      <c r="X495" s="13"/>
      <c r="Y495" s="13"/>
      <c r="Z495" s="13"/>
    </row>
    <row r="496" spans="1:26" ht="13.5" customHeight="1">
      <c r="A496" s="13"/>
      <c r="B496" s="13"/>
      <c r="C496" s="13"/>
      <c r="D496" s="13"/>
      <c r="E496" s="13"/>
      <c r="F496" s="13"/>
      <c r="G496" s="13"/>
      <c r="H496" s="13"/>
      <c r="I496" s="13"/>
      <c r="J496" s="13"/>
      <c r="K496" s="13"/>
      <c r="L496" s="13"/>
      <c r="M496" s="28"/>
      <c r="N496" s="294"/>
      <c r="O496" s="13"/>
      <c r="P496" s="13"/>
      <c r="Q496" s="13"/>
      <c r="R496" s="13"/>
      <c r="S496" s="13"/>
      <c r="T496" s="13"/>
      <c r="U496" s="13"/>
      <c r="V496" s="13"/>
      <c r="W496" s="13"/>
      <c r="X496" s="13"/>
      <c r="Y496" s="13"/>
      <c r="Z496" s="13"/>
    </row>
    <row r="497" spans="1:26" ht="13.5" customHeight="1">
      <c r="A497" s="13"/>
      <c r="B497" s="13"/>
      <c r="C497" s="13"/>
      <c r="D497" s="13"/>
      <c r="E497" s="13"/>
      <c r="F497" s="13"/>
      <c r="G497" s="13"/>
      <c r="H497" s="13"/>
      <c r="I497" s="13"/>
      <c r="J497" s="13"/>
      <c r="K497" s="13"/>
      <c r="L497" s="13"/>
      <c r="M497" s="28"/>
      <c r="N497" s="294"/>
      <c r="O497" s="13"/>
      <c r="P497" s="13"/>
      <c r="Q497" s="13"/>
      <c r="R497" s="13"/>
      <c r="S497" s="13"/>
      <c r="T497" s="13"/>
      <c r="U497" s="13"/>
      <c r="V497" s="13"/>
      <c r="W497" s="13"/>
      <c r="X497" s="13"/>
      <c r="Y497" s="13"/>
      <c r="Z497" s="13"/>
    </row>
    <row r="498" spans="1:26" ht="13.5" customHeight="1">
      <c r="A498" s="13"/>
      <c r="B498" s="13"/>
      <c r="C498" s="13"/>
      <c r="D498" s="13"/>
      <c r="E498" s="13"/>
      <c r="F498" s="13"/>
      <c r="G498" s="13"/>
      <c r="H498" s="13"/>
      <c r="I498" s="13"/>
      <c r="J498" s="13"/>
      <c r="K498" s="13"/>
      <c r="L498" s="13"/>
      <c r="M498" s="28"/>
      <c r="N498" s="294"/>
      <c r="O498" s="13"/>
      <c r="P498" s="13"/>
      <c r="Q498" s="13"/>
      <c r="R498" s="13"/>
      <c r="S498" s="13"/>
      <c r="T498" s="13"/>
      <c r="U498" s="13"/>
      <c r="V498" s="13"/>
      <c r="W498" s="13"/>
      <c r="X498" s="13"/>
      <c r="Y498" s="13"/>
      <c r="Z498" s="13"/>
    </row>
    <row r="499" spans="1:26" ht="13.5" customHeight="1">
      <c r="A499" s="13"/>
      <c r="B499" s="13"/>
      <c r="C499" s="13"/>
      <c r="D499" s="13"/>
      <c r="E499" s="13"/>
      <c r="F499" s="13"/>
      <c r="G499" s="13"/>
      <c r="H499" s="13"/>
      <c r="I499" s="13"/>
      <c r="J499" s="13"/>
      <c r="K499" s="13"/>
      <c r="L499" s="13"/>
      <c r="M499" s="28"/>
      <c r="N499" s="294"/>
      <c r="O499" s="13"/>
      <c r="P499" s="13"/>
      <c r="Q499" s="13"/>
      <c r="R499" s="13"/>
      <c r="S499" s="13"/>
      <c r="T499" s="13"/>
      <c r="U499" s="13"/>
      <c r="V499" s="13"/>
      <c r="W499" s="13"/>
      <c r="X499" s="13"/>
      <c r="Y499" s="13"/>
      <c r="Z499" s="13"/>
    </row>
    <row r="500" spans="1:26" ht="13.5" customHeight="1">
      <c r="A500" s="13"/>
      <c r="B500" s="13"/>
      <c r="C500" s="13"/>
      <c r="D500" s="13"/>
      <c r="E500" s="13"/>
      <c r="F500" s="13"/>
      <c r="G500" s="13"/>
      <c r="H500" s="13"/>
      <c r="I500" s="13"/>
      <c r="J500" s="13"/>
      <c r="K500" s="13"/>
      <c r="L500" s="13"/>
      <c r="M500" s="28"/>
      <c r="N500" s="294"/>
      <c r="O500" s="13"/>
      <c r="P500" s="13"/>
      <c r="Q500" s="13"/>
      <c r="R500" s="13"/>
      <c r="S500" s="13"/>
      <c r="T500" s="13"/>
      <c r="U500" s="13"/>
      <c r="V500" s="13"/>
      <c r="W500" s="13"/>
      <c r="X500" s="13"/>
      <c r="Y500" s="13"/>
      <c r="Z500" s="13"/>
    </row>
    <row r="501" spans="1:26" ht="13.5" customHeight="1">
      <c r="A501" s="13"/>
      <c r="B501" s="13"/>
      <c r="C501" s="13"/>
      <c r="D501" s="13"/>
      <c r="E501" s="13"/>
      <c r="F501" s="13"/>
      <c r="G501" s="13"/>
      <c r="H501" s="13"/>
      <c r="I501" s="13"/>
      <c r="J501" s="13"/>
      <c r="K501" s="13"/>
      <c r="L501" s="13"/>
      <c r="M501" s="28"/>
      <c r="N501" s="294"/>
      <c r="O501" s="13"/>
      <c r="P501" s="13"/>
      <c r="Q501" s="13"/>
      <c r="R501" s="13"/>
      <c r="S501" s="13"/>
      <c r="T501" s="13"/>
      <c r="U501" s="13"/>
      <c r="V501" s="13"/>
      <c r="W501" s="13"/>
      <c r="X501" s="13"/>
      <c r="Y501" s="13"/>
      <c r="Z501" s="13"/>
    </row>
    <row r="502" spans="1:26" ht="13.5" customHeight="1">
      <c r="A502" s="13"/>
      <c r="B502" s="13"/>
      <c r="C502" s="13"/>
      <c r="D502" s="13"/>
      <c r="E502" s="13"/>
      <c r="F502" s="13"/>
      <c r="G502" s="13"/>
      <c r="H502" s="13"/>
      <c r="I502" s="13"/>
      <c r="J502" s="13"/>
      <c r="K502" s="13"/>
      <c r="L502" s="13"/>
      <c r="M502" s="28"/>
      <c r="N502" s="294"/>
      <c r="O502" s="13"/>
      <c r="P502" s="13"/>
      <c r="Q502" s="13"/>
      <c r="R502" s="13"/>
      <c r="S502" s="13"/>
      <c r="T502" s="13"/>
      <c r="U502" s="13"/>
      <c r="V502" s="13"/>
      <c r="W502" s="13"/>
      <c r="X502" s="13"/>
      <c r="Y502" s="13"/>
      <c r="Z502" s="13"/>
    </row>
    <row r="503" spans="1:26" ht="13.5" customHeight="1">
      <c r="A503" s="13"/>
      <c r="B503" s="13"/>
      <c r="C503" s="13"/>
      <c r="D503" s="13"/>
      <c r="E503" s="13"/>
      <c r="F503" s="13"/>
      <c r="G503" s="13"/>
      <c r="H503" s="13"/>
      <c r="I503" s="13"/>
      <c r="J503" s="13"/>
      <c r="K503" s="13"/>
      <c r="L503" s="13"/>
      <c r="M503" s="28"/>
      <c r="N503" s="294"/>
      <c r="O503" s="13"/>
      <c r="P503" s="13"/>
      <c r="Q503" s="13"/>
      <c r="R503" s="13"/>
      <c r="S503" s="13"/>
      <c r="T503" s="13"/>
      <c r="U503" s="13"/>
      <c r="V503" s="13"/>
      <c r="W503" s="13"/>
      <c r="X503" s="13"/>
      <c r="Y503" s="13"/>
      <c r="Z503" s="13"/>
    </row>
    <row r="504" spans="1:26" ht="13.5" customHeight="1">
      <c r="A504" s="13"/>
      <c r="B504" s="13"/>
      <c r="C504" s="13"/>
      <c r="D504" s="13"/>
      <c r="E504" s="13"/>
      <c r="F504" s="13"/>
      <c r="G504" s="13"/>
      <c r="H504" s="13"/>
      <c r="I504" s="13"/>
      <c r="J504" s="13"/>
      <c r="K504" s="13"/>
      <c r="L504" s="13"/>
      <c r="M504" s="28"/>
      <c r="N504" s="294"/>
      <c r="O504" s="13"/>
      <c r="P504" s="13"/>
      <c r="Q504" s="13"/>
      <c r="R504" s="13"/>
      <c r="S504" s="13"/>
      <c r="T504" s="13"/>
      <c r="U504" s="13"/>
      <c r="V504" s="13"/>
      <c r="W504" s="13"/>
      <c r="X504" s="13"/>
      <c r="Y504" s="13"/>
      <c r="Z504" s="13"/>
    </row>
    <row r="505" spans="1:26" ht="13.5" customHeight="1">
      <c r="A505" s="13"/>
      <c r="B505" s="13"/>
      <c r="C505" s="13"/>
      <c r="D505" s="13"/>
      <c r="E505" s="13"/>
      <c r="F505" s="13"/>
      <c r="G505" s="13"/>
      <c r="H505" s="13"/>
      <c r="I505" s="13"/>
      <c r="J505" s="13"/>
      <c r="K505" s="13"/>
      <c r="L505" s="13"/>
      <c r="M505" s="28"/>
      <c r="N505" s="294"/>
      <c r="O505" s="13"/>
      <c r="P505" s="13"/>
      <c r="Q505" s="13"/>
      <c r="R505" s="13"/>
      <c r="S505" s="13"/>
      <c r="T505" s="13"/>
      <c r="U505" s="13"/>
      <c r="V505" s="13"/>
      <c r="W505" s="13"/>
      <c r="X505" s="13"/>
      <c r="Y505" s="13"/>
      <c r="Z505" s="13"/>
    </row>
    <row r="506" spans="1:26" ht="13.5" customHeight="1">
      <c r="A506" s="13"/>
      <c r="B506" s="13"/>
      <c r="C506" s="13"/>
      <c r="D506" s="13"/>
      <c r="E506" s="13"/>
      <c r="F506" s="13"/>
      <c r="G506" s="13"/>
      <c r="H506" s="13"/>
      <c r="I506" s="13"/>
      <c r="J506" s="13"/>
      <c r="K506" s="13"/>
      <c r="L506" s="13"/>
      <c r="M506" s="28"/>
      <c r="N506" s="294"/>
      <c r="O506" s="13"/>
      <c r="P506" s="13"/>
      <c r="Q506" s="13"/>
      <c r="R506" s="13"/>
      <c r="S506" s="13"/>
      <c r="T506" s="13"/>
      <c r="U506" s="13"/>
      <c r="V506" s="13"/>
      <c r="W506" s="13"/>
      <c r="X506" s="13"/>
      <c r="Y506" s="13"/>
      <c r="Z506" s="13"/>
    </row>
    <row r="507" spans="1:26" ht="13.5" customHeight="1">
      <c r="A507" s="13"/>
      <c r="B507" s="13"/>
      <c r="C507" s="13"/>
      <c r="D507" s="13"/>
      <c r="E507" s="13"/>
      <c r="F507" s="13"/>
      <c r="G507" s="13"/>
      <c r="H507" s="13"/>
      <c r="I507" s="13"/>
      <c r="J507" s="13"/>
      <c r="K507" s="13"/>
      <c r="L507" s="13"/>
      <c r="M507" s="28"/>
      <c r="N507" s="294"/>
      <c r="O507" s="13"/>
      <c r="P507" s="13"/>
      <c r="Q507" s="13"/>
      <c r="R507" s="13"/>
      <c r="S507" s="13"/>
      <c r="T507" s="13"/>
      <c r="U507" s="13"/>
      <c r="V507" s="13"/>
      <c r="W507" s="13"/>
      <c r="X507" s="13"/>
      <c r="Y507" s="13"/>
      <c r="Z507" s="13"/>
    </row>
    <row r="508" spans="1:26" ht="13.5" customHeight="1">
      <c r="A508" s="13"/>
      <c r="B508" s="13"/>
      <c r="C508" s="13"/>
      <c r="D508" s="13"/>
      <c r="E508" s="13"/>
      <c r="F508" s="13"/>
      <c r="G508" s="13"/>
      <c r="H508" s="13"/>
      <c r="I508" s="13"/>
      <c r="J508" s="13"/>
      <c r="K508" s="13"/>
      <c r="L508" s="13"/>
      <c r="M508" s="28"/>
      <c r="N508" s="294"/>
      <c r="O508" s="13"/>
      <c r="P508" s="13"/>
      <c r="Q508" s="13"/>
      <c r="R508" s="13"/>
      <c r="S508" s="13"/>
      <c r="T508" s="13"/>
      <c r="U508" s="13"/>
      <c r="V508" s="13"/>
      <c r="W508" s="13"/>
      <c r="X508" s="13"/>
      <c r="Y508" s="13"/>
      <c r="Z508" s="13"/>
    </row>
    <row r="509" spans="1:26" ht="13.5" customHeight="1">
      <c r="A509" s="13"/>
      <c r="B509" s="13"/>
      <c r="C509" s="13"/>
      <c r="D509" s="13"/>
      <c r="E509" s="13"/>
      <c r="F509" s="13"/>
      <c r="G509" s="13"/>
      <c r="H509" s="13"/>
      <c r="I509" s="13"/>
      <c r="J509" s="13"/>
      <c r="K509" s="13"/>
      <c r="L509" s="13"/>
      <c r="M509" s="28"/>
      <c r="N509" s="294"/>
      <c r="O509" s="13"/>
      <c r="P509" s="13"/>
      <c r="Q509" s="13"/>
      <c r="R509" s="13"/>
      <c r="S509" s="13"/>
      <c r="T509" s="13"/>
      <c r="U509" s="13"/>
      <c r="V509" s="13"/>
      <c r="W509" s="13"/>
      <c r="X509" s="13"/>
      <c r="Y509" s="13"/>
      <c r="Z509" s="13"/>
    </row>
    <row r="510" spans="1:26" ht="13.5" customHeight="1">
      <c r="A510" s="13"/>
      <c r="B510" s="13"/>
      <c r="C510" s="13"/>
      <c r="D510" s="13"/>
      <c r="E510" s="13"/>
      <c r="F510" s="13"/>
      <c r="G510" s="13"/>
      <c r="H510" s="13"/>
      <c r="I510" s="13"/>
      <c r="J510" s="13"/>
      <c r="K510" s="13"/>
      <c r="L510" s="13"/>
      <c r="M510" s="28"/>
      <c r="N510" s="294"/>
      <c r="O510" s="13"/>
      <c r="P510" s="13"/>
      <c r="Q510" s="13"/>
      <c r="R510" s="13"/>
      <c r="S510" s="13"/>
      <c r="T510" s="13"/>
      <c r="U510" s="13"/>
      <c r="V510" s="13"/>
      <c r="W510" s="13"/>
      <c r="X510" s="13"/>
      <c r="Y510" s="13"/>
      <c r="Z510" s="13"/>
    </row>
    <row r="511" spans="1:26" ht="13.5" customHeight="1">
      <c r="A511" s="13"/>
      <c r="B511" s="13"/>
      <c r="C511" s="13"/>
      <c r="D511" s="13"/>
      <c r="E511" s="13"/>
      <c r="F511" s="13"/>
      <c r="G511" s="13"/>
      <c r="H511" s="13"/>
      <c r="I511" s="13"/>
      <c r="J511" s="13"/>
      <c r="K511" s="13"/>
      <c r="L511" s="13"/>
      <c r="M511" s="28"/>
      <c r="N511" s="294"/>
      <c r="O511" s="13"/>
      <c r="P511" s="13"/>
      <c r="Q511" s="13"/>
      <c r="R511" s="13"/>
      <c r="S511" s="13"/>
      <c r="T511" s="13"/>
      <c r="U511" s="13"/>
      <c r="V511" s="13"/>
      <c r="W511" s="13"/>
      <c r="X511" s="13"/>
      <c r="Y511" s="13"/>
      <c r="Z511" s="13"/>
    </row>
    <row r="512" spans="1:26" ht="13.5" customHeight="1">
      <c r="A512" s="13"/>
      <c r="B512" s="13"/>
      <c r="C512" s="13"/>
      <c r="D512" s="13"/>
      <c r="E512" s="13"/>
      <c r="F512" s="13"/>
      <c r="G512" s="13"/>
      <c r="H512" s="13"/>
      <c r="I512" s="13"/>
      <c r="J512" s="13"/>
      <c r="K512" s="13"/>
      <c r="L512" s="13"/>
      <c r="M512" s="28"/>
      <c r="N512" s="294"/>
      <c r="O512" s="13"/>
      <c r="P512" s="13"/>
      <c r="Q512" s="13"/>
      <c r="R512" s="13"/>
      <c r="S512" s="13"/>
      <c r="T512" s="13"/>
      <c r="U512" s="13"/>
      <c r="V512" s="13"/>
      <c r="W512" s="13"/>
      <c r="X512" s="13"/>
      <c r="Y512" s="13"/>
      <c r="Z512" s="13"/>
    </row>
    <row r="513" spans="1:26" ht="13.5" customHeight="1">
      <c r="A513" s="13"/>
      <c r="B513" s="13"/>
      <c r="C513" s="13"/>
      <c r="D513" s="13"/>
      <c r="E513" s="13"/>
      <c r="F513" s="13"/>
      <c r="G513" s="13"/>
      <c r="H513" s="13"/>
      <c r="I513" s="13"/>
      <c r="J513" s="13"/>
      <c r="K513" s="13"/>
      <c r="L513" s="13"/>
      <c r="M513" s="28"/>
      <c r="N513" s="294"/>
      <c r="O513" s="13"/>
      <c r="P513" s="13"/>
      <c r="Q513" s="13"/>
      <c r="R513" s="13"/>
      <c r="S513" s="13"/>
      <c r="T513" s="13"/>
      <c r="U513" s="13"/>
      <c r="V513" s="13"/>
      <c r="W513" s="13"/>
      <c r="X513" s="13"/>
      <c r="Y513" s="13"/>
      <c r="Z513" s="13"/>
    </row>
    <row r="514" spans="1:26" ht="13.5" customHeight="1">
      <c r="A514" s="13"/>
      <c r="B514" s="13"/>
      <c r="C514" s="13"/>
      <c r="D514" s="13"/>
      <c r="E514" s="13"/>
      <c r="F514" s="13"/>
      <c r="G514" s="13"/>
      <c r="H514" s="13"/>
      <c r="I514" s="13"/>
      <c r="J514" s="13"/>
      <c r="K514" s="13"/>
      <c r="L514" s="13"/>
      <c r="M514" s="28"/>
      <c r="N514" s="294"/>
      <c r="O514" s="13"/>
      <c r="P514" s="13"/>
      <c r="Q514" s="13"/>
      <c r="R514" s="13"/>
      <c r="S514" s="13"/>
      <c r="T514" s="13"/>
      <c r="U514" s="13"/>
      <c r="V514" s="13"/>
      <c r="W514" s="13"/>
      <c r="X514" s="13"/>
      <c r="Y514" s="13"/>
      <c r="Z514" s="13"/>
    </row>
    <row r="515" spans="1:26" ht="13.5" customHeight="1">
      <c r="A515" s="13"/>
      <c r="B515" s="13"/>
      <c r="C515" s="13"/>
      <c r="D515" s="13"/>
      <c r="E515" s="13"/>
      <c r="F515" s="13"/>
      <c r="G515" s="13"/>
      <c r="H515" s="13"/>
      <c r="I515" s="13"/>
      <c r="J515" s="13"/>
      <c r="K515" s="13"/>
      <c r="L515" s="13"/>
      <c r="M515" s="28"/>
      <c r="N515" s="294"/>
      <c r="O515" s="13"/>
      <c r="P515" s="13"/>
      <c r="Q515" s="13"/>
      <c r="R515" s="13"/>
      <c r="S515" s="13"/>
      <c r="T515" s="13"/>
      <c r="U515" s="13"/>
      <c r="V515" s="13"/>
      <c r="W515" s="13"/>
      <c r="X515" s="13"/>
      <c r="Y515" s="13"/>
      <c r="Z515" s="13"/>
    </row>
    <row r="516" spans="1:26" ht="13.5" customHeight="1">
      <c r="A516" s="13"/>
      <c r="B516" s="13"/>
      <c r="C516" s="13"/>
      <c r="D516" s="13"/>
      <c r="E516" s="13"/>
      <c r="F516" s="13"/>
      <c r="G516" s="13"/>
      <c r="H516" s="13"/>
      <c r="I516" s="13"/>
      <c r="J516" s="13"/>
      <c r="K516" s="13"/>
      <c r="L516" s="13"/>
      <c r="M516" s="28"/>
      <c r="N516" s="294"/>
      <c r="O516" s="13"/>
      <c r="P516" s="13"/>
      <c r="Q516" s="13"/>
      <c r="R516" s="13"/>
      <c r="S516" s="13"/>
      <c r="T516" s="13"/>
      <c r="U516" s="13"/>
      <c r="V516" s="13"/>
      <c r="W516" s="13"/>
      <c r="X516" s="13"/>
      <c r="Y516" s="13"/>
      <c r="Z516" s="13"/>
    </row>
    <row r="517" spans="1:26" ht="13.5" customHeight="1">
      <c r="A517" s="13"/>
      <c r="B517" s="13"/>
      <c r="C517" s="13"/>
      <c r="D517" s="13"/>
      <c r="E517" s="13"/>
      <c r="F517" s="13"/>
      <c r="G517" s="13"/>
      <c r="H517" s="13"/>
      <c r="I517" s="13"/>
      <c r="J517" s="13"/>
      <c r="K517" s="13"/>
      <c r="L517" s="13"/>
      <c r="M517" s="28"/>
      <c r="N517" s="294"/>
      <c r="O517" s="13"/>
      <c r="P517" s="13"/>
      <c r="Q517" s="13"/>
      <c r="R517" s="13"/>
      <c r="S517" s="13"/>
      <c r="T517" s="13"/>
      <c r="U517" s="13"/>
      <c r="V517" s="13"/>
      <c r="W517" s="13"/>
      <c r="X517" s="13"/>
      <c r="Y517" s="13"/>
      <c r="Z517" s="13"/>
    </row>
    <row r="518" spans="1:26" ht="13.5" customHeight="1">
      <c r="A518" s="13"/>
      <c r="B518" s="13"/>
      <c r="C518" s="13"/>
      <c r="D518" s="13"/>
      <c r="E518" s="13"/>
      <c r="F518" s="13"/>
      <c r="G518" s="13"/>
      <c r="H518" s="13"/>
      <c r="I518" s="13"/>
      <c r="J518" s="13"/>
      <c r="K518" s="13"/>
      <c r="L518" s="13"/>
      <c r="M518" s="28"/>
      <c r="N518" s="294"/>
      <c r="O518" s="13"/>
      <c r="P518" s="13"/>
      <c r="Q518" s="13"/>
      <c r="R518" s="13"/>
      <c r="S518" s="13"/>
      <c r="T518" s="13"/>
      <c r="U518" s="13"/>
      <c r="V518" s="13"/>
      <c r="W518" s="13"/>
      <c r="X518" s="13"/>
      <c r="Y518" s="13"/>
      <c r="Z518" s="13"/>
    </row>
    <row r="519" spans="1:26" ht="13.5" customHeight="1">
      <c r="A519" s="13"/>
      <c r="B519" s="13"/>
      <c r="C519" s="13"/>
      <c r="D519" s="13"/>
      <c r="E519" s="13"/>
      <c r="F519" s="13"/>
      <c r="G519" s="13"/>
      <c r="H519" s="13"/>
      <c r="I519" s="13"/>
      <c r="J519" s="13"/>
      <c r="K519" s="13"/>
      <c r="L519" s="13"/>
      <c r="M519" s="28"/>
      <c r="N519" s="294"/>
      <c r="O519" s="13"/>
      <c r="P519" s="13"/>
      <c r="Q519" s="13"/>
      <c r="R519" s="13"/>
      <c r="S519" s="13"/>
      <c r="T519" s="13"/>
      <c r="U519" s="13"/>
      <c r="V519" s="13"/>
      <c r="W519" s="13"/>
      <c r="X519" s="13"/>
      <c r="Y519" s="13"/>
      <c r="Z519" s="13"/>
    </row>
    <row r="520" spans="1:26" ht="13.5" customHeight="1">
      <c r="A520" s="13"/>
      <c r="B520" s="13"/>
      <c r="C520" s="13"/>
      <c r="D520" s="13"/>
      <c r="E520" s="13"/>
      <c r="F520" s="13"/>
      <c r="G520" s="13"/>
      <c r="H520" s="13"/>
      <c r="I520" s="13"/>
      <c r="J520" s="13"/>
      <c r="K520" s="13"/>
      <c r="L520" s="13"/>
      <c r="M520" s="28"/>
      <c r="N520" s="294"/>
      <c r="O520" s="13"/>
      <c r="P520" s="13"/>
      <c r="Q520" s="13"/>
      <c r="R520" s="13"/>
      <c r="S520" s="13"/>
      <c r="T520" s="13"/>
      <c r="U520" s="13"/>
      <c r="V520" s="13"/>
      <c r="W520" s="13"/>
      <c r="X520" s="13"/>
      <c r="Y520" s="13"/>
      <c r="Z520" s="13"/>
    </row>
    <row r="521" spans="1:26" ht="13.5" customHeight="1">
      <c r="A521" s="13"/>
      <c r="B521" s="13"/>
      <c r="C521" s="13"/>
      <c r="D521" s="13"/>
      <c r="E521" s="13"/>
      <c r="F521" s="13"/>
      <c r="G521" s="13"/>
      <c r="H521" s="13"/>
      <c r="I521" s="13"/>
      <c r="J521" s="13"/>
      <c r="K521" s="13"/>
      <c r="L521" s="13"/>
      <c r="M521" s="28"/>
      <c r="N521" s="294"/>
      <c r="O521" s="13"/>
      <c r="P521" s="13"/>
      <c r="Q521" s="13"/>
      <c r="R521" s="13"/>
      <c r="S521" s="13"/>
      <c r="T521" s="13"/>
      <c r="U521" s="13"/>
      <c r="V521" s="13"/>
      <c r="W521" s="13"/>
      <c r="X521" s="13"/>
      <c r="Y521" s="13"/>
      <c r="Z521" s="13"/>
    </row>
    <row r="522" spans="1:26" ht="13.5" customHeight="1">
      <c r="A522" s="13"/>
      <c r="B522" s="13"/>
      <c r="C522" s="13"/>
      <c r="D522" s="13"/>
      <c r="E522" s="13"/>
      <c r="F522" s="13"/>
      <c r="G522" s="13"/>
      <c r="H522" s="13"/>
      <c r="I522" s="13"/>
      <c r="J522" s="13"/>
      <c r="K522" s="13"/>
      <c r="L522" s="13"/>
      <c r="M522" s="28"/>
      <c r="N522" s="294"/>
      <c r="O522" s="13"/>
      <c r="P522" s="13"/>
      <c r="Q522" s="13"/>
      <c r="R522" s="13"/>
      <c r="S522" s="13"/>
      <c r="T522" s="13"/>
      <c r="U522" s="13"/>
      <c r="V522" s="13"/>
      <c r="W522" s="13"/>
      <c r="X522" s="13"/>
      <c r="Y522" s="13"/>
      <c r="Z522" s="13"/>
    </row>
    <row r="523" spans="1:26" ht="13.5" customHeight="1">
      <c r="A523" s="13"/>
      <c r="B523" s="13"/>
      <c r="C523" s="13"/>
      <c r="D523" s="13"/>
      <c r="E523" s="13"/>
      <c r="F523" s="13"/>
      <c r="G523" s="13"/>
      <c r="H523" s="13"/>
      <c r="I523" s="13"/>
      <c r="J523" s="13"/>
      <c r="K523" s="13"/>
      <c r="L523" s="13"/>
      <c r="M523" s="28"/>
      <c r="N523" s="294"/>
      <c r="O523" s="13"/>
      <c r="P523" s="13"/>
      <c r="Q523" s="13"/>
      <c r="R523" s="13"/>
      <c r="S523" s="13"/>
      <c r="T523" s="13"/>
      <c r="U523" s="13"/>
      <c r="V523" s="13"/>
      <c r="W523" s="13"/>
      <c r="X523" s="13"/>
      <c r="Y523" s="13"/>
      <c r="Z523" s="13"/>
    </row>
    <row r="524" spans="1:26" ht="13.5" customHeight="1">
      <c r="A524" s="13"/>
      <c r="B524" s="13"/>
      <c r="C524" s="13"/>
      <c r="D524" s="13"/>
      <c r="E524" s="13"/>
      <c r="F524" s="13"/>
      <c r="G524" s="13"/>
      <c r="H524" s="13"/>
      <c r="I524" s="13"/>
      <c r="J524" s="13"/>
      <c r="K524" s="13"/>
      <c r="L524" s="13"/>
      <c r="M524" s="28"/>
      <c r="N524" s="294"/>
      <c r="O524" s="13"/>
      <c r="P524" s="13"/>
      <c r="Q524" s="13"/>
      <c r="R524" s="13"/>
      <c r="S524" s="13"/>
      <c r="T524" s="13"/>
      <c r="U524" s="13"/>
      <c r="V524" s="13"/>
      <c r="W524" s="13"/>
      <c r="X524" s="13"/>
      <c r="Y524" s="13"/>
      <c r="Z524" s="13"/>
    </row>
    <row r="525" spans="1:26" ht="13.5" customHeight="1">
      <c r="A525" s="13"/>
      <c r="B525" s="13"/>
      <c r="C525" s="13"/>
      <c r="D525" s="13"/>
      <c r="E525" s="13"/>
      <c r="F525" s="13"/>
      <c r="G525" s="13"/>
      <c r="H525" s="13"/>
      <c r="I525" s="13"/>
      <c r="J525" s="13"/>
      <c r="K525" s="13"/>
      <c r="L525" s="13"/>
      <c r="M525" s="28"/>
      <c r="N525" s="294"/>
      <c r="O525" s="13"/>
      <c r="P525" s="13"/>
      <c r="Q525" s="13"/>
      <c r="R525" s="13"/>
      <c r="S525" s="13"/>
      <c r="T525" s="13"/>
      <c r="U525" s="13"/>
      <c r="V525" s="13"/>
      <c r="W525" s="13"/>
      <c r="X525" s="13"/>
      <c r="Y525" s="13"/>
      <c r="Z525" s="13"/>
    </row>
    <row r="526" spans="1:26" ht="13.5" customHeight="1">
      <c r="A526" s="13"/>
      <c r="B526" s="13"/>
      <c r="C526" s="13"/>
      <c r="D526" s="13"/>
      <c r="E526" s="13"/>
      <c r="F526" s="13"/>
      <c r="G526" s="13"/>
      <c r="H526" s="13"/>
      <c r="I526" s="13"/>
      <c r="J526" s="13"/>
      <c r="K526" s="13"/>
      <c r="L526" s="13"/>
      <c r="M526" s="28"/>
      <c r="N526" s="294"/>
      <c r="O526" s="13"/>
      <c r="P526" s="13"/>
      <c r="Q526" s="13"/>
      <c r="R526" s="13"/>
      <c r="S526" s="13"/>
      <c r="T526" s="13"/>
      <c r="U526" s="13"/>
      <c r="V526" s="13"/>
      <c r="W526" s="13"/>
      <c r="X526" s="13"/>
      <c r="Y526" s="13"/>
      <c r="Z526" s="13"/>
    </row>
    <row r="527" spans="1:26" ht="13.5" customHeight="1">
      <c r="A527" s="13"/>
      <c r="B527" s="13"/>
      <c r="C527" s="13"/>
      <c r="D527" s="13"/>
      <c r="E527" s="13"/>
      <c r="F527" s="13"/>
      <c r="G527" s="13"/>
      <c r="H527" s="13"/>
      <c r="I527" s="13"/>
      <c r="J527" s="13"/>
      <c r="K527" s="13"/>
      <c r="L527" s="13"/>
      <c r="M527" s="28"/>
      <c r="N527" s="294"/>
      <c r="O527" s="13"/>
      <c r="P527" s="13"/>
      <c r="Q527" s="13"/>
      <c r="R527" s="13"/>
      <c r="S527" s="13"/>
      <c r="T527" s="13"/>
      <c r="U527" s="13"/>
      <c r="V527" s="13"/>
      <c r="W527" s="13"/>
      <c r="X527" s="13"/>
      <c r="Y527" s="13"/>
      <c r="Z527" s="13"/>
    </row>
    <row r="528" spans="1:26" ht="13.5" customHeight="1">
      <c r="A528" s="13"/>
      <c r="B528" s="13"/>
      <c r="C528" s="13"/>
      <c r="D528" s="13"/>
      <c r="E528" s="13"/>
      <c r="F528" s="13"/>
      <c r="G528" s="13"/>
      <c r="H528" s="13"/>
      <c r="I528" s="13"/>
      <c r="J528" s="13"/>
      <c r="K528" s="13"/>
      <c r="L528" s="13"/>
      <c r="M528" s="28"/>
      <c r="N528" s="294"/>
      <c r="O528" s="13"/>
      <c r="P528" s="13"/>
      <c r="Q528" s="13"/>
      <c r="R528" s="13"/>
      <c r="S528" s="13"/>
      <c r="T528" s="13"/>
      <c r="U528" s="13"/>
      <c r="V528" s="13"/>
      <c r="W528" s="13"/>
      <c r="X528" s="13"/>
      <c r="Y528" s="13"/>
      <c r="Z528" s="13"/>
    </row>
    <row r="529" spans="1:26" ht="13.5" customHeight="1">
      <c r="A529" s="13"/>
      <c r="B529" s="13"/>
      <c r="C529" s="13"/>
      <c r="D529" s="13"/>
      <c r="E529" s="13"/>
      <c r="F529" s="13"/>
      <c r="G529" s="13"/>
      <c r="H529" s="13"/>
      <c r="I529" s="13"/>
      <c r="J529" s="13"/>
      <c r="K529" s="13"/>
      <c r="L529" s="13"/>
      <c r="M529" s="28"/>
      <c r="N529" s="294"/>
      <c r="O529" s="13"/>
      <c r="P529" s="13"/>
      <c r="Q529" s="13"/>
      <c r="R529" s="13"/>
      <c r="S529" s="13"/>
      <c r="T529" s="13"/>
      <c r="U529" s="13"/>
      <c r="V529" s="13"/>
      <c r="W529" s="13"/>
      <c r="X529" s="13"/>
      <c r="Y529" s="13"/>
      <c r="Z529" s="13"/>
    </row>
    <row r="530" spans="1:26" ht="13.5" customHeight="1">
      <c r="A530" s="13"/>
      <c r="B530" s="13"/>
      <c r="C530" s="13"/>
      <c r="D530" s="13"/>
      <c r="E530" s="13"/>
      <c r="F530" s="13"/>
      <c r="G530" s="13"/>
      <c r="H530" s="13"/>
      <c r="I530" s="13"/>
      <c r="J530" s="13"/>
      <c r="K530" s="13"/>
      <c r="L530" s="13"/>
      <c r="M530" s="28"/>
      <c r="N530" s="294"/>
      <c r="O530" s="13"/>
      <c r="P530" s="13"/>
      <c r="Q530" s="13"/>
      <c r="R530" s="13"/>
      <c r="S530" s="13"/>
      <c r="T530" s="13"/>
      <c r="U530" s="13"/>
      <c r="V530" s="13"/>
      <c r="W530" s="13"/>
      <c r="X530" s="13"/>
      <c r="Y530" s="13"/>
      <c r="Z530" s="13"/>
    </row>
    <row r="531" spans="1:26" ht="13.5" customHeight="1">
      <c r="A531" s="13"/>
      <c r="B531" s="13"/>
      <c r="C531" s="13"/>
      <c r="D531" s="13"/>
      <c r="E531" s="13"/>
      <c r="F531" s="13"/>
      <c r="G531" s="13"/>
      <c r="H531" s="13"/>
      <c r="I531" s="13"/>
      <c r="J531" s="13"/>
      <c r="K531" s="13"/>
      <c r="L531" s="13"/>
      <c r="M531" s="28"/>
      <c r="N531" s="294"/>
      <c r="O531" s="13"/>
      <c r="P531" s="13"/>
      <c r="Q531" s="13"/>
      <c r="R531" s="13"/>
      <c r="S531" s="13"/>
      <c r="T531" s="13"/>
      <c r="U531" s="13"/>
      <c r="V531" s="13"/>
      <c r="W531" s="13"/>
      <c r="X531" s="13"/>
      <c r="Y531" s="13"/>
      <c r="Z531" s="13"/>
    </row>
    <row r="532" spans="1:26" ht="13.5" customHeight="1">
      <c r="A532" s="13"/>
      <c r="B532" s="13"/>
      <c r="C532" s="13"/>
      <c r="D532" s="13"/>
      <c r="E532" s="13"/>
      <c r="F532" s="13"/>
      <c r="G532" s="13"/>
      <c r="H532" s="13"/>
      <c r="I532" s="13"/>
      <c r="J532" s="13"/>
      <c r="K532" s="13"/>
      <c r="L532" s="13"/>
      <c r="M532" s="28"/>
      <c r="N532" s="294"/>
      <c r="O532" s="13"/>
      <c r="P532" s="13"/>
      <c r="Q532" s="13"/>
      <c r="R532" s="13"/>
      <c r="S532" s="13"/>
      <c r="T532" s="13"/>
      <c r="U532" s="13"/>
      <c r="V532" s="13"/>
      <c r="W532" s="13"/>
      <c r="X532" s="13"/>
      <c r="Y532" s="13"/>
      <c r="Z532" s="13"/>
    </row>
    <row r="533" spans="1:26" ht="13.5" customHeight="1">
      <c r="A533" s="13"/>
      <c r="B533" s="13"/>
      <c r="C533" s="13"/>
      <c r="D533" s="13"/>
      <c r="E533" s="13"/>
      <c r="F533" s="13"/>
      <c r="G533" s="13"/>
      <c r="H533" s="13"/>
      <c r="I533" s="13"/>
      <c r="J533" s="13"/>
      <c r="K533" s="13"/>
      <c r="L533" s="13"/>
      <c r="M533" s="28"/>
      <c r="N533" s="294"/>
      <c r="O533" s="13"/>
      <c r="P533" s="13"/>
      <c r="Q533" s="13"/>
      <c r="R533" s="13"/>
      <c r="S533" s="13"/>
      <c r="T533" s="13"/>
      <c r="U533" s="13"/>
      <c r="V533" s="13"/>
      <c r="W533" s="13"/>
      <c r="X533" s="13"/>
      <c r="Y533" s="13"/>
      <c r="Z533" s="13"/>
    </row>
    <row r="534" spans="1:26" ht="13.5" customHeight="1">
      <c r="A534" s="13"/>
      <c r="B534" s="13"/>
      <c r="C534" s="13"/>
      <c r="D534" s="13"/>
      <c r="E534" s="13"/>
      <c r="F534" s="13"/>
      <c r="G534" s="13"/>
      <c r="H534" s="13"/>
      <c r="I534" s="13"/>
      <c r="J534" s="13"/>
      <c r="K534" s="13"/>
      <c r="L534" s="13"/>
      <c r="M534" s="28"/>
      <c r="N534" s="294"/>
      <c r="O534" s="13"/>
      <c r="P534" s="13"/>
      <c r="Q534" s="13"/>
      <c r="R534" s="13"/>
      <c r="S534" s="13"/>
      <c r="T534" s="13"/>
      <c r="U534" s="13"/>
      <c r="V534" s="13"/>
      <c r="W534" s="13"/>
      <c r="X534" s="13"/>
      <c r="Y534" s="13"/>
      <c r="Z534" s="13"/>
    </row>
    <row r="535" spans="1:26" ht="13.5" customHeight="1">
      <c r="A535" s="13"/>
      <c r="B535" s="13"/>
      <c r="C535" s="13"/>
      <c r="D535" s="13"/>
      <c r="E535" s="13"/>
      <c r="F535" s="13"/>
      <c r="G535" s="13"/>
      <c r="H535" s="13"/>
      <c r="I535" s="13"/>
      <c r="J535" s="13"/>
      <c r="K535" s="13"/>
      <c r="L535" s="13"/>
      <c r="M535" s="28"/>
      <c r="N535" s="294"/>
      <c r="O535" s="13"/>
      <c r="P535" s="13"/>
      <c r="Q535" s="13"/>
      <c r="R535" s="13"/>
      <c r="S535" s="13"/>
      <c r="T535" s="13"/>
      <c r="U535" s="13"/>
      <c r="V535" s="13"/>
      <c r="W535" s="13"/>
      <c r="X535" s="13"/>
      <c r="Y535" s="13"/>
      <c r="Z535" s="13"/>
    </row>
    <row r="536" spans="1:26" ht="13.5" customHeight="1">
      <c r="A536" s="13"/>
      <c r="B536" s="13"/>
      <c r="C536" s="13"/>
      <c r="D536" s="13"/>
      <c r="E536" s="13"/>
      <c r="F536" s="13"/>
      <c r="G536" s="13"/>
      <c r="H536" s="13"/>
      <c r="I536" s="13"/>
      <c r="J536" s="13"/>
      <c r="K536" s="13"/>
      <c r="L536" s="13"/>
      <c r="M536" s="28"/>
      <c r="N536" s="294"/>
      <c r="O536" s="13"/>
      <c r="P536" s="13"/>
      <c r="Q536" s="13"/>
      <c r="R536" s="13"/>
      <c r="S536" s="13"/>
      <c r="T536" s="13"/>
      <c r="U536" s="13"/>
      <c r="V536" s="13"/>
      <c r="W536" s="13"/>
      <c r="X536" s="13"/>
      <c r="Y536" s="13"/>
      <c r="Z536" s="13"/>
    </row>
    <row r="537" spans="1:26" ht="13.5" customHeight="1">
      <c r="A537" s="13"/>
      <c r="B537" s="13"/>
      <c r="C537" s="13"/>
      <c r="D537" s="13"/>
      <c r="E537" s="13"/>
      <c r="F537" s="13"/>
      <c r="G537" s="13"/>
      <c r="H537" s="13"/>
      <c r="I537" s="13"/>
      <c r="J537" s="13"/>
      <c r="K537" s="13"/>
      <c r="L537" s="13"/>
      <c r="M537" s="28"/>
      <c r="N537" s="294"/>
      <c r="O537" s="13"/>
      <c r="P537" s="13"/>
      <c r="Q537" s="13"/>
      <c r="R537" s="13"/>
      <c r="S537" s="13"/>
      <c r="T537" s="13"/>
      <c r="U537" s="13"/>
      <c r="V537" s="13"/>
      <c r="W537" s="13"/>
      <c r="X537" s="13"/>
      <c r="Y537" s="13"/>
      <c r="Z537" s="13"/>
    </row>
    <row r="538" spans="1:26" ht="13.5" customHeight="1">
      <c r="A538" s="13"/>
      <c r="B538" s="13"/>
      <c r="C538" s="13"/>
      <c r="D538" s="13"/>
      <c r="E538" s="13"/>
      <c r="F538" s="13"/>
      <c r="G538" s="13"/>
      <c r="H538" s="13"/>
      <c r="I538" s="13"/>
      <c r="J538" s="13"/>
      <c r="K538" s="13"/>
      <c r="L538" s="13"/>
      <c r="M538" s="28"/>
      <c r="N538" s="294"/>
      <c r="O538" s="13"/>
      <c r="P538" s="13"/>
      <c r="Q538" s="13"/>
      <c r="R538" s="13"/>
      <c r="S538" s="13"/>
      <c r="T538" s="13"/>
      <c r="U538" s="13"/>
      <c r="V538" s="13"/>
      <c r="W538" s="13"/>
      <c r="X538" s="13"/>
      <c r="Y538" s="13"/>
      <c r="Z538" s="13"/>
    </row>
    <row r="539" spans="1:26" ht="13.5" customHeight="1">
      <c r="A539" s="13"/>
      <c r="B539" s="13"/>
      <c r="C539" s="13"/>
      <c r="D539" s="13"/>
      <c r="E539" s="13"/>
      <c r="F539" s="13"/>
      <c r="G539" s="13"/>
      <c r="H539" s="13"/>
      <c r="I539" s="13"/>
      <c r="J539" s="13"/>
      <c r="K539" s="13"/>
      <c r="L539" s="13"/>
      <c r="M539" s="28"/>
      <c r="N539" s="294"/>
      <c r="O539" s="13"/>
      <c r="P539" s="13"/>
      <c r="Q539" s="13"/>
      <c r="R539" s="13"/>
      <c r="S539" s="13"/>
      <c r="T539" s="13"/>
      <c r="U539" s="13"/>
      <c r="V539" s="13"/>
      <c r="W539" s="13"/>
      <c r="X539" s="13"/>
      <c r="Y539" s="13"/>
      <c r="Z539" s="13"/>
    </row>
    <row r="540" spans="1:26" ht="13.5" customHeight="1">
      <c r="A540" s="13"/>
      <c r="B540" s="13"/>
      <c r="C540" s="13"/>
      <c r="D540" s="13"/>
      <c r="E540" s="13"/>
      <c r="F540" s="13"/>
      <c r="G540" s="13"/>
      <c r="H540" s="13"/>
      <c r="I540" s="13"/>
      <c r="J540" s="13"/>
      <c r="K540" s="13"/>
      <c r="L540" s="13"/>
      <c r="M540" s="28"/>
      <c r="N540" s="294"/>
      <c r="O540" s="13"/>
      <c r="P540" s="13"/>
      <c r="Q540" s="13"/>
      <c r="R540" s="13"/>
      <c r="S540" s="13"/>
      <c r="T540" s="13"/>
      <c r="U540" s="13"/>
      <c r="V540" s="13"/>
      <c r="W540" s="13"/>
      <c r="X540" s="13"/>
      <c r="Y540" s="13"/>
      <c r="Z540" s="13"/>
    </row>
    <row r="541" spans="1:26" ht="13.5" customHeight="1">
      <c r="A541" s="13"/>
      <c r="B541" s="13"/>
      <c r="C541" s="13"/>
      <c r="D541" s="13"/>
      <c r="E541" s="13"/>
      <c r="F541" s="13"/>
      <c r="G541" s="13"/>
      <c r="H541" s="13"/>
      <c r="I541" s="13"/>
      <c r="J541" s="13"/>
      <c r="K541" s="13"/>
      <c r="L541" s="13"/>
      <c r="M541" s="28"/>
      <c r="N541" s="294"/>
      <c r="O541" s="13"/>
      <c r="P541" s="13"/>
      <c r="Q541" s="13"/>
      <c r="R541" s="13"/>
      <c r="S541" s="13"/>
      <c r="T541" s="13"/>
      <c r="U541" s="13"/>
      <c r="V541" s="13"/>
      <c r="W541" s="13"/>
      <c r="X541" s="13"/>
      <c r="Y541" s="13"/>
      <c r="Z541" s="13"/>
    </row>
    <row r="542" spans="1:26" ht="13.5" customHeight="1">
      <c r="A542" s="13"/>
      <c r="B542" s="13"/>
      <c r="C542" s="13"/>
      <c r="D542" s="13"/>
      <c r="E542" s="13"/>
      <c r="F542" s="13"/>
      <c r="G542" s="13"/>
      <c r="H542" s="13"/>
      <c r="I542" s="13"/>
      <c r="J542" s="13"/>
      <c r="K542" s="13"/>
      <c r="L542" s="13"/>
      <c r="M542" s="28"/>
      <c r="N542" s="294"/>
      <c r="O542" s="13"/>
      <c r="P542" s="13"/>
      <c r="Q542" s="13"/>
      <c r="R542" s="13"/>
      <c r="S542" s="13"/>
      <c r="T542" s="13"/>
      <c r="U542" s="13"/>
      <c r="V542" s="13"/>
      <c r="W542" s="13"/>
      <c r="X542" s="13"/>
      <c r="Y542" s="13"/>
      <c r="Z542" s="13"/>
    </row>
    <row r="543" spans="1:26" ht="13.5" customHeight="1">
      <c r="A543" s="13"/>
      <c r="B543" s="13"/>
      <c r="C543" s="13"/>
      <c r="D543" s="13"/>
      <c r="E543" s="13"/>
      <c r="F543" s="13"/>
      <c r="G543" s="13"/>
      <c r="H543" s="13"/>
      <c r="I543" s="13"/>
      <c r="J543" s="13"/>
      <c r="K543" s="13"/>
      <c r="L543" s="13"/>
      <c r="M543" s="28"/>
      <c r="N543" s="294"/>
      <c r="O543" s="13"/>
      <c r="P543" s="13"/>
      <c r="Q543" s="13"/>
      <c r="R543" s="13"/>
      <c r="S543" s="13"/>
      <c r="T543" s="13"/>
      <c r="U543" s="13"/>
      <c r="V543" s="13"/>
      <c r="W543" s="13"/>
      <c r="X543" s="13"/>
      <c r="Y543" s="13"/>
      <c r="Z543" s="13"/>
    </row>
    <row r="544" spans="1:26" ht="13.5" customHeight="1">
      <c r="A544" s="13"/>
      <c r="B544" s="13"/>
      <c r="C544" s="13"/>
      <c r="D544" s="13"/>
      <c r="E544" s="13"/>
      <c r="F544" s="13"/>
      <c r="G544" s="13"/>
      <c r="H544" s="13"/>
      <c r="I544" s="13"/>
      <c r="J544" s="13"/>
      <c r="K544" s="13"/>
      <c r="L544" s="13"/>
      <c r="M544" s="28"/>
      <c r="N544" s="294"/>
      <c r="O544" s="13"/>
      <c r="P544" s="13"/>
      <c r="Q544" s="13"/>
      <c r="R544" s="13"/>
      <c r="S544" s="13"/>
      <c r="T544" s="13"/>
      <c r="U544" s="13"/>
      <c r="V544" s="13"/>
      <c r="W544" s="13"/>
      <c r="X544" s="13"/>
      <c r="Y544" s="13"/>
      <c r="Z544" s="13"/>
    </row>
    <row r="545" spans="1:26" ht="13.5" customHeight="1">
      <c r="A545" s="13"/>
      <c r="B545" s="13"/>
      <c r="C545" s="13"/>
      <c r="D545" s="13"/>
      <c r="E545" s="13"/>
      <c r="F545" s="13"/>
      <c r="G545" s="13"/>
      <c r="H545" s="13"/>
      <c r="I545" s="13"/>
      <c r="J545" s="13"/>
      <c r="K545" s="13"/>
      <c r="L545" s="13"/>
      <c r="M545" s="28"/>
      <c r="N545" s="294"/>
      <c r="O545" s="13"/>
      <c r="P545" s="13"/>
      <c r="Q545" s="13"/>
      <c r="R545" s="13"/>
      <c r="S545" s="13"/>
      <c r="T545" s="13"/>
      <c r="U545" s="13"/>
      <c r="V545" s="13"/>
      <c r="W545" s="13"/>
      <c r="X545" s="13"/>
      <c r="Y545" s="13"/>
      <c r="Z545" s="13"/>
    </row>
    <row r="546" spans="1:26" ht="13.5" customHeight="1">
      <c r="A546" s="13"/>
      <c r="B546" s="13"/>
      <c r="C546" s="13"/>
      <c r="D546" s="13"/>
      <c r="E546" s="13"/>
      <c r="F546" s="13"/>
      <c r="G546" s="13"/>
      <c r="H546" s="13"/>
      <c r="I546" s="13"/>
      <c r="J546" s="13"/>
      <c r="K546" s="13"/>
      <c r="L546" s="13"/>
      <c r="M546" s="28"/>
      <c r="N546" s="294"/>
      <c r="O546" s="13"/>
      <c r="P546" s="13"/>
      <c r="Q546" s="13"/>
      <c r="R546" s="13"/>
      <c r="S546" s="13"/>
      <c r="T546" s="13"/>
      <c r="U546" s="13"/>
      <c r="V546" s="13"/>
      <c r="W546" s="13"/>
      <c r="X546" s="13"/>
      <c r="Y546" s="13"/>
      <c r="Z546" s="13"/>
    </row>
    <row r="547" spans="1:26" ht="13.5" customHeight="1">
      <c r="A547" s="13"/>
      <c r="B547" s="13"/>
      <c r="C547" s="13"/>
      <c r="D547" s="13"/>
      <c r="E547" s="13"/>
      <c r="F547" s="13"/>
      <c r="G547" s="13"/>
      <c r="H547" s="13"/>
      <c r="I547" s="13"/>
      <c r="J547" s="13"/>
      <c r="K547" s="13"/>
      <c r="L547" s="13"/>
      <c r="M547" s="28"/>
      <c r="N547" s="294"/>
      <c r="O547" s="13"/>
      <c r="P547" s="13"/>
      <c r="Q547" s="13"/>
      <c r="R547" s="13"/>
      <c r="S547" s="13"/>
      <c r="T547" s="13"/>
      <c r="U547" s="13"/>
      <c r="V547" s="13"/>
      <c r="W547" s="13"/>
      <c r="X547" s="13"/>
      <c r="Y547" s="13"/>
      <c r="Z547" s="13"/>
    </row>
    <row r="548" spans="1:26" ht="13.5" customHeight="1">
      <c r="A548" s="13"/>
      <c r="B548" s="13"/>
      <c r="C548" s="13"/>
      <c r="D548" s="13"/>
      <c r="E548" s="13"/>
      <c r="F548" s="13"/>
      <c r="G548" s="13"/>
      <c r="H548" s="13"/>
      <c r="I548" s="13"/>
      <c r="J548" s="13"/>
      <c r="K548" s="13"/>
      <c r="L548" s="13"/>
      <c r="M548" s="28"/>
      <c r="N548" s="294"/>
      <c r="O548" s="13"/>
      <c r="P548" s="13"/>
      <c r="Q548" s="13"/>
      <c r="R548" s="13"/>
      <c r="S548" s="13"/>
      <c r="T548" s="13"/>
      <c r="U548" s="13"/>
      <c r="V548" s="13"/>
      <c r="W548" s="13"/>
      <c r="X548" s="13"/>
      <c r="Y548" s="13"/>
      <c r="Z548" s="13"/>
    </row>
    <row r="549" spans="1:26" ht="13.5" customHeight="1">
      <c r="A549" s="13"/>
      <c r="B549" s="13"/>
      <c r="C549" s="13"/>
      <c r="D549" s="13"/>
      <c r="E549" s="13"/>
      <c r="F549" s="13"/>
      <c r="G549" s="13"/>
      <c r="H549" s="13"/>
      <c r="I549" s="13"/>
      <c r="J549" s="13"/>
      <c r="K549" s="13"/>
      <c r="L549" s="13"/>
      <c r="M549" s="28"/>
      <c r="N549" s="294"/>
      <c r="O549" s="13"/>
      <c r="P549" s="13"/>
      <c r="Q549" s="13"/>
      <c r="R549" s="13"/>
      <c r="S549" s="13"/>
      <c r="T549" s="13"/>
      <c r="U549" s="13"/>
      <c r="V549" s="13"/>
      <c r="W549" s="13"/>
      <c r="X549" s="13"/>
      <c r="Y549" s="13"/>
      <c r="Z549" s="13"/>
    </row>
    <row r="550" spans="1:26" ht="13.5" customHeight="1">
      <c r="A550" s="13"/>
      <c r="B550" s="13"/>
      <c r="C550" s="13"/>
      <c r="D550" s="13"/>
      <c r="E550" s="13"/>
      <c r="F550" s="13"/>
      <c r="G550" s="13"/>
      <c r="H550" s="13"/>
      <c r="I550" s="13"/>
      <c r="J550" s="13"/>
      <c r="K550" s="13"/>
      <c r="L550" s="13"/>
      <c r="M550" s="28"/>
      <c r="N550" s="294"/>
      <c r="O550" s="13"/>
      <c r="P550" s="13"/>
      <c r="Q550" s="13"/>
      <c r="R550" s="13"/>
      <c r="S550" s="13"/>
      <c r="T550" s="13"/>
      <c r="U550" s="13"/>
      <c r="V550" s="13"/>
      <c r="W550" s="13"/>
      <c r="X550" s="13"/>
      <c r="Y550" s="13"/>
      <c r="Z550" s="13"/>
    </row>
    <row r="551" spans="1:26" ht="13.5" customHeight="1">
      <c r="A551" s="13"/>
      <c r="B551" s="13"/>
      <c r="C551" s="13"/>
      <c r="D551" s="13"/>
      <c r="E551" s="13"/>
      <c r="F551" s="13"/>
      <c r="G551" s="13"/>
      <c r="H551" s="13"/>
      <c r="I551" s="13"/>
      <c r="J551" s="13"/>
      <c r="K551" s="13"/>
      <c r="L551" s="13"/>
      <c r="M551" s="28"/>
      <c r="N551" s="294"/>
      <c r="O551" s="13"/>
      <c r="P551" s="13"/>
      <c r="Q551" s="13"/>
      <c r="R551" s="13"/>
      <c r="S551" s="13"/>
      <c r="T551" s="13"/>
      <c r="U551" s="13"/>
      <c r="V551" s="13"/>
      <c r="W551" s="13"/>
      <c r="X551" s="13"/>
      <c r="Y551" s="13"/>
      <c r="Z551" s="13"/>
    </row>
    <row r="552" spans="1:26" ht="13.5" customHeight="1">
      <c r="A552" s="13"/>
      <c r="B552" s="13"/>
      <c r="C552" s="13"/>
      <c r="D552" s="13"/>
      <c r="E552" s="13"/>
      <c r="F552" s="13"/>
      <c r="G552" s="13"/>
      <c r="H552" s="13"/>
      <c r="I552" s="13"/>
      <c r="J552" s="13"/>
      <c r="K552" s="13"/>
      <c r="L552" s="13"/>
      <c r="M552" s="28"/>
      <c r="N552" s="294"/>
      <c r="O552" s="13"/>
      <c r="P552" s="13"/>
      <c r="Q552" s="13"/>
      <c r="R552" s="13"/>
      <c r="S552" s="13"/>
      <c r="T552" s="13"/>
      <c r="U552" s="13"/>
      <c r="V552" s="13"/>
      <c r="W552" s="13"/>
      <c r="X552" s="13"/>
      <c r="Y552" s="13"/>
      <c r="Z552" s="13"/>
    </row>
    <row r="553" spans="1:26" ht="13.5" customHeight="1">
      <c r="A553" s="13"/>
      <c r="B553" s="13"/>
      <c r="C553" s="13"/>
      <c r="D553" s="13"/>
      <c r="E553" s="13"/>
      <c r="F553" s="13"/>
      <c r="G553" s="13"/>
      <c r="H553" s="13"/>
      <c r="I553" s="13"/>
      <c r="J553" s="13"/>
      <c r="K553" s="13"/>
      <c r="L553" s="13"/>
      <c r="M553" s="28"/>
      <c r="N553" s="294"/>
      <c r="O553" s="13"/>
      <c r="P553" s="13"/>
      <c r="Q553" s="13"/>
      <c r="R553" s="13"/>
      <c r="S553" s="13"/>
      <c r="T553" s="13"/>
      <c r="U553" s="13"/>
      <c r="V553" s="13"/>
      <c r="W553" s="13"/>
      <c r="X553" s="13"/>
      <c r="Y553" s="13"/>
      <c r="Z553" s="13"/>
    </row>
    <row r="554" spans="1:26" ht="13.5" customHeight="1">
      <c r="A554" s="13"/>
      <c r="B554" s="13"/>
      <c r="C554" s="13"/>
      <c r="D554" s="13"/>
      <c r="E554" s="13"/>
      <c r="F554" s="13"/>
      <c r="G554" s="13"/>
      <c r="H554" s="13"/>
      <c r="I554" s="13"/>
      <c r="J554" s="13"/>
      <c r="K554" s="13"/>
      <c r="L554" s="13"/>
      <c r="M554" s="28"/>
      <c r="N554" s="294"/>
      <c r="O554" s="13"/>
      <c r="P554" s="13"/>
      <c r="Q554" s="13"/>
      <c r="R554" s="13"/>
      <c r="S554" s="13"/>
      <c r="T554" s="13"/>
      <c r="U554" s="13"/>
      <c r="V554" s="13"/>
      <c r="W554" s="13"/>
      <c r="X554" s="13"/>
      <c r="Y554" s="13"/>
      <c r="Z554" s="13"/>
    </row>
    <row r="555" spans="1:26" ht="13.5" customHeight="1">
      <c r="A555" s="13"/>
      <c r="B555" s="13"/>
      <c r="C555" s="13"/>
      <c r="D555" s="13"/>
      <c r="E555" s="13"/>
      <c r="F555" s="13"/>
      <c r="G555" s="13"/>
      <c r="H555" s="13"/>
      <c r="I555" s="13"/>
      <c r="J555" s="13"/>
      <c r="K555" s="13"/>
      <c r="L555" s="13"/>
      <c r="M555" s="28"/>
      <c r="N555" s="294"/>
      <c r="O555" s="13"/>
      <c r="P555" s="13"/>
      <c r="Q555" s="13"/>
      <c r="R555" s="13"/>
      <c r="S555" s="13"/>
      <c r="T555" s="13"/>
      <c r="U555" s="13"/>
      <c r="V555" s="13"/>
      <c r="W555" s="13"/>
      <c r="X555" s="13"/>
      <c r="Y555" s="13"/>
      <c r="Z555" s="13"/>
    </row>
    <row r="556" spans="1:26" ht="13.5" customHeight="1">
      <c r="A556" s="13"/>
      <c r="B556" s="13"/>
      <c r="C556" s="13"/>
      <c r="D556" s="13"/>
      <c r="E556" s="13"/>
      <c r="F556" s="13"/>
      <c r="G556" s="13"/>
      <c r="H556" s="13"/>
      <c r="I556" s="13"/>
      <c r="J556" s="13"/>
      <c r="K556" s="13"/>
      <c r="L556" s="13"/>
      <c r="M556" s="28"/>
      <c r="N556" s="294"/>
      <c r="O556" s="13"/>
      <c r="P556" s="13"/>
      <c r="Q556" s="13"/>
      <c r="R556" s="13"/>
      <c r="S556" s="13"/>
      <c r="T556" s="13"/>
      <c r="U556" s="13"/>
      <c r="V556" s="13"/>
      <c r="W556" s="13"/>
      <c r="X556" s="13"/>
      <c r="Y556" s="13"/>
      <c r="Z556" s="13"/>
    </row>
    <row r="557" spans="1:26" ht="13.5" customHeight="1">
      <c r="A557" s="13"/>
      <c r="B557" s="13"/>
      <c r="C557" s="13"/>
      <c r="D557" s="13"/>
      <c r="E557" s="13"/>
      <c r="F557" s="13"/>
      <c r="G557" s="13"/>
      <c r="H557" s="13"/>
      <c r="I557" s="13"/>
      <c r="J557" s="13"/>
      <c r="K557" s="13"/>
      <c r="L557" s="13"/>
      <c r="M557" s="28"/>
      <c r="N557" s="294"/>
      <c r="O557" s="13"/>
      <c r="P557" s="13"/>
      <c r="Q557" s="13"/>
      <c r="R557" s="13"/>
      <c r="S557" s="13"/>
      <c r="T557" s="13"/>
      <c r="U557" s="13"/>
      <c r="V557" s="13"/>
      <c r="W557" s="13"/>
      <c r="X557" s="13"/>
      <c r="Y557" s="13"/>
      <c r="Z557" s="13"/>
    </row>
    <row r="558" spans="1:26" ht="13.5" customHeight="1">
      <c r="A558" s="13"/>
      <c r="B558" s="13"/>
      <c r="C558" s="13"/>
      <c r="D558" s="13"/>
      <c r="E558" s="13"/>
      <c r="F558" s="13"/>
      <c r="G558" s="13"/>
      <c r="H558" s="13"/>
      <c r="I558" s="13"/>
      <c r="J558" s="13"/>
      <c r="K558" s="13"/>
      <c r="L558" s="13"/>
      <c r="M558" s="28"/>
      <c r="N558" s="294"/>
      <c r="O558" s="13"/>
      <c r="P558" s="13"/>
      <c r="Q558" s="13"/>
      <c r="R558" s="13"/>
      <c r="S558" s="13"/>
      <c r="T558" s="13"/>
      <c r="U558" s="13"/>
      <c r="V558" s="13"/>
      <c r="W558" s="13"/>
      <c r="X558" s="13"/>
      <c r="Y558" s="13"/>
      <c r="Z558" s="13"/>
    </row>
    <row r="559" spans="1:26" ht="13.5" customHeight="1">
      <c r="A559" s="13"/>
      <c r="B559" s="13"/>
      <c r="C559" s="13"/>
      <c r="D559" s="13"/>
      <c r="E559" s="13"/>
      <c r="F559" s="13"/>
      <c r="G559" s="13"/>
      <c r="H559" s="13"/>
      <c r="I559" s="13"/>
      <c r="J559" s="13"/>
      <c r="K559" s="13"/>
      <c r="L559" s="13"/>
      <c r="M559" s="28"/>
      <c r="N559" s="294"/>
      <c r="O559" s="13"/>
      <c r="P559" s="13"/>
      <c r="Q559" s="13"/>
      <c r="R559" s="13"/>
      <c r="S559" s="13"/>
      <c r="T559" s="13"/>
      <c r="U559" s="13"/>
      <c r="V559" s="13"/>
      <c r="W559" s="13"/>
      <c r="X559" s="13"/>
      <c r="Y559" s="13"/>
      <c r="Z559" s="13"/>
    </row>
    <row r="560" spans="1:26" ht="13.5" customHeight="1">
      <c r="A560" s="13"/>
      <c r="B560" s="13"/>
      <c r="C560" s="13"/>
      <c r="D560" s="13"/>
      <c r="E560" s="13"/>
      <c r="F560" s="13"/>
      <c r="G560" s="13"/>
      <c r="H560" s="13"/>
      <c r="I560" s="13"/>
      <c r="J560" s="13"/>
      <c r="K560" s="13"/>
      <c r="L560" s="13"/>
      <c r="M560" s="28"/>
      <c r="N560" s="294"/>
      <c r="O560" s="13"/>
      <c r="P560" s="13"/>
      <c r="Q560" s="13"/>
      <c r="R560" s="13"/>
      <c r="S560" s="13"/>
      <c r="T560" s="13"/>
      <c r="U560" s="13"/>
      <c r="V560" s="13"/>
      <c r="W560" s="13"/>
      <c r="X560" s="13"/>
      <c r="Y560" s="13"/>
      <c r="Z560" s="13"/>
    </row>
    <row r="561" spans="1:26" ht="13.5" customHeight="1">
      <c r="A561" s="13"/>
      <c r="B561" s="13"/>
      <c r="C561" s="13"/>
      <c r="D561" s="13"/>
      <c r="E561" s="13"/>
      <c r="F561" s="13"/>
      <c r="G561" s="13"/>
      <c r="H561" s="13"/>
      <c r="I561" s="13"/>
      <c r="J561" s="13"/>
      <c r="K561" s="13"/>
      <c r="L561" s="13"/>
      <c r="M561" s="28"/>
      <c r="N561" s="294"/>
      <c r="O561" s="13"/>
      <c r="P561" s="13"/>
      <c r="Q561" s="13"/>
      <c r="R561" s="13"/>
      <c r="S561" s="13"/>
      <c r="T561" s="13"/>
      <c r="U561" s="13"/>
      <c r="V561" s="13"/>
      <c r="W561" s="13"/>
      <c r="X561" s="13"/>
      <c r="Y561" s="13"/>
      <c r="Z561" s="13"/>
    </row>
    <row r="562" spans="1:26" ht="13.5" customHeight="1">
      <c r="A562" s="13"/>
      <c r="B562" s="13"/>
      <c r="C562" s="13"/>
      <c r="D562" s="13"/>
      <c r="E562" s="13"/>
      <c r="F562" s="13"/>
      <c r="G562" s="13"/>
      <c r="H562" s="13"/>
      <c r="I562" s="13"/>
      <c r="J562" s="13"/>
      <c r="K562" s="13"/>
      <c r="L562" s="13"/>
      <c r="M562" s="28"/>
      <c r="N562" s="294"/>
      <c r="O562" s="13"/>
      <c r="P562" s="13"/>
      <c r="Q562" s="13"/>
      <c r="R562" s="13"/>
      <c r="S562" s="13"/>
      <c r="T562" s="13"/>
      <c r="U562" s="13"/>
      <c r="V562" s="13"/>
      <c r="W562" s="13"/>
      <c r="X562" s="13"/>
      <c r="Y562" s="13"/>
      <c r="Z562" s="13"/>
    </row>
    <row r="563" spans="1:26" ht="13.5" customHeight="1">
      <c r="A563" s="13"/>
      <c r="B563" s="13"/>
      <c r="C563" s="13"/>
      <c r="D563" s="13"/>
      <c r="E563" s="13"/>
      <c r="F563" s="13"/>
      <c r="G563" s="13"/>
      <c r="H563" s="13"/>
      <c r="I563" s="13"/>
      <c r="J563" s="13"/>
      <c r="K563" s="13"/>
      <c r="L563" s="13"/>
      <c r="M563" s="28"/>
      <c r="N563" s="294"/>
      <c r="O563" s="13"/>
      <c r="P563" s="13"/>
      <c r="Q563" s="13"/>
      <c r="R563" s="13"/>
      <c r="S563" s="13"/>
      <c r="T563" s="13"/>
      <c r="U563" s="13"/>
      <c r="V563" s="13"/>
      <c r="W563" s="13"/>
      <c r="X563" s="13"/>
      <c r="Y563" s="13"/>
      <c r="Z563" s="13"/>
    </row>
    <row r="564" spans="1:26" ht="13.5" customHeight="1">
      <c r="A564" s="13"/>
      <c r="B564" s="13"/>
      <c r="C564" s="13"/>
      <c r="D564" s="13"/>
      <c r="E564" s="13"/>
      <c r="F564" s="13"/>
      <c r="G564" s="13"/>
      <c r="H564" s="13"/>
      <c r="I564" s="13"/>
      <c r="J564" s="13"/>
      <c r="K564" s="13"/>
      <c r="L564" s="13"/>
      <c r="M564" s="28"/>
      <c r="N564" s="294"/>
      <c r="O564" s="13"/>
      <c r="P564" s="13"/>
      <c r="Q564" s="13"/>
      <c r="R564" s="13"/>
      <c r="S564" s="13"/>
      <c r="T564" s="13"/>
      <c r="U564" s="13"/>
      <c r="V564" s="13"/>
      <c r="W564" s="13"/>
      <c r="X564" s="13"/>
      <c r="Y564" s="13"/>
      <c r="Z564" s="13"/>
    </row>
    <row r="565" spans="1:26" ht="13.5" customHeight="1">
      <c r="A565" s="13"/>
      <c r="B565" s="13"/>
      <c r="C565" s="13"/>
      <c r="D565" s="13"/>
      <c r="E565" s="13"/>
      <c r="F565" s="13"/>
      <c r="G565" s="13"/>
      <c r="H565" s="13"/>
      <c r="I565" s="13"/>
      <c r="J565" s="13"/>
      <c r="K565" s="13"/>
      <c r="L565" s="13"/>
      <c r="M565" s="28"/>
      <c r="N565" s="294"/>
      <c r="O565" s="13"/>
      <c r="P565" s="13"/>
      <c r="Q565" s="13"/>
      <c r="R565" s="13"/>
      <c r="S565" s="13"/>
      <c r="T565" s="13"/>
      <c r="U565" s="13"/>
      <c r="V565" s="13"/>
      <c r="W565" s="13"/>
      <c r="X565" s="13"/>
      <c r="Y565" s="13"/>
      <c r="Z565" s="13"/>
    </row>
    <row r="566" spans="1:26" ht="13.5" customHeight="1">
      <c r="A566" s="13"/>
      <c r="B566" s="13"/>
      <c r="C566" s="13"/>
      <c r="D566" s="13"/>
      <c r="E566" s="13"/>
      <c r="F566" s="13"/>
      <c r="G566" s="13"/>
      <c r="H566" s="13"/>
      <c r="I566" s="13"/>
      <c r="J566" s="13"/>
      <c r="K566" s="13"/>
      <c r="L566" s="13"/>
      <c r="M566" s="28"/>
      <c r="N566" s="294"/>
      <c r="O566" s="13"/>
      <c r="P566" s="13"/>
      <c r="Q566" s="13"/>
      <c r="R566" s="13"/>
      <c r="S566" s="13"/>
      <c r="T566" s="13"/>
      <c r="U566" s="13"/>
      <c r="V566" s="13"/>
      <c r="W566" s="13"/>
      <c r="X566" s="13"/>
      <c r="Y566" s="13"/>
      <c r="Z566" s="13"/>
    </row>
    <row r="567" spans="1:26" ht="13.5" customHeight="1">
      <c r="A567" s="13"/>
      <c r="B567" s="13"/>
      <c r="C567" s="13"/>
      <c r="D567" s="13"/>
      <c r="E567" s="13"/>
      <c r="F567" s="13"/>
      <c r="G567" s="13"/>
      <c r="H567" s="13"/>
      <c r="I567" s="13"/>
      <c r="J567" s="13"/>
      <c r="K567" s="13"/>
      <c r="L567" s="13"/>
      <c r="M567" s="28"/>
      <c r="N567" s="294"/>
      <c r="O567" s="13"/>
      <c r="P567" s="13"/>
      <c r="Q567" s="13"/>
      <c r="R567" s="13"/>
      <c r="S567" s="13"/>
      <c r="T567" s="13"/>
      <c r="U567" s="13"/>
      <c r="V567" s="13"/>
      <c r="W567" s="13"/>
      <c r="X567" s="13"/>
      <c r="Y567" s="13"/>
      <c r="Z567" s="13"/>
    </row>
    <row r="568" spans="1:26" ht="13.5" customHeight="1">
      <c r="A568" s="13"/>
      <c r="B568" s="13"/>
      <c r="C568" s="13"/>
      <c r="D568" s="13"/>
      <c r="E568" s="13"/>
      <c r="F568" s="13"/>
      <c r="G568" s="13"/>
      <c r="H568" s="13"/>
      <c r="I568" s="13"/>
      <c r="J568" s="13"/>
      <c r="K568" s="13"/>
      <c r="L568" s="13"/>
      <c r="M568" s="28"/>
      <c r="N568" s="294"/>
      <c r="O568" s="13"/>
      <c r="P568" s="13"/>
      <c r="Q568" s="13"/>
      <c r="R568" s="13"/>
      <c r="S568" s="13"/>
      <c r="T568" s="13"/>
      <c r="U568" s="13"/>
      <c r="V568" s="13"/>
      <c r="W568" s="13"/>
      <c r="X568" s="13"/>
      <c r="Y568" s="13"/>
      <c r="Z568" s="13"/>
    </row>
    <row r="569" spans="1:26" ht="13.5" customHeight="1">
      <c r="A569" s="13"/>
      <c r="B569" s="13"/>
      <c r="C569" s="13"/>
      <c r="D569" s="13"/>
      <c r="E569" s="13"/>
      <c r="F569" s="13"/>
      <c r="G569" s="13"/>
      <c r="H569" s="13"/>
      <c r="I569" s="13"/>
      <c r="J569" s="13"/>
      <c r="K569" s="13"/>
      <c r="L569" s="13"/>
      <c r="M569" s="28"/>
      <c r="N569" s="294"/>
      <c r="O569" s="13"/>
      <c r="P569" s="13"/>
      <c r="Q569" s="13"/>
      <c r="R569" s="13"/>
      <c r="S569" s="13"/>
      <c r="T569" s="13"/>
      <c r="U569" s="13"/>
      <c r="V569" s="13"/>
      <c r="W569" s="13"/>
      <c r="X569" s="13"/>
      <c r="Y569" s="13"/>
      <c r="Z569" s="13"/>
    </row>
    <row r="570" spans="1:26" ht="13.5" customHeight="1">
      <c r="A570" s="13"/>
      <c r="B570" s="13"/>
      <c r="C570" s="13"/>
      <c r="D570" s="13"/>
      <c r="E570" s="13"/>
      <c r="F570" s="13"/>
      <c r="G570" s="13"/>
      <c r="H570" s="13"/>
      <c r="I570" s="13"/>
      <c r="J570" s="13"/>
      <c r="K570" s="13"/>
      <c r="L570" s="13"/>
      <c r="M570" s="28"/>
      <c r="N570" s="294"/>
      <c r="O570" s="13"/>
      <c r="P570" s="13"/>
      <c r="Q570" s="13"/>
      <c r="R570" s="13"/>
      <c r="S570" s="13"/>
      <c r="T570" s="13"/>
      <c r="U570" s="13"/>
      <c r="V570" s="13"/>
      <c r="W570" s="13"/>
      <c r="X570" s="13"/>
      <c r="Y570" s="13"/>
      <c r="Z570" s="13"/>
    </row>
    <row r="571" spans="1:26" ht="13.5" customHeight="1">
      <c r="A571" s="13"/>
      <c r="B571" s="13"/>
      <c r="C571" s="13"/>
      <c r="D571" s="13"/>
      <c r="E571" s="13"/>
      <c r="F571" s="13"/>
      <c r="G571" s="13"/>
      <c r="H571" s="13"/>
      <c r="I571" s="13"/>
      <c r="J571" s="13"/>
      <c r="K571" s="13"/>
      <c r="L571" s="13"/>
      <c r="M571" s="28"/>
      <c r="N571" s="294"/>
      <c r="O571" s="13"/>
      <c r="P571" s="13"/>
      <c r="Q571" s="13"/>
      <c r="R571" s="13"/>
      <c r="S571" s="13"/>
      <c r="T571" s="13"/>
      <c r="U571" s="13"/>
      <c r="V571" s="13"/>
      <c r="W571" s="13"/>
      <c r="X571" s="13"/>
      <c r="Y571" s="13"/>
      <c r="Z571" s="13"/>
    </row>
    <row r="572" spans="1:26" ht="13.5" customHeight="1">
      <c r="A572" s="13"/>
      <c r="B572" s="13"/>
      <c r="C572" s="13"/>
      <c r="D572" s="13"/>
      <c r="E572" s="13"/>
      <c r="F572" s="13"/>
      <c r="G572" s="13"/>
      <c r="H572" s="13"/>
      <c r="I572" s="13"/>
      <c r="J572" s="13"/>
      <c r="K572" s="13"/>
      <c r="L572" s="13"/>
      <c r="M572" s="28"/>
      <c r="N572" s="294"/>
      <c r="O572" s="13"/>
      <c r="P572" s="13"/>
      <c r="Q572" s="13"/>
      <c r="R572" s="13"/>
      <c r="S572" s="13"/>
      <c r="T572" s="13"/>
      <c r="U572" s="13"/>
      <c r="V572" s="13"/>
      <c r="W572" s="13"/>
      <c r="X572" s="13"/>
      <c r="Y572" s="13"/>
      <c r="Z572" s="13"/>
    </row>
    <row r="573" spans="1:26" ht="13.5" customHeight="1">
      <c r="A573" s="13"/>
      <c r="B573" s="13"/>
      <c r="C573" s="13"/>
      <c r="D573" s="13"/>
      <c r="E573" s="13"/>
      <c r="F573" s="13"/>
      <c r="G573" s="13"/>
      <c r="H573" s="13"/>
      <c r="I573" s="13"/>
      <c r="J573" s="13"/>
      <c r="K573" s="13"/>
      <c r="L573" s="13"/>
      <c r="M573" s="28"/>
      <c r="N573" s="294"/>
      <c r="O573" s="13"/>
      <c r="P573" s="13"/>
      <c r="Q573" s="13"/>
      <c r="R573" s="13"/>
      <c r="S573" s="13"/>
      <c r="T573" s="13"/>
      <c r="U573" s="13"/>
      <c r="V573" s="13"/>
      <c r="W573" s="13"/>
      <c r="X573" s="13"/>
      <c r="Y573" s="13"/>
      <c r="Z573" s="13"/>
    </row>
    <row r="574" spans="1:26" ht="13.5" customHeight="1">
      <c r="A574" s="13"/>
      <c r="B574" s="13"/>
      <c r="C574" s="13"/>
      <c r="D574" s="13"/>
      <c r="E574" s="13"/>
      <c r="F574" s="13"/>
      <c r="G574" s="13"/>
      <c r="H574" s="13"/>
      <c r="I574" s="13"/>
      <c r="J574" s="13"/>
      <c r="K574" s="13"/>
      <c r="L574" s="13"/>
      <c r="M574" s="28"/>
      <c r="N574" s="294"/>
      <c r="O574" s="13"/>
      <c r="P574" s="13"/>
      <c r="Q574" s="13"/>
      <c r="R574" s="13"/>
      <c r="S574" s="13"/>
      <c r="T574" s="13"/>
      <c r="U574" s="13"/>
      <c r="V574" s="13"/>
      <c r="W574" s="13"/>
      <c r="X574" s="13"/>
      <c r="Y574" s="13"/>
      <c r="Z574" s="13"/>
    </row>
    <row r="575" spans="1:26" ht="13.5" customHeight="1">
      <c r="A575" s="13"/>
      <c r="B575" s="13"/>
      <c r="C575" s="13"/>
      <c r="D575" s="13"/>
      <c r="E575" s="13"/>
      <c r="F575" s="13"/>
      <c r="G575" s="13"/>
      <c r="H575" s="13"/>
      <c r="I575" s="13"/>
      <c r="J575" s="13"/>
      <c r="K575" s="13"/>
      <c r="L575" s="13"/>
      <c r="M575" s="28"/>
      <c r="N575" s="294"/>
      <c r="O575" s="13"/>
      <c r="P575" s="13"/>
      <c r="Q575" s="13"/>
      <c r="R575" s="13"/>
      <c r="S575" s="13"/>
      <c r="T575" s="13"/>
      <c r="U575" s="13"/>
      <c r="V575" s="13"/>
      <c r="W575" s="13"/>
      <c r="X575" s="13"/>
      <c r="Y575" s="13"/>
      <c r="Z575" s="13"/>
    </row>
    <row r="576" spans="1:26" ht="13.5" customHeight="1">
      <c r="A576" s="13"/>
      <c r="B576" s="13"/>
      <c r="C576" s="13"/>
      <c r="D576" s="13"/>
      <c r="E576" s="13"/>
      <c r="F576" s="13"/>
      <c r="G576" s="13"/>
      <c r="H576" s="13"/>
      <c r="I576" s="13"/>
      <c r="J576" s="13"/>
      <c r="K576" s="13"/>
      <c r="L576" s="13"/>
      <c r="M576" s="28"/>
      <c r="N576" s="294"/>
      <c r="O576" s="13"/>
      <c r="P576" s="13"/>
      <c r="Q576" s="13"/>
      <c r="R576" s="13"/>
      <c r="S576" s="13"/>
      <c r="T576" s="13"/>
      <c r="U576" s="13"/>
      <c r="V576" s="13"/>
      <c r="W576" s="13"/>
      <c r="X576" s="13"/>
      <c r="Y576" s="13"/>
      <c r="Z576" s="13"/>
    </row>
    <row r="577" spans="1:26" ht="13.5" customHeight="1">
      <c r="A577" s="13"/>
      <c r="B577" s="13"/>
      <c r="C577" s="13"/>
      <c r="D577" s="13"/>
      <c r="E577" s="13"/>
      <c r="F577" s="13"/>
      <c r="G577" s="13"/>
      <c r="H577" s="13"/>
      <c r="I577" s="13"/>
      <c r="J577" s="13"/>
      <c r="K577" s="13"/>
      <c r="L577" s="13"/>
      <c r="M577" s="28"/>
      <c r="N577" s="294"/>
      <c r="O577" s="13"/>
      <c r="P577" s="13"/>
      <c r="Q577" s="13"/>
      <c r="R577" s="13"/>
      <c r="S577" s="13"/>
      <c r="T577" s="13"/>
      <c r="U577" s="13"/>
      <c r="V577" s="13"/>
      <c r="W577" s="13"/>
      <c r="X577" s="13"/>
      <c r="Y577" s="13"/>
      <c r="Z577" s="13"/>
    </row>
    <row r="578" spans="1:26" ht="13.5" customHeight="1">
      <c r="A578" s="13"/>
      <c r="B578" s="13"/>
      <c r="C578" s="13"/>
      <c r="D578" s="13"/>
      <c r="E578" s="13"/>
      <c r="F578" s="13"/>
      <c r="G578" s="13"/>
      <c r="H578" s="13"/>
      <c r="I578" s="13"/>
      <c r="J578" s="13"/>
      <c r="K578" s="13"/>
      <c r="L578" s="13"/>
      <c r="M578" s="28"/>
      <c r="N578" s="294"/>
      <c r="O578" s="13"/>
      <c r="P578" s="13"/>
      <c r="Q578" s="13"/>
      <c r="R578" s="13"/>
      <c r="S578" s="13"/>
      <c r="T578" s="13"/>
      <c r="U578" s="13"/>
      <c r="V578" s="13"/>
      <c r="W578" s="13"/>
      <c r="X578" s="13"/>
      <c r="Y578" s="13"/>
      <c r="Z578" s="13"/>
    </row>
    <row r="579" spans="1:26" ht="13.5" customHeight="1">
      <c r="A579" s="13"/>
      <c r="B579" s="13"/>
      <c r="C579" s="13"/>
      <c r="D579" s="13"/>
      <c r="E579" s="13"/>
      <c r="F579" s="13"/>
      <c r="G579" s="13"/>
      <c r="H579" s="13"/>
      <c r="I579" s="13"/>
      <c r="J579" s="13"/>
      <c r="K579" s="13"/>
      <c r="L579" s="13"/>
      <c r="M579" s="28"/>
      <c r="N579" s="294"/>
      <c r="O579" s="13"/>
      <c r="P579" s="13"/>
      <c r="Q579" s="13"/>
      <c r="R579" s="13"/>
      <c r="S579" s="13"/>
      <c r="T579" s="13"/>
      <c r="U579" s="13"/>
      <c r="V579" s="13"/>
      <c r="W579" s="13"/>
      <c r="X579" s="13"/>
      <c r="Y579" s="13"/>
      <c r="Z579" s="13"/>
    </row>
    <row r="580" spans="1:26" ht="13.5" customHeight="1">
      <c r="A580" s="13"/>
      <c r="B580" s="13"/>
      <c r="C580" s="13"/>
      <c r="D580" s="13"/>
      <c r="E580" s="13"/>
      <c r="F580" s="13"/>
      <c r="G580" s="13"/>
      <c r="H580" s="13"/>
      <c r="I580" s="13"/>
      <c r="J580" s="13"/>
      <c r="K580" s="13"/>
      <c r="L580" s="13"/>
      <c r="M580" s="28"/>
      <c r="N580" s="294"/>
      <c r="O580" s="13"/>
      <c r="P580" s="13"/>
      <c r="Q580" s="13"/>
      <c r="R580" s="13"/>
      <c r="S580" s="13"/>
      <c r="T580" s="13"/>
      <c r="U580" s="13"/>
      <c r="V580" s="13"/>
      <c r="W580" s="13"/>
      <c r="X580" s="13"/>
      <c r="Y580" s="13"/>
      <c r="Z580" s="13"/>
    </row>
    <row r="581" spans="1:26" ht="13.5" customHeight="1">
      <c r="A581" s="13"/>
      <c r="B581" s="13"/>
      <c r="C581" s="13"/>
      <c r="D581" s="13"/>
      <c r="E581" s="13"/>
      <c r="F581" s="13"/>
      <c r="G581" s="13"/>
      <c r="H581" s="13"/>
      <c r="I581" s="13"/>
      <c r="J581" s="13"/>
      <c r="K581" s="13"/>
      <c r="L581" s="13"/>
      <c r="M581" s="28"/>
      <c r="N581" s="294"/>
      <c r="O581" s="13"/>
      <c r="P581" s="13"/>
      <c r="Q581" s="13"/>
      <c r="R581" s="13"/>
      <c r="S581" s="13"/>
      <c r="T581" s="13"/>
      <c r="U581" s="13"/>
      <c r="V581" s="13"/>
      <c r="W581" s="13"/>
      <c r="X581" s="13"/>
      <c r="Y581" s="13"/>
      <c r="Z581" s="13"/>
    </row>
    <row r="582" spans="1:26" ht="13.5" customHeight="1">
      <c r="A582" s="13"/>
      <c r="B582" s="13"/>
      <c r="C582" s="13"/>
      <c r="D582" s="13"/>
      <c r="E582" s="13"/>
      <c r="F582" s="13"/>
      <c r="G582" s="13"/>
      <c r="H582" s="13"/>
      <c r="I582" s="13"/>
      <c r="J582" s="13"/>
      <c r="K582" s="13"/>
      <c r="L582" s="13"/>
      <c r="M582" s="28"/>
      <c r="N582" s="294"/>
      <c r="O582" s="13"/>
      <c r="P582" s="13"/>
      <c r="Q582" s="13"/>
      <c r="R582" s="13"/>
      <c r="S582" s="13"/>
      <c r="T582" s="13"/>
      <c r="U582" s="13"/>
      <c r="V582" s="13"/>
      <c r="W582" s="13"/>
      <c r="X582" s="13"/>
      <c r="Y582" s="13"/>
      <c r="Z582" s="13"/>
    </row>
    <row r="583" spans="1:26" ht="13.5" customHeight="1">
      <c r="A583" s="13"/>
      <c r="B583" s="13"/>
      <c r="C583" s="13"/>
      <c r="D583" s="13"/>
      <c r="E583" s="13"/>
      <c r="F583" s="13"/>
      <c r="G583" s="13"/>
      <c r="H583" s="13"/>
      <c r="I583" s="13"/>
      <c r="J583" s="13"/>
      <c r="K583" s="13"/>
      <c r="L583" s="13"/>
      <c r="M583" s="28"/>
      <c r="N583" s="294"/>
      <c r="O583" s="13"/>
      <c r="P583" s="13"/>
      <c r="Q583" s="13"/>
      <c r="R583" s="13"/>
      <c r="S583" s="13"/>
      <c r="T583" s="13"/>
      <c r="U583" s="13"/>
      <c r="V583" s="13"/>
      <c r="W583" s="13"/>
      <c r="X583" s="13"/>
      <c r="Y583" s="13"/>
      <c r="Z583" s="13"/>
    </row>
    <row r="584" spans="1:26" ht="13.5" customHeight="1">
      <c r="A584" s="13"/>
      <c r="B584" s="13"/>
      <c r="C584" s="13"/>
      <c r="D584" s="13"/>
      <c r="E584" s="13"/>
      <c r="F584" s="13"/>
      <c r="G584" s="13"/>
      <c r="H584" s="13"/>
      <c r="I584" s="13"/>
      <c r="J584" s="13"/>
      <c r="K584" s="13"/>
      <c r="L584" s="13"/>
      <c r="M584" s="28"/>
      <c r="N584" s="294"/>
      <c r="O584" s="13"/>
      <c r="P584" s="13"/>
      <c r="Q584" s="13"/>
      <c r="R584" s="13"/>
      <c r="S584" s="13"/>
      <c r="T584" s="13"/>
      <c r="U584" s="13"/>
      <c r="V584" s="13"/>
      <c r="W584" s="13"/>
      <c r="X584" s="13"/>
      <c r="Y584" s="13"/>
      <c r="Z584" s="13"/>
    </row>
    <row r="585" spans="1:26" ht="13.5" customHeight="1">
      <c r="A585" s="13"/>
      <c r="B585" s="13"/>
      <c r="C585" s="13"/>
      <c r="D585" s="13"/>
      <c r="E585" s="13"/>
      <c r="F585" s="13"/>
      <c r="G585" s="13"/>
      <c r="H585" s="13"/>
      <c r="I585" s="13"/>
      <c r="J585" s="13"/>
      <c r="K585" s="13"/>
      <c r="L585" s="13"/>
      <c r="M585" s="28"/>
      <c r="N585" s="294"/>
      <c r="O585" s="13"/>
      <c r="P585" s="13"/>
      <c r="Q585" s="13"/>
      <c r="R585" s="13"/>
      <c r="S585" s="13"/>
      <c r="T585" s="13"/>
      <c r="U585" s="13"/>
      <c r="V585" s="13"/>
      <c r="W585" s="13"/>
      <c r="X585" s="13"/>
      <c r="Y585" s="13"/>
      <c r="Z585" s="13"/>
    </row>
    <row r="586" spans="1:26" ht="13.5" customHeight="1">
      <c r="A586" s="13"/>
      <c r="B586" s="13"/>
      <c r="C586" s="13"/>
      <c r="D586" s="13"/>
      <c r="E586" s="13"/>
      <c r="F586" s="13"/>
      <c r="G586" s="13"/>
      <c r="H586" s="13"/>
      <c r="I586" s="13"/>
      <c r="J586" s="13"/>
      <c r="K586" s="13"/>
      <c r="L586" s="13"/>
      <c r="M586" s="28"/>
      <c r="N586" s="294"/>
      <c r="O586" s="13"/>
      <c r="P586" s="13"/>
      <c r="Q586" s="13"/>
      <c r="R586" s="13"/>
      <c r="S586" s="13"/>
      <c r="T586" s="13"/>
      <c r="U586" s="13"/>
      <c r="V586" s="13"/>
      <c r="W586" s="13"/>
      <c r="X586" s="13"/>
      <c r="Y586" s="13"/>
      <c r="Z586" s="13"/>
    </row>
    <row r="587" spans="1:26" ht="13.5" customHeight="1">
      <c r="A587" s="13"/>
      <c r="B587" s="13"/>
      <c r="C587" s="13"/>
      <c r="D587" s="13"/>
      <c r="E587" s="13"/>
      <c r="F587" s="13"/>
      <c r="G587" s="13"/>
      <c r="H587" s="13"/>
      <c r="I587" s="13"/>
      <c r="J587" s="13"/>
      <c r="K587" s="13"/>
      <c r="L587" s="13"/>
      <c r="M587" s="28"/>
      <c r="N587" s="294"/>
      <c r="O587" s="13"/>
      <c r="P587" s="13"/>
      <c r="Q587" s="13"/>
      <c r="R587" s="13"/>
      <c r="S587" s="13"/>
      <c r="T587" s="13"/>
      <c r="U587" s="13"/>
      <c r="V587" s="13"/>
      <c r="W587" s="13"/>
      <c r="X587" s="13"/>
      <c r="Y587" s="13"/>
      <c r="Z587" s="13"/>
    </row>
    <row r="588" spans="1:26" ht="13.5" customHeight="1">
      <c r="A588" s="13"/>
      <c r="B588" s="13"/>
      <c r="C588" s="13"/>
      <c r="D588" s="13"/>
      <c r="E588" s="13"/>
      <c r="F588" s="13"/>
      <c r="G588" s="13"/>
      <c r="H588" s="13"/>
      <c r="I588" s="13"/>
      <c r="J588" s="13"/>
      <c r="K588" s="13"/>
      <c r="L588" s="13"/>
      <c r="M588" s="28"/>
      <c r="N588" s="294"/>
      <c r="O588" s="13"/>
      <c r="P588" s="13"/>
      <c r="Q588" s="13"/>
      <c r="R588" s="13"/>
      <c r="S588" s="13"/>
      <c r="T588" s="13"/>
      <c r="U588" s="13"/>
      <c r="V588" s="13"/>
      <c r="W588" s="13"/>
      <c r="X588" s="13"/>
      <c r="Y588" s="13"/>
      <c r="Z588" s="13"/>
    </row>
    <row r="589" spans="1:26" ht="13.5" customHeight="1">
      <c r="A589" s="13"/>
      <c r="B589" s="13"/>
      <c r="C589" s="13"/>
      <c r="D589" s="13"/>
      <c r="E589" s="13"/>
      <c r="F589" s="13"/>
      <c r="G589" s="13"/>
      <c r="H589" s="13"/>
      <c r="I589" s="13"/>
      <c r="J589" s="13"/>
      <c r="K589" s="13"/>
      <c r="L589" s="13"/>
      <c r="M589" s="28"/>
      <c r="N589" s="294"/>
      <c r="O589" s="13"/>
      <c r="P589" s="13"/>
      <c r="Q589" s="13"/>
      <c r="R589" s="13"/>
      <c r="S589" s="13"/>
      <c r="T589" s="13"/>
      <c r="U589" s="13"/>
      <c r="V589" s="13"/>
      <c r="W589" s="13"/>
      <c r="X589" s="13"/>
      <c r="Y589" s="13"/>
      <c r="Z589" s="13"/>
    </row>
    <row r="590" spans="1:26" ht="13.5" customHeight="1">
      <c r="A590" s="13"/>
      <c r="B590" s="13"/>
      <c r="C590" s="13"/>
      <c r="D590" s="13"/>
      <c r="E590" s="13"/>
      <c r="F590" s="13"/>
      <c r="G590" s="13"/>
      <c r="H590" s="13"/>
      <c r="I590" s="13"/>
      <c r="J590" s="13"/>
      <c r="K590" s="13"/>
      <c r="L590" s="13"/>
      <c r="M590" s="28"/>
      <c r="N590" s="294"/>
      <c r="O590" s="13"/>
      <c r="P590" s="13"/>
      <c r="Q590" s="13"/>
      <c r="R590" s="13"/>
      <c r="S590" s="13"/>
      <c r="T590" s="13"/>
      <c r="U590" s="13"/>
      <c r="V590" s="13"/>
      <c r="W590" s="13"/>
      <c r="X590" s="13"/>
      <c r="Y590" s="13"/>
      <c r="Z590" s="13"/>
    </row>
    <row r="591" spans="1:26" ht="13.5" customHeight="1">
      <c r="A591" s="13"/>
      <c r="B591" s="13"/>
      <c r="C591" s="13"/>
      <c r="D591" s="13"/>
      <c r="E591" s="13"/>
      <c r="F591" s="13"/>
      <c r="G591" s="13"/>
      <c r="H591" s="13"/>
      <c r="I591" s="13"/>
      <c r="J591" s="13"/>
      <c r="K591" s="13"/>
      <c r="L591" s="13"/>
      <c r="M591" s="28"/>
      <c r="N591" s="294"/>
      <c r="O591" s="13"/>
      <c r="P591" s="13"/>
      <c r="Q591" s="13"/>
      <c r="R591" s="13"/>
      <c r="S591" s="13"/>
      <c r="T591" s="13"/>
      <c r="U591" s="13"/>
      <c r="V591" s="13"/>
      <c r="W591" s="13"/>
      <c r="X591" s="13"/>
      <c r="Y591" s="13"/>
      <c r="Z591" s="13"/>
    </row>
    <row r="592" spans="1:26" ht="13.5" customHeight="1">
      <c r="A592" s="13"/>
      <c r="B592" s="13"/>
      <c r="C592" s="13"/>
      <c r="D592" s="13"/>
      <c r="E592" s="13"/>
      <c r="F592" s="13"/>
      <c r="G592" s="13"/>
      <c r="H592" s="13"/>
      <c r="I592" s="13"/>
      <c r="J592" s="13"/>
      <c r="K592" s="13"/>
      <c r="L592" s="13"/>
      <c r="M592" s="28"/>
      <c r="N592" s="294"/>
      <c r="O592" s="13"/>
      <c r="P592" s="13"/>
      <c r="Q592" s="13"/>
      <c r="R592" s="13"/>
      <c r="S592" s="13"/>
      <c r="T592" s="13"/>
      <c r="U592" s="13"/>
      <c r="V592" s="13"/>
      <c r="W592" s="13"/>
      <c r="X592" s="13"/>
      <c r="Y592" s="13"/>
      <c r="Z592" s="13"/>
    </row>
    <row r="593" spans="1:26" ht="13.5" customHeight="1">
      <c r="A593" s="13"/>
      <c r="B593" s="13"/>
      <c r="C593" s="13"/>
      <c r="D593" s="13"/>
      <c r="E593" s="13"/>
      <c r="F593" s="13"/>
      <c r="G593" s="13"/>
      <c r="H593" s="13"/>
      <c r="I593" s="13"/>
      <c r="J593" s="13"/>
      <c r="K593" s="13"/>
      <c r="L593" s="13"/>
      <c r="M593" s="28"/>
      <c r="N593" s="294"/>
      <c r="O593" s="13"/>
      <c r="P593" s="13"/>
      <c r="Q593" s="13"/>
      <c r="R593" s="13"/>
      <c r="S593" s="13"/>
      <c r="T593" s="13"/>
      <c r="U593" s="13"/>
      <c r="V593" s="13"/>
      <c r="W593" s="13"/>
      <c r="X593" s="13"/>
      <c r="Y593" s="13"/>
      <c r="Z593" s="13"/>
    </row>
    <row r="594" spans="1:26" ht="13.5" customHeight="1">
      <c r="A594" s="13"/>
      <c r="B594" s="13"/>
      <c r="C594" s="13"/>
      <c r="D594" s="13"/>
      <c r="E594" s="13"/>
      <c r="F594" s="13"/>
      <c r="G594" s="13"/>
      <c r="H594" s="13"/>
      <c r="I594" s="13"/>
      <c r="J594" s="13"/>
      <c r="K594" s="13"/>
      <c r="L594" s="13"/>
      <c r="M594" s="28"/>
      <c r="N594" s="294"/>
      <c r="O594" s="13"/>
      <c r="P594" s="13"/>
      <c r="Q594" s="13"/>
      <c r="R594" s="13"/>
      <c r="S594" s="13"/>
      <c r="T594" s="13"/>
      <c r="U594" s="13"/>
      <c r="V594" s="13"/>
      <c r="W594" s="13"/>
      <c r="X594" s="13"/>
      <c r="Y594" s="13"/>
      <c r="Z594" s="13"/>
    </row>
    <row r="595" spans="1:26" ht="13.5" customHeight="1">
      <c r="A595" s="13"/>
      <c r="B595" s="13"/>
      <c r="C595" s="13"/>
      <c r="D595" s="13"/>
      <c r="E595" s="13"/>
      <c r="F595" s="13"/>
      <c r="G595" s="13"/>
      <c r="H595" s="13"/>
      <c r="I595" s="13"/>
      <c r="J595" s="13"/>
      <c r="K595" s="13"/>
      <c r="L595" s="13"/>
      <c r="M595" s="28"/>
      <c r="N595" s="294"/>
      <c r="O595" s="13"/>
      <c r="P595" s="13"/>
      <c r="Q595" s="13"/>
      <c r="R595" s="13"/>
      <c r="S595" s="13"/>
      <c r="T595" s="13"/>
      <c r="U595" s="13"/>
      <c r="V595" s="13"/>
      <c r="W595" s="13"/>
      <c r="X595" s="13"/>
      <c r="Y595" s="13"/>
      <c r="Z595" s="13"/>
    </row>
    <row r="596" spans="1:26" ht="13.5" customHeight="1">
      <c r="A596" s="13"/>
      <c r="B596" s="13"/>
      <c r="C596" s="13"/>
      <c r="D596" s="13"/>
      <c r="E596" s="13"/>
      <c r="F596" s="13"/>
      <c r="G596" s="13"/>
      <c r="H596" s="13"/>
      <c r="I596" s="13"/>
      <c r="J596" s="13"/>
      <c r="K596" s="13"/>
      <c r="L596" s="13"/>
      <c r="M596" s="28"/>
      <c r="N596" s="294"/>
      <c r="O596" s="13"/>
      <c r="P596" s="13"/>
      <c r="Q596" s="13"/>
      <c r="R596" s="13"/>
      <c r="S596" s="13"/>
      <c r="T596" s="13"/>
      <c r="U596" s="13"/>
      <c r="V596" s="13"/>
      <c r="W596" s="13"/>
      <c r="X596" s="13"/>
      <c r="Y596" s="13"/>
      <c r="Z596" s="13"/>
    </row>
    <row r="597" spans="1:26" ht="13.5" customHeight="1">
      <c r="A597" s="13"/>
      <c r="B597" s="13"/>
      <c r="C597" s="13"/>
      <c r="D597" s="13"/>
      <c r="E597" s="13"/>
      <c r="F597" s="13"/>
      <c r="G597" s="13"/>
      <c r="H597" s="13"/>
      <c r="I597" s="13"/>
      <c r="J597" s="13"/>
      <c r="K597" s="13"/>
      <c r="L597" s="13"/>
      <c r="M597" s="28"/>
      <c r="N597" s="294"/>
      <c r="O597" s="13"/>
      <c r="P597" s="13"/>
      <c r="Q597" s="13"/>
      <c r="R597" s="13"/>
      <c r="S597" s="13"/>
      <c r="T597" s="13"/>
      <c r="U597" s="13"/>
      <c r="V597" s="13"/>
      <c r="W597" s="13"/>
      <c r="X597" s="13"/>
      <c r="Y597" s="13"/>
      <c r="Z597" s="13"/>
    </row>
    <row r="598" spans="1:26" ht="13.5" customHeight="1">
      <c r="A598" s="13"/>
      <c r="B598" s="13"/>
      <c r="C598" s="13"/>
      <c r="D598" s="13"/>
      <c r="E598" s="13"/>
      <c r="F598" s="13"/>
      <c r="G598" s="13"/>
      <c r="H598" s="13"/>
      <c r="I598" s="13"/>
      <c r="J598" s="13"/>
      <c r="K598" s="13"/>
      <c r="L598" s="13"/>
      <c r="M598" s="28"/>
      <c r="N598" s="294"/>
      <c r="O598" s="13"/>
      <c r="P598" s="13"/>
      <c r="Q598" s="13"/>
      <c r="R598" s="13"/>
      <c r="S598" s="13"/>
      <c r="T598" s="13"/>
      <c r="U598" s="13"/>
      <c r="V598" s="13"/>
      <c r="W598" s="13"/>
      <c r="X598" s="13"/>
      <c r="Y598" s="13"/>
      <c r="Z598" s="13"/>
    </row>
    <row r="599" spans="1:26" ht="13.5" customHeight="1">
      <c r="A599" s="13"/>
      <c r="B599" s="13"/>
      <c r="C599" s="13"/>
      <c r="D599" s="13"/>
      <c r="E599" s="13"/>
      <c r="F599" s="13"/>
      <c r="G599" s="13"/>
      <c r="H599" s="13"/>
      <c r="I599" s="13"/>
      <c r="J599" s="13"/>
      <c r="K599" s="13"/>
      <c r="L599" s="13"/>
      <c r="M599" s="28"/>
      <c r="N599" s="294"/>
      <c r="O599" s="13"/>
      <c r="P599" s="13"/>
      <c r="Q599" s="13"/>
      <c r="R599" s="13"/>
      <c r="S599" s="13"/>
      <c r="T599" s="13"/>
      <c r="U599" s="13"/>
      <c r="V599" s="13"/>
      <c r="W599" s="13"/>
      <c r="X599" s="13"/>
      <c r="Y599" s="13"/>
      <c r="Z599" s="13"/>
    </row>
    <row r="600" spans="1:26" ht="13.5" customHeight="1">
      <c r="A600" s="13"/>
      <c r="B600" s="13"/>
      <c r="C600" s="13"/>
      <c r="D600" s="13"/>
      <c r="E600" s="13"/>
      <c r="F600" s="13"/>
      <c r="G600" s="13"/>
      <c r="H600" s="13"/>
      <c r="I600" s="13"/>
      <c r="J600" s="13"/>
      <c r="K600" s="13"/>
      <c r="L600" s="13"/>
      <c r="M600" s="28"/>
      <c r="N600" s="294"/>
      <c r="O600" s="13"/>
      <c r="P600" s="13"/>
      <c r="Q600" s="13"/>
      <c r="R600" s="13"/>
      <c r="S600" s="13"/>
      <c r="T600" s="13"/>
      <c r="U600" s="13"/>
      <c r="V600" s="13"/>
      <c r="W600" s="13"/>
      <c r="X600" s="13"/>
      <c r="Y600" s="13"/>
      <c r="Z600" s="13"/>
    </row>
    <row r="601" spans="1:26" ht="13.5" customHeight="1">
      <c r="A601" s="13"/>
      <c r="B601" s="13"/>
      <c r="C601" s="13"/>
      <c r="D601" s="13"/>
      <c r="E601" s="13"/>
      <c r="F601" s="13"/>
      <c r="G601" s="13"/>
      <c r="H601" s="13"/>
      <c r="I601" s="13"/>
      <c r="J601" s="13"/>
      <c r="K601" s="13"/>
      <c r="L601" s="13"/>
      <c r="M601" s="28"/>
      <c r="N601" s="294"/>
      <c r="O601" s="13"/>
      <c r="P601" s="13"/>
      <c r="Q601" s="13"/>
      <c r="R601" s="13"/>
      <c r="S601" s="13"/>
      <c r="T601" s="13"/>
      <c r="U601" s="13"/>
      <c r="V601" s="13"/>
      <c r="W601" s="13"/>
      <c r="X601" s="13"/>
      <c r="Y601" s="13"/>
      <c r="Z601" s="13"/>
    </row>
    <row r="602" spans="1:26" ht="13.5" customHeight="1">
      <c r="A602" s="13"/>
      <c r="B602" s="13"/>
      <c r="C602" s="13"/>
      <c r="D602" s="13"/>
      <c r="E602" s="13"/>
      <c r="F602" s="13"/>
      <c r="G602" s="13"/>
      <c r="H602" s="13"/>
      <c r="I602" s="13"/>
      <c r="J602" s="13"/>
      <c r="K602" s="13"/>
      <c r="L602" s="13"/>
      <c r="M602" s="28"/>
      <c r="N602" s="294"/>
      <c r="O602" s="13"/>
      <c r="P602" s="13"/>
      <c r="Q602" s="13"/>
      <c r="R602" s="13"/>
      <c r="S602" s="13"/>
      <c r="T602" s="13"/>
      <c r="U602" s="13"/>
      <c r="V602" s="13"/>
      <c r="W602" s="13"/>
      <c r="X602" s="13"/>
      <c r="Y602" s="13"/>
      <c r="Z602" s="13"/>
    </row>
    <row r="603" spans="1:26" ht="13.5" customHeight="1">
      <c r="A603" s="13"/>
      <c r="B603" s="13"/>
      <c r="C603" s="13"/>
      <c r="D603" s="13"/>
      <c r="E603" s="13"/>
      <c r="F603" s="13"/>
      <c r="G603" s="13"/>
      <c r="H603" s="13"/>
      <c r="I603" s="13"/>
      <c r="J603" s="13"/>
      <c r="K603" s="13"/>
      <c r="L603" s="13"/>
      <c r="M603" s="28"/>
      <c r="N603" s="294"/>
      <c r="O603" s="13"/>
      <c r="P603" s="13"/>
      <c r="Q603" s="13"/>
      <c r="R603" s="13"/>
      <c r="S603" s="13"/>
      <c r="T603" s="13"/>
      <c r="U603" s="13"/>
      <c r="V603" s="13"/>
      <c r="W603" s="13"/>
      <c r="X603" s="13"/>
      <c r="Y603" s="13"/>
      <c r="Z603" s="13"/>
    </row>
    <row r="604" spans="1:26" ht="13.5" customHeight="1">
      <c r="A604" s="13"/>
      <c r="B604" s="13"/>
      <c r="C604" s="13"/>
      <c r="D604" s="13"/>
      <c r="E604" s="13"/>
      <c r="F604" s="13"/>
      <c r="G604" s="13"/>
      <c r="H604" s="13"/>
      <c r="I604" s="13"/>
      <c r="J604" s="13"/>
      <c r="K604" s="13"/>
      <c r="L604" s="13"/>
      <c r="M604" s="28"/>
      <c r="N604" s="294"/>
      <c r="O604" s="13"/>
      <c r="P604" s="13"/>
      <c r="Q604" s="13"/>
      <c r="R604" s="13"/>
      <c r="S604" s="13"/>
      <c r="T604" s="13"/>
      <c r="U604" s="13"/>
      <c r="V604" s="13"/>
      <c r="W604" s="13"/>
      <c r="X604" s="13"/>
      <c r="Y604" s="13"/>
      <c r="Z604" s="13"/>
    </row>
    <row r="605" spans="1:26" ht="13.5" customHeight="1">
      <c r="A605" s="13"/>
      <c r="B605" s="13"/>
      <c r="C605" s="13"/>
      <c r="D605" s="13"/>
      <c r="E605" s="13"/>
      <c r="F605" s="13"/>
      <c r="G605" s="13"/>
      <c r="H605" s="13"/>
      <c r="I605" s="13"/>
      <c r="J605" s="13"/>
      <c r="K605" s="13"/>
      <c r="L605" s="13"/>
      <c r="M605" s="28"/>
      <c r="N605" s="294"/>
      <c r="O605" s="13"/>
      <c r="P605" s="13"/>
      <c r="Q605" s="13"/>
      <c r="R605" s="13"/>
      <c r="S605" s="13"/>
      <c r="T605" s="13"/>
      <c r="U605" s="13"/>
      <c r="V605" s="13"/>
      <c r="W605" s="13"/>
      <c r="X605" s="13"/>
      <c r="Y605" s="13"/>
      <c r="Z605" s="13"/>
    </row>
    <row r="606" spans="1:26" ht="13.5" customHeight="1">
      <c r="A606" s="13"/>
      <c r="B606" s="13"/>
      <c r="C606" s="13"/>
      <c r="D606" s="13"/>
      <c r="E606" s="13"/>
      <c r="F606" s="13"/>
      <c r="G606" s="13"/>
      <c r="H606" s="13"/>
      <c r="I606" s="13"/>
      <c r="J606" s="13"/>
      <c r="K606" s="13"/>
      <c r="L606" s="13"/>
      <c r="M606" s="28"/>
      <c r="N606" s="294"/>
      <c r="O606" s="13"/>
      <c r="P606" s="13"/>
      <c r="Q606" s="13"/>
      <c r="R606" s="13"/>
      <c r="S606" s="13"/>
      <c r="T606" s="13"/>
      <c r="U606" s="13"/>
      <c r="V606" s="13"/>
      <c r="W606" s="13"/>
      <c r="X606" s="13"/>
      <c r="Y606" s="13"/>
      <c r="Z606" s="13"/>
    </row>
    <row r="607" spans="1:26" ht="13.5" customHeight="1">
      <c r="A607" s="13"/>
      <c r="B607" s="13"/>
      <c r="C607" s="13"/>
      <c r="D607" s="13"/>
      <c r="E607" s="13"/>
      <c r="F607" s="13"/>
      <c r="G607" s="13"/>
      <c r="H607" s="13"/>
      <c r="I607" s="13"/>
      <c r="J607" s="13"/>
      <c r="K607" s="13"/>
      <c r="L607" s="13"/>
      <c r="M607" s="28"/>
      <c r="N607" s="294"/>
      <c r="O607" s="13"/>
      <c r="P607" s="13"/>
      <c r="Q607" s="13"/>
      <c r="R607" s="13"/>
      <c r="S607" s="13"/>
      <c r="T607" s="13"/>
      <c r="U607" s="13"/>
      <c r="V607" s="13"/>
      <c r="W607" s="13"/>
      <c r="X607" s="13"/>
      <c r="Y607" s="13"/>
      <c r="Z607" s="13"/>
    </row>
    <row r="608" spans="1:26" ht="13.5" customHeight="1">
      <c r="A608" s="13"/>
      <c r="B608" s="13"/>
      <c r="C608" s="13"/>
      <c r="D608" s="13"/>
      <c r="E608" s="13"/>
      <c r="F608" s="13"/>
      <c r="G608" s="13"/>
      <c r="H608" s="13"/>
      <c r="I608" s="13"/>
      <c r="J608" s="13"/>
      <c r="K608" s="13"/>
      <c r="L608" s="13"/>
      <c r="M608" s="28"/>
      <c r="N608" s="294"/>
      <c r="O608" s="13"/>
      <c r="P608" s="13"/>
      <c r="Q608" s="13"/>
      <c r="R608" s="13"/>
      <c r="S608" s="13"/>
      <c r="T608" s="13"/>
      <c r="U608" s="13"/>
      <c r="V608" s="13"/>
      <c r="W608" s="13"/>
      <c r="X608" s="13"/>
      <c r="Y608" s="13"/>
      <c r="Z608" s="13"/>
    </row>
    <row r="609" spans="1:26" ht="13.5" customHeight="1">
      <c r="A609" s="13"/>
      <c r="B609" s="13"/>
      <c r="C609" s="13"/>
      <c r="D609" s="13"/>
      <c r="E609" s="13"/>
      <c r="F609" s="13"/>
      <c r="G609" s="13"/>
      <c r="H609" s="13"/>
      <c r="I609" s="13"/>
      <c r="J609" s="13"/>
      <c r="K609" s="13"/>
      <c r="L609" s="13"/>
      <c r="M609" s="28"/>
      <c r="N609" s="294"/>
      <c r="O609" s="13"/>
      <c r="P609" s="13"/>
      <c r="Q609" s="13"/>
      <c r="R609" s="13"/>
      <c r="S609" s="13"/>
      <c r="T609" s="13"/>
      <c r="U609" s="13"/>
      <c r="V609" s="13"/>
      <c r="W609" s="13"/>
      <c r="X609" s="13"/>
      <c r="Y609" s="13"/>
      <c r="Z609" s="13"/>
    </row>
    <row r="610" spans="1:26" ht="13.5" customHeight="1">
      <c r="A610" s="13"/>
      <c r="B610" s="13"/>
      <c r="C610" s="13"/>
      <c r="D610" s="13"/>
      <c r="E610" s="13"/>
      <c r="F610" s="13"/>
      <c r="G610" s="13"/>
      <c r="H610" s="13"/>
      <c r="I610" s="13"/>
      <c r="J610" s="13"/>
      <c r="K610" s="13"/>
      <c r="L610" s="13"/>
      <c r="M610" s="28"/>
      <c r="N610" s="294"/>
      <c r="O610" s="13"/>
      <c r="P610" s="13"/>
      <c r="Q610" s="13"/>
      <c r="R610" s="13"/>
      <c r="S610" s="13"/>
      <c r="T610" s="13"/>
      <c r="U610" s="13"/>
      <c r="V610" s="13"/>
      <c r="W610" s="13"/>
      <c r="X610" s="13"/>
      <c r="Y610" s="13"/>
      <c r="Z610" s="13"/>
    </row>
    <row r="611" spans="1:26" ht="13.5" customHeight="1">
      <c r="A611" s="13"/>
      <c r="B611" s="13"/>
      <c r="C611" s="13"/>
      <c r="D611" s="13"/>
      <c r="E611" s="13"/>
      <c r="F611" s="13"/>
      <c r="G611" s="13"/>
      <c r="H611" s="13"/>
      <c r="I611" s="13"/>
      <c r="J611" s="13"/>
      <c r="K611" s="13"/>
      <c r="L611" s="13"/>
      <c r="M611" s="28"/>
      <c r="N611" s="294"/>
      <c r="O611" s="13"/>
      <c r="P611" s="13"/>
      <c r="Q611" s="13"/>
      <c r="R611" s="13"/>
      <c r="S611" s="13"/>
      <c r="T611" s="13"/>
      <c r="U611" s="13"/>
      <c r="V611" s="13"/>
      <c r="W611" s="13"/>
      <c r="X611" s="13"/>
      <c r="Y611" s="13"/>
      <c r="Z611" s="13"/>
    </row>
    <row r="612" spans="1:26" ht="13.5" customHeight="1">
      <c r="A612" s="13"/>
      <c r="B612" s="13"/>
      <c r="C612" s="13"/>
      <c r="D612" s="13"/>
      <c r="E612" s="13"/>
      <c r="F612" s="13"/>
      <c r="G612" s="13"/>
      <c r="H612" s="13"/>
      <c r="I612" s="13"/>
      <c r="J612" s="13"/>
      <c r="K612" s="13"/>
      <c r="L612" s="13"/>
      <c r="M612" s="28"/>
      <c r="N612" s="294"/>
      <c r="O612" s="13"/>
      <c r="P612" s="13"/>
      <c r="Q612" s="13"/>
      <c r="R612" s="13"/>
      <c r="S612" s="13"/>
      <c r="T612" s="13"/>
      <c r="U612" s="13"/>
      <c r="V612" s="13"/>
      <c r="W612" s="13"/>
      <c r="X612" s="13"/>
      <c r="Y612" s="13"/>
      <c r="Z612" s="13"/>
    </row>
    <row r="613" spans="1:26" ht="13.5" customHeight="1">
      <c r="A613" s="13"/>
      <c r="B613" s="13"/>
      <c r="C613" s="13"/>
      <c r="D613" s="13"/>
      <c r="E613" s="13"/>
      <c r="F613" s="13"/>
      <c r="G613" s="13"/>
      <c r="H613" s="13"/>
      <c r="I613" s="13"/>
      <c r="J613" s="13"/>
      <c r="K613" s="13"/>
      <c r="L613" s="13"/>
      <c r="M613" s="28"/>
      <c r="N613" s="294"/>
      <c r="O613" s="13"/>
      <c r="P613" s="13"/>
      <c r="Q613" s="13"/>
      <c r="R613" s="13"/>
      <c r="S613" s="13"/>
      <c r="T613" s="13"/>
      <c r="U613" s="13"/>
      <c r="V613" s="13"/>
      <c r="W613" s="13"/>
      <c r="X613" s="13"/>
      <c r="Y613" s="13"/>
      <c r="Z613" s="13"/>
    </row>
    <row r="614" spans="1:26" ht="13.5" customHeight="1">
      <c r="A614" s="13"/>
      <c r="B614" s="13"/>
      <c r="C614" s="13"/>
      <c r="D614" s="13"/>
      <c r="E614" s="13"/>
      <c r="F614" s="13"/>
      <c r="G614" s="13"/>
      <c r="H614" s="13"/>
      <c r="I614" s="13"/>
      <c r="J614" s="13"/>
      <c r="K614" s="13"/>
      <c r="L614" s="13"/>
      <c r="M614" s="28"/>
      <c r="N614" s="294"/>
      <c r="O614" s="13"/>
      <c r="P614" s="13"/>
      <c r="Q614" s="13"/>
      <c r="R614" s="13"/>
      <c r="S614" s="13"/>
      <c r="T614" s="13"/>
      <c r="U614" s="13"/>
      <c r="V614" s="13"/>
      <c r="W614" s="13"/>
      <c r="X614" s="13"/>
      <c r="Y614" s="13"/>
      <c r="Z614" s="13"/>
    </row>
    <row r="615" spans="1:26" ht="13.5" customHeight="1">
      <c r="A615" s="13"/>
      <c r="B615" s="13"/>
      <c r="C615" s="13"/>
      <c r="D615" s="13"/>
      <c r="E615" s="13"/>
      <c r="F615" s="13"/>
      <c r="G615" s="13"/>
      <c r="H615" s="13"/>
      <c r="I615" s="13"/>
      <c r="J615" s="13"/>
      <c r="K615" s="13"/>
      <c r="L615" s="13"/>
      <c r="M615" s="28"/>
      <c r="N615" s="294"/>
      <c r="O615" s="13"/>
      <c r="P615" s="13"/>
      <c r="Q615" s="13"/>
      <c r="R615" s="13"/>
      <c r="S615" s="13"/>
      <c r="T615" s="13"/>
      <c r="U615" s="13"/>
      <c r="V615" s="13"/>
      <c r="W615" s="13"/>
      <c r="X615" s="13"/>
      <c r="Y615" s="13"/>
      <c r="Z615" s="13"/>
    </row>
    <row r="616" spans="1:26" ht="13.5" customHeight="1">
      <c r="A616" s="13"/>
      <c r="B616" s="13"/>
      <c r="C616" s="13"/>
      <c r="D616" s="13"/>
      <c r="E616" s="13"/>
      <c r="F616" s="13"/>
      <c r="G616" s="13"/>
      <c r="H616" s="13"/>
      <c r="I616" s="13"/>
      <c r="J616" s="13"/>
      <c r="K616" s="13"/>
      <c r="L616" s="13"/>
      <c r="M616" s="28"/>
      <c r="N616" s="294"/>
      <c r="O616" s="13"/>
      <c r="P616" s="13"/>
      <c r="Q616" s="13"/>
      <c r="R616" s="13"/>
      <c r="S616" s="13"/>
      <c r="T616" s="13"/>
      <c r="U616" s="13"/>
      <c r="V616" s="13"/>
      <c r="W616" s="13"/>
      <c r="X616" s="13"/>
      <c r="Y616" s="13"/>
      <c r="Z616" s="13"/>
    </row>
    <row r="617" spans="1:26" ht="13.5" customHeight="1">
      <c r="A617" s="13"/>
      <c r="B617" s="13"/>
      <c r="C617" s="13"/>
      <c r="D617" s="13"/>
      <c r="E617" s="13"/>
      <c r="F617" s="13"/>
      <c r="G617" s="13"/>
      <c r="H617" s="13"/>
      <c r="I617" s="13"/>
      <c r="J617" s="13"/>
      <c r="K617" s="13"/>
      <c r="L617" s="13"/>
      <c r="M617" s="28"/>
      <c r="N617" s="294"/>
      <c r="O617" s="13"/>
      <c r="P617" s="13"/>
      <c r="Q617" s="13"/>
      <c r="R617" s="13"/>
      <c r="S617" s="13"/>
      <c r="T617" s="13"/>
      <c r="U617" s="13"/>
      <c r="V617" s="13"/>
      <c r="W617" s="13"/>
      <c r="X617" s="13"/>
      <c r="Y617" s="13"/>
      <c r="Z617" s="13"/>
    </row>
    <row r="618" spans="1:26" ht="13.5" customHeight="1">
      <c r="A618" s="13"/>
      <c r="B618" s="13"/>
      <c r="C618" s="13"/>
      <c r="D618" s="13"/>
      <c r="E618" s="13"/>
      <c r="F618" s="13"/>
      <c r="G618" s="13"/>
      <c r="H618" s="13"/>
      <c r="I618" s="13"/>
      <c r="J618" s="13"/>
      <c r="K618" s="13"/>
      <c r="L618" s="13"/>
      <c r="M618" s="28"/>
      <c r="N618" s="294"/>
      <c r="O618" s="13"/>
      <c r="P618" s="13"/>
      <c r="Q618" s="13"/>
      <c r="R618" s="13"/>
      <c r="S618" s="13"/>
      <c r="T618" s="13"/>
      <c r="U618" s="13"/>
      <c r="V618" s="13"/>
      <c r="W618" s="13"/>
      <c r="X618" s="13"/>
      <c r="Y618" s="13"/>
      <c r="Z618" s="13"/>
    </row>
    <row r="619" spans="1:26" ht="13.5" customHeight="1">
      <c r="A619" s="13"/>
      <c r="B619" s="13"/>
      <c r="C619" s="13"/>
      <c r="D619" s="13"/>
      <c r="E619" s="13"/>
      <c r="F619" s="13"/>
      <c r="G619" s="13"/>
      <c r="H619" s="13"/>
      <c r="I619" s="13"/>
      <c r="J619" s="13"/>
      <c r="K619" s="13"/>
      <c r="L619" s="13"/>
      <c r="M619" s="28"/>
      <c r="N619" s="294"/>
      <c r="O619" s="13"/>
      <c r="P619" s="13"/>
      <c r="Q619" s="13"/>
      <c r="R619" s="13"/>
      <c r="S619" s="13"/>
      <c r="T619" s="13"/>
      <c r="U619" s="13"/>
      <c r="V619" s="13"/>
      <c r="W619" s="13"/>
      <c r="X619" s="13"/>
      <c r="Y619" s="13"/>
      <c r="Z619" s="13"/>
    </row>
    <row r="620" spans="1:26" ht="13.5" customHeight="1">
      <c r="A620" s="13"/>
      <c r="B620" s="13"/>
      <c r="C620" s="13"/>
      <c r="D620" s="13"/>
      <c r="E620" s="13"/>
      <c r="F620" s="13"/>
      <c r="G620" s="13"/>
      <c r="H620" s="13"/>
      <c r="I620" s="13"/>
      <c r="J620" s="13"/>
      <c r="K620" s="13"/>
      <c r="L620" s="13"/>
      <c r="M620" s="28"/>
      <c r="N620" s="294"/>
      <c r="O620" s="13"/>
      <c r="P620" s="13"/>
      <c r="Q620" s="13"/>
      <c r="R620" s="13"/>
      <c r="S620" s="13"/>
      <c r="T620" s="13"/>
      <c r="U620" s="13"/>
      <c r="V620" s="13"/>
      <c r="W620" s="13"/>
      <c r="X620" s="13"/>
      <c r="Y620" s="13"/>
      <c r="Z620" s="13"/>
    </row>
    <row r="621" spans="1:26" ht="13.5" customHeight="1">
      <c r="A621" s="13"/>
      <c r="B621" s="13"/>
      <c r="C621" s="13"/>
      <c r="D621" s="13"/>
      <c r="E621" s="13"/>
      <c r="F621" s="13"/>
      <c r="G621" s="13"/>
      <c r="H621" s="13"/>
      <c r="I621" s="13"/>
      <c r="J621" s="13"/>
      <c r="K621" s="13"/>
      <c r="L621" s="13"/>
      <c r="M621" s="28"/>
      <c r="N621" s="294"/>
      <c r="O621" s="13"/>
      <c r="P621" s="13"/>
      <c r="Q621" s="13"/>
      <c r="R621" s="13"/>
      <c r="S621" s="13"/>
      <c r="T621" s="13"/>
      <c r="U621" s="13"/>
      <c r="V621" s="13"/>
      <c r="W621" s="13"/>
      <c r="X621" s="13"/>
      <c r="Y621" s="13"/>
      <c r="Z621" s="13"/>
    </row>
    <row r="622" spans="1:26" ht="13.5" customHeight="1">
      <c r="A622" s="13"/>
      <c r="B622" s="13"/>
      <c r="C622" s="13"/>
      <c r="D622" s="13"/>
      <c r="E622" s="13"/>
      <c r="F622" s="13"/>
      <c r="G622" s="13"/>
      <c r="H622" s="13"/>
      <c r="I622" s="13"/>
      <c r="J622" s="13"/>
      <c r="K622" s="13"/>
      <c r="L622" s="13"/>
      <c r="M622" s="28"/>
      <c r="N622" s="294"/>
      <c r="O622" s="13"/>
      <c r="P622" s="13"/>
      <c r="Q622" s="13"/>
      <c r="R622" s="13"/>
      <c r="S622" s="13"/>
      <c r="T622" s="13"/>
      <c r="U622" s="13"/>
      <c r="V622" s="13"/>
      <c r="W622" s="13"/>
      <c r="X622" s="13"/>
      <c r="Y622" s="13"/>
      <c r="Z622" s="13"/>
    </row>
    <row r="623" spans="1:26" ht="13.5" customHeight="1">
      <c r="A623" s="13"/>
      <c r="B623" s="13"/>
      <c r="C623" s="13"/>
      <c r="D623" s="13"/>
      <c r="E623" s="13"/>
      <c r="F623" s="13"/>
      <c r="G623" s="13"/>
      <c r="H623" s="13"/>
      <c r="I623" s="13"/>
      <c r="J623" s="13"/>
      <c r="K623" s="13"/>
      <c r="L623" s="13"/>
      <c r="M623" s="28"/>
      <c r="N623" s="294"/>
      <c r="O623" s="13"/>
      <c r="P623" s="13"/>
      <c r="Q623" s="13"/>
      <c r="R623" s="13"/>
      <c r="S623" s="13"/>
      <c r="T623" s="13"/>
      <c r="U623" s="13"/>
      <c r="V623" s="13"/>
      <c r="W623" s="13"/>
      <c r="X623" s="13"/>
      <c r="Y623" s="13"/>
      <c r="Z623" s="13"/>
    </row>
    <row r="624" spans="1:26" ht="13.5" customHeight="1">
      <c r="A624" s="13"/>
      <c r="B624" s="13"/>
      <c r="C624" s="13"/>
      <c r="D624" s="13"/>
      <c r="E624" s="13"/>
      <c r="F624" s="13"/>
      <c r="G624" s="13"/>
      <c r="H624" s="13"/>
      <c r="I624" s="13"/>
      <c r="J624" s="13"/>
      <c r="K624" s="13"/>
      <c r="L624" s="13"/>
      <c r="M624" s="28"/>
      <c r="N624" s="294"/>
      <c r="O624" s="13"/>
      <c r="P624" s="13"/>
      <c r="Q624" s="13"/>
      <c r="R624" s="13"/>
      <c r="S624" s="13"/>
      <c r="T624" s="13"/>
      <c r="U624" s="13"/>
      <c r="V624" s="13"/>
      <c r="W624" s="13"/>
      <c r="X624" s="13"/>
      <c r="Y624" s="13"/>
      <c r="Z624" s="13"/>
    </row>
    <row r="625" spans="1:26" ht="13.5" customHeight="1">
      <c r="A625" s="13"/>
      <c r="B625" s="13"/>
      <c r="C625" s="13"/>
      <c r="D625" s="13"/>
      <c r="E625" s="13"/>
      <c r="F625" s="13"/>
      <c r="G625" s="13"/>
      <c r="H625" s="13"/>
      <c r="I625" s="13"/>
      <c r="J625" s="13"/>
      <c r="K625" s="13"/>
      <c r="L625" s="13"/>
      <c r="M625" s="28"/>
      <c r="N625" s="294"/>
      <c r="O625" s="13"/>
      <c r="P625" s="13"/>
      <c r="Q625" s="13"/>
      <c r="R625" s="13"/>
      <c r="S625" s="13"/>
      <c r="T625" s="13"/>
      <c r="U625" s="13"/>
      <c r="V625" s="13"/>
      <c r="W625" s="13"/>
      <c r="X625" s="13"/>
      <c r="Y625" s="13"/>
      <c r="Z625" s="13"/>
    </row>
    <row r="626" spans="1:26" ht="13.5" customHeight="1">
      <c r="A626" s="13"/>
      <c r="B626" s="13"/>
      <c r="C626" s="13"/>
      <c r="D626" s="13"/>
      <c r="E626" s="13"/>
      <c r="F626" s="13"/>
      <c r="G626" s="13"/>
      <c r="H626" s="13"/>
      <c r="I626" s="13"/>
      <c r="J626" s="13"/>
      <c r="K626" s="13"/>
      <c r="L626" s="13"/>
      <c r="M626" s="28"/>
      <c r="N626" s="294"/>
      <c r="O626" s="13"/>
      <c r="P626" s="13"/>
      <c r="Q626" s="13"/>
      <c r="R626" s="13"/>
      <c r="S626" s="13"/>
      <c r="T626" s="13"/>
      <c r="U626" s="13"/>
      <c r="V626" s="13"/>
      <c r="W626" s="13"/>
      <c r="X626" s="13"/>
      <c r="Y626" s="13"/>
      <c r="Z626" s="13"/>
    </row>
    <row r="627" spans="1:26" ht="13.5" customHeight="1">
      <c r="A627" s="13"/>
      <c r="B627" s="13"/>
      <c r="C627" s="13"/>
      <c r="D627" s="13"/>
      <c r="E627" s="13"/>
      <c r="F627" s="13"/>
      <c r="G627" s="13"/>
      <c r="H627" s="13"/>
      <c r="I627" s="13"/>
      <c r="J627" s="13"/>
      <c r="K627" s="13"/>
      <c r="L627" s="13"/>
      <c r="M627" s="28"/>
      <c r="N627" s="294"/>
      <c r="O627" s="13"/>
      <c r="P627" s="13"/>
      <c r="Q627" s="13"/>
      <c r="R627" s="13"/>
      <c r="S627" s="13"/>
      <c r="T627" s="13"/>
      <c r="U627" s="13"/>
      <c r="V627" s="13"/>
      <c r="W627" s="13"/>
      <c r="X627" s="13"/>
      <c r="Y627" s="13"/>
      <c r="Z627" s="13"/>
    </row>
    <row r="628" spans="1:26" ht="13.5" customHeight="1">
      <c r="A628" s="13"/>
      <c r="B628" s="13"/>
      <c r="C628" s="13"/>
      <c r="D628" s="13"/>
      <c r="E628" s="13"/>
      <c r="F628" s="13"/>
      <c r="G628" s="13"/>
      <c r="H628" s="13"/>
      <c r="I628" s="13"/>
      <c r="J628" s="13"/>
      <c r="K628" s="13"/>
      <c r="L628" s="13"/>
      <c r="M628" s="28"/>
      <c r="N628" s="294"/>
      <c r="O628" s="13"/>
      <c r="P628" s="13"/>
      <c r="Q628" s="13"/>
      <c r="R628" s="13"/>
      <c r="S628" s="13"/>
      <c r="T628" s="13"/>
      <c r="U628" s="13"/>
      <c r="V628" s="13"/>
      <c r="W628" s="13"/>
      <c r="X628" s="13"/>
      <c r="Y628" s="13"/>
      <c r="Z628" s="13"/>
    </row>
    <row r="629" spans="1:26" ht="13.5" customHeight="1">
      <c r="A629" s="13"/>
      <c r="B629" s="13"/>
      <c r="C629" s="13"/>
      <c r="D629" s="13"/>
      <c r="E629" s="13"/>
      <c r="F629" s="13"/>
      <c r="G629" s="13"/>
      <c r="H629" s="13"/>
      <c r="I629" s="13"/>
      <c r="J629" s="13"/>
      <c r="K629" s="13"/>
      <c r="L629" s="13"/>
      <c r="M629" s="28"/>
      <c r="N629" s="294"/>
      <c r="O629" s="13"/>
      <c r="P629" s="13"/>
      <c r="Q629" s="13"/>
      <c r="R629" s="13"/>
      <c r="S629" s="13"/>
      <c r="T629" s="13"/>
      <c r="U629" s="13"/>
      <c r="V629" s="13"/>
      <c r="W629" s="13"/>
      <c r="X629" s="13"/>
      <c r="Y629" s="13"/>
      <c r="Z629" s="13"/>
    </row>
    <row r="630" spans="1:26" ht="13.5" customHeight="1">
      <c r="A630" s="13"/>
      <c r="B630" s="13"/>
      <c r="C630" s="13"/>
      <c r="D630" s="13"/>
      <c r="E630" s="13"/>
      <c r="F630" s="13"/>
      <c r="G630" s="13"/>
      <c r="H630" s="13"/>
      <c r="I630" s="13"/>
      <c r="J630" s="13"/>
      <c r="K630" s="13"/>
      <c r="L630" s="13"/>
      <c r="M630" s="28"/>
      <c r="N630" s="294"/>
      <c r="O630" s="13"/>
      <c r="P630" s="13"/>
      <c r="Q630" s="13"/>
      <c r="R630" s="13"/>
      <c r="S630" s="13"/>
      <c r="T630" s="13"/>
      <c r="U630" s="13"/>
      <c r="V630" s="13"/>
      <c r="W630" s="13"/>
      <c r="X630" s="13"/>
      <c r="Y630" s="13"/>
      <c r="Z630" s="13"/>
    </row>
    <row r="631" spans="1:26" ht="13.5" customHeight="1">
      <c r="A631" s="13"/>
      <c r="B631" s="13"/>
      <c r="C631" s="13"/>
      <c r="D631" s="13"/>
      <c r="E631" s="13"/>
      <c r="F631" s="13"/>
      <c r="G631" s="13"/>
      <c r="H631" s="13"/>
      <c r="I631" s="13"/>
      <c r="J631" s="13"/>
      <c r="K631" s="13"/>
      <c r="L631" s="13"/>
      <c r="M631" s="28"/>
      <c r="N631" s="294"/>
      <c r="O631" s="13"/>
      <c r="P631" s="13"/>
      <c r="Q631" s="13"/>
      <c r="R631" s="13"/>
      <c r="S631" s="13"/>
      <c r="T631" s="13"/>
      <c r="U631" s="13"/>
      <c r="V631" s="13"/>
      <c r="W631" s="13"/>
      <c r="X631" s="13"/>
      <c r="Y631" s="13"/>
      <c r="Z631" s="13"/>
    </row>
    <row r="632" spans="1:26" ht="13.5" customHeight="1">
      <c r="A632" s="13"/>
      <c r="B632" s="13"/>
      <c r="C632" s="13"/>
      <c r="D632" s="13"/>
      <c r="E632" s="13"/>
      <c r="F632" s="13"/>
      <c r="G632" s="13"/>
      <c r="H632" s="13"/>
      <c r="I632" s="13"/>
      <c r="J632" s="13"/>
      <c r="K632" s="13"/>
      <c r="L632" s="13"/>
      <c r="M632" s="28"/>
      <c r="N632" s="294"/>
      <c r="O632" s="13"/>
      <c r="P632" s="13"/>
      <c r="Q632" s="13"/>
      <c r="R632" s="13"/>
      <c r="S632" s="13"/>
      <c r="T632" s="13"/>
      <c r="U632" s="13"/>
      <c r="V632" s="13"/>
      <c r="W632" s="13"/>
      <c r="X632" s="13"/>
      <c r="Y632" s="13"/>
      <c r="Z632" s="13"/>
    </row>
    <row r="633" spans="1:26" ht="13.5" customHeight="1">
      <c r="A633" s="13"/>
      <c r="B633" s="13"/>
      <c r="C633" s="13"/>
      <c r="D633" s="13"/>
      <c r="E633" s="13"/>
      <c r="F633" s="13"/>
      <c r="G633" s="13"/>
      <c r="H633" s="13"/>
      <c r="I633" s="13"/>
      <c r="J633" s="13"/>
      <c r="K633" s="13"/>
      <c r="L633" s="13"/>
      <c r="M633" s="28"/>
      <c r="N633" s="294"/>
      <c r="O633" s="13"/>
      <c r="P633" s="13"/>
      <c r="Q633" s="13"/>
      <c r="R633" s="13"/>
      <c r="S633" s="13"/>
      <c r="T633" s="13"/>
      <c r="U633" s="13"/>
      <c r="V633" s="13"/>
      <c r="W633" s="13"/>
      <c r="X633" s="13"/>
      <c r="Y633" s="13"/>
      <c r="Z633" s="13"/>
    </row>
    <row r="634" spans="1:26" ht="13.5" customHeight="1">
      <c r="A634" s="13"/>
      <c r="B634" s="13"/>
      <c r="C634" s="13"/>
      <c r="D634" s="13"/>
      <c r="E634" s="13"/>
      <c r="F634" s="13"/>
      <c r="G634" s="13"/>
      <c r="H634" s="13"/>
      <c r="I634" s="13"/>
      <c r="J634" s="13"/>
      <c r="K634" s="13"/>
      <c r="L634" s="13"/>
      <c r="M634" s="28"/>
      <c r="N634" s="294"/>
      <c r="O634" s="13"/>
      <c r="P634" s="13"/>
      <c r="Q634" s="13"/>
      <c r="R634" s="13"/>
      <c r="S634" s="13"/>
      <c r="T634" s="13"/>
      <c r="U634" s="13"/>
      <c r="V634" s="13"/>
      <c r="W634" s="13"/>
      <c r="X634" s="13"/>
      <c r="Y634" s="13"/>
      <c r="Z634" s="13"/>
    </row>
    <row r="635" spans="1:26" ht="13.5" customHeight="1">
      <c r="A635" s="13"/>
      <c r="B635" s="13"/>
      <c r="C635" s="13"/>
      <c r="D635" s="13"/>
      <c r="E635" s="13"/>
      <c r="F635" s="13"/>
      <c r="G635" s="13"/>
      <c r="H635" s="13"/>
      <c r="I635" s="13"/>
      <c r="J635" s="13"/>
      <c r="K635" s="13"/>
      <c r="L635" s="13"/>
      <c r="M635" s="28"/>
      <c r="N635" s="294"/>
      <c r="O635" s="13"/>
      <c r="P635" s="13"/>
      <c r="Q635" s="13"/>
      <c r="R635" s="13"/>
      <c r="S635" s="13"/>
      <c r="T635" s="13"/>
      <c r="U635" s="13"/>
      <c r="V635" s="13"/>
      <c r="W635" s="13"/>
      <c r="X635" s="13"/>
      <c r="Y635" s="13"/>
      <c r="Z635" s="13"/>
    </row>
    <row r="636" spans="1:26" ht="13.5" customHeight="1">
      <c r="A636" s="13"/>
      <c r="B636" s="13"/>
      <c r="C636" s="13"/>
      <c r="D636" s="13"/>
      <c r="E636" s="13"/>
      <c r="F636" s="13"/>
      <c r="G636" s="13"/>
      <c r="H636" s="13"/>
      <c r="I636" s="13"/>
      <c r="J636" s="13"/>
      <c r="K636" s="13"/>
      <c r="L636" s="13"/>
      <c r="M636" s="28"/>
      <c r="N636" s="294"/>
      <c r="O636" s="13"/>
      <c r="P636" s="13"/>
      <c r="Q636" s="13"/>
      <c r="R636" s="13"/>
      <c r="S636" s="13"/>
      <c r="T636" s="13"/>
      <c r="U636" s="13"/>
      <c r="V636" s="13"/>
      <c r="W636" s="13"/>
      <c r="X636" s="13"/>
      <c r="Y636" s="13"/>
      <c r="Z636" s="13"/>
    </row>
    <row r="637" spans="1:26" ht="13.5" customHeight="1">
      <c r="A637" s="13"/>
      <c r="B637" s="13"/>
      <c r="C637" s="13"/>
      <c r="D637" s="13"/>
      <c r="E637" s="13"/>
      <c r="F637" s="13"/>
      <c r="G637" s="13"/>
      <c r="H637" s="13"/>
      <c r="I637" s="13"/>
      <c r="J637" s="13"/>
      <c r="K637" s="13"/>
      <c r="L637" s="13"/>
      <c r="M637" s="28"/>
      <c r="N637" s="294"/>
      <c r="O637" s="13"/>
      <c r="P637" s="13"/>
      <c r="Q637" s="13"/>
      <c r="R637" s="13"/>
      <c r="S637" s="13"/>
      <c r="T637" s="13"/>
      <c r="U637" s="13"/>
      <c r="V637" s="13"/>
      <c r="W637" s="13"/>
      <c r="X637" s="13"/>
      <c r="Y637" s="13"/>
      <c r="Z637" s="13"/>
    </row>
    <row r="638" spans="1:26" ht="13.5" customHeight="1">
      <c r="A638" s="13"/>
      <c r="B638" s="13"/>
      <c r="C638" s="13"/>
      <c r="D638" s="13"/>
      <c r="E638" s="13"/>
      <c r="F638" s="13"/>
      <c r="G638" s="13"/>
      <c r="H638" s="13"/>
      <c r="I638" s="13"/>
      <c r="J638" s="13"/>
      <c r="K638" s="13"/>
      <c r="L638" s="13"/>
      <c r="M638" s="28"/>
      <c r="N638" s="294"/>
      <c r="O638" s="13"/>
      <c r="P638" s="13"/>
      <c r="Q638" s="13"/>
      <c r="R638" s="13"/>
      <c r="S638" s="13"/>
      <c r="T638" s="13"/>
      <c r="U638" s="13"/>
      <c r="V638" s="13"/>
      <c r="W638" s="13"/>
      <c r="X638" s="13"/>
      <c r="Y638" s="13"/>
      <c r="Z638" s="13"/>
    </row>
    <row r="639" spans="1:26" ht="13.5" customHeight="1">
      <c r="A639" s="13"/>
      <c r="B639" s="13"/>
      <c r="C639" s="13"/>
      <c r="D639" s="13"/>
      <c r="E639" s="13"/>
      <c r="F639" s="13"/>
      <c r="G639" s="13"/>
      <c r="H639" s="13"/>
      <c r="I639" s="13"/>
      <c r="J639" s="13"/>
      <c r="K639" s="13"/>
      <c r="L639" s="13"/>
      <c r="M639" s="28"/>
      <c r="N639" s="294"/>
      <c r="O639" s="13"/>
      <c r="P639" s="13"/>
      <c r="Q639" s="13"/>
      <c r="R639" s="13"/>
      <c r="S639" s="13"/>
      <c r="T639" s="13"/>
      <c r="U639" s="13"/>
      <c r="V639" s="13"/>
      <c r="W639" s="13"/>
      <c r="X639" s="13"/>
      <c r="Y639" s="13"/>
      <c r="Z639" s="13"/>
    </row>
    <row r="640" spans="1:26" ht="13.5" customHeight="1">
      <c r="A640" s="13"/>
      <c r="B640" s="13"/>
      <c r="C640" s="13"/>
      <c r="D640" s="13"/>
      <c r="E640" s="13"/>
      <c r="F640" s="13"/>
      <c r="G640" s="13"/>
      <c r="H640" s="13"/>
      <c r="I640" s="13"/>
      <c r="J640" s="13"/>
      <c r="K640" s="13"/>
      <c r="L640" s="13"/>
      <c r="M640" s="28"/>
      <c r="N640" s="294"/>
      <c r="O640" s="13"/>
      <c r="P640" s="13"/>
      <c r="Q640" s="13"/>
      <c r="R640" s="13"/>
      <c r="S640" s="13"/>
      <c r="T640" s="13"/>
      <c r="U640" s="13"/>
      <c r="V640" s="13"/>
      <c r="W640" s="13"/>
      <c r="X640" s="13"/>
      <c r="Y640" s="13"/>
      <c r="Z640" s="13"/>
    </row>
    <row r="641" spans="1:26" ht="13.5" customHeight="1">
      <c r="A641" s="13"/>
      <c r="B641" s="13"/>
      <c r="C641" s="13"/>
      <c r="D641" s="13"/>
      <c r="E641" s="13"/>
      <c r="F641" s="13"/>
      <c r="G641" s="13"/>
      <c r="H641" s="13"/>
      <c r="I641" s="13"/>
      <c r="J641" s="13"/>
      <c r="K641" s="13"/>
      <c r="L641" s="13"/>
      <c r="M641" s="28"/>
      <c r="N641" s="294"/>
      <c r="O641" s="13"/>
      <c r="P641" s="13"/>
      <c r="Q641" s="13"/>
      <c r="R641" s="13"/>
      <c r="S641" s="13"/>
      <c r="T641" s="13"/>
      <c r="U641" s="13"/>
      <c r="V641" s="13"/>
      <c r="W641" s="13"/>
      <c r="X641" s="13"/>
      <c r="Y641" s="13"/>
      <c r="Z641" s="13"/>
    </row>
    <row r="642" spans="1:26" ht="13.5" customHeight="1">
      <c r="A642" s="13"/>
      <c r="B642" s="13"/>
      <c r="C642" s="13"/>
      <c r="D642" s="13"/>
      <c r="E642" s="13"/>
      <c r="F642" s="13"/>
      <c r="G642" s="13"/>
      <c r="H642" s="13"/>
      <c r="I642" s="13"/>
      <c r="J642" s="13"/>
      <c r="K642" s="13"/>
      <c r="L642" s="13"/>
      <c r="M642" s="28"/>
      <c r="N642" s="294"/>
      <c r="O642" s="13"/>
      <c r="P642" s="13"/>
      <c r="Q642" s="13"/>
      <c r="R642" s="13"/>
      <c r="S642" s="13"/>
      <c r="T642" s="13"/>
      <c r="U642" s="13"/>
      <c r="V642" s="13"/>
      <c r="W642" s="13"/>
      <c r="X642" s="13"/>
      <c r="Y642" s="13"/>
      <c r="Z642" s="13"/>
    </row>
    <row r="643" spans="1:26" ht="13.5" customHeight="1">
      <c r="A643" s="13"/>
      <c r="B643" s="13"/>
      <c r="C643" s="13"/>
      <c r="D643" s="13"/>
      <c r="E643" s="13"/>
      <c r="F643" s="13"/>
      <c r="G643" s="13"/>
      <c r="H643" s="13"/>
      <c r="I643" s="13"/>
      <c r="J643" s="13"/>
      <c r="K643" s="13"/>
      <c r="L643" s="13"/>
      <c r="M643" s="28"/>
      <c r="N643" s="294"/>
      <c r="O643" s="13"/>
      <c r="P643" s="13"/>
      <c r="Q643" s="13"/>
      <c r="R643" s="13"/>
      <c r="S643" s="13"/>
      <c r="T643" s="13"/>
      <c r="U643" s="13"/>
      <c r="V643" s="13"/>
      <c r="W643" s="13"/>
      <c r="X643" s="13"/>
      <c r="Y643" s="13"/>
      <c r="Z643" s="13"/>
    </row>
    <row r="644" spans="1:26" ht="13.5" customHeight="1">
      <c r="A644" s="13"/>
      <c r="B644" s="13"/>
      <c r="C644" s="13"/>
      <c r="D644" s="13"/>
      <c r="E644" s="13"/>
      <c r="F644" s="13"/>
      <c r="G644" s="13"/>
      <c r="H644" s="13"/>
      <c r="I644" s="13"/>
      <c r="J644" s="13"/>
      <c r="K644" s="13"/>
      <c r="L644" s="13"/>
      <c r="M644" s="28"/>
      <c r="N644" s="294"/>
      <c r="O644" s="13"/>
      <c r="P644" s="13"/>
      <c r="Q644" s="13"/>
      <c r="R644" s="13"/>
      <c r="S644" s="13"/>
      <c r="T644" s="13"/>
      <c r="U644" s="13"/>
      <c r="V644" s="13"/>
      <c r="W644" s="13"/>
      <c r="X644" s="13"/>
      <c r="Y644" s="13"/>
      <c r="Z644" s="13"/>
    </row>
    <row r="645" spans="1:26" ht="13.5" customHeight="1">
      <c r="A645" s="13"/>
      <c r="B645" s="13"/>
      <c r="C645" s="13"/>
      <c r="D645" s="13"/>
      <c r="E645" s="13"/>
      <c r="F645" s="13"/>
      <c r="G645" s="13"/>
      <c r="H645" s="13"/>
      <c r="I645" s="13"/>
      <c r="J645" s="13"/>
      <c r="K645" s="13"/>
      <c r="L645" s="13"/>
      <c r="M645" s="28"/>
      <c r="N645" s="294"/>
      <c r="O645" s="13"/>
      <c r="P645" s="13"/>
      <c r="Q645" s="13"/>
      <c r="R645" s="13"/>
      <c r="S645" s="13"/>
      <c r="T645" s="13"/>
      <c r="U645" s="13"/>
      <c r="V645" s="13"/>
      <c r="W645" s="13"/>
      <c r="X645" s="13"/>
      <c r="Y645" s="13"/>
      <c r="Z645" s="13"/>
    </row>
    <row r="646" spans="1:26" ht="13.5" customHeight="1">
      <c r="A646" s="13"/>
      <c r="B646" s="13"/>
      <c r="C646" s="13"/>
      <c r="D646" s="13"/>
      <c r="E646" s="13"/>
      <c r="F646" s="13"/>
      <c r="G646" s="13"/>
      <c r="H646" s="13"/>
      <c r="I646" s="13"/>
      <c r="J646" s="13"/>
      <c r="K646" s="13"/>
      <c r="L646" s="13"/>
      <c r="M646" s="28"/>
      <c r="N646" s="294"/>
      <c r="O646" s="13"/>
      <c r="P646" s="13"/>
      <c r="Q646" s="13"/>
      <c r="R646" s="13"/>
      <c r="S646" s="13"/>
      <c r="T646" s="13"/>
      <c r="U646" s="13"/>
      <c r="V646" s="13"/>
      <c r="W646" s="13"/>
      <c r="X646" s="13"/>
      <c r="Y646" s="13"/>
      <c r="Z646" s="13"/>
    </row>
    <row r="647" spans="1:26" ht="13.5" customHeight="1">
      <c r="A647" s="13"/>
      <c r="B647" s="13"/>
      <c r="C647" s="13"/>
      <c r="D647" s="13"/>
      <c r="E647" s="13"/>
      <c r="F647" s="13"/>
      <c r="G647" s="13"/>
      <c r="H647" s="13"/>
      <c r="I647" s="13"/>
      <c r="J647" s="13"/>
      <c r="K647" s="13"/>
      <c r="L647" s="13"/>
      <c r="M647" s="28"/>
      <c r="N647" s="294"/>
      <c r="O647" s="13"/>
      <c r="P647" s="13"/>
      <c r="Q647" s="13"/>
      <c r="R647" s="13"/>
      <c r="S647" s="13"/>
      <c r="T647" s="13"/>
      <c r="U647" s="13"/>
      <c r="V647" s="13"/>
      <c r="W647" s="13"/>
      <c r="X647" s="13"/>
      <c r="Y647" s="13"/>
      <c r="Z647" s="13"/>
    </row>
    <row r="648" spans="1:26" ht="13.5" customHeight="1">
      <c r="A648" s="13"/>
      <c r="B648" s="13"/>
      <c r="C648" s="13"/>
      <c r="D648" s="13"/>
      <c r="E648" s="13"/>
      <c r="F648" s="13"/>
      <c r="G648" s="13"/>
      <c r="H648" s="13"/>
      <c r="I648" s="13"/>
      <c r="J648" s="13"/>
      <c r="K648" s="13"/>
      <c r="L648" s="13"/>
      <c r="M648" s="28"/>
      <c r="N648" s="294"/>
      <c r="O648" s="13"/>
      <c r="P648" s="13"/>
      <c r="Q648" s="13"/>
      <c r="R648" s="13"/>
      <c r="S648" s="13"/>
      <c r="T648" s="13"/>
      <c r="U648" s="13"/>
      <c r="V648" s="13"/>
      <c r="W648" s="13"/>
      <c r="X648" s="13"/>
      <c r="Y648" s="13"/>
      <c r="Z648" s="13"/>
    </row>
    <row r="649" spans="1:26" ht="13.5" customHeight="1">
      <c r="A649" s="13"/>
      <c r="B649" s="13"/>
      <c r="C649" s="13"/>
      <c r="D649" s="13"/>
      <c r="E649" s="13"/>
      <c r="F649" s="13"/>
      <c r="G649" s="13"/>
      <c r="H649" s="13"/>
      <c r="I649" s="13"/>
      <c r="J649" s="13"/>
      <c r="K649" s="13"/>
      <c r="L649" s="13"/>
      <c r="M649" s="28"/>
      <c r="N649" s="294"/>
      <c r="O649" s="13"/>
      <c r="P649" s="13"/>
      <c r="Q649" s="13"/>
      <c r="R649" s="13"/>
      <c r="S649" s="13"/>
      <c r="T649" s="13"/>
      <c r="U649" s="13"/>
      <c r="V649" s="13"/>
      <c r="W649" s="13"/>
      <c r="X649" s="13"/>
      <c r="Y649" s="13"/>
      <c r="Z649" s="13"/>
    </row>
    <row r="650" spans="1:26" ht="13.5" customHeight="1">
      <c r="A650" s="13"/>
      <c r="B650" s="13"/>
      <c r="C650" s="13"/>
      <c r="D650" s="13"/>
      <c r="E650" s="13"/>
      <c r="F650" s="13"/>
      <c r="G650" s="13"/>
      <c r="H650" s="13"/>
      <c r="I650" s="13"/>
      <c r="J650" s="13"/>
      <c r="K650" s="13"/>
      <c r="L650" s="13"/>
      <c r="M650" s="28"/>
      <c r="N650" s="294"/>
      <c r="O650" s="13"/>
      <c r="P650" s="13"/>
      <c r="Q650" s="13"/>
      <c r="R650" s="13"/>
      <c r="S650" s="13"/>
      <c r="T650" s="13"/>
      <c r="U650" s="13"/>
      <c r="V650" s="13"/>
      <c r="W650" s="13"/>
      <c r="X650" s="13"/>
      <c r="Y650" s="13"/>
      <c r="Z650" s="13"/>
    </row>
    <row r="651" spans="1:26" ht="13.5" customHeight="1">
      <c r="A651" s="13"/>
      <c r="B651" s="13"/>
      <c r="C651" s="13"/>
      <c r="D651" s="13"/>
      <c r="E651" s="13"/>
      <c r="F651" s="13"/>
      <c r="G651" s="13"/>
      <c r="H651" s="13"/>
      <c r="I651" s="13"/>
      <c r="J651" s="13"/>
      <c r="K651" s="13"/>
      <c r="L651" s="13"/>
      <c r="M651" s="28"/>
      <c r="N651" s="294"/>
      <c r="O651" s="13"/>
      <c r="P651" s="13"/>
      <c r="Q651" s="13"/>
      <c r="R651" s="13"/>
      <c r="S651" s="13"/>
      <c r="T651" s="13"/>
      <c r="U651" s="13"/>
      <c r="V651" s="13"/>
      <c r="W651" s="13"/>
      <c r="X651" s="13"/>
      <c r="Y651" s="13"/>
      <c r="Z651" s="13"/>
    </row>
    <row r="652" spans="1:26" ht="13.5" customHeight="1">
      <c r="A652" s="13"/>
      <c r="B652" s="13"/>
      <c r="C652" s="13"/>
      <c r="D652" s="13"/>
      <c r="E652" s="13"/>
      <c r="F652" s="13"/>
      <c r="G652" s="13"/>
      <c r="H652" s="13"/>
      <c r="I652" s="13"/>
      <c r="J652" s="13"/>
      <c r="K652" s="13"/>
      <c r="L652" s="13"/>
      <c r="M652" s="28"/>
      <c r="N652" s="294"/>
      <c r="O652" s="13"/>
      <c r="P652" s="13"/>
      <c r="Q652" s="13"/>
      <c r="R652" s="13"/>
      <c r="S652" s="13"/>
      <c r="T652" s="13"/>
      <c r="U652" s="13"/>
      <c r="V652" s="13"/>
      <c r="W652" s="13"/>
      <c r="X652" s="13"/>
      <c r="Y652" s="13"/>
      <c r="Z652" s="13"/>
    </row>
    <row r="653" spans="1:26" ht="13.5" customHeight="1">
      <c r="A653" s="13"/>
      <c r="B653" s="13"/>
      <c r="C653" s="13"/>
      <c r="D653" s="13"/>
      <c r="E653" s="13"/>
      <c r="F653" s="13"/>
      <c r="G653" s="13"/>
      <c r="H653" s="13"/>
      <c r="I653" s="13"/>
      <c r="J653" s="13"/>
      <c r="K653" s="13"/>
      <c r="L653" s="13"/>
      <c r="M653" s="28"/>
      <c r="N653" s="294"/>
      <c r="O653" s="13"/>
      <c r="P653" s="13"/>
      <c r="Q653" s="13"/>
      <c r="R653" s="13"/>
      <c r="S653" s="13"/>
      <c r="T653" s="13"/>
      <c r="U653" s="13"/>
      <c r="V653" s="13"/>
      <c r="W653" s="13"/>
      <c r="X653" s="13"/>
      <c r="Y653" s="13"/>
      <c r="Z653" s="13"/>
    </row>
    <row r="654" spans="1:26" ht="13.5" customHeight="1">
      <c r="A654" s="13"/>
      <c r="B654" s="13"/>
      <c r="C654" s="13"/>
      <c r="D654" s="13"/>
      <c r="E654" s="13"/>
      <c r="F654" s="13"/>
      <c r="G654" s="13"/>
      <c r="H654" s="13"/>
      <c r="I654" s="13"/>
      <c r="J654" s="13"/>
      <c r="K654" s="13"/>
      <c r="L654" s="13"/>
      <c r="M654" s="28"/>
      <c r="N654" s="294"/>
      <c r="O654" s="13"/>
      <c r="P654" s="13"/>
      <c r="Q654" s="13"/>
      <c r="R654" s="13"/>
      <c r="S654" s="13"/>
      <c r="T654" s="13"/>
      <c r="U654" s="13"/>
      <c r="V654" s="13"/>
      <c r="W654" s="13"/>
      <c r="X654" s="13"/>
      <c r="Y654" s="13"/>
      <c r="Z654" s="13"/>
    </row>
    <row r="655" spans="1:26" ht="13.5" customHeight="1">
      <c r="A655" s="13"/>
      <c r="B655" s="13"/>
      <c r="C655" s="13"/>
      <c r="D655" s="13"/>
      <c r="E655" s="13"/>
      <c r="F655" s="13"/>
      <c r="G655" s="13"/>
      <c r="H655" s="13"/>
      <c r="I655" s="13"/>
      <c r="J655" s="13"/>
      <c r="K655" s="13"/>
      <c r="L655" s="13"/>
      <c r="M655" s="28"/>
      <c r="N655" s="294"/>
      <c r="O655" s="13"/>
      <c r="P655" s="13"/>
      <c r="Q655" s="13"/>
      <c r="R655" s="13"/>
      <c r="S655" s="13"/>
      <c r="T655" s="13"/>
      <c r="U655" s="13"/>
      <c r="V655" s="13"/>
      <c r="W655" s="13"/>
      <c r="X655" s="13"/>
      <c r="Y655" s="13"/>
      <c r="Z655" s="13"/>
    </row>
    <row r="656" spans="1:26" ht="13.5" customHeight="1">
      <c r="A656" s="13"/>
      <c r="B656" s="13"/>
      <c r="C656" s="13"/>
      <c r="D656" s="13"/>
      <c r="E656" s="13"/>
      <c r="F656" s="13"/>
      <c r="G656" s="13"/>
      <c r="H656" s="13"/>
      <c r="I656" s="13"/>
      <c r="J656" s="13"/>
      <c r="K656" s="13"/>
      <c r="L656" s="13"/>
      <c r="M656" s="28"/>
      <c r="N656" s="294"/>
      <c r="O656" s="13"/>
      <c r="P656" s="13"/>
      <c r="Q656" s="13"/>
      <c r="R656" s="13"/>
      <c r="S656" s="13"/>
      <c r="T656" s="13"/>
      <c r="U656" s="13"/>
      <c r="V656" s="13"/>
      <c r="W656" s="13"/>
      <c r="X656" s="13"/>
      <c r="Y656" s="13"/>
      <c r="Z656" s="13"/>
    </row>
    <row r="657" spans="1:26" ht="13.5" customHeight="1">
      <c r="A657" s="13"/>
      <c r="B657" s="13"/>
      <c r="C657" s="13"/>
      <c r="D657" s="13"/>
      <c r="E657" s="13"/>
      <c r="F657" s="13"/>
      <c r="G657" s="13"/>
      <c r="H657" s="13"/>
      <c r="I657" s="13"/>
      <c r="J657" s="13"/>
      <c r="K657" s="13"/>
      <c r="L657" s="13"/>
      <c r="M657" s="28"/>
      <c r="N657" s="294"/>
      <c r="O657" s="13"/>
      <c r="P657" s="13"/>
      <c r="Q657" s="13"/>
      <c r="R657" s="13"/>
      <c r="S657" s="13"/>
      <c r="T657" s="13"/>
      <c r="U657" s="13"/>
      <c r="V657" s="13"/>
      <c r="W657" s="13"/>
      <c r="X657" s="13"/>
      <c r="Y657" s="13"/>
      <c r="Z657" s="13"/>
    </row>
    <row r="658" spans="1:26" ht="13.5" customHeight="1">
      <c r="A658" s="13"/>
      <c r="B658" s="13"/>
      <c r="C658" s="13"/>
      <c r="D658" s="13"/>
      <c r="E658" s="13"/>
      <c r="F658" s="13"/>
      <c r="G658" s="13"/>
      <c r="H658" s="13"/>
      <c r="I658" s="13"/>
      <c r="J658" s="13"/>
      <c r="K658" s="13"/>
      <c r="L658" s="13"/>
      <c r="M658" s="28"/>
      <c r="N658" s="294"/>
      <c r="O658" s="13"/>
      <c r="P658" s="13"/>
      <c r="Q658" s="13"/>
      <c r="R658" s="13"/>
      <c r="S658" s="13"/>
      <c r="T658" s="13"/>
      <c r="U658" s="13"/>
      <c r="V658" s="13"/>
      <c r="W658" s="13"/>
      <c r="X658" s="13"/>
      <c r="Y658" s="13"/>
      <c r="Z658" s="13"/>
    </row>
    <row r="659" spans="1:26" ht="13.5" customHeight="1">
      <c r="A659" s="13"/>
      <c r="B659" s="13"/>
      <c r="C659" s="13"/>
      <c r="D659" s="13"/>
      <c r="E659" s="13"/>
      <c r="F659" s="13"/>
      <c r="G659" s="13"/>
      <c r="H659" s="13"/>
      <c r="I659" s="13"/>
      <c r="J659" s="13"/>
      <c r="K659" s="13"/>
      <c r="L659" s="13"/>
      <c r="M659" s="28"/>
      <c r="N659" s="294"/>
      <c r="O659" s="13"/>
      <c r="P659" s="13"/>
      <c r="Q659" s="13"/>
      <c r="R659" s="13"/>
      <c r="S659" s="13"/>
      <c r="T659" s="13"/>
      <c r="U659" s="13"/>
      <c r="V659" s="13"/>
      <c r="W659" s="13"/>
      <c r="X659" s="13"/>
      <c r="Y659" s="13"/>
      <c r="Z659" s="13"/>
    </row>
    <row r="660" spans="1:26" ht="13.5" customHeight="1">
      <c r="A660" s="13"/>
      <c r="B660" s="13"/>
      <c r="C660" s="13"/>
      <c r="D660" s="13"/>
      <c r="E660" s="13"/>
      <c r="F660" s="13"/>
      <c r="G660" s="13"/>
      <c r="H660" s="13"/>
      <c r="I660" s="13"/>
      <c r="J660" s="13"/>
      <c r="K660" s="13"/>
      <c r="L660" s="13"/>
      <c r="M660" s="28"/>
      <c r="N660" s="294"/>
      <c r="O660" s="13"/>
      <c r="P660" s="13"/>
      <c r="Q660" s="13"/>
      <c r="R660" s="13"/>
      <c r="S660" s="13"/>
      <c r="T660" s="13"/>
      <c r="U660" s="13"/>
      <c r="V660" s="13"/>
      <c r="W660" s="13"/>
      <c r="X660" s="13"/>
      <c r="Y660" s="13"/>
      <c r="Z660" s="13"/>
    </row>
    <row r="661" spans="1:26" ht="13.5" customHeight="1">
      <c r="A661" s="13"/>
      <c r="B661" s="13"/>
      <c r="C661" s="13"/>
      <c r="D661" s="13"/>
      <c r="E661" s="13"/>
      <c r="F661" s="13"/>
      <c r="G661" s="13"/>
      <c r="H661" s="13"/>
      <c r="I661" s="13"/>
      <c r="J661" s="13"/>
      <c r="K661" s="13"/>
      <c r="L661" s="13"/>
      <c r="M661" s="28"/>
      <c r="N661" s="294"/>
      <c r="O661" s="13"/>
      <c r="P661" s="13"/>
      <c r="Q661" s="13"/>
      <c r="R661" s="13"/>
      <c r="S661" s="13"/>
      <c r="T661" s="13"/>
      <c r="U661" s="13"/>
      <c r="V661" s="13"/>
      <c r="W661" s="13"/>
      <c r="X661" s="13"/>
      <c r="Y661" s="13"/>
      <c r="Z661" s="13"/>
    </row>
    <row r="662" spans="1:26" ht="13.5" customHeight="1">
      <c r="A662" s="13"/>
      <c r="B662" s="13"/>
      <c r="C662" s="13"/>
      <c r="D662" s="13"/>
      <c r="E662" s="13"/>
      <c r="F662" s="13"/>
      <c r="G662" s="13"/>
      <c r="H662" s="13"/>
      <c r="I662" s="13"/>
      <c r="J662" s="13"/>
      <c r="K662" s="13"/>
      <c r="L662" s="13"/>
      <c r="M662" s="28"/>
      <c r="N662" s="294"/>
      <c r="O662" s="13"/>
      <c r="P662" s="13"/>
      <c r="Q662" s="13"/>
      <c r="R662" s="13"/>
      <c r="S662" s="13"/>
      <c r="T662" s="13"/>
      <c r="U662" s="13"/>
      <c r="V662" s="13"/>
      <c r="W662" s="13"/>
      <c r="X662" s="13"/>
      <c r="Y662" s="13"/>
      <c r="Z662" s="13"/>
    </row>
    <row r="663" spans="1:26" ht="13.5" customHeight="1">
      <c r="A663" s="13"/>
      <c r="B663" s="13"/>
      <c r="C663" s="13"/>
      <c r="D663" s="13"/>
      <c r="E663" s="13"/>
      <c r="F663" s="13"/>
      <c r="G663" s="13"/>
      <c r="H663" s="13"/>
      <c r="I663" s="13"/>
      <c r="J663" s="13"/>
      <c r="K663" s="13"/>
      <c r="L663" s="13"/>
      <c r="M663" s="28"/>
      <c r="N663" s="294"/>
      <c r="O663" s="13"/>
      <c r="P663" s="13"/>
      <c r="Q663" s="13"/>
      <c r="R663" s="13"/>
      <c r="S663" s="13"/>
      <c r="T663" s="13"/>
      <c r="U663" s="13"/>
      <c r="V663" s="13"/>
      <c r="W663" s="13"/>
      <c r="X663" s="13"/>
      <c r="Y663" s="13"/>
      <c r="Z663" s="13"/>
    </row>
    <row r="664" spans="1:26" ht="13.5" customHeight="1">
      <c r="A664" s="13"/>
      <c r="B664" s="13"/>
      <c r="C664" s="13"/>
      <c r="D664" s="13"/>
      <c r="E664" s="13"/>
      <c r="F664" s="13"/>
      <c r="G664" s="13"/>
      <c r="H664" s="13"/>
      <c r="I664" s="13"/>
      <c r="J664" s="13"/>
      <c r="K664" s="13"/>
      <c r="L664" s="13"/>
      <c r="M664" s="28"/>
      <c r="N664" s="294"/>
      <c r="O664" s="13"/>
      <c r="P664" s="13"/>
      <c r="Q664" s="13"/>
      <c r="R664" s="13"/>
      <c r="S664" s="13"/>
      <c r="T664" s="13"/>
      <c r="U664" s="13"/>
      <c r="V664" s="13"/>
      <c r="W664" s="13"/>
      <c r="X664" s="13"/>
      <c r="Y664" s="13"/>
      <c r="Z664" s="13"/>
    </row>
    <row r="665" spans="1:26" ht="13.5" customHeight="1">
      <c r="A665" s="13"/>
      <c r="B665" s="13"/>
      <c r="C665" s="13"/>
      <c r="D665" s="13"/>
      <c r="E665" s="13"/>
      <c r="F665" s="13"/>
      <c r="G665" s="13"/>
      <c r="H665" s="13"/>
      <c r="I665" s="13"/>
      <c r="J665" s="13"/>
      <c r="K665" s="13"/>
      <c r="L665" s="13"/>
      <c r="M665" s="28"/>
      <c r="N665" s="294"/>
      <c r="O665" s="13"/>
      <c r="P665" s="13"/>
      <c r="Q665" s="13"/>
      <c r="R665" s="13"/>
      <c r="S665" s="13"/>
      <c r="T665" s="13"/>
      <c r="U665" s="13"/>
      <c r="V665" s="13"/>
      <c r="W665" s="13"/>
      <c r="X665" s="13"/>
      <c r="Y665" s="13"/>
      <c r="Z665" s="13"/>
    </row>
    <row r="666" spans="1:26" ht="13.5" customHeight="1">
      <c r="A666" s="13"/>
      <c r="B666" s="13"/>
      <c r="C666" s="13"/>
      <c r="D666" s="13"/>
      <c r="E666" s="13"/>
      <c r="F666" s="13"/>
      <c r="G666" s="13"/>
      <c r="H666" s="13"/>
      <c r="I666" s="13"/>
      <c r="J666" s="13"/>
      <c r="K666" s="13"/>
      <c r="L666" s="13"/>
      <c r="M666" s="28"/>
      <c r="N666" s="294"/>
      <c r="O666" s="13"/>
      <c r="P666" s="13"/>
      <c r="Q666" s="13"/>
      <c r="R666" s="13"/>
      <c r="S666" s="13"/>
      <c r="T666" s="13"/>
      <c r="U666" s="13"/>
      <c r="V666" s="13"/>
      <c r="W666" s="13"/>
      <c r="X666" s="13"/>
      <c r="Y666" s="13"/>
      <c r="Z666" s="13"/>
    </row>
    <row r="667" spans="1:26" ht="13.5" customHeight="1">
      <c r="A667" s="13"/>
      <c r="B667" s="13"/>
      <c r="C667" s="13"/>
      <c r="D667" s="13"/>
      <c r="E667" s="13"/>
      <c r="F667" s="13"/>
      <c r="G667" s="13"/>
      <c r="H667" s="13"/>
      <c r="I667" s="13"/>
      <c r="J667" s="13"/>
      <c r="K667" s="13"/>
      <c r="L667" s="13"/>
      <c r="M667" s="28"/>
      <c r="N667" s="294"/>
      <c r="O667" s="13"/>
      <c r="P667" s="13"/>
      <c r="Q667" s="13"/>
      <c r="R667" s="13"/>
      <c r="S667" s="13"/>
      <c r="T667" s="13"/>
      <c r="U667" s="13"/>
      <c r="V667" s="13"/>
      <c r="W667" s="13"/>
      <c r="X667" s="13"/>
      <c r="Y667" s="13"/>
      <c r="Z667" s="13"/>
    </row>
    <row r="668" spans="1:26" ht="13.5" customHeight="1">
      <c r="A668" s="13"/>
      <c r="B668" s="13"/>
      <c r="C668" s="13"/>
      <c r="D668" s="13"/>
      <c r="E668" s="13"/>
      <c r="F668" s="13"/>
      <c r="G668" s="13"/>
      <c r="H668" s="13"/>
      <c r="I668" s="13"/>
      <c r="J668" s="13"/>
      <c r="K668" s="13"/>
      <c r="L668" s="13"/>
      <c r="M668" s="28"/>
      <c r="N668" s="294"/>
      <c r="O668" s="13"/>
      <c r="P668" s="13"/>
      <c r="Q668" s="13"/>
      <c r="R668" s="13"/>
      <c r="S668" s="13"/>
      <c r="T668" s="13"/>
      <c r="U668" s="13"/>
      <c r="V668" s="13"/>
      <c r="W668" s="13"/>
      <c r="X668" s="13"/>
      <c r="Y668" s="13"/>
      <c r="Z668" s="13"/>
    </row>
    <row r="669" spans="1:26" ht="13.5" customHeight="1">
      <c r="A669" s="13"/>
      <c r="B669" s="13"/>
      <c r="C669" s="13"/>
      <c r="D669" s="13"/>
      <c r="E669" s="13"/>
      <c r="F669" s="13"/>
      <c r="G669" s="13"/>
      <c r="H669" s="13"/>
      <c r="I669" s="13"/>
      <c r="J669" s="13"/>
      <c r="K669" s="13"/>
      <c r="L669" s="13"/>
      <c r="M669" s="28"/>
      <c r="N669" s="294"/>
      <c r="O669" s="13"/>
      <c r="P669" s="13"/>
      <c r="Q669" s="13"/>
      <c r="R669" s="13"/>
      <c r="S669" s="13"/>
      <c r="T669" s="13"/>
      <c r="U669" s="13"/>
      <c r="V669" s="13"/>
      <c r="W669" s="13"/>
      <c r="X669" s="13"/>
      <c r="Y669" s="13"/>
      <c r="Z669" s="13"/>
    </row>
    <row r="670" spans="1:26" ht="13.5" customHeight="1">
      <c r="A670" s="13"/>
      <c r="B670" s="13"/>
      <c r="C670" s="13"/>
      <c r="D670" s="13"/>
      <c r="E670" s="13"/>
      <c r="F670" s="13"/>
      <c r="G670" s="13"/>
      <c r="H670" s="13"/>
      <c r="I670" s="13"/>
      <c r="J670" s="13"/>
      <c r="K670" s="13"/>
      <c r="L670" s="13"/>
      <c r="M670" s="28"/>
      <c r="N670" s="294"/>
      <c r="O670" s="13"/>
      <c r="P670" s="13"/>
      <c r="Q670" s="13"/>
      <c r="R670" s="13"/>
      <c r="S670" s="13"/>
      <c r="T670" s="13"/>
      <c r="U670" s="13"/>
      <c r="V670" s="13"/>
      <c r="W670" s="13"/>
      <c r="X670" s="13"/>
      <c r="Y670" s="13"/>
      <c r="Z670" s="13"/>
    </row>
    <row r="671" spans="1:26" ht="13.5" customHeight="1">
      <c r="A671" s="13"/>
      <c r="B671" s="13"/>
      <c r="C671" s="13"/>
      <c r="D671" s="13"/>
      <c r="E671" s="13"/>
      <c r="F671" s="13"/>
      <c r="G671" s="13"/>
      <c r="H671" s="13"/>
      <c r="I671" s="13"/>
      <c r="J671" s="13"/>
      <c r="K671" s="13"/>
      <c r="L671" s="13"/>
      <c r="M671" s="28"/>
      <c r="N671" s="294"/>
      <c r="O671" s="13"/>
      <c r="P671" s="13"/>
      <c r="Q671" s="13"/>
      <c r="R671" s="13"/>
      <c r="S671" s="13"/>
      <c r="T671" s="13"/>
      <c r="U671" s="13"/>
      <c r="V671" s="13"/>
      <c r="W671" s="13"/>
      <c r="X671" s="13"/>
      <c r="Y671" s="13"/>
      <c r="Z671" s="13"/>
    </row>
    <row r="672" spans="1:26" ht="13.5" customHeight="1">
      <c r="A672" s="13"/>
      <c r="B672" s="13"/>
      <c r="C672" s="13"/>
      <c r="D672" s="13"/>
      <c r="E672" s="13"/>
      <c r="F672" s="13"/>
      <c r="G672" s="13"/>
      <c r="H672" s="13"/>
      <c r="I672" s="13"/>
      <c r="J672" s="13"/>
      <c r="K672" s="13"/>
      <c r="L672" s="13"/>
      <c r="M672" s="28"/>
      <c r="N672" s="294"/>
      <c r="O672" s="13"/>
      <c r="P672" s="13"/>
      <c r="Q672" s="13"/>
      <c r="R672" s="13"/>
      <c r="S672" s="13"/>
      <c r="T672" s="13"/>
      <c r="U672" s="13"/>
      <c r="V672" s="13"/>
      <c r="W672" s="13"/>
      <c r="X672" s="13"/>
      <c r="Y672" s="13"/>
      <c r="Z672" s="13"/>
    </row>
    <row r="673" spans="1:26" ht="13.5" customHeight="1">
      <c r="A673" s="13"/>
      <c r="B673" s="13"/>
      <c r="C673" s="13"/>
      <c r="D673" s="13"/>
      <c r="E673" s="13"/>
      <c r="F673" s="13"/>
      <c r="G673" s="13"/>
      <c r="H673" s="13"/>
      <c r="I673" s="13"/>
      <c r="J673" s="13"/>
      <c r="K673" s="13"/>
      <c r="L673" s="13"/>
      <c r="M673" s="28"/>
      <c r="N673" s="294"/>
      <c r="O673" s="13"/>
      <c r="P673" s="13"/>
      <c r="Q673" s="13"/>
      <c r="R673" s="13"/>
      <c r="S673" s="13"/>
      <c r="T673" s="13"/>
      <c r="U673" s="13"/>
      <c r="V673" s="13"/>
      <c r="W673" s="13"/>
      <c r="X673" s="13"/>
      <c r="Y673" s="13"/>
      <c r="Z673" s="13"/>
    </row>
    <row r="674" spans="1:26" ht="13.5" customHeight="1">
      <c r="A674" s="13"/>
      <c r="B674" s="13"/>
      <c r="C674" s="13"/>
      <c r="D674" s="13"/>
      <c r="E674" s="13"/>
      <c r="F674" s="13"/>
      <c r="G674" s="13"/>
      <c r="H674" s="13"/>
      <c r="I674" s="13"/>
      <c r="J674" s="13"/>
      <c r="K674" s="13"/>
      <c r="L674" s="13"/>
      <c r="M674" s="28"/>
      <c r="N674" s="294"/>
      <c r="O674" s="13"/>
      <c r="P674" s="13"/>
      <c r="Q674" s="13"/>
      <c r="R674" s="13"/>
      <c r="S674" s="13"/>
      <c r="T674" s="13"/>
      <c r="U674" s="13"/>
      <c r="V674" s="13"/>
      <c r="W674" s="13"/>
      <c r="X674" s="13"/>
      <c r="Y674" s="13"/>
      <c r="Z674" s="13"/>
    </row>
    <row r="675" spans="1:26" ht="13.5" customHeight="1">
      <c r="A675" s="13"/>
      <c r="B675" s="13"/>
      <c r="C675" s="13"/>
      <c r="D675" s="13"/>
      <c r="E675" s="13"/>
      <c r="F675" s="13"/>
      <c r="G675" s="13"/>
      <c r="H675" s="13"/>
      <c r="I675" s="13"/>
      <c r="J675" s="13"/>
      <c r="K675" s="13"/>
      <c r="L675" s="13"/>
      <c r="M675" s="28"/>
      <c r="N675" s="294"/>
      <c r="O675" s="13"/>
      <c r="P675" s="13"/>
      <c r="Q675" s="13"/>
      <c r="R675" s="13"/>
      <c r="S675" s="13"/>
      <c r="T675" s="13"/>
      <c r="U675" s="13"/>
      <c r="V675" s="13"/>
      <c r="W675" s="13"/>
      <c r="X675" s="13"/>
      <c r="Y675" s="13"/>
      <c r="Z675" s="13"/>
    </row>
    <row r="676" spans="1:26" ht="13.5" customHeight="1">
      <c r="A676" s="13"/>
      <c r="B676" s="13"/>
      <c r="C676" s="13"/>
      <c r="D676" s="13"/>
      <c r="E676" s="13"/>
      <c r="F676" s="13"/>
      <c r="G676" s="13"/>
      <c r="H676" s="13"/>
      <c r="I676" s="13"/>
      <c r="J676" s="13"/>
      <c r="K676" s="13"/>
      <c r="L676" s="13"/>
      <c r="M676" s="28"/>
      <c r="N676" s="294"/>
      <c r="O676" s="13"/>
      <c r="P676" s="13"/>
      <c r="Q676" s="13"/>
      <c r="R676" s="13"/>
      <c r="S676" s="13"/>
      <c r="T676" s="13"/>
      <c r="U676" s="13"/>
      <c r="V676" s="13"/>
      <c r="W676" s="13"/>
      <c r="X676" s="13"/>
      <c r="Y676" s="13"/>
      <c r="Z676" s="13"/>
    </row>
    <row r="677" spans="1:26" ht="13.5" customHeight="1">
      <c r="A677" s="13"/>
      <c r="B677" s="13"/>
      <c r="C677" s="13"/>
      <c r="D677" s="13"/>
      <c r="E677" s="13"/>
      <c r="F677" s="13"/>
      <c r="G677" s="13"/>
      <c r="H677" s="13"/>
      <c r="I677" s="13"/>
      <c r="J677" s="13"/>
      <c r="K677" s="13"/>
      <c r="L677" s="13"/>
      <c r="M677" s="28"/>
      <c r="N677" s="294"/>
      <c r="O677" s="13"/>
      <c r="P677" s="13"/>
      <c r="Q677" s="13"/>
      <c r="R677" s="13"/>
      <c r="S677" s="13"/>
      <c r="T677" s="13"/>
      <c r="U677" s="13"/>
      <c r="V677" s="13"/>
      <c r="W677" s="13"/>
      <c r="X677" s="13"/>
      <c r="Y677" s="13"/>
      <c r="Z677" s="13"/>
    </row>
    <row r="678" spans="1:26" ht="13.5" customHeight="1">
      <c r="A678" s="13"/>
      <c r="B678" s="13"/>
      <c r="C678" s="13"/>
      <c r="D678" s="13"/>
      <c r="E678" s="13"/>
      <c r="F678" s="13"/>
      <c r="G678" s="13"/>
      <c r="H678" s="13"/>
      <c r="I678" s="13"/>
      <c r="J678" s="13"/>
      <c r="K678" s="13"/>
      <c r="L678" s="13"/>
      <c r="M678" s="28"/>
      <c r="N678" s="294"/>
      <c r="O678" s="13"/>
      <c r="P678" s="13"/>
      <c r="Q678" s="13"/>
      <c r="R678" s="13"/>
      <c r="S678" s="13"/>
      <c r="T678" s="13"/>
      <c r="U678" s="13"/>
      <c r="V678" s="13"/>
      <c r="W678" s="13"/>
      <c r="X678" s="13"/>
      <c r="Y678" s="13"/>
      <c r="Z678" s="13"/>
    </row>
    <row r="679" spans="1:26" ht="13.5" customHeight="1">
      <c r="A679" s="13"/>
      <c r="B679" s="13"/>
      <c r="C679" s="13"/>
      <c r="D679" s="13"/>
      <c r="E679" s="13"/>
      <c r="F679" s="13"/>
      <c r="G679" s="13"/>
      <c r="H679" s="13"/>
      <c r="I679" s="13"/>
      <c r="J679" s="13"/>
      <c r="K679" s="13"/>
      <c r="L679" s="13"/>
      <c r="M679" s="28"/>
      <c r="N679" s="294"/>
      <c r="O679" s="13"/>
      <c r="P679" s="13"/>
      <c r="Q679" s="13"/>
      <c r="R679" s="13"/>
      <c r="S679" s="13"/>
      <c r="T679" s="13"/>
      <c r="U679" s="13"/>
      <c r="V679" s="13"/>
      <c r="W679" s="13"/>
      <c r="X679" s="13"/>
      <c r="Y679" s="13"/>
      <c r="Z679" s="13"/>
    </row>
    <row r="680" spans="1:26" ht="13.5" customHeight="1">
      <c r="A680" s="13"/>
      <c r="B680" s="13"/>
      <c r="C680" s="13"/>
      <c r="D680" s="13"/>
      <c r="E680" s="13"/>
      <c r="F680" s="13"/>
      <c r="G680" s="13"/>
      <c r="H680" s="13"/>
      <c r="I680" s="13"/>
      <c r="J680" s="13"/>
      <c r="K680" s="13"/>
      <c r="L680" s="13"/>
      <c r="M680" s="28"/>
      <c r="N680" s="294"/>
      <c r="O680" s="13"/>
      <c r="P680" s="13"/>
      <c r="Q680" s="13"/>
      <c r="R680" s="13"/>
      <c r="S680" s="13"/>
      <c r="T680" s="13"/>
      <c r="U680" s="13"/>
      <c r="V680" s="13"/>
      <c r="W680" s="13"/>
      <c r="X680" s="13"/>
      <c r="Y680" s="13"/>
      <c r="Z680" s="13"/>
    </row>
    <row r="681" spans="1:26" ht="13.5" customHeight="1">
      <c r="A681" s="13"/>
      <c r="B681" s="13"/>
      <c r="C681" s="13"/>
      <c r="D681" s="13"/>
      <c r="E681" s="13"/>
      <c r="F681" s="13"/>
      <c r="G681" s="13"/>
      <c r="H681" s="13"/>
      <c r="I681" s="13"/>
      <c r="J681" s="13"/>
      <c r="K681" s="13"/>
      <c r="L681" s="13"/>
      <c r="M681" s="28"/>
      <c r="N681" s="294"/>
      <c r="O681" s="13"/>
      <c r="P681" s="13"/>
      <c r="Q681" s="13"/>
      <c r="R681" s="13"/>
      <c r="S681" s="13"/>
      <c r="T681" s="13"/>
      <c r="U681" s="13"/>
      <c r="V681" s="13"/>
      <c r="W681" s="13"/>
      <c r="X681" s="13"/>
      <c r="Y681" s="13"/>
      <c r="Z681" s="13"/>
    </row>
    <row r="682" spans="1:26" ht="13.5" customHeight="1">
      <c r="A682" s="13"/>
      <c r="B682" s="13"/>
      <c r="C682" s="13"/>
      <c r="D682" s="13"/>
      <c r="E682" s="13"/>
      <c r="F682" s="13"/>
      <c r="G682" s="13"/>
      <c r="H682" s="13"/>
      <c r="I682" s="13"/>
      <c r="J682" s="13"/>
      <c r="K682" s="13"/>
      <c r="L682" s="13"/>
      <c r="M682" s="28"/>
      <c r="N682" s="294"/>
      <c r="O682" s="13"/>
      <c r="P682" s="13"/>
      <c r="Q682" s="13"/>
      <c r="R682" s="13"/>
      <c r="S682" s="13"/>
      <c r="T682" s="13"/>
      <c r="U682" s="13"/>
      <c r="V682" s="13"/>
      <c r="W682" s="13"/>
      <c r="X682" s="13"/>
      <c r="Y682" s="13"/>
      <c r="Z682" s="13"/>
    </row>
    <row r="683" spans="1:26" ht="13.5" customHeight="1">
      <c r="A683" s="13"/>
      <c r="B683" s="13"/>
      <c r="C683" s="13"/>
      <c r="D683" s="13"/>
      <c r="E683" s="13"/>
      <c r="F683" s="13"/>
      <c r="G683" s="13"/>
      <c r="H683" s="13"/>
      <c r="I683" s="13"/>
      <c r="J683" s="13"/>
      <c r="K683" s="13"/>
      <c r="L683" s="13"/>
      <c r="M683" s="28"/>
      <c r="N683" s="294"/>
      <c r="O683" s="13"/>
      <c r="P683" s="13"/>
      <c r="Q683" s="13"/>
      <c r="R683" s="13"/>
      <c r="S683" s="13"/>
      <c r="T683" s="13"/>
      <c r="U683" s="13"/>
      <c r="V683" s="13"/>
      <c r="W683" s="13"/>
      <c r="X683" s="13"/>
      <c r="Y683" s="13"/>
      <c r="Z683" s="13"/>
    </row>
    <row r="684" spans="1:26" ht="13.5" customHeight="1">
      <c r="A684" s="13"/>
      <c r="B684" s="13"/>
      <c r="C684" s="13"/>
      <c r="D684" s="13"/>
      <c r="E684" s="13"/>
      <c r="F684" s="13"/>
      <c r="G684" s="13"/>
      <c r="H684" s="13"/>
      <c r="I684" s="13"/>
      <c r="J684" s="13"/>
      <c r="K684" s="13"/>
      <c r="L684" s="13"/>
      <c r="M684" s="28"/>
      <c r="N684" s="294"/>
      <c r="O684" s="13"/>
      <c r="P684" s="13"/>
      <c r="Q684" s="13"/>
      <c r="R684" s="13"/>
      <c r="S684" s="13"/>
      <c r="T684" s="13"/>
      <c r="U684" s="13"/>
      <c r="V684" s="13"/>
      <c r="W684" s="13"/>
      <c r="X684" s="13"/>
      <c r="Y684" s="13"/>
      <c r="Z684" s="13"/>
    </row>
    <row r="685" spans="1:26" ht="13.5" customHeight="1">
      <c r="A685" s="13"/>
      <c r="B685" s="13"/>
      <c r="C685" s="13"/>
      <c r="D685" s="13"/>
      <c r="E685" s="13"/>
      <c r="F685" s="13"/>
      <c r="G685" s="13"/>
      <c r="H685" s="13"/>
      <c r="I685" s="13"/>
      <c r="J685" s="13"/>
      <c r="K685" s="13"/>
      <c r="L685" s="13"/>
      <c r="M685" s="28"/>
      <c r="N685" s="294"/>
      <c r="O685" s="13"/>
      <c r="P685" s="13"/>
      <c r="Q685" s="13"/>
      <c r="R685" s="13"/>
      <c r="S685" s="13"/>
      <c r="T685" s="13"/>
      <c r="U685" s="13"/>
      <c r="V685" s="13"/>
      <c r="W685" s="13"/>
      <c r="X685" s="13"/>
      <c r="Y685" s="13"/>
      <c r="Z685" s="13"/>
    </row>
    <row r="686" spans="1:26" ht="13.5" customHeight="1">
      <c r="A686" s="13"/>
      <c r="B686" s="13"/>
      <c r="C686" s="13"/>
      <c r="D686" s="13"/>
      <c r="E686" s="13"/>
      <c r="F686" s="13"/>
      <c r="G686" s="13"/>
      <c r="H686" s="13"/>
      <c r="I686" s="13"/>
      <c r="J686" s="13"/>
      <c r="K686" s="13"/>
      <c r="L686" s="13"/>
      <c r="M686" s="28"/>
      <c r="N686" s="294"/>
      <c r="O686" s="13"/>
      <c r="P686" s="13"/>
      <c r="Q686" s="13"/>
      <c r="R686" s="13"/>
      <c r="S686" s="13"/>
      <c r="T686" s="13"/>
      <c r="U686" s="13"/>
      <c r="V686" s="13"/>
      <c r="W686" s="13"/>
      <c r="X686" s="13"/>
      <c r="Y686" s="13"/>
      <c r="Z686" s="13"/>
    </row>
    <row r="687" spans="1:26" ht="13.5" customHeight="1">
      <c r="A687" s="13"/>
      <c r="B687" s="13"/>
      <c r="C687" s="13"/>
      <c r="D687" s="13"/>
      <c r="E687" s="13"/>
      <c r="F687" s="13"/>
      <c r="G687" s="13"/>
      <c r="H687" s="13"/>
      <c r="I687" s="13"/>
      <c r="J687" s="13"/>
      <c r="K687" s="13"/>
      <c r="L687" s="13"/>
      <c r="M687" s="28"/>
      <c r="N687" s="294"/>
      <c r="O687" s="13"/>
      <c r="P687" s="13"/>
      <c r="Q687" s="13"/>
      <c r="R687" s="13"/>
      <c r="S687" s="13"/>
      <c r="T687" s="13"/>
      <c r="U687" s="13"/>
      <c r="V687" s="13"/>
      <c r="W687" s="13"/>
      <c r="X687" s="13"/>
      <c r="Y687" s="13"/>
      <c r="Z687" s="13"/>
    </row>
    <row r="688" spans="1:26" ht="13.5" customHeight="1">
      <c r="A688" s="13"/>
      <c r="B688" s="13"/>
      <c r="C688" s="13"/>
      <c r="D688" s="13"/>
      <c r="E688" s="13"/>
      <c r="F688" s="13"/>
      <c r="G688" s="13"/>
      <c r="H688" s="13"/>
      <c r="I688" s="13"/>
      <c r="J688" s="13"/>
      <c r="K688" s="13"/>
      <c r="L688" s="13"/>
      <c r="M688" s="28"/>
      <c r="N688" s="294"/>
      <c r="O688" s="13"/>
      <c r="P688" s="13"/>
      <c r="Q688" s="13"/>
      <c r="R688" s="13"/>
      <c r="S688" s="13"/>
      <c r="T688" s="13"/>
      <c r="U688" s="13"/>
      <c r="V688" s="13"/>
      <c r="W688" s="13"/>
      <c r="X688" s="13"/>
      <c r="Y688" s="13"/>
      <c r="Z688" s="13"/>
    </row>
    <row r="689" spans="1:26" ht="13.5" customHeight="1">
      <c r="A689" s="13"/>
      <c r="B689" s="13"/>
      <c r="C689" s="13"/>
      <c r="D689" s="13"/>
      <c r="E689" s="13"/>
      <c r="F689" s="13"/>
      <c r="G689" s="13"/>
      <c r="H689" s="13"/>
      <c r="I689" s="13"/>
      <c r="J689" s="13"/>
      <c r="K689" s="13"/>
      <c r="L689" s="13"/>
      <c r="M689" s="28"/>
      <c r="N689" s="294"/>
      <c r="O689" s="13"/>
      <c r="P689" s="13"/>
      <c r="Q689" s="13"/>
      <c r="R689" s="13"/>
      <c r="S689" s="13"/>
      <c r="T689" s="13"/>
      <c r="U689" s="13"/>
      <c r="V689" s="13"/>
      <c r="W689" s="13"/>
      <c r="X689" s="13"/>
      <c r="Y689" s="13"/>
      <c r="Z689" s="13"/>
    </row>
    <row r="690" spans="1:26" ht="13.5" customHeight="1">
      <c r="A690" s="13"/>
      <c r="B690" s="13"/>
      <c r="C690" s="13"/>
      <c r="D690" s="13"/>
      <c r="E690" s="13"/>
      <c r="F690" s="13"/>
      <c r="G690" s="13"/>
      <c r="H690" s="13"/>
      <c r="I690" s="13"/>
      <c r="J690" s="13"/>
      <c r="K690" s="13"/>
      <c r="L690" s="13"/>
      <c r="M690" s="28"/>
      <c r="N690" s="294"/>
      <c r="O690" s="13"/>
      <c r="P690" s="13"/>
      <c r="Q690" s="13"/>
      <c r="R690" s="13"/>
      <c r="S690" s="13"/>
      <c r="T690" s="13"/>
      <c r="U690" s="13"/>
      <c r="V690" s="13"/>
      <c r="W690" s="13"/>
      <c r="X690" s="13"/>
      <c r="Y690" s="13"/>
      <c r="Z690" s="13"/>
    </row>
    <row r="691" spans="1:26" ht="13.5" customHeight="1">
      <c r="A691" s="13"/>
      <c r="B691" s="13"/>
      <c r="C691" s="13"/>
      <c r="D691" s="13"/>
      <c r="E691" s="13"/>
      <c r="F691" s="13"/>
      <c r="G691" s="13"/>
      <c r="H691" s="13"/>
      <c r="I691" s="13"/>
      <c r="J691" s="13"/>
      <c r="K691" s="13"/>
      <c r="L691" s="13"/>
      <c r="M691" s="28"/>
      <c r="N691" s="294"/>
      <c r="O691" s="13"/>
      <c r="P691" s="13"/>
      <c r="Q691" s="13"/>
      <c r="R691" s="13"/>
      <c r="S691" s="13"/>
      <c r="T691" s="13"/>
      <c r="U691" s="13"/>
      <c r="V691" s="13"/>
      <c r="W691" s="13"/>
      <c r="X691" s="13"/>
      <c r="Y691" s="13"/>
      <c r="Z691" s="13"/>
    </row>
    <row r="692" spans="1:26" ht="13.5" customHeight="1">
      <c r="A692" s="13"/>
      <c r="B692" s="13"/>
      <c r="C692" s="13"/>
      <c r="D692" s="13"/>
      <c r="E692" s="13"/>
      <c r="F692" s="13"/>
      <c r="G692" s="13"/>
      <c r="H692" s="13"/>
      <c r="I692" s="13"/>
      <c r="J692" s="13"/>
      <c r="K692" s="13"/>
      <c r="L692" s="13"/>
      <c r="M692" s="28"/>
      <c r="N692" s="294"/>
      <c r="O692" s="13"/>
      <c r="P692" s="13"/>
      <c r="Q692" s="13"/>
      <c r="R692" s="13"/>
      <c r="S692" s="13"/>
      <c r="T692" s="13"/>
      <c r="U692" s="13"/>
      <c r="V692" s="13"/>
      <c r="W692" s="13"/>
      <c r="X692" s="13"/>
      <c r="Y692" s="13"/>
      <c r="Z692" s="13"/>
    </row>
    <row r="693" spans="1:26" ht="13.5" customHeight="1">
      <c r="A693" s="13"/>
      <c r="B693" s="13"/>
      <c r="C693" s="13"/>
      <c r="D693" s="13"/>
      <c r="E693" s="13"/>
      <c r="F693" s="13"/>
      <c r="G693" s="13"/>
      <c r="H693" s="13"/>
      <c r="I693" s="13"/>
      <c r="J693" s="13"/>
      <c r="K693" s="13"/>
      <c r="L693" s="13"/>
      <c r="M693" s="28"/>
      <c r="N693" s="294"/>
      <c r="O693" s="13"/>
      <c r="P693" s="13"/>
      <c r="Q693" s="13"/>
      <c r="R693" s="13"/>
      <c r="S693" s="13"/>
      <c r="T693" s="13"/>
      <c r="U693" s="13"/>
      <c r="V693" s="13"/>
      <c r="W693" s="13"/>
      <c r="X693" s="13"/>
      <c r="Y693" s="13"/>
      <c r="Z693" s="13"/>
    </row>
    <row r="694" spans="1:26" ht="13.5" customHeight="1">
      <c r="A694" s="13"/>
      <c r="B694" s="13"/>
      <c r="C694" s="13"/>
      <c r="D694" s="13"/>
      <c r="E694" s="13"/>
      <c r="F694" s="13"/>
      <c r="G694" s="13"/>
      <c r="H694" s="13"/>
      <c r="I694" s="13"/>
      <c r="J694" s="13"/>
      <c r="K694" s="13"/>
      <c r="L694" s="13"/>
      <c r="M694" s="28"/>
      <c r="N694" s="294"/>
      <c r="O694" s="13"/>
      <c r="P694" s="13"/>
      <c r="Q694" s="13"/>
      <c r="R694" s="13"/>
      <c r="S694" s="13"/>
      <c r="T694" s="13"/>
      <c r="U694" s="13"/>
      <c r="V694" s="13"/>
      <c r="W694" s="13"/>
      <c r="X694" s="13"/>
      <c r="Y694" s="13"/>
      <c r="Z694" s="13"/>
    </row>
    <row r="695" spans="1:26" ht="13.5" customHeight="1">
      <c r="A695" s="13"/>
      <c r="B695" s="13"/>
      <c r="C695" s="13"/>
      <c r="D695" s="13"/>
      <c r="E695" s="13"/>
      <c r="F695" s="13"/>
      <c r="G695" s="13"/>
      <c r="H695" s="13"/>
      <c r="I695" s="13"/>
      <c r="J695" s="13"/>
      <c r="K695" s="13"/>
      <c r="L695" s="13"/>
      <c r="M695" s="28"/>
      <c r="N695" s="294"/>
      <c r="O695" s="13"/>
      <c r="P695" s="13"/>
      <c r="Q695" s="13"/>
      <c r="R695" s="13"/>
      <c r="S695" s="13"/>
      <c r="T695" s="13"/>
      <c r="U695" s="13"/>
      <c r="V695" s="13"/>
      <c r="W695" s="13"/>
      <c r="X695" s="13"/>
      <c r="Y695" s="13"/>
      <c r="Z695" s="13"/>
    </row>
    <row r="696" spans="1:26" ht="13.5" customHeight="1">
      <c r="A696" s="13"/>
      <c r="B696" s="13"/>
      <c r="C696" s="13"/>
      <c r="D696" s="13"/>
      <c r="E696" s="13"/>
      <c r="F696" s="13"/>
      <c r="G696" s="13"/>
      <c r="H696" s="13"/>
      <c r="I696" s="13"/>
      <c r="J696" s="13"/>
      <c r="K696" s="13"/>
      <c r="L696" s="13"/>
      <c r="M696" s="28"/>
      <c r="N696" s="294"/>
      <c r="O696" s="13"/>
      <c r="P696" s="13"/>
      <c r="Q696" s="13"/>
      <c r="R696" s="13"/>
      <c r="S696" s="13"/>
      <c r="T696" s="13"/>
      <c r="U696" s="13"/>
      <c r="V696" s="13"/>
      <c r="W696" s="13"/>
      <c r="X696" s="13"/>
      <c r="Y696" s="13"/>
      <c r="Z696" s="13"/>
    </row>
    <row r="697" spans="1:26" ht="13.5" customHeight="1">
      <c r="A697" s="13"/>
      <c r="B697" s="13"/>
      <c r="C697" s="13"/>
      <c r="D697" s="13"/>
      <c r="E697" s="13"/>
      <c r="F697" s="13"/>
      <c r="G697" s="13"/>
      <c r="H697" s="13"/>
      <c r="I697" s="13"/>
      <c r="J697" s="13"/>
      <c r="K697" s="13"/>
      <c r="L697" s="13"/>
      <c r="M697" s="28"/>
      <c r="N697" s="294"/>
      <c r="O697" s="13"/>
      <c r="P697" s="13"/>
      <c r="Q697" s="13"/>
      <c r="R697" s="13"/>
      <c r="S697" s="13"/>
      <c r="T697" s="13"/>
      <c r="U697" s="13"/>
      <c r="V697" s="13"/>
      <c r="W697" s="13"/>
      <c r="X697" s="13"/>
      <c r="Y697" s="13"/>
      <c r="Z697" s="13"/>
    </row>
    <row r="698" spans="1:26" ht="13.5" customHeight="1">
      <c r="A698" s="13"/>
      <c r="B698" s="13"/>
      <c r="C698" s="13"/>
      <c r="D698" s="13"/>
      <c r="E698" s="13"/>
      <c r="F698" s="13"/>
      <c r="G698" s="13"/>
      <c r="H698" s="13"/>
      <c r="I698" s="13"/>
      <c r="J698" s="13"/>
      <c r="K698" s="13"/>
      <c r="L698" s="13"/>
      <c r="M698" s="28"/>
      <c r="N698" s="294"/>
      <c r="O698" s="13"/>
      <c r="P698" s="13"/>
      <c r="Q698" s="13"/>
      <c r="R698" s="13"/>
      <c r="S698" s="13"/>
      <c r="T698" s="13"/>
      <c r="U698" s="13"/>
      <c r="V698" s="13"/>
      <c r="W698" s="13"/>
      <c r="X698" s="13"/>
      <c r="Y698" s="13"/>
      <c r="Z698" s="13"/>
    </row>
    <row r="699" spans="1:26" ht="13.5" customHeight="1">
      <c r="A699" s="13"/>
      <c r="B699" s="13"/>
      <c r="C699" s="13"/>
      <c r="D699" s="13"/>
      <c r="E699" s="13"/>
      <c r="F699" s="13"/>
      <c r="G699" s="13"/>
      <c r="H699" s="13"/>
      <c r="I699" s="13"/>
      <c r="J699" s="13"/>
      <c r="K699" s="13"/>
      <c r="L699" s="13"/>
      <c r="M699" s="28"/>
      <c r="N699" s="294"/>
      <c r="O699" s="13"/>
      <c r="P699" s="13"/>
      <c r="Q699" s="13"/>
      <c r="R699" s="13"/>
      <c r="S699" s="13"/>
      <c r="T699" s="13"/>
      <c r="U699" s="13"/>
      <c r="V699" s="13"/>
      <c r="W699" s="13"/>
      <c r="X699" s="13"/>
      <c r="Y699" s="13"/>
      <c r="Z699" s="13"/>
    </row>
    <row r="700" spans="1:26" ht="13.5" customHeight="1">
      <c r="A700" s="13"/>
      <c r="B700" s="13"/>
      <c r="C700" s="13"/>
      <c r="D700" s="13"/>
      <c r="E700" s="13"/>
      <c r="F700" s="13"/>
      <c r="G700" s="13"/>
      <c r="H700" s="13"/>
      <c r="I700" s="13"/>
      <c r="J700" s="13"/>
      <c r="K700" s="13"/>
      <c r="L700" s="13"/>
      <c r="M700" s="28"/>
      <c r="N700" s="294"/>
      <c r="O700" s="13"/>
      <c r="P700" s="13"/>
      <c r="Q700" s="13"/>
      <c r="R700" s="13"/>
      <c r="S700" s="13"/>
      <c r="T700" s="13"/>
      <c r="U700" s="13"/>
      <c r="V700" s="13"/>
      <c r="W700" s="13"/>
      <c r="X700" s="13"/>
      <c r="Y700" s="13"/>
      <c r="Z700" s="13"/>
    </row>
    <row r="701" spans="1:26" ht="13.5" customHeight="1">
      <c r="A701" s="13"/>
      <c r="B701" s="13"/>
      <c r="C701" s="13"/>
      <c r="D701" s="13"/>
      <c r="E701" s="13"/>
      <c r="F701" s="13"/>
      <c r="G701" s="13"/>
      <c r="H701" s="13"/>
      <c r="I701" s="13"/>
      <c r="J701" s="13"/>
      <c r="K701" s="13"/>
      <c r="L701" s="13"/>
      <c r="M701" s="28"/>
      <c r="N701" s="294"/>
      <c r="O701" s="13"/>
      <c r="P701" s="13"/>
      <c r="Q701" s="13"/>
      <c r="R701" s="13"/>
      <c r="S701" s="13"/>
      <c r="T701" s="13"/>
      <c r="U701" s="13"/>
      <c r="V701" s="13"/>
      <c r="W701" s="13"/>
      <c r="X701" s="13"/>
      <c r="Y701" s="13"/>
      <c r="Z701" s="13"/>
    </row>
    <row r="702" spans="1:26" ht="13.5" customHeight="1">
      <c r="A702" s="13"/>
      <c r="B702" s="13"/>
      <c r="C702" s="13"/>
      <c r="D702" s="13"/>
      <c r="E702" s="13"/>
      <c r="F702" s="13"/>
      <c r="G702" s="13"/>
      <c r="H702" s="13"/>
      <c r="I702" s="13"/>
      <c r="J702" s="13"/>
      <c r="K702" s="13"/>
      <c r="L702" s="13"/>
      <c r="M702" s="28"/>
      <c r="N702" s="294"/>
      <c r="O702" s="13"/>
      <c r="P702" s="13"/>
      <c r="Q702" s="13"/>
      <c r="R702" s="13"/>
      <c r="S702" s="13"/>
      <c r="T702" s="13"/>
      <c r="U702" s="13"/>
      <c r="V702" s="13"/>
      <c r="W702" s="13"/>
      <c r="X702" s="13"/>
      <c r="Y702" s="13"/>
      <c r="Z702" s="13"/>
    </row>
    <row r="703" spans="1:26" ht="13.5" customHeight="1">
      <c r="A703" s="13"/>
      <c r="B703" s="13"/>
      <c r="C703" s="13"/>
      <c r="D703" s="13"/>
      <c r="E703" s="13"/>
      <c r="F703" s="13"/>
      <c r="G703" s="13"/>
      <c r="H703" s="13"/>
      <c r="I703" s="13"/>
      <c r="J703" s="13"/>
      <c r="K703" s="13"/>
      <c r="L703" s="13"/>
      <c r="M703" s="28"/>
      <c r="N703" s="294"/>
      <c r="O703" s="13"/>
      <c r="P703" s="13"/>
      <c r="Q703" s="13"/>
      <c r="R703" s="13"/>
      <c r="S703" s="13"/>
      <c r="T703" s="13"/>
      <c r="U703" s="13"/>
      <c r="V703" s="13"/>
      <c r="W703" s="13"/>
      <c r="X703" s="13"/>
      <c r="Y703" s="13"/>
      <c r="Z703" s="13"/>
    </row>
    <row r="704" spans="1:26" ht="13.5" customHeight="1">
      <c r="A704" s="13"/>
      <c r="B704" s="13"/>
      <c r="C704" s="13"/>
      <c r="D704" s="13"/>
      <c r="E704" s="13"/>
      <c r="F704" s="13"/>
      <c r="G704" s="13"/>
      <c r="H704" s="13"/>
      <c r="I704" s="13"/>
      <c r="J704" s="13"/>
      <c r="K704" s="13"/>
      <c r="L704" s="13"/>
      <c r="M704" s="28"/>
      <c r="N704" s="294"/>
      <c r="O704" s="13"/>
      <c r="P704" s="13"/>
      <c r="Q704" s="13"/>
      <c r="R704" s="13"/>
      <c r="S704" s="13"/>
      <c r="T704" s="13"/>
      <c r="U704" s="13"/>
      <c r="V704" s="13"/>
      <c r="W704" s="13"/>
      <c r="X704" s="13"/>
      <c r="Y704" s="13"/>
      <c r="Z704" s="13"/>
    </row>
    <row r="705" spans="1:26" ht="13.5" customHeight="1">
      <c r="A705" s="13"/>
      <c r="B705" s="13"/>
      <c r="C705" s="13"/>
      <c r="D705" s="13"/>
      <c r="E705" s="13"/>
      <c r="F705" s="13"/>
      <c r="G705" s="13"/>
      <c r="H705" s="13"/>
      <c r="I705" s="13"/>
      <c r="J705" s="13"/>
      <c r="K705" s="13"/>
      <c r="L705" s="13"/>
      <c r="M705" s="28"/>
      <c r="N705" s="294"/>
      <c r="O705" s="13"/>
      <c r="P705" s="13"/>
      <c r="Q705" s="13"/>
      <c r="R705" s="13"/>
      <c r="S705" s="13"/>
      <c r="T705" s="13"/>
      <c r="U705" s="13"/>
      <c r="V705" s="13"/>
      <c r="W705" s="13"/>
      <c r="X705" s="13"/>
      <c r="Y705" s="13"/>
      <c r="Z705" s="13"/>
    </row>
    <row r="706" spans="1:26" ht="13.5" customHeight="1">
      <c r="A706" s="13"/>
      <c r="B706" s="13"/>
      <c r="C706" s="13"/>
      <c r="D706" s="13"/>
      <c r="E706" s="13"/>
      <c r="F706" s="13"/>
      <c r="G706" s="13"/>
      <c r="H706" s="13"/>
      <c r="I706" s="13"/>
      <c r="J706" s="13"/>
      <c r="K706" s="13"/>
      <c r="L706" s="13"/>
      <c r="M706" s="28"/>
      <c r="N706" s="294"/>
      <c r="O706" s="13"/>
      <c r="P706" s="13"/>
      <c r="Q706" s="13"/>
      <c r="R706" s="13"/>
      <c r="S706" s="13"/>
      <c r="T706" s="13"/>
      <c r="U706" s="13"/>
      <c r="V706" s="13"/>
      <c r="W706" s="13"/>
      <c r="X706" s="13"/>
      <c r="Y706" s="13"/>
      <c r="Z706" s="13"/>
    </row>
    <row r="707" spans="1:26" ht="13.5" customHeight="1">
      <c r="A707" s="13"/>
      <c r="B707" s="13"/>
      <c r="C707" s="13"/>
      <c r="D707" s="13"/>
      <c r="E707" s="13"/>
      <c r="F707" s="13"/>
      <c r="G707" s="13"/>
      <c r="H707" s="13"/>
      <c r="I707" s="13"/>
      <c r="J707" s="13"/>
      <c r="K707" s="13"/>
      <c r="L707" s="13"/>
      <c r="M707" s="28"/>
      <c r="N707" s="294"/>
      <c r="O707" s="13"/>
      <c r="P707" s="13"/>
      <c r="Q707" s="13"/>
      <c r="R707" s="13"/>
      <c r="S707" s="13"/>
      <c r="T707" s="13"/>
      <c r="U707" s="13"/>
      <c r="V707" s="13"/>
      <c r="W707" s="13"/>
      <c r="X707" s="13"/>
      <c r="Y707" s="13"/>
      <c r="Z707" s="13"/>
    </row>
    <row r="708" spans="1:26" ht="13.5" customHeight="1">
      <c r="A708" s="13"/>
      <c r="B708" s="13"/>
      <c r="C708" s="13"/>
      <c r="D708" s="13"/>
      <c r="E708" s="13"/>
      <c r="F708" s="13"/>
      <c r="G708" s="13"/>
      <c r="H708" s="13"/>
      <c r="I708" s="13"/>
      <c r="J708" s="13"/>
      <c r="K708" s="13"/>
      <c r="L708" s="13"/>
      <c r="M708" s="28"/>
      <c r="N708" s="294"/>
      <c r="O708" s="13"/>
      <c r="P708" s="13"/>
      <c r="Q708" s="13"/>
      <c r="R708" s="13"/>
      <c r="S708" s="13"/>
      <c r="T708" s="13"/>
      <c r="U708" s="13"/>
      <c r="V708" s="13"/>
      <c r="W708" s="13"/>
      <c r="X708" s="13"/>
      <c r="Y708" s="13"/>
      <c r="Z708" s="13"/>
    </row>
    <row r="709" spans="1:26" ht="13.5" customHeight="1">
      <c r="A709" s="13"/>
      <c r="B709" s="13"/>
      <c r="C709" s="13"/>
      <c r="D709" s="13"/>
      <c r="E709" s="13"/>
      <c r="F709" s="13"/>
      <c r="G709" s="13"/>
      <c r="H709" s="13"/>
      <c r="I709" s="13"/>
      <c r="J709" s="13"/>
      <c r="K709" s="13"/>
      <c r="L709" s="13"/>
      <c r="M709" s="28"/>
      <c r="N709" s="294"/>
      <c r="O709" s="13"/>
      <c r="P709" s="13"/>
      <c r="Q709" s="13"/>
      <c r="R709" s="13"/>
      <c r="S709" s="13"/>
      <c r="T709" s="13"/>
      <c r="U709" s="13"/>
      <c r="V709" s="13"/>
      <c r="W709" s="13"/>
      <c r="X709" s="13"/>
      <c r="Y709" s="13"/>
      <c r="Z709" s="13"/>
    </row>
    <row r="710" spans="1:26" ht="13.5" customHeight="1">
      <c r="A710" s="13"/>
      <c r="B710" s="13"/>
      <c r="C710" s="13"/>
      <c r="D710" s="13"/>
      <c r="E710" s="13"/>
      <c r="F710" s="13"/>
      <c r="G710" s="13"/>
      <c r="H710" s="13"/>
      <c r="I710" s="13"/>
      <c r="J710" s="13"/>
      <c r="K710" s="13"/>
      <c r="L710" s="13"/>
      <c r="M710" s="28"/>
      <c r="N710" s="294"/>
      <c r="O710" s="13"/>
      <c r="P710" s="13"/>
      <c r="Q710" s="13"/>
      <c r="R710" s="13"/>
      <c r="S710" s="13"/>
      <c r="T710" s="13"/>
      <c r="U710" s="13"/>
      <c r="V710" s="13"/>
      <c r="W710" s="13"/>
      <c r="X710" s="13"/>
      <c r="Y710" s="13"/>
      <c r="Z710" s="13"/>
    </row>
    <row r="711" spans="1:26" ht="13.5" customHeight="1">
      <c r="A711" s="13"/>
      <c r="B711" s="13"/>
      <c r="C711" s="13"/>
      <c r="D711" s="13"/>
      <c r="E711" s="13"/>
      <c r="F711" s="13"/>
      <c r="G711" s="13"/>
      <c r="H711" s="13"/>
      <c r="I711" s="13"/>
      <c r="J711" s="13"/>
      <c r="K711" s="13"/>
      <c r="L711" s="13"/>
      <c r="M711" s="28"/>
      <c r="N711" s="294"/>
      <c r="O711" s="13"/>
      <c r="P711" s="13"/>
      <c r="Q711" s="13"/>
      <c r="R711" s="13"/>
      <c r="S711" s="13"/>
      <c r="T711" s="13"/>
      <c r="U711" s="13"/>
      <c r="V711" s="13"/>
      <c r="W711" s="13"/>
      <c r="X711" s="13"/>
      <c r="Y711" s="13"/>
      <c r="Z711" s="13"/>
    </row>
    <row r="712" spans="1:26" ht="13.5" customHeight="1">
      <c r="A712" s="13"/>
      <c r="B712" s="13"/>
      <c r="C712" s="13"/>
      <c r="D712" s="13"/>
      <c r="E712" s="13"/>
      <c r="F712" s="13"/>
      <c r="G712" s="13"/>
      <c r="H712" s="13"/>
      <c r="I712" s="13"/>
      <c r="J712" s="13"/>
      <c r="K712" s="13"/>
      <c r="L712" s="13"/>
      <c r="M712" s="28"/>
      <c r="N712" s="294"/>
      <c r="O712" s="13"/>
      <c r="P712" s="13"/>
      <c r="Q712" s="13"/>
      <c r="R712" s="13"/>
      <c r="S712" s="13"/>
      <c r="T712" s="13"/>
      <c r="U712" s="13"/>
      <c r="V712" s="13"/>
      <c r="W712" s="13"/>
      <c r="X712" s="13"/>
      <c r="Y712" s="13"/>
      <c r="Z712" s="13"/>
    </row>
    <row r="713" spans="1:26" ht="13.5" customHeight="1">
      <c r="A713" s="13"/>
      <c r="B713" s="13"/>
      <c r="C713" s="13"/>
      <c r="D713" s="13"/>
      <c r="E713" s="13"/>
      <c r="F713" s="13"/>
      <c r="G713" s="13"/>
      <c r="H713" s="13"/>
      <c r="I713" s="13"/>
      <c r="J713" s="13"/>
      <c r="K713" s="13"/>
      <c r="L713" s="13"/>
      <c r="M713" s="28"/>
      <c r="N713" s="294"/>
      <c r="O713" s="13"/>
      <c r="P713" s="13"/>
      <c r="Q713" s="13"/>
      <c r="R713" s="13"/>
      <c r="S713" s="13"/>
      <c r="T713" s="13"/>
      <c r="U713" s="13"/>
      <c r="V713" s="13"/>
      <c r="W713" s="13"/>
      <c r="X713" s="13"/>
      <c r="Y713" s="13"/>
      <c r="Z713" s="13"/>
    </row>
    <row r="714" spans="1:26" ht="13.5" customHeight="1">
      <c r="A714" s="13"/>
      <c r="B714" s="13"/>
      <c r="C714" s="13"/>
      <c r="D714" s="13"/>
      <c r="E714" s="13"/>
      <c r="F714" s="13"/>
      <c r="G714" s="13"/>
      <c r="H714" s="13"/>
      <c r="I714" s="13"/>
      <c r="J714" s="13"/>
      <c r="K714" s="13"/>
      <c r="L714" s="13"/>
      <c r="M714" s="28"/>
      <c r="N714" s="294"/>
      <c r="O714" s="13"/>
      <c r="P714" s="13"/>
      <c r="Q714" s="13"/>
      <c r="R714" s="13"/>
      <c r="S714" s="13"/>
      <c r="T714" s="13"/>
      <c r="U714" s="13"/>
      <c r="V714" s="13"/>
      <c r="W714" s="13"/>
      <c r="X714" s="13"/>
      <c r="Y714" s="13"/>
      <c r="Z714" s="13"/>
    </row>
    <row r="715" spans="1:26" ht="13.5" customHeight="1">
      <c r="A715" s="13"/>
      <c r="B715" s="13"/>
      <c r="C715" s="13"/>
      <c r="D715" s="13"/>
      <c r="E715" s="13"/>
      <c r="F715" s="13"/>
      <c r="G715" s="13"/>
      <c r="H715" s="13"/>
      <c r="I715" s="13"/>
      <c r="J715" s="13"/>
      <c r="K715" s="13"/>
      <c r="L715" s="13"/>
      <c r="M715" s="28"/>
      <c r="N715" s="294"/>
      <c r="O715" s="13"/>
      <c r="P715" s="13"/>
      <c r="Q715" s="13"/>
      <c r="R715" s="13"/>
      <c r="S715" s="13"/>
      <c r="T715" s="13"/>
      <c r="U715" s="13"/>
      <c r="V715" s="13"/>
      <c r="W715" s="13"/>
      <c r="X715" s="13"/>
      <c r="Y715" s="13"/>
      <c r="Z715" s="13"/>
    </row>
    <row r="716" spans="1:26" ht="13.5" customHeight="1">
      <c r="A716" s="13"/>
      <c r="B716" s="13"/>
      <c r="C716" s="13"/>
      <c r="D716" s="13"/>
      <c r="E716" s="13"/>
      <c r="F716" s="13"/>
      <c r="G716" s="13"/>
      <c r="H716" s="13"/>
      <c r="I716" s="13"/>
      <c r="J716" s="13"/>
      <c r="K716" s="13"/>
      <c r="L716" s="13"/>
      <c r="M716" s="28"/>
      <c r="N716" s="294"/>
      <c r="O716" s="13"/>
      <c r="P716" s="13"/>
      <c r="Q716" s="13"/>
      <c r="R716" s="13"/>
      <c r="S716" s="13"/>
      <c r="T716" s="13"/>
      <c r="U716" s="13"/>
      <c r="V716" s="13"/>
      <c r="W716" s="13"/>
      <c r="X716" s="13"/>
      <c r="Y716" s="13"/>
      <c r="Z716" s="13"/>
    </row>
    <row r="717" spans="1:26" ht="13.5" customHeight="1">
      <c r="A717" s="13"/>
      <c r="B717" s="13"/>
      <c r="C717" s="13"/>
      <c r="D717" s="13"/>
      <c r="E717" s="13"/>
      <c r="F717" s="13"/>
      <c r="G717" s="13"/>
      <c r="H717" s="13"/>
      <c r="I717" s="13"/>
      <c r="J717" s="13"/>
      <c r="K717" s="13"/>
      <c r="L717" s="13"/>
      <c r="M717" s="28"/>
      <c r="N717" s="294"/>
      <c r="O717" s="13"/>
      <c r="P717" s="13"/>
      <c r="Q717" s="13"/>
      <c r="R717" s="13"/>
      <c r="S717" s="13"/>
      <c r="T717" s="13"/>
      <c r="U717" s="13"/>
      <c r="V717" s="13"/>
      <c r="W717" s="13"/>
      <c r="X717" s="13"/>
      <c r="Y717" s="13"/>
      <c r="Z717" s="13"/>
    </row>
    <row r="718" spans="1:26" ht="13.5" customHeight="1">
      <c r="A718" s="13"/>
      <c r="B718" s="13"/>
      <c r="C718" s="13"/>
      <c r="D718" s="13"/>
      <c r="E718" s="13"/>
      <c r="F718" s="13"/>
      <c r="G718" s="13"/>
      <c r="H718" s="13"/>
      <c r="I718" s="13"/>
      <c r="J718" s="13"/>
      <c r="K718" s="13"/>
      <c r="L718" s="13"/>
      <c r="M718" s="28"/>
      <c r="N718" s="294"/>
      <c r="O718" s="13"/>
      <c r="P718" s="13"/>
      <c r="Q718" s="13"/>
      <c r="R718" s="13"/>
      <c r="S718" s="13"/>
      <c r="T718" s="13"/>
      <c r="U718" s="13"/>
      <c r="V718" s="13"/>
      <c r="W718" s="13"/>
      <c r="X718" s="13"/>
      <c r="Y718" s="13"/>
      <c r="Z718" s="13"/>
    </row>
    <row r="719" spans="1:26" ht="13.5" customHeight="1">
      <c r="A719" s="13"/>
      <c r="B719" s="13"/>
      <c r="C719" s="13"/>
      <c r="D719" s="13"/>
      <c r="E719" s="13"/>
      <c r="F719" s="13"/>
      <c r="G719" s="13"/>
      <c r="H719" s="13"/>
      <c r="I719" s="13"/>
      <c r="J719" s="13"/>
      <c r="K719" s="13"/>
      <c r="L719" s="13"/>
      <c r="M719" s="28"/>
      <c r="N719" s="294"/>
      <c r="O719" s="13"/>
      <c r="P719" s="13"/>
      <c r="Q719" s="13"/>
      <c r="R719" s="13"/>
      <c r="S719" s="13"/>
      <c r="T719" s="13"/>
      <c r="U719" s="13"/>
      <c r="V719" s="13"/>
      <c r="W719" s="13"/>
      <c r="X719" s="13"/>
      <c r="Y719" s="13"/>
      <c r="Z719" s="13"/>
    </row>
    <row r="720" spans="1:26" ht="13.5" customHeight="1">
      <c r="A720" s="13"/>
      <c r="B720" s="13"/>
      <c r="C720" s="13"/>
      <c r="D720" s="13"/>
      <c r="E720" s="13"/>
      <c r="F720" s="13"/>
      <c r="G720" s="13"/>
      <c r="H720" s="13"/>
      <c r="I720" s="13"/>
      <c r="J720" s="13"/>
      <c r="K720" s="13"/>
      <c r="L720" s="13"/>
      <c r="M720" s="28"/>
      <c r="N720" s="294"/>
      <c r="O720" s="13"/>
      <c r="P720" s="13"/>
      <c r="Q720" s="13"/>
      <c r="R720" s="13"/>
      <c r="S720" s="13"/>
      <c r="T720" s="13"/>
      <c r="U720" s="13"/>
      <c r="V720" s="13"/>
      <c r="W720" s="13"/>
      <c r="X720" s="13"/>
      <c r="Y720" s="13"/>
      <c r="Z720" s="13"/>
    </row>
    <row r="721" spans="1:26" ht="13.5" customHeight="1">
      <c r="A721" s="13"/>
      <c r="B721" s="13"/>
      <c r="C721" s="13"/>
      <c r="D721" s="13"/>
      <c r="E721" s="13"/>
      <c r="F721" s="13"/>
      <c r="G721" s="13"/>
      <c r="H721" s="13"/>
      <c r="I721" s="13"/>
      <c r="J721" s="13"/>
      <c r="K721" s="13"/>
      <c r="L721" s="13"/>
      <c r="M721" s="28"/>
      <c r="N721" s="294"/>
      <c r="O721" s="13"/>
      <c r="P721" s="13"/>
      <c r="Q721" s="13"/>
      <c r="R721" s="13"/>
      <c r="S721" s="13"/>
      <c r="T721" s="13"/>
      <c r="U721" s="13"/>
      <c r="V721" s="13"/>
      <c r="W721" s="13"/>
      <c r="X721" s="13"/>
      <c r="Y721" s="13"/>
      <c r="Z721" s="13"/>
    </row>
    <row r="722" spans="1:26" ht="13.5" customHeight="1">
      <c r="A722" s="13"/>
      <c r="B722" s="13"/>
      <c r="C722" s="13"/>
      <c r="D722" s="13"/>
      <c r="E722" s="13"/>
      <c r="F722" s="13"/>
      <c r="G722" s="13"/>
      <c r="H722" s="13"/>
      <c r="I722" s="13"/>
      <c r="J722" s="13"/>
      <c r="K722" s="13"/>
      <c r="L722" s="13"/>
      <c r="M722" s="28"/>
      <c r="N722" s="294"/>
      <c r="O722" s="13"/>
      <c r="P722" s="13"/>
      <c r="Q722" s="13"/>
      <c r="R722" s="13"/>
      <c r="S722" s="13"/>
      <c r="T722" s="13"/>
      <c r="U722" s="13"/>
      <c r="V722" s="13"/>
      <c r="W722" s="13"/>
      <c r="X722" s="13"/>
      <c r="Y722" s="13"/>
      <c r="Z722" s="13"/>
    </row>
    <row r="723" spans="1:26" ht="13.5" customHeight="1">
      <c r="A723" s="13"/>
      <c r="B723" s="13"/>
      <c r="C723" s="13"/>
      <c r="D723" s="13"/>
      <c r="E723" s="13"/>
      <c r="F723" s="13"/>
      <c r="G723" s="13"/>
      <c r="H723" s="13"/>
      <c r="I723" s="13"/>
      <c r="J723" s="13"/>
      <c r="K723" s="13"/>
      <c r="L723" s="13"/>
      <c r="M723" s="28"/>
      <c r="N723" s="294"/>
      <c r="O723" s="13"/>
      <c r="P723" s="13"/>
      <c r="Q723" s="13"/>
      <c r="R723" s="13"/>
      <c r="S723" s="13"/>
      <c r="T723" s="13"/>
      <c r="U723" s="13"/>
      <c r="V723" s="13"/>
      <c r="W723" s="13"/>
      <c r="X723" s="13"/>
      <c r="Y723" s="13"/>
      <c r="Z723" s="13"/>
    </row>
    <row r="724" spans="1:26" ht="13.5" customHeight="1">
      <c r="A724" s="13"/>
      <c r="B724" s="13"/>
      <c r="C724" s="13"/>
      <c r="D724" s="13"/>
      <c r="E724" s="13"/>
      <c r="F724" s="13"/>
      <c r="G724" s="13"/>
      <c r="H724" s="13"/>
      <c r="I724" s="13"/>
      <c r="J724" s="13"/>
      <c r="K724" s="13"/>
      <c r="L724" s="13"/>
      <c r="M724" s="28"/>
      <c r="N724" s="294"/>
      <c r="O724" s="13"/>
      <c r="P724" s="13"/>
      <c r="Q724" s="13"/>
      <c r="R724" s="13"/>
      <c r="S724" s="13"/>
      <c r="T724" s="13"/>
      <c r="U724" s="13"/>
      <c r="V724" s="13"/>
      <c r="W724" s="13"/>
      <c r="X724" s="13"/>
      <c r="Y724" s="13"/>
      <c r="Z724" s="13"/>
    </row>
    <row r="725" spans="1:26" ht="13.5" customHeight="1">
      <c r="A725" s="13"/>
      <c r="B725" s="13"/>
      <c r="C725" s="13"/>
      <c r="D725" s="13"/>
      <c r="E725" s="13"/>
      <c r="F725" s="13"/>
      <c r="G725" s="13"/>
      <c r="H725" s="13"/>
      <c r="I725" s="13"/>
      <c r="J725" s="13"/>
      <c r="K725" s="13"/>
      <c r="L725" s="13"/>
      <c r="M725" s="28"/>
      <c r="N725" s="294"/>
      <c r="O725" s="13"/>
      <c r="P725" s="13"/>
      <c r="Q725" s="13"/>
      <c r="R725" s="13"/>
      <c r="S725" s="13"/>
      <c r="T725" s="13"/>
      <c r="U725" s="13"/>
      <c r="V725" s="13"/>
      <c r="W725" s="13"/>
      <c r="X725" s="13"/>
      <c r="Y725" s="13"/>
      <c r="Z725" s="13"/>
    </row>
    <row r="726" spans="1:26" ht="13.5" customHeight="1">
      <c r="A726" s="13"/>
      <c r="B726" s="13"/>
      <c r="C726" s="13"/>
      <c r="D726" s="13"/>
      <c r="E726" s="13"/>
      <c r="F726" s="13"/>
      <c r="G726" s="13"/>
      <c r="H726" s="13"/>
      <c r="I726" s="13"/>
      <c r="J726" s="13"/>
      <c r="K726" s="13"/>
      <c r="L726" s="13"/>
      <c r="M726" s="28"/>
      <c r="N726" s="294"/>
      <c r="O726" s="13"/>
      <c r="P726" s="13"/>
      <c r="Q726" s="13"/>
      <c r="R726" s="13"/>
      <c r="S726" s="13"/>
      <c r="T726" s="13"/>
      <c r="U726" s="13"/>
      <c r="V726" s="13"/>
      <c r="W726" s="13"/>
      <c r="X726" s="13"/>
      <c r="Y726" s="13"/>
      <c r="Z726" s="13"/>
    </row>
    <row r="727" spans="1:26" ht="13.5" customHeight="1">
      <c r="A727" s="13"/>
      <c r="B727" s="13"/>
      <c r="C727" s="13"/>
      <c r="D727" s="13"/>
      <c r="E727" s="13"/>
      <c r="F727" s="13"/>
      <c r="G727" s="13"/>
      <c r="H727" s="13"/>
      <c r="I727" s="13"/>
      <c r="J727" s="13"/>
      <c r="K727" s="13"/>
      <c r="L727" s="13"/>
      <c r="M727" s="28"/>
      <c r="N727" s="294"/>
      <c r="O727" s="13"/>
      <c r="P727" s="13"/>
      <c r="Q727" s="13"/>
      <c r="R727" s="13"/>
      <c r="S727" s="13"/>
      <c r="T727" s="13"/>
      <c r="U727" s="13"/>
      <c r="V727" s="13"/>
      <c r="W727" s="13"/>
      <c r="X727" s="13"/>
      <c r="Y727" s="13"/>
      <c r="Z727" s="13"/>
    </row>
    <row r="728" spans="1:26" ht="13.5" customHeight="1">
      <c r="A728" s="13"/>
      <c r="B728" s="13"/>
      <c r="C728" s="13"/>
      <c r="D728" s="13"/>
      <c r="E728" s="13"/>
      <c r="F728" s="13"/>
      <c r="G728" s="13"/>
      <c r="H728" s="13"/>
      <c r="I728" s="13"/>
      <c r="J728" s="13"/>
      <c r="K728" s="13"/>
      <c r="L728" s="13"/>
      <c r="M728" s="28"/>
      <c r="N728" s="294"/>
      <c r="O728" s="13"/>
      <c r="P728" s="13"/>
      <c r="Q728" s="13"/>
      <c r="R728" s="13"/>
      <c r="S728" s="13"/>
      <c r="T728" s="13"/>
      <c r="U728" s="13"/>
      <c r="V728" s="13"/>
      <c r="W728" s="13"/>
      <c r="X728" s="13"/>
      <c r="Y728" s="13"/>
      <c r="Z728" s="13"/>
    </row>
    <row r="729" spans="1:26" ht="13.5" customHeight="1">
      <c r="A729" s="13"/>
      <c r="B729" s="13"/>
      <c r="C729" s="13"/>
      <c r="D729" s="13"/>
      <c r="E729" s="13"/>
      <c r="F729" s="13"/>
      <c r="G729" s="13"/>
      <c r="H729" s="13"/>
      <c r="I729" s="13"/>
      <c r="J729" s="13"/>
      <c r="K729" s="13"/>
      <c r="L729" s="13"/>
      <c r="M729" s="28"/>
      <c r="N729" s="294"/>
      <c r="O729" s="13"/>
      <c r="P729" s="13"/>
      <c r="Q729" s="13"/>
      <c r="R729" s="13"/>
      <c r="S729" s="13"/>
      <c r="T729" s="13"/>
      <c r="U729" s="13"/>
      <c r="V729" s="13"/>
      <c r="W729" s="13"/>
      <c r="X729" s="13"/>
      <c r="Y729" s="13"/>
      <c r="Z729" s="13"/>
    </row>
    <row r="730" spans="1:26" ht="13.5" customHeight="1">
      <c r="A730" s="13"/>
      <c r="B730" s="13"/>
      <c r="C730" s="13"/>
      <c r="D730" s="13"/>
      <c r="E730" s="13"/>
      <c r="F730" s="13"/>
      <c r="G730" s="13"/>
      <c r="H730" s="13"/>
      <c r="I730" s="13"/>
      <c r="J730" s="13"/>
      <c r="K730" s="13"/>
      <c r="L730" s="13"/>
      <c r="M730" s="28"/>
      <c r="N730" s="294"/>
      <c r="O730" s="13"/>
      <c r="P730" s="13"/>
      <c r="Q730" s="13"/>
      <c r="R730" s="13"/>
      <c r="S730" s="13"/>
      <c r="T730" s="13"/>
      <c r="U730" s="13"/>
      <c r="V730" s="13"/>
      <c r="W730" s="13"/>
      <c r="X730" s="13"/>
      <c r="Y730" s="13"/>
      <c r="Z730" s="13"/>
    </row>
    <row r="731" spans="1:26" ht="13.5" customHeight="1">
      <c r="A731" s="13"/>
      <c r="B731" s="13"/>
      <c r="C731" s="13"/>
      <c r="D731" s="13"/>
      <c r="E731" s="13"/>
      <c r="F731" s="13"/>
      <c r="G731" s="13"/>
      <c r="H731" s="13"/>
      <c r="I731" s="13"/>
      <c r="J731" s="13"/>
      <c r="K731" s="13"/>
      <c r="L731" s="13"/>
      <c r="M731" s="28"/>
      <c r="N731" s="294"/>
      <c r="O731" s="13"/>
      <c r="P731" s="13"/>
      <c r="Q731" s="13"/>
      <c r="R731" s="13"/>
      <c r="S731" s="13"/>
      <c r="T731" s="13"/>
      <c r="U731" s="13"/>
      <c r="V731" s="13"/>
      <c r="W731" s="13"/>
      <c r="X731" s="13"/>
      <c r="Y731" s="13"/>
      <c r="Z731" s="13"/>
    </row>
    <row r="732" spans="1:26" ht="13.5" customHeight="1">
      <c r="A732" s="13"/>
      <c r="B732" s="13"/>
      <c r="C732" s="13"/>
      <c r="D732" s="13"/>
      <c r="E732" s="13"/>
      <c r="F732" s="13"/>
      <c r="G732" s="13"/>
      <c r="H732" s="13"/>
      <c r="I732" s="13"/>
      <c r="J732" s="13"/>
      <c r="K732" s="13"/>
      <c r="L732" s="13"/>
      <c r="M732" s="28"/>
      <c r="N732" s="294"/>
      <c r="O732" s="13"/>
      <c r="P732" s="13"/>
      <c r="Q732" s="13"/>
      <c r="R732" s="13"/>
      <c r="S732" s="13"/>
      <c r="T732" s="13"/>
      <c r="U732" s="13"/>
      <c r="V732" s="13"/>
      <c r="W732" s="13"/>
      <c r="X732" s="13"/>
      <c r="Y732" s="13"/>
      <c r="Z732" s="13"/>
    </row>
    <row r="733" spans="1:26" ht="13.5" customHeight="1">
      <c r="A733" s="13"/>
      <c r="B733" s="13"/>
      <c r="C733" s="13"/>
      <c r="D733" s="13"/>
      <c r="E733" s="13"/>
      <c r="F733" s="13"/>
      <c r="G733" s="13"/>
      <c r="H733" s="13"/>
      <c r="I733" s="13"/>
      <c r="J733" s="13"/>
      <c r="K733" s="13"/>
      <c r="L733" s="13"/>
      <c r="M733" s="28"/>
      <c r="N733" s="294"/>
      <c r="O733" s="13"/>
      <c r="P733" s="13"/>
      <c r="Q733" s="13"/>
      <c r="R733" s="13"/>
      <c r="S733" s="13"/>
      <c r="T733" s="13"/>
      <c r="U733" s="13"/>
      <c r="V733" s="13"/>
      <c r="W733" s="13"/>
      <c r="X733" s="13"/>
      <c r="Y733" s="13"/>
      <c r="Z733" s="13"/>
    </row>
    <row r="734" spans="1:26" ht="13.5" customHeight="1">
      <c r="A734" s="13"/>
      <c r="B734" s="13"/>
      <c r="C734" s="13"/>
      <c r="D734" s="13"/>
      <c r="E734" s="13"/>
      <c r="F734" s="13"/>
      <c r="G734" s="13"/>
      <c r="H734" s="13"/>
      <c r="I734" s="13"/>
      <c r="J734" s="13"/>
      <c r="K734" s="13"/>
      <c r="L734" s="13"/>
      <c r="M734" s="28"/>
      <c r="N734" s="294"/>
      <c r="O734" s="13"/>
      <c r="P734" s="13"/>
      <c r="Q734" s="13"/>
      <c r="R734" s="13"/>
      <c r="S734" s="13"/>
      <c r="T734" s="13"/>
      <c r="U734" s="13"/>
      <c r="V734" s="13"/>
      <c r="W734" s="13"/>
      <c r="X734" s="13"/>
      <c r="Y734" s="13"/>
      <c r="Z734" s="13"/>
    </row>
    <row r="735" spans="1:26" ht="13.5" customHeight="1">
      <c r="A735" s="13"/>
      <c r="B735" s="13"/>
      <c r="C735" s="13"/>
      <c r="D735" s="13"/>
      <c r="E735" s="13"/>
      <c r="F735" s="13"/>
      <c r="G735" s="13"/>
      <c r="H735" s="13"/>
      <c r="I735" s="13"/>
      <c r="J735" s="13"/>
      <c r="K735" s="13"/>
      <c r="L735" s="13"/>
      <c r="M735" s="28"/>
      <c r="N735" s="294"/>
      <c r="O735" s="13"/>
      <c r="P735" s="13"/>
      <c r="Q735" s="13"/>
      <c r="R735" s="13"/>
      <c r="S735" s="13"/>
      <c r="T735" s="13"/>
      <c r="U735" s="13"/>
      <c r="V735" s="13"/>
      <c r="W735" s="13"/>
      <c r="X735" s="13"/>
      <c r="Y735" s="13"/>
      <c r="Z735" s="13"/>
    </row>
    <row r="736" spans="1:26" ht="13.5" customHeight="1">
      <c r="A736" s="13"/>
      <c r="B736" s="13"/>
      <c r="C736" s="13"/>
      <c r="D736" s="13"/>
      <c r="E736" s="13"/>
      <c r="F736" s="13"/>
      <c r="G736" s="13"/>
      <c r="H736" s="13"/>
      <c r="I736" s="13"/>
      <c r="J736" s="13"/>
      <c r="K736" s="13"/>
      <c r="L736" s="13"/>
      <c r="M736" s="28"/>
      <c r="N736" s="294"/>
      <c r="O736" s="13"/>
      <c r="P736" s="13"/>
      <c r="Q736" s="13"/>
      <c r="R736" s="13"/>
      <c r="S736" s="13"/>
      <c r="T736" s="13"/>
      <c r="U736" s="13"/>
      <c r="V736" s="13"/>
      <c r="W736" s="13"/>
      <c r="X736" s="13"/>
      <c r="Y736" s="13"/>
      <c r="Z736" s="13"/>
    </row>
    <row r="737" spans="1:26" ht="13.5" customHeight="1">
      <c r="A737" s="13"/>
      <c r="B737" s="13"/>
      <c r="C737" s="13"/>
      <c r="D737" s="13"/>
      <c r="E737" s="13"/>
      <c r="F737" s="13"/>
      <c r="G737" s="13"/>
      <c r="H737" s="13"/>
      <c r="I737" s="13"/>
      <c r="J737" s="13"/>
      <c r="K737" s="13"/>
      <c r="L737" s="13"/>
      <c r="M737" s="28"/>
      <c r="N737" s="294"/>
      <c r="O737" s="13"/>
      <c r="P737" s="13"/>
      <c r="Q737" s="13"/>
      <c r="R737" s="13"/>
      <c r="S737" s="13"/>
      <c r="T737" s="13"/>
      <c r="U737" s="13"/>
      <c r="V737" s="13"/>
      <c r="W737" s="13"/>
      <c r="X737" s="13"/>
      <c r="Y737" s="13"/>
      <c r="Z737" s="13"/>
    </row>
    <row r="738" spans="1:26" ht="13.5" customHeight="1">
      <c r="A738" s="13"/>
      <c r="B738" s="13"/>
      <c r="C738" s="13"/>
      <c r="D738" s="13"/>
      <c r="E738" s="13"/>
      <c r="F738" s="13"/>
      <c r="G738" s="13"/>
      <c r="H738" s="13"/>
      <c r="I738" s="13"/>
      <c r="J738" s="13"/>
      <c r="K738" s="13"/>
      <c r="L738" s="13"/>
      <c r="M738" s="28"/>
      <c r="N738" s="294"/>
      <c r="O738" s="13"/>
      <c r="P738" s="13"/>
      <c r="Q738" s="13"/>
      <c r="R738" s="13"/>
      <c r="S738" s="13"/>
      <c r="T738" s="13"/>
      <c r="U738" s="13"/>
      <c r="V738" s="13"/>
      <c r="W738" s="13"/>
      <c r="X738" s="13"/>
      <c r="Y738" s="13"/>
      <c r="Z738" s="13"/>
    </row>
    <row r="739" spans="1:26" ht="13.5" customHeight="1">
      <c r="A739" s="13"/>
      <c r="B739" s="13"/>
      <c r="C739" s="13"/>
      <c r="D739" s="13"/>
      <c r="E739" s="13"/>
      <c r="F739" s="13"/>
      <c r="G739" s="13"/>
      <c r="H739" s="13"/>
      <c r="I739" s="13"/>
      <c r="J739" s="13"/>
      <c r="K739" s="13"/>
      <c r="L739" s="13"/>
      <c r="M739" s="28"/>
      <c r="N739" s="294"/>
      <c r="O739" s="13"/>
      <c r="P739" s="13"/>
      <c r="Q739" s="13"/>
      <c r="R739" s="13"/>
      <c r="S739" s="13"/>
      <c r="T739" s="13"/>
      <c r="U739" s="13"/>
      <c r="V739" s="13"/>
      <c r="W739" s="13"/>
      <c r="X739" s="13"/>
      <c r="Y739" s="13"/>
      <c r="Z739" s="13"/>
    </row>
    <row r="740" spans="1:26" ht="13.5" customHeight="1">
      <c r="A740" s="13"/>
      <c r="B740" s="13"/>
      <c r="C740" s="13"/>
      <c r="D740" s="13"/>
      <c r="E740" s="13"/>
      <c r="F740" s="13"/>
      <c r="G740" s="13"/>
      <c r="H740" s="13"/>
      <c r="I740" s="13"/>
      <c r="J740" s="13"/>
      <c r="K740" s="13"/>
      <c r="L740" s="13"/>
      <c r="M740" s="28"/>
      <c r="N740" s="294"/>
      <c r="O740" s="13"/>
      <c r="P740" s="13"/>
      <c r="Q740" s="13"/>
      <c r="R740" s="13"/>
      <c r="S740" s="13"/>
      <c r="T740" s="13"/>
      <c r="U740" s="13"/>
      <c r="V740" s="13"/>
      <c r="W740" s="13"/>
      <c r="X740" s="13"/>
      <c r="Y740" s="13"/>
      <c r="Z740" s="13"/>
    </row>
    <row r="741" spans="1:26" ht="13.5" customHeight="1">
      <c r="A741" s="13"/>
      <c r="B741" s="13"/>
      <c r="C741" s="13"/>
      <c r="D741" s="13"/>
      <c r="E741" s="13"/>
      <c r="F741" s="13"/>
      <c r="G741" s="13"/>
      <c r="H741" s="13"/>
      <c r="I741" s="13"/>
      <c r="J741" s="13"/>
      <c r="K741" s="13"/>
      <c r="L741" s="13"/>
      <c r="M741" s="28"/>
      <c r="N741" s="294"/>
      <c r="O741" s="13"/>
      <c r="P741" s="13"/>
      <c r="Q741" s="13"/>
      <c r="R741" s="13"/>
      <c r="S741" s="13"/>
      <c r="T741" s="13"/>
      <c r="U741" s="13"/>
      <c r="V741" s="13"/>
      <c r="W741" s="13"/>
      <c r="X741" s="13"/>
      <c r="Y741" s="13"/>
      <c r="Z741" s="13"/>
    </row>
    <row r="742" spans="1:26" ht="13.5" customHeight="1">
      <c r="A742" s="13"/>
      <c r="B742" s="13"/>
      <c r="C742" s="13"/>
      <c r="D742" s="13"/>
      <c r="E742" s="13"/>
      <c r="F742" s="13"/>
      <c r="G742" s="13"/>
      <c r="H742" s="13"/>
      <c r="I742" s="13"/>
      <c r="J742" s="13"/>
      <c r="K742" s="13"/>
      <c r="L742" s="13"/>
      <c r="M742" s="28"/>
      <c r="N742" s="294"/>
      <c r="O742" s="13"/>
      <c r="P742" s="13"/>
      <c r="Q742" s="13"/>
      <c r="R742" s="13"/>
      <c r="S742" s="13"/>
      <c r="T742" s="13"/>
      <c r="U742" s="13"/>
      <c r="V742" s="13"/>
      <c r="W742" s="13"/>
      <c r="X742" s="13"/>
      <c r="Y742" s="13"/>
      <c r="Z742" s="13"/>
    </row>
    <row r="743" spans="1:26" ht="13.5" customHeight="1">
      <c r="A743" s="13"/>
      <c r="B743" s="13"/>
      <c r="C743" s="13"/>
      <c r="D743" s="13"/>
      <c r="E743" s="13"/>
      <c r="F743" s="13"/>
      <c r="G743" s="13"/>
      <c r="H743" s="13"/>
      <c r="I743" s="13"/>
      <c r="J743" s="13"/>
      <c r="K743" s="13"/>
      <c r="L743" s="13"/>
      <c r="M743" s="28"/>
      <c r="N743" s="294"/>
      <c r="O743" s="13"/>
      <c r="P743" s="13"/>
      <c r="Q743" s="13"/>
      <c r="R743" s="13"/>
      <c r="S743" s="13"/>
      <c r="T743" s="13"/>
      <c r="U743" s="13"/>
      <c r="V743" s="13"/>
      <c r="W743" s="13"/>
      <c r="X743" s="13"/>
      <c r="Y743" s="13"/>
      <c r="Z743" s="13"/>
    </row>
    <row r="744" spans="1:26" ht="13.5" customHeight="1">
      <c r="A744" s="13"/>
      <c r="B744" s="13"/>
      <c r="C744" s="13"/>
      <c r="D744" s="13"/>
      <c r="E744" s="13"/>
      <c r="F744" s="13"/>
      <c r="G744" s="13"/>
      <c r="H744" s="13"/>
      <c r="I744" s="13"/>
      <c r="J744" s="13"/>
      <c r="K744" s="13"/>
      <c r="L744" s="13"/>
      <c r="M744" s="28"/>
      <c r="N744" s="294"/>
      <c r="O744" s="13"/>
      <c r="P744" s="13"/>
      <c r="Q744" s="13"/>
      <c r="R744" s="13"/>
      <c r="S744" s="13"/>
      <c r="T744" s="13"/>
      <c r="U744" s="13"/>
      <c r="V744" s="13"/>
      <c r="W744" s="13"/>
      <c r="X744" s="13"/>
      <c r="Y744" s="13"/>
      <c r="Z744" s="13"/>
    </row>
    <row r="745" spans="1:26" ht="13.5" customHeight="1">
      <c r="A745" s="13"/>
      <c r="B745" s="13"/>
      <c r="C745" s="13"/>
      <c r="D745" s="13"/>
      <c r="E745" s="13"/>
      <c r="F745" s="13"/>
      <c r="G745" s="13"/>
      <c r="H745" s="13"/>
      <c r="I745" s="13"/>
      <c r="J745" s="13"/>
      <c r="K745" s="13"/>
      <c r="L745" s="13"/>
      <c r="M745" s="28"/>
      <c r="N745" s="294"/>
      <c r="O745" s="13"/>
      <c r="P745" s="13"/>
      <c r="Q745" s="13"/>
      <c r="R745" s="13"/>
      <c r="S745" s="13"/>
      <c r="T745" s="13"/>
      <c r="U745" s="13"/>
      <c r="V745" s="13"/>
      <c r="W745" s="13"/>
      <c r="X745" s="13"/>
      <c r="Y745" s="13"/>
      <c r="Z745" s="13"/>
    </row>
    <row r="746" spans="1:26" ht="13.5" customHeight="1">
      <c r="A746" s="13"/>
      <c r="B746" s="13"/>
      <c r="C746" s="13"/>
      <c r="D746" s="13"/>
      <c r="E746" s="13"/>
      <c r="F746" s="13"/>
      <c r="G746" s="13"/>
      <c r="H746" s="13"/>
      <c r="I746" s="13"/>
      <c r="J746" s="13"/>
      <c r="K746" s="13"/>
      <c r="L746" s="13"/>
      <c r="M746" s="28"/>
      <c r="N746" s="294"/>
      <c r="O746" s="13"/>
      <c r="P746" s="13"/>
      <c r="Q746" s="13"/>
      <c r="R746" s="13"/>
      <c r="S746" s="13"/>
      <c r="T746" s="13"/>
      <c r="U746" s="13"/>
      <c r="V746" s="13"/>
      <c r="W746" s="13"/>
      <c r="X746" s="13"/>
      <c r="Y746" s="13"/>
      <c r="Z746" s="13"/>
    </row>
    <row r="747" spans="1:26" ht="13.5" customHeight="1">
      <c r="A747" s="13"/>
      <c r="B747" s="13"/>
      <c r="C747" s="13"/>
      <c r="D747" s="13"/>
      <c r="E747" s="13"/>
      <c r="F747" s="13"/>
      <c r="G747" s="13"/>
      <c r="H747" s="13"/>
      <c r="I747" s="13"/>
      <c r="J747" s="13"/>
      <c r="K747" s="13"/>
      <c r="L747" s="13"/>
      <c r="M747" s="28"/>
      <c r="N747" s="294"/>
      <c r="O747" s="13"/>
      <c r="P747" s="13"/>
      <c r="Q747" s="13"/>
      <c r="R747" s="13"/>
      <c r="S747" s="13"/>
      <c r="T747" s="13"/>
      <c r="U747" s="13"/>
      <c r="V747" s="13"/>
      <c r="W747" s="13"/>
      <c r="X747" s="13"/>
      <c r="Y747" s="13"/>
      <c r="Z747" s="13"/>
    </row>
    <row r="748" spans="1:26" ht="13.5" customHeight="1">
      <c r="A748" s="13"/>
      <c r="B748" s="13"/>
      <c r="C748" s="13"/>
      <c r="D748" s="13"/>
      <c r="E748" s="13"/>
      <c r="F748" s="13"/>
      <c r="G748" s="13"/>
      <c r="H748" s="13"/>
      <c r="I748" s="13"/>
      <c r="J748" s="13"/>
      <c r="K748" s="13"/>
      <c r="L748" s="13"/>
      <c r="M748" s="28"/>
      <c r="N748" s="294"/>
      <c r="O748" s="13"/>
      <c r="P748" s="13"/>
      <c r="Q748" s="13"/>
      <c r="R748" s="13"/>
      <c r="S748" s="13"/>
      <c r="T748" s="13"/>
      <c r="U748" s="13"/>
      <c r="V748" s="13"/>
      <c r="W748" s="13"/>
      <c r="X748" s="13"/>
      <c r="Y748" s="13"/>
      <c r="Z748" s="13"/>
    </row>
    <row r="749" spans="1:26" ht="13.5" customHeight="1">
      <c r="A749" s="13"/>
      <c r="B749" s="13"/>
      <c r="C749" s="13"/>
      <c r="D749" s="13"/>
      <c r="E749" s="13"/>
      <c r="F749" s="13"/>
      <c r="G749" s="13"/>
      <c r="H749" s="13"/>
      <c r="I749" s="13"/>
      <c r="J749" s="13"/>
      <c r="K749" s="13"/>
      <c r="L749" s="13"/>
      <c r="M749" s="28"/>
      <c r="N749" s="294"/>
      <c r="O749" s="13"/>
      <c r="P749" s="13"/>
      <c r="Q749" s="13"/>
      <c r="R749" s="13"/>
      <c r="S749" s="13"/>
      <c r="T749" s="13"/>
      <c r="U749" s="13"/>
      <c r="V749" s="13"/>
      <c r="W749" s="13"/>
      <c r="X749" s="13"/>
      <c r="Y749" s="13"/>
      <c r="Z749" s="13"/>
    </row>
    <row r="750" spans="1:26" ht="13.5" customHeight="1">
      <c r="A750" s="13"/>
      <c r="B750" s="13"/>
      <c r="C750" s="13"/>
      <c r="D750" s="13"/>
      <c r="E750" s="13"/>
      <c r="F750" s="13"/>
      <c r="G750" s="13"/>
      <c r="H750" s="13"/>
      <c r="I750" s="13"/>
      <c r="J750" s="13"/>
      <c r="K750" s="13"/>
      <c r="L750" s="13"/>
      <c r="M750" s="28"/>
      <c r="N750" s="294"/>
      <c r="O750" s="13"/>
      <c r="P750" s="13"/>
      <c r="Q750" s="13"/>
      <c r="R750" s="13"/>
      <c r="S750" s="13"/>
      <c r="T750" s="13"/>
      <c r="U750" s="13"/>
      <c r="V750" s="13"/>
      <c r="W750" s="13"/>
      <c r="X750" s="13"/>
      <c r="Y750" s="13"/>
      <c r="Z750" s="13"/>
    </row>
    <row r="751" spans="1:26" ht="13.5" customHeight="1">
      <c r="A751" s="13"/>
      <c r="B751" s="13"/>
      <c r="C751" s="13"/>
      <c r="D751" s="13"/>
      <c r="E751" s="13"/>
      <c r="F751" s="13"/>
      <c r="G751" s="13"/>
      <c r="H751" s="13"/>
      <c r="I751" s="13"/>
      <c r="J751" s="13"/>
      <c r="K751" s="13"/>
      <c r="L751" s="13"/>
      <c r="M751" s="28"/>
      <c r="N751" s="294"/>
      <c r="O751" s="13"/>
      <c r="P751" s="13"/>
      <c r="Q751" s="13"/>
      <c r="R751" s="13"/>
      <c r="S751" s="13"/>
      <c r="T751" s="13"/>
      <c r="U751" s="13"/>
      <c r="V751" s="13"/>
      <c r="W751" s="13"/>
      <c r="X751" s="13"/>
      <c r="Y751" s="13"/>
      <c r="Z751" s="13"/>
    </row>
    <row r="752" spans="1:26" ht="13.5" customHeight="1">
      <c r="A752" s="13"/>
      <c r="B752" s="13"/>
      <c r="C752" s="13"/>
      <c r="D752" s="13"/>
      <c r="E752" s="13"/>
      <c r="F752" s="13"/>
      <c r="G752" s="13"/>
      <c r="H752" s="13"/>
      <c r="I752" s="13"/>
      <c r="J752" s="13"/>
      <c r="K752" s="13"/>
      <c r="L752" s="13"/>
      <c r="M752" s="28"/>
      <c r="N752" s="294"/>
      <c r="O752" s="13"/>
      <c r="P752" s="13"/>
      <c r="Q752" s="13"/>
      <c r="R752" s="13"/>
      <c r="S752" s="13"/>
      <c r="T752" s="13"/>
      <c r="U752" s="13"/>
      <c r="V752" s="13"/>
      <c r="W752" s="13"/>
      <c r="X752" s="13"/>
      <c r="Y752" s="13"/>
      <c r="Z752" s="13"/>
    </row>
    <row r="753" spans="1:26" ht="13.5" customHeight="1">
      <c r="A753" s="13"/>
      <c r="B753" s="13"/>
      <c r="C753" s="13"/>
      <c r="D753" s="13"/>
      <c r="E753" s="13"/>
      <c r="F753" s="13"/>
      <c r="G753" s="13"/>
      <c r="H753" s="13"/>
      <c r="I753" s="13"/>
      <c r="J753" s="13"/>
      <c r="K753" s="13"/>
      <c r="L753" s="13"/>
      <c r="M753" s="28"/>
      <c r="N753" s="294"/>
      <c r="O753" s="13"/>
      <c r="P753" s="13"/>
      <c r="Q753" s="13"/>
      <c r="R753" s="13"/>
      <c r="S753" s="13"/>
      <c r="T753" s="13"/>
      <c r="U753" s="13"/>
      <c r="V753" s="13"/>
      <c r="W753" s="13"/>
      <c r="X753" s="13"/>
      <c r="Y753" s="13"/>
      <c r="Z753" s="13"/>
    </row>
    <row r="754" spans="1:26" ht="13.5" customHeight="1">
      <c r="A754" s="13"/>
      <c r="B754" s="13"/>
      <c r="C754" s="13"/>
      <c r="D754" s="13"/>
      <c r="E754" s="13"/>
      <c r="F754" s="13"/>
      <c r="G754" s="13"/>
      <c r="H754" s="13"/>
      <c r="I754" s="13"/>
      <c r="J754" s="13"/>
      <c r="K754" s="13"/>
      <c r="L754" s="13"/>
      <c r="M754" s="28"/>
      <c r="N754" s="294"/>
      <c r="O754" s="13"/>
      <c r="P754" s="13"/>
      <c r="Q754" s="13"/>
      <c r="R754" s="13"/>
      <c r="S754" s="13"/>
      <c r="T754" s="13"/>
      <c r="U754" s="13"/>
      <c r="V754" s="13"/>
      <c r="W754" s="13"/>
      <c r="X754" s="13"/>
      <c r="Y754" s="13"/>
      <c r="Z754" s="13"/>
    </row>
    <row r="755" spans="1:26" ht="13.5" customHeight="1">
      <c r="A755" s="13"/>
      <c r="B755" s="13"/>
      <c r="C755" s="13"/>
      <c r="D755" s="13"/>
      <c r="E755" s="13"/>
      <c r="F755" s="13"/>
      <c r="G755" s="13"/>
      <c r="H755" s="13"/>
      <c r="I755" s="13"/>
      <c r="J755" s="13"/>
      <c r="K755" s="13"/>
      <c r="L755" s="13"/>
      <c r="M755" s="28"/>
      <c r="N755" s="294"/>
      <c r="O755" s="13"/>
      <c r="P755" s="13"/>
      <c r="Q755" s="13"/>
      <c r="R755" s="13"/>
      <c r="S755" s="13"/>
      <c r="T755" s="13"/>
      <c r="U755" s="13"/>
      <c r="V755" s="13"/>
      <c r="W755" s="13"/>
      <c r="X755" s="13"/>
      <c r="Y755" s="13"/>
      <c r="Z755" s="13"/>
    </row>
    <row r="756" spans="1:26" ht="13.5" customHeight="1">
      <c r="A756" s="13"/>
      <c r="B756" s="13"/>
      <c r="C756" s="13"/>
      <c r="D756" s="13"/>
      <c r="E756" s="13"/>
      <c r="F756" s="13"/>
      <c r="G756" s="13"/>
      <c r="H756" s="13"/>
      <c r="I756" s="13"/>
      <c r="J756" s="13"/>
      <c r="K756" s="13"/>
      <c r="L756" s="13"/>
      <c r="M756" s="28"/>
      <c r="N756" s="294"/>
      <c r="O756" s="13"/>
      <c r="P756" s="13"/>
      <c r="Q756" s="13"/>
      <c r="R756" s="13"/>
      <c r="S756" s="13"/>
      <c r="T756" s="13"/>
      <c r="U756" s="13"/>
      <c r="V756" s="13"/>
      <c r="W756" s="13"/>
      <c r="X756" s="13"/>
      <c r="Y756" s="13"/>
      <c r="Z756" s="13"/>
    </row>
    <row r="757" spans="1:26" ht="13.5" customHeight="1">
      <c r="A757" s="13"/>
      <c r="B757" s="13"/>
      <c r="C757" s="13"/>
      <c r="D757" s="13"/>
      <c r="E757" s="13"/>
      <c r="F757" s="13"/>
      <c r="G757" s="13"/>
      <c r="H757" s="13"/>
      <c r="I757" s="13"/>
      <c r="J757" s="13"/>
      <c r="K757" s="13"/>
      <c r="L757" s="13"/>
      <c r="M757" s="28"/>
      <c r="N757" s="294"/>
      <c r="O757" s="13"/>
      <c r="P757" s="13"/>
      <c r="Q757" s="13"/>
      <c r="R757" s="13"/>
      <c r="S757" s="13"/>
      <c r="T757" s="13"/>
      <c r="U757" s="13"/>
      <c r="V757" s="13"/>
      <c r="W757" s="13"/>
      <c r="X757" s="13"/>
      <c r="Y757" s="13"/>
      <c r="Z757" s="13"/>
    </row>
    <row r="758" spans="1:26" ht="13.5" customHeight="1">
      <c r="A758" s="13"/>
      <c r="B758" s="13"/>
      <c r="C758" s="13"/>
      <c r="D758" s="13"/>
      <c r="E758" s="13"/>
      <c r="F758" s="13"/>
      <c r="G758" s="13"/>
      <c r="H758" s="13"/>
      <c r="I758" s="13"/>
      <c r="J758" s="13"/>
      <c r="K758" s="13"/>
      <c r="L758" s="13"/>
      <c r="M758" s="28"/>
      <c r="N758" s="294"/>
      <c r="O758" s="13"/>
      <c r="P758" s="13"/>
      <c r="Q758" s="13"/>
      <c r="R758" s="13"/>
      <c r="S758" s="13"/>
      <c r="T758" s="13"/>
      <c r="U758" s="13"/>
      <c r="V758" s="13"/>
      <c r="W758" s="13"/>
      <c r="X758" s="13"/>
      <c r="Y758" s="13"/>
      <c r="Z758" s="13"/>
    </row>
    <row r="759" spans="1:26" ht="13.5" customHeight="1">
      <c r="A759" s="13"/>
      <c r="B759" s="13"/>
      <c r="C759" s="13"/>
      <c r="D759" s="13"/>
      <c r="E759" s="13"/>
      <c r="F759" s="13"/>
      <c r="G759" s="13"/>
      <c r="H759" s="13"/>
      <c r="I759" s="13"/>
      <c r="J759" s="13"/>
      <c r="K759" s="13"/>
      <c r="L759" s="13"/>
      <c r="M759" s="28"/>
      <c r="N759" s="294"/>
      <c r="O759" s="13"/>
      <c r="P759" s="13"/>
      <c r="Q759" s="13"/>
      <c r="R759" s="13"/>
      <c r="S759" s="13"/>
      <c r="T759" s="13"/>
      <c r="U759" s="13"/>
      <c r="V759" s="13"/>
      <c r="W759" s="13"/>
      <c r="X759" s="13"/>
      <c r="Y759" s="13"/>
      <c r="Z759" s="13"/>
    </row>
    <row r="760" spans="1:26" ht="13.5" customHeight="1">
      <c r="A760" s="13"/>
      <c r="B760" s="13"/>
      <c r="C760" s="13"/>
      <c r="D760" s="13"/>
      <c r="E760" s="13"/>
      <c r="F760" s="13"/>
      <c r="G760" s="13"/>
      <c r="H760" s="13"/>
      <c r="I760" s="13"/>
      <c r="J760" s="13"/>
      <c r="K760" s="13"/>
      <c r="L760" s="13"/>
      <c r="M760" s="28"/>
      <c r="N760" s="294"/>
      <c r="O760" s="13"/>
      <c r="P760" s="13"/>
      <c r="Q760" s="13"/>
      <c r="R760" s="13"/>
      <c r="S760" s="13"/>
      <c r="T760" s="13"/>
      <c r="U760" s="13"/>
      <c r="V760" s="13"/>
      <c r="W760" s="13"/>
      <c r="X760" s="13"/>
      <c r="Y760" s="13"/>
      <c r="Z760" s="13"/>
    </row>
    <row r="761" spans="1:26" ht="13.5" customHeight="1">
      <c r="A761" s="13"/>
      <c r="B761" s="13"/>
      <c r="C761" s="13"/>
      <c r="D761" s="13"/>
      <c r="E761" s="13"/>
      <c r="F761" s="13"/>
      <c r="G761" s="13"/>
      <c r="H761" s="13"/>
      <c r="I761" s="13"/>
      <c r="J761" s="13"/>
      <c r="K761" s="13"/>
      <c r="L761" s="13"/>
      <c r="M761" s="28"/>
      <c r="N761" s="294"/>
      <c r="O761" s="13"/>
      <c r="P761" s="13"/>
      <c r="Q761" s="13"/>
      <c r="R761" s="13"/>
      <c r="S761" s="13"/>
      <c r="T761" s="13"/>
      <c r="U761" s="13"/>
      <c r="V761" s="13"/>
      <c r="W761" s="13"/>
      <c r="X761" s="13"/>
      <c r="Y761" s="13"/>
      <c r="Z761" s="13"/>
    </row>
    <row r="762" spans="1:26" ht="13.5" customHeight="1">
      <c r="A762" s="13"/>
      <c r="B762" s="13"/>
      <c r="C762" s="13"/>
      <c r="D762" s="13"/>
      <c r="E762" s="13"/>
      <c r="F762" s="13"/>
      <c r="G762" s="13"/>
      <c r="H762" s="13"/>
      <c r="I762" s="13"/>
      <c r="J762" s="13"/>
      <c r="K762" s="13"/>
      <c r="L762" s="13"/>
      <c r="M762" s="28"/>
      <c r="N762" s="294"/>
      <c r="O762" s="13"/>
      <c r="P762" s="13"/>
      <c r="Q762" s="13"/>
      <c r="R762" s="13"/>
      <c r="S762" s="13"/>
      <c r="T762" s="13"/>
      <c r="U762" s="13"/>
      <c r="V762" s="13"/>
      <c r="W762" s="13"/>
      <c r="X762" s="13"/>
      <c r="Y762" s="13"/>
      <c r="Z762" s="13"/>
    </row>
    <row r="763" spans="1:26" ht="13.5" customHeight="1">
      <c r="A763" s="13"/>
      <c r="B763" s="13"/>
      <c r="C763" s="13"/>
      <c r="D763" s="13"/>
      <c r="E763" s="13"/>
      <c r="F763" s="13"/>
      <c r="G763" s="13"/>
      <c r="H763" s="13"/>
      <c r="I763" s="13"/>
      <c r="J763" s="13"/>
      <c r="K763" s="13"/>
      <c r="L763" s="13"/>
      <c r="M763" s="28"/>
      <c r="N763" s="294"/>
      <c r="O763" s="13"/>
      <c r="P763" s="13"/>
      <c r="Q763" s="13"/>
      <c r="R763" s="13"/>
      <c r="S763" s="13"/>
      <c r="T763" s="13"/>
      <c r="U763" s="13"/>
      <c r="V763" s="13"/>
      <c r="W763" s="13"/>
      <c r="X763" s="13"/>
      <c r="Y763" s="13"/>
      <c r="Z763" s="13"/>
    </row>
    <row r="764" spans="1:26" ht="13.5" customHeight="1">
      <c r="A764" s="13"/>
      <c r="B764" s="13"/>
      <c r="C764" s="13"/>
      <c r="D764" s="13"/>
      <c r="E764" s="13"/>
      <c r="F764" s="13"/>
      <c r="G764" s="13"/>
      <c r="H764" s="13"/>
      <c r="I764" s="13"/>
      <c r="J764" s="13"/>
      <c r="K764" s="13"/>
      <c r="L764" s="13"/>
      <c r="M764" s="28"/>
      <c r="N764" s="294"/>
      <c r="O764" s="13"/>
      <c r="P764" s="13"/>
      <c r="Q764" s="13"/>
      <c r="R764" s="13"/>
      <c r="S764" s="13"/>
      <c r="T764" s="13"/>
      <c r="U764" s="13"/>
      <c r="V764" s="13"/>
      <c r="W764" s="13"/>
      <c r="X764" s="13"/>
      <c r="Y764" s="13"/>
      <c r="Z764" s="13"/>
    </row>
    <row r="765" spans="1:26" ht="13.5" customHeight="1">
      <c r="A765" s="13"/>
      <c r="B765" s="13"/>
      <c r="C765" s="13"/>
      <c r="D765" s="13"/>
      <c r="E765" s="13"/>
      <c r="F765" s="13"/>
      <c r="G765" s="13"/>
      <c r="H765" s="13"/>
      <c r="I765" s="13"/>
      <c r="J765" s="13"/>
      <c r="K765" s="13"/>
      <c r="L765" s="13"/>
      <c r="M765" s="28"/>
      <c r="N765" s="294"/>
      <c r="O765" s="13"/>
      <c r="P765" s="13"/>
      <c r="Q765" s="13"/>
      <c r="R765" s="13"/>
      <c r="S765" s="13"/>
      <c r="T765" s="13"/>
      <c r="U765" s="13"/>
      <c r="V765" s="13"/>
      <c r="W765" s="13"/>
      <c r="X765" s="13"/>
      <c r="Y765" s="13"/>
      <c r="Z765" s="13"/>
    </row>
    <row r="766" spans="1:26" ht="13.5" customHeight="1">
      <c r="A766" s="13"/>
      <c r="B766" s="13"/>
      <c r="C766" s="13"/>
      <c r="D766" s="13"/>
      <c r="E766" s="13"/>
      <c r="F766" s="13"/>
      <c r="G766" s="13"/>
      <c r="H766" s="13"/>
      <c r="I766" s="13"/>
      <c r="J766" s="13"/>
      <c r="K766" s="13"/>
      <c r="L766" s="13"/>
      <c r="M766" s="28"/>
      <c r="N766" s="294"/>
      <c r="O766" s="13"/>
      <c r="P766" s="13"/>
      <c r="Q766" s="13"/>
      <c r="R766" s="13"/>
      <c r="S766" s="13"/>
      <c r="T766" s="13"/>
      <c r="U766" s="13"/>
      <c r="V766" s="13"/>
      <c r="W766" s="13"/>
      <c r="X766" s="13"/>
      <c r="Y766" s="13"/>
      <c r="Z766" s="13"/>
    </row>
    <row r="767" spans="1:26" ht="13.5" customHeight="1">
      <c r="A767" s="13"/>
      <c r="B767" s="13"/>
      <c r="C767" s="13"/>
      <c r="D767" s="13"/>
      <c r="E767" s="13"/>
      <c r="F767" s="13"/>
      <c r="G767" s="13"/>
      <c r="H767" s="13"/>
      <c r="I767" s="13"/>
      <c r="J767" s="13"/>
      <c r="K767" s="13"/>
      <c r="L767" s="13"/>
      <c r="M767" s="28"/>
      <c r="N767" s="294"/>
      <c r="O767" s="13"/>
      <c r="P767" s="13"/>
      <c r="Q767" s="13"/>
      <c r="R767" s="13"/>
      <c r="S767" s="13"/>
      <c r="T767" s="13"/>
      <c r="U767" s="13"/>
      <c r="V767" s="13"/>
      <c r="W767" s="13"/>
      <c r="X767" s="13"/>
      <c r="Y767" s="13"/>
      <c r="Z767" s="13"/>
    </row>
    <row r="768" spans="1:26" ht="13.5" customHeight="1">
      <c r="A768" s="13"/>
      <c r="B768" s="13"/>
      <c r="C768" s="13"/>
      <c r="D768" s="13"/>
      <c r="E768" s="13"/>
      <c r="F768" s="13"/>
      <c r="G768" s="13"/>
      <c r="H768" s="13"/>
      <c r="I768" s="13"/>
      <c r="J768" s="13"/>
      <c r="K768" s="13"/>
      <c r="L768" s="13"/>
      <c r="M768" s="28"/>
      <c r="N768" s="294"/>
      <c r="O768" s="13"/>
      <c r="P768" s="13"/>
      <c r="Q768" s="13"/>
      <c r="R768" s="13"/>
      <c r="S768" s="13"/>
      <c r="T768" s="13"/>
      <c r="U768" s="13"/>
      <c r="V768" s="13"/>
      <c r="W768" s="13"/>
      <c r="X768" s="13"/>
      <c r="Y768" s="13"/>
      <c r="Z768" s="13"/>
    </row>
    <row r="769" spans="1:26" ht="13.5" customHeight="1">
      <c r="A769" s="13"/>
      <c r="B769" s="13"/>
      <c r="C769" s="13"/>
      <c r="D769" s="13"/>
      <c r="E769" s="13"/>
      <c r="F769" s="13"/>
      <c r="G769" s="13"/>
      <c r="H769" s="13"/>
      <c r="I769" s="13"/>
      <c r="J769" s="13"/>
      <c r="K769" s="13"/>
      <c r="L769" s="13"/>
      <c r="M769" s="28"/>
      <c r="N769" s="294"/>
      <c r="O769" s="13"/>
      <c r="P769" s="13"/>
      <c r="Q769" s="13"/>
      <c r="R769" s="13"/>
      <c r="S769" s="13"/>
      <c r="T769" s="13"/>
      <c r="U769" s="13"/>
      <c r="V769" s="13"/>
      <c r="W769" s="13"/>
      <c r="X769" s="13"/>
      <c r="Y769" s="13"/>
      <c r="Z769" s="13"/>
    </row>
    <row r="770" spans="1:26" ht="13.5" customHeight="1">
      <c r="A770" s="13"/>
      <c r="B770" s="13"/>
      <c r="C770" s="13"/>
      <c r="D770" s="13"/>
      <c r="E770" s="13"/>
      <c r="F770" s="13"/>
      <c r="G770" s="13"/>
      <c r="H770" s="13"/>
      <c r="I770" s="13"/>
      <c r="J770" s="13"/>
      <c r="K770" s="13"/>
      <c r="L770" s="13"/>
      <c r="M770" s="28"/>
      <c r="N770" s="294"/>
      <c r="O770" s="13"/>
      <c r="P770" s="13"/>
      <c r="Q770" s="13"/>
      <c r="R770" s="13"/>
      <c r="S770" s="13"/>
      <c r="T770" s="13"/>
      <c r="U770" s="13"/>
      <c r="V770" s="13"/>
      <c r="W770" s="13"/>
      <c r="X770" s="13"/>
      <c r="Y770" s="13"/>
      <c r="Z770" s="13"/>
    </row>
    <row r="771" spans="1:26" ht="13.5" customHeight="1">
      <c r="A771" s="13"/>
      <c r="B771" s="13"/>
      <c r="C771" s="13"/>
      <c r="D771" s="13"/>
      <c r="E771" s="13"/>
      <c r="F771" s="13"/>
      <c r="G771" s="13"/>
      <c r="H771" s="13"/>
      <c r="I771" s="13"/>
      <c r="J771" s="13"/>
      <c r="K771" s="13"/>
      <c r="L771" s="13"/>
      <c r="M771" s="28"/>
      <c r="N771" s="294"/>
      <c r="O771" s="13"/>
      <c r="P771" s="13"/>
      <c r="Q771" s="13"/>
      <c r="R771" s="13"/>
      <c r="S771" s="13"/>
      <c r="T771" s="13"/>
      <c r="U771" s="13"/>
      <c r="V771" s="13"/>
      <c r="W771" s="13"/>
      <c r="X771" s="13"/>
      <c r="Y771" s="13"/>
      <c r="Z771" s="13"/>
    </row>
    <row r="772" spans="1:26" ht="13.5" customHeight="1">
      <c r="A772" s="13"/>
      <c r="B772" s="13"/>
      <c r="C772" s="13"/>
      <c r="D772" s="13"/>
      <c r="E772" s="13"/>
      <c r="F772" s="13"/>
      <c r="G772" s="13"/>
      <c r="H772" s="13"/>
      <c r="I772" s="13"/>
      <c r="J772" s="13"/>
      <c r="K772" s="13"/>
      <c r="L772" s="13"/>
      <c r="M772" s="28"/>
      <c r="N772" s="294"/>
      <c r="O772" s="13"/>
      <c r="P772" s="13"/>
      <c r="Q772" s="13"/>
      <c r="R772" s="13"/>
      <c r="S772" s="13"/>
      <c r="T772" s="13"/>
      <c r="U772" s="13"/>
      <c r="V772" s="13"/>
      <c r="W772" s="13"/>
      <c r="X772" s="13"/>
      <c r="Y772" s="13"/>
      <c r="Z772" s="13"/>
    </row>
    <row r="773" spans="1:26" ht="13.5" customHeight="1">
      <c r="A773" s="13"/>
      <c r="B773" s="13"/>
      <c r="C773" s="13"/>
      <c r="D773" s="13"/>
      <c r="E773" s="13"/>
      <c r="F773" s="13"/>
      <c r="G773" s="13"/>
      <c r="H773" s="13"/>
      <c r="I773" s="13"/>
      <c r="J773" s="13"/>
      <c r="K773" s="13"/>
      <c r="L773" s="13"/>
      <c r="M773" s="28"/>
      <c r="N773" s="294"/>
      <c r="O773" s="13"/>
      <c r="P773" s="13"/>
      <c r="Q773" s="13"/>
      <c r="R773" s="13"/>
      <c r="S773" s="13"/>
      <c r="T773" s="13"/>
      <c r="U773" s="13"/>
      <c r="V773" s="13"/>
      <c r="W773" s="13"/>
      <c r="X773" s="13"/>
      <c r="Y773" s="13"/>
      <c r="Z773" s="13"/>
    </row>
    <row r="774" spans="1:26" ht="13.5" customHeight="1">
      <c r="A774" s="13"/>
      <c r="B774" s="13"/>
      <c r="C774" s="13"/>
      <c r="D774" s="13"/>
      <c r="E774" s="13"/>
      <c r="F774" s="13"/>
      <c r="G774" s="13"/>
      <c r="H774" s="13"/>
      <c r="I774" s="13"/>
      <c r="J774" s="13"/>
      <c r="K774" s="13"/>
      <c r="L774" s="13"/>
      <c r="M774" s="28"/>
      <c r="N774" s="294"/>
      <c r="O774" s="13"/>
      <c r="P774" s="13"/>
      <c r="Q774" s="13"/>
      <c r="R774" s="13"/>
      <c r="S774" s="13"/>
      <c r="T774" s="13"/>
      <c r="U774" s="13"/>
      <c r="V774" s="13"/>
      <c r="W774" s="13"/>
      <c r="X774" s="13"/>
      <c r="Y774" s="13"/>
      <c r="Z774" s="13"/>
    </row>
    <row r="775" spans="1:26" ht="13.5" customHeight="1">
      <c r="A775" s="13"/>
      <c r="B775" s="13"/>
      <c r="C775" s="13"/>
      <c r="D775" s="13"/>
      <c r="E775" s="13"/>
      <c r="F775" s="13"/>
      <c r="G775" s="13"/>
      <c r="H775" s="13"/>
      <c r="I775" s="13"/>
      <c r="J775" s="13"/>
      <c r="K775" s="13"/>
      <c r="L775" s="13"/>
      <c r="M775" s="28"/>
      <c r="N775" s="294"/>
      <c r="O775" s="13"/>
      <c r="P775" s="13"/>
      <c r="Q775" s="13"/>
      <c r="R775" s="13"/>
      <c r="S775" s="13"/>
      <c r="T775" s="13"/>
      <c r="U775" s="13"/>
      <c r="V775" s="13"/>
      <c r="W775" s="13"/>
      <c r="X775" s="13"/>
      <c r="Y775" s="13"/>
      <c r="Z775" s="13"/>
    </row>
    <row r="776" spans="1:26" ht="13.5" customHeight="1">
      <c r="A776" s="13"/>
      <c r="B776" s="13"/>
      <c r="C776" s="13"/>
      <c r="D776" s="13"/>
      <c r="E776" s="13"/>
      <c r="F776" s="13"/>
      <c r="G776" s="13"/>
      <c r="H776" s="13"/>
      <c r="I776" s="13"/>
      <c r="J776" s="13"/>
      <c r="K776" s="13"/>
      <c r="L776" s="13"/>
      <c r="M776" s="28"/>
      <c r="N776" s="294"/>
      <c r="O776" s="13"/>
      <c r="P776" s="13"/>
      <c r="Q776" s="13"/>
      <c r="R776" s="13"/>
      <c r="S776" s="13"/>
      <c r="T776" s="13"/>
      <c r="U776" s="13"/>
      <c r="V776" s="13"/>
      <c r="W776" s="13"/>
      <c r="X776" s="13"/>
      <c r="Y776" s="13"/>
      <c r="Z776" s="13"/>
    </row>
    <row r="777" spans="1:26" ht="13.5" customHeight="1">
      <c r="A777" s="13"/>
      <c r="B777" s="13"/>
      <c r="C777" s="13"/>
      <c r="D777" s="13"/>
      <c r="E777" s="13"/>
      <c r="F777" s="13"/>
      <c r="G777" s="13"/>
      <c r="H777" s="13"/>
      <c r="I777" s="13"/>
      <c r="J777" s="13"/>
      <c r="K777" s="13"/>
      <c r="L777" s="13"/>
      <c r="M777" s="28"/>
      <c r="N777" s="294"/>
      <c r="O777" s="13"/>
      <c r="P777" s="13"/>
      <c r="Q777" s="13"/>
      <c r="R777" s="13"/>
      <c r="S777" s="13"/>
      <c r="T777" s="13"/>
      <c r="U777" s="13"/>
      <c r="V777" s="13"/>
      <c r="W777" s="13"/>
      <c r="X777" s="13"/>
      <c r="Y777" s="13"/>
      <c r="Z777" s="13"/>
    </row>
    <row r="778" spans="1:26" ht="13.5" customHeight="1">
      <c r="A778" s="13"/>
      <c r="B778" s="13"/>
      <c r="C778" s="13"/>
      <c r="D778" s="13"/>
      <c r="E778" s="13"/>
      <c r="F778" s="13"/>
      <c r="G778" s="13"/>
      <c r="H778" s="13"/>
      <c r="I778" s="13"/>
      <c r="J778" s="13"/>
      <c r="K778" s="13"/>
      <c r="L778" s="13"/>
      <c r="M778" s="28"/>
      <c r="N778" s="294"/>
      <c r="O778" s="13"/>
      <c r="P778" s="13"/>
      <c r="Q778" s="13"/>
      <c r="R778" s="13"/>
      <c r="S778" s="13"/>
      <c r="T778" s="13"/>
      <c r="U778" s="13"/>
      <c r="V778" s="13"/>
      <c r="W778" s="13"/>
      <c r="X778" s="13"/>
      <c r="Y778" s="13"/>
      <c r="Z778" s="13"/>
    </row>
    <row r="779" spans="1:26" ht="13.5" customHeight="1">
      <c r="A779" s="13"/>
      <c r="B779" s="13"/>
      <c r="C779" s="13"/>
      <c r="D779" s="13"/>
      <c r="E779" s="13"/>
      <c r="F779" s="13"/>
      <c r="G779" s="13"/>
      <c r="H779" s="13"/>
      <c r="I779" s="13"/>
      <c r="J779" s="13"/>
      <c r="K779" s="13"/>
      <c r="L779" s="13"/>
      <c r="M779" s="28"/>
      <c r="N779" s="294"/>
      <c r="O779" s="13"/>
      <c r="P779" s="13"/>
      <c r="Q779" s="13"/>
      <c r="R779" s="13"/>
      <c r="S779" s="13"/>
      <c r="T779" s="13"/>
      <c r="U779" s="13"/>
      <c r="V779" s="13"/>
      <c r="W779" s="13"/>
      <c r="X779" s="13"/>
      <c r="Y779" s="13"/>
      <c r="Z779" s="13"/>
    </row>
    <row r="780" spans="1:26" ht="13.5" customHeight="1">
      <c r="A780" s="13"/>
      <c r="B780" s="13"/>
      <c r="C780" s="13"/>
      <c r="D780" s="13"/>
      <c r="E780" s="13"/>
      <c r="F780" s="13"/>
      <c r="G780" s="13"/>
      <c r="H780" s="13"/>
      <c r="I780" s="13"/>
      <c r="J780" s="13"/>
      <c r="K780" s="13"/>
      <c r="L780" s="13"/>
      <c r="M780" s="28"/>
      <c r="N780" s="294"/>
      <c r="O780" s="13"/>
      <c r="P780" s="13"/>
      <c r="Q780" s="13"/>
      <c r="R780" s="13"/>
      <c r="S780" s="13"/>
      <c r="T780" s="13"/>
      <c r="U780" s="13"/>
      <c r="V780" s="13"/>
      <c r="W780" s="13"/>
      <c r="X780" s="13"/>
      <c r="Y780" s="13"/>
      <c r="Z780" s="13"/>
    </row>
    <row r="781" spans="1:26" ht="13.5" customHeight="1">
      <c r="A781" s="13"/>
      <c r="B781" s="13"/>
      <c r="C781" s="13"/>
      <c r="D781" s="13"/>
      <c r="E781" s="13"/>
      <c r="F781" s="13"/>
      <c r="G781" s="13"/>
      <c r="H781" s="13"/>
      <c r="I781" s="13"/>
      <c r="J781" s="13"/>
      <c r="K781" s="13"/>
      <c r="L781" s="13"/>
      <c r="M781" s="28"/>
      <c r="N781" s="294"/>
      <c r="O781" s="13"/>
      <c r="P781" s="13"/>
      <c r="Q781" s="13"/>
      <c r="R781" s="13"/>
      <c r="S781" s="13"/>
      <c r="T781" s="13"/>
      <c r="U781" s="13"/>
      <c r="V781" s="13"/>
      <c r="W781" s="13"/>
      <c r="X781" s="13"/>
      <c r="Y781" s="13"/>
      <c r="Z781" s="13"/>
    </row>
    <row r="782" spans="1:26" ht="13.5" customHeight="1">
      <c r="A782" s="13"/>
      <c r="B782" s="13"/>
      <c r="C782" s="13"/>
      <c r="D782" s="13"/>
      <c r="E782" s="13"/>
      <c r="F782" s="13"/>
      <c r="G782" s="13"/>
      <c r="H782" s="13"/>
      <c r="I782" s="13"/>
      <c r="J782" s="13"/>
      <c r="K782" s="13"/>
      <c r="L782" s="13"/>
      <c r="M782" s="28"/>
      <c r="N782" s="294"/>
      <c r="O782" s="13"/>
      <c r="P782" s="13"/>
      <c r="Q782" s="13"/>
      <c r="R782" s="13"/>
      <c r="S782" s="13"/>
      <c r="T782" s="13"/>
      <c r="U782" s="13"/>
      <c r="V782" s="13"/>
      <c r="W782" s="13"/>
      <c r="X782" s="13"/>
      <c r="Y782" s="13"/>
      <c r="Z782" s="13"/>
    </row>
    <row r="783" spans="1:26" ht="13.5" customHeight="1">
      <c r="A783" s="13"/>
      <c r="B783" s="13"/>
      <c r="C783" s="13"/>
      <c r="D783" s="13"/>
      <c r="E783" s="13"/>
      <c r="F783" s="13"/>
      <c r="G783" s="13"/>
      <c r="H783" s="13"/>
      <c r="I783" s="13"/>
      <c r="J783" s="13"/>
      <c r="K783" s="13"/>
      <c r="L783" s="13"/>
      <c r="M783" s="28"/>
      <c r="N783" s="294"/>
      <c r="O783" s="13"/>
      <c r="P783" s="13"/>
      <c r="Q783" s="13"/>
      <c r="R783" s="13"/>
      <c r="S783" s="13"/>
      <c r="T783" s="13"/>
      <c r="U783" s="13"/>
      <c r="V783" s="13"/>
      <c r="W783" s="13"/>
      <c r="X783" s="13"/>
      <c r="Y783" s="13"/>
      <c r="Z783" s="13"/>
    </row>
    <row r="784" spans="1:26" ht="13.5" customHeight="1">
      <c r="A784" s="13"/>
      <c r="B784" s="13"/>
      <c r="C784" s="13"/>
      <c r="D784" s="13"/>
      <c r="E784" s="13"/>
      <c r="F784" s="13"/>
      <c r="G784" s="13"/>
      <c r="H784" s="13"/>
      <c r="I784" s="13"/>
      <c r="J784" s="13"/>
      <c r="K784" s="13"/>
      <c r="L784" s="13"/>
      <c r="M784" s="28"/>
      <c r="N784" s="294"/>
      <c r="O784" s="13"/>
      <c r="P784" s="13"/>
      <c r="Q784" s="13"/>
      <c r="R784" s="13"/>
      <c r="S784" s="13"/>
      <c r="T784" s="13"/>
      <c r="U784" s="13"/>
      <c r="V784" s="13"/>
      <c r="W784" s="13"/>
      <c r="X784" s="13"/>
      <c r="Y784" s="13"/>
      <c r="Z784" s="13"/>
    </row>
    <row r="785" spans="1:26" ht="13.5" customHeight="1">
      <c r="A785" s="13"/>
      <c r="B785" s="13"/>
      <c r="C785" s="13"/>
      <c r="D785" s="13"/>
      <c r="E785" s="13"/>
      <c r="F785" s="13"/>
      <c r="G785" s="13"/>
      <c r="H785" s="13"/>
      <c r="I785" s="13"/>
      <c r="J785" s="13"/>
      <c r="K785" s="13"/>
      <c r="L785" s="13"/>
      <c r="M785" s="28"/>
      <c r="N785" s="294"/>
      <c r="O785" s="13"/>
      <c r="P785" s="13"/>
      <c r="Q785" s="13"/>
      <c r="R785" s="13"/>
      <c r="S785" s="13"/>
      <c r="T785" s="13"/>
      <c r="U785" s="13"/>
      <c r="V785" s="13"/>
      <c r="W785" s="13"/>
      <c r="X785" s="13"/>
      <c r="Y785" s="13"/>
      <c r="Z785" s="13"/>
    </row>
    <row r="786" spans="1:26" ht="13.5" customHeight="1">
      <c r="A786" s="13"/>
      <c r="B786" s="13"/>
      <c r="C786" s="13"/>
      <c r="D786" s="13"/>
      <c r="E786" s="13"/>
      <c r="F786" s="13"/>
      <c r="G786" s="13"/>
      <c r="H786" s="13"/>
      <c r="I786" s="13"/>
      <c r="J786" s="13"/>
      <c r="K786" s="13"/>
      <c r="L786" s="13"/>
      <c r="M786" s="28"/>
      <c r="N786" s="294"/>
      <c r="O786" s="13"/>
      <c r="P786" s="13"/>
      <c r="Q786" s="13"/>
      <c r="R786" s="13"/>
      <c r="S786" s="13"/>
      <c r="T786" s="13"/>
      <c r="U786" s="13"/>
      <c r="V786" s="13"/>
      <c r="W786" s="13"/>
      <c r="X786" s="13"/>
      <c r="Y786" s="13"/>
      <c r="Z786" s="13"/>
    </row>
    <row r="787" spans="1:26" ht="13.5" customHeight="1">
      <c r="A787" s="13"/>
      <c r="B787" s="13"/>
      <c r="C787" s="13"/>
      <c r="D787" s="13"/>
      <c r="E787" s="13"/>
      <c r="F787" s="13"/>
      <c r="G787" s="13"/>
      <c r="H787" s="13"/>
      <c r="I787" s="13"/>
      <c r="J787" s="13"/>
      <c r="K787" s="13"/>
      <c r="L787" s="13"/>
      <c r="M787" s="28"/>
      <c r="N787" s="294"/>
      <c r="O787" s="13"/>
      <c r="P787" s="13"/>
      <c r="Q787" s="13"/>
      <c r="R787" s="13"/>
      <c r="S787" s="13"/>
      <c r="T787" s="13"/>
      <c r="U787" s="13"/>
      <c r="V787" s="13"/>
      <c r="W787" s="13"/>
      <c r="X787" s="13"/>
      <c r="Y787" s="13"/>
      <c r="Z787" s="13"/>
    </row>
    <row r="788" spans="1:26" ht="13.5" customHeight="1">
      <c r="A788" s="13"/>
      <c r="B788" s="13"/>
      <c r="C788" s="13"/>
      <c r="D788" s="13"/>
      <c r="E788" s="13"/>
      <c r="F788" s="13"/>
      <c r="G788" s="13"/>
      <c r="H788" s="13"/>
      <c r="I788" s="13"/>
      <c r="J788" s="13"/>
      <c r="K788" s="13"/>
      <c r="L788" s="13"/>
      <c r="M788" s="28"/>
      <c r="N788" s="294"/>
      <c r="O788" s="13"/>
      <c r="P788" s="13"/>
      <c r="Q788" s="13"/>
      <c r="R788" s="13"/>
      <c r="S788" s="13"/>
      <c r="T788" s="13"/>
      <c r="U788" s="13"/>
      <c r="V788" s="13"/>
      <c r="W788" s="13"/>
      <c r="X788" s="13"/>
      <c r="Y788" s="13"/>
      <c r="Z788" s="13"/>
    </row>
    <row r="789" spans="1:26" ht="13.5" customHeight="1">
      <c r="A789" s="13"/>
      <c r="B789" s="13"/>
      <c r="C789" s="13"/>
      <c r="D789" s="13"/>
      <c r="E789" s="13"/>
      <c r="F789" s="13"/>
      <c r="G789" s="13"/>
      <c r="H789" s="13"/>
      <c r="I789" s="13"/>
      <c r="J789" s="13"/>
      <c r="K789" s="13"/>
      <c r="L789" s="13"/>
      <c r="M789" s="28"/>
      <c r="N789" s="294"/>
      <c r="O789" s="13"/>
      <c r="P789" s="13"/>
      <c r="Q789" s="13"/>
      <c r="R789" s="13"/>
      <c r="S789" s="13"/>
      <c r="T789" s="13"/>
      <c r="U789" s="13"/>
      <c r="V789" s="13"/>
      <c r="W789" s="13"/>
      <c r="X789" s="13"/>
      <c r="Y789" s="13"/>
      <c r="Z789" s="13"/>
    </row>
    <row r="790" spans="1:26" ht="13.5" customHeight="1">
      <c r="A790" s="13"/>
      <c r="B790" s="13"/>
      <c r="C790" s="13"/>
      <c r="D790" s="13"/>
      <c r="E790" s="13"/>
      <c r="F790" s="13"/>
      <c r="G790" s="13"/>
      <c r="H790" s="13"/>
      <c r="I790" s="13"/>
      <c r="J790" s="13"/>
      <c r="K790" s="13"/>
      <c r="L790" s="13"/>
      <c r="M790" s="28"/>
      <c r="N790" s="294"/>
      <c r="O790" s="13"/>
      <c r="P790" s="13"/>
      <c r="Q790" s="13"/>
      <c r="R790" s="13"/>
      <c r="S790" s="13"/>
      <c r="T790" s="13"/>
      <c r="U790" s="13"/>
      <c r="V790" s="13"/>
      <c r="W790" s="13"/>
      <c r="X790" s="13"/>
      <c r="Y790" s="13"/>
      <c r="Z790" s="13"/>
    </row>
    <row r="791" spans="1:26" ht="13.5" customHeight="1">
      <c r="A791" s="13"/>
      <c r="B791" s="13"/>
      <c r="C791" s="13"/>
      <c r="D791" s="13"/>
      <c r="E791" s="13"/>
      <c r="F791" s="13"/>
      <c r="G791" s="13"/>
      <c r="H791" s="13"/>
      <c r="I791" s="13"/>
      <c r="J791" s="13"/>
      <c r="K791" s="13"/>
      <c r="L791" s="13"/>
      <c r="M791" s="28"/>
      <c r="N791" s="294"/>
      <c r="O791" s="13"/>
      <c r="P791" s="13"/>
      <c r="Q791" s="13"/>
      <c r="R791" s="13"/>
      <c r="S791" s="13"/>
      <c r="T791" s="13"/>
      <c r="U791" s="13"/>
      <c r="V791" s="13"/>
      <c r="W791" s="13"/>
      <c r="X791" s="13"/>
      <c r="Y791" s="13"/>
      <c r="Z791" s="13"/>
    </row>
    <row r="792" spans="1:26" ht="13.5" customHeight="1">
      <c r="A792" s="13"/>
      <c r="B792" s="13"/>
      <c r="C792" s="13"/>
      <c r="D792" s="13"/>
      <c r="E792" s="13"/>
      <c r="F792" s="13"/>
      <c r="G792" s="13"/>
      <c r="H792" s="13"/>
      <c r="I792" s="13"/>
      <c r="J792" s="13"/>
      <c r="K792" s="13"/>
      <c r="L792" s="13"/>
      <c r="M792" s="28"/>
      <c r="N792" s="294"/>
      <c r="O792" s="13"/>
      <c r="P792" s="13"/>
      <c r="Q792" s="13"/>
      <c r="R792" s="13"/>
      <c r="S792" s="13"/>
      <c r="T792" s="13"/>
      <c r="U792" s="13"/>
      <c r="V792" s="13"/>
      <c r="W792" s="13"/>
      <c r="X792" s="13"/>
      <c r="Y792" s="13"/>
      <c r="Z792" s="13"/>
    </row>
    <row r="793" spans="1:26" ht="13.5" customHeight="1">
      <c r="A793" s="13"/>
      <c r="B793" s="13"/>
      <c r="C793" s="13"/>
      <c r="D793" s="13"/>
      <c r="E793" s="13"/>
      <c r="F793" s="13"/>
      <c r="G793" s="13"/>
      <c r="H793" s="13"/>
      <c r="I793" s="13"/>
      <c r="J793" s="13"/>
      <c r="K793" s="13"/>
      <c r="L793" s="13"/>
      <c r="M793" s="28"/>
      <c r="N793" s="294"/>
      <c r="O793" s="13"/>
      <c r="P793" s="13"/>
      <c r="Q793" s="13"/>
      <c r="R793" s="13"/>
      <c r="S793" s="13"/>
      <c r="T793" s="13"/>
      <c r="U793" s="13"/>
      <c r="V793" s="13"/>
      <c r="W793" s="13"/>
      <c r="X793" s="13"/>
      <c r="Y793" s="13"/>
      <c r="Z793" s="13"/>
    </row>
    <row r="794" spans="1:26" ht="13.5" customHeight="1">
      <c r="A794" s="13"/>
      <c r="B794" s="13"/>
      <c r="C794" s="13"/>
      <c r="D794" s="13"/>
      <c r="E794" s="13"/>
      <c r="F794" s="13"/>
      <c r="G794" s="13"/>
      <c r="H794" s="13"/>
      <c r="I794" s="13"/>
      <c r="J794" s="13"/>
      <c r="K794" s="13"/>
      <c r="L794" s="13"/>
      <c r="M794" s="28"/>
      <c r="N794" s="294"/>
      <c r="O794" s="13"/>
      <c r="P794" s="13"/>
      <c r="Q794" s="13"/>
      <c r="R794" s="13"/>
      <c r="S794" s="13"/>
      <c r="T794" s="13"/>
      <c r="U794" s="13"/>
      <c r="V794" s="13"/>
      <c r="W794" s="13"/>
      <c r="X794" s="13"/>
      <c r="Y794" s="13"/>
      <c r="Z794" s="13"/>
    </row>
    <row r="795" spans="1:26" ht="13.5" customHeight="1">
      <c r="A795" s="13"/>
      <c r="B795" s="13"/>
      <c r="C795" s="13"/>
      <c r="D795" s="13"/>
      <c r="E795" s="13"/>
      <c r="F795" s="13"/>
      <c r="G795" s="13"/>
      <c r="H795" s="13"/>
      <c r="I795" s="13"/>
      <c r="J795" s="13"/>
      <c r="K795" s="13"/>
      <c r="L795" s="13"/>
      <c r="M795" s="28"/>
      <c r="N795" s="294"/>
      <c r="O795" s="13"/>
      <c r="P795" s="13"/>
      <c r="Q795" s="13"/>
      <c r="R795" s="13"/>
      <c r="S795" s="13"/>
      <c r="T795" s="13"/>
      <c r="U795" s="13"/>
      <c r="V795" s="13"/>
      <c r="W795" s="13"/>
      <c r="X795" s="13"/>
      <c r="Y795" s="13"/>
      <c r="Z795" s="13"/>
    </row>
    <row r="796" spans="1:26" ht="13.5" customHeight="1">
      <c r="A796" s="13"/>
      <c r="B796" s="13"/>
      <c r="C796" s="13"/>
      <c r="D796" s="13"/>
      <c r="E796" s="13"/>
      <c r="F796" s="13"/>
      <c r="G796" s="13"/>
      <c r="H796" s="13"/>
      <c r="I796" s="13"/>
      <c r="J796" s="13"/>
      <c r="K796" s="13"/>
      <c r="L796" s="13"/>
      <c r="M796" s="28"/>
      <c r="N796" s="294"/>
      <c r="O796" s="13"/>
      <c r="P796" s="13"/>
      <c r="Q796" s="13"/>
      <c r="R796" s="13"/>
      <c r="S796" s="13"/>
      <c r="T796" s="13"/>
      <c r="U796" s="13"/>
      <c r="V796" s="13"/>
      <c r="W796" s="13"/>
      <c r="X796" s="13"/>
      <c r="Y796" s="13"/>
      <c r="Z796" s="13"/>
    </row>
    <row r="797" spans="1:26" ht="13.5" customHeight="1">
      <c r="A797" s="13"/>
      <c r="B797" s="13"/>
      <c r="C797" s="13"/>
      <c r="D797" s="13"/>
      <c r="E797" s="13"/>
      <c r="F797" s="13"/>
      <c r="G797" s="13"/>
      <c r="H797" s="13"/>
      <c r="I797" s="13"/>
      <c r="J797" s="13"/>
      <c r="K797" s="13"/>
      <c r="L797" s="13"/>
      <c r="M797" s="28"/>
      <c r="N797" s="294"/>
      <c r="O797" s="13"/>
      <c r="P797" s="13"/>
      <c r="Q797" s="13"/>
      <c r="R797" s="13"/>
      <c r="S797" s="13"/>
      <c r="T797" s="13"/>
      <c r="U797" s="13"/>
      <c r="V797" s="13"/>
      <c r="W797" s="13"/>
      <c r="X797" s="13"/>
      <c r="Y797" s="13"/>
      <c r="Z797" s="13"/>
    </row>
    <row r="798" spans="1:26" ht="13.5" customHeight="1">
      <c r="A798" s="13"/>
      <c r="B798" s="13"/>
      <c r="C798" s="13"/>
      <c r="D798" s="13"/>
      <c r="E798" s="13"/>
      <c r="F798" s="13"/>
      <c r="G798" s="13"/>
      <c r="H798" s="13"/>
      <c r="I798" s="13"/>
      <c r="J798" s="13"/>
      <c r="K798" s="13"/>
      <c r="L798" s="13"/>
      <c r="M798" s="28"/>
      <c r="N798" s="294"/>
      <c r="O798" s="13"/>
      <c r="P798" s="13"/>
      <c r="Q798" s="13"/>
      <c r="R798" s="13"/>
      <c r="S798" s="13"/>
      <c r="T798" s="13"/>
      <c r="U798" s="13"/>
      <c r="V798" s="13"/>
      <c r="W798" s="13"/>
      <c r="X798" s="13"/>
      <c r="Y798" s="13"/>
      <c r="Z798" s="13"/>
    </row>
    <row r="799" spans="1:26" ht="13.5" customHeight="1">
      <c r="A799" s="13"/>
      <c r="B799" s="13"/>
      <c r="C799" s="13"/>
      <c r="D799" s="13"/>
      <c r="E799" s="13"/>
      <c r="F799" s="13"/>
      <c r="G799" s="13"/>
      <c r="H799" s="13"/>
      <c r="I799" s="13"/>
      <c r="J799" s="13"/>
      <c r="K799" s="13"/>
      <c r="L799" s="13"/>
      <c r="M799" s="28"/>
      <c r="N799" s="294"/>
      <c r="O799" s="13"/>
      <c r="P799" s="13"/>
      <c r="Q799" s="13"/>
      <c r="R799" s="13"/>
      <c r="S799" s="13"/>
      <c r="T799" s="13"/>
      <c r="U799" s="13"/>
      <c r="V799" s="13"/>
      <c r="W799" s="13"/>
      <c r="X799" s="13"/>
      <c r="Y799" s="13"/>
      <c r="Z799" s="13"/>
    </row>
    <row r="800" spans="1:26" ht="13.5" customHeight="1">
      <c r="A800" s="13"/>
      <c r="B800" s="13"/>
      <c r="C800" s="13"/>
      <c r="D800" s="13"/>
      <c r="E800" s="13"/>
      <c r="F800" s="13"/>
      <c r="G800" s="13"/>
      <c r="H800" s="13"/>
      <c r="I800" s="13"/>
      <c r="J800" s="13"/>
      <c r="K800" s="13"/>
      <c r="L800" s="13"/>
      <c r="M800" s="28"/>
      <c r="N800" s="294"/>
      <c r="O800" s="13"/>
      <c r="P800" s="13"/>
      <c r="Q800" s="13"/>
      <c r="R800" s="13"/>
      <c r="S800" s="13"/>
      <c r="T800" s="13"/>
      <c r="U800" s="13"/>
      <c r="V800" s="13"/>
      <c r="W800" s="13"/>
      <c r="X800" s="13"/>
      <c r="Y800" s="13"/>
      <c r="Z800" s="13"/>
    </row>
    <row r="801" spans="1:26" ht="13.5" customHeight="1">
      <c r="A801" s="13"/>
      <c r="B801" s="13"/>
      <c r="C801" s="13"/>
      <c r="D801" s="13"/>
      <c r="E801" s="13"/>
      <c r="F801" s="13"/>
      <c r="G801" s="13"/>
      <c r="H801" s="13"/>
      <c r="I801" s="13"/>
      <c r="J801" s="13"/>
      <c r="K801" s="13"/>
      <c r="L801" s="13"/>
      <c r="M801" s="28"/>
      <c r="N801" s="294"/>
      <c r="O801" s="13"/>
      <c r="P801" s="13"/>
      <c r="Q801" s="13"/>
      <c r="R801" s="13"/>
      <c r="S801" s="13"/>
      <c r="T801" s="13"/>
      <c r="U801" s="13"/>
      <c r="V801" s="13"/>
      <c r="W801" s="13"/>
      <c r="X801" s="13"/>
      <c r="Y801" s="13"/>
      <c r="Z801" s="13"/>
    </row>
    <row r="802" spans="1:26" ht="13.5" customHeight="1">
      <c r="A802" s="13"/>
      <c r="B802" s="13"/>
      <c r="C802" s="13"/>
      <c r="D802" s="13"/>
      <c r="E802" s="13"/>
      <c r="F802" s="13"/>
      <c r="G802" s="13"/>
      <c r="H802" s="13"/>
      <c r="I802" s="13"/>
      <c r="J802" s="13"/>
      <c r="K802" s="13"/>
      <c r="L802" s="13"/>
      <c r="M802" s="28"/>
      <c r="N802" s="294"/>
      <c r="O802" s="13"/>
      <c r="P802" s="13"/>
      <c r="Q802" s="13"/>
      <c r="R802" s="13"/>
      <c r="S802" s="13"/>
      <c r="T802" s="13"/>
      <c r="U802" s="13"/>
      <c r="V802" s="13"/>
      <c r="W802" s="13"/>
      <c r="X802" s="13"/>
      <c r="Y802" s="13"/>
      <c r="Z802" s="13"/>
    </row>
    <row r="803" spans="1:26" ht="13.5" customHeight="1">
      <c r="A803" s="13"/>
      <c r="B803" s="13"/>
      <c r="C803" s="13"/>
      <c r="D803" s="13"/>
      <c r="E803" s="13"/>
      <c r="F803" s="13"/>
      <c r="G803" s="13"/>
      <c r="H803" s="13"/>
      <c r="I803" s="13"/>
      <c r="J803" s="13"/>
      <c r="K803" s="13"/>
      <c r="L803" s="13"/>
      <c r="M803" s="28"/>
      <c r="N803" s="294"/>
      <c r="O803" s="13"/>
      <c r="P803" s="13"/>
      <c r="Q803" s="13"/>
      <c r="R803" s="13"/>
      <c r="S803" s="13"/>
      <c r="T803" s="13"/>
      <c r="U803" s="13"/>
      <c r="V803" s="13"/>
      <c r="W803" s="13"/>
      <c r="X803" s="13"/>
      <c r="Y803" s="13"/>
      <c r="Z803" s="13"/>
    </row>
    <row r="804" spans="1:26" ht="13.5" customHeight="1">
      <c r="A804" s="13"/>
      <c r="B804" s="13"/>
      <c r="C804" s="13"/>
      <c r="D804" s="13"/>
      <c r="E804" s="13"/>
      <c r="F804" s="13"/>
      <c r="G804" s="13"/>
      <c r="H804" s="13"/>
      <c r="I804" s="13"/>
      <c r="J804" s="13"/>
      <c r="K804" s="13"/>
      <c r="L804" s="13"/>
      <c r="M804" s="28"/>
      <c r="N804" s="294"/>
      <c r="O804" s="13"/>
      <c r="P804" s="13"/>
      <c r="Q804" s="13"/>
      <c r="R804" s="13"/>
      <c r="S804" s="13"/>
      <c r="T804" s="13"/>
      <c r="U804" s="13"/>
      <c r="V804" s="13"/>
      <c r="W804" s="13"/>
      <c r="X804" s="13"/>
      <c r="Y804" s="13"/>
      <c r="Z804" s="13"/>
    </row>
    <row r="805" spans="1:26" ht="13.5" customHeight="1">
      <c r="A805" s="13"/>
      <c r="B805" s="13"/>
      <c r="C805" s="13"/>
      <c r="D805" s="13"/>
      <c r="E805" s="13"/>
      <c r="F805" s="13"/>
      <c r="G805" s="13"/>
      <c r="H805" s="13"/>
      <c r="I805" s="13"/>
      <c r="J805" s="13"/>
      <c r="K805" s="13"/>
      <c r="L805" s="13"/>
      <c r="M805" s="28"/>
      <c r="N805" s="294"/>
      <c r="O805" s="13"/>
      <c r="P805" s="13"/>
      <c r="Q805" s="13"/>
      <c r="R805" s="13"/>
      <c r="S805" s="13"/>
      <c r="T805" s="13"/>
      <c r="U805" s="13"/>
      <c r="V805" s="13"/>
      <c r="W805" s="13"/>
      <c r="X805" s="13"/>
      <c r="Y805" s="13"/>
      <c r="Z805" s="13"/>
    </row>
    <row r="806" spans="1:26" ht="13.5" customHeight="1">
      <c r="A806" s="13"/>
      <c r="B806" s="13"/>
      <c r="C806" s="13"/>
      <c r="D806" s="13"/>
      <c r="E806" s="13"/>
      <c r="F806" s="13"/>
      <c r="G806" s="13"/>
      <c r="H806" s="13"/>
      <c r="I806" s="13"/>
      <c r="J806" s="13"/>
      <c r="K806" s="13"/>
      <c r="L806" s="13"/>
      <c r="M806" s="28"/>
      <c r="N806" s="294"/>
      <c r="O806" s="13"/>
      <c r="P806" s="13"/>
      <c r="Q806" s="13"/>
      <c r="R806" s="13"/>
      <c r="S806" s="13"/>
      <c r="T806" s="13"/>
      <c r="U806" s="13"/>
      <c r="V806" s="13"/>
      <c r="W806" s="13"/>
      <c r="X806" s="13"/>
      <c r="Y806" s="13"/>
      <c r="Z806" s="13"/>
    </row>
    <row r="807" spans="1:26" ht="13.5" customHeight="1">
      <c r="A807" s="13"/>
      <c r="B807" s="13"/>
      <c r="C807" s="13"/>
      <c r="D807" s="13"/>
      <c r="E807" s="13"/>
      <c r="F807" s="13"/>
      <c r="G807" s="13"/>
      <c r="H807" s="13"/>
      <c r="I807" s="13"/>
      <c r="J807" s="13"/>
      <c r="K807" s="13"/>
      <c r="L807" s="13"/>
      <c r="M807" s="28"/>
      <c r="N807" s="294"/>
      <c r="O807" s="13"/>
      <c r="P807" s="13"/>
      <c r="Q807" s="13"/>
      <c r="R807" s="13"/>
      <c r="S807" s="13"/>
      <c r="T807" s="13"/>
      <c r="U807" s="13"/>
      <c r="V807" s="13"/>
      <c r="W807" s="13"/>
      <c r="X807" s="13"/>
      <c r="Y807" s="13"/>
      <c r="Z807" s="13"/>
    </row>
    <row r="808" spans="1:26" ht="13.5" customHeight="1">
      <c r="A808" s="13"/>
      <c r="B808" s="13"/>
      <c r="C808" s="13"/>
      <c r="D808" s="13"/>
      <c r="E808" s="13"/>
      <c r="F808" s="13"/>
      <c r="G808" s="13"/>
      <c r="H808" s="13"/>
      <c r="I808" s="13"/>
      <c r="J808" s="13"/>
      <c r="K808" s="13"/>
      <c r="L808" s="13"/>
      <c r="M808" s="28"/>
      <c r="N808" s="294"/>
      <c r="O808" s="13"/>
      <c r="P808" s="13"/>
      <c r="Q808" s="13"/>
      <c r="R808" s="13"/>
      <c r="S808" s="13"/>
      <c r="T808" s="13"/>
      <c r="U808" s="13"/>
      <c r="V808" s="13"/>
      <c r="W808" s="13"/>
      <c r="X808" s="13"/>
      <c r="Y808" s="13"/>
      <c r="Z808" s="13"/>
    </row>
    <row r="809" spans="1:26" ht="13.5" customHeight="1">
      <c r="A809" s="13"/>
      <c r="B809" s="13"/>
      <c r="C809" s="13"/>
      <c r="D809" s="13"/>
      <c r="E809" s="13"/>
      <c r="F809" s="13"/>
      <c r="G809" s="13"/>
      <c r="H809" s="13"/>
      <c r="I809" s="13"/>
      <c r="J809" s="13"/>
      <c r="K809" s="13"/>
      <c r="L809" s="13"/>
      <c r="M809" s="28"/>
      <c r="N809" s="294"/>
      <c r="O809" s="13"/>
      <c r="P809" s="13"/>
      <c r="Q809" s="13"/>
      <c r="R809" s="13"/>
      <c r="S809" s="13"/>
      <c r="T809" s="13"/>
      <c r="U809" s="13"/>
      <c r="V809" s="13"/>
      <c r="W809" s="13"/>
      <c r="X809" s="13"/>
      <c r="Y809" s="13"/>
      <c r="Z809" s="13"/>
    </row>
    <row r="810" spans="1:26" ht="13.5" customHeight="1">
      <c r="A810" s="13"/>
      <c r="B810" s="13"/>
      <c r="C810" s="13"/>
      <c r="D810" s="13"/>
      <c r="E810" s="13"/>
      <c r="F810" s="13"/>
      <c r="G810" s="13"/>
      <c r="H810" s="13"/>
      <c r="I810" s="13"/>
      <c r="J810" s="13"/>
      <c r="K810" s="13"/>
      <c r="L810" s="13"/>
      <c r="M810" s="28"/>
      <c r="N810" s="294"/>
      <c r="O810" s="13"/>
      <c r="P810" s="13"/>
      <c r="Q810" s="13"/>
      <c r="R810" s="13"/>
      <c r="S810" s="13"/>
      <c r="T810" s="13"/>
      <c r="U810" s="13"/>
      <c r="V810" s="13"/>
      <c r="W810" s="13"/>
      <c r="X810" s="13"/>
      <c r="Y810" s="13"/>
      <c r="Z810" s="13"/>
    </row>
    <row r="811" spans="1:26" ht="13.5" customHeight="1">
      <c r="A811" s="13"/>
      <c r="B811" s="13"/>
      <c r="C811" s="13"/>
      <c r="D811" s="13"/>
      <c r="E811" s="13"/>
      <c r="F811" s="13"/>
      <c r="G811" s="13"/>
      <c r="H811" s="13"/>
      <c r="I811" s="13"/>
      <c r="J811" s="13"/>
      <c r="K811" s="13"/>
      <c r="L811" s="13"/>
      <c r="M811" s="28"/>
      <c r="N811" s="294"/>
      <c r="O811" s="13"/>
      <c r="P811" s="13"/>
      <c r="Q811" s="13"/>
      <c r="R811" s="13"/>
      <c r="S811" s="13"/>
      <c r="T811" s="13"/>
      <c r="U811" s="13"/>
      <c r="V811" s="13"/>
      <c r="W811" s="13"/>
      <c r="X811" s="13"/>
      <c r="Y811" s="13"/>
      <c r="Z811" s="13"/>
    </row>
    <row r="812" spans="1:26" ht="13.5" customHeight="1">
      <c r="A812" s="13"/>
      <c r="B812" s="13"/>
      <c r="C812" s="13"/>
      <c r="D812" s="13"/>
      <c r="E812" s="13"/>
      <c r="F812" s="13"/>
      <c r="G812" s="13"/>
      <c r="H812" s="13"/>
      <c r="I812" s="13"/>
      <c r="J812" s="13"/>
      <c r="K812" s="13"/>
      <c r="L812" s="13"/>
      <c r="M812" s="28"/>
      <c r="N812" s="294"/>
      <c r="O812" s="13"/>
      <c r="P812" s="13"/>
      <c r="Q812" s="13"/>
      <c r="R812" s="13"/>
      <c r="S812" s="13"/>
      <c r="T812" s="13"/>
      <c r="U812" s="13"/>
      <c r="V812" s="13"/>
      <c r="W812" s="13"/>
      <c r="X812" s="13"/>
      <c r="Y812" s="13"/>
      <c r="Z812" s="13"/>
    </row>
    <row r="813" spans="1:26" ht="13.5" customHeight="1">
      <c r="A813" s="13"/>
      <c r="B813" s="13"/>
      <c r="C813" s="13"/>
      <c r="D813" s="13"/>
      <c r="E813" s="13"/>
      <c r="F813" s="13"/>
      <c r="G813" s="13"/>
      <c r="H813" s="13"/>
      <c r="I813" s="13"/>
      <c r="J813" s="13"/>
      <c r="K813" s="13"/>
      <c r="L813" s="13"/>
      <c r="M813" s="28"/>
      <c r="N813" s="294"/>
      <c r="O813" s="13"/>
      <c r="P813" s="13"/>
      <c r="Q813" s="13"/>
      <c r="R813" s="13"/>
      <c r="S813" s="13"/>
      <c r="T813" s="13"/>
      <c r="U813" s="13"/>
      <c r="V813" s="13"/>
      <c r="W813" s="13"/>
      <c r="X813" s="13"/>
      <c r="Y813" s="13"/>
      <c r="Z813" s="13"/>
    </row>
    <row r="814" spans="1:26" ht="13.5" customHeight="1">
      <c r="A814" s="13"/>
      <c r="B814" s="13"/>
      <c r="C814" s="13"/>
      <c r="D814" s="13"/>
      <c r="E814" s="13"/>
      <c r="F814" s="13"/>
      <c r="G814" s="13"/>
      <c r="H814" s="13"/>
      <c r="I814" s="13"/>
      <c r="J814" s="13"/>
      <c r="K814" s="13"/>
      <c r="L814" s="13"/>
      <c r="M814" s="28"/>
      <c r="N814" s="294"/>
      <c r="O814" s="13"/>
      <c r="P814" s="13"/>
      <c r="Q814" s="13"/>
      <c r="R814" s="13"/>
      <c r="S814" s="13"/>
      <c r="T814" s="13"/>
      <c r="U814" s="13"/>
      <c r="V814" s="13"/>
      <c r="W814" s="13"/>
      <c r="X814" s="13"/>
      <c r="Y814" s="13"/>
      <c r="Z814" s="13"/>
    </row>
    <row r="815" spans="1:26" ht="13.5" customHeight="1">
      <c r="A815" s="13"/>
      <c r="B815" s="13"/>
      <c r="C815" s="13"/>
      <c r="D815" s="13"/>
      <c r="E815" s="13"/>
      <c r="F815" s="13"/>
      <c r="G815" s="13"/>
      <c r="H815" s="13"/>
      <c r="I815" s="13"/>
      <c r="J815" s="13"/>
      <c r="K815" s="13"/>
      <c r="L815" s="13"/>
      <c r="M815" s="28"/>
      <c r="N815" s="294"/>
      <c r="O815" s="13"/>
      <c r="P815" s="13"/>
      <c r="Q815" s="13"/>
      <c r="R815" s="13"/>
      <c r="S815" s="13"/>
      <c r="T815" s="13"/>
      <c r="U815" s="13"/>
      <c r="V815" s="13"/>
      <c r="W815" s="13"/>
      <c r="X815" s="13"/>
      <c r="Y815" s="13"/>
      <c r="Z815" s="13"/>
    </row>
    <row r="816" spans="1:26" ht="13.5" customHeight="1">
      <c r="A816" s="13"/>
      <c r="B816" s="13"/>
      <c r="C816" s="13"/>
      <c r="D816" s="13"/>
      <c r="E816" s="13"/>
      <c r="F816" s="13"/>
      <c r="G816" s="13"/>
      <c r="H816" s="13"/>
      <c r="I816" s="13"/>
      <c r="J816" s="13"/>
      <c r="K816" s="13"/>
      <c r="L816" s="13"/>
      <c r="M816" s="28"/>
      <c r="N816" s="294"/>
      <c r="O816" s="13"/>
      <c r="P816" s="13"/>
      <c r="Q816" s="13"/>
      <c r="R816" s="13"/>
      <c r="S816" s="13"/>
      <c r="T816" s="13"/>
      <c r="U816" s="13"/>
      <c r="V816" s="13"/>
      <c r="W816" s="13"/>
      <c r="X816" s="13"/>
      <c r="Y816" s="13"/>
      <c r="Z816" s="13"/>
    </row>
    <row r="817" spans="1:26" ht="13.5" customHeight="1">
      <c r="A817" s="13"/>
      <c r="B817" s="13"/>
      <c r="C817" s="13"/>
      <c r="D817" s="13"/>
      <c r="E817" s="13"/>
      <c r="F817" s="13"/>
      <c r="G817" s="13"/>
      <c r="H817" s="13"/>
      <c r="I817" s="13"/>
      <c r="J817" s="13"/>
      <c r="K817" s="13"/>
      <c r="L817" s="13"/>
      <c r="M817" s="28"/>
      <c r="N817" s="294"/>
      <c r="O817" s="13"/>
      <c r="P817" s="13"/>
      <c r="Q817" s="13"/>
      <c r="R817" s="13"/>
      <c r="S817" s="13"/>
      <c r="T817" s="13"/>
      <c r="U817" s="13"/>
      <c r="V817" s="13"/>
      <c r="W817" s="13"/>
      <c r="X817" s="13"/>
      <c r="Y817" s="13"/>
      <c r="Z817" s="13"/>
    </row>
    <row r="818" spans="1:26" ht="13.5" customHeight="1">
      <c r="A818" s="13"/>
      <c r="B818" s="13"/>
      <c r="C818" s="13"/>
      <c r="D818" s="13"/>
      <c r="E818" s="13"/>
      <c r="F818" s="13"/>
      <c r="G818" s="13"/>
      <c r="H818" s="13"/>
      <c r="I818" s="13"/>
      <c r="J818" s="13"/>
      <c r="K818" s="13"/>
      <c r="L818" s="13"/>
      <c r="M818" s="28"/>
      <c r="N818" s="294"/>
      <c r="O818" s="13"/>
      <c r="P818" s="13"/>
      <c r="Q818" s="13"/>
      <c r="R818" s="13"/>
      <c r="S818" s="13"/>
      <c r="T818" s="13"/>
      <c r="U818" s="13"/>
      <c r="V818" s="13"/>
      <c r="W818" s="13"/>
      <c r="X818" s="13"/>
      <c r="Y818" s="13"/>
      <c r="Z818" s="13"/>
    </row>
    <row r="819" spans="1:26" ht="13.5" customHeight="1">
      <c r="A819" s="13"/>
      <c r="B819" s="13"/>
      <c r="C819" s="13"/>
      <c r="D819" s="13"/>
      <c r="E819" s="13"/>
      <c r="F819" s="13"/>
      <c r="G819" s="13"/>
      <c r="H819" s="13"/>
      <c r="I819" s="13"/>
      <c r="J819" s="13"/>
      <c r="K819" s="13"/>
      <c r="L819" s="13"/>
      <c r="M819" s="28"/>
      <c r="N819" s="294"/>
      <c r="O819" s="13"/>
      <c r="P819" s="13"/>
      <c r="Q819" s="13"/>
      <c r="R819" s="13"/>
      <c r="S819" s="13"/>
      <c r="T819" s="13"/>
      <c r="U819" s="13"/>
      <c r="V819" s="13"/>
      <c r="W819" s="13"/>
      <c r="X819" s="13"/>
      <c r="Y819" s="13"/>
      <c r="Z819" s="13"/>
    </row>
    <row r="820" spans="1:26" ht="13.5" customHeight="1">
      <c r="A820" s="13"/>
      <c r="B820" s="13"/>
      <c r="C820" s="13"/>
      <c r="D820" s="13"/>
      <c r="E820" s="13"/>
      <c r="F820" s="13"/>
      <c r="G820" s="13"/>
      <c r="H820" s="13"/>
      <c r="I820" s="13"/>
      <c r="J820" s="13"/>
      <c r="K820" s="13"/>
      <c r="L820" s="13"/>
      <c r="M820" s="28"/>
      <c r="N820" s="294"/>
      <c r="O820" s="13"/>
      <c r="P820" s="13"/>
      <c r="Q820" s="13"/>
      <c r="R820" s="13"/>
      <c r="S820" s="13"/>
      <c r="T820" s="13"/>
      <c r="U820" s="13"/>
      <c r="V820" s="13"/>
      <c r="W820" s="13"/>
      <c r="X820" s="13"/>
      <c r="Y820" s="13"/>
      <c r="Z820" s="13"/>
    </row>
    <row r="821" spans="1:26" ht="13.5" customHeight="1">
      <c r="A821" s="13"/>
      <c r="B821" s="13"/>
      <c r="C821" s="13"/>
      <c r="D821" s="13"/>
      <c r="E821" s="13"/>
      <c r="F821" s="13"/>
      <c r="G821" s="13"/>
      <c r="H821" s="13"/>
      <c r="I821" s="13"/>
      <c r="J821" s="13"/>
      <c r="K821" s="13"/>
      <c r="L821" s="13"/>
      <c r="M821" s="28"/>
      <c r="N821" s="294"/>
      <c r="O821" s="13"/>
      <c r="P821" s="13"/>
      <c r="Q821" s="13"/>
      <c r="R821" s="13"/>
      <c r="S821" s="13"/>
      <c r="T821" s="13"/>
      <c r="U821" s="13"/>
      <c r="V821" s="13"/>
      <c r="W821" s="13"/>
      <c r="X821" s="13"/>
      <c r="Y821" s="13"/>
      <c r="Z821" s="13"/>
    </row>
    <row r="822" spans="1:26" ht="13.5" customHeight="1">
      <c r="A822" s="13"/>
      <c r="B822" s="13"/>
      <c r="C822" s="13"/>
      <c r="D822" s="13"/>
      <c r="E822" s="13"/>
      <c r="F822" s="13"/>
      <c r="G822" s="13"/>
      <c r="H822" s="13"/>
      <c r="I822" s="13"/>
      <c r="J822" s="13"/>
      <c r="K822" s="13"/>
      <c r="L822" s="13"/>
      <c r="M822" s="28"/>
      <c r="N822" s="294"/>
      <c r="O822" s="13"/>
      <c r="P822" s="13"/>
      <c r="Q822" s="13"/>
      <c r="R822" s="13"/>
      <c r="S822" s="13"/>
      <c r="T822" s="13"/>
      <c r="U822" s="13"/>
      <c r="V822" s="13"/>
      <c r="W822" s="13"/>
      <c r="X822" s="13"/>
      <c r="Y822" s="13"/>
      <c r="Z822" s="13"/>
    </row>
    <row r="823" spans="1:26" ht="13.5" customHeight="1">
      <c r="A823" s="13"/>
      <c r="B823" s="13"/>
      <c r="C823" s="13"/>
      <c r="D823" s="13"/>
      <c r="E823" s="13"/>
      <c r="F823" s="13"/>
      <c r="G823" s="13"/>
      <c r="H823" s="13"/>
      <c r="I823" s="13"/>
      <c r="J823" s="13"/>
      <c r="K823" s="13"/>
      <c r="L823" s="13"/>
      <c r="M823" s="28"/>
      <c r="N823" s="294"/>
      <c r="O823" s="13"/>
      <c r="P823" s="13"/>
      <c r="Q823" s="13"/>
      <c r="R823" s="13"/>
      <c r="S823" s="13"/>
      <c r="T823" s="13"/>
      <c r="U823" s="13"/>
      <c r="V823" s="13"/>
      <c r="W823" s="13"/>
      <c r="X823" s="13"/>
      <c r="Y823" s="13"/>
      <c r="Z823" s="13"/>
    </row>
    <row r="824" spans="1:26" ht="13.5" customHeight="1">
      <c r="A824" s="13"/>
      <c r="B824" s="13"/>
      <c r="C824" s="13"/>
      <c r="D824" s="13"/>
      <c r="E824" s="13"/>
      <c r="F824" s="13"/>
      <c r="G824" s="13"/>
      <c r="H824" s="13"/>
      <c r="I824" s="13"/>
      <c r="J824" s="13"/>
      <c r="K824" s="13"/>
      <c r="L824" s="13"/>
      <c r="M824" s="28"/>
      <c r="N824" s="294"/>
      <c r="O824" s="13"/>
      <c r="P824" s="13"/>
      <c r="Q824" s="13"/>
      <c r="R824" s="13"/>
      <c r="S824" s="13"/>
      <c r="T824" s="13"/>
      <c r="U824" s="13"/>
      <c r="V824" s="13"/>
      <c r="W824" s="13"/>
      <c r="X824" s="13"/>
      <c r="Y824" s="13"/>
      <c r="Z824" s="13"/>
    </row>
    <row r="825" spans="1:26" ht="13.5" customHeight="1">
      <c r="A825" s="13"/>
      <c r="B825" s="13"/>
      <c r="C825" s="13"/>
      <c r="D825" s="13"/>
      <c r="E825" s="13"/>
      <c r="F825" s="13"/>
      <c r="G825" s="13"/>
      <c r="H825" s="13"/>
      <c r="I825" s="13"/>
      <c r="J825" s="13"/>
      <c r="K825" s="13"/>
      <c r="L825" s="13"/>
      <c r="M825" s="28"/>
      <c r="N825" s="294"/>
      <c r="O825" s="13"/>
      <c r="P825" s="13"/>
      <c r="Q825" s="13"/>
      <c r="R825" s="13"/>
      <c r="S825" s="13"/>
      <c r="T825" s="13"/>
      <c r="U825" s="13"/>
      <c r="V825" s="13"/>
      <c r="W825" s="13"/>
      <c r="X825" s="13"/>
      <c r="Y825" s="13"/>
      <c r="Z825" s="13"/>
    </row>
    <row r="826" spans="1:26" ht="13.5" customHeight="1">
      <c r="A826" s="13"/>
      <c r="B826" s="13"/>
      <c r="C826" s="13"/>
      <c r="D826" s="13"/>
      <c r="E826" s="13"/>
      <c r="F826" s="13"/>
      <c r="G826" s="13"/>
      <c r="H826" s="13"/>
      <c r="I826" s="13"/>
      <c r="J826" s="13"/>
      <c r="K826" s="13"/>
      <c r="L826" s="13"/>
      <c r="M826" s="28"/>
      <c r="N826" s="294"/>
      <c r="O826" s="13"/>
      <c r="P826" s="13"/>
      <c r="Q826" s="13"/>
      <c r="R826" s="13"/>
      <c r="S826" s="13"/>
      <c r="T826" s="13"/>
      <c r="U826" s="13"/>
      <c r="V826" s="13"/>
      <c r="W826" s="13"/>
      <c r="X826" s="13"/>
      <c r="Y826" s="13"/>
      <c r="Z826" s="13"/>
    </row>
    <row r="827" spans="1:26" ht="13.5" customHeight="1">
      <c r="A827" s="13"/>
      <c r="B827" s="13"/>
      <c r="C827" s="13"/>
      <c r="D827" s="13"/>
      <c r="E827" s="13"/>
      <c r="F827" s="13"/>
      <c r="G827" s="13"/>
      <c r="H827" s="13"/>
      <c r="I827" s="13"/>
      <c r="J827" s="13"/>
      <c r="K827" s="13"/>
      <c r="L827" s="13"/>
      <c r="M827" s="28"/>
      <c r="N827" s="294"/>
      <c r="O827" s="13"/>
      <c r="P827" s="13"/>
      <c r="Q827" s="13"/>
      <c r="R827" s="13"/>
      <c r="S827" s="13"/>
      <c r="T827" s="13"/>
      <c r="U827" s="13"/>
      <c r="V827" s="13"/>
      <c r="W827" s="13"/>
      <c r="X827" s="13"/>
      <c r="Y827" s="13"/>
      <c r="Z827" s="13"/>
    </row>
    <row r="828" spans="1:26" ht="13.5" customHeight="1">
      <c r="A828" s="13"/>
      <c r="B828" s="13"/>
      <c r="C828" s="13"/>
      <c r="D828" s="13"/>
      <c r="E828" s="13"/>
      <c r="F828" s="13"/>
      <c r="G828" s="13"/>
      <c r="H828" s="13"/>
      <c r="I828" s="13"/>
      <c r="J828" s="13"/>
      <c r="K828" s="13"/>
      <c r="L828" s="13"/>
      <c r="M828" s="28"/>
      <c r="N828" s="294"/>
      <c r="O828" s="13"/>
      <c r="P828" s="13"/>
      <c r="Q828" s="13"/>
      <c r="R828" s="13"/>
      <c r="S828" s="13"/>
      <c r="T828" s="13"/>
      <c r="U828" s="13"/>
      <c r="V828" s="13"/>
      <c r="W828" s="13"/>
      <c r="X828" s="13"/>
      <c r="Y828" s="13"/>
      <c r="Z828" s="13"/>
    </row>
    <row r="829" spans="1:26" ht="13.5" customHeight="1">
      <c r="A829" s="13"/>
      <c r="B829" s="13"/>
      <c r="C829" s="13"/>
      <c r="D829" s="13"/>
      <c r="E829" s="13"/>
      <c r="F829" s="13"/>
      <c r="G829" s="13"/>
      <c r="H829" s="13"/>
      <c r="I829" s="13"/>
      <c r="J829" s="13"/>
      <c r="K829" s="13"/>
      <c r="L829" s="13"/>
      <c r="M829" s="28"/>
      <c r="N829" s="294"/>
      <c r="O829" s="13"/>
      <c r="P829" s="13"/>
      <c r="Q829" s="13"/>
      <c r="R829" s="13"/>
      <c r="S829" s="13"/>
      <c r="T829" s="13"/>
      <c r="U829" s="13"/>
      <c r="V829" s="13"/>
      <c r="W829" s="13"/>
      <c r="X829" s="13"/>
      <c r="Y829" s="13"/>
      <c r="Z829" s="13"/>
    </row>
    <row r="830" spans="1:26" ht="13.5" customHeight="1">
      <c r="A830" s="13"/>
      <c r="B830" s="13"/>
      <c r="C830" s="13"/>
      <c r="D830" s="13"/>
      <c r="E830" s="13"/>
      <c r="F830" s="13"/>
      <c r="G830" s="13"/>
      <c r="H830" s="13"/>
      <c r="I830" s="13"/>
      <c r="J830" s="13"/>
      <c r="K830" s="13"/>
      <c r="L830" s="13"/>
      <c r="M830" s="28"/>
      <c r="N830" s="294"/>
      <c r="O830" s="13"/>
      <c r="P830" s="13"/>
      <c r="Q830" s="13"/>
      <c r="R830" s="13"/>
      <c r="S830" s="13"/>
      <c r="T830" s="13"/>
      <c r="U830" s="13"/>
      <c r="V830" s="13"/>
      <c r="W830" s="13"/>
      <c r="X830" s="13"/>
      <c r="Y830" s="13"/>
      <c r="Z830" s="13"/>
    </row>
    <row r="831" spans="1:26" ht="13.5" customHeight="1">
      <c r="A831" s="13"/>
      <c r="B831" s="13"/>
      <c r="C831" s="13"/>
      <c r="D831" s="13"/>
      <c r="E831" s="13"/>
      <c r="F831" s="13"/>
      <c r="G831" s="13"/>
      <c r="H831" s="13"/>
      <c r="I831" s="13"/>
      <c r="J831" s="13"/>
      <c r="K831" s="13"/>
      <c r="L831" s="13"/>
      <c r="M831" s="28"/>
      <c r="N831" s="294"/>
      <c r="O831" s="13"/>
      <c r="P831" s="13"/>
      <c r="Q831" s="13"/>
      <c r="R831" s="13"/>
      <c r="S831" s="13"/>
      <c r="T831" s="13"/>
      <c r="U831" s="13"/>
      <c r="V831" s="13"/>
      <c r="W831" s="13"/>
      <c r="X831" s="13"/>
      <c r="Y831" s="13"/>
      <c r="Z831" s="13"/>
    </row>
    <row r="832" spans="1:26" ht="13.5" customHeight="1">
      <c r="A832" s="13"/>
      <c r="B832" s="13"/>
      <c r="C832" s="13"/>
      <c r="D832" s="13"/>
      <c r="E832" s="13"/>
      <c r="F832" s="13"/>
      <c r="G832" s="13"/>
      <c r="H832" s="13"/>
      <c r="I832" s="13"/>
      <c r="J832" s="13"/>
      <c r="K832" s="13"/>
      <c r="L832" s="13"/>
      <c r="M832" s="28"/>
      <c r="N832" s="294"/>
      <c r="O832" s="13"/>
      <c r="P832" s="13"/>
      <c r="Q832" s="13"/>
      <c r="R832" s="13"/>
      <c r="S832" s="13"/>
      <c r="T832" s="13"/>
      <c r="U832" s="13"/>
      <c r="V832" s="13"/>
      <c r="W832" s="13"/>
      <c r="X832" s="13"/>
      <c r="Y832" s="13"/>
      <c r="Z832" s="13"/>
    </row>
    <row r="833" spans="1:26" ht="13.5" customHeight="1">
      <c r="A833" s="13"/>
      <c r="B833" s="13"/>
      <c r="C833" s="13"/>
      <c r="D833" s="13"/>
      <c r="E833" s="13"/>
      <c r="F833" s="13"/>
      <c r="G833" s="13"/>
      <c r="H833" s="13"/>
      <c r="I833" s="13"/>
      <c r="J833" s="13"/>
      <c r="K833" s="13"/>
      <c r="L833" s="13"/>
      <c r="M833" s="28"/>
      <c r="N833" s="294"/>
      <c r="O833" s="13"/>
      <c r="P833" s="13"/>
      <c r="Q833" s="13"/>
      <c r="R833" s="13"/>
      <c r="S833" s="13"/>
      <c r="T833" s="13"/>
      <c r="U833" s="13"/>
      <c r="V833" s="13"/>
      <c r="W833" s="13"/>
      <c r="X833" s="13"/>
      <c r="Y833" s="13"/>
      <c r="Z833" s="13"/>
    </row>
    <row r="834" spans="1:26" ht="13.5" customHeight="1">
      <c r="A834" s="13"/>
      <c r="B834" s="13"/>
      <c r="C834" s="13"/>
      <c r="D834" s="13"/>
      <c r="E834" s="13"/>
      <c r="F834" s="13"/>
      <c r="G834" s="13"/>
      <c r="H834" s="13"/>
      <c r="I834" s="13"/>
      <c r="J834" s="13"/>
      <c r="K834" s="13"/>
      <c r="L834" s="13"/>
      <c r="M834" s="28"/>
      <c r="N834" s="294"/>
      <c r="O834" s="13"/>
      <c r="P834" s="13"/>
      <c r="Q834" s="13"/>
      <c r="R834" s="13"/>
      <c r="S834" s="13"/>
      <c r="T834" s="13"/>
      <c r="U834" s="13"/>
      <c r="V834" s="13"/>
      <c r="W834" s="13"/>
      <c r="X834" s="13"/>
      <c r="Y834" s="13"/>
      <c r="Z834" s="13"/>
    </row>
    <row r="835" spans="1:26" ht="13.5" customHeight="1">
      <c r="A835" s="13"/>
      <c r="B835" s="13"/>
      <c r="C835" s="13"/>
      <c r="D835" s="13"/>
      <c r="E835" s="13"/>
      <c r="F835" s="13"/>
      <c r="G835" s="13"/>
      <c r="H835" s="13"/>
      <c r="I835" s="13"/>
      <c r="J835" s="13"/>
      <c r="K835" s="13"/>
      <c r="L835" s="13"/>
      <c r="M835" s="28"/>
      <c r="N835" s="294"/>
      <c r="O835" s="13"/>
      <c r="P835" s="13"/>
      <c r="Q835" s="13"/>
      <c r="R835" s="13"/>
      <c r="S835" s="13"/>
      <c r="T835" s="13"/>
      <c r="U835" s="13"/>
      <c r="V835" s="13"/>
      <c r="W835" s="13"/>
      <c r="X835" s="13"/>
      <c r="Y835" s="13"/>
      <c r="Z835" s="13"/>
    </row>
    <row r="836" spans="1:26" ht="13.5" customHeight="1">
      <c r="A836" s="13"/>
      <c r="B836" s="13"/>
      <c r="C836" s="13"/>
      <c r="D836" s="13"/>
      <c r="E836" s="13"/>
      <c r="F836" s="13"/>
      <c r="G836" s="13"/>
      <c r="H836" s="13"/>
      <c r="I836" s="13"/>
      <c r="J836" s="13"/>
      <c r="K836" s="13"/>
      <c r="L836" s="13"/>
      <c r="M836" s="28"/>
      <c r="N836" s="294"/>
      <c r="O836" s="13"/>
      <c r="P836" s="13"/>
      <c r="Q836" s="13"/>
      <c r="R836" s="13"/>
      <c r="S836" s="13"/>
      <c r="T836" s="13"/>
      <c r="U836" s="13"/>
      <c r="V836" s="13"/>
      <c r="W836" s="13"/>
      <c r="X836" s="13"/>
      <c r="Y836" s="13"/>
      <c r="Z836" s="13"/>
    </row>
    <row r="837" spans="1:26" ht="13.5" customHeight="1">
      <c r="A837" s="13"/>
      <c r="B837" s="13"/>
      <c r="C837" s="13"/>
      <c r="D837" s="13"/>
      <c r="E837" s="13"/>
      <c r="F837" s="13"/>
      <c r="G837" s="13"/>
      <c r="H837" s="13"/>
      <c r="I837" s="13"/>
      <c r="J837" s="13"/>
      <c r="K837" s="13"/>
      <c r="L837" s="13"/>
      <c r="M837" s="28"/>
      <c r="N837" s="294"/>
      <c r="O837" s="13"/>
      <c r="P837" s="13"/>
      <c r="Q837" s="13"/>
      <c r="R837" s="13"/>
      <c r="S837" s="13"/>
      <c r="T837" s="13"/>
      <c r="U837" s="13"/>
      <c r="V837" s="13"/>
      <c r="W837" s="13"/>
      <c r="X837" s="13"/>
      <c r="Y837" s="13"/>
      <c r="Z837" s="13"/>
    </row>
    <row r="838" spans="1:26" ht="13.5" customHeight="1">
      <c r="A838" s="13"/>
      <c r="B838" s="13"/>
      <c r="C838" s="13"/>
      <c r="D838" s="13"/>
      <c r="E838" s="13"/>
      <c r="F838" s="13"/>
      <c r="G838" s="13"/>
      <c r="H838" s="13"/>
      <c r="I838" s="13"/>
      <c r="J838" s="13"/>
      <c r="K838" s="13"/>
      <c r="L838" s="13"/>
      <c r="M838" s="28"/>
      <c r="N838" s="294"/>
      <c r="O838" s="13"/>
      <c r="P838" s="13"/>
      <c r="Q838" s="13"/>
      <c r="R838" s="13"/>
      <c r="S838" s="13"/>
      <c r="T838" s="13"/>
      <c r="U838" s="13"/>
      <c r="V838" s="13"/>
      <c r="W838" s="13"/>
      <c r="X838" s="13"/>
      <c r="Y838" s="13"/>
      <c r="Z838" s="13"/>
    </row>
    <row r="839" spans="1:26" ht="13.5" customHeight="1">
      <c r="A839" s="13"/>
      <c r="B839" s="13"/>
      <c r="C839" s="13"/>
      <c r="D839" s="13"/>
      <c r="E839" s="13"/>
      <c r="F839" s="13"/>
      <c r="G839" s="13"/>
      <c r="H839" s="13"/>
      <c r="I839" s="13"/>
      <c r="J839" s="13"/>
      <c r="K839" s="13"/>
      <c r="L839" s="13"/>
      <c r="M839" s="28"/>
      <c r="N839" s="294"/>
      <c r="O839" s="13"/>
      <c r="P839" s="13"/>
      <c r="Q839" s="13"/>
      <c r="R839" s="13"/>
      <c r="S839" s="13"/>
      <c r="T839" s="13"/>
      <c r="U839" s="13"/>
      <c r="V839" s="13"/>
      <c r="W839" s="13"/>
      <c r="X839" s="13"/>
      <c r="Y839" s="13"/>
      <c r="Z839" s="13"/>
    </row>
    <row r="840" spans="1:26" ht="13.5" customHeight="1">
      <c r="A840" s="13"/>
      <c r="B840" s="13"/>
      <c r="C840" s="13"/>
      <c r="D840" s="13"/>
      <c r="E840" s="13"/>
      <c r="F840" s="13"/>
      <c r="G840" s="13"/>
      <c r="H840" s="13"/>
      <c r="I840" s="13"/>
      <c r="J840" s="13"/>
      <c r="K840" s="13"/>
      <c r="L840" s="13"/>
      <c r="M840" s="28"/>
      <c r="N840" s="294"/>
      <c r="O840" s="13"/>
      <c r="P840" s="13"/>
      <c r="Q840" s="13"/>
      <c r="R840" s="13"/>
      <c r="S840" s="13"/>
      <c r="T840" s="13"/>
      <c r="U840" s="13"/>
      <c r="V840" s="13"/>
      <c r="W840" s="13"/>
      <c r="X840" s="13"/>
      <c r="Y840" s="13"/>
      <c r="Z840" s="13"/>
    </row>
    <row r="841" spans="1:26" ht="13.5" customHeight="1">
      <c r="A841" s="13"/>
      <c r="B841" s="13"/>
      <c r="C841" s="13"/>
      <c r="D841" s="13"/>
      <c r="E841" s="13"/>
      <c r="F841" s="13"/>
      <c r="G841" s="13"/>
      <c r="H841" s="13"/>
      <c r="I841" s="13"/>
      <c r="J841" s="13"/>
      <c r="K841" s="13"/>
      <c r="L841" s="13"/>
      <c r="M841" s="28"/>
      <c r="N841" s="294"/>
      <c r="O841" s="13"/>
      <c r="P841" s="13"/>
      <c r="Q841" s="13"/>
      <c r="R841" s="13"/>
      <c r="S841" s="13"/>
      <c r="T841" s="13"/>
      <c r="U841" s="13"/>
      <c r="V841" s="13"/>
      <c r="W841" s="13"/>
      <c r="X841" s="13"/>
      <c r="Y841" s="13"/>
      <c r="Z841" s="13"/>
    </row>
    <row r="842" spans="1:26" ht="13.5" customHeight="1">
      <c r="A842" s="13"/>
      <c r="B842" s="13"/>
      <c r="C842" s="13"/>
      <c r="D842" s="13"/>
      <c r="E842" s="13"/>
      <c r="F842" s="13"/>
      <c r="G842" s="13"/>
      <c r="H842" s="13"/>
      <c r="I842" s="13"/>
      <c r="J842" s="13"/>
      <c r="K842" s="13"/>
      <c r="L842" s="13"/>
      <c r="M842" s="28"/>
      <c r="N842" s="294"/>
      <c r="O842" s="13"/>
      <c r="P842" s="13"/>
      <c r="Q842" s="13"/>
      <c r="R842" s="13"/>
      <c r="S842" s="13"/>
      <c r="T842" s="13"/>
      <c r="U842" s="13"/>
      <c r="V842" s="13"/>
      <c r="W842" s="13"/>
      <c r="X842" s="13"/>
      <c r="Y842" s="13"/>
      <c r="Z842" s="13"/>
    </row>
    <row r="843" spans="1:26" ht="13.5" customHeight="1">
      <c r="A843" s="13"/>
      <c r="B843" s="13"/>
      <c r="C843" s="13"/>
      <c r="D843" s="13"/>
      <c r="E843" s="13"/>
      <c r="F843" s="13"/>
      <c r="G843" s="13"/>
      <c r="H843" s="13"/>
      <c r="I843" s="13"/>
      <c r="J843" s="13"/>
      <c r="K843" s="13"/>
      <c r="L843" s="13"/>
      <c r="M843" s="28"/>
      <c r="N843" s="294"/>
      <c r="O843" s="13"/>
      <c r="P843" s="13"/>
      <c r="Q843" s="13"/>
      <c r="R843" s="13"/>
      <c r="S843" s="13"/>
      <c r="T843" s="13"/>
      <c r="U843" s="13"/>
      <c r="V843" s="13"/>
      <c r="W843" s="13"/>
      <c r="X843" s="13"/>
      <c r="Y843" s="13"/>
      <c r="Z843" s="13"/>
    </row>
    <row r="844" spans="1:26" ht="13.5" customHeight="1">
      <c r="A844" s="13"/>
      <c r="B844" s="13"/>
      <c r="C844" s="13"/>
      <c r="D844" s="13"/>
      <c r="E844" s="13"/>
      <c r="F844" s="13"/>
      <c r="G844" s="13"/>
      <c r="H844" s="13"/>
      <c r="I844" s="13"/>
      <c r="J844" s="13"/>
      <c r="K844" s="13"/>
      <c r="L844" s="13"/>
      <c r="M844" s="28"/>
      <c r="N844" s="294"/>
      <c r="O844" s="13"/>
      <c r="P844" s="13"/>
      <c r="Q844" s="13"/>
      <c r="R844" s="13"/>
      <c r="S844" s="13"/>
      <c r="T844" s="13"/>
      <c r="U844" s="13"/>
      <c r="V844" s="13"/>
      <c r="W844" s="13"/>
      <c r="X844" s="13"/>
      <c r="Y844" s="13"/>
      <c r="Z844" s="13"/>
    </row>
    <row r="845" spans="1:26" ht="13.5" customHeight="1">
      <c r="A845" s="13"/>
      <c r="B845" s="13"/>
      <c r="C845" s="13"/>
      <c r="D845" s="13"/>
      <c r="E845" s="13"/>
      <c r="F845" s="13"/>
      <c r="G845" s="13"/>
      <c r="H845" s="13"/>
      <c r="I845" s="13"/>
      <c r="J845" s="13"/>
      <c r="K845" s="13"/>
      <c r="L845" s="13"/>
      <c r="M845" s="28"/>
      <c r="N845" s="294"/>
      <c r="O845" s="13"/>
      <c r="P845" s="13"/>
      <c r="Q845" s="13"/>
      <c r="R845" s="13"/>
      <c r="S845" s="13"/>
      <c r="T845" s="13"/>
      <c r="U845" s="13"/>
      <c r="V845" s="13"/>
      <c r="W845" s="13"/>
      <c r="X845" s="13"/>
      <c r="Y845" s="13"/>
      <c r="Z845" s="13"/>
    </row>
    <row r="846" spans="1:26" ht="13.5" customHeight="1">
      <c r="A846" s="13"/>
      <c r="B846" s="13"/>
      <c r="C846" s="13"/>
      <c r="D846" s="13"/>
      <c r="E846" s="13"/>
      <c r="F846" s="13"/>
      <c r="G846" s="13"/>
      <c r="H846" s="13"/>
      <c r="I846" s="13"/>
      <c r="J846" s="13"/>
      <c r="K846" s="13"/>
      <c r="L846" s="13"/>
      <c r="M846" s="28"/>
      <c r="N846" s="294"/>
      <c r="O846" s="13"/>
      <c r="P846" s="13"/>
      <c r="Q846" s="13"/>
      <c r="R846" s="13"/>
      <c r="S846" s="13"/>
      <c r="T846" s="13"/>
      <c r="U846" s="13"/>
      <c r="V846" s="13"/>
      <c r="W846" s="13"/>
      <c r="X846" s="13"/>
      <c r="Y846" s="13"/>
      <c r="Z846" s="13"/>
    </row>
    <row r="847" spans="1:26" ht="13.5" customHeight="1">
      <c r="A847" s="13"/>
      <c r="B847" s="13"/>
      <c r="C847" s="13"/>
      <c r="D847" s="13"/>
      <c r="E847" s="13"/>
      <c r="F847" s="13"/>
      <c r="G847" s="13"/>
      <c r="H847" s="13"/>
      <c r="I847" s="13"/>
      <c r="J847" s="13"/>
      <c r="K847" s="13"/>
      <c r="L847" s="13"/>
      <c r="M847" s="28"/>
      <c r="N847" s="294"/>
      <c r="O847" s="13"/>
      <c r="P847" s="13"/>
      <c r="Q847" s="13"/>
      <c r="R847" s="13"/>
      <c r="S847" s="13"/>
      <c r="T847" s="13"/>
      <c r="U847" s="13"/>
      <c r="V847" s="13"/>
      <c r="W847" s="13"/>
      <c r="X847" s="13"/>
      <c r="Y847" s="13"/>
      <c r="Z847" s="13"/>
    </row>
    <row r="848" spans="1:26" ht="13.5" customHeight="1">
      <c r="A848" s="13"/>
      <c r="B848" s="13"/>
      <c r="C848" s="13"/>
      <c r="D848" s="13"/>
      <c r="E848" s="13"/>
      <c r="F848" s="13"/>
      <c r="G848" s="13"/>
      <c r="H848" s="13"/>
      <c r="I848" s="13"/>
      <c r="J848" s="13"/>
      <c r="K848" s="13"/>
      <c r="L848" s="13"/>
      <c r="M848" s="28"/>
      <c r="N848" s="294"/>
      <c r="O848" s="13"/>
      <c r="P848" s="13"/>
      <c r="Q848" s="13"/>
      <c r="R848" s="13"/>
      <c r="S848" s="13"/>
      <c r="T848" s="13"/>
      <c r="U848" s="13"/>
      <c r="V848" s="13"/>
      <c r="W848" s="13"/>
      <c r="X848" s="13"/>
      <c r="Y848" s="13"/>
      <c r="Z848" s="13"/>
    </row>
    <row r="849" spans="1:26" ht="13.5" customHeight="1">
      <c r="A849" s="13"/>
      <c r="B849" s="13"/>
      <c r="C849" s="13"/>
      <c r="D849" s="13"/>
      <c r="E849" s="13"/>
      <c r="F849" s="13"/>
      <c r="G849" s="13"/>
      <c r="H849" s="13"/>
      <c r="I849" s="13"/>
      <c r="J849" s="13"/>
      <c r="K849" s="13"/>
      <c r="L849" s="13"/>
      <c r="M849" s="28"/>
      <c r="N849" s="294"/>
      <c r="O849" s="13"/>
      <c r="P849" s="13"/>
      <c r="Q849" s="13"/>
      <c r="R849" s="13"/>
      <c r="S849" s="13"/>
      <c r="T849" s="13"/>
      <c r="U849" s="13"/>
      <c r="V849" s="13"/>
      <c r="W849" s="13"/>
      <c r="X849" s="13"/>
      <c r="Y849" s="13"/>
      <c r="Z849" s="13"/>
    </row>
    <row r="850" spans="1:26" ht="13.5" customHeight="1">
      <c r="A850" s="13"/>
      <c r="B850" s="13"/>
      <c r="C850" s="13"/>
      <c r="D850" s="13"/>
      <c r="E850" s="13"/>
      <c r="F850" s="13"/>
      <c r="G850" s="13"/>
      <c r="H850" s="13"/>
      <c r="I850" s="13"/>
      <c r="J850" s="13"/>
      <c r="K850" s="13"/>
      <c r="L850" s="13"/>
      <c r="M850" s="28"/>
      <c r="N850" s="294"/>
      <c r="O850" s="13"/>
      <c r="P850" s="13"/>
      <c r="Q850" s="13"/>
      <c r="R850" s="13"/>
      <c r="S850" s="13"/>
      <c r="T850" s="13"/>
      <c r="U850" s="13"/>
      <c r="V850" s="13"/>
      <c r="W850" s="13"/>
      <c r="X850" s="13"/>
      <c r="Y850" s="13"/>
      <c r="Z850" s="13"/>
    </row>
    <row r="851" spans="1:26" ht="13.5" customHeight="1">
      <c r="A851" s="13"/>
      <c r="B851" s="13"/>
      <c r="C851" s="13"/>
      <c r="D851" s="13"/>
      <c r="E851" s="13"/>
      <c r="F851" s="13"/>
      <c r="G851" s="13"/>
      <c r="H851" s="13"/>
      <c r="I851" s="13"/>
      <c r="J851" s="13"/>
      <c r="K851" s="13"/>
      <c r="L851" s="13"/>
      <c r="M851" s="28"/>
      <c r="N851" s="294"/>
      <c r="O851" s="13"/>
      <c r="P851" s="13"/>
      <c r="Q851" s="13"/>
      <c r="R851" s="13"/>
      <c r="S851" s="13"/>
      <c r="T851" s="13"/>
      <c r="U851" s="13"/>
      <c r="V851" s="13"/>
      <c r="W851" s="13"/>
      <c r="X851" s="13"/>
      <c r="Y851" s="13"/>
      <c r="Z851" s="13"/>
    </row>
    <row r="852" spans="1:26" ht="13.5" customHeight="1">
      <c r="A852" s="13"/>
      <c r="B852" s="13"/>
      <c r="C852" s="13"/>
      <c r="D852" s="13"/>
      <c r="E852" s="13"/>
      <c r="F852" s="13"/>
      <c r="G852" s="13"/>
      <c r="H852" s="13"/>
      <c r="I852" s="13"/>
      <c r="J852" s="13"/>
      <c r="K852" s="13"/>
      <c r="L852" s="13"/>
      <c r="M852" s="28"/>
      <c r="N852" s="294"/>
      <c r="O852" s="13"/>
      <c r="P852" s="13"/>
      <c r="Q852" s="13"/>
      <c r="R852" s="13"/>
      <c r="S852" s="13"/>
      <c r="T852" s="13"/>
      <c r="U852" s="13"/>
      <c r="V852" s="13"/>
      <c r="W852" s="13"/>
      <c r="X852" s="13"/>
      <c r="Y852" s="13"/>
      <c r="Z852" s="13"/>
    </row>
    <row r="853" spans="1:26" ht="13.5" customHeight="1">
      <c r="A853" s="13"/>
      <c r="B853" s="13"/>
      <c r="C853" s="13"/>
      <c r="D853" s="13"/>
      <c r="E853" s="13"/>
      <c r="F853" s="13"/>
      <c r="G853" s="13"/>
      <c r="H853" s="13"/>
      <c r="I853" s="13"/>
      <c r="J853" s="13"/>
      <c r="K853" s="13"/>
      <c r="L853" s="13"/>
      <c r="M853" s="28"/>
      <c r="N853" s="294"/>
      <c r="O853" s="13"/>
      <c r="P853" s="13"/>
      <c r="Q853" s="13"/>
      <c r="R853" s="13"/>
      <c r="S853" s="13"/>
      <c r="T853" s="13"/>
      <c r="U853" s="13"/>
      <c r="V853" s="13"/>
      <c r="W853" s="13"/>
      <c r="X853" s="13"/>
      <c r="Y853" s="13"/>
      <c r="Z853" s="13"/>
    </row>
    <row r="854" spans="1:26" ht="13.5" customHeight="1">
      <c r="A854" s="13"/>
      <c r="B854" s="13"/>
      <c r="C854" s="13"/>
      <c r="D854" s="13"/>
      <c r="E854" s="13"/>
      <c r="F854" s="13"/>
      <c r="G854" s="13"/>
      <c r="H854" s="13"/>
      <c r="I854" s="13"/>
      <c r="J854" s="13"/>
      <c r="K854" s="13"/>
      <c r="L854" s="13"/>
      <c r="M854" s="28"/>
      <c r="N854" s="294"/>
      <c r="O854" s="13"/>
      <c r="P854" s="13"/>
      <c r="Q854" s="13"/>
      <c r="R854" s="13"/>
      <c r="S854" s="13"/>
      <c r="T854" s="13"/>
      <c r="U854" s="13"/>
      <c r="V854" s="13"/>
      <c r="W854" s="13"/>
      <c r="X854" s="13"/>
      <c r="Y854" s="13"/>
      <c r="Z854" s="13"/>
    </row>
    <row r="855" spans="1:26" ht="13.5" customHeight="1">
      <c r="A855" s="13"/>
      <c r="B855" s="13"/>
      <c r="C855" s="13"/>
      <c r="D855" s="13"/>
      <c r="E855" s="13"/>
      <c r="F855" s="13"/>
      <c r="G855" s="13"/>
      <c r="H855" s="13"/>
      <c r="I855" s="13"/>
      <c r="J855" s="13"/>
      <c r="K855" s="13"/>
      <c r="L855" s="13"/>
      <c r="M855" s="28"/>
      <c r="N855" s="294"/>
      <c r="O855" s="13"/>
      <c r="P855" s="13"/>
      <c r="Q855" s="13"/>
      <c r="R855" s="13"/>
      <c r="S855" s="13"/>
      <c r="T855" s="13"/>
      <c r="U855" s="13"/>
      <c r="V855" s="13"/>
      <c r="W855" s="13"/>
      <c r="X855" s="13"/>
      <c r="Y855" s="13"/>
      <c r="Z855" s="13"/>
    </row>
    <row r="856" spans="1:26" ht="13.5" customHeight="1">
      <c r="A856" s="13"/>
      <c r="B856" s="13"/>
      <c r="C856" s="13"/>
      <c r="D856" s="13"/>
      <c r="E856" s="13"/>
      <c r="F856" s="13"/>
      <c r="G856" s="13"/>
      <c r="H856" s="13"/>
      <c r="I856" s="13"/>
      <c r="J856" s="13"/>
      <c r="K856" s="13"/>
      <c r="L856" s="13"/>
      <c r="M856" s="28"/>
      <c r="N856" s="294"/>
      <c r="O856" s="13"/>
      <c r="P856" s="13"/>
      <c r="Q856" s="13"/>
      <c r="R856" s="13"/>
      <c r="S856" s="13"/>
      <c r="T856" s="13"/>
      <c r="U856" s="13"/>
      <c r="V856" s="13"/>
      <c r="W856" s="13"/>
      <c r="X856" s="13"/>
      <c r="Y856" s="13"/>
      <c r="Z856" s="13"/>
    </row>
    <row r="857" spans="1:26" ht="13.5" customHeight="1">
      <c r="A857" s="13"/>
      <c r="B857" s="13"/>
      <c r="C857" s="13"/>
      <c r="D857" s="13"/>
      <c r="E857" s="13"/>
      <c r="F857" s="13"/>
      <c r="G857" s="13"/>
      <c r="H857" s="13"/>
      <c r="I857" s="13"/>
      <c r="J857" s="13"/>
      <c r="K857" s="13"/>
      <c r="L857" s="13"/>
      <c r="M857" s="28"/>
      <c r="N857" s="294"/>
      <c r="O857" s="13"/>
      <c r="P857" s="13"/>
      <c r="Q857" s="13"/>
      <c r="R857" s="13"/>
      <c r="S857" s="13"/>
      <c r="T857" s="13"/>
      <c r="U857" s="13"/>
      <c r="V857" s="13"/>
      <c r="W857" s="13"/>
      <c r="X857" s="13"/>
      <c r="Y857" s="13"/>
      <c r="Z857" s="13"/>
    </row>
    <row r="858" spans="1:26" ht="13.5" customHeight="1">
      <c r="A858" s="13"/>
      <c r="B858" s="13"/>
      <c r="C858" s="13"/>
      <c r="D858" s="13"/>
      <c r="E858" s="13"/>
      <c r="F858" s="13"/>
      <c r="G858" s="13"/>
      <c r="H858" s="13"/>
      <c r="I858" s="13"/>
      <c r="J858" s="13"/>
      <c r="K858" s="13"/>
      <c r="L858" s="13"/>
      <c r="M858" s="28"/>
      <c r="N858" s="294"/>
      <c r="O858" s="13"/>
      <c r="P858" s="13"/>
      <c r="Q858" s="13"/>
      <c r="R858" s="13"/>
      <c r="S858" s="13"/>
      <c r="T858" s="13"/>
      <c r="U858" s="13"/>
      <c r="V858" s="13"/>
      <c r="W858" s="13"/>
      <c r="X858" s="13"/>
      <c r="Y858" s="13"/>
      <c r="Z858" s="13"/>
    </row>
    <row r="859" spans="1:26" ht="13.5" customHeight="1">
      <c r="A859" s="13"/>
      <c r="B859" s="13"/>
      <c r="C859" s="13"/>
      <c r="D859" s="13"/>
      <c r="E859" s="13"/>
      <c r="F859" s="13"/>
      <c r="G859" s="13"/>
      <c r="H859" s="13"/>
      <c r="I859" s="13"/>
      <c r="J859" s="13"/>
      <c r="K859" s="13"/>
      <c r="L859" s="13"/>
      <c r="M859" s="28"/>
      <c r="N859" s="294"/>
      <c r="O859" s="13"/>
      <c r="P859" s="13"/>
      <c r="Q859" s="13"/>
      <c r="R859" s="13"/>
      <c r="S859" s="13"/>
      <c r="T859" s="13"/>
      <c r="U859" s="13"/>
      <c r="V859" s="13"/>
      <c r="W859" s="13"/>
      <c r="X859" s="13"/>
      <c r="Y859" s="13"/>
      <c r="Z859" s="13"/>
    </row>
    <row r="860" spans="1:26" ht="13.5" customHeight="1">
      <c r="A860" s="13"/>
      <c r="B860" s="13"/>
      <c r="C860" s="13"/>
      <c r="D860" s="13"/>
      <c r="E860" s="13"/>
      <c r="F860" s="13"/>
      <c r="G860" s="13"/>
      <c r="H860" s="13"/>
      <c r="I860" s="13"/>
      <c r="J860" s="13"/>
      <c r="K860" s="13"/>
      <c r="L860" s="13"/>
      <c r="M860" s="28"/>
      <c r="N860" s="294"/>
      <c r="O860" s="13"/>
      <c r="P860" s="13"/>
      <c r="Q860" s="13"/>
      <c r="R860" s="13"/>
      <c r="S860" s="13"/>
      <c r="T860" s="13"/>
      <c r="U860" s="13"/>
      <c r="V860" s="13"/>
      <c r="W860" s="13"/>
      <c r="X860" s="13"/>
      <c r="Y860" s="13"/>
      <c r="Z860" s="13"/>
    </row>
    <row r="861" spans="1:26" ht="13.5" customHeight="1">
      <c r="A861" s="13"/>
      <c r="B861" s="13"/>
      <c r="C861" s="13"/>
      <c r="D861" s="13"/>
      <c r="E861" s="13"/>
      <c r="F861" s="13"/>
      <c r="G861" s="13"/>
      <c r="H861" s="13"/>
      <c r="I861" s="13"/>
      <c r="J861" s="13"/>
      <c r="K861" s="13"/>
      <c r="L861" s="13"/>
      <c r="M861" s="28"/>
      <c r="N861" s="294"/>
      <c r="O861" s="13"/>
      <c r="P861" s="13"/>
      <c r="Q861" s="13"/>
      <c r="R861" s="13"/>
      <c r="S861" s="13"/>
      <c r="T861" s="13"/>
      <c r="U861" s="13"/>
      <c r="V861" s="13"/>
      <c r="W861" s="13"/>
      <c r="X861" s="13"/>
      <c r="Y861" s="13"/>
      <c r="Z861" s="13"/>
    </row>
    <row r="862" spans="1:26" ht="13.5" customHeight="1">
      <c r="A862" s="13"/>
      <c r="B862" s="13"/>
      <c r="C862" s="13"/>
      <c r="D862" s="13"/>
      <c r="E862" s="13"/>
      <c r="F862" s="13"/>
      <c r="G862" s="13"/>
      <c r="H862" s="13"/>
      <c r="I862" s="13"/>
      <c r="J862" s="13"/>
      <c r="K862" s="13"/>
      <c r="L862" s="13"/>
      <c r="M862" s="28"/>
      <c r="N862" s="294"/>
      <c r="O862" s="13"/>
      <c r="P862" s="13"/>
      <c r="Q862" s="13"/>
      <c r="R862" s="13"/>
      <c r="S862" s="13"/>
      <c r="T862" s="13"/>
      <c r="U862" s="13"/>
      <c r="V862" s="13"/>
      <c r="W862" s="13"/>
      <c r="X862" s="13"/>
      <c r="Y862" s="13"/>
      <c r="Z862" s="13"/>
    </row>
    <row r="863" spans="1:26" ht="13.5" customHeight="1">
      <c r="A863" s="13"/>
      <c r="B863" s="13"/>
      <c r="C863" s="13"/>
      <c r="D863" s="13"/>
      <c r="E863" s="13"/>
      <c r="F863" s="13"/>
      <c r="G863" s="13"/>
      <c r="H863" s="13"/>
      <c r="I863" s="13"/>
      <c r="J863" s="13"/>
      <c r="K863" s="13"/>
      <c r="L863" s="13"/>
      <c r="M863" s="28"/>
      <c r="N863" s="294"/>
      <c r="O863" s="13"/>
      <c r="P863" s="13"/>
      <c r="Q863" s="13"/>
      <c r="R863" s="13"/>
      <c r="S863" s="13"/>
      <c r="T863" s="13"/>
      <c r="U863" s="13"/>
      <c r="V863" s="13"/>
      <c r="W863" s="13"/>
      <c r="X863" s="13"/>
      <c r="Y863" s="13"/>
      <c r="Z863" s="13"/>
    </row>
    <row r="864" spans="1:26" ht="13.5" customHeight="1">
      <c r="A864" s="13"/>
      <c r="B864" s="13"/>
      <c r="C864" s="13"/>
      <c r="D864" s="13"/>
      <c r="E864" s="13"/>
      <c r="F864" s="13"/>
      <c r="G864" s="13"/>
      <c r="H864" s="13"/>
      <c r="I864" s="13"/>
      <c r="J864" s="13"/>
      <c r="K864" s="13"/>
      <c r="L864" s="13"/>
      <c r="M864" s="28"/>
      <c r="N864" s="294"/>
      <c r="O864" s="13"/>
      <c r="P864" s="13"/>
      <c r="Q864" s="13"/>
      <c r="R864" s="13"/>
      <c r="S864" s="13"/>
      <c r="T864" s="13"/>
      <c r="U864" s="13"/>
      <c r="V864" s="13"/>
      <c r="W864" s="13"/>
      <c r="X864" s="13"/>
      <c r="Y864" s="13"/>
      <c r="Z864" s="13"/>
    </row>
    <row r="865" spans="1:26" ht="13.5" customHeight="1">
      <c r="A865" s="13"/>
      <c r="B865" s="13"/>
      <c r="C865" s="13"/>
      <c r="D865" s="13"/>
      <c r="E865" s="13"/>
      <c r="F865" s="13"/>
      <c r="G865" s="13"/>
      <c r="H865" s="13"/>
      <c r="I865" s="13"/>
      <c r="J865" s="13"/>
      <c r="K865" s="13"/>
      <c r="L865" s="13"/>
      <c r="M865" s="28"/>
      <c r="N865" s="294"/>
      <c r="O865" s="13"/>
      <c r="P865" s="13"/>
      <c r="Q865" s="13"/>
      <c r="R865" s="13"/>
      <c r="S865" s="13"/>
      <c r="T865" s="13"/>
      <c r="U865" s="13"/>
      <c r="V865" s="13"/>
      <c r="W865" s="13"/>
      <c r="X865" s="13"/>
      <c r="Y865" s="13"/>
      <c r="Z865" s="13"/>
    </row>
    <row r="866" spans="1:26" ht="13.5" customHeight="1">
      <c r="A866" s="13"/>
      <c r="B866" s="13"/>
      <c r="C866" s="13"/>
      <c r="D866" s="13"/>
      <c r="E866" s="13"/>
      <c r="F866" s="13"/>
      <c r="G866" s="13"/>
      <c r="H866" s="13"/>
      <c r="I866" s="13"/>
      <c r="J866" s="13"/>
      <c r="K866" s="13"/>
      <c r="L866" s="13"/>
      <c r="M866" s="28"/>
      <c r="N866" s="294"/>
      <c r="O866" s="13"/>
      <c r="P866" s="13"/>
      <c r="Q866" s="13"/>
      <c r="R866" s="13"/>
      <c r="S866" s="13"/>
      <c r="T866" s="13"/>
      <c r="U866" s="13"/>
      <c r="V866" s="13"/>
      <c r="W866" s="13"/>
      <c r="X866" s="13"/>
      <c r="Y866" s="13"/>
      <c r="Z866" s="13"/>
    </row>
    <row r="867" spans="1:26" ht="13.5" customHeight="1">
      <c r="A867" s="13"/>
      <c r="B867" s="13"/>
      <c r="C867" s="13"/>
      <c r="D867" s="13"/>
      <c r="E867" s="13"/>
      <c r="F867" s="13"/>
      <c r="G867" s="13"/>
      <c r="H867" s="13"/>
      <c r="I867" s="13"/>
      <c r="J867" s="13"/>
      <c r="K867" s="13"/>
      <c r="L867" s="13"/>
      <c r="M867" s="28"/>
      <c r="N867" s="294"/>
      <c r="O867" s="13"/>
      <c r="P867" s="13"/>
      <c r="Q867" s="13"/>
      <c r="R867" s="13"/>
      <c r="S867" s="13"/>
      <c r="T867" s="13"/>
      <c r="U867" s="13"/>
      <c r="V867" s="13"/>
      <c r="W867" s="13"/>
      <c r="X867" s="13"/>
      <c r="Y867" s="13"/>
      <c r="Z867" s="13"/>
    </row>
    <row r="868" spans="1:26" ht="13.5" customHeight="1">
      <c r="A868" s="13"/>
      <c r="B868" s="13"/>
      <c r="C868" s="13"/>
      <c r="D868" s="13"/>
      <c r="E868" s="13"/>
      <c r="F868" s="13"/>
      <c r="G868" s="13"/>
      <c r="H868" s="13"/>
      <c r="I868" s="13"/>
      <c r="J868" s="13"/>
      <c r="K868" s="13"/>
      <c r="L868" s="13"/>
      <c r="M868" s="28"/>
      <c r="N868" s="294"/>
      <c r="O868" s="13"/>
      <c r="P868" s="13"/>
      <c r="Q868" s="13"/>
      <c r="R868" s="13"/>
      <c r="S868" s="13"/>
      <c r="T868" s="13"/>
      <c r="U868" s="13"/>
      <c r="V868" s="13"/>
      <c r="W868" s="13"/>
      <c r="X868" s="13"/>
      <c r="Y868" s="13"/>
      <c r="Z868" s="13"/>
    </row>
    <row r="869" spans="1:26" ht="13.5" customHeight="1">
      <c r="A869" s="13"/>
      <c r="B869" s="13"/>
      <c r="C869" s="13"/>
      <c r="D869" s="13"/>
      <c r="E869" s="13"/>
      <c r="F869" s="13"/>
      <c r="G869" s="13"/>
      <c r="H869" s="13"/>
      <c r="I869" s="13"/>
      <c r="J869" s="13"/>
      <c r="K869" s="13"/>
      <c r="L869" s="13"/>
      <c r="M869" s="28"/>
      <c r="N869" s="294"/>
      <c r="O869" s="13"/>
      <c r="P869" s="13"/>
      <c r="Q869" s="13"/>
      <c r="R869" s="13"/>
      <c r="S869" s="13"/>
      <c r="T869" s="13"/>
      <c r="U869" s="13"/>
      <c r="V869" s="13"/>
      <c r="W869" s="13"/>
      <c r="X869" s="13"/>
      <c r="Y869" s="13"/>
      <c r="Z869" s="13"/>
    </row>
    <row r="870" spans="1:26" ht="13.5" customHeight="1">
      <c r="A870" s="13"/>
      <c r="B870" s="13"/>
      <c r="C870" s="13"/>
      <c r="D870" s="13"/>
      <c r="E870" s="13"/>
      <c r="F870" s="13"/>
      <c r="G870" s="13"/>
      <c r="H870" s="13"/>
      <c r="I870" s="13"/>
      <c r="J870" s="13"/>
      <c r="K870" s="13"/>
      <c r="L870" s="13"/>
      <c r="M870" s="28"/>
      <c r="N870" s="294"/>
      <c r="O870" s="13"/>
      <c r="P870" s="13"/>
      <c r="Q870" s="13"/>
      <c r="R870" s="13"/>
      <c r="S870" s="13"/>
      <c r="T870" s="13"/>
      <c r="U870" s="13"/>
      <c r="V870" s="13"/>
      <c r="W870" s="13"/>
      <c r="X870" s="13"/>
      <c r="Y870" s="13"/>
      <c r="Z870" s="13"/>
    </row>
    <row r="871" spans="1:26" ht="13.5" customHeight="1">
      <c r="A871" s="13"/>
      <c r="B871" s="13"/>
      <c r="C871" s="13"/>
      <c r="D871" s="13"/>
      <c r="E871" s="13"/>
      <c r="F871" s="13"/>
      <c r="G871" s="13"/>
      <c r="H871" s="13"/>
      <c r="I871" s="13"/>
      <c r="J871" s="13"/>
      <c r="K871" s="13"/>
      <c r="L871" s="13"/>
      <c r="M871" s="28"/>
      <c r="N871" s="294"/>
      <c r="O871" s="13"/>
      <c r="P871" s="13"/>
      <c r="Q871" s="13"/>
      <c r="R871" s="13"/>
      <c r="S871" s="13"/>
      <c r="T871" s="13"/>
      <c r="U871" s="13"/>
      <c r="V871" s="13"/>
      <c r="W871" s="13"/>
      <c r="X871" s="13"/>
      <c r="Y871" s="13"/>
      <c r="Z871" s="13"/>
    </row>
    <row r="872" spans="1:26" ht="13.5" customHeight="1">
      <c r="A872" s="13"/>
      <c r="B872" s="13"/>
      <c r="C872" s="13"/>
      <c r="D872" s="13"/>
      <c r="E872" s="13"/>
      <c r="F872" s="13"/>
      <c r="G872" s="13"/>
      <c r="H872" s="13"/>
      <c r="I872" s="13"/>
      <c r="J872" s="13"/>
      <c r="K872" s="13"/>
      <c r="L872" s="13"/>
      <c r="M872" s="28"/>
      <c r="N872" s="294"/>
      <c r="O872" s="13"/>
      <c r="P872" s="13"/>
      <c r="Q872" s="13"/>
      <c r="R872" s="13"/>
      <c r="S872" s="13"/>
      <c r="T872" s="13"/>
      <c r="U872" s="13"/>
      <c r="V872" s="13"/>
      <c r="W872" s="13"/>
      <c r="X872" s="13"/>
      <c r="Y872" s="13"/>
      <c r="Z872" s="13"/>
    </row>
    <row r="873" spans="1:26" ht="13.5" customHeight="1">
      <c r="A873" s="13"/>
      <c r="B873" s="13"/>
      <c r="C873" s="13"/>
      <c r="D873" s="13"/>
      <c r="E873" s="13"/>
      <c r="F873" s="13"/>
      <c r="G873" s="13"/>
      <c r="H873" s="13"/>
      <c r="I873" s="13"/>
      <c r="J873" s="13"/>
      <c r="K873" s="13"/>
      <c r="L873" s="13"/>
      <c r="M873" s="28"/>
      <c r="N873" s="294"/>
      <c r="O873" s="13"/>
      <c r="P873" s="13"/>
      <c r="Q873" s="13"/>
      <c r="R873" s="13"/>
      <c r="S873" s="13"/>
      <c r="T873" s="13"/>
      <c r="U873" s="13"/>
      <c r="V873" s="13"/>
      <c r="W873" s="13"/>
      <c r="X873" s="13"/>
      <c r="Y873" s="13"/>
      <c r="Z873" s="13"/>
    </row>
    <row r="874" spans="1:26" ht="13.5" customHeight="1">
      <c r="A874" s="13"/>
      <c r="B874" s="13"/>
      <c r="C874" s="13"/>
      <c r="D874" s="13"/>
      <c r="E874" s="13"/>
      <c r="F874" s="13"/>
      <c r="G874" s="13"/>
      <c r="H874" s="13"/>
      <c r="I874" s="13"/>
      <c r="J874" s="13"/>
      <c r="K874" s="13"/>
      <c r="L874" s="13"/>
      <c r="M874" s="28"/>
      <c r="N874" s="294"/>
      <c r="O874" s="13"/>
      <c r="P874" s="13"/>
      <c r="Q874" s="13"/>
      <c r="R874" s="13"/>
      <c r="S874" s="13"/>
      <c r="T874" s="13"/>
      <c r="U874" s="13"/>
      <c r="V874" s="13"/>
      <c r="W874" s="13"/>
      <c r="X874" s="13"/>
      <c r="Y874" s="13"/>
      <c r="Z874" s="13"/>
    </row>
    <row r="875" spans="1:26" ht="13.5" customHeight="1">
      <c r="A875" s="13"/>
      <c r="B875" s="13"/>
      <c r="C875" s="13"/>
      <c r="D875" s="13"/>
      <c r="E875" s="13"/>
      <c r="F875" s="13"/>
      <c r="G875" s="13"/>
      <c r="H875" s="13"/>
      <c r="I875" s="13"/>
      <c r="J875" s="13"/>
      <c r="K875" s="13"/>
      <c r="L875" s="13"/>
      <c r="M875" s="28"/>
      <c r="N875" s="294"/>
      <c r="O875" s="13"/>
      <c r="P875" s="13"/>
      <c r="Q875" s="13"/>
      <c r="R875" s="13"/>
      <c r="S875" s="13"/>
      <c r="T875" s="13"/>
      <c r="U875" s="13"/>
      <c r="V875" s="13"/>
      <c r="W875" s="13"/>
      <c r="X875" s="13"/>
      <c r="Y875" s="13"/>
      <c r="Z875" s="13"/>
    </row>
    <row r="876" spans="1:26" ht="13.5" customHeight="1">
      <c r="A876" s="13"/>
      <c r="B876" s="13"/>
      <c r="C876" s="13"/>
      <c r="D876" s="13"/>
      <c r="E876" s="13"/>
      <c r="F876" s="13"/>
      <c r="G876" s="13"/>
      <c r="H876" s="13"/>
      <c r="I876" s="13"/>
      <c r="J876" s="13"/>
      <c r="K876" s="13"/>
      <c r="L876" s="13"/>
      <c r="M876" s="28"/>
      <c r="N876" s="294"/>
      <c r="O876" s="13"/>
      <c r="P876" s="13"/>
      <c r="Q876" s="13"/>
      <c r="R876" s="13"/>
      <c r="S876" s="13"/>
      <c r="T876" s="13"/>
      <c r="U876" s="13"/>
      <c r="V876" s="13"/>
      <c r="W876" s="13"/>
      <c r="X876" s="13"/>
      <c r="Y876" s="13"/>
      <c r="Z876" s="13"/>
    </row>
    <row r="877" spans="1:26" ht="13.5" customHeight="1">
      <c r="A877" s="13"/>
      <c r="B877" s="13"/>
      <c r="C877" s="13"/>
      <c r="D877" s="13"/>
      <c r="E877" s="13"/>
      <c r="F877" s="13"/>
      <c r="G877" s="13"/>
      <c r="H877" s="13"/>
      <c r="I877" s="13"/>
      <c r="J877" s="13"/>
      <c r="K877" s="13"/>
      <c r="L877" s="13"/>
      <c r="M877" s="28"/>
      <c r="N877" s="294"/>
      <c r="O877" s="13"/>
      <c r="P877" s="13"/>
      <c r="Q877" s="13"/>
      <c r="R877" s="13"/>
      <c r="S877" s="13"/>
      <c r="T877" s="13"/>
      <c r="U877" s="13"/>
      <c r="V877" s="13"/>
      <c r="W877" s="13"/>
      <c r="X877" s="13"/>
      <c r="Y877" s="13"/>
      <c r="Z877" s="13"/>
    </row>
    <row r="878" spans="1:26" ht="13.5" customHeight="1">
      <c r="A878" s="13"/>
      <c r="B878" s="13"/>
      <c r="C878" s="13"/>
      <c r="D878" s="13"/>
      <c r="E878" s="13"/>
      <c r="F878" s="13"/>
      <c r="G878" s="13"/>
      <c r="H878" s="13"/>
      <c r="I878" s="13"/>
      <c r="J878" s="13"/>
      <c r="K878" s="13"/>
      <c r="L878" s="13"/>
      <c r="M878" s="28"/>
      <c r="N878" s="294"/>
      <c r="O878" s="13"/>
      <c r="P878" s="13"/>
      <c r="Q878" s="13"/>
      <c r="R878" s="13"/>
      <c r="S878" s="13"/>
      <c r="T878" s="13"/>
      <c r="U878" s="13"/>
      <c r="V878" s="13"/>
      <c r="W878" s="13"/>
      <c r="X878" s="13"/>
      <c r="Y878" s="13"/>
      <c r="Z878" s="13"/>
    </row>
    <row r="879" spans="1:26" ht="13.5" customHeight="1">
      <c r="A879" s="13"/>
      <c r="B879" s="13"/>
      <c r="C879" s="13"/>
      <c r="D879" s="13"/>
      <c r="E879" s="13"/>
      <c r="F879" s="13"/>
      <c r="G879" s="13"/>
      <c r="H879" s="13"/>
      <c r="I879" s="13"/>
      <c r="J879" s="13"/>
      <c r="K879" s="13"/>
      <c r="L879" s="13"/>
      <c r="M879" s="28"/>
      <c r="N879" s="294"/>
      <c r="O879" s="13"/>
      <c r="P879" s="13"/>
      <c r="Q879" s="13"/>
      <c r="R879" s="13"/>
      <c r="S879" s="13"/>
      <c r="T879" s="13"/>
      <c r="U879" s="13"/>
      <c r="V879" s="13"/>
      <c r="W879" s="13"/>
      <c r="X879" s="13"/>
      <c r="Y879" s="13"/>
      <c r="Z879" s="13"/>
    </row>
    <row r="880" spans="1:26" ht="13.5" customHeight="1">
      <c r="A880" s="13"/>
      <c r="B880" s="13"/>
      <c r="C880" s="13"/>
      <c r="D880" s="13"/>
      <c r="E880" s="13"/>
      <c r="F880" s="13"/>
      <c r="G880" s="13"/>
      <c r="H880" s="13"/>
      <c r="I880" s="13"/>
      <c r="J880" s="13"/>
      <c r="K880" s="13"/>
      <c r="L880" s="13"/>
      <c r="M880" s="28"/>
      <c r="N880" s="294"/>
      <c r="O880" s="13"/>
      <c r="P880" s="13"/>
      <c r="Q880" s="13"/>
      <c r="R880" s="13"/>
      <c r="S880" s="13"/>
      <c r="T880" s="13"/>
      <c r="U880" s="13"/>
      <c r="V880" s="13"/>
      <c r="W880" s="13"/>
      <c r="X880" s="13"/>
      <c r="Y880" s="13"/>
      <c r="Z880" s="13"/>
    </row>
    <row r="881" spans="1:26" ht="13.5" customHeight="1">
      <c r="A881" s="13"/>
      <c r="B881" s="13"/>
      <c r="C881" s="13"/>
      <c r="D881" s="13"/>
      <c r="E881" s="13"/>
      <c r="F881" s="13"/>
      <c r="G881" s="13"/>
      <c r="H881" s="13"/>
      <c r="I881" s="13"/>
      <c r="J881" s="13"/>
      <c r="K881" s="13"/>
      <c r="L881" s="13"/>
      <c r="M881" s="28"/>
      <c r="N881" s="294"/>
      <c r="O881" s="13"/>
      <c r="P881" s="13"/>
      <c r="Q881" s="13"/>
      <c r="R881" s="13"/>
      <c r="S881" s="13"/>
      <c r="T881" s="13"/>
      <c r="U881" s="13"/>
      <c r="V881" s="13"/>
      <c r="W881" s="13"/>
      <c r="X881" s="13"/>
      <c r="Y881" s="13"/>
      <c r="Z881" s="13"/>
    </row>
    <row r="882" spans="1:26" ht="13.5" customHeight="1">
      <c r="A882" s="13"/>
      <c r="B882" s="13"/>
      <c r="C882" s="13"/>
      <c r="D882" s="13"/>
      <c r="E882" s="13"/>
      <c r="F882" s="13"/>
      <c r="G882" s="13"/>
      <c r="H882" s="13"/>
      <c r="I882" s="13"/>
      <c r="J882" s="13"/>
      <c r="K882" s="13"/>
      <c r="L882" s="13"/>
      <c r="M882" s="28"/>
      <c r="N882" s="294"/>
      <c r="O882" s="13"/>
      <c r="P882" s="13"/>
      <c r="Q882" s="13"/>
      <c r="R882" s="13"/>
      <c r="S882" s="13"/>
      <c r="T882" s="13"/>
      <c r="U882" s="13"/>
      <c r="V882" s="13"/>
      <c r="W882" s="13"/>
      <c r="X882" s="13"/>
      <c r="Y882" s="13"/>
      <c r="Z882" s="13"/>
    </row>
    <row r="883" spans="1:26" ht="13.5" customHeight="1">
      <c r="A883" s="13"/>
      <c r="B883" s="13"/>
      <c r="C883" s="13"/>
      <c r="D883" s="13"/>
      <c r="E883" s="13"/>
      <c r="F883" s="13"/>
      <c r="G883" s="13"/>
      <c r="H883" s="13"/>
      <c r="I883" s="13"/>
      <c r="J883" s="13"/>
      <c r="K883" s="13"/>
      <c r="L883" s="13"/>
      <c r="M883" s="28"/>
      <c r="N883" s="294"/>
      <c r="O883" s="13"/>
      <c r="P883" s="13"/>
      <c r="Q883" s="13"/>
      <c r="R883" s="13"/>
      <c r="S883" s="13"/>
      <c r="T883" s="13"/>
      <c r="U883" s="13"/>
      <c r="V883" s="13"/>
      <c r="W883" s="13"/>
      <c r="X883" s="13"/>
      <c r="Y883" s="13"/>
      <c r="Z883" s="13"/>
    </row>
    <row r="884" spans="1:26" ht="13.5" customHeight="1">
      <c r="A884" s="13"/>
      <c r="B884" s="13"/>
      <c r="C884" s="13"/>
      <c r="D884" s="13"/>
      <c r="E884" s="13"/>
      <c r="F884" s="13"/>
      <c r="G884" s="13"/>
      <c r="H884" s="13"/>
      <c r="I884" s="13"/>
      <c r="J884" s="13"/>
      <c r="K884" s="13"/>
      <c r="L884" s="13"/>
      <c r="M884" s="28"/>
      <c r="N884" s="294"/>
      <c r="O884" s="13"/>
      <c r="P884" s="13"/>
      <c r="Q884" s="13"/>
      <c r="R884" s="13"/>
      <c r="S884" s="13"/>
      <c r="T884" s="13"/>
      <c r="U884" s="13"/>
      <c r="V884" s="13"/>
      <c r="W884" s="13"/>
      <c r="X884" s="13"/>
      <c r="Y884" s="13"/>
      <c r="Z884" s="13"/>
    </row>
    <row r="885" spans="1:26" ht="13.5" customHeight="1">
      <c r="A885" s="13"/>
      <c r="B885" s="13"/>
      <c r="C885" s="13"/>
      <c r="D885" s="13"/>
      <c r="E885" s="13"/>
      <c r="F885" s="13"/>
      <c r="G885" s="13"/>
      <c r="H885" s="13"/>
      <c r="I885" s="13"/>
      <c r="J885" s="13"/>
      <c r="K885" s="13"/>
      <c r="L885" s="13"/>
      <c r="M885" s="28"/>
      <c r="N885" s="294"/>
      <c r="O885" s="13"/>
      <c r="P885" s="13"/>
      <c r="Q885" s="13"/>
      <c r="R885" s="13"/>
      <c r="S885" s="13"/>
      <c r="T885" s="13"/>
      <c r="U885" s="13"/>
      <c r="V885" s="13"/>
      <c r="W885" s="13"/>
      <c r="X885" s="13"/>
      <c r="Y885" s="13"/>
      <c r="Z885" s="13"/>
    </row>
    <row r="886" spans="1:26" ht="13.5" customHeight="1">
      <c r="A886" s="13"/>
      <c r="B886" s="13"/>
      <c r="C886" s="13"/>
      <c r="D886" s="13"/>
      <c r="E886" s="13"/>
      <c r="F886" s="13"/>
      <c r="G886" s="13"/>
      <c r="H886" s="13"/>
      <c r="I886" s="13"/>
      <c r="J886" s="13"/>
      <c r="K886" s="13"/>
      <c r="L886" s="13"/>
      <c r="M886" s="28"/>
      <c r="N886" s="294"/>
      <c r="O886" s="13"/>
      <c r="P886" s="13"/>
      <c r="Q886" s="13"/>
      <c r="R886" s="13"/>
      <c r="S886" s="13"/>
      <c r="T886" s="13"/>
      <c r="U886" s="13"/>
      <c r="V886" s="13"/>
      <c r="W886" s="13"/>
      <c r="X886" s="13"/>
      <c r="Y886" s="13"/>
      <c r="Z886" s="13"/>
    </row>
    <row r="887" spans="1:26" ht="13.5" customHeight="1">
      <c r="A887" s="13"/>
      <c r="B887" s="13"/>
      <c r="C887" s="13"/>
      <c r="D887" s="13"/>
      <c r="E887" s="13"/>
      <c r="F887" s="13"/>
      <c r="G887" s="13"/>
      <c r="H887" s="13"/>
      <c r="I887" s="13"/>
      <c r="J887" s="13"/>
      <c r="K887" s="13"/>
      <c r="L887" s="13"/>
      <c r="M887" s="28"/>
      <c r="N887" s="294"/>
      <c r="O887" s="13"/>
      <c r="P887" s="13"/>
      <c r="Q887" s="13"/>
      <c r="R887" s="13"/>
      <c r="S887" s="13"/>
      <c r="T887" s="13"/>
      <c r="U887" s="13"/>
      <c r="V887" s="13"/>
      <c r="W887" s="13"/>
      <c r="X887" s="13"/>
      <c r="Y887" s="13"/>
      <c r="Z887" s="13"/>
    </row>
    <row r="888" spans="1:26" ht="13.5" customHeight="1">
      <c r="A888" s="13"/>
      <c r="B888" s="13"/>
      <c r="C888" s="13"/>
      <c r="D888" s="13"/>
      <c r="E888" s="13"/>
      <c r="F888" s="13"/>
      <c r="G888" s="13"/>
      <c r="H888" s="13"/>
      <c r="I888" s="13"/>
      <c r="J888" s="13"/>
      <c r="K888" s="13"/>
      <c r="L888" s="13"/>
      <c r="M888" s="28"/>
      <c r="N888" s="294"/>
      <c r="O888" s="13"/>
      <c r="P888" s="13"/>
      <c r="Q888" s="13"/>
      <c r="R888" s="13"/>
      <c r="S888" s="13"/>
      <c r="T888" s="13"/>
      <c r="U888" s="13"/>
      <c r="V888" s="13"/>
      <c r="W888" s="13"/>
      <c r="X888" s="13"/>
      <c r="Y888" s="13"/>
      <c r="Z888" s="13"/>
    </row>
    <row r="889" spans="1:26" ht="13.5" customHeight="1">
      <c r="A889" s="13"/>
      <c r="B889" s="13"/>
      <c r="C889" s="13"/>
      <c r="D889" s="13"/>
      <c r="E889" s="13"/>
      <c r="F889" s="13"/>
      <c r="G889" s="13"/>
      <c r="H889" s="13"/>
      <c r="I889" s="13"/>
      <c r="J889" s="13"/>
      <c r="K889" s="13"/>
      <c r="L889" s="13"/>
      <c r="M889" s="28"/>
      <c r="N889" s="294"/>
      <c r="O889" s="13"/>
      <c r="P889" s="13"/>
      <c r="Q889" s="13"/>
      <c r="R889" s="13"/>
      <c r="S889" s="13"/>
      <c r="T889" s="13"/>
      <c r="U889" s="13"/>
      <c r="V889" s="13"/>
      <c r="W889" s="13"/>
      <c r="X889" s="13"/>
      <c r="Y889" s="13"/>
      <c r="Z889" s="13"/>
    </row>
    <row r="890" spans="1:26" ht="13.5" customHeight="1">
      <c r="A890" s="13"/>
      <c r="B890" s="13"/>
      <c r="C890" s="13"/>
      <c r="D890" s="13"/>
      <c r="E890" s="13"/>
      <c r="F890" s="13"/>
      <c r="G890" s="13"/>
      <c r="H890" s="13"/>
      <c r="I890" s="13"/>
      <c r="J890" s="13"/>
      <c r="K890" s="13"/>
      <c r="L890" s="13"/>
      <c r="M890" s="28"/>
      <c r="N890" s="294"/>
      <c r="O890" s="13"/>
      <c r="P890" s="13"/>
      <c r="Q890" s="13"/>
      <c r="R890" s="13"/>
      <c r="S890" s="13"/>
      <c r="T890" s="13"/>
      <c r="U890" s="13"/>
      <c r="V890" s="13"/>
      <c r="W890" s="13"/>
      <c r="X890" s="13"/>
      <c r="Y890" s="13"/>
      <c r="Z890" s="13"/>
    </row>
    <row r="891" spans="1:26" ht="13.5" customHeight="1">
      <c r="A891" s="13"/>
      <c r="B891" s="13"/>
      <c r="C891" s="13"/>
      <c r="D891" s="13"/>
      <c r="E891" s="13"/>
      <c r="F891" s="13"/>
      <c r="G891" s="13"/>
      <c r="H891" s="13"/>
      <c r="I891" s="13"/>
      <c r="J891" s="13"/>
      <c r="K891" s="13"/>
      <c r="L891" s="13"/>
      <c r="M891" s="28"/>
      <c r="N891" s="294"/>
      <c r="O891" s="13"/>
      <c r="P891" s="13"/>
      <c r="Q891" s="13"/>
      <c r="R891" s="13"/>
      <c r="S891" s="13"/>
      <c r="T891" s="13"/>
      <c r="U891" s="13"/>
      <c r="V891" s="13"/>
      <c r="W891" s="13"/>
      <c r="X891" s="13"/>
      <c r="Y891" s="13"/>
      <c r="Z891" s="13"/>
    </row>
    <row r="892" spans="1:26" ht="13.5" customHeight="1">
      <c r="A892" s="13"/>
      <c r="B892" s="13"/>
      <c r="C892" s="13"/>
      <c r="D892" s="13"/>
      <c r="E892" s="13"/>
      <c r="F892" s="13"/>
      <c r="G892" s="13"/>
      <c r="H892" s="13"/>
      <c r="I892" s="13"/>
      <c r="J892" s="13"/>
      <c r="K892" s="13"/>
      <c r="L892" s="13"/>
      <c r="M892" s="28"/>
      <c r="N892" s="294"/>
      <c r="O892" s="13"/>
      <c r="P892" s="13"/>
      <c r="Q892" s="13"/>
      <c r="R892" s="13"/>
      <c r="S892" s="13"/>
      <c r="T892" s="13"/>
      <c r="U892" s="13"/>
      <c r="V892" s="13"/>
      <c r="W892" s="13"/>
      <c r="X892" s="13"/>
      <c r="Y892" s="13"/>
      <c r="Z892" s="13"/>
    </row>
    <row r="893" spans="1:26" ht="13.5" customHeight="1">
      <c r="A893" s="13"/>
      <c r="B893" s="13"/>
      <c r="C893" s="13"/>
      <c r="D893" s="13"/>
      <c r="E893" s="13"/>
      <c r="F893" s="13"/>
      <c r="G893" s="13"/>
      <c r="H893" s="13"/>
      <c r="I893" s="13"/>
      <c r="J893" s="13"/>
      <c r="K893" s="13"/>
      <c r="L893" s="13"/>
      <c r="M893" s="28"/>
      <c r="N893" s="294"/>
      <c r="O893" s="13"/>
      <c r="P893" s="13"/>
      <c r="Q893" s="13"/>
      <c r="R893" s="13"/>
      <c r="S893" s="13"/>
      <c r="T893" s="13"/>
      <c r="U893" s="13"/>
      <c r="V893" s="13"/>
      <c r="W893" s="13"/>
      <c r="X893" s="13"/>
      <c r="Y893" s="13"/>
      <c r="Z893" s="13"/>
    </row>
    <row r="894" spans="1:26" ht="13.5" customHeight="1">
      <c r="A894" s="13"/>
      <c r="B894" s="13"/>
      <c r="C894" s="13"/>
      <c r="D894" s="13"/>
      <c r="E894" s="13"/>
      <c r="F894" s="13"/>
      <c r="G894" s="13"/>
      <c r="H894" s="13"/>
      <c r="I894" s="13"/>
      <c r="J894" s="13"/>
      <c r="K894" s="13"/>
      <c r="L894" s="13"/>
      <c r="M894" s="28"/>
      <c r="N894" s="294"/>
      <c r="O894" s="13"/>
      <c r="P894" s="13"/>
      <c r="Q894" s="13"/>
      <c r="R894" s="13"/>
      <c r="S894" s="13"/>
      <c r="T894" s="13"/>
      <c r="U894" s="13"/>
      <c r="V894" s="13"/>
      <c r="W894" s="13"/>
      <c r="X894" s="13"/>
      <c r="Y894" s="13"/>
      <c r="Z894" s="13"/>
    </row>
    <row r="895" spans="1:26" ht="13.5" customHeight="1">
      <c r="A895" s="13"/>
      <c r="B895" s="13"/>
      <c r="C895" s="13"/>
      <c r="D895" s="13"/>
      <c r="E895" s="13"/>
      <c r="F895" s="13"/>
      <c r="G895" s="13"/>
      <c r="H895" s="13"/>
      <c r="I895" s="13"/>
      <c r="J895" s="13"/>
      <c r="K895" s="13"/>
      <c r="L895" s="13"/>
      <c r="M895" s="28"/>
      <c r="N895" s="294"/>
      <c r="O895" s="13"/>
      <c r="P895" s="13"/>
      <c r="Q895" s="13"/>
      <c r="R895" s="13"/>
      <c r="S895" s="13"/>
      <c r="T895" s="13"/>
      <c r="U895" s="13"/>
      <c r="V895" s="13"/>
      <c r="W895" s="13"/>
      <c r="X895" s="13"/>
      <c r="Y895" s="13"/>
      <c r="Z895" s="13"/>
    </row>
    <row r="896" spans="1:26" ht="13.5" customHeight="1">
      <c r="A896" s="13"/>
      <c r="B896" s="13"/>
      <c r="C896" s="13"/>
      <c r="D896" s="13"/>
      <c r="E896" s="13"/>
      <c r="F896" s="13"/>
      <c r="G896" s="13"/>
      <c r="H896" s="13"/>
      <c r="I896" s="13"/>
      <c r="J896" s="13"/>
      <c r="K896" s="13"/>
      <c r="L896" s="13"/>
      <c r="M896" s="28"/>
      <c r="N896" s="294"/>
      <c r="O896" s="13"/>
      <c r="P896" s="13"/>
      <c r="Q896" s="13"/>
      <c r="R896" s="13"/>
      <c r="S896" s="13"/>
      <c r="T896" s="13"/>
      <c r="U896" s="13"/>
      <c r="V896" s="13"/>
      <c r="W896" s="13"/>
      <c r="X896" s="13"/>
      <c r="Y896" s="13"/>
      <c r="Z896" s="13"/>
    </row>
    <row r="897" spans="1:26" ht="13.5" customHeight="1">
      <c r="A897" s="13"/>
      <c r="B897" s="13"/>
      <c r="C897" s="13"/>
      <c r="D897" s="13"/>
      <c r="E897" s="13"/>
      <c r="F897" s="13"/>
      <c r="G897" s="13"/>
      <c r="H897" s="13"/>
      <c r="I897" s="13"/>
      <c r="J897" s="13"/>
      <c r="K897" s="13"/>
      <c r="L897" s="13"/>
      <c r="M897" s="28"/>
      <c r="N897" s="294"/>
      <c r="O897" s="13"/>
      <c r="P897" s="13"/>
      <c r="Q897" s="13"/>
      <c r="R897" s="13"/>
      <c r="S897" s="13"/>
      <c r="T897" s="13"/>
      <c r="U897" s="13"/>
      <c r="V897" s="13"/>
      <c r="W897" s="13"/>
      <c r="X897" s="13"/>
      <c r="Y897" s="13"/>
      <c r="Z897" s="13"/>
    </row>
    <row r="898" spans="1:26" ht="13.5" customHeight="1">
      <c r="A898" s="13"/>
      <c r="B898" s="13"/>
      <c r="C898" s="13"/>
      <c r="D898" s="13"/>
      <c r="E898" s="13"/>
      <c r="F898" s="13"/>
      <c r="G898" s="13"/>
      <c r="H898" s="13"/>
      <c r="I898" s="13"/>
      <c r="J898" s="13"/>
      <c r="K898" s="13"/>
      <c r="L898" s="13"/>
      <c r="M898" s="28"/>
      <c r="N898" s="294"/>
      <c r="O898" s="13"/>
      <c r="P898" s="13"/>
      <c r="Q898" s="13"/>
      <c r="R898" s="13"/>
      <c r="S898" s="13"/>
      <c r="T898" s="13"/>
      <c r="U898" s="13"/>
      <c r="V898" s="13"/>
      <c r="W898" s="13"/>
      <c r="X898" s="13"/>
      <c r="Y898" s="13"/>
      <c r="Z898" s="13"/>
    </row>
    <row r="899" spans="1:26" ht="13.5" customHeight="1">
      <c r="A899" s="13"/>
      <c r="B899" s="13"/>
      <c r="C899" s="13"/>
      <c r="D899" s="13"/>
      <c r="E899" s="13"/>
      <c r="F899" s="13"/>
      <c r="G899" s="13"/>
      <c r="H899" s="13"/>
      <c r="I899" s="13"/>
      <c r="J899" s="13"/>
      <c r="K899" s="13"/>
      <c r="L899" s="13"/>
      <c r="M899" s="28"/>
      <c r="N899" s="294"/>
      <c r="O899" s="13"/>
      <c r="P899" s="13"/>
      <c r="Q899" s="13"/>
      <c r="R899" s="13"/>
      <c r="S899" s="13"/>
      <c r="T899" s="13"/>
      <c r="U899" s="13"/>
      <c r="V899" s="13"/>
      <c r="W899" s="13"/>
      <c r="X899" s="13"/>
      <c r="Y899" s="13"/>
      <c r="Z899" s="13"/>
    </row>
    <row r="900" spans="1:26" ht="13.5" customHeight="1">
      <c r="A900" s="13"/>
      <c r="B900" s="13"/>
      <c r="C900" s="13"/>
      <c r="D900" s="13"/>
      <c r="E900" s="13"/>
      <c r="F900" s="13"/>
      <c r="G900" s="13"/>
      <c r="H900" s="13"/>
      <c r="I900" s="13"/>
      <c r="J900" s="13"/>
      <c r="K900" s="13"/>
      <c r="L900" s="13"/>
      <c r="M900" s="28"/>
      <c r="N900" s="294"/>
      <c r="O900" s="13"/>
      <c r="P900" s="13"/>
      <c r="Q900" s="13"/>
      <c r="R900" s="13"/>
      <c r="S900" s="13"/>
      <c r="T900" s="13"/>
      <c r="U900" s="13"/>
      <c r="V900" s="13"/>
      <c r="W900" s="13"/>
      <c r="X900" s="13"/>
      <c r="Y900" s="13"/>
      <c r="Z900" s="13"/>
    </row>
    <row r="901" spans="1:26" ht="13.5" customHeight="1">
      <c r="A901" s="13"/>
      <c r="B901" s="13"/>
      <c r="C901" s="13"/>
      <c r="D901" s="13"/>
      <c r="E901" s="13"/>
      <c r="F901" s="13"/>
      <c r="G901" s="13"/>
      <c r="H901" s="13"/>
      <c r="I901" s="13"/>
      <c r="J901" s="13"/>
      <c r="K901" s="13"/>
      <c r="L901" s="13"/>
      <c r="M901" s="28"/>
      <c r="N901" s="294"/>
      <c r="O901" s="13"/>
      <c r="P901" s="13"/>
      <c r="Q901" s="13"/>
      <c r="R901" s="13"/>
      <c r="S901" s="13"/>
      <c r="T901" s="13"/>
      <c r="U901" s="13"/>
      <c r="V901" s="13"/>
      <c r="W901" s="13"/>
      <c r="X901" s="13"/>
      <c r="Y901" s="13"/>
      <c r="Z901" s="13"/>
    </row>
    <row r="902" spans="1:26" ht="13.5" customHeight="1">
      <c r="A902" s="13"/>
      <c r="B902" s="13"/>
      <c r="C902" s="13"/>
      <c r="D902" s="13"/>
      <c r="E902" s="13"/>
      <c r="F902" s="13"/>
      <c r="G902" s="13"/>
      <c r="H902" s="13"/>
      <c r="I902" s="13"/>
      <c r="J902" s="13"/>
      <c r="K902" s="13"/>
      <c r="L902" s="13"/>
      <c r="M902" s="28"/>
      <c r="N902" s="294"/>
      <c r="O902" s="13"/>
      <c r="P902" s="13"/>
      <c r="Q902" s="13"/>
      <c r="R902" s="13"/>
      <c r="S902" s="13"/>
      <c r="T902" s="13"/>
      <c r="U902" s="13"/>
      <c r="V902" s="13"/>
      <c r="W902" s="13"/>
      <c r="X902" s="13"/>
      <c r="Y902" s="13"/>
      <c r="Z902" s="13"/>
    </row>
    <row r="903" spans="1:26" ht="13.5" customHeight="1">
      <c r="A903" s="13"/>
      <c r="B903" s="13"/>
      <c r="C903" s="13"/>
      <c r="D903" s="13"/>
      <c r="E903" s="13"/>
      <c r="F903" s="13"/>
      <c r="G903" s="13"/>
      <c r="H903" s="13"/>
      <c r="I903" s="13"/>
      <c r="J903" s="13"/>
      <c r="K903" s="13"/>
      <c r="L903" s="13"/>
      <c r="M903" s="28"/>
      <c r="N903" s="294"/>
      <c r="O903" s="13"/>
      <c r="P903" s="13"/>
      <c r="Q903" s="13"/>
      <c r="R903" s="13"/>
      <c r="S903" s="13"/>
      <c r="T903" s="13"/>
      <c r="U903" s="13"/>
      <c r="V903" s="13"/>
      <c r="W903" s="13"/>
      <c r="X903" s="13"/>
      <c r="Y903" s="13"/>
      <c r="Z903" s="13"/>
    </row>
    <row r="904" spans="1:26" ht="13.5" customHeight="1">
      <c r="A904" s="13"/>
      <c r="B904" s="13"/>
      <c r="C904" s="13"/>
      <c r="D904" s="13"/>
      <c r="E904" s="13"/>
      <c r="F904" s="13"/>
      <c r="G904" s="13"/>
      <c r="H904" s="13"/>
      <c r="I904" s="13"/>
      <c r="J904" s="13"/>
      <c r="K904" s="13"/>
      <c r="L904" s="13"/>
      <c r="M904" s="28"/>
      <c r="N904" s="294"/>
      <c r="O904" s="13"/>
      <c r="P904" s="13"/>
      <c r="Q904" s="13"/>
      <c r="R904" s="13"/>
      <c r="S904" s="13"/>
      <c r="T904" s="13"/>
      <c r="U904" s="13"/>
      <c r="V904" s="13"/>
      <c r="W904" s="13"/>
      <c r="X904" s="13"/>
      <c r="Y904" s="13"/>
      <c r="Z904" s="13"/>
    </row>
    <row r="905" spans="1:26" ht="13.5" customHeight="1">
      <c r="A905" s="13"/>
      <c r="B905" s="13"/>
      <c r="C905" s="13"/>
      <c r="D905" s="13"/>
      <c r="E905" s="13"/>
      <c r="F905" s="13"/>
      <c r="G905" s="13"/>
      <c r="H905" s="13"/>
      <c r="I905" s="13"/>
      <c r="J905" s="13"/>
      <c r="K905" s="13"/>
      <c r="L905" s="13"/>
      <c r="M905" s="28"/>
      <c r="N905" s="294"/>
      <c r="O905" s="13"/>
      <c r="P905" s="13"/>
      <c r="Q905" s="13"/>
      <c r="R905" s="13"/>
      <c r="S905" s="13"/>
      <c r="T905" s="13"/>
      <c r="U905" s="13"/>
      <c r="V905" s="13"/>
      <c r="W905" s="13"/>
      <c r="X905" s="13"/>
      <c r="Y905" s="13"/>
      <c r="Z905" s="13"/>
    </row>
    <row r="906" spans="1:26" ht="13.5" customHeight="1">
      <c r="A906" s="13"/>
      <c r="B906" s="13"/>
      <c r="C906" s="13"/>
      <c r="D906" s="13"/>
      <c r="E906" s="13"/>
      <c r="F906" s="13"/>
      <c r="G906" s="13"/>
      <c r="H906" s="13"/>
      <c r="I906" s="13"/>
      <c r="J906" s="13"/>
      <c r="K906" s="13"/>
      <c r="L906" s="13"/>
      <c r="M906" s="28"/>
      <c r="N906" s="294"/>
      <c r="O906" s="13"/>
      <c r="P906" s="13"/>
      <c r="Q906" s="13"/>
      <c r="R906" s="13"/>
      <c r="S906" s="13"/>
      <c r="T906" s="13"/>
      <c r="U906" s="13"/>
      <c r="V906" s="13"/>
      <c r="W906" s="13"/>
      <c r="X906" s="13"/>
      <c r="Y906" s="13"/>
      <c r="Z906" s="13"/>
    </row>
    <row r="907" spans="1:26" ht="13.5" customHeight="1">
      <c r="A907" s="13"/>
      <c r="B907" s="13"/>
      <c r="C907" s="13"/>
      <c r="D907" s="13"/>
      <c r="E907" s="13"/>
      <c r="F907" s="13"/>
      <c r="G907" s="13"/>
      <c r="H907" s="13"/>
      <c r="I907" s="13"/>
      <c r="J907" s="13"/>
      <c r="K907" s="13"/>
      <c r="L907" s="13"/>
      <c r="M907" s="28"/>
      <c r="N907" s="294"/>
      <c r="O907" s="13"/>
      <c r="P907" s="13"/>
      <c r="Q907" s="13"/>
      <c r="R907" s="13"/>
      <c r="S907" s="13"/>
      <c r="T907" s="13"/>
      <c r="U907" s="13"/>
      <c r="V907" s="13"/>
      <c r="W907" s="13"/>
      <c r="X907" s="13"/>
      <c r="Y907" s="13"/>
      <c r="Z907" s="13"/>
    </row>
    <row r="908" spans="1:26" ht="13.5" customHeight="1">
      <c r="A908" s="13"/>
      <c r="B908" s="13"/>
      <c r="C908" s="13"/>
      <c r="D908" s="13"/>
      <c r="E908" s="13"/>
      <c r="F908" s="13"/>
      <c r="G908" s="13"/>
      <c r="H908" s="13"/>
      <c r="I908" s="13"/>
      <c r="J908" s="13"/>
      <c r="K908" s="13"/>
      <c r="L908" s="13"/>
      <c r="M908" s="28"/>
      <c r="N908" s="294"/>
      <c r="O908" s="13"/>
      <c r="P908" s="13"/>
      <c r="Q908" s="13"/>
      <c r="R908" s="13"/>
      <c r="S908" s="13"/>
      <c r="T908" s="13"/>
      <c r="U908" s="13"/>
      <c r="V908" s="13"/>
      <c r="W908" s="13"/>
      <c r="X908" s="13"/>
      <c r="Y908" s="13"/>
      <c r="Z908" s="13"/>
    </row>
    <row r="909" spans="1:26" ht="13.5" customHeight="1">
      <c r="A909" s="13"/>
      <c r="B909" s="13"/>
      <c r="C909" s="13"/>
      <c r="D909" s="13"/>
      <c r="E909" s="13"/>
      <c r="F909" s="13"/>
      <c r="G909" s="13"/>
      <c r="H909" s="13"/>
      <c r="I909" s="13"/>
      <c r="J909" s="13"/>
      <c r="K909" s="13"/>
      <c r="L909" s="13"/>
      <c r="M909" s="28"/>
      <c r="N909" s="294"/>
      <c r="O909" s="13"/>
      <c r="P909" s="13"/>
      <c r="Q909" s="13"/>
      <c r="R909" s="13"/>
      <c r="S909" s="13"/>
      <c r="T909" s="13"/>
      <c r="U909" s="13"/>
      <c r="V909" s="13"/>
      <c r="W909" s="13"/>
      <c r="X909" s="13"/>
      <c r="Y909" s="13"/>
      <c r="Z909" s="13"/>
    </row>
    <row r="910" spans="1:26" ht="13.5" customHeight="1">
      <c r="A910" s="13"/>
      <c r="B910" s="13"/>
      <c r="C910" s="13"/>
      <c r="D910" s="13"/>
      <c r="E910" s="13"/>
      <c r="F910" s="13"/>
      <c r="G910" s="13"/>
      <c r="H910" s="13"/>
      <c r="I910" s="13"/>
      <c r="J910" s="13"/>
      <c r="K910" s="13"/>
      <c r="L910" s="13"/>
      <c r="M910" s="28"/>
      <c r="N910" s="294"/>
      <c r="O910" s="13"/>
      <c r="P910" s="13"/>
      <c r="Q910" s="13"/>
      <c r="R910" s="13"/>
      <c r="S910" s="13"/>
      <c r="T910" s="13"/>
      <c r="U910" s="13"/>
      <c r="V910" s="13"/>
      <c r="W910" s="13"/>
      <c r="X910" s="13"/>
      <c r="Y910" s="13"/>
      <c r="Z910" s="13"/>
    </row>
    <row r="911" spans="1:26" ht="13.5" customHeight="1">
      <c r="A911" s="13"/>
      <c r="B911" s="13"/>
      <c r="C911" s="13"/>
      <c r="D911" s="13"/>
      <c r="E911" s="13"/>
      <c r="F911" s="13"/>
      <c r="G911" s="13"/>
      <c r="H911" s="13"/>
      <c r="I911" s="13"/>
      <c r="J911" s="13"/>
      <c r="K911" s="13"/>
      <c r="L911" s="13"/>
      <c r="M911" s="28"/>
      <c r="N911" s="294"/>
      <c r="O911" s="13"/>
      <c r="P911" s="13"/>
      <c r="Q911" s="13"/>
      <c r="R911" s="13"/>
      <c r="S911" s="13"/>
      <c r="T911" s="13"/>
      <c r="U911" s="13"/>
      <c r="V911" s="13"/>
      <c r="W911" s="13"/>
      <c r="X911" s="13"/>
      <c r="Y911" s="13"/>
      <c r="Z911" s="13"/>
    </row>
    <row r="912" spans="1:26" ht="13.5" customHeight="1">
      <c r="A912" s="13"/>
      <c r="B912" s="13"/>
      <c r="C912" s="13"/>
      <c r="D912" s="13"/>
      <c r="E912" s="13"/>
      <c r="F912" s="13"/>
      <c r="G912" s="13"/>
      <c r="H912" s="13"/>
      <c r="I912" s="13"/>
      <c r="J912" s="13"/>
      <c r="K912" s="13"/>
      <c r="L912" s="13"/>
      <c r="M912" s="28"/>
      <c r="N912" s="294"/>
      <c r="O912" s="13"/>
      <c r="P912" s="13"/>
      <c r="Q912" s="13"/>
      <c r="R912" s="13"/>
      <c r="S912" s="13"/>
      <c r="T912" s="13"/>
      <c r="U912" s="13"/>
      <c r="V912" s="13"/>
      <c r="W912" s="13"/>
      <c r="X912" s="13"/>
      <c r="Y912" s="13"/>
      <c r="Z912" s="13"/>
    </row>
    <row r="913" spans="1:26" ht="13.5" customHeight="1">
      <c r="A913" s="13"/>
      <c r="B913" s="13"/>
      <c r="C913" s="13"/>
      <c r="D913" s="13"/>
      <c r="E913" s="13"/>
      <c r="F913" s="13"/>
      <c r="G913" s="13"/>
      <c r="H913" s="13"/>
      <c r="I913" s="13"/>
      <c r="J913" s="13"/>
      <c r="K913" s="13"/>
      <c r="L913" s="13"/>
      <c r="M913" s="28"/>
      <c r="N913" s="294"/>
      <c r="O913" s="13"/>
      <c r="P913" s="13"/>
      <c r="Q913" s="13"/>
      <c r="R913" s="13"/>
      <c r="S913" s="13"/>
      <c r="T913" s="13"/>
      <c r="U913" s="13"/>
      <c r="V913" s="13"/>
      <c r="W913" s="13"/>
      <c r="X913" s="13"/>
      <c r="Y913" s="13"/>
      <c r="Z913" s="13"/>
    </row>
    <row r="914" spans="1:26" ht="13.5" customHeight="1">
      <c r="A914" s="13"/>
      <c r="B914" s="13"/>
      <c r="C914" s="13"/>
      <c r="D914" s="13"/>
      <c r="E914" s="13"/>
      <c r="F914" s="13"/>
      <c r="G914" s="13"/>
      <c r="H914" s="13"/>
      <c r="I914" s="13"/>
      <c r="J914" s="13"/>
      <c r="K914" s="13"/>
      <c r="L914" s="13"/>
      <c r="M914" s="28"/>
      <c r="N914" s="294"/>
      <c r="O914" s="13"/>
      <c r="P914" s="13"/>
      <c r="Q914" s="13"/>
      <c r="R914" s="13"/>
      <c r="S914" s="13"/>
      <c r="T914" s="13"/>
      <c r="U914" s="13"/>
      <c r="V914" s="13"/>
      <c r="W914" s="13"/>
      <c r="X914" s="13"/>
      <c r="Y914" s="13"/>
      <c r="Z914" s="13"/>
    </row>
    <row r="915" spans="1:26" ht="13.5" customHeight="1">
      <c r="A915" s="13"/>
      <c r="B915" s="13"/>
      <c r="C915" s="13"/>
      <c r="D915" s="13"/>
      <c r="E915" s="13"/>
      <c r="F915" s="13"/>
      <c r="G915" s="13"/>
      <c r="H915" s="13"/>
      <c r="I915" s="13"/>
      <c r="J915" s="13"/>
      <c r="K915" s="13"/>
      <c r="L915" s="13"/>
      <c r="M915" s="28"/>
      <c r="N915" s="294"/>
      <c r="O915" s="13"/>
      <c r="P915" s="13"/>
      <c r="Q915" s="13"/>
      <c r="R915" s="13"/>
      <c r="S915" s="13"/>
      <c r="T915" s="13"/>
      <c r="U915" s="13"/>
      <c r="V915" s="13"/>
      <c r="W915" s="13"/>
      <c r="X915" s="13"/>
      <c r="Y915" s="13"/>
      <c r="Z915" s="13"/>
    </row>
    <row r="916" spans="1:26" ht="13.5" customHeight="1">
      <c r="A916" s="13"/>
      <c r="B916" s="13"/>
      <c r="C916" s="13"/>
      <c r="D916" s="13"/>
      <c r="E916" s="13"/>
      <c r="F916" s="13"/>
      <c r="G916" s="13"/>
      <c r="H916" s="13"/>
      <c r="I916" s="13"/>
      <c r="J916" s="13"/>
      <c r="K916" s="13"/>
      <c r="L916" s="13"/>
      <c r="M916" s="28"/>
      <c r="N916" s="294"/>
      <c r="O916" s="13"/>
      <c r="P916" s="13"/>
      <c r="Q916" s="13"/>
      <c r="R916" s="13"/>
      <c r="S916" s="13"/>
      <c r="T916" s="13"/>
      <c r="U916" s="13"/>
      <c r="V916" s="13"/>
      <c r="W916" s="13"/>
      <c r="X916" s="13"/>
      <c r="Y916" s="13"/>
      <c r="Z916" s="13"/>
    </row>
    <row r="917" spans="1:26" ht="13.5" customHeight="1">
      <c r="A917" s="13"/>
      <c r="B917" s="13"/>
      <c r="C917" s="13"/>
      <c r="D917" s="13"/>
      <c r="E917" s="13"/>
      <c r="F917" s="13"/>
      <c r="G917" s="13"/>
      <c r="H917" s="13"/>
      <c r="I917" s="13"/>
      <c r="J917" s="13"/>
      <c r="K917" s="13"/>
      <c r="L917" s="13"/>
      <c r="M917" s="28"/>
      <c r="N917" s="294"/>
      <c r="O917" s="13"/>
      <c r="P917" s="13"/>
      <c r="Q917" s="13"/>
      <c r="R917" s="13"/>
      <c r="S917" s="13"/>
      <c r="T917" s="13"/>
      <c r="U917" s="13"/>
      <c r="V917" s="13"/>
      <c r="W917" s="13"/>
      <c r="X917" s="13"/>
      <c r="Y917" s="13"/>
      <c r="Z917" s="13"/>
    </row>
    <row r="918" spans="1:26" ht="13.5" customHeight="1">
      <c r="A918" s="13"/>
      <c r="B918" s="13"/>
      <c r="C918" s="13"/>
      <c r="D918" s="13"/>
      <c r="E918" s="13"/>
      <c r="F918" s="13"/>
      <c r="G918" s="13"/>
      <c r="H918" s="13"/>
      <c r="I918" s="13"/>
      <c r="J918" s="13"/>
      <c r="K918" s="13"/>
      <c r="L918" s="13"/>
      <c r="M918" s="28"/>
      <c r="N918" s="294"/>
      <c r="O918" s="13"/>
      <c r="P918" s="13"/>
      <c r="Q918" s="13"/>
      <c r="R918" s="13"/>
      <c r="S918" s="13"/>
      <c r="T918" s="13"/>
      <c r="U918" s="13"/>
      <c r="V918" s="13"/>
      <c r="W918" s="13"/>
      <c r="X918" s="13"/>
      <c r="Y918" s="13"/>
      <c r="Z918" s="13"/>
    </row>
    <row r="919" spans="1:26" ht="13.5" customHeight="1">
      <c r="A919" s="13"/>
      <c r="B919" s="13"/>
      <c r="C919" s="13"/>
      <c r="D919" s="13"/>
      <c r="E919" s="13"/>
      <c r="F919" s="13"/>
      <c r="G919" s="13"/>
      <c r="H919" s="13"/>
      <c r="I919" s="13"/>
      <c r="J919" s="13"/>
      <c r="K919" s="13"/>
      <c r="L919" s="13"/>
      <c r="M919" s="28"/>
      <c r="N919" s="294"/>
      <c r="O919" s="13"/>
      <c r="P919" s="13"/>
      <c r="Q919" s="13"/>
      <c r="R919" s="13"/>
      <c r="S919" s="13"/>
      <c r="T919" s="13"/>
      <c r="U919" s="13"/>
      <c r="V919" s="13"/>
      <c r="W919" s="13"/>
      <c r="X919" s="13"/>
      <c r="Y919" s="13"/>
      <c r="Z919" s="13"/>
    </row>
    <row r="920" spans="1:26" ht="13.5" customHeight="1">
      <c r="A920" s="13"/>
      <c r="B920" s="13"/>
      <c r="C920" s="13"/>
      <c r="D920" s="13"/>
      <c r="E920" s="13"/>
      <c r="F920" s="13"/>
      <c r="G920" s="13"/>
      <c r="H920" s="13"/>
      <c r="I920" s="13"/>
      <c r="J920" s="13"/>
      <c r="K920" s="13"/>
      <c r="L920" s="13"/>
      <c r="M920" s="28"/>
      <c r="N920" s="294"/>
      <c r="O920" s="13"/>
      <c r="P920" s="13"/>
      <c r="Q920" s="13"/>
      <c r="R920" s="13"/>
      <c r="S920" s="13"/>
      <c r="T920" s="13"/>
      <c r="U920" s="13"/>
      <c r="V920" s="13"/>
      <c r="W920" s="13"/>
      <c r="X920" s="13"/>
      <c r="Y920" s="13"/>
      <c r="Z920" s="13"/>
    </row>
    <row r="921" spans="1:26" ht="13.5" customHeight="1">
      <c r="A921" s="13"/>
      <c r="B921" s="13"/>
      <c r="C921" s="13"/>
      <c r="D921" s="13"/>
      <c r="E921" s="13"/>
      <c r="F921" s="13"/>
      <c r="G921" s="13"/>
      <c r="H921" s="13"/>
      <c r="I921" s="13"/>
      <c r="J921" s="13"/>
      <c r="K921" s="13"/>
      <c r="L921" s="13"/>
      <c r="M921" s="28"/>
      <c r="N921" s="294"/>
      <c r="O921" s="13"/>
      <c r="P921" s="13"/>
      <c r="Q921" s="13"/>
      <c r="R921" s="13"/>
      <c r="S921" s="13"/>
      <c r="T921" s="13"/>
      <c r="U921" s="13"/>
      <c r="V921" s="13"/>
      <c r="W921" s="13"/>
      <c r="X921" s="13"/>
      <c r="Y921" s="13"/>
      <c r="Z921" s="13"/>
    </row>
    <row r="922" spans="1:26" ht="13.5" customHeight="1">
      <c r="A922" s="13"/>
      <c r="B922" s="13"/>
      <c r="C922" s="13"/>
      <c r="D922" s="13"/>
      <c r="E922" s="13"/>
      <c r="F922" s="13"/>
      <c r="G922" s="13"/>
      <c r="H922" s="13"/>
      <c r="I922" s="13"/>
      <c r="J922" s="13"/>
      <c r="K922" s="13"/>
      <c r="L922" s="13"/>
      <c r="M922" s="28"/>
      <c r="N922" s="294"/>
      <c r="O922" s="13"/>
      <c r="P922" s="13"/>
      <c r="Q922" s="13"/>
      <c r="R922" s="13"/>
      <c r="S922" s="13"/>
      <c r="T922" s="13"/>
      <c r="U922" s="13"/>
      <c r="V922" s="13"/>
      <c r="W922" s="13"/>
      <c r="X922" s="13"/>
      <c r="Y922" s="13"/>
      <c r="Z922" s="13"/>
    </row>
    <row r="923" spans="1:26" ht="13.5" customHeight="1">
      <c r="A923" s="13"/>
      <c r="B923" s="13"/>
      <c r="C923" s="13"/>
      <c r="D923" s="13"/>
      <c r="E923" s="13"/>
      <c r="F923" s="13"/>
      <c r="G923" s="13"/>
      <c r="H923" s="13"/>
      <c r="I923" s="13"/>
      <c r="J923" s="13"/>
      <c r="K923" s="13"/>
      <c r="L923" s="13"/>
      <c r="M923" s="28"/>
      <c r="N923" s="294"/>
      <c r="O923" s="13"/>
      <c r="P923" s="13"/>
      <c r="Q923" s="13"/>
      <c r="R923" s="13"/>
      <c r="S923" s="13"/>
      <c r="T923" s="13"/>
      <c r="U923" s="13"/>
      <c r="V923" s="13"/>
      <c r="W923" s="13"/>
      <c r="X923" s="13"/>
      <c r="Y923" s="13"/>
      <c r="Z923" s="13"/>
    </row>
    <row r="924" spans="1:26" ht="13.5" customHeight="1">
      <c r="A924" s="13"/>
      <c r="B924" s="13"/>
      <c r="C924" s="13"/>
      <c r="D924" s="13"/>
      <c r="E924" s="13"/>
      <c r="F924" s="13"/>
      <c r="G924" s="13"/>
      <c r="H924" s="13"/>
      <c r="I924" s="13"/>
      <c r="J924" s="13"/>
      <c r="K924" s="13"/>
      <c r="L924" s="13"/>
      <c r="M924" s="28"/>
      <c r="N924" s="294"/>
      <c r="O924" s="13"/>
      <c r="P924" s="13"/>
      <c r="Q924" s="13"/>
      <c r="R924" s="13"/>
      <c r="S924" s="13"/>
      <c r="T924" s="13"/>
      <c r="U924" s="13"/>
      <c r="V924" s="13"/>
      <c r="W924" s="13"/>
      <c r="X924" s="13"/>
      <c r="Y924" s="13"/>
      <c r="Z924" s="13"/>
    </row>
    <row r="925" spans="1:26" ht="13.5" customHeight="1">
      <c r="A925" s="13"/>
      <c r="B925" s="13"/>
      <c r="C925" s="13"/>
      <c r="D925" s="13"/>
      <c r="E925" s="13"/>
      <c r="F925" s="13"/>
      <c r="G925" s="13"/>
      <c r="H925" s="13"/>
      <c r="I925" s="13"/>
      <c r="J925" s="13"/>
      <c r="K925" s="13"/>
      <c r="L925" s="13"/>
      <c r="M925" s="28"/>
      <c r="N925" s="294"/>
      <c r="O925" s="13"/>
      <c r="P925" s="13"/>
      <c r="Q925" s="13"/>
      <c r="R925" s="13"/>
      <c r="S925" s="13"/>
      <c r="T925" s="13"/>
      <c r="U925" s="13"/>
      <c r="V925" s="13"/>
      <c r="W925" s="13"/>
      <c r="X925" s="13"/>
      <c r="Y925" s="13"/>
      <c r="Z925" s="13"/>
    </row>
    <row r="926" spans="1:26" ht="13.5" customHeight="1">
      <c r="A926" s="13"/>
      <c r="B926" s="13"/>
      <c r="C926" s="13"/>
      <c r="D926" s="13"/>
      <c r="E926" s="13"/>
      <c r="F926" s="13"/>
      <c r="G926" s="13"/>
      <c r="H926" s="13"/>
      <c r="I926" s="13"/>
      <c r="J926" s="13"/>
      <c r="K926" s="13"/>
      <c r="L926" s="13"/>
      <c r="M926" s="28"/>
      <c r="N926" s="294"/>
      <c r="O926" s="13"/>
      <c r="P926" s="13"/>
      <c r="Q926" s="13"/>
      <c r="R926" s="13"/>
      <c r="S926" s="13"/>
      <c r="T926" s="13"/>
      <c r="U926" s="13"/>
      <c r="V926" s="13"/>
      <c r="W926" s="13"/>
      <c r="X926" s="13"/>
      <c r="Y926" s="13"/>
      <c r="Z926" s="13"/>
    </row>
    <row r="927" spans="1:26" ht="13.5" customHeight="1">
      <c r="A927" s="13"/>
      <c r="B927" s="13"/>
      <c r="C927" s="13"/>
      <c r="D927" s="13"/>
      <c r="E927" s="13"/>
      <c r="F927" s="13"/>
      <c r="G927" s="13"/>
      <c r="H927" s="13"/>
      <c r="I927" s="13"/>
      <c r="J927" s="13"/>
      <c r="K927" s="13"/>
      <c r="L927" s="13"/>
      <c r="M927" s="28"/>
      <c r="N927" s="294"/>
      <c r="O927" s="13"/>
      <c r="P927" s="13"/>
      <c r="Q927" s="13"/>
      <c r="R927" s="13"/>
      <c r="S927" s="13"/>
      <c r="T927" s="13"/>
      <c r="U927" s="13"/>
      <c r="V927" s="13"/>
      <c r="W927" s="13"/>
      <c r="X927" s="13"/>
      <c r="Y927" s="13"/>
      <c r="Z927" s="13"/>
    </row>
    <row r="928" spans="1:26" ht="13.5" customHeight="1">
      <c r="A928" s="13"/>
      <c r="B928" s="13"/>
      <c r="C928" s="13"/>
      <c r="D928" s="13"/>
      <c r="E928" s="13"/>
      <c r="F928" s="13"/>
      <c r="G928" s="13"/>
      <c r="H928" s="13"/>
      <c r="I928" s="13"/>
      <c r="J928" s="13"/>
      <c r="K928" s="13"/>
      <c r="L928" s="13"/>
      <c r="M928" s="28"/>
      <c r="N928" s="294"/>
      <c r="O928" s="13"/>
      <c r="P928" s="13"/>
      <c r="Q928" s="13"/>
      <c r="R928" s="13"/>
      <c r="S928" s="13"/>
      <c r="T928" s="13"/>
      <c r="U928" s="13"/>
      <c r="V928" s="13"/>
      <c r="W928" s="13"/>
      <c r="X928" s="13"/>
      <c r="Y928" s="13"/>
      <c r="Z928" s="13"/>
    </row>
    <row r="929" spans="1:26" ht="13.5" customHeight="1">
      <c r="A929" s="13"/>
      <c r="B929" s="13"/>
      <c r="C929" s="13"/>
      <c r="D929" s="13"/>
      <c r="E929" s="13"/>
      <c r="F929" s="13"/>
      <c r="G929" s="13"/>
      <c r="H929" s="13"/>
      <c r="I929" s="13"/>
      <c r="J929" s="13"/>
      <c r="K929" s="13"/>
      <c r="L929" s="13"/>
      <c r="M929" s="28"/>
      <c r="N929" s="294"/>
      <c r="O929" s="13"/>
      <c r="P929" s="13"/>
      <c r="Q929" s="13"/>
      <c r="R929" s="13"/>
      <c r="S929" s="13"/>
      <c r="T929" s="13"/>
      <c r="U929" s="13"/>
      <c r="V929" s="13"/>
      <c r="W929" s="13"/>
      <c r="X929" s="13"/>
      <c r="Y929" s="13"/>
      <c r="Z929" s="13"/>
    </row>
    <row r="930" spans="1:26" ht="13.5" customHeight="1">
      <c r="A930" s="13"/>
      <c r="B930" s="13"/>
      <c r="C930" s="13"/>
      <c r="D930" s="13"/>
      <c r="E930" s="13"/>
      <c r="F930" s="13"/>
      <c r="G930" s="13"/>
      <c r="H930" s="13"/>
      <c r="I930" s="13"/>
      <c r="J930" s="13"/>
      <c r="K930" s="13"/>
      <c r="L930" s="13"/>
      <c r="M930" s="28"/>
      <c r="N930" s="294"/>
      <c r="O930" s="13"/>
      <c r="P930" s="13"/>
      <c r="Q930" s="13"/>
      <c r="R930" s="13"/>
      <c r="S930" s="13"/>
      <c r="T930" s="13"/>
      <c r="U930" s="13"/>
      <c r="V930" s="13"/>
      <c r="W930" s="13"/>
      <c r="X930" s="13"/>
      <c r="Y930" s="13"/>
      <c r="Z930" s="13"/>
    </row>
    <row r="931" spans="1:26" ht="13.5" customHeight="1">
      <c r="A931" s="13"/>
      <c r="B931" s="13"/>
      <c r="C931" s="13"/>
      <c r="D931" s="13"/>
      <c r="E931" s="13"/>
      <c r="F931" s="13"/>
      <c r="G931" s="13"/>
      <c r="H931" s="13"/>
      <c r="I931" s="13"/>
      <c r="J931" s="13"/>
      <c r="K931" s="13"/>
      <c r="L931" s="13"/>
      <c r="M931" s="28"/>
      <c r="N931" s="294"/>
      <c r="O931" s="13"/>
      <c r="P931" s="13"/>
      <c r="Q931" s="13"/>
      <c r="R931" s="13"/>
      <c r="S931" s="13"/>
      <c r="T931" s="13"/>
      <c r="U931" s="13"/>
      <c r="V931" s="13"/>
      <c r="W931" s="13"/>
      <c r="X931" s="13"/>
      <c r="Y931" s="13"/>
      <c r="Z931" s="13"/>
    </row>
    <row r="932" spans="1:26" ht="13.5" customHeight="1">
      <c r="A932" s="13"/>
      <c r="B932" s="13"/>
      <c r="C932" s="13"/>
      <c r="D932" s="13"/>
      <c r="E932" s="13"/>
      <c r="F932" s="13"/>
      <c r="G932" s="13"/>
      <c r="H932" s="13"/>
      <c r="I932" s="13"/>
      <c r="J932" s="13"/>
      <c r="K932" s="13"/>
      <c r="L932" s="13"/>
      <c r="M932" s="28"/>
      <c r="N932" s="294"/>
      <c r="O932" s="13"/>
      <c r="P932" s="13"/>
      <c r="Q932" s="13"/>
      <c r="R932" s="13"/>
      <c r="S932" s="13"/>
      <c r="T932" s="13"/>
      <c r="U932" s="13"/>
      <c r="V932" s="13"/>
      <c r="W932" s="13"/>
      <c r="X932" s="13"/>
      <c r="Y932" s="13"/>
      <c r="Z932" s="13"/>
    </row>
    <row r="933" spans="1:26" ht="13.5" customHeight="1">
      <c r="A933" s="13"/>
      <c r="B933" s="13"/>
      <c r="C933" s="13"/>
      <c r="D933" s="13"/>
      <c r="E933" s="13"/>
      <c r="F933" s="13"/>
      <c r="G933" s="13"/>
      <c r="H933" s="13"/>
      <c r="I933" s="13"/>
      <c r="J933" s="13"/>
      <c r="K933" s="13"/>
      <c r="L933" s="13"/>
      <c r="M933" s="28"/>
      <c r="N933" s="294"/>
      <c r="O933" s="13"/>
      <c r="P933" s="13"/>
      <c r="Q933" s="13"/>
      <c r="R933" s="13"/>
      <c r="S933" s="13"/>
      <c r="T933" s="13"/>
      <c r="U933" s="13"/>
      <c r="V933" s="13"/>
      <c r="W933" s="13"/>
      <c r="X933" s="13"/>
      <c r="Y933" s="13"/>
      <c r="Z933" s="13"/>
    </row>
    <row r="934" spans="1:26" ht="13.5" customHeight="1">
      <c r="A934" s="13"/>
      <c r="B934" s="13"/>
      <c r="C934" s="13"/>
      <c r="D934" s="13"/>
      <c r="E934" s="13"/>
      <c r="F934" s="13"/>
      <c r="G934" s="13"/>
      <c r="H934" s="13"/>
      <c r="I934" s="13"/>
      <c r="J934" s="13"/>
      <c r="K934" s="13"/>
      <c r="L934" s="13"/>
      <c r="M934" s="28"/>
      <c r="N934" s="294"/>
      <c r="O934" s="13"/>
      <c r="P934" s="13"/>
      <c r="Q934" s="13"/>
      <c r="R934" s="13"/>
      <c r="S934" s="13"/>
      <c r="T934" s="13"/>
      <c r="U934" s="13"/>
      <c r="V934" s="13"/>
      <c r="W934" s="13"/>
      <c r="X934" s="13"/>
      <c r="Y934" s="13"/>
      <c r="Z934" s="13"/>
    </row>
    <row r="935" spans="1:26" ht="13.5" customHeight="1">
      <c r="A935" s="13"/>
      <c r="B935" s="13"/>
      <c r="C935" s="13"/>
      <c r="D935" s="13"/>
      <c r="E935" s="13"/>
      <c r="F935" s="13"/>
      <c r="G935" s="13"/>
      <c r="H935" s="13"/>
      <c r="I935" s="13"/>
      <c r="J935" s="13"/>
      <c r="K935" s="13"/>
      <c r="L935" s="13"/>
      <c r="M935" s="28"/>
      <c r="N935" s="294"/>
      <c r="O935" s="13"/>
      <c r="P935" s="13"/>
      <c r="Q935" s="13"/>
      <c r="R935" s="13"/>
      <c r="S935" s="13"/>
      <c r="T935" s="13"/>
      <c r="U935" s="13"/>
      <c r="V935" s="13"/>
      <c r="W935" s="13"/>
      <c r="X935" s="13"/>
      <c r="Y935" s="13"/>
      <c r="Z935" s="13"/>
    </row>
    <row r="936" spans="1:26" ht="13.5" customHeight="1">
      <c r="A936" s="13"/>
      <c r="B936" s="13"/>
      <c r="C936" s="13"/>
      <c r="D936" s="13"/>
      <c r="E936" s="13"/>
      <c r="F936" s="13"/>
      <c r="G936" s="13"/>
      <c r="H936" s="13"/>
      <c r="I936" s="13"/>
      <c r="J936" s="13"/>
      <c r="K936" s="13"/>
      <c r="L936" s="13"/>
      <c r="M936" s="28"/>
      <c r="N936" s="294"/>
      <c r="O936" s="13"/>
      <c r="P936" s="13"/>
      <c r="Q936" s="13"/>
      <c r="R936" s="13"/>
      <c r="S936" s="13"/>
      <c r="T936" s="13"/>
      <c r="U936" s="13"/>
      <c r="V936" s="13"/>
      <c r="W936" s="13"/>
      <c r="X936" s="13"/>
      <c r="Y936" s="13"/>
      <c r="Z936" s="13"/>
    </row>
    <row r="937" spans="1:26" ht="13.5" customHeight="1">
      <c r="A937" s="13"/>
      <c r="B937" s="13"/>
      <c r="C937" s="13"/>
      <c r="D937" s="13"/>
      <c r="E937" s="13"/>
      <c r="F937" s="13"/>
      <c r="G937" s="13"/>
      <c r="H937" s="13"/>
      <c r="I937" s="13"/>
      <c r="J937" s="13"/>
      <c r="K937" s="13"/>
      <c r="L937" s="13"/>
      <c r="M937" s="28"/>
      <c r="N937" s="294"/>
      <c r="O937" s="13"/>
      <c r="P937" s="13"/>
      <c r="Q937" s="13"/>
      <c r="R937" s="13"/>
      <c r="S937" s="13"/>
      <c r="T937" s="13"/>
      <c r="U937" s="13"/>
      <c r="V937" s="13"/>
      <c r="W937" s="13"/>
      <c r="X937" s="13"/>
      <c r="Y937" s="13"/>
      <c r="Z937" s="13"/>
    </row>
    <row r="938" spans="1:26" ht="13.5" customHeight="1">
      <c r="A938" s="13"/>
      <c r="B938" s="13"/>
      <c r="C938" s="13"/>
      <c r="D938" s="13"/>
      <c r="E938" s="13"/>
      <c r="F938" s="13"/>
      <c r="G938" s="13"/>
      <c r="H938" s="13"/>
      <c r="I938" s="13"/>
      <c r="J938" s="13"/>
      <c r="K938" s="13"/>
      <c r="L938" s="13"/>
      <c r="M938" s="28"/>
      <c r="N938" s="294"/>
      <c r="O938" s="13"/>
      <c r="P938" s="13"/>
      <c r="Q938" s="13"/>
      <c r="R938" s="13"/>
      <c r="S938" s="13"/>
      <c r="T938" s="13"/>
      <c r="U938" s="13"/>
      <c r="V938" s="13"/>
      <c r="W938" s="13"/>
      <c r="X938" s="13"/>
      <c r="Y938" s="13"/>
      <c r="Z938" s="13"/>
    </row>
    <row r="939" spans="1:26" ht="13.5" customHeight="1">
      <c r="A939" s="13"/>
      <c r="B939" s="13"/>
      <c r="C939" s="13"/>
      <c r="D939" s="13"/>
      <c r="E939" s="13"/>
      <c r="F939" s="13"/>
      <c r="G939" s="13"/>
      <c r="H939" s="13"/>
      <c r="I939" s="13"/>
      <c r="J939" s="13"/>
      <c r="K939" s="13"/>
      <c r="L939" s="13"/>
      <c r="M939" s="28"/>
      <c r="N939" s="294"/>
      <c r="O939" s="13"/>
      <c r="P939" s="13"/>
      <c r="Q939" s="13"/>
      <c r="R939" s="13"/>
      <c r="S939" s="13"/>
      <c r="T939" s="13"/>
      <c r="U939" s="13"/>
      <c r="V939" s="13"/>
      <c r="W939" s="13"/>
      <c r="X939" s="13"/>
      <c r="Y939" s="13"/>
      <c r="Z939" s="13"/>
    </row>
    <row r="940" spans="1:26" ht="13.5" customHeight="1">
      <c r="A940" s="13"/>
      <c r="B940" s="13"/>
      <c r="C940" s="13"/>
      <c r="D940" s="13"/>
      <c r="E940" s="13"/>
      <c r="F940" s="13"/>
      <c r="G940" s="13"/>
      <c r="H940" s="13"/>
      <c r="I940" s="13"/>
      <c r="J940" s="13"/>
      <c r="K940" s="13"/>
      <c r="L940" s="13"/>
      <c r="M940" s="28"/>
      <c r="N940" s="294"/>
      <c r="O940" s="13"/>
      <c r="P940" s="13"/>
      <c r="Q940" s="13"/>
      <c r="R940" s="13"/>
      <c r="S940" s="13"/>
      <c r="T940" s="13"/>
      <c r="U940" s="13"/>
      <c r="V940" s="13"/>
      <c r="W940" s="13"/>
      <c r="X940" s="13"/>
      <c r="Y940" s="13"/>
      <c r="Z940" s="13"/>
    </row>
    <row r="941" spans="1:26" ht="13.5" customHeight="1">
      <c r="A941" s="13"/>
      <c r="B941" s="13"/>
      <c r="C941" s="13"/>
      <c r="D941" s="13"/>
      <c r="E941" s="13"/>
      <c r="F941" s="13"/>
      <c r="G941" s="13"/>
      <c r="H941" s="13"/>
      <c r="I941" s="13"/>
      <c r="J941" s="13"/>
      <c r="K941" s="13"/>
      <c r="L941" s="13"/>
      <c r="M941" s="28"/>
      <c r="N941" s="294"/>
      <c r="O941" s="13"/>
      <c r="P941" s="13"/>
      <c r="Q941" s="13"/>
      <c r="R941" s="13"/>
      <c r="S941" s="13"/>
      <c r="T941" s="13"/>
      <c r="U941" s="13"/>
      <c r="V941" s="13"/>
      <c r="W941" s="13"/>
      <c r="X941" s="13"/>
      <c r="Y941" s="13"/>
      <c r="Z941" s="13"/>
    </row>
    <row r="942" spans="1:26" ht="13.5" customHeight="1">
      <c r="A942" s="13"/>
      <c r="B942" s="13"/>
      <c r="C942" s="13"/>
      <c r="D942" s="13"/>
      <c r="E942" s="13"/>
      <c r="F942" s="13"/>
      <c r="G942" s="13"/>
      <c r="H942" s="13"/>
      <c r="I942" s="13"/>
      <c r="J942" s="13"/>
      <c r="K942" s="13"/>
      <c r="L942" s="13"/>
      <c r="M942" s="28"/>
      <c r="N942" s="294"/>
      <c r="O942" s="13"/>
      <c r="P942" s="13"/>
      <c r="Q942" s="13"/>
      <c r="R942" s="13"/>
      <c r="S942" s="13"/>
      <c r="T942" s="13"/>
      <c r="U942" s="13"/>
      <c r="V942" s="13"/>
      <c r="W942" s="13"/>
      <c r="X942" s="13"/>
      <c r="Y942" s="13"/>
      <c r="Z942" s="13"/>
    </row>
    <row r="943" spans="1:26" ht="13.5" customHeight="1">
      <c r="A943" s="13"/>
      <c r="B943" s="13"/>
      <c r="C943" s="13"/>
      <c r="D943" s="13"/>
      <c r="E943" s="13"/>
      <c r="F943" s="13"/>
      <c r="G943" s="13"/>
      <c r="H943" s="13"/>
      <c r="I943" s="13"/>
      <c r="J943" s="13"/>
      <c r="K943" s="13"/>
      <c r="L943" s="13"/>
      <c r="M943" s="28"/>
      <c r="N943" s="294"/>
      <c r="O943" s="13"/>
      <c r="P943" s="13"/>
      <c r="Q943" s="13"/>
      <c r="R943" s="13"/>
      <c r="S943" s="13"/>
      <c r="T943" s="13"/>
      <c r="U943" s="13"/>
      <c r="V943" s="13"/>
      <c r="W943" s="13"/>
      <c r="X943" s="13"/>
      <c r="Y943" s="13"/>
      <c r="Z943" s="13"/>
    </row>
    <row r="944" spans="1:26" ht="13.5" customHeight="1">
      <c r="A944" s="13"/>
      <c r="B944" s="13"/>
      <c r="C944" s="13"/>
      <c r="D944" s="13"/>
      <c r="E944" s="13"/>
      <c r="F944" s="13"/>
      <c r="G944" s="13"/>
      <c r="H944" s="13"/>
      <c r="I944" s="13"/>
      <c r="J944" s="13"/>
      <c r="K944" s="13"/>
      <c r="L944" s="13"/>
      <c r="M944" s="28"/>
      <c r="N944" s="294"/>
      <c r="O944" s="13"/>
      <c r="P944" s="13"/>
      <c r="Q944" s="13"/>
      <c r="R944" s="13"/>
      <c r="S944" s="13"/>
      <c r="T944" s="13"/>
      <c r="U944" s="13"/>
      <c r="V944" s="13"/>
      <c r="W944" s="13"/>
      <c r="X944" s="13"/>
      <c r="Y944" s="13"/>
      <c r="Z944" s="13"/>
    </row>
    <row r="945" spans="1:26" ht="13.5" customHeight="1">
      <c r="A945" s="13"/>
      <c r="B945" s="13"/>
      <c r="C945" s="13"/>
      <c r="D945" s="13"/>
      <c r="E945" s="13"/>
      <c r="F945" s="13"/>
      <c r="G945" s="13"/>
      <c r="H945" s="13"/>
      <c r="I945" s="13"/>
      <c r="J945" s="13"/>
      <c r="K945" s="13"/>
      <c r="L945" s="13"/>
      <c r="M945" s="28"/>
      <c r="N945" s="294"/>
      <c r="O945" s="13"/>
      <c r="P945" s="13"/>
      <c r="Q945" s="13"/>
      <c r="R945" s="13"/>
      <c r="S945" s="13"/>
      <c r="T945" s="13"/>
      <c r="U945" s="13"/>
      <c r="V945" s="13"/>
      <c r="W945" s="13"/>
      <c r="X945" s="13"/>
      <c r="Y945" s="13"/>
      <c r="Z945" s="13"/>
    </row>
    <row r="946" spans="1:26" ht="13.5" customHeight="1">
      <c r="A946" s="13"/>
      <c r="B946" s="13"/>
      <c r="C946" s="13"/>
      <c r="D946" s="13"/>
      <c r="E946" s="13"/>
      <c r="F946" s="13"/>
      <c r="G946" s="13"/>
      <c r="H946" s="13"/>
      <c r="I946" s="13"/>
      <c r="J946" s="13"/>
      <c r="K946" s="13"/>
      <c r="L946" s="13"/>
      <c r="M946" s="28"/>
      <c r="N946" s="294"/>
      <c r="O946" s="13"/>
      <c r="P946" s="13"/>
      <c r="Q946" s="13"/>
      <c r="R946" s="13"/>
      <c r="S946" s="13"/>
      <c r="T946" s="13"/>
      <c r="U946" s="13"/>
      <c r="V946" s="13"/>
      <c r="W946" s="13"/>
      <c r="X946" s="13"/>
      <c r="Y946" s="13"/>
      <c r="Z946" s="13"/>
    </row>
    <row r="947" spans="1:26" ht="13.5" customHeight="1">
      <c r="A947" s="13"/>
      <c r="B947" s="13"/>
      <c r="C947" s="13"/>
      <c r="D947" s="13"/>
      <c r="E947" s="13"/>
      <c r="F947" s="13"/>
      <c r="G947" s="13"/>
      <c r="H947" s="13"/>
      <c r="I947" s="13"/>
      <c r="J947" s="13"/>
      <c r="K947" s="13"/>
      <c r="L947" s="13"/>
      <c r="M947" s="28"/>
      <c r="N947" s="294"/>
      <c r="O947" s="13"/>
      <c r="P947" s="13"/>
      <c r="Q947" s="13"/>
      <c r="R947" s="13"/>
      <c r="S947" s="13"/>
      <c r="T947" s="13"/>
      <c r="U947" s="13"/>
      <c r="V947" s="13"/>
      <c r="W947" s="13"/>
      <c r="X947" s="13"/>
      <c r="Y947" s="13"/>
      <c r="Z947" s="13"/>
    </row>
    <row r="948" spans="1:26" ht="13.5" customHeight="1">
      <c r="A948" s="13"/>
      <c r="B948" s="13"/>
      <c r="C948" s="13"/>
      <c r="D948" s="13"/>
      <c r="E948" s="13"/>
      <c r="F948" s="13"/>
      <c r="G948" s="13"/>
      <c r="H948" s="13"/>
      <c r="I948" s="13"/>
      <c r="J948" s="13"/>
      <c r="K948" s="13"/>
      <c r="L948" s="13"/>
      <c r="M948" s="28"/>
      <c r="N948" s="294"/>
      <c r="O948" s="13"/>
      <c r="P948" s="13"/>
      <c r="Q948" s="13"/>
      <c r="R948" s="13"/>
      <c r="S948" s="13"/>
      <c r="T948" s="13"/>
      <c r="U948" s="13"/>
      <c r="V948" s="13"/>
      <c r="W948" s="13"/>
      <c r="X948" s="13"/>
      <c r="Y948" s="13"/>
      <c r="Z948" s="13"/>
    </row>
    <row r="949" spans="1:26" ht="13.5" customHeight="1">
      <c r="A949" s="13"/>
      <c r="B949" s="13"/>
      <c r="C949" s="13"/>
      <c r="D949" s="13"/>
      <c r="E949" s="13"/>
      <c r="F949" s="13"/>
      <c r="G949" s="13"/>
      <c r="H949" s="13"/>
      <c r="I949" s="13"/>
      <c r="J949" s="13"/>
      <c r="K949" s="13"/>
      <c r="L949" s="13"/>
      <c r="M949" s="28"/>
      <c r="N949" s="294"/>
      <c r="O949" s="13"/>
      <c r="P949" s="13"/>
      <c r="Q949" s="13"/>
      <c r="R949" s="13"/>
      <c r="S949" s="13"/>
      <c r="T949" s="13"/>
      <c r="U949" s="13"/>
      <c r="V949" s="13"/>
      <c r="W949" s="13"/>
      <c r="X949" s="13"/>
      <c r="Y949" s="13"/>
      <c r="Z949" s="13"/>
    </row>
    <row r="950" spans="1:26" ht="13.5" customHeight="1">
      <c r="A950" s="13"/>
      <c r="B950" s="13"/>
      <c r="C950" s="13"/>
      <c r="D950" s="13"/>
      <c r="E950" s="13"/>
      <c r="F950" s="13"/>
      <c r="G950" s="13"/>
      <c r="H950" s="13"/>
      <c r="I950" s="13"/>
      <c r="J950" s="13"/>
      <c r="K950" s="13"/>
      <c r="L950" s="13"/>
      <c r="M950" s="28"/>
      <c r="N950" s="294"/>
      <c r="O950" s="13"/>
      <c r="P950" s="13"/>
      <c r="Q950" s="13"/>
      <c r="R950" s="13"/>
      <c r="S950" s="13"/>
      <c r="T950" s="13"/>
      <c r="U950" s="13"/>
      <c r="V950" s="13"/>
      <c r="W950" s="13"/>
      <c r="X950" s="13"/>
      <c r="Y950" s="13"/>
      <c r="Z950" s="13"/>
    </row>
    <row r="951" spans="1:26" ht="13.5" customHeight="1">
      <c r="A951" s="13"/>
      <c r="B951" s="13"/>
      <c r="C951" s="13"/>
      <c r="D951" s="13"/>
      <c r="E951" s="13"/>
      <c r="F951" s="13"/>
      <c r="G951" s="13"/>
      <c r="H951" s="13"/>
      <c r="I951" s="13"/>
      <c r="J951" s="13"/>
      <c r="K951" s="13"/>
      <c r="L951" s="13"/>
      <c r="M951" s="28"/>
      <c r="N951" s="294"/>
      <c r="O951" s="13"/>
      <c r="P951" s="13"/>
      <c r="Q951" s="13"/>
      <c r="R951" s="13"/>
      <c r="S951" s="13"/>
      <c r="T951" s="13"/>
      <c r="U951" s="13"/>
      <c r="V951" s="13"/>
      <c r="W951" s="13"/>
      <c r="X951" s="13"/>
      <c r="Y951" s="13"/>
      <c r="Z951" s="13"/>
    </row>
    <row r="952" spans="1:26" ht="13.5" customHeight="1">
      <c r="A952" s="13"/>
      <c r="B952" s="13"/>
      <c r="C952" s="13"/>
      <c r="D952" s="13"/>
      <c r="E952" s="13"/>
      <c r="F952" s="13"/>
      <c r="G952" s="13"/>
      <c r="H952" s="13"/>
      <c r="I952" s="13"/>
      <c r="J952" s="13"/>
      <c r="K952" s="13"/>
      <c r="L952" s="13"/>
      <c r="M952" s="28"/>
      <c r="N952" s="294"/>
      <c r="O952" s="13"/>
      <c r="P952" s="13"/>
      <c r="Q952" s="13"/>
      <c r="R952" s="13"/>
      <c r="S952" s="13"/>
      <c r="T952" s="13"/>
      <c r="U952" s="13"/>
      <c r="V952" s="13"/>
      <c r="W952" s="13"/>
      <c r="X952" s="13"/>
      <c r="Y952" s="13"/>
      <c r="Z952" s="13"/>
    </row>
    <row r="953" spans="1:26" ht="13.5" customHeight="1">
      <c r="A953" s="13"/>
      <c r="B953" s="13"/>
      <c r="C953" s="13"/>
      <c r="D953" s="13"/>
      <c r="E953" s="13"/>
      <c r="F953" s="13"/>
      <c r="G953" s="13"/>
      <c r="H953" s="13"/>
      <c r="I953" s="13"/>
      <c r="J953" s="13"/>
      <c r="K953" s="13"/>
      <c r="L953" s="13"/>
      <c r="M953" s="28"/>
      <c r="N953" s="294"/>
      <c r="O953" s="13"/>
      <c r="P953" s="13"/>
      <c r="Q953" s="13"/>
      <c r="R953" s="13"/>
      <c r="S953" s="13"/>
      <c r="T953" s="13"/>
      <c r="U953" s="13"/>
      <c r="V953" s="13"/>
      <c r="W953" s="13"/>
      <c r="X953" s="13"/>
      <c r="Y953" s="13"/>
      <c r="Z953" s="13"/>
    </row>
    <row r="954" spans="1:26" ht="13.5" customHeight="1">
      <c r="A954" s="13"/>
      <c r="B954" s="13"/>
      <c r="C954" s="13"/>
      <c r="D954" s="13"/>
      <c r="E954" s="13"/>
      <c r="F954" s="13"/>
      <c r="G954" s="13"/>
      <c r="H954" s="13"/>
      <c r="I954" s="13"/>
      <c r="J954" s="13"/>
      <c r="K954" s="13"/>
      <c r="L954" s="13"/>
      <c r="M954" s="28"/>
      <c r="N954" s="294"/>
      <c r="O954" s="13"/>
      <c r="P954" s="13"/>
      <c r="Q954" s="13"/>
      <c r="R954" s="13"/>
      <c r="S954" s="13"/>
      <c r="T954" s="13"/>
      <c r="U954" s="13"/>
      <c r="V954" s="13"/>
      <c r="W954" s="13"/>
      <c r="X954" s="13"/>
      <c r="Y954" s="13"/>
      <c r="Z954" s="13"/>
    </row>
    <row r="955" spans="1:26" ht="13.5" customHeight="1">
      <c r="A955" s="13"/>
      <c r="B955" s="13"/>
      <c r="C955" s="13"/>
      <c r="D955" s="13"/>
      <c r="E955" s="13"/>
      <c r="F955" s="13"/>
      <c r="G955" s="13"/>
      <c r="H955" s="13"/>
      <c r="I955" s="13"/>
      <c r="J955" s="13"/>
      <c r="K955" s="13"/>
      <c r="L955" s="13"/>
      <c r="M955" s="28"/>
      <c r="N955" s="294"/>
      <c r="O955" s="13"/>
      <c r="P955" s="13"/>
      <c r="Q955" s="13"/>
      <c r="R955" s="13"/>
      <c r="S955" s="13"/>
      <c r="T955" s="13"/>
      <c r="U955" s="13"/>
      <c r="V955" s="13"/>
      <c r="W955" s="13"/>
      <c r="X955" s="13"/>
      <c r="Y955" s="13"/>
      <c r="Z955" s="13"/>
    </row>
    <row r="956" spans="1:26" ht="13.5" customHeight="1">
      <c r="A956" s="13"/>
      <c r="B956" s="13"/>
      <c r="C956" s="13"/>
      <c r="D956" s="13"/>
      <c r="E956" s="13"/>
      <c r="F956" s="13"/>
      <c r="G956" s="13"/>
      <c r="H956" s="13"/>
      <c r="I956" s="13"/>
      <c r="J956" s="13"/>
      <c r="K956" s="13"/>
      <c r="L956" s="13"/>
      <c r="M956" s="28"/>
      <c r="N956" s="294"/>
      <c r="O956" s="13"/>
      <c r="P956" s="13"/>
      <c r="Q956" s="13"/>
      <c r="R956" s="13"/>
      <c r="S956" s="13"/>
      <c r="T956" s="13"/>
      <c r="U956" s="13"/>
      <c r="V956" s="13"/>
      <c r="W956" s="13"/>
      <c r="X956" s="13"/>
      <c r="Y956" s="13"/>
      <c r="Z956" s="13"/>
    </row>
    <row r="957" spans="1:26" ht="13.5" customHeight="1">
      <c r="A957" s="13"/>
      <c r="B957" s="13"/>
      <c r="C957" s="13"/>
      <c r="D957" s="13"/>
      <c r="E957" s="13"/>
      <c r="F957" s="13"/>
      <c r="G957" s="13"/>
      <c r="H957" s="13"/>
      <c r="I957" s="13"/>
      <c r="J957" s="13"/>
      <c r="K957" s="13"/>
      <c r="L957" s="13"/>
      <c r="M957" s="28"/>
      <c r="N957" s="294"/>
      <c r="O957" s="13"/>
      <c r="P957" s="13"/>
      <c r="Q957" s="13"/>
      <c r="R957" s="13"/>
      <c r="S957" s="13"/>
      <c r="T957" s="13"/>
      <c r="U957" s="13"/>
      <c r="V957" s="13"/>
      <c r="W957" s="13"/>
      <c r="X957" s="13"/>
      <c r="Y957" s="13"/>
      <c r="Z957" s="13"/>
    </row>
    <row r="958" spans="1:26" ht="13.5" customHeight="1">
      <c r="A958" s="13"/>
      <c r="B958" s="13"/>
      <c r="C958" s="13"/>
      <c r="D958" s="13"/>
      <c r="E958" s="13"/>
      <c r="F958" s="13"/>
      <c r="G958" s="13"/>
      <c r="H958" s="13"/>
      <c r="I958" s="13"/>
      <c r="J958" s="13"/>
      <c r="K958" s="13"/>
      <c r="L958" s="13"/>
      <c r="M958" s="28"/>
      <c r="N958" s="294"/>
      <c r="O958" s="13"/>
      <c r="P958" s="13"/>
      <c r="Q958" s="13"/>
      <c r="R958" s="13"/>
      <c r="S958" s="13"/>
      <c r="T958" s="13"/>
      <c r="U958" s="13"/>
      <c r="V958" s="13"/>
      <c r="W958" s="13"/>
      <c r="X958" s="13"/>
      <c r="Y958" s="13"/>
      <c r="Z958" s="13"/>
    </row>
    <row r="959" spans="1:26" ht="13.5" customHeight="1">
      <c r="A959" s="13"/>
      <c r="B959" s="13"/>
      <c r="C959" s="13"/>
      <c r="D959" s="13"/>
      <c r="E959" s="13"/>
      <c r="F959" s="13"/>
      <c r="G959" s="13"/>
      <c r="H959" s="13"/>
      <c r="I959" s="13"/>
      <c r="J959" s="13"/>
      <c r="K959" s="13"/>
      <c r="L959" s="13"/>
      <c r="M959" s="28"/>
      <c r="N959" s="294"/>
      <c r="O959" s="13"/>
      <c r="P959" s="13"/>
      <c r="Q959" s="13"/>
      <c r="R959" s="13"/>
      <c r="S959" s="13"/>
      <c r="T959" s="13"/>
      <c r="U959" s="13"/>
      <c r="V959" s="13"/>
      <c r="W959" s="13"/>
      <c r="X959" s="13"/>
      <c r="Y959" s="13"/>
      <c r="Z959" s="13"/>
    </row>
    <row r="960" spans="1:26" ht="13.5" customHeight="1">
      <c r="A960" s="13"/>
      <c r="B960" s="13"/>
      <c r="C960" s="13"/>
      <c r="D960" s="13"/>
      <c r="E960" s="13"/>
      <c r="F960" s="13"/>
      <c r="G960" s="13"/>
      <c r="H960" s="13"/>
      <c r="I960" s="13"/>
      <c r="J960" s="13"/>
      <c r="K960" s="13"/>
      <c r="L960" s="13"/>
      <c r="M960" s="28"/>
      <c r="N960" s="294"/>
      <c r="O960" s="13"/>
      <c r="P960" s="13"/>
      <c r="Q960" s="13"/>
      <c r="R960" s="13"/>
      <c r="S960" s="13"/>
      <c r="T960" s="13"/>
      <c r="U960" s="13"/>
      <c r="V960" s="13"/>
      <c r="W960" s="13"/>
      <c r="X960" s="13"/>
      <c r="Y960" s="13"/>
      <c r="Z960" s="13"/>
    </row>
    <row r="961" spans="1:26" ht="13.5" customHeight="1">
      <c r="A961" s="13"/>
      <c r="B961" s="13"/>
      <c r="C961" s="13"/>
      <c r="D961" s="13"/>
      <c r="E961" s="13"/>
      <c r="F961" s="13"/>
      <c r="G961" s="13"/>
      <c r="H961" s="13"/>
      <c r="I961" s="13"/>
      <c r="J961" s="13"/>
      <c r="K961" s="13"/>
      <c r="L961" s="13"/>
      <c r="M961" s="28"/>
      <c r="N961" s="294"/>
      <c r="O961" s="13"/>
      <c r="P961" s="13"/>
      <c r="Q961" s="13"/>
      <c r="R961" s="13"/>
      <c r="S961" s="13"/>
      <c r="T961" s="13"/>
      <c r="U961" s="13"/>
      <c r="V961" s="13"/>
      <c r="W961" s="13"/>
      <c r="X961" s="13"/>
      <c r="Y961" s="13"/>
      <c r="Z961" s="13"/>
    </row>
    <row r="962" spans="1:26" ht="13.5" customHeight="1">
      <c r="A962" s="13"/>
      <c r="B962" s="13"/>
      <c r="C962" s="13"/>
      <c r="D962" s="13"/>
      <c r="E962" s="13"/>
      <c r="F962" s="13"/>
      <c r="G962" s="13"/>
      <c r="H962" s="13"/>
      <c r="I962" s="13"/>
      <c r="J962" s="13"/>
      <c r="K962" s="13"/>
      <c r="L962" s="13"/>
      <c r="M962" s="28"/>
      <c r="N962" s="294"/>
      <c r="O962" s="13"/>
      <c r="P962" s="13"/>
      <c r="Q962" s="13"/>
      <c r="R962" s="13"/>
      <c r="S962" s="13"/>
      <c r="T962" s="13"/>
      <c r="U962" s="13"/>
      <c r="V962" s="13"/>
      <c r="W962" s="13"/>
      <c r="X962" s="13"/>
      <c r="Y962" s="13"/>
      <c r="Z962" s="13"/>
    </row>
    <row r="963" spans="1:26" ht="13.5" customHeight="1">
      <c r="A963" s="13"/>
      <c r="B963" s="13"/>
      <c r="C963" s="13"/>
      <c r="D963" s="13"/>
      <c r="E963" s="13"/>
      <c r="F963" s="13"/>
      <c r="G963" s="13"/>
      <c r="H963" s="13"/>
      <c r="I963" s="13"/>
      <c r="J963" s="13"/>
      <c r="K963" s="13"/>
      <c r="L963" s="13"/>
      <c r="M963" s="28"/>
      <c r="N963" s="294"/>
      <c r="O963" s="13"/>
      <c r="P963" s="13"/>
      <c r="Q963" s="13"/>
      <c r="R963" s="13"/>
      <c r="S963" s="13"/>
      <c r="T963" s="13"/>
      <c r="U963" s="13"/>
      <c r="V963" s="13"/>
      <c r="W963" s="13"/>
      <c r="X963" s="13"/>
      <c r="Y963" s="13"/>
      <c r="Z963" s="13"/>
    </row>
    <row r="964" spans="1:26" ht="13.5" customHeight="1">
      <c r="A964" s="13"/>
      <c r="B964" s="13"/>
      <c r="C964" s="13"/>
      <c r="D964" s="13"/>
      <c r="E964" s="13"/>
      <c r="F964" s="13"/>
      <c r="G964" s="13"/>
      <c r="H964" s="13"/>
      <c r="I964" s="13"/>
      <c r="J964" s="13"/>
      <c r="K964" s="13"/>
      <c r="L964" s="13"/>
      <c r="M964" s="28"/>
      <c r="N964" s="294"/>
      <c r="O964" s="13"/>
      <c r="P964" s="13"/>
      <c r="Q964" s="13"/>
      <c r="R964" s="13"/>
      <c r="S964" s="13"/>
      <c r="T964" s="13"/>
      <c r="U964" s="13"/>
      <c r="V964" s="13"/>
      <c r="W964" s="13"/>
      <c r="X964" s="13"/>
      <c r="Y964" s="13"/>
      <c r="Z964" s="13"/>
    </row>
    <row r="965" spans="1:26" ht="13.5" customHeight="1">
      <c r="A965" s="13"/>
      <c r="B965" s="13"/>
      <c r="C965" s="13"/>
      <c r="D965" s="13"/>
      <c r="E965" s="13"/>
      <c r="F965" s="13"/>
      <c r="G965" s="13"/>
      <c r="H965" s="13"/>
      <c r="I965" s="13"/>
      <c r="J965" s="13"/>
      <c r="K965" s="13"/>
      <c r="L965" s="13"/>
      <c r="M965" s="28"/>
      <c r="N965" s="294"/>
      <c r="O965" s="13"/>
      <c r="P965" s="13"/>
      <c r="Q965" s="13"/>
      <c r="R965" s="13"/>
      <c r="S965" s="13"/>
      <c r="T965" s="13"/>
      <c r="U965" s="13"/>
      <c r="V965" s="13"/>
      <c r="W965" s="13"/>
      <c r="X965" s="13"/>
      <c r="Y965" s="13"/>
      <c r="Z965" s="13"/>
    </row>
    <row r="966" spans="1:26" ht="13.5" customHeight="1">
      <c r="A966" s="13"/>
      <c r="B966" s="13"/>
      <c r="C966" s="13"/>
      <c r="D966" s="13"/>
      <c r="E966" s="13"/>
      <c r="F966" s="13"/>
      <c r="G966" s="13"/>
      <c r="H966" s="13"/>
      <c r="I966" s="13"/>
      <c r="J966" s="13"/>
      <c r="K966" s="13"/>
      <c r="L966" s="13"/>
      <c r="M966" s="28"/>
      <c r="N966" s="294"/>
      <c r="O966" s="13"/>
      <c r="P966" s="13"/>
      <c r="Q966" s="13"/>
      <c r="R966" s="13"/>
      <c r="S966" s="13"/>
      <c r="T966" s="13"/>
      <c r="U966" s="13"/>
      <c r="V966" s="13"/>
      <c r="W966" s="13"/>
      <c r="X966" s="13"/>
      <c r="Y966" s="13"/>
      <c r="Z966" s="13"/>
    </row>
    <row r="967" spans="1:26" ht="13.5" customHeight="1">
      <c r="A967" s="13"/>
      <c r="B967" s="13"/>
      <c r="C967" s="13"/>
      <c r="D967" s="13"/>
      <c r="E967" s="13"/>
      <c r="F967" s="13"/>
      <c r="G967" s="13"/>
      <c r="H967" s="13"/>
      <c r="I967" s="13"/>
      <c r="J967" s="13"/>
      <c r="K967" s="13"/>
      <c r="L967" s="13"/>
      <c r="M967" s="28"/>
      <c r="N967" s="294"/>
      <c r="O967" s="13"/>
      <c r="P967" s="13"/>
      <c r="Q967" s="13"/>
      <c r="R967" s="13"/>
      <c r="S967" s="13"/>
      <c r="T967" s="13"/>
      <c r="U967" s="13"/>
      <c r="V967" s="13"/>
      <c r="W967" s="13"/>
      <c r="X967" s="13"/>
      <c r="Y967" s="13"/>
      <c r="Z967" s="13"/>
    </row>
    <row r="968" spans="1:26" ht="13.5" customHeight="1">
      <c r="A968" s="13"/>
      <c r="B968" s="13"/>
      <c r="C968" s="13"/>
      <c r="D968" s="13"/>
      <c r="E968" s="13"/>
      <c r="F968" s="13"/>
      <c r="G968" s="13"/>
      <c r="H968" s="13"/>
      <c r="I968" s="13"/>
      <c r="J968" s="13"/>
      <c r="K968" s="13"/>
      <c r="L968" s="13"/>
      <c r="M968" s="28"/>
      <c r="N968" s="294"/>
      <c r="O968" s="13"/>
      <c r="P968" s="13"/>
      <c r="Q968" s="13"/>
      <c r="R968" s="13"/>
      <c r="S968" s="13"/>
      <c r="T968" s="13"/>
      <c r="U968" s="13"/>
      <c r="V968" s="13"/>
      <c r="W968" s="13"/>
      <c r="X968" s="13"/>
      <c r="Y968" s="13"/>
      <c r="Z968" s="13"/>
    </row>
    <row r="969" spans="1:26" ht="13.5" customHeight="1">
      <c r="A969" s="13"/>
      <c r="B969" s="13"/>
      <c r="C969" s="13"/>
      <c r="D969" s="13"/>
      <c r="E969" s="13"/>
      <c r="F969" s="13"/>
      <c r="G969" s="13"/>
      <c r="H969" s="13"/>
      <c r="I969" s="13"/>
      <c r="J969" s="13"/>
      <c r="K969" s="13"/>
      <c r="L969" s="13"/>
      <c r="M969" s="28"/>
      <c r="N969" s="294"/>
      <c r="O969" s="13"/>
      <c r="P969" s="13"/>
      <c r="Q969" s="13"/>
      <c r="R969" s="13"/>
      <c r="S969" s="13"/>
      <c r="T969" s="13"/>
      <c r="U969" s="13"/>
      <c r="V969" s="13"/>
      <c r="W969" s="13"/>
      <c r="X969" s="13"/>
      <c r="Y969" s="13"/>
      <c r="Z969" s="13"/>
    </row>
    <row r="970" spans="1:26" ht="13.5" customHeight="1">
      <c r="A970" s="13"/>
      <c r="B970" s="13"/>
      <c r="C970" s="13"/>
      <c r="D970" s="13"/>
      <c r="E970" s="13"/>
      <c r="F970" s="13"/>
      <c r="G970" s="13"/>
      <c r="H970" s="13"/>
      <c r="I970" s="13"/>
      <c r="J970" s="13"/>
      <c r="K970" s="13"/>
      <c r="L970" s="13"/>
      <c r="M970" s="28"/>
      <c r="N970" s="294"/>
      <c r="O970" s="13"/>
      <c r="P970" s="13"/>
      <c r="Q970" s="13"/>
      <c r="R970" s="13"/>
      <c r="S970" s="13"/>
      <c r="T970" s="13"/>
      <c r="U970" s="13"/>
      <c r="V970" s="13"/>
      <c r="W970" s="13"/>
      <c r="X970" s="13"/>
      <c r="Y970" s="13"/>
      <c r="Z970" s="13"/>
    </row>
    <row r="971" spans="1:26" ht="13.5" customHeight="1">
      <c r="A971" s="13"/>
      <c r="B971" s="13"/>
      <c r="C971" s="13"/>
      <c r="D971" s="13"/>
      <c r="E971" s="13"/>
      <c r="F971" s="13"/>
      <c r="G971" s="13"/>
      <c r="H971" s="13"/>
      <c r="I971" s="13"/>
      <c r="J971" s="13"/>
      <c r="K971" s="13"/>
      <c r="L971" s="13"/>
      <c r="M971" s="28"/>
      <c r="N971" s="294"/>
      <c r="O971" s="13"/>
      <c r="P971" s="13"/>
      <c r="Q971" s="13"/>
      <c r="R971" s="13"/>
      <c r="S971" s="13"/>
      <c r="T971" s="13"/>
      <c r="U971" s="13"/>
      <c r="V971" s="13"/>
      <c r="W971" s="13"/>
      <c r="X971" s="13"/>
      <c r="Y971" s="13"/>
      <c r="Z971" s="13"/>
    </row>
    <row r="972" spans="1:26" ht="13.5" customHeight="1">
      <c r="A972" s="13"/>
      <c r="B972" s="13"/>
      <c r="C972" s="13"/>
      <c r="D972" s="13"/>
      <c r="E972" s="13"/>
      <c r="F972" s="13"/>
      <c r="G972" s="13"/>
      <c r="H972" s="13"/>
      <c r="I972" s="13"/>
      <c r="J972" s="13"/>
      <c r="K972" s="13"/>
      <c r="L972" s="13"/>
      <c r="M972" s="28"/>
      <c r="N972" s="294"/>
      <c r="O972" s="13"/>
      <c r="P972" s="13"/>
      <c r="Q972" s="13"/>
      <c r="R972" s="13"/>
      <c r="S972" s="13"/>
      <c r="T972" s="13"/>
      <c r="U972" s="13"/>
      <c r="V972" s="13"/>
      <c r="W972" s="13"/>
      <c r="X972" s="13"/>
      <c r="Y972" s="13"/>
      <c r="Z972" s="13"/>
    </row>
    <row r="973" spans="1:26" ht="13.5" customHeight="1">
      <c r="A973" s="13"/>
      <c r="B973" s="13"/>
      <c r="C973" s="13"/>
      <c r="D973" s="13"/>
      <c r="E973" s="13"/>
      <c r="F973" s="13"/>
      <c r="G973" s="13"/>
      <c r="H973" s="13"/>
      <c r="I973" s="13"/>
      <c r="J973" s="13"/>
      <c r="K973" s="13"/>
      <c r="L973" s="13"/>
      <c r="M973" s="28"/>
      <c r="N973" s="294"/>
      <c r="O973" s="13"/>
      <c r="P973" s="13"/>
      <c r="Q973" s="13"/>
      <c r="R973" s="13"/>
      <c r="S973" s="13"/>
      <c r="T973" s="13"/>
      <c r="U973" s="13"/>
      <c r="V973" s="13"/>
      <c r="W973" s="13"/>
      <c r="X973" s="13"/>
      <c r="Y973" s="13"/>
      <c r="Z973" s="13"/>
    </row>
    <row r="974" spans="1:26" ht="13.5" customHeight="1">
      <c r="A974" s="13"/>
      <c r="B974" s="13"/>
      <c r="C974" s="13"/>
      <c r="D974" s="13"/>
      <c r="E974" s="13"/>
      <c r="F974" s="13"/>
      <c r="G974" s="13"/>
      <c r="H974" s="13"/>
      <c r="I974" s="13"/>
      <c r="J974" s="13"/>
      <c r="K974" s="13"/>
      <c r="L974" s="13"/>
      <c r="M974" s="28"/>
      <c r="N974" s="294"/>
      <c r="O974" s="13"/>
      <c r="P974" s="13"/>
      <c r="Q974" s="13"/>
      <c r="R974" s="13"/>
      <c r="S974" s="13"/>
      <c r="T974" s="13"/>
      <c r="U974" s="13"/>
      <c r="V974" s="13"/>
      <c r="W974" s="13"/>
      <c r="X974" s="13"/>
      <c r="Y974" s="13"/>
      <c r="Z974" s="13"/>
    </row>
    <row r="975" spans="1:26" ht="13.5" customHeight="1">
      <c r="A975" s="13"/>
      <c r="B975" s="13"/>
      <c r="C975" s="13"/>
      <c r="D975" s="13"/>
      <c r="E975" s="13"/>
      <c r="F975" s="13"/>
      <c r="G975" s="13"/>
      <c r="H975" s="13"/>
      <c r="I975" s="13"/>
      <c r="J975" s="13"/>
      <c r="K975" s="13"/>
      <c r="L975" s="13"/>
      <c r="M975" s="28"/>
      <c r="N975" s="294"/>
      <c r="O975" s="13"/>
      <c r="P975" s="13"/>
      <c r="Q975" s="13"/>
      <c r="R975" s="13"/>
      <c r="S975" s="13"/>
      <c r="T975" s="13"/>
      <c r="U975" s="13"/>
      <c r="V975" s="13"/>
      <c r="W975" s="13"/>
      <c r="X975" s="13"/>
      <c r="Y975" s="13"/>
      <c r="Z975" s="13"/>
    </row>
    <row r="976" spans="1:26" ht="13.5" customHeight="1">
      <c r="A976" s="13"/>
      <c r="B976" s="13"/>
      <c r="C976" s="13"/>
      <c r="D976" s="13"/>
      <c r="E976" s="13"/>
      <c r="F976" s="13"/>
      <c r="G976" s="13"/>
      <c r="H976" s="13"/>
      <c r="I976" s="13"/>
      <c r="J976" s="13"/>
      <c r="K976" s="13"/>
      <c r="L976" s="13"/>
      <c r="M976" s="28"/>
      <c r="N976" s="294"/>
      <c r="O976" s="13"/>
      <c r="P976" s="13"/>
      <c r="Q976" s="13"/>
      <c r="R976" s="13"/>
      <c r="S976" s="13"/>
      <c r="T976" s="13"/>
      <c r="U976" s="13"/>
      <c r="V976" s="13"/>
      <c r="W976" s="13"/>
      <c r="X976" s="13"/>
      <c r="Y976" s="13"/>
      <c r="Z976" s="13"/>
    </row>
    <row r="977" spans="1:26" ht="13.5" customHeight="1">
      <c r="A977" s="13"/>
      <c r="B977" s="13"/>
      <c r="C977" s="13"/>
      <c r="D977" s="13"/>
      <c r="E977" s="13"/>
      <c r="F977" s="13"/>
      <c r="G977" s="13"/>
      <c r="H977" s="13"/>
      <c r="I977" s="13"/>
      <c r="J977" s="13"/>
      <c r="K977" s="13"/>
      <c r="L977" s="13"/>
      <c r="M977" s="28"/>
      <c r="N977" s="294"/>
      <c r="O977" s="13"/>
      <c r="P977" s="13"/>
      <c r="Q977" s="13"/>
      <c r="R977" s="13"/>
      <c r="S977" s="13"/>
      <c r="T977" s="13"/>
      <c r="U977" s="13"/>
      <c r="V977" s="13"/>
      <c r="W977" s="13"/>
      <c r="X977" s="13"/>
      <c r="Y977" s="13"/>
      <c r="Z977" s="13"/>
    </row>
    <row r="978" spans="1:26" ht="13.5" customHeight="1">
      <c r="A978" s="13"/>
      <c r="B978" s="13"/>
      <c r="C978" s="13"/>
      <c r="D978" s="13"/>
      <c r="E978" s="13"/>
      <c r="F978" s="13"/>
      <c r="G978" s="13"/>
      <c r="H978" s="13"/>
      <c r="I978" s="13"/>
      <c r="J978" s="13"/>
      <c r="K978" s="13"/>
      <c r="L978" s="13"/>
      <c r="M978" s="28"/>
      <c r="N978" s="294"/>
      <c r="O978" s="13"/>
      <c r="P978" s="13"/>
      <c r="Q978" s="13"/>
      <c r="R978" s="13"/>
      <c r="S978" s="13"/>
      <c r="T978" s="13"/>
      <c r="U978" s="13"/>
      <c r="V978" s="13"/>
      <c r="W978" s="13"/>
      <c r="X978" s="13"/>
      <c r="Y978" s="13"/>
      <c r="Z978" s="13"/>
    </row>
    <row r="979" spans="1:26" ht="13.5" customHeight="1">
      <c r="A979" s="13"/>
      <c r="B979" s="13"/>
      <c r="C979" s="13"/>
      <c r="D979" s="13"/>
      <c r="E979" s="13"/>
      <c r="F979" s="13"/>
      <c r="G979" s="13"/>
      <c r="H979" s="13"/>
      <c r="I979" s="13"/>
      <c r="J979" s="13"/>
      <c r="K979" s="13"/>
      <c r="L979" s="13"/>
      <c r="M979" s="28"/>
      <c r="N979" s="294"/>
      <c r="O979" s="13"/>
      <c r="P979" s="13"/>
      <c r="Q979" s="13"/>
      <c r="R979" s="13"/>
      <c r="S979" s="13"/>
      <c r="T979" s="13"/>
      <c r="U979" s="13"/>
      <c r="V979" s="13"/>
      <c r="W979" s="13"/>
      <c r="X979" s="13"/>
      <c r="Y979" s="13"/>
      <c r="Z979" s="13"/>
    </row>
    <row r="980" spans="1:26" ht="13.5" customHeight="1">
      <c r="A980" s="13"/>
      <c r="B980" s="13"/>
      <c r="C980" s="13"/>
      <c r="D980" s="13"/>
      <c r="E980" s="13"/>
      <c r="F980" s="13"/>
      <c r="G980" s="13"/>
      <c r="H980" s="13"/>
      <c r="I980" s="13"/>
      <c r="J980" s="13"/>
      <c r="K980" s="13"/>
      <c r="L980" s="13"/>
      <c r="M980" s="28"/>
      <c r="N980" s="294"/>
      <c r="O980" s="13"/>
      <c r="P980" s="13"/>
      <c r="Q980" s="13"/>
      <c r="R980" s="13"/>
      <c r="S980" s="13"/>
      <c r="T980" s="13"/>
      <c r="U980" s="13"/>
      <c r="V980" s="13"/>
      <c r="W980" s="13"/>
      <c r="X980" s="13"/>
      <c r="Y980" s="13"/>
      <c r="Z980" s="13"/>
    </row>
    <row r="981" spans="1:26" ht="13.5" customHeight="1">
      <c r="A981" s="13"/>
      <c r="B981" s="13"/>
      <c r="C981" s="13"/>
      <c r="D981" s="13"/>
      <c r="E981" s="13"/>
      <c r="F981" s="13"/>
      <c r="G981" s="13"/>
      <c r="H981" s="13"/>
      <c r="I981" s="13"/>
      <c r="J981" s="13"/>
      <c r="K981" s="13"/>
      <c r="L981" s="13"/>
      <c r="M981" s="28"/>
      <c r="N981" s="294"/>
      <c r="O981" s="13"/>
      <c r="P981" s="13"/>
      <c r="Q981" s="13"/>
      <c r="R981" s="13"/>
      <c r="S981" s="13"/>
      <c r="T981" s="13"/>
      <c r="U981" s="13"/>
      <c r="V981" s="13"/>
      <c r="W981" s="13"/>
      <c r="X981" s="13"/>
      <c r="Y981" s="13"/>
      <c r="Z981" s="13"/>
    </row>
    <row r="982" spans="1:26" ht="13.5" customHeight="1">
      <c r="A982" s="13"/>
      <c r="B982" s="13"/>
      <c r="C982" s="13"/>
      <c r="D982" s="13"/>
      <c r="E982" s="13"/>
      <c r="F982" s="13"/>
      <c r="G982" s="13"/>
      <c r="H982" s="13"/>
      <c r="I982" s="13"/>
      <c r="J982" s="13"/>
      <c r="K982" s="13"/>
      <c r="L982" s="13"/>
      <c r="M982" s="28"/>
      <c r="N982" s="294"/>
      <c r="O982" s="13"/>
      <c r="P982" s="13"/>
      <c r="Q982" s="13"/>
      <c r="R982" s="13"/>
      <c r="S982" s="13"/>
      <c r="T982" s="13"/>
      <c r="U982" s="13"/>
      <c r="V982" s="13"/>
      <c r="W982" s="13"/>
      <c r="X982" s="13"/>
      <c r="Y982" s="13"/>
      <c r="Z982" s="13"/>
    </row>
    <row r="983" spans="1:26" ht="13.5" customHeight="1">
      <c r="A983" s="13"/>
      <c r="B983" s="13"/>
      <c r="C983" s="13"/>
      <c r="D983" s="13"/>
      <c r="E983" s="13"/>
      <c r="F983" s="13"/>
      <c r="G983" s="13"/>
      <c r="H983" s="13"/>
      <c r="I983" s="13"/>
      <c r="J983" s="13"/>
      <c r="K983" s="13"/>
      <c r="L983" s="13"/>
      <c r="M983" s="28"/>
      <c r="N983" s="294"/>
      <c r="O983" s="13"/>
      <c r="P983" s="13"/>
      <c r="Q983" s="13"/>
      <c r="R983" s="13"/>
      <c r="S983" s="13"/>
      <c r="T983" s="13"/>
      <c r="U983" s="13"/>
      <c r="V983" s="13"/>
      <c r="W983" s="13"/>
      <c r="X983" s="13"/>
      <c r="Y983" s="13"/>
      <c r="Z983" s="13"/>
    </row>
    <row r="984" spans="1:26" ht="13.5" customHeight="1">
      <c r="A984" s="13"/>
      <c r="B984" s="13"/>
      <c r="C984" s="13"/>
      <c r="D984" s="13"/>
      <c r="E984" s="13"/>
      <c r="F984" s="13"/>
      <c r="G984" s="13"/>
      <c r="H984" s="13"/>
      <c r="I984" s="13"/>
      <c r="J984" s="13"/>
      <c r="K984" s="13"/>
      <c r="L984" s="13"/>
      <c r="M984" s="28"/>
      <c r="N984" s="294"/>
      <c r="O984" s="13"/>
      <c r="P984" s="13"/>
      <c r="Q984" s="13"/>
      <c r="R984" s="13"/>
      <c r="S984" s="13"/>
      <c r="T984" s="13"/>
      <c r="U984" s="13"/>
      <c r="V984" s="13"/>
      <c r="W984" s="13"/>
      <c r="X984" s="13"/>
      <c r="Y984" s="13"/>
      <c r="Z984" s="13"/>
    </row>
    <row r="985" spans="1:26" ht="13.5" customHeight="1">
      <c r="A985" s="13"/>
      <c r="B985" s="13"/>
      <c r="C985" s="13"/>
      <c r="D985" s="13"/>
      <c r="E985" s="13"/>
      <c r="F985" s="13"/>
      <c r="G985" s="13"/>
      <c r="H985" s="13"/>
      <c r="I985" s="13"/>
      <c r="J985" s="13"/>
      <c r="K985" s="13"/>
      <c r="L985" s="13"/>
      <c r="M985" s="28"/>
      <c r="N985" s="294"/>
      <c r="O985" s="13"/>
      <c r="P985" s="13"/>
      <c r="Q985" s="13"/>
      <c r="R985" s="13"/>
      <c r="S985" s="13"/>
      <c r="T985" s="13"/>
      <c r="U985" s="13"/>
      <c r="V985" s="13"/>
      <c r="W985" s="13"/>
      <c r="X985" s="13"/>
      <c r="Y985" s="13"/>
      <c r="Z985" s="13"/>
    </row>
    <row r="986" spans="1:26" ht="13.5" customHeight="1">
      <c r="A986" s="13"/>
      <c r="B986" s="13"/>
      <c r="C986" s="13"/>
      <c r="D986" s="13"/>
      <c r="E986" s="13"/>
      <c r="F986" s="13"/>
      <c r="G986" s="13"/>
      <c r="H986" s="13"/>
      <c r="I986" s="13"/>
      <c r="J986" s="13"/>
      <c r="K986" s="13"/>
      <c r="L986" s="13"/>
      <c r="M986" s="28"/>
      <c r="N986" s="294"/>
      <c r="O986" s="13"/>
      <c r="P986" s="13"/>
      <c r="Q986" s="13"/>
      <c r="R986" s="13"/>
      <c r="S986" s="13"/>
      <c r="T986" s="13"/>
      <c r="U986" s="13"/>
      <c r="V986" s="13"/>
      <c r="W986" s="13"/>
      <c r="X986" s="13"/>
      <c r="Y986" s="13"/>
      <c r="Z986" s="13"/>
    </row>
    <row r="987" spans="1:26" ht="13.5" customHeight="1">
      <c r="A987" s="13"/>
      <c r="B987" s="13"/>
      <c r="C987" s="13"/>
      <c r="D987" s="13"/>
      <c r="E987" s="13"/>
      <c r="F987" s="13"/>
      <c r="G987" s="13"/>
      <c r="H987" s="13"/>
      <c r="I987" s="13"/>
      <c r="J987" s="13"/>
      <c r="K987" s="13"/>
      <c r="L987" s="13"/>
      <c r="M987" s="28"/>
      <c r="N987" s="294"/>
      <c r="O987" s="13"/>
      <c r="P987" s="13"/>
      <c r="Q987" s="13"/>
      <c r="R987" s="13"/>
      <c r="S987" s="13"/>
      <c r="T987" s="13"/>
      <c r="U987" s="13"/>
      <c r="V987" s="13"/>
      <c r="W987" s="13"/>
      <c r="X987" s="13"/>
      <c r="Y987" s="13"/>
      <c r="Z987" s="13"/>
    </row>
    <row r="988" spans="1:26" ht="13.5" customHeight="1">
      <c r="A988" s="13"/>
      <c r="B988" s="13"/>
      <c r="C988" s="13"/>
      <c r="D988" s="13"/>
      <c r="E988" s="13"/>
      <c r="F988" s="13"/>
      <c r="G988" s="13"/>
      <c r="H988" s="13"/>
      <c r="I988" s="13"/>
      <c r="J988" s="13"/>
      <c r="K988" s="13"/>
      <c r="L988" s="13"/>
      <c r="M988" s="28"/>
      <c r="N988" s="294"/>
      <c r="O988" s="13"/>
      <c r="P988" s="13"/>
      <c r="Q988" s="13"/>
      <c r="R988" s="13"/>
      <c r="S988" s="13"/>
      <c r="T988" s="13"/>
      <c r="U988" s="13"/>
      <c r="V988" s="13"/>
      <c r="W988" s="13"/>
      <c r="X988" s="13"/>
      <c r="Y988" s="13"/>
      <c r="Z988" s="13"/>
    </row>
    <row r="989" spans="1:26" ht="13.5" customHeight="1">
      <c r="A989" s="13"/>
      <c r="B989" s="13"/>
      <c r="C989" s="13"/>
      <c r="D989" s="13"/>
      <c r="E989" s="13"/>
      <c r="F989" s="13"/>
      <c r="G989" s="13"/>
      <c r="H989" s="13"/>
      <c r="I989" s="13"/>
      <c r="J989" s="13"/>
      <c r="K989" s="13"/>
      <c r="L989" s="13"/>
      <c r="M989" s="28"/>
      <c r="N989" s="294"/>
      <c r="O989" s="13"/>
      <c r="P989" s="13"/>
      <c r="Q989" s="13"/>
      <c r="R989" s="13"/>
      <c r="S989" s="13"/>
      <c r="T989" s="13"/>
      <c r="U989" s="13"/>
      <c r="V989" s="13"/>
      <c r="W989" s="13"/>
      <c r="X989" s="13"/>
      <c r="Y989" s="13"/>
      <c r="Z989" s="13"/>
    </row>
    <row r="990" spans="1:26" ht="13.5" customHeight="1">
      <c r="A990" s="13"/>
      <c r="B990" s="13"/>
      <c r="C990" s="13"/>
      <c r="D990" s="13"/>
      <c r="E990" s="13"/>
      <c r="F990" s="13"/>
      <c r="G990" s="13"/>
      <c r="H990" s="13"/>
      <c r="I990" s="13"/>
      <c r="J990" s="13"/>
      <c r="K990" s="13"/>
      <c r="L990" s="13"/>
      <c r="M990" s="28"/>
      <c r="N990" s="294"/>
      <c r="O990" s="13"/>
      <c r="P990" s="13"/>
      <c r="Q990" s="13"/>
      <c r="R990" s="13"/>
      <c r="S990" s="13"/>
      <c r="T990" s="13"/>
      <c r="U990" s="13"/>
      <c r="V990" s="13"/>
      <c r="W990" s="13"/>
      <c r="X990" s="13"/>
      <c r="Y990" s="13"/>
      <c r="Z990" s="13"/>
    </row>
    <row r="991" spans="1:26" ht="13.5" customHeight="1">
      <c r="A991" s="13"/>
      <c r="B991" s="13"/>
      <c r="C991" s="13"/>
      <c r="D991" s="13"/>
      <c r="E991" s="13"/>
      <c r="F991" s="13"/>
      <c r="G991" s="13"/>
      <c r="H991" s="13"/>
      <c r="I991" s="13"/>
      <c r="J991" s="13"/>
      <c r="K991" s="13"/>
      <c r="L991" s="13"/>
      <c r="M991" s="28"/>
      <c r="N991" s="294"/>
      <c r="O991" s="13"/>
      <c r="P991" s="13"/>
      <c r="Q991" s="13"/>
      <c r="R991" s="13"/>
      <c r="S991" s="13"/>
      <c r="T991" s="13"/>
      <c r="U991" s="13"/>
      <c r="V991" s="13"/>
      <c r="W991" s="13"/>
      <c r="X991" s="13"/>
      <c r="Y991" s="13"/>
      <c r="Z991" s="13"/>
    </row>
    <row r="992" spans="1:26" ht="13.5" customHeight="1">
      <c r="A992" s="13"/>
      <c r="B992" s="13"/>
      <c r="C992" s="13"/>
      <c r="D992" s="13"/>
      <c r="E992" s="13"/>
      <c r="F992" s="13"/>
      <c r="G992" s="13"/>
      <c r="H992" s="13"/>
      <c r="I992" s="13"/>
      <c r="J992" s="13"/>
      <c r="K992" s="13"/>
      <c r="L992" s="13"/>
      <c r="M992" s="28"/>
      <c r="N992" s="294"/>
      <c r="O992" s="13"/>
      <c r="P992" s="13"/>
      <c r="Q992" s="13"/>
      <c r="R992" s="13"/>
      <c r="S992" s="13"/>
      <c r="T992" s="13"/>
      <c r="U992" s="13"/>
      <c r="V992" s="13"/>
      <c r="W992" s="13"/>
      <c r="X992" s="13"/>
      <c r="Y992" s="13"/>
      <c r="Z992" s="13"/>
    </row>
    <row r="993" spans="1:26" ht="13.5" customHeight="1">
      <c r="A993" s="13"/>
      <c r="B993" s="13"/>
      <c r="C993" s="13"/>
      <c r="D993" s="13"/>
      <c r="E993" s="13"/>
      <c r="F993" s="13"/>
      <c r="G993" s="13"/>
      <c r="H993" s="13"/>
      <c r="I993" s="13"/>
      <c r="J993" s="13"/>
      <c r="K993" s="13"/>
      <c r="L993" s="13"/>
      <c r="M993" s="28"/>
      <c r="N993" s="294"/>
      <c r="O993" s="13"/>
      <c r="P993" s="13"/>
      <c r="Q993" s="13"/>
      <c r="R993" s="13"/>
      <c r="S993" s="13"/>
      <c r="T993" s="13"/>
      <c r="U993" s="13"/>
      <c r="V993" s="13"/>
      <c r="W993" s="13"/>
      <c r="X993" s="13"/>
      <c r="Y993" s="13"/>
      <c r="Z993" s="13"/>
    </row>
    <row r="994" spans="1:26" ht="13.5" customHeight="1">
      <c r="A994" s="13"/>
      <c r="B994" s="13"/>
      <c r="C994" s="13"/>
      <c r="D994" s="13"/>
      <c r="E994" s="13"/>
      <c r="F994" s="13"/>
      <c r="G994" s="13"/>
      <c r="H994" s="13"/>
      <c r="I994" s="13"/>
      <c r="J994" s="13"/>
      <c r="K994" s="13"/>
      <c r="L994" s="13"/>
      <c r="M994" s="28"/>
      <c r="N994" s="294"/>
      <c r="O994" s="13"/>
      <c r="P994" s="13"/>
      <c r="Q994" s="13"/>
      <c r="R994" s="13"/>
      <c r="S994" s="13"/>
      <c r="T994" s="13"/>
      <c r="U994" s="13"/>
      <c r="V994" s="13"/>
      <c r="W994" s="13"/>
      <c r="X994" s="13"/>
      <c r="Y994" s="13"/>
      <c r="Z994" s="13"/>
    </row>
    <row r="995" spans="1:26" ht="13.5" customHeight="1">
      <c r="A995" s="13"/>
      <c r="B995" s="13"/>
      <c r="C995" s="13"/>
      <c r="D995" s="13"/>
      <c r="E995" s="13"/>
      <c r="F995" s="13"/>
      <c r="G995" s="13"/>
      <c r="H995" s="13"/>
      <c r="I995" s="13"/>
      <c r="J995" s="13"/>
      <c r="K995" s="13"/>
      <c r="L995" s="13"/>
      <c r="M995" s="28"/>
      <c r="N995" s="294"/>
      <c r="O995" s="13"/>
      <c r="P995" s="13"/>
      <c r="Q995" s="13"/>
      <c r="R995" s="13"/>
      <c r="S995" s="13"/>
      <c r="T995" s="13"/>
      <c r="U995" s="13"/>
      <c r="V995" s="13"/>
      <c r="W995" s="13"/>
      <c r="X995" s="13"/>
      <c r="Y995" s="13"/>
      <c r="Z995" s="13"/>
    </row>
    <row r="996" spans="1:26" ht="13.5" customHeight="1">
      <c r="A996" s="13"/>
      <c r="B996" s="13"/>
      <c r="C996" s="13"/>
      <c r="D996" s="13"/>
      <c r="E996" s="13"/>
      <c r="F996" s="13"/>
      <c r="G996" s="13"/>
      <c r="H996" s="13"/>
      <c r="I996" s="13"/>
      <c r="J996" s="13"/>
      <c r="K996" s="13"/>
      <c r="L996" s="13"/>
      <c r="M996" s="28"/>
      <c r="N996" s="294"/>
      <c r="O996" s="13"/>
      <c r="P996" s="13"/>
      <c r="Q996" s="13"/>
      <c r="R996" s="13"/>
      <c r="S996" s="13"/>
      <c r="T996" s="13"/>
      <c r="U996" s="13"/>
      <c r="V996" s="13"/>
      <c r="W996" s="13"/>
      <c r="X996" s="13"/>
      <c r="Y996" s="13"/>
      <c r="Z996" s="13"/>
    </row>
    <row r="997" spans="1:26" ht="13.5" customHeight="1">
      <c r="A997" s="13"/>
      <c r="B997" s="13"/>
      <c r="C997" s="13"/>
      <c r="D997" s="13"/>
      <c r="E997" s="13"/>
      <c r="F997" s="13"/>
      <c r="G997" s="13"/>
      <c r="H997" s="13"/>
      <c r="I997" s="13"/>
      <c r="J997" s="13"/>
      <c r="K997" s="13"/>
      <c r="L997" s="13"/>
      <c r="M997" s="28"/>
      <c r="N997" s="294"/>
      <c r="O997" s="13"/>
      <c r="P997" s="13"/>
      <c r="Q997" s="13"/>
      <c r="R997" s="13"/>
      <c r="S997" s="13"/>
      <c r="T997" s="13"/>
      <c r="U997" s="13"/>
      <c r="V997" s="13"/>
      <c r="W997" s="13"/>
      <c r="X997" s="13"/>
      <c r="Y997" s="13"/>
      <c r="Z997" s="13"/>
    </row>
    <row r="998" spans="1:26" ht="13.5" customHeight="1">
      <c r="A998" s="13"/>
      <c r="B998" s="13"/>
      <c r="C998" s="13"/>
      <c r="D998" s="13"/>
      <c r="E998" s="13"/>
      <c r="F998" s="13"/>
      <c r="G998" s="13"/>
      <c r="H998" s="13"/>
      <c r="I998" s="13"/>
      <c r="J998" s="13"/>
      <c r="K998" s="13"/>
      <c r="L998" s="13"/>
      <c r="M998" s="28"/>
      <c r="N998" s="294"/>
      <c r="O998" s="13"/>
      <c r="P998" s="13"/>
      <c r="Q998" s="13"/>
      <c r="R998" s="13"/>
      <c r="S998" s="13"/>
      <c r="T998" s="13"/>
      <c r="U998" s="13"/>
      <c r="V998" s="13"/>
      <c r="W998" s="13"/>
      <c r="X998" s="13"/>
      <c r="Y998" s="13"/>
      <c r="Z998" s="13"/>
    </row>
    <row r="999" spans="1:26" ht="13.5" customHeight="1">
      <c r="A999" s="13"/>
      <c r="B999" s="13"/>
      <c r="C999" s="13"/>
      <c r="D999" s="13"/>
      <c r="E999" s="13"/>
      <c r="F999" s="13"/>
      <c r="G999" s="13"/>
      <c r="H999" s="13"/>
      <c r="I999" s="13"/>
      <c r="J999" s="13"/>
      <c r="K999" s="13"/>
      <c r="L999" s="13"/>
      <c r="M999" s="28"/>
      <c r="N999" s="294"/>
      <c r="O999" s="13"/>
      <c r="P999" s="13"/>
      <c r="Q999" s="13"/>
      <c r="R999" s="13"/>
      <c r="S999" s="13"/>
      <c r="T999" s="13"/>
      <c r="U999" s="13"/>
      <c r="V999" s="13"/>
      <c r="W999" s="13"/>
      <c r="X999" s="13"/>
      <c r="Y999" s="13"/>
      <c r="Z999" s="13"/>
    </row>
    <row r="1000" spans="1:26" ht="13.5" customHeight="1">
      <c r="A1000" s="13"/>
      <c r="B1000" s="13"/>
      <c r="C1000" s="13"/>
      <c r="D1000" s="13"/>
      <c r="E1000" s="13"/>
      <c r="F1000" s="13"/>
      <c r="G1000" s="13"/>
      <c r="H1000" s="13"/>
      <c r="I1000" s="13"/>
      <c r="J1000" s="13"/>
      <c r="K1000" s="13"/>
      <c r="L1000" s="13"/>
      <c r="M1000" s="28"/>
      <c r="N1000" s="294"/>
      <c r="O1000" s="13"/>
      <c r="P1000" s="13"/>
      <c r="Q1000" s="13"/>
      <c r="R1000" s="13"/>
      <c r="S1000" s="13"/>
      <c r="T1000" s="13"/>
      <c r="U1000" s="13"/>
      <c r="V1000" s="13"/>
      <c r="W1000" s="13"/>
      <c r="X1000" s="13"/>
      <c r="Y1000" s="13"/>
      <c r="Z1000" s="13"/>
    </row>
  </sheetData>
  <mergeCells count="9">
    <mergeCell ref="A110:B110"/>
    <mergeCell ref="A111:B111"/>
    <mergeCell ref="J30:K30"/>
    <mergeCell ref="F31:G31"/>
    <mergeCell ref="A102:B102"/>
    <mergeCell ref="A103:B103"/>
    <mergeCell ref="A104:B104"/>
    <mergeCell ref="A106:B106"/>
    <mergeCell ref="A107:B107"/>
  </mergeCells>
  <pageMargins left="0.11811023622047245" right="0.11811023622047245" top="1.5354330708661419"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CB8B5-572A-4DF6-83F9-F939DD2905F1}">
  <dimension ref="A1:FC412"/>
  <sheetViews>
    <sheetView tabSelected="1" zoomScaleNormal="100" workbookViewId="0">
      <selection activeCell="M14" sqref="M14"/>
    </sheetView>
  </sheetViews>
  <sheetFormatPr baseColWidth="10" defaultRowHeight="12.75"/>
  <cols>
    <col min="1" max="9" width="2.42578125" style="868" customWidth="1"/>
    <col min="10" max="10" width="52.85546875" style="868" customWidth="1"/>
    <col min="11" max="12" width="12.140625" style="888" customWidth="1"/>
    <col min="13" max="13" width="13.140625" style="857" bestFit="1" customWidth="1"/>
    <col min="14" max="14" width="13.140625" style="891" customWidth="1"/>
    <col min="15" max="16" width="13.140625" style="891" bestFit="1" customWidth="1"/>
    <col min="17" max="17" width="13.140625" style="868" bestFit="1" customWidth="1"/>
    <col min="18" max="18" width="11.42578125" style="869"/>
    <col min="19" max="256" width="11.42578125" style="868"/>
    <col min="257" max="265" width="2.42578125" style="868" customWidth="1"/>
    <col min="266" max="266" width="52.85546875" style="868" customWidth="1"/>
    <col min="267" max="272" width="12.140625" style="868" customWidth="1"/>
    <col min="273" max="273" width="12.42578125" style="868" bestFit="1" customWidth="1"/>
    <col min="274" max="512" width="11.42578125" style="868"/>
    <col min="513" max="521" width="2.42578125" style="868" customWidth="1"/>
    <col min="522" max="522" width="52.85546875" style="868" customWidth="1"/>
    <col min="523" max="528" width="12.140625" style="868" customWidth="1"/>
    <col min="529" max="529" width="12.42578125" style="868" bestFit="1" customWidth="1"/>
    <col min="530" max="768" width="11.42578125" style="868"/>
    <col min="769" max="777" width="2.42578125" style="868" customWidth="1"/>
    <col min="778" max="778" width="52.85546875" style="868" customWidth="1"/>
    <col min="779" max="784" width="12.140625" style="868" customWidth="1"/>
    <col min="785" max="785" width="12.42578125" style="868" bestFit="1" customWidth="1"/>
    <col min="786" max="1024" width="11.42578125" style="868"/>
    <col min="1025" max="1033" width="2.42578125" style="868" customWidth="1"/>
    <col min="1034" max="1034" width="52.85546875" style="868" customWidth="1"/>
    <col min="1035" max="1040" width="12.140625" style="868" customWidth="1"/>
    <col min="1041" max="1041" width="12.42578125" style="868" bestFit="1" customWidth="1"/>
    <col min="1042" max="1280" width="11.42578125" style="868"/>
    <col min="1281" max="1289" width="2.42578125" style="868" customWidth="1"/>
    <col min="1290" max="1290" width="52.85546875" style="868" customWidth="1"/>
    <col min="1291" max="1296" width="12.140625" style="868" customWidth="1"/>
    <col min="1297" max="1297" width="12.42578125" style="868" bestFit="1" customWidth="1"/>
    <col min="1298" max="1536" width="11.42578125" style="868"/>
    <col min="1537" max="1545" width="2.42578125" style="868" customWidth="1"/>
    <col min="1546" max="1546" width="52.85546875" style="868" customWidth="1"/>
    <col min="1547" max="1552" width="12.140625" style="868" customWidth="1"/>
    <col min="1553" max="1553" width="12.42578125" style="868" bestFit="1" customWidth="1"/>
    <col min="1554" max="1792" width="11.42578125" style="868"/>
    <col min="1793" max="1801" width="2.42578125" style="868" customWidth="1"/>
    <col min="1802" max="1802" width="52.85546875" style="868" customWidth="1"/>
    <col min="1803" max="1808" width="12.140625" style="868" customWidth="1"/>
    <col min="1809" max="1809" width="12.42578125" style="868" bestFit="1" customWidth="1"/>
    <col min="1810" max="2048" width="11.42578125" style="868"/>
    <col min="2049" max="2057" width="2.42578125" style="868" customWidth="1"/>
    <col min="2058" max="2058" width="52.85546875" style="868" customWidth="1"/>
    <col min="2059" max="2064" width="12.140625" style="868" customWidth="1"/>
    <col min="2065" max="2065" width="12.42578125" style="868" bestFit="1" customWidth="1"/>
    <col min="2066" max="2304" width="11.42578125" style="868"/>
    <col min="2305" max="2313" width="2.42578125" style="868" customWidth="1"/>
    <col min="2314" max="2314" width="52.85546875" style="868" customWidth="1"/>
    <col min="2315" max="2320" width="12.140625" style="868" customWidth="1"/>
    <col min="2321" max="2321" width="12.42578125" style="868" bestFit="1" customWidth="1"/>
    <col min="2322" max="2560" width="11.42578125" style="868"/>
    <col min="2561" max="2569" width="2.42578125" style="868" customWidth="1"/>
    <col min="2570" max="2570" width="52.85546875" style="868" customWidth="1"/>
    <col min="2571" max="2576" width="12.140625" style="868" customWidth="1"/>
    <col min="2577" max="2577" width="12.42578125" style="868" bestFit="1" customWidth="1"/>
    <col min="2578" max="2816" width="11.42578125" style="868"/>
    <col min="2817" max="2825" width="2.42578125" style="868" customWidth="1"/>
    <col min="2826" max="2826" width="52.85546875" style="868" customWidth="1"/>
    <col min="2827" max="2832" width="12.140625" style="868" customWidth="1"/>
    <col min="2833" max="2833" width="12.42578125" style="868" bestFit="1" customWidth="1"/>
    <col min="2834" max="3072" width="11.42578125" style="868"/>
    <col min="3073" max="3081" width="2.42578125" style="868" customWidth="1"/>
    <col min="3082" max="3082" width="52.85546875" style="868" customWidth="1"/>
    <col min="3083" max="3088" width="12.140625" style="868" customWidth="1"/>
    <col min="3089" max="3089" width="12.42578125" style="868" bestFit="1" customWidth="1"/>
    <col min="3090" max="3328" width="11.42578125" style="868"/>
    <col min="3329" max="3337" width="2.42578125" style="868" customWidth="1"/>
    <col min="3338" max="3338" width="52.85546875" style="868" customWidth="1"/>
    <col min="3339" max="3344" width="12.140625" style="868" customWidth="1"/>
    <col min="3345" max="3345" width="12.42578125" style="868" bestFit="1" customWidth="1"/>
    <col min="3346" max="3584" width="11.42578125" style="868"/>
    <col min="3585" max="3593" width="2.42578125" style="868" customWidth="1"/>
    <col min="3594" max="3594" width="52.85546875" style="868" customWidth="1"/>
    <col min="3595" max="3600" width="12.140625" style="868" customWidth="1"/>
    <col min="3601" max="3601" width="12.42578125" style="868" bestFit="1" customWidth="1"/>
    <col min="3602" max="3840" width="11.42578125" style="868"/>
    <col min="3841" max="3849" width="2.42578125" style="868" customWidth="1"/>
    <col min="3850" max="3850" width="52.85546875" style="868" customWidth="1"/>
    <col min="3851" max="3856" width="12.140625" style="868" customWidth="1"/>
    <col min="3857" max="3857" width="12.42578125" style="868" bestFit="1" customWidth="1"/>
    <col min="3858" max="4096" width="11.42578125" style="868"/>
    <col min="4097" max="4105" width="2.42578125" style="868" customWidth="1"/>
    <col min="4106" max="4106" width="52.85546875" style="868" customWidth="1"/>
    <col min="4107" max="4112" width="12.140625" style="868" customWidth="1"/>
    <col min="4113" max="4113" width="12.42578125" style="868" bestFit="1" customWidth="1"/>
    <col min="4114" max="4352" width="11.42578125" style="868"/>
    <col min="4353" max="4361" width="2.42578125" style="868" customWidth="1"/>
    <col min="4362" max="4362" width="52.85546875" style="868" customWidth="1"/>
    <col min="4363" max="4368" width="12.140625" style="868" customWidth="1"/>
    <col min="4369" max="4369" width="12.42578125" style="868" bestFit="1" customWidth="1"/>
    <col min="4370" max="4608" width="11.42578125" style="868"/>
    <col min="4609" max="4617" width="2.42578125" style="868" customWidth="1"/>
    <col min="4618" max="4618" width="52.85546875" style="868" customWidth="1"/>
    <col min="4619" max="4624" width="12.140625" style="868" customWidth="1"/>
    <col min="4625" max="4625" width="12.42578125" style="868" bestFit="1" customWidth="1"/>
    <col min="4626" max="4864" width="11.42578125" style="868"/>
    <col min="4865" max="4873" width="2.42578125" style="868" customWidth="1"/>
    <col min="4874" max="4874" width="52.85546875" style="868" customWidth="1"/>
    <col min="4875" max="4880" width="12.140625" style="868" customWidth="1"/>
    <col min="4881" max="4881" width="12.42578125" style="868" bestFit="1" customWidth="1"/>
    <col min="4882" max="5120" width="11.42578125" style="868"/>
    <col min="5121" max="5129" width="2.42578125" style="868" customWidth="1"/>
    <col min="5130" max="5130" width="52.85546875" style="868" customWidth="1"/>
    <col min="5131" max="5136" width="12.140625" style="868" customWidth="1"/>
    <col min="5137" max="5137" width="12.42578125" style="868" bestFit="1" customWidth="1"/>
    <col min="5138" max="5376" width="11.42578125" style="868"/>
    <col min="5377" max="5385" width="2.42578125" style="868" customWidth="1"/>
    <col min="5386" max="5386" width="52.85546875" style="868" customWidth="1"/>
    <col min="5387" max="5392" width="12.140625" style="868" customWidth="1"/>
    <col min="5393" max="5393" width="12.42578125" style="868" bestFit="1" customWidth="1"/>
    <col min="5394" max="5632" width="11.42578125" style="868"/>
    <col min="5633" max="5641" width="2.42578125" style="868" customWidth="1"/>
    <col min="5642" max="5642" width="52.85546875" style="868" customWidth="1"/>
    <col min="5643" max="5648" width="12.140625" style="868" customWidth="1"/>
    <col min="5649" max="5649" width="12.42578125" style="868" bestFit="1" customWidth="1"/>
    <col min="5650" max="5888" width="11.42578125" style="868"/>
    <col min="5889" max="5897" width="2.42578125" style="868" customWidth="1"/>
    <col min="5898" max="5898" width="52.85546875" style="868" customWidth="1"/>
    <col min="5899" max="5904" width="12.140625" style="868" customWidth="1"/>
    <col min="5905" max="5905" width="12.42578125" style="868" bestFit="1" customWidth="1"/>
    <col min="5906" max="6144" width="11.42578125" style="868"/>
    <col min="6145" max="6153" width="2.42578125" style="868" customWidth="1"/>
    <col min="6154" max="6154" width="52.85546875" style="868" customWidth="1"/>
    <col min="6155" max="6160" width="12.140625" style="868" customWidth="1"/>
    <col min="6161" max="6161" width="12.42578125" style="868" bestFit="1" customWidth="1"/>
    <col min="6162" max="6400" width="11.42578125" style="868"/>
    <col min="6401" max="6409" width="2.42578125" style="868" customWidth="1"/>
    <col min="6410" max="6410" width="52.85546875" style="868" customWidth="1"/>
    <col min="6411" max="6416" width="12.140625" style="868" customWidth="1"/>
    <col min="6417" max="6417" width="12.42578125" style="868" bestFit="1" customWidth="1"/>
    <col min="6418" max="6656" width="11.42578125" style="868"/>
    <col min="6657" max="6665" width="2.42578125" style="868" customWidth="1"/>
    <col min="6666" max="6666" width="52.85546875" style="868" customWidth="1"/>
    <col min="6667" max="6672" width="12.140625" style="868" customWidth="1"/>
    <col min="6673" max="6673" width="12.42578125" style="868" bestFit="1" customWidth="1"/>
    <col min="6674" max="6912" width="11.42578125" style="868"/>
    <col min="6913" max="6921" width="2.42578125" style="868" customWidth="1"/>
    <col min="6922" max="6922" width="52.85546875" style="868" customWidth="1"/>
    <col min="6923" max="6928" width="12.140625" style="868" customWidth="1"/>
    <col min="6929" max="6929" width="12.42578125" style="868" bestFit="1" customWidth="1"/>
    <col min="6930" max="7168" width="11.42578125" style="868"/>
    <col min="7169" max="7177" width="2.42578125" style="868" customWidth="1"/>
    <col min="7178" max="7178" width="52.85546875" style="868" customWidth="1"/>
    <col min="7179" max="7184" width="12.140625" style="868" customWidth="1"/>
    <col min="7185" max="7185" width="12.42578125" style="868" bestFit="1" customWidth="1"/>
    <col min="7186" max="7424" width="11.42578125" style="868"/>
    <col min="7425" max="7433" width="2.42578125" style="868" customWidth="1"/>
    <col min="7434" max="7434" width="52.85546875" style="868" customWidth="1"/>
    <col min="7435" max="7440" width="12.140625" style="868" customWidth="1"/>
    <col min="7441" max="7441" width="12.42578125" style="868" bestFit="1" customWidth="1"/>
    <col min="7442" max="7680" width="11.42578125" style="868"/>
    <col min="7681" max="7689" width="2.42578125" style="868" customWidth="1"/>
    <col min="7690" max="7690" width="52.85546875" style="868" customWidth="1"/>
    <col min="7691" max="7696" width="12.140625" style="868" customWidth="1"/>
    <col min="7697" max="7697" width="12.42578125" style="868" bestFit="1" customWidth="1"/>
    <col min="7698" max="7936" width="11.42578125" style="868"/>
    <col min="7937" max="7945" width="2.42578125" style="868" customWidth="1"/>
    <col min="7946" max="7946" width="52.85546875" style="868" customWidth="1"/>
    <col min="7947" max="7952" width="12.140625" style="868" customWidth="1"/>
    <col min="7953" max="7953" width="12.42578125" style="868" bestFit="1" customWidth="1"/>
    <col min="7954" max="8192" width="11.42578125" style="868"/>
    <col min="8193" max="8201" width="2.42578125" style="868" customWidth="1"/>
    <col min="8202" max="8202" width="52.85546875" style="868" customWidth="1"/>
    <col min="8203" max="8208" width="12.140625" style="868" customWidth="1"/>
    <col min="8209" max="8209" width="12.42578125" style="868" bestFit="1" customWidth="1"/>
    <col min="8210" max="8448" width="11.42578125" style="868"/>
    <col min="8449" max="8457" width="2.42578125" style="868" customWidth="1"/>
    <col min="8458" max="8458" width="52.85546875" style="868" customWidth="1"/>
    <col min="8459" max="8464" width="12.140625" style="868" customWidth="1"/>
    <col min="8465" max="8465" width="12.42578125" style="868" bestFit="1" customWidth="1"/>
    <col min="8466" max="8704" width="11.42578125" style="868"/>
    <col min="8705" max="8713" width="2.42578125" style="868" customWidth="1"/>
    <col min="8714" max="8714" width="52.85546875" style="868" customWidth="1"/>
    <col min="8715" max="8720" width="12.140625" style="868" customWidth="1"/>
    <col min="8721" max="8721" width="12.42578125" style="868" bestFit="1" customWidth="1"/>
    <col min="8722" max="8960" width="11.42578125" style="868"/>
    <col min="8961" max="8969" width="2.42578125" style="868" customWidth="1"/>
    <col min="8970" max="8970" width="52.85546875" style="868" customWidth="1"/>
    <col min="8971" max="8976" width="12.140625" style="868" customWidth="1"/>
    <col min="8977" max="8977" width="12.42578125" style="868" bestFit="1" customWidth="1"/>
    <col min="8978" max="9216" width="11.42578125" style="868"/>
    <col min="9217" max="9225" width="2.42578125" style="868" customWidth="1"/>
    <col min="9226" max="9226" width="52.85546875" style="868" customWidth="1"/>
    <col min="9227" max="9232" width="12.140625" style="868" customWidth="1"/>
    <col min="9233" max="9233" width="12.42578125" style="868" bestFit="1" customWidth="1"/>
    <col min="9234" max="9472" width="11.42578125" style="868"/>
    <col min="9473" max="9481" width="2.42578125" style="868" customWidth="1"/>
    <col min="9482" max="9482" width="52.85546875" style="868" customWidth="1"/>
    <col min="9483" max="9488" width="12.140625" style="868" customWidth="1"/>
    <col min="9489" max="9489" width="12.42578125" style="868" bestFit="1" customWidth="1"/>
    <col min="9490" max="9728" width="11.42578125" style="868"/>
    <col min="9729" max="9737" width="2.42578125" style="868" customWidth="1"/>
    <col min="9738" max="9738" width="52.85546875" style="868" customWidth="1"/>
    <col min="9739" max="9744" width="12.140625" style="868" customWidth="1"/>
    <col min="9745" max="9745" width="12.42578125" style="868" bestFit="1" customWidth="1"/>
    <col min="9746" max="9984" width="11.42578125" style="868"/>
    <col min="9985" max="9993" width="2.42578125" style="868" customWidth="1"/>
    <col min="9994" max="9994" width="52.85546875" style="868" customWidth="1"/>
    <col min="9995" max="10000" width="12.140625" style="868" customWidth="1"/>
    <col min="10001" max="10001" width="12.42578125" style="868" bestFit="1" customWidth="1"/>
    <col min="10002" max="10240" width="11.42578125" style="868"/>
    <col min="10241" max="10249" width="2.42578125" style="868" customWidth="1"/>
    <col min="10250" max="10250" width="52.85546875" style="868" customWidth="1"/>
    <col min="10251" max="10256" width="12.140625" style="868" customWidth="1"/>
    <col min="10257" max="10257" width="12.42578125" style="868" bestFit="1" customWidth="1"/>
    <col min="10258" max="10496" width="11.42578125" style="868"/>
    <col min="10497" max="10505" width="2.42578125" style="868" customWidth="1"/>
    <col min="10506" max="10506" width="52.85546875" style="868" customWidth="1"/>
    <col min="10507" max="10512" width="12.140625" style="868" customWidth="1"/>
    <col min="10513" max="10513" width="12.42578125" style="868" bestFit="1" customWidth="1"/>
    <col min="10514" max="10752" width="11.42578125" style="868"/>
    <col min="10753" max="10761" width="2.42578125" style="868" customWidth="1"/>
    <col min="10762" max="10762" width="52.85546875" style="868" customWidth="1"/>
    <col min="10763" max="10768" width="12.140625" style="868" customWidth="1"/>
    <col min="10769" max="10769" width="12.42578125" style="868" bestFit="1" customWidth="1"/>
    <col min="10770" max="11008" width="11.42578125" style="868"/>
    <col min="11009" max="11017" width="2.42578125" style="868" customWidth="1"/>
    <col min="11018" max="11018" width="52.85546875" style="868" customWidth="1"/>
    <col min="11019" max="11024" width="12.140625" style="868" customWidth="1"/>
    <col min="11025" max="11025" width="12.42578125" style="868" bestFit="1" customWidth="1"/>
    <col min="11026" max="11264" width="11.42578125" style="868"/>
    <col min="11265" max="11273" width="2.42578125" style="868" customWidth="1"/>
    <col min="11274" max="11274" width="52.85546875" style="868" customWidth="1"/>
    <col min="11275" max="11280" width="12.140625" style="868" customWidth="1"/>
    <col min="11281" max="11281" width="12.42578125" style="868" bestFit="1" customWidth="1"/>
    <col min="11282" max="11520" width="11.42578125" style="868"/>
    <col min="11521" max="11529" width="2.42578125" style="868" customWidth="1"/>
    <col min="11530" max="11530" width="52.85546875" style="868" customWidth="1"/>
    <col min="11531" max="11536" width="12.140625" style="868" customWidth="1"/>
    <col min="11537" max="11537" width="12.42578125" style="868" bestFit="1" customWidth="1"/>
    <col min="11538" max="11776" width="11.42578125" style="868"/>
    <col min="11777" max="11785" width="2.42578125" style="868" customWidth="1"/>
    <col min="11786" max="11786" width="52.85546875" style="868" customWidth="1"/>
    <col min="11787" max="11792" width="12.140625" style="868" customWidth="1"/>
    <col min="11793" max="11793" width="12.42578125" style="868" bestFit="1" customWidth="1"/>
    <col min="11794" max="12032" width="11.42578125" style="868"/>
    <col min="12033" max="12041" width="2.42578125" style="868" customWidth="1"/>
    <col min="12042" max="12042" width="52.85546875" style="868" customWidth="1"/>
    <col min="12043" max="12048" width="12.140625" style="868" customWidth="1"/>
    <col min="12049" max="12049" width="12.42578125" style="868" bestFit="1" customWidth="1"/>
    <col min="12050" max="12288" width="11.42578125" style="868"/>
    <col min="12289" max="12297" width="2.42578125" style="868" customWidth="1"/>
    <col min="12298" max="12298" width="52.85546875" style="868" customWidth="1"/>
    <col min="12299" max="12304" width="12.140625" style="868" customWidth="1"/>
    <col min="12305" max="12305" width="12.42578125" style="868" bestFit="1" customWidth="1"/>
    <col min="12306" max="12544" width="11.42578125" style="868"/>
    <col min="12545" max="12553" width="2.42578125" style="868" customWidth="1"/>
    <col min="12554" max="12554" width="52.85546875" style="868" customWidth="1"/>
    <col min="12555" max="12560" width="12.140625" style="868" customWidth="1"/>
    <col min="12561" max="12561" width="12.42578125" style="868" bestFit="1" customWidth="1"/>
    <col min="12562" max="12800" width="11.42578125" style="868"/>
    <col min="12801" max="12809" width="2.42578125" style="868" customWidth="1"/>
    <col min="12810" max="12810" width="52.85546875" style="868" customWidth="1"/>
    <col min="12811" max="12816" width="12.140625" style="868" customWidth="1"/>
    <col min="12817" max="12817" width="12.42578125" style="868" bestFit="1" customWidth="1"/>
    <col min="12818" max="13056" width="11.42578125" style="868"/>
    <col min="13057" max="13065" width="2.42578125" style="868" customWidth="1"/>
    <col min="13066" max="13066" width="52.85546875" style="868" customWidth="1"/>
    <col min="13067" max="13072" width="12.140625" style="868" customWidth="1"/>
    <col min="13073" max="13073" width="12.42578125" style="868" bestFit="1" customWidth="1"/>
    <col min="13074" max="13312" width="11.42578125" style="868"/>
    <col min="13313" max="13321" width="2.42578125" style="868" customWidth="1"/>
    <col min="13322" max="13322" width="52.85546875" style="868" customWidth="1"/>
    <col min="13323" max="13328" width="12.140625" style="868" customWidth="1"/>
    <col min="13329" max="13329" width="12.42578125" style="868" bestFit="1" customWidth="1"/>
    <col min="13330" max="13568" width="11.42578125" style="868"/>
    <col min="13569" max="13577" width="2.42578125" style="868" customWidth="1"/>
    <col min="13578" max="13578" width="52.85546875" style="868" customWidth="1"/>
    <col min="13579" max="13584" width="12.140625" style="868" customWidth="1"/>
    <col min="13585" max="13585" width="12.42578125" style="868" bestFit="1" customWidth="1"/>
    <col min="13586" max="13824" width="11.42578125" style="868"/>
    <col min="13825" max="13833" width="2.42578125" style="868" customWidth="1"/>
    <col min="13834" max="13834" width="52.85546875" style="868" customWidth="1"/>
    <col min="13835" max="13840" width="12.140625" style="868" customWidth="1"/>
    <col min="13841" max="13841" width="12.42578125" style="868" bestFit="1" customWidth="1"/>
    <col min="13842" max="14080" width="11.42578125" style="868"/>
    <col min="14081" max="14089" width="2.42578125" style="868" customWidth="1"/>
    <col min="14090" max="14090" width="52.85546875" style="868" customWidth="1"/>
    <col min="14091" max="14096" width="12.140625" style="868" customWidth="1"/>
    <col min="14097" max="14097" width="12.42578125" style="868" bestFit="1" customWidth="1"/>
    <col min="14098" max="14336" width="11.42578125" style="868"/>
    <col min="14337" max="14345" width="2.42578125" style="868" customWidth="1"/>
    <col min="14346" max="14346" width="52.85546875" style="868" customWidth="1"/>
    <col min="14347" max="14352" width="12.140625" style="868" customWidth="1"/>
    <col min="14353" max="14353" width="12.42578125" style="868" bestFit="1" customWidth="1"/>
    <col min="14354" max="14592" width="11.42578125" style="868"/>
    <col min="14593" max="14601" width="2.42578125" style="868" customWidth="1"/>
    <col min="14602" max="14602" width="52.85546875" style="868" customWidth="1"/>
    <col min="14603" max="14608" width="12.140625" style="868" customWidth="1"/>
    <col min="14609" max="14609" width="12.42578125" style="868" bestFit="1" customWidth="1"/>
    <col min="14610" max="14848" width="11.42578125" style="868"/>
    <col min="14849" max="14857" width="2.42578125" style="868" customWidth="1"/>
    <col min="14858" max="14858" width="52.85546875" style="868" customWidth="1"/>
    <col min="14859" max="14864" width="12.140625" style="868" customWidth="1"/>
    <col min="14865" max="14865" width="12.42578125" style="868" bestFit="1" customWidth="1"/>
    <col min="14866" max="15104" width="11.42578125" style="868"/>
    <col min="15105" max="15113" width="2.42578125" style="868" customWidth="1"/>
    <col min="15114" max="15114" width="52.85546875" style="868" customWidth="1"/>
    <col min="15115" max="15120" width="12.140625" style="868" customWidth="1"/>
    <col min="15121" max="15121" width="12.42578125" style="868" bestFit="1" customWidth="1"/>
    <col min="15122" max="15360" width="11.42578125" style="868"/>
    <col min="15361" max="15369" width="2.42578125" style="868" customWidth="1"/>
    <col min="15370" max="15370" width="52.85546875" style="868" customWidth="1"/>
    <col min="15371" max="15376" width="12.140625" style="868" customWidth="1"/>
    <col min="15377" max="15377" width="12.42578125" style="868" bestFit="1" customWidth="1"/>
    <col min="15378" max="15616" width="11.42578125" style="868"/>
    <col min="15617" max="15625" width="2.42578125" style="868" customWidth="1"/>
    <col min="15626" max="15626" width="52.85546875" style="868" customWidth="1"/>
    <col min="15627" max="15632" width="12.140625" style="868" customWidth="1"/>
    <col min="15633" max="15633" width="12.42578125" style="868" bestFit="1" customWidth="1"/>
    <col min="15634" max="15872" width="11.42578125" style="868"/>
    <col min="15873" max="15881" width="2.42578125" style="868" customWidth="1"/>
    <col min="15882" max="15882" width="52.85546875" style="868" customWidth="1"/>
    <col min="15883" max="15888" width="12.140625" style="868" customWidth="1"/>
    <col min="15889" max="15889" width="12.42578125" style="868" bestFit="1" customWidth="1"/>
    <col min="15890" max="16128" width="11.42578125" style="868"/>
    <col min="16129" max="16137" width="2.42578125" style="868" customWidth="1"/>
    <col min="16138" max="16138" width="52.85546875" style="868" customWidth="1"/>
    <col min="16139" max="16144" width="12.140625" style="868" customWidth="1"/>
    <col min="16145" max="16145" width="12.42578125" style="868" bestFit="1" customWidth="1"/>
    <col min="16146" max="16384" width="11.42578125" style="868"/>
  </cols>
  <sheetData>
    <row r="1" spans="1:159" s="859" customFormat="1" ht="16.5" customHeight="1" thickBot="1">
      <c r="A1" s="1586" t="s">
        <v>293</v>
      </c>
      <c r="B1" s="1587"/>
      <c r="C1" s="1587"/>
      <c r="D1" s="1587"/>
      <c r="E1" s="1587"/>
      <c r="F1" s="1587"/>
      <c r="G1" s="1588" t="s">
        <v>294</v>
      </c>
      <c r="H1" s="1588"/>
      <c r="I1" s="1588"/>
      <c r="J1" s="1588"/>
      <c r="K1" s="1589"/>
      <c r="L1" s="1589"/>
      <c r="M1" s="1589"/>
      <c r="N1" s="1587"/>
      <c r="O1" s="1587"/>
      <c r="P1" s="1590">
        <f>SUM(O2:O138)</f>
        <v>29791136956</v>
      </c>
      <c r="Q1" s="857"/>
      <c r="R1" s="858"/>
    </row>
    <row r="2" spans="1:159" ht="13.5" thickBot="1">
      <c r="A2" s="860" t="s">
        <v>293</v>
      </c>
      <c r="B2" s="861" t="s">
        <v>293</v>
      </c>
      <c r="C2" s="861"/>
      <c r="D2" s="861"/>
      <c r="E2" s="861"/>
      <c r="F2" s="862"/>
      <c r="G2" s="861" t="s">
        <v>295</v>
      </c>
      <c r="H2" s="862"/>
      <c r="I2" s="862"/>
      <c r="J2" s="862"/>
      <c r="K2" s="863"/>
      <c r="L2" s="864"/>
      <c r="M2" s="865"/>
      <c r="N2" s="861"/>
      <c r="O2" s="866">
        <f>SUM(N3:N88)</f>
        <v>25437001009.220001</v>
      </c>
      <c r="P2" s="867"/>
    </row>
    <row r="3" spans="1:159" s="879" customFormat="1" ht="13.5" thickBot="1">
      <c r="A3" s="870" t="s">
        <v>293</v>
      </c>
      <c r="B3" s="871" t="s">
        <v>293</v>
      </c>
      <c r="C3" s="871" t="s">
        <v>293</v>
      </c>
      <c r="D3" s="871"/>
      <c r="E3" s="871"/>
      <c r="F3" s="872"/>
      <c r="G3" s="872"/>
      <c r="H3" s="871" t="s">
        <v>296</v>
      </c>
      <c r="I3" s="872"/>
      <c r="J3" s="872"/>
      <c r="K3" s="873"/>
      <c r="L3" s="874"/>
      <c r="M3" s="875"/>
      <c r="N3" s="876">
        <f>SUM(M4:M69)</f>
        <v>14283331902.160004</v>
      </c>
      <c r="O3" s="871"/>
      <c r="P3" s="877"/>
      <c r="Q3" s="878"/>
      <c r="R3" s="869"/>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row>
    <row r="4" spans="1:159" ht="13.5" thickBot="1">
      <c r="A4" s="880" t="s">
        <v>293</v>
      </c>
      <c r="B4" s="881" t="s">
        <v>293</v>
      </c>
      <c r="C4" s="881" t="s">
        <v>293</v>
      </c>
      <c r="D4" s="881" t="s">
        <v>293</v>
      </c>
      <c r="E4" s="881"/>
      <c r="F4" s="882"/>
      <c r="G4" s="882"/>
      <c r="H4" s="882"/>
      <c r="I4" s="881" t="s">
        <v>297</v>
      </c>
      <c r="J4" s="882"/>
      <c r="K4" s="883"/>
      <c r="L4" s="884"/>
      <c r="M4" s="885">
        <f>SUM(L5:L42)</f>
        <v>13552539127.110004</v>
      </c>
      <c r="N4" s="881"/>
      <c r="O4" s="881"/>
      <c r="P4" s="886"/>
    </row>
    <row r="5" spans="1:159">
      <c r="A5" s="887" t="s">
        <v>293</v>
      </c>
      <c r="B5" s="868" t="s">
        <v>293</v>
      </c>
      <c r="C5" s="868" t="s">
        <v>293</v>
      </c>
      <c r="D5" s="868" t="s">
        <v>293</v>
      </c>
      <c r="E5" s="868" t="s">
        <v>298</v>
      </c>
      <c r="I5" s="868" t="s">
        <v>299</v>
      </c>
      <c r="L5" s="889">
        <f>SUM(K6:K7)</f>
        <v>1622183121.26</v>
      </c>
      <c r="M5" s="890"/>
      <c r="P5" s="892"/>
      <c r="Q5" s="888"/>
    </row>
    <row r="6" spans="1:159">
      <c r="A6" s="887" t="s">
        <v>293</v>
      </c>
      <c r="B6" s="868" t="s">
        <v>293</v>
      </c>
      <c r="C6" s="868" t="s">
        <v>293</v>
      </c>
      <c r="D6" s="868" t="s">
        <v>293</v>
      </c>
      <c r="E6" s="868" t="s">
        <v>298</v>
      </c>
      <c r="F6" s="868" t="s">
        <v>298</v>
      </c>
      <c r="J6" s="868" t="s">
        <v>300</v>
      </c>
      <c r="K6" s="888">
        <v>1383852899.6600001</v>
      </c>
      <c r="M6" s="890"/>
      <c r="P6" s="892"/>
    </row>
    <row r="7" spans="1:159">
      <c r="A7" s="887" t="s">
        <v>293</v>
      </c>
      <c r="B7" s="868" t="s">
        <v>293</v>
      </c>
      <c r="C7" s="868" t="s">
        <v>293</v>
      </c>
      <c r="D7" s="868" t="s">
        <v>293</v>
      </c>
      <c r="E7" s="868" t="s">
        <v>298</v>
      </c>
      <c r="F7" s="868" t="s">
        <v>301</v>
      </c>
      <c r="J7" s="868" t="s">
        <v>302</v>
      </c>
      <c r="K7" s="893">
        <v>238330221.59999999</v>
      </c>
      <c r="L7" s="889"/>
      <c r="M7" s="890"/>
      <c r="N7" s="894"/>
      <c r="O7" s="895"/>
      <c r="P7" s="896"/>
    </row>
    <row r="8" spans="1:159">
      <c r="A8" s="887" t="s">
        <v>293</v>
      </c>
      <c r="B8" s="868" t="s">
        <v>293</v>
      </c>
      <c r="C8" s="868" t="s">
        <v>293</v>
      </c>
      <c r="D8" s="868" t="s">
        <v>293</v>
      </c>
      <c r="E8" s="868" t="s">
        <v>301</v>
      </c>
      <c r="I8" s="868" t="s">
        <v>303</v>
      </c>
      <c r="K8" s="893"/>
      <c r="L8" s="889">
        <f>SUM(K9:K10)</f>
        <v>1475135723.48</v>
      </c>
      <c r="M8" s="890"/>
      <c r="P8" s="897"/>
    </row>
    <row r="9" spans="1:159">
      <c r="A9" s="887" t="s">
        <v>293</v>
      </c>
      <c r="B9" s="868" t="s">
        <v>293</v>
      </c>
      <c r="C9" s="868" t="s">
        <v>293</v>
      </c>
      <c r="D9" s="868" t="s">
        <v>293</v>
      </c>
      <c r="E9" s="868" t="s">
        <v>301</v>
      </c>
      <c r="F9" s="868" t="s">
        <v>298</v>
      </c>
      <c r="J9" s="868" t="s">
        <v>304</v>
      </c>
      <c r="K9" s="893">
        <v>1017559354.9400001</v>
      </c>
      <c r="L9" s="889"/>
      <c r="M9" s="890"/>
      <c r="N9" s="894"/>
      <c r="O9" s="895"/>
      <c r="P9" s="898"/>
    </row>
    <row r="10" spans="1:159">
      <c r="A10" s="887" t="s">
        <v>293</v>
      </c>
      <c r="B10" s="868" t="s">
        <v>293</v>
      </c>
      <c r="C10" s="868" t="s">
        <v>293</v>
      </c>
      <c r="D10" s="868" t="s">
        <v>293</v>
      </c>
      <c r="E10" s="868" t="s">
        <v>301</v>
      </c>
      <c r="F10" s="868" t="s">
        <v>301</v>
      </c>
      <c r="J10" s="868" t="s">
        <v>305</v>
      </c>
      <c r="K10" s="893">
        <v>457576368.54000002</v>
      </c>
      <c r="L10" s="889"/>
      <c r="M10" s="890"/>
      <c r="N10" s="894"/>
      <c r="O10" s="895"/>
      <c r="P10" s="898"/>
    </row>
    <row r="11" spans="1:159">
      <c r="A11" s="887" t="s">
        <v>293</v>
      </c>
      <c r="B11" s="868" t="s">
        <v>293</v>
      </c>
      <c r="C11" s="868" t="s">
        <v>293</v>
      </c>
      <c r="D11" s="868" t="s">
        <v>293</v>
      </c>
      <c r="E11" s="868" t="s">
        <v>306</v>
      </c>
      <c r="I11" s="868" t="s">
        <v>307</v>
      </c>
      <c r="K11" s="893"/>
      <c r="L11" s="889">
        <f>SUM(K12:K13)</f>
        <v>6730701204.9800005</v>
      </c>
      <c r="M11" s="890"/>
      <c r="P11" s="896"/>
    </row>
    <row r="12" spans="1:159">
      <c r="A12" s="887" t="s">
        <v>293</v>
      </c>
      <c r="B12" s="868" t="s">
        <v>293</v>
      </c>
      <c r="C12" s="868" t="s">
        <v>293</v>
      </c>
      <c r="D12" s="868" t="s">
        <v>293</v>
      </c>
      <c r="E12" s="868" t="s">
        <v>306</v>
      </c>
      <c r="F12" s="868" t="s">
        <v>298</v>
      </c>
      <c r="J12" s="868" t="s">
        <v>308</v>
      </c>
      <c r="K12" s="893">
        <v>6021675284.3500004</v>
      </c>
      <c r="L12" s="889"/>
      <c r="M12" s="890"/>
      <c r="N12" s="894"/>
      <c r="O12" s="895"/>
      <c r="P12" s="896"/>
    </row>
    <row r="13" spans="1:159">
      <c r="A13" s="887" t="s">
        <v>293</v>
      </c>
      <c r="B13" s="868" t="s">
        <v>293</v>
      </c>
      <c r="C13" s="868" t="s">
        <v>293</v>
      </c>
      <c r="D13" s="868" t="s">
        <v>293</v>
      </c>
      <c r="E13" s="868" t="s">
        <v>306</v>
      </c>
      <c r="F13" s="868" t="s">
        <v>301</v>
      </c>
      <c r="J13" s="868" t="s">
        <v>309</v>
      </c>
      <c r="K13" s="893">
        <v>709025920.63</v>
      </c>
      <c r="L13" s="889"/>
      <c r="M13" s="890"/>
      <c r="N13" s="894"/>
      <c r="O13" s="895"/>
      <c r="P13" s="896"/>
    </row>
    <row r="14" spans="1:159">
      <c r="A14" s="887" t="s">
        <v>293</v>
      </c>
      <c r="B14" s="868" t="s">
        <v>293</v>
      </c>
      <c r="C14" s="868" t="s">
        <v>293</v>
      </c>
      <c r="D14" s="868" t="s">
        <v>293</v>
      </c>
      <c r="E14" s="868" t="s">
        <v>310</v>
      </c>
      <c r="I14" s="868" t="s">
        <v>311</v>
      </c>
      <c r="K14" s="868"/>
      <c r="L14" s="893">
        <v>1590652.13</v>
      </c>
      <c r="M14" s="890"/>
      <c r="P14" s="896"/>
    </row>
    <row r="15" spans="1:159">
      <c r="A15" s="887" t="s">
        <v>293</v>
      </c>
      <c r="B15" s="868" t="s">
        <v>293</v>
      </c>
      <c r="C15" s="868" t="s">
        <v>293</v>
      </c>
      <c r="D15" s="868" t="s">
        <v>293</v>
      </c>
      <c r="E15" s="868" t="s">
        <v>312</v>
      </c>
      <c r="I15" s="868" t="s">
        <v>313</v>
      </c>
      <c r="K15" s="868"/>
      <c r="L15" s="893">
        <v>16947151.199999999</v>
      </c>
      <c r="M15" s="890"/>
      <c r="P15" s="896"/>
    </row>
    <row r="16" spans="1:159">
      <c r="A16" s="887" t="s">
        <v>293</v>
      </c>
      <c r="B16" s="868" t="s">
        <v>293</v>
      </c>
      <c r="C16" s="868" t="s">
        <v>293</v>
      </c>
      <c r="D16" s="868" t="s">
        <v>293</v>
      </c>
      <c r="E16" s="868" t="s">
        <v>314</v>
      </c>
      <c r="I16" s="868" t="s">
        <v>315</v>
      </c>
      <c r="L16" s="899">
        <v>43197771.859999999</v>
      </c>
      <c r="M16" s="890"/>
      <c r="P16" s="892"/>
    </row>
    <row r="17" spans="1:16">
      <c r="A17" s="887" t="s">
        <v>293</v>
      </c>
      <c r="B17" s="868" t="s">
        <v>293</v>
      </c>
      <c r="C17" s="868" t="s">
        <v>293</v>
      </c>
      <c r="D17" s="868" t="s">
        <v>293</v>
      </c>
      <c r="E17" s="868" t="s">
        <v>316</v>
      </c>
      <c r="I17" s="868" t="s">
        <v>317</v>
      </c>
      <c r="K17" s="868"/>
      <c r="L17" s="893">
        <v>8182530.5999999996</v>
      </c>
      <c r="M17" s="890"/>
      <c r="P17" s="892"/>
    </row>
    <row r="18" spans="1:16">
      <c r="A18" s="887" t="s">
        <v>293</v>
      </c>
      <c r="B18" s="868" t="s">
        <v>293</v>
      </c>
      <c r="C18" s="868" t="s">
        <v>293</v>
      </c>
      <c r="D18" s="868" t="s">
        <v>293</v>
      </c>
      <c r="E18" s="868" t="s">
        <v>318</v>
      </c>
      <c r="I18" s="868" t="s">
        <v>319</v>
      </c>
      <c r="K18" s="868"/>
      <c r="L18" s="893">
        <v>4149865.67</v>
      </c>
      <c r="M18" s="890"/>
      <c r="P18" s="892"/>
    </row>
    <row r="19" spans="1:16">
      <c r="A19" s="887" t="s">
        <v>293</v>
      </c>
      <c r="B19" s="868" t="s">
        <v>293</v>
      </c>
      <c r="C19" s="868" t="s">
        <v>293</v>
      </c>
      <c r="D19" s="868" t="s">
        <v>293</v>
      </c>
      <c r="E19" s="868" t="s">
        <v>320</v>
      </c>
      <c r="I19" s="868" t="s">
        <v>321</v>
      </c>
      <c r="K19" s="868"/>
      <c r="L19" s="893">
        <v>26754043.25</v>
      </c>
      <c r="M19" s="890"/>
      <c r="P19" s="892"/>
    </row>
    <row r="20" spans="1:16">
      <c r="A20" s="887" t="s">
        <v>293</v>
      </c>
      <c r="B20" s="868" t="s">
        <v>293</v>
      </c>
      <c r="C20" s="868" t="s">
        <v>293</v>
      </c>
      <c r="D20" s="868" t="s">
        <v>293</v>
      </c>
      <c r="E20" s="868" t="s">
        <v>322</v>
      </c>
      <c r="I20" s="868" t="s">
        <v>323</v>
      </c>
      <c r="K20" s="868"/>
      <c r="L20" s="893">
        <v>982253798</v>
      </c>
      <c r="M20" s="890"/>
      <c r="P20" s="892"/>
    </row>
    <row r="21" spans="1:16">
      <c r="A21" s="887" t="s">
        <v>293</v>
      </c>
      <c r="B21" s="868" t="s">
        <v>293</v>
      </c>
      <c r="C21" s="868" t="s">
        <v>293</v>
      </c>
      <c r="D21" s="868" t="s">
        <v>293</v>
      </c>
      <c r="E21" s="868" t="s">
        <v>324</v>
      </c>
      <c r="I21" s="868" t="s">
        <v>325</v>
      </c>
      <c r="K21" s="868"/>
      <c r="L21" s="888">
        <v>23585445.789999999</v>
      </c>
      <c r="M21" s="890"/>
      <c r="P21" s="892"/>
    </row>
    <row r="22" spans="1:16">
      <c r="A22" s="887" t="s">
        <v>293</v>
      </c>
      <c r="B22" s="868" t="s">
        <v>293</v>
      </c>
      <c r="C22" s="868" t="s">
        <v>293</v>
      </c>
      <c r="D22" s="868" t="s">
        <v>293</v>
      </c>
      <c r="E22" s="868" t="s">
        <v>326</v>
      </c>
      <c r="I22" s="868" t="s">
        <v>327</v>
      </c>
      <c r="K22" s="893"/>
      <c r="L22" s="889">
        <f>SUM(K23:K24)</f>
        <v>578999.31999999995</v>
      </c>
      <c r="M22" s="890"/>
      <c r="P22" s="892"/>
    </row>
    <row r="23" spans="1:16">
      <c r="A23" s="887" t="s">
        <v>293</v>
      </c>
      <c r="B23" s="868" t="s">
        <v>293</v>
      </c>
      <c r="C23" s="868" t="s">
        <v>293</v>
      </c>
      <c r="D23" s="868" t="s">
        <v>293</v>
      </c>
      <c r="E23" s="868" t="s">
        <v>326</v>
      </c>
      <c r="F23" s="868" t="s">
        <v>298</v>
      </c>
      <c r="J23" s="868" t="s">
        <v>328</v>
      </c>
      <c r="K23" s="900">
        <v>578998.31999999995</v>
      </c>
      <c r="L23" s="901"/>
      <c r="M23" s="890"/>
      <c r="P23" s="892"/>
    </row>
    <row r="24" spans="1:16">
      <c r="A24" s="887" t="s">
        <v>293</v>
      </c>
      <c r="B24" s="868" t="s">
        <v>293</v>
      </c>
      <c r="C24" s="868" t="s">
        <v>293</v>
      </c>
      <c r="D24" s="868" t="s">
        <v>293</v>
      </c>
      <c r="E24" s="868" t="s">
        <v>326</v>
      </c>
      <c r="F24" s="868" t="s">
        <v>301</v>
      </c>
      <c r="J24" s="868" t="s">
        <v>329</v>
      </c>
      <c r="K24" s="893">
        <v>1</v>
      </c>
      <c r="L24" s="889"/>
      <c r="M24" s="890"/>
      <c r="P24" s="892"/>
    </row>
    <row r="25" spans="1:16">
      <c r="A25" s="887" t="s">
        <v>293</v>
      </c>
      <c r="B25" s="868" t="s">
        <v>293</v>
      </c>
      <c r="C25" s="868" t="s">
        <v>293</v>
      </c>
      <c r="D25" s="868" t="s">
        <v>293</v>
      </c>
      <c r="E25" s="868" t="s">
        <v>330</v>
      </c>
      <c r="I25" s="868" t="s">
        <v>331</v>
      </c>
      <c r="K25" s="868"/>
      <c r="L25" s="893">
        <v>267187960</v>
      </c>
      <c r="M25" s="890"/>
      <c r="P25" s="892"/>
    </row>
    <row r="26" spans="1:16">
      <c r="A26" s="887" t="s">
        <v>293</v>
      </c>
      <c r="B26" s="868" t="s">
        <v>293</v>
      </c>
      <c r="C26" s="868" t="s">
        <v>293</v>
      </c>
      <c r="D26" s="868" t="s">
        <v>293</v>
      </c>
      <c r="E26" s="868" t="s">
        <v>332</v>
      </c>
      <c r="I26" s="868" t="s">
        <v>333</v>
      </c>
      <c r="K26" s="868"/>
      <c r="L26" s="900">
        <v>3050722.4</v>
      </c>
      <c r="M26" s="890"/>
      <c r="P26" s="892"/>
    </row>
    <row r="27" spans="1:16">
      <c r="A27" s="887" t="s">
        <v>293</v>
      </c>
      <c r="B27" s="868" t="s">
        <v>293</v>
      </c>
      <c r="C27" s="868" t="s">
        <v>293</v>
      </c>
      <c r="D27" s="868" t="s">
        <v>293</v>
      </c>
      <c r="E27" s="868" t="s">
        <v>334</v>
      </c>
      <c r="I27" s="868" t="s">
        <v>335</v>
      </c>
      <c r="K27" s="893"/>
      <c r="L27" s="889">
        <f>SUM(K28:K36)</f>
        <v>125867179.45000002</v>
      </c>
      <c r="M27" s="890"/>
      <c r="P27" s="892"/>
    </row>
    <row r="28" spans="1:16">
      <c r="A28" s="887" t="s">
        <v>293</v>
      </c>
      <c r="B28" s="868" t="s">
        <v>293</v>
      </c>
      <c r="C28" s="868" t="s">
        <v>293</v>
      </c>
      <c r="D28" s="868" t="s">
        <v>293</v>
      </c>
      <c r="E28" s="868" t="s">
        <v>334</v>
      </c>
      <c r="F28" s="868" t="s">
        <v>298</v>
      </c>
      <c r="J28" s="868" t="s">
        <v>336</v>
      </c>
      <c r="K28" s="893">
        <v>26544029</v>
      </c>
      <c r="L28" s="889"/>
      <c r="M28" s="890"/>
      <c r="N28" s="857"/>
      <c r="P28" s="892"/>
    </row>
    <row r="29" spans="1:16">
      <c r="A29" s="887" t="s">
        <v>293</v>
      </c>
      <c r="B29" s="868" t="s">
        <v>293</v>
      </c>
      <c r="C29" s="868" t="s">
        <v>293</v>
      </c>
      <c r="D29" s="868" t="s">
        <v>293</v>
      </c>
      <c r="E29" s="868" t="s">
        <v>334</v>
      </c>
      <c r="F29" s="868" t="s">
        <v>301</v>
      </c>
      <c r="J29" s="868" t="s">
        <v>337</v>
      </c>
      <c r="K29" s="893">
        <v>18402348.5</v>
      </c>
      <c r="L29" s="889"/>
      <c r="M29" s="890"/>
      <c r="N29" s="857"/>
      <c r="P29" s="892"/>
    </row>
    <row r="30" spans="1:16">
      <c r="A30" s="887" t="s">
        <v>293</v>
      </c>
      <c r="B30" s="868" t="s">
        <v>293</v>
      </c>
      <c r="C30" s="868" t="s">
        <v>293</v>
      </c>
      <c r="D30" s="868" t="s">
        <v>293</v>
      </c>
      <c r="E30" s="868" t="s">
        <v>334</v>
      </c>
      <c r="F30" s="868" t="s">
        <v>306</v>
      </c>
      <c r="J30" s="868" t="s">
        <v>338</v>
      </c>
      <c r="K30" s="893">
        <v>17232050.600000001</v>
      </c>
      <c r="L30" s="889"/>
      <c r="M30" s="890"/>
      <c r="N30" s="857"/>
      <c r="P30" s="892"/>
    </row>
    <row r="31" spans="1:16">
      <c r="A31" s="887" t="s">
        <v>293</v>
      </c>
      <c r="B31" s="868" t="s">
        <v>293</v>
      </c>
      <c r="C31" s="868" t="s">
        <v>293</v>
      </c>
      <c r="D31" s="868" t="s">
        <v>293</v>
      </c>
      <c r="E31" s="868" t="s">
        <v>334</v>
      </c>
      <c r="F31" s="868" t="s">
        <v>310</v>
      </c>
      <c r="J31" s="868" t="s">
        <v>339</v>
      </c>
      <c r="K31" s="893">
        <v>13195932.800000001</v>
      </c>
      <c r="L31" s="889"/>
      <c r="M31" s="890"/>
      <c r="N31" s="857"/>
      <c r="P31" s="892"/>
    </row>
    <row r="32" spans="1:16">
      <c r="A32" s="887" t="s">
        <v>293</v>
      </c>
      <c r="B32" s="868" t="s">
        <v>293</v>
      </c>
      <c r="C32" s="868" t="s">
        <v>293</v>
      </c>
      <c r="D32" s="868" t="s">
        <v>293</v>
      </c>
      <c r="E32" s="868" t="s">
        <v>334</v>
      </c>
      <c r="F32" s="868" t="s">
        <v>312</v>
      </c>
      <c r="J32" s="868" t="s">
        <v>340</v>
      </c>
      <c r="K32" s="893">
        <v>29041649.399999999</v>
      </c>
      <c r="L32" s="889"/>
      <c r="M32" s="890"/>
      <c r="N32" s="857"/>
      <c r="P32" s="892"/>
    </row>
    <row r="33" spans="1:16">
      <c r="A33" s="887" t="s">
        <v>293</v>
      </c>
      <c r="B33" s="868" t="s">
        <v>293</v>
      </c>
      <c r="C33" s="868" t="s">
        <v>293</v>
      </c>
      <c r="D33" s="868" t="s">
        <v>293</v>
      </c>
      <c r="E33" s="868" t="s">
        <v>334</v>
      </c>
      <c r="F33" s="868" t="s">
        <v>314</v>
      </c>
      <c r="J33" s="868" t="s">
        <v>341</v>
      </c>
      <c r="K33" s="893">
        <v>12020155.4</v>
      </c>
      <c r="L33" s="889"/>
      <c r="M33" s="890"/>
      <c r="N33" s="857"/>
      <c r="P33" s="892"/>
    </row>
    <row r="34" spans="1:16">
      <c r="A34" s="887" t="str">
        <f t="shared" ref="A34:E35" si="0">A33</f>
        <v>1.</v>
      </c>
      <c r="B34" s="868" t="str">
        <f t="shared" si="0"/>
        <v>1.</v>
      </c>
      <c r="C34" s="868" t="str">
        <f t="shared" si="0"/>
        <v>1.</v>
      </c>
      <c r="D34" s="868" t="str">
        <f t="shared" si="0"/>
        <v>1.</v>
      </c>
      <c r="E34" s="868" t="str">
        <f t="shared" si="0"/>
        <v>15.</v>
      </c>
      <c r="F34" s="868" t="s">
        <v>316</v>
      </c>
      <c r="J34" s="868" t="s">
        <v>342</v>
      </c>
      <c r="K34" s="893">
        <v>5494277.25</v>
      </c>
      <c r="L34" s="889"/>
      <c r="M34" s="890"/>
      <c r="N34" s="857"/>
      <c r="P34" s="892"/>
    </row>
    <row r="35" spans="1:16">
      <c r="A35" s="887" t="str">
        <f t="shared" si="0"/>
        <v>1.</v>
      </c>
      <c r="B35" s="868" t="str">
        <f t="shared" si="0"/>
        <v>1.</v>
      </c>
      <c r="C35" s="868" t="str">
        <f t="shared" si="0"/>
        <v>1.</v>
      </c>
      <c r="D35" s="868" t="str">
        <f t="shared" si="0"/>
        <v>1.</v>
      </c>
      <c r="E35" s="868" t="str">
        <f t="shared" si="0"/>
        <v>15.</v>
      </c>
      <c r="F35" s="868" t="s">
        <v>318</v>
      </c>
      <c r="J35" s="868" t="s">
        <v>343</v>
      </c>
      <c r="K35" s="893">
        <v>1750176.3</v>
      </c>
      <c r="L35" s="889"/>
      <c r="M35" s="890"/>
      <c r="N35" s="857"/>
      <c r="P35" s="892"/>
    </row>
    <row r="36" spans="1:16">
      <c r="A36" s="887" t="s">
        <v>293</v>
      </c>
      <c r="B36" s="868" t="s">
        <v>293</v>
      </c>
      <c r="C36" s="868" t="s">
        <v>293</v>
      </c>
      <c r="D36" s="868" t="s">
        <v>293</v>
      </c>
      <c r="E36" s="868" t="s">
        <v>334</v>
      </c>
      <c r="F36" s="868" t="s">
        <v>320</v>
      </c>
      <c r="J36" s="868" t="s">
        <v>344</v>
      </c>
      <c r="K36" s="893">
        <v>2186560.2000000002</v>
      </c>
      <c r="L36" s="889"/>
      <c r="M36" s="890"/>
      <c r="N36" s="857"/>
      <c r="P36" s="892"/>
    </row>
    <row r="37" spans="1:16">
      <c r="A37" s="887" t="s">
        <v>293</v>
      </c>
      <c r="B37" s="868" t="s">
        <v>293</v>
      </c>
      <c r="C37" s="868" t="s">
        <v>293</v>
      </c>
      <c r="D37" s="868" t="s">
        <v>293</v>
      </c>
      <c r="E37" s="868" t="s">
        <v>345</v>
      </c>
      <c r="I37" s="868" t="s">
        <v>346</v>
      </c>
      <c r="K37" s="893"/>
      <c r="L37" s="889">
        <v>20126713.199999999</v>
      </c>
      <c r="M37" s="890"/>
      <c r="P37" s="892"/>
    </row>
    <row r="38" spans="1:16">
      <c r="A38" s="887" t="s">
        <v>293</v>
      </c>
      <c r="B38" s="868" t="s">
        <v>293</v>
      </c>
      <c r="C38" s="868" t="s">
        <v>293</v>
      </c>
      <c r="D38" s="868" t="s">
        <v>293</v>
      </c>
      <c r="E38" s="868" t="s">
        <v>347</v>
      </c>
      <c r="I38" s="868" t="s">
        <v>348</v>
      </c>
      <c r="K38" s="893"/>
      <c r="L38" s="889">
        <f>SUM(K39:K42)</f>
        <v>2201046244.52</v>
      </c>
      <c r="M38" s="890"/>
      <c r="P38" s="892"/>
    </row>
    <row r="39" spans="1:16">
      <c r="A39" s="887" t="s">
        <v>293</v>
      </c>
      <c r="B39" s="868" t="s">
        <v>293</v>
      </c>
      <c r="C39" s="868" t="s">
        <v>293</v>
      </c>
      <c r="D39" s="868" t="s">
        <v>293</v>
      </c>
      <c r="E39" s="868" t="s">
        <v>347</v>
      </c>
      <c r="F39" s="868" t="s">
        <v>298</v>
      </c>
      <c r="J39" s="868" t="s">
        <v>349</v>
      </c>
      <c r="K39" s="888">
        <v>39487454.859999999</v>
      </c>
      <c r="L39" s="902"/>
      <c r="M39" s="890"/>
      <c r="P39" s="892"/>
    </row>
    <row r="40" spans="1:16">
      <c r="A40" s="887" t="s">
        <v>293</v>
      </c>
      <c r="B40" s="868" t="s">
        <v>293</v>
      </c>
      <c r="C40" s="868" t="s">
        <v>293</v>
      </c>
      <c r="D40" s="868" t="s">
        <v>293</v>
      </c>
      <c r="E40" s="868" t="s">
        <v>347</v>
      </c>
      <c r="F40" s="868" t="s">
        <v>301</v>
      </c>
      <c r="J40" s="868" t="s">
        <v>350</v>
      </c>
      <c r="K40" s="893">
        <v>667758399.78999996</v>
      </c>
      <c r="L40" s="889"/>
      <c r="M40" s="890"/>
      <c r="P40" s="892"/>
    </row>
    <row r="41" spans="1:16">
      <c r="A41" s="887" t="s">
        <v>293</v>
      </c>
      <c r="B41" s="868" t="s">
        <v>293</v>
      </c>
      <c r="C41" s="868" t="s">
        <v>293</v>
      </c>
      <c r="D41" s="868" t="s">
        <v>293</v>
      </c>
      <c r="E41" s="868" t="s">
        <v>347</v>
      </c>
      <c r="F41" s="868" t="s">
        <v>306</v>
      </c>
      <c r="J41" s="868" t="s">
        <v>351</v>
      </c>
      <c r="K41" s="893">
        <v>1493076457.0999999</v>
      </c>
      <c r="L41" s="889"/>
      <c r="M41" s="890"/>
      <c r="P41" s="892"/>
    </row>
    <row r="42" spans="1:16" ht="13.5" thickBot="1">
      <c r="A42" s="887" t="s">
        <v>293</v>
      </c>
      <c r="B42" s="868" t="s">
        <v>293</v>
      </c>
      <c r="C42" s="868" t="s">
        <v>293</v>
      </c>
      <c r="D42" s="868" t="s">
        <v>293</v>
      </c>
      <c r="E42" s="868" t="s">
        <v>347</v>
      </c>
      <c r="F42" s="868" t="s">
        <v>310</v>
      </c>
      <c r="J42" s="868" t="s">
        <v>352</v>
      </c>
      <c r="K42" s="893">
        <v>723932.77</v>
      </c>
      <c r="L42" s="889"/>
      <c r="M42" s="890"/>
      <c r="P42" s="892"/>
    </row>
    <row r="43" spans="1:16" ht="13.5" thickBot="1">
      <c r="A43" s="903" t="s">
        <v>293</v>
      </c>
      <c r="B43" s="904" t="s">
        <v>293</v>
      </c>
      <c r="C43" s="904" t="s">
        <v>293</v>
      </c>
      <c r="D43" s="904" t="s">
        <v>353</v>
      </c>
      <c r="E43" s="905"/>
      <c r="F43" s="905"/>
      <c r="G43" s="905"/>
      <c r="H43" s="905"/>
      <c r="I43" s="904" t="s">
        <v>354</v>
      </c>
      <c r="J43" s="905"/>
      <c r="K43" s="906"/>
      <c r="L43" s="907"/>
      <c r="M43" s="908">
        <f>SUM(L44:L72)</f>
        <v>730792775.05000007</v>
      </c>
      <c r="N43" s="904"/>
      <c r="O43" s="904"/>
      <c r="P43" s="909"/>
    </row>
    <row r="44" spans="1:16" ht="13.5" hidden="1" thickBot="1">
      <c r="A44" s="910"/>
      <c r="B44" s="911"/>
      <c r="C44" s="911"/>
      <c r="D44" s="911"/>
      <c r="E44" s="912"/>
      <c r="F44" s="912"/>
      <c r="G44" s="912"/>
      <c r="H44" s="912"/>
      <c r="I44" s="912" t="s">
        <v>355</v>
      </c>
      <c r="J44" s="912"/>
      <c r="K44" s="893"/>
      <c r="L44" s="889"/>
      <c r="P44" s="892"/>
    </row>
    <row r="45" spans="1:16" ht="13.5" hidden="1" thickBot="1">
      <c r="A45" s="913"/>
      <c r="B45" s="891"/>
      <c r="C45" s="891"/>
      <c r="D45" s="891"/>
      <c r="I45" s="891"/>
      <c r="K45" s="893"/>
      <c r="L45" s="889"/>
      <c r="P45" s="892"/>
    </row>
    <row r="46" spans="1:16">
      <c r="A46" s="914" t="s">
        <v>293</v>
      </c>
      <c r="B46" s="915" t="s">
        <v>293</v>
      </c>
      <c r="C46" s="915" t="s">
        <v>293</v>
      </c>
      <c r="D46" s="915" t="s">
        <v>353</v>
      </c>
      <c r="E46" s="915" t="s">
        <v>298</v>
      </c>
      <c r="F46" s="915"/>
      <c r="G46" s="915"/>
      <c r="H46" s="915"/>
      <c r="I46" s="915" t="s">
        <v>356</v>
      </c>
      <c r="J46" s="915"/>
      <c r="K46" s="916"/>
      <c r="L46" s="917">
        <f>SUM(K47:K51)</f>
        <v>216677880.96000001</v>
      </c>
      <c r="M46" s="918"/>
      <c r="N46" s="919"/>
      <c r="O46" s="919"/>
      <c r="P46" s="920"/>
    </row>
    <row r="47" spans="1:16">
      <c r="A47" s="887" t="s">
        <v>293</v>
      </c>
      <c r="B47" s="868" t="s">
        <v>293</v>
      </c>
      <c r="C47" s="868" t="s">
        <v>293</v>
      </c>
      <c r="D47" s="868" t="s">
        <v>353</v>
      </c>
      <c r="E47" s="868" t="str">
        <f>E46</f>
        <v>01.</v>
      </c>
      <c r="F47" s="868" t="s">
        <v>298</v>
      </c>
      <c r="J47" s="868" t="s">
        <v>357</v>
      </c>
      <c r="K47" s="893">
        <v>196660730.40000001</v>
      </c>
      <c r="L47" s="889"/>
      <c r="P47" s="892"/>
    </row>
    <row r="48" spans="1:16">
      <c r="A48" s="887" t="s">
        <v>293</v>
      </c>
      <c r="B48" s="868" t="s">
        <v>293</v>
      </c>
      <c r="C48" s="868" t="s">
        <v>293</v>
      </c>
      <c r="D48" s="868" t="s">
        <v>353</v>
      </c>
      <c r="E48" s="868" t="str">
        <f>E47</f>
        <v>01.</v>
      </c>
      <c r="F48" s="868" t="s">
        <v>301</v>
      </c>
      <c r="J48" s="868" t="s">
        <v>358</v>
      </c>
      <c r="K48" s="893">
        <v>7547659.8700000001</v>
      </c>
      <c r="L48" s="889"/>
      <c r="P48" s="892"/>
    </row>
    <row r="49" spans="1:16">
      <c r="A49" s="887" t="s">
        <v>293</v>
      </c>
      <c r="B49" s="868" t="s">
        <v>293</v>
      </c>
      <c r="C49" s="868" t="s">
        <v>293</v>
      </c>
      <c r="D49" s="868" t="s">
        <v>353</v>
      </c>
      <c r="E49" s="868" t="str">
        <f>E48</f>
        <v>01.</v>
      </c>
      <c r="F49" s="868" t="s">
        <v>306</v>
      </c>
      <c r="J49" s="868" t="s">
        <v>359</v>
      </c>
      <c r="K49" s="893">
        <v>1315908.67</v>
      </c>
      <c r="L49" s="889"/>
      <c r="P49" s="892"/>
    </row>
    <row r="50" spans="1:16">
      <c r="A50" s="887" t="s">
        <v>293</v>
      </c>
      <c r="B50" s="868" t="s">
        <v>293</v>
      </c>
      <c r="C50" s="868" t="s">
        <v>293</v>
      </c>
      <c r="D50" s="868" t="s">
        <v>353</v>
      </c>
      <c r="E50" s="868" t="str">
        <f>E49</f>
        <v>01.</v>
      </c>
      <c r="F50" s="868" t="s">
        <v>310</v>
      </c>
      <c r="J50" s="868" t="s">
        <v>360</v>
      </c>
      <c r="K50" s="893">
        <v>2277375</v>
      </c>
      <c r="L50" s="889"/>
      <c r="P50" s="892"/>
    </row>
    <row r="51" spans="1:16">
      <c r="A51" s="887" t="s">
        <v>293</v>
      </c>
      <c r="B51" s="868" t="s">
        <v>293</v>
      </c>
      <c r="C51" s="868" t="s">
        <v>293</v>
      </c>
      <c r="D51" s="868" t="s">
        <v>353</v>
      </c>
      <c r="E51" s="868" t="str">
        <f>E50</f>
        <v>01.</v>
      </c>
      <c r="F51" s="868" t="s">
        <v>312</v>
      </c>
      <c r="J51" s="868" t="s">
        <v>361</v>
      </c>
      <c r="K51" s="893">
        <v>8876207.0199999996</v>
      </c>
      <c r="L51" s="889"/>
      <c r="P51" s="892"/>
    </row>
    <row r="52" spans="1:16">
      <c r="A52" s="887" t="s">
        <v>293</v>
      </c>
      <c r="B52" s="868" t="s">
        <v>293</v>
      </c>
      <c r="C52" s="868" t="s">
        <v>293</v>
      </c>
      <c r="D52" s="868" t="s">
        <v>353</v>
      </c>
      <c r="E52" s="868" t="s">
        <v>301</v>
      </c>
      <c r="I52" s="868" t="s">
        <v>362</v>
      </c>
      <c r="K52" s="893"/>
      <c r="L52" s="889">
        <f>SUM(K53:K56)</f>
        <v>250721359.5</v>
      </c>
      <c r="P52" s="892"/>
    </row>
    <row r="53" spans="1:16">
      <c r="A53" s="887" t="s">
        <v>293</v>
      </c>
      <c r="B53" s="868" t="s">
        <v>293</v>
      </c>
      <c r="C53" s="868" t="s">
        <v>293</v>
      </c>
      <c r="D53" s="868" t="s">
        <v>353</v>
      </c>
      <c r="E53" s="868" t="s">
        <v>301</v>
      </c>
      <c r="F53" s="868" t="s">
        <v>298</v>
      </c>
      <c r="J53" s="868" t="s">
        <v>363</v>
      </c>
      <c r="K53" s="893">
        <v>32306312.5</v>
      </c>
      <c r="L53" s="889"/>
      <c r="P53" s="892"/>
    </row>
    <row r="54" spans="1:16">
      <c r="A54" s="887" t="s">
        <v>293</v>
      </c>
      <c r="B54" s="868" t="s">
        <v>293</v>
      </c>
      <c r="C54" s="868" t="s">
        <v>293</v>
      </c>
      <c r="D54" s="868" t="s">
        <v>353</v>
      </c>
      <c r="E54" s="868" t="s">
        <v>301</v>
      </c>
      <c r="F54" s="868" t="s">
        <v>301</v>
      </c>
      <c r="J54" s="868" t="s">
        <v>364</v>
      </c>
      <c r="K54" s="893">
        <v>1</v>
      </c>
      <c r="L54" s="889"/>
      <c r="P54" s="892"/>
    </row>
    <row r="55" spans="1:16">
      <c r="A55" s="887" t="s">
        <v>293</v>
      </c>
      <c r="B55" s="868" t="s">
        <v>293</v>
      </c>
      <c r="C55" s="868" t="s">
        <v>293</v>
      </c>
      <c r="D55" s="868" t="s">
        <v>353</v>
      </c>
      <c r="E55" s="868" t="s">
        <v>301</v>
      </c>
      <c r="F55" s="868" t="s">
        <v>306</v>
      </c>
      <c r="J55" s="868" t="s">
        <v>365</v>
      </c>
      <c r="K55" s="893">
        <v>218415045</v>
      </c>
      <c r="L55" s="889"/>
      <c r="P55" s="892"/>
    </row>
    <row r="56" spans="1:16">
      <c r="A56" s="887" t="s">
        <v>293</v>
      </c>
      <c r="B56" s="868" t="s">
        <v>293</v>
      </c>
      <c r="C56" s="868" t="s">
        <v>293</v>
      </c>
      <c r="D56" s="868" t="s">
        <v>353</v>
      </c>
      <c r="E56" s="868" t="s">
        <v>301</v>
      </c>
      <c r="F56" s="868" t="s">
        <v>310</v>
      </c>
      <c r="J56" s="868" t="s">
        <v>366</v>
      </c>
      <c r="K56" s="888">
        <v>1</v>
      </c>
      <c r="L56" s="889"/>
      <c r="P56" s="892"/>
    </row>
    <row r="57" spans="1:16">
      <c r="A57" s="887" t="s">
        <v>293</v>
      </c>
      <c r="B57" s="868" t="s">
        <v>293</v>
      </c>
      <c r="C57" s="868" t="s">
        <v>293</v>
      </c>
      <c r="D57" s="868" t="s">
        <v>353</v>
      </c>
      <c r="E57" s="868" t="s">
        <v>306</v>
      </c>
      <c r="I57" s="868" t="s">
        <v>367</v>
      </c>
      <c r="K57" s="893"/>
      <c r="L57" s="889">
        <f>SUM(K58:K61)</f>
        <v>6189871.96</v>
      </c>
      <c r="P57" s="892"/>
    </row>
    <row r="58" spans="1:16">
      <c r="A58" s="887" t="s">
        <v>293</v>
      </c>
      <c r="B58" s="868" t="s">
        <v>293</v>
      </c>
      <c r="C58" s="868" t="s">
        <v>293</v>
      </c>
      <c r="D58" s="868" t="s">
        <v>353</v>
      </c>
      <c r="E58" s="868" t="s">
        <v>306</v>
      </c>
      <c r="F58" s="868" t="s">
        <v>298</v>
      </c>
      <c r="J58" s="868" t="s">
        <v>368</v>
      </c>
      <c r="K58" s="893">
        <v>273000</v>
      </c>
      <c r="L58" s="889"/>
      <c r="P58" s="892"/>
    </row>
    <row r="59" spans="1:16" ht="13.5" hidden="1" thickBot="1">
      <c r="A59" s="887" t="s">
        <v>293</v>
      </c>
      <c r="B59" s="868" t="s">
        <v>293</v>
      </c>
      <c r="C59" s="868" t="s">
        <v>293</v>
      </c>
      <c r="D59" s="868" t="s">
        <v>353</v>
      </c>
      <c r="E59" s="868" t="s">
        <v>306</v>
      </c>
      <c r="J59" s="921" t="s">
        <v>369</v>
      </c>
      <c r="K59" s="893"/>
      <c r="L59" s="889"/>
      <c r="N59" s="922"/>
      <c r="P59" s="892"/>
    </row>
    <row r="60" spans="1:16" ht="13.5" hidden="1" thickBot="1">
      <c r="A60" s="887" t="s">
        <v>293</v>
      </c>
      <c r="B60" s="868" t="s">
        <v>293</v>
      </c>
      <c r="C60" s="868" t="s">
        <v>293</v>
      </c>
      <c r="D60" s="868" t="s">
        <v>353</v>
      </c>
      <c r="E60" s="868" t="s">
        <v>306</v>
      </c>
      <c r="J60" s="921" t="s">
        <v>370</v>
      </c>
      <c r="K60" s="893"/>
      <c r="L60" s="889"/>
      <c r="N60" s="922"/>
      <c r="P60" s="892"/>
    </row>
    <row r="61" spans="1:16">
      <c r="A61" s="887" t="s">
        <v>293</v>
      </c>
      <c r="B61" s="868" t="s">
        <v>293</v>
      </c>
      <c r="C61" s="868" t="s">
        <v>293</v>
      </c>
      <c r="D61" s="868" t="s">
        <v>353</v>
      </c>
      <c r="E61" s="868" t="s">
        <v>306</v>
      </c>
      <c r="F61" s="868" t="s">
        <v>301</v>
      </c>
      <c r="J61" s="868" t="s">
        <v>371</v>
      </c>
      <c r="K61" s="893">
        <v>5916871.96</v>
      </c>
      <c r="L61" s="889"/>
      <c r="P61" s="892"/>
    </row>
    <row r="62" spans="1:16">
      <c r="A62" s="887" t="s">
        <v>293</v>
      </c>
      <c r="B62" s="868" t="s">
        <v>293</v>
      </c>
      <c r="C62" s="868" t="s">
        <v>293</v>
      </c>
      <c r="D62" s="868" t="s">
        <v>353</v>
      </c>
      <c r="E62" s="868" t="s">
        <v>310</v>
      </c>
      <c r="I62" s="868" t="s">
        <v>372</v>
      </c>
      <c r="K62" s="893"/>
      <c r="L62" s="889">
        <f>SUM(K63:K66)</f>
        <v>169036449.80000001</v>
      </c>
      <c r="P62" s="892"/>
    </row>
    <row r="63" spans="1:16">
      <c r="A63" s="887" t="s">
        <v>293</v>
      </c>
      <c r="B63" s="868" t="s">
        <v>293</v>
      </c>
      <c r="C63" s="868" t="s">
        <v>293</v>
      </c>
      <c r="D63" s="868" t="s">
        <v>353</v>
      </c>
      <c r="E63" s="868" t="s">
        <v>310</v>
      </c>
      <c r="F63" s="868" t="s">
        <v>298</v>
      </c>
      <c r="J63" s="868" t="s">
        <v>373</v>
      </c>
      <c r="K63" s="893">
        <v>837375</v>
      </c>
      <c r="L63" s="889"/>
      <c r="P63" s="892"/>
    </row>
    <row r="64" spans="1:16">
      <c r="A64" s="887" t="s">
        <v>293</v>
      </c>
      <c r="B64" s="868" t="s">
        <v>293</v>
      </c>
      <c r="C64" s="868" t="s">
        <v>293</v>
      </c>
      <c r="D64" s="868" t="s">
        <v>353</v>
      </c>
      <c r="E64" s="868" t="s">
        <v>310</v>
      </c>
      <c r="F64" s="868" t="s">
        <v>301</v>
      </c>
      <c r="J64" s="868" t="s">
        <v>374</v>
      </c>
      <c r="K64" s="893">
        <v>119713726</v>
      </c>
      <c r="L64" s="889"/>
      <c r="P64" s="892"/>
    </row>
    <row r="65" spans="1:18" hidden="1">
      <c r="A65" s="887" t="s">
        <v>293</v>
      </c>
      <c r="B65" s="868" t="s">
        <v>293</v>
      </c>
      <c r="C65" s="868" t="s">
        <v>293</v>
      </c>
      <c r="D65" s="868" t="s">
        <v>353</v>
      </c>
      <c r="E65" s="868" t="s">
        <v>310</v>
      </c>
      <c r="F65" s="868" t="s">
        <v>306</v>
      </c>
      <c r="J65" s="868" t="s">
        <v>375</v>
      </c>
      <c r="K65" s="893"/>
      <c r="L65" s="889"/>
      <c r="P65" s="892"/>
    </row>
    <row r="66" spans="1:18">
      <c r="A66" s="887" t="s">
        <v>293</v>
      </c>
      <c r="B66" s="868" t="s">
        <v>293</v>
      </c>
      <c r="C66" s="868" t="s">
        <v>293</v>
      </c>
      <c r="D66" s="868" t="s">
        <v>353</v>
      </c>
      <c r="E66" s="868" t="s">
        <v>310</v>
      </c>
      <c r="F66" s="868" t="s">
        <v>310</v>
      </c>
      <c r="J66" s="868" t="s">
        <v>376</v>
      </c>
      <c r="K66" s="893">
        <v>48485348.799999997</v>
      </c>
      <c r="L66" s="889"/>
      <c r="P66" s="892"/>
    </row>
    <row r="67" spans="1:18">
      <c r="A67" s="887" t="s">
        <v>293</v>
      </c>
      <c r="B67" s="868" t="s">
        <v>293</v>
      </c>
      <c r="C67" s="868" t="s">
        <v>293</v>
      </c>
      <c r="D67" s="868" t="s">
        <v>353</v>
      </c>
      <c r="E67" s="868" t="s">
        <v>312</v>
      </c>
      <c r="I67" s="868" t="s">
        <v>377</v>
      </c>
      <c r="K67" s="893"/>
      <c r="L67" s="889">
        <f>SUM(K68:K74)</f>
        <v>88167212.830000013</v>
      </c>
      <c r="P67" s="892"/>
    </row>
    <row r="68" spans="1:18">
      <c r="A68" s="887" t="s">
        <v>293</v>
      </c>
      <c r="B68" s="868" t="s">
        <v>293</v>
      </c>
      <c r="C68" s="868" t="s">
        <v>293</v>
      </c>
      <c r="D68" s="868" t="s">
        <v>353</v>
      </c>
      <c r="E68" s="868" t="s">
        <v>312</v>
      </c>
      <c r="F68" s="868" t="s">
        <v>298</v>
      </c>
      <c r="J68" s="868" t="s">
        <v>378</v>
      </c>
      <c r="K68" s="893">
        <v>17429122.199999999</v>
      </c>
      <c r="L68" s="889"/>
      <c r="P68" s="892"/>
    </row>
    <row r="69" spans="1:18">
      <c r="A69" s="887" t="s">
        <v>293</v>
      </c>
      <c r="B69" s="868" t="s">
        <v>293</v>
      </c>
      <c r="C69" s="868" t="s">
        <v>293</v>
      </c>
      <c r="D69" s="868" t="s">
        <v>353</v>
      </c>
      <c r="E69" s="868" t="s">
        <v>312</v>
      </c>
      <c r="F69" s="868" t="s">
        <v>301</v>
      </c>
      <c r="J69" s="868" t="s">
        <v>379</v>
      </c>
      <c r="K69" s="893">
        <v>23349504.5</v>
      </c>
      <c r="L69" s="889"/>
      <c r="N69" s="889"/>
      <c r="P69" s="892"/>
    </row>
    <row r="70" spans="1:18">
      <c r="A70" s="887" t="s">
        <v>293</v>
      </c>
      <c r="B70" s="868" t="s">
        <v>293</v>
      </c>
      <c r="C70" s="868" t="s">
        <v>293</v>
      </c>
      <c r="D70" s="868" t="s">
        <v>353</v>
      </c>
      <c r="E70" s="868" t="s">
        <v>312</v>
      </c>
      <c r="F70" s="868" t="s">
        <v>306</v>
      </c>
      <c r="J70" s="868" t="s">
        <v>380</v>
      </c>
      <c r="K70" s="893">
        <v>5067300</v>
      </c>
      <c r="L70" s="889"/>
      <c r="P70" s="892"/>
    </row>
    <row r="71" spans="1:18" hidden="1">
      <c r="A71" s="923" t="s">
        <v>293</v>
      </c>
      <c r="B71" s="924" t="s">
        <v>293</v>
      </c>
      <c r="C71" s="924" t="s">
        <v>293</v>
      </c>
      <c r="D71" s="924" t="s">
        <v>353</v>
      </c>
      <c r="E71" s="868" t="s">
        <v>312</v>
      </c>
      <c r="F71" s="924"/>
      <c r="G71" s="924"/>
      <c r="H71" s="924"/>
      <c r="I71" s="924"/>
      <c r="J71" s="922" t="s">
        <v>381</v>
      </c>
      <c r="P71" s="892"/>
    </row>
    <row r="72" spans="1:18">
      <c r="A72" s="887" t="s">
        <v>293</v>
      </c>
      <c r="B72" s="868" t="s">
        <v>293</v>
      </c>
      <c r="C72" s="868" t="s">
        <v>293</v>
      </c>
      <c r="D72" s="868" t="s">
        <v>353</v>
      </c>
      <c r="E72" s="868" t="s">
        <v>312</v>
      </c>
      <c r="F72" s="925" t="s">
        <v>310</v>
      </c>
      <c r="J72" s="868" t="s">
        <v>382</v>
      </c>
      <c r="K72" s="893">
        <v>9571285.1300000008</v>
      </c>
      <c r="L72" s="889"/>
      <c r="N72" s="868"/>
      <c r="O72" s="868"/>
      <c r="P72" s="926"/>
    </row>
    <row r="73" spans="1:18">
      <c r="A73" s="927" t="s">
        <v>293</v>
      </c>
      <c r="B73" s="928" t="s">
        <v>293</v>
      </c>
      <c r="C73" s="928" t="s">
        <v>293</v>
      </c>
      <c r="D73" s="928" t="s">
        <v>353</v>
      </c>
      <c r="E73" s="928" t="s">
        <v>312</v>
      </c>
      <c r="F73" s="929" t="s">
        <v>312</v>
      </c>
      <c r="J73" s="868" t="s">
        <v>383</v>
      </c>
      <c r="K73" s="893">
        <v>1</v>
      </c>
      <c r="L73" s="889"/>
      <c r="P73" s="892"/>
    </row>
    <row r="74" spans="1:18" ht="13.5" thickBot="1">
      <c r="A74" s="887" t="s">
        <v>293</v>
      </c>
      <c r="B74" s="1592" t="s">
        <v>293</v>
      </c>
      <c r="C74" s="1592" t="s">
        <v>293</v>
      </c>
      <c r="D74" s="1592" t="s">
        <v>353</v>
      </c>
      <c r="E74" s="1592" t="s">
        <v>312</v>
      </c>
      <c r="F74" s="1593" t="s">
        <v>314</v>
      </c>
      <c r="G74" s="1592"/>
      <c r="H74" s="1592"/>
      <c r="I74" s="1592"/>
      <c r="J74" s="1592" t="s">
        <v>695</v>
      </c>
      <c r="K74" s="1594">
        <v>32750000</v>
      </c>
      <c r="L74" s="1595"/>
      <c r="M74" s="1596"/>
      <c r="N74" s="1595"/>
      <c r="O74" s="1595"/>
      <c r="P74" s="892"/>
    </row>
    <row r="75" spans="1:18" s="878" customFormat="1" ht="13.5" thickBot="1">
      <c r="A75" s="937" t="s">
        <v>293</v>
      </c>
      <c r="B75" s="938" t="s">
        <v>293</v>
      </c>
      <c r="C75" s="938" t="s">
        <v>353</v>
      </c>
      <c r="D75" s="938"/>
      <c r="E75" s="938"/>
      <c r="F75" s="939"/>
      <c r="G75" s="939"/>
      <c r="H75" s="938" t="s">
        <v>384</v>
      </c>
      <c r="I75" s="939"/>
      <c r="J75" s="939"/>
      <c r="K75" s="940"/>
      <c r="L75" s="941"/>
      <c r="M75" s="942"/>
      <c r="N75" s="943">
        <f>SUM(M76:M89)</f>
        <v>11153669107.059999</v>
      </c>
      <c r="O75" s="938"/>
      <c r="P75" s="944"/>
      <c r="R75" s="869"/>
    </row>
    <row r="76" spans="1:18" ht="13.5" thickBot="1">
      <c r="A76" s="1597" t="s">
        <v>293</v>
      </c>
      <c r="B76" s="1598" t="s">
        <v>293</v>
      </c>
      <c r="C76" s="1598" t="s">
        <v>353</v>
      </c>
      <c r="D76" s="1598" t="s">
        <v>293</v>
      </c>
      <c r="E76" s="1598"/>
      <c r="F76" s="1599"/>
      <c r="G76" s="1599"/>
      <c r="H76" s="1599"/>
      <c r="I76" s="1598" t="s">
        <v>385</v>
      </c>
      <c r="J76" s="1599"/>
      <c r="K76" s="1600"/>
      <c r="L76" s="1601"/>
      <c r="M76" s="1602">
        <f>SUM(L77:L88)</f>
        <v>2427026132</v>
      </c>
      <c r="N76" s="1598"/>
      <c r="O76" s="1598"/>
      <c r="P76" s="1603"/>
    </row>
    <row r="77" spans="1:18">
      <c r="A77" s="887" t="s">
        <v>293</v>
      </c>
      <c r="B77" s="868" t="s">
        <v>293</v>
      </c>
      <c r="C77" s="868" t="s">
        <v>353</v>
      </c>
      <c r="D77" s="868" t="s">
        <v>293</v>
      </c>
      <c r="E77" s="868" t="s">
        <v>298</v>
      </c>
      <c r="I77" s="868" t="s">
        <v>386</v>
      </c>
      <c r="K77" s="893"/>
      <c r="L77" s="889">
        <f>SUM(K84:K86)</f>
        <v>2269806131</v>
      </c>
      <c r="M77" s="946"/>
      <c r="P77" s="892"/>
    </row>
    <row r="78" spans="1:18" hidden="1">
      <c r="A78" s="887" t="s">
        <v>293</v>
      </c>
      <c r="B78" s="868" t="s">
        <v>293</v>
      </c>
      <c r="C78" s="868" t="s">
        <v>353</v>
      </c>
      <c r="D78" s="868" t="s">
        <v>293</v>
      </c>
      <c r="E78" s="868" t="s">
        <v>298</v>
      </c>
      <c r="J78" s="868" t="s">
        <v>387</v>
      </c>
      <c r="K78" s="893"/>
      <c r="L78" s="889"/>
      <c r="M78" s="946"/>
      <c r="P78" s="892"/>
    </row>
    <row r="79" spans="1:18" hidden="1">
      <c r="A79" s="887" t="s">
        <v>293</v>
      </c>
      <c r="B79" s="868" t="s">
        <v>293</v>
      </c>
      <c r="C79" s="868" t="s">
        <v>353</v>
      </c>
      <c r="D79" s="868" t="s">
        <v>293</v>
      </c>
      <c r="E79" s="868" t="s">
        <v>298</v>
      </c>
      <c r="J79" s="868" t="s">
        <v>388</v>
      </c>
      <c r="K79" s="893"/>
      <c r="L79" s="889"/>
      <c r="M79" s="946"/>
      <c r="P79" s="892"/>
    </row>
    <row r="80" spans="1:18" hidden="1">
      <c r="A80" s="887" t="s">
        <v>293</v>
      </c>
      <c r="B80" s="868" t="s">
        <v>293</v>
      </c>
      <c r="C80" s="868" t="s">
        <v>353</v>
      </c>
      <c r="D80" s="868" t="s">
        <v>293</v>
      </c>
      <c r="E80" s="868" t="s">
        <v>298</v>
      </c>
      <c r="J80" s="868" t="s">
        <v>389</v>
      </c>
      <c r="K80" s="893"/>
      <c r="L80" s="889"/>
      <c r="M80" s="946"/>
      <c r="P80" s="892"/>
    </row>
    <row r="81" spans="1:20" hidden="1">
      <c r="A81" s="887" t="s">
        <v>293</v>
      </c>
      <c r="B81" s="868" t="s">
        <v>293</v>
      </c>
      <c r="C81" s="868" t="s">
        <v>353</v>
      </c>
      <c r="D81" s="868" t="s">
        <v>293</v>
      </c>
      <c r="E81" s="868" t="s">
        <v>298</v>
      </c>
      <c r="J81" s="868" t="s">
        <v>390</v>
      </c>
      <c r="K81" s="893"/>
      <c r="L81" s="889"/>
      <c r="M81" s="946"/>
      <c r="P81" s="892"/>
    </row>
    <row r="82" spans="1:20" hidden="1">
      <c r="A82" s="887" t="s">
        <v>293</v>
      </c>
      <c r="B82" s="868" t="s">
        <v>293</v>
      </c>
      <c r="C82" s="868" t="s">
        <v>353</v>
      </c>
      <c r="D82" s="868" t="s">
        <v>293</v>
      </c>
      <c r="E82" s="868" t="s">
        <v>298</v>
      </c>
      <c r="J82" s="868" t="s">
        <v>391</v>
      </c>
      <c r="K82" s="893"/>
      <c r="L82" s="889"/>
      <c r="M82" s="946"/>
      <c r="P82" s="892"/>
    </row>
    <row r="83" spans="1:20" hidden="1">
      <c r="A83" s="887" t="s">
        <v>293</v>
      </c>
      <c r="B83" s="868" t="s">
        <v>293</v>
      </c>
      <c r="C83" s="868" t="s">
        <v>353</v>
      </c>
      <c r="D83" s="868" t="s">
        <v>293</v>
      </c>
      <c r="E83" s="868" t="s">
        <v>298</v>
      </c>
      <c r="J83" s="868" t="s">
        <v>392</v>
      </c>
      <c r="K83" s="893"/>
      <c r="L83" s="889"/>
      <c r="M83" s="946"/>
      <c r="P83" s="892"/>
    </row>
    <row r="84" spans="1:20">
      <c r="A84" s="887" t="s">
        <v>293</v>
      </c>
      <c r="B84" s="868" t="s">
        <v>293</v>
      </c>
      <c r="C84" s="868" t="s">
        <v>353</v>
      </c>
      <c r="D84" s="868" t="s">
        <v>293</v>
      </c>
      <c r="E84" s="868" t="s">
        <v>298</v>
      </c>
      <c r="F84" s="868" t="s">
        <v>298</v>
      </c>
      <c r="J84" s="868" t="s">
        <v>393</v>
      </c>
      <c r="K84" s="947">
        <f>719966251+659589879</f>
        <v>1379556130</v>
      </c>
      <c r="L84" s="889"/>
      <c r="M84" s="946"/>
      <c r="P84" s="892"/>
    </row>
    <row r="85" spans="1:20">
      <c r="A85" s="887" t="s">
        <v>293</v>
      </c>
      <c r="B85" s="868" t="s">
        <v>293</v>
      </c>
      <c r="C85" s="868" t="s">
        <v>353</v>
      </c>
      <c r="D85" s="868" t="s">
        <v>293</v>
      </c>
      <c r="E85" s="868" t="s">
        <v>298</v>
      </c>
      <c r="F85" s="868" t="s">
        <v>301</v>
      </c>
      <c r="J85" s="868" t="s">
        <v>394</v>
      </c>
      <c r="K85" s="893">
        <v>890250000</v>
      </c>
      <c r="L85" s="889"/>
      <c r="M85" s="946"/>
      <c r="P85" s="892"/>
    </row>
    <row r="86" spans="1:20">
      <c r="A86" s="887" t="s">
        <v>293</v>
      </c>
      <c r="B86" s="868" t="s">
        <v>293</v>
      </c>
      <c r="C86" s="868" t="s">
        <v>353</v>
      </c>
      <c r="D86" s="868" t="s">
        <v>293</v>
      </c>
      <c r="E86" s="868" t="s">
        <v>298</v>
      </c>
      <c r="F86" s="868" t="s">
        <v>306</v>
      </c>
      <c r="J86" s="868" t="s">
        <v>395</v>
      </c>
      <c r="K86" s="888">
        <v>1</v>
      </c>
      <c r="L86" s="889"/>
      <c r="M86" s="946"/>
      <c r="P86" s="892"/>
    </row>
    <row r="87" spans="1:20">
      <c r="A87" s="887" t="s">
        <v>293</v>
      </c>
      <c r="B87" s="868" t="s">
        <v>293</v>
      </c>
      <c r="C87" s="868" t="s">
        <v>353</v>
      </c>
      <c r="D87" s="868" t="s">
        <v>293</v>
      </c>
      <c r="E87" s="868" t="s">
        <v>301</v>
      </c>
      <c r="I87" s="868" t="s">
        <v>396</v>
      </c>
      <c r="K87" s="893"/>
      <c r="L87" s="889">
        <v>1</v>
      </c>
      <c r="M87" s="946"/>
      <c r="P87" s="892"/>
    </row>
    <row r="88" spans="1:20" ht="13.5" thickBot="1">
      <c r="A88" s="887" t="s">
        <v>293</v>
      </c>
      <c r="B88" s="868" t="s">
        <v>293</v>
      </c>
      <c r="C88" s="868" t="s">
        <v>353</v>
      </c>
      <c r="D88" s="868" t="s">
        <v>293</v>
      </c>
      <c r="E88" s="868" t="s">
        <v>306</v>
      </c>
      <c r="I88" s="868" t="s">
        <v>397</v>
      </c>
      <c r="K88" s="893"/>
      <c r="L88" s="889">
        <v>157220000</v>
      </c>
      <c r="M88" s="946"/>
      <c r="P88" s="892"/>
    </row>
    <row r="89" spans="1:20" ht="13.5" thickBot="1">
      <c r="A89" s="903" t="s">
        <v>293</v>
      </c>
      <c r="B89" s="904" t="s">
        <v>293</v>
      </c>
      <c r="C89" s="904" t="s">
        <v>353</v>
      </c>
      <c r="D89" s="904" t="s">
        <v>353</v>
      </c>
      <c r="E89" s="905"/>
      <c r="F89" s="905"/>
      <c r="G89" s="905"/>
      <c r="H89" s="905"/>
      <c r="I89" s="904" t="s">
        <v>990</v>
      </c>
      <c r="J89" s="905"/>
      <c r="K89" s="906"/>
      <c r="L89" s="907"/>
      <c r="M89" s="945">
        <f>SUM(L90:L99)</f>
        <v>8726642975.0599995</v>
      </c>
      <c r="N89" s="906"/>
      <c r="O89" s="906"/>
      <c r="P89" s="948"/>
    </row>
    <row r="90" spans="1:20">
      <c r="A90" s="914" t="s">
        <v>293</v>
      </c>
      <c r="B90" s="915" t="s">
        <v>293</v>
      </c>
      <c r="C90" s="915" t="s">
        <v>353</v>
      </c>
      <c r="D90" s="915" t="s">
        <v>353</v>
      </c>
      <c r="E90" s="915" t="s">
        <v>298</v>
      </c>
      <c r="F90" s="915"/>
      <c r="G90" s="915"/>
      <c r="H90" s="915"/>
      <c r="I90" s="915" t="s">
        <v>991</v>
      </c>
      <c r="J90" s="915"/>
      <c r="K90" s="916"/>
      <c r="L90" s="917">
        <v>7683266629.54</v>
      </c>
      <c r="M90" s="919"/>
      <c r="O90" s="919"/>
      <c r="P90" s="920"/>
      <c r="Q90" s="857"/>
      <c r="R90" s="949"/>
      <c r="S90" s="891"/>
      <c r="T90" s="891"/>
    </row>
    <row r="91" spans="1:20">
      <c r="A91" s="887" t="s">
        <v>293</v>
      </c>
      <c r="B91" s="868" t="s">
        <v>293</v>
      </c>
      <c r="C91" s="868" t="s">
        <v>353</v>
      </c>
      <c r="D91" s="868" t="s">
        <v>353</v>
      </c>
      <c r="E91" s="868" t="s">
        <v>301</v>
      </c>
      <c r="I91" s="868" t="s">
        <v>400</v>
      </c>
      <c r="K91" s="893"/>
      <c r="L91" s="889">
        <v>1</v>
      </c>
      <c r="M91" s="891"/>
      <c r="P91" s="892"/>
    </row>
    <row r="92" spans="1:20">
      <c r="A92" s="887" t="s">
        <v>293</v>
      </c>
      <c r="B92" s="868" t="s">
        <v>293</v>
      </c>
      <c r="C92" s="868" t="s">
        <v>353</v>
      </c>
      <c r="D92" s="868" t="s">
        <v>353</v>
      </c>
      <c r="E92" s="868" t="s">
        <v>306</v>
      </c>
      <c r="I92" s="868" t="s">
        <v>401</v>
      </c>
      <c r="K92" s="893"/>
      <c r="L92" s="889">
        <v>994392417.01999998</v>
      </c>
      <c r="M92" s="891"/>
      <c r="P92" s="892"/>
    </row>
    <row r="93" spans="1:20">
      <c r="A93" s="887" t="s">
        <v>293</v>
      </c>
      <c r="B93" s="868" t="s">
        <v>293</v>
      </c>
      <c r="C93" s="868" t="s">
        <v>353</v>
      </c>
      <c r="D93" s="868" t="s">
        <v>353</v>
      </c>
      <c r="E93" s="868" t="s">
        <v>310</v>
      </c>
      <c r="I93" s="868" t="s">
        <v>992</v>
      </c>
      <c r="K93" s="893"/>
      <c r="L93" s="889"/>
      <c r="M93" s="891"/>
      <c r="P93" s="892"/>
    </row>
    <row r="94" spans="1:20">
      <c r="A94" s="887" t="s">
        <v>293</v>
      </c>
      <c r="B94" s="868" t="s">
        <v>293</v>
      </c>
      <c r="C94" s="868" t="s">
        <v>353</v>
      </c>
      <c r="D94" s="868" t="s">
        <v>353</v>
      </c>
      <c r="E94" s="868" t="s">
        <v>312</v>
      </c>
      <c r="I94" s="868" t="s">
        <v>993</v>
      </c>
      <c r="K94" s="893"/>
      <c r="L94" s="889"/>
      <c r="M94" s="891"/>
      <c r="P94" s="892"/>
    </row>
    <row r="95" spans="1:20">
      <c r="A95" s="887" t="s">
        <v>293</v>
      </c>
      <c r="B95" s="868" t="s">
        <v>293</v>
      </c>
      <c r="C95" s="868" t="s">
        <v>353</v>
      </c>
      <c r="D95" s="868" t="s">
        <v>353</v>
      </c>
      <c r="E95" s="868" t="s">
        <v>314</v>
      </c>
      <c r="I95" s="868" t="s">
        <v>994</v>
      </c>
      <c r="K95" s="893"/>
      <c r="L95" s="889"/>
      <c r="M95" s="891"/>
      <c r="P95" s="892"/>
    </row>
    <row r="96" spans="1:20">
      <c r="A96" s="887"/>
      <c r="I96" s="868" t="s">
        <v>995</v>
      </c>
      <c r="K96" s="893"/>
      <c r="L96" s="889"/>
      <c r="M96" s="891"/>
      <c r="P96" s="892"/>
    </row>
    <row r="97" spans="1:19">
      <c r="A97" s="887" t="s">
        <v>293</v>
      </c>
      <c r="B97" s="868" t="s">
        <v>293</v>
      </c>
      <c r="C97" s="868" t="s">
        <v>353</v>
      </c>
      <c r="D97" s="868" t="s">
        <v>353</v>
      </c>
      <c r="E97" s="868" t="s">
        <v>314</v>
      </c>
      <c r="I97" s="868" t="s">
        <v>996</v>
      </c>
      <c r="K97" s="893"/>
      <c r="L97" s="889"/>
      <c r="M97" s="891"/>
      <c r="P97" s="892"/>
    </row>
    <row r="98" spans="1:19">
      <c r="A98" s="887"/>
      <c r="I98" s="868" t="s">
        <v>997</v>
      </c>
      <c r="K98" s="893"/>
      <c r="L98" s="889"/>
      <c r="M98" s="891"/>
      <c r="P98" s="892"/>
    </row>
    <row r="99" spans="1:19" ht="13.5" thickBot="1">
      <c r="A99" s="930" t="str">
        <f>A92</f>
        <v>1.</v>
      </c>
      <c r="B99" s="931" t="str">
        <f>B92</f>
        <v>1.</v>
      </c>
      <c r="C99" s="931" t="str">
        <f>C92</f>
        <v>2.</v>
      </c>
      <c r="D99" s="931" t="str">
        <f>D92</f>
        <v>2.</v>
      </c>
      <c r="E99" s="931" t="s">
        <v>310</v>
      </c>
      <c r="F99" s="931"/>
      <c r="G99" s="931"/>
      <c r="H99" s="931"/>
      <c r="I99" s="931" t="s">
        <v>402</v>
      </c>
      <c r="J99" s="934"/>
      <c r="K99" s="950"/>
      <c r="L99" s="951">
        <v>48983927.5</v>
      </c>
      <c r="M99" s="934"/>
      <c r="N99" s="934"/>
      <c r="O99" s="934"/>
      <c r="P99" s="936"/>
      <c r="Q99" s="891"/>
      <c r="R99" s="949"/>
      <c r="S99" s="891"/>
    </row>
    <row r="100" spans="1:19" ht="13.5" thickBot="1">
      <c r="A100" s="860" t="s">
        <v>293</v>
      </c>
      <c r="B100" s="861" t="s">
        <v>353</v>
      </c>
      <c r="C100" s="861"/>
      <c r="D100" s="861"/>
      <c r="E100" s="861"/>
      <c r="F100" s="861"/>
      <c r="G100" s="861" t="s">
        <v>403</v>
      </c>
      <c r="H100" s="862"/>
      <c r="I100" s="862"/>
      <c r="J100" s="862"/>
      <c r="K100" s="952"/>
      <c r="L100" s="864"/>
      <c r="M100" s="865"/>
      <c r="N100" s="861"/>
      <c r="O100" s="866">
        <f>SUM(N101:N113)</f>
        <v>4350934536.2800007</v>
      </c>
      <c r="P100" s="867"/>
    </row>
    <row r="101" spans="1:19" s="878" customFormat="1" ht="13.5" thickBot="1">
      <c r="A101" s="937" t="s">
        <v>293</v>
      </c>
      <c r="B101" s="938" t="s">
        <v>353</v>
      </c>
      <c r="C101" s="938" t="s">
        <v>293</v>
      </c>
      <c r="D101" s="938"/>
      <c r="E101" s="939"/>
      <c r="F101" s="939"/>
      <c r="G101" s="939"/>
      <c r="H101" s="938" t="s">
        <v>404</v>
      </c>
      <c r="I101" s="939"/>
      <c r="J101" s="939"/>
      <c r="K101" s="873"/>
      <c r="L101" s="874"/>
      <c r="M101" s="875"/>
      <c r="N101" s="943">
        <f>SUM(M102)</f>
        <v>4160001</v>
      </c>
      <c r="O101" s="938"/>
      <c r="P101" s="944"/>
      <c r="R101" s="869"/>
    </row>
    <row r="102" spans="1:19" ht="13.5" thickBot="1">
      <c r="A102" s="903" t="s">
        <v>293</v>
      </c>
      <c r="B102" s="904" t="s">
        <v>353</v>
      </c>
      <c r="C102" s="904" t="s">
        <v>293</v>
      </c>
      <c r="D102" s="904" t="s">
        <v>293</v>
      </c>
      <c r="E102" s="905"/>
      <c r="F102" s="905"/>
      <c r="G102" s="904"/>
      <c r="H102" s="904"/>
      <c r="I102" s="904" t="s">
        <v>405</v>
      </c>
      <c r="J102" s="904"/>
      <c r="K102" s="906"/>
      <c r="L102" s="907"/>
      <c r="M102" s="945">
        <f>SUM(L103:L105)</f>
        <v>4160001</v>
      </c>
      <c r="N102" s="904"/>
      <c r="O102" s="904"/>
      <c r="P102" s="909"/>
    </row>
    <row r="103" spans="1:19">
      <c r="A103" s="887" t="s">
        <v>293</v>
      </c>
      <c r="B103" s="868" t="s">
        <v>353</v>
      </c>
      <c r="C103" s="868" t="s">
        <v>293</v>
      </c>
      <c r="D103" s="868" t="s">
        <v>293</v>
      </c>
      <c r="E103" s="868" t="s">
        <v>298</v>
      </c>
      <c r="I103" s="868" t="s">
        <v>406</v>
      </c>
      <c r="K103" s="893"/>
      <c r="L103" s="889">
        <v>1</v>
      </c>
      <c r="M103" s="946"/>
      <c r="P103" s="892"/>
    </row>
    <row r="104" spans="1:19">
      <c r="A104" s="887" t="s">
        <v>293</v>
      </c>
      <c r="B104" s="868" t="s">
        <v>353</v>
      </c>
      <c r="C104" s="868" t="s">
        <v>293</v>
      </c>
      <c r="D104" s="868" t="s">
        <v>293</v>
      </c>
      <c r="E104" s="868" t="s">
        <v>301</v>
      </c>
      <c r="I104" s="868" t="s">
        <v>407</v>
      </c>
      <c r="K104" s="893"/>
      <c r="L104" s="889">
        <v>1560000</v>
      </c>
      <c r="M104" s="946"/>
      <c r="P104" s="892"/>
    </row>
    <row r="105" spans="1:19" ht="13.5" thickBot="1">
      <c r="A105" s="887" t="s">
        <v>293</v>
      </c>
      <c r="B105" s="868" t="s">
        <v>353</v>
      </c>
      <c r="C105" s="868" t="s">
        <v>293</v>
      </c>
      <c r="D105" s="868" t="s">
        <v>293</v>
      </c>
      <c r="E105" s="868" t="s">
        <v>306</v>
      </c>
      <c r="I105" s="868" t="s">
        <v>408</v>
      </c>
      <c r="K105" s="893"/>
      <c r="L105" s="889">
        <v>2600000</v>
      </c>
      <c r="M105" s="946"/>
      <c r="P105" s="892"/>
    </row>
    <row r="106" spans="1:19" s="878" customFormat="1" ht="13.5" thickBot="1">
      <c r="A106" s="937" t="s">
        <v>293</v>
      </c>
      <c r="B106" s="938" t="s">
        <v>353</v>
      </c>
      <c r="C106" s="938" t="s">
        <v>353</v>
      </c>
      <c r="D106" s="938"/>
      <c r="E106" s="938"/>
      <c r="F106" s="939"/>
      <c r="G106" s="939"/>
      <c r="H106" s="938" t="s">
        <v>409</v>
      </c>
      <c r="I106" s="939"/>
      <c r="J106" s="939"/>
      <c r="K106" s="940"/>
      <c r="L106" s="941"/>
      <c r="M106" s="942"/>
      <c r="N106" s="943">
        <f>SUM(M107)</f>
        <v>4346774535.2800007</v>
      </c>
      <c r="O106" s="938"/>
      <c r="P106" s="944"/>
      <c r="R106" s="869"/>
    </row>
    <row r="107" spans="1:19" ht="13.5" thickBot="1">
      <c r="A107" s="903" t="s">
        <v>293</v>
      </c>
      <c r="B107" s="904" t="s">
        <v>353</v>
      </c>
      <c r="C107" s="904" t="s">
        <v>353</v>
      </c>
      <c r="D107" s="904" t="s">
        <v>293</v>
      </c>
      <c r="E107" s="904"/>
      <c r="F107" s="905"/>
      <c r="G107" s="904"/>
      <c r="H107" s="904"/>
      <c r="I107" s="904" t="s">
        <v>410</v>
      </c>
      <c r="J107" s="904"/>
      <c r="K107" s="906"/>
      <c r="L107" s="907"/>
      <c r="M107" s="945">
        <f>SUM(L108:L113)</f>
        <v>4346774535.2800007</v>
      </c>
      <c r="N107" s="904"/>
      <c r="O107" s="904"/>
      <c r="P107" s="909"/>
    </row>
    <row r="108" spans="1:19">
      <c r="A108" s="887" t="s">
        <v>293</v>
      </c>
      <c r="B108" s="868" t="s">
        <v>353</v>
      </c>
      <c r="C108" s="868" t="s">
        <v>353</v>
      </c>
      <c r="D108" s="868" t="s">
        <v>293</v>
      </c>
      <c r="E108" s="868" t="s">
        <v>298</v>
      </c>
      <c r="I108" s="868" t="s">
        <v>386</v>
      </c>
      <c r="K108" s="893"/>
      <c r="L108" s="889">
        <f>SUM(K109:K111)</f>
        <v>4346774533.2800007</v>
      </c>
      <c r="M108" s="946"/>
      <c r="P108" s="892"/>
    </row>
    <row r="109" spans="1:19">
      <c r="A109" s="887" t="s">
        <v>293</v>
      </c>
      <c r="B109" s="868" t="s">
        <v>353</v>
      </c>
      <c r="C109" s="868" t="s">
        <v>353</v>
      </c>
      <c r="D109" s="868" t="s">
        <v>293</v>
      </c>
      <c r="E109" s="868" t="s">
        <v>298</v>
      </c>
      <c r="F109" s="868" t="s">
        <v>298</v>
      </c>
      <c r="J109" s="868" t="s">
        <v>411</v>
      </c>
      <c r="K109" s="893">
        <v>325000000</v>
      </c>
      <c r="L109" s="889"/>
      <c r="M109" s="946"/>
      <c r="P109" s="892"/>
      <c r="R109" s="961"/>
    </row>
    <row r="110" spans="1:19">
      <c r="A110" s="887" t="s">
        <v>293</v>
      </c>
      <c r="B110" s="868" t="s">
        <v>353</v>
      </c>
      <c r="C110" s="868" t="s">
        <v>353</v>
      </c>
      <c r="D110" s="868" t="s">
        <v>293</v>
      </c>
      <c r="E110" s="868" t="s">
        <v>298</v>
      </c>
      <c r="F110" s="868" t="s">
        <v>301</v>
      </c>
      <c r="J110" s="868" t="s">
        <v>412</v>
      </c>
      <c r="K110" s="893">
        <v>4021774532.2800002</v>
      </c>
      <c r="L110" s="889"/>
      <c r="M110" s="946"/>
      <c r="P110" s="892"/>
    </row>
    <row r="111" spans="1:19">
      <c r="A111" s="887" t="s">
        <v>293</v>
      </c>
      <c r="B111" s="868" t="s">
        <v>353</v>
      </c>
      <c r="C111" s="868" t="s">
        <v>353</v>
      </c>
      <c r="D111" s="868" t="s">
        <v>293</v>
      </c>
      <c r="E111" s="868" t="s">
        <v>298</v>
      </c>
      <c r="F111" s="868" t="s">
        <v>306</v>
      </c>
      <c r="J111" s="868" t="s">
        <v>395</v>
      </c>
      <c r="K111" s="893">
        <v>1</v>
      </c>
      <c r="L111" s="889"/>
      <c r="M111" s="946"/>
      <c r="P111" s="892"/>
    </row>
    <row r="112" spans="1:19">
      <c r="A112" s="887" t="s">
        <v>293</v>
      </c>
      <c r="B112" s="868" t="s">
        <v>353</v>
      </c>
      <c r="C112" s="868" t="s">
        <v>413</v>
      </c>
      <c r="D112" s="868" t="s">
        <v>293</v>
      </c>
      <c r="E112" s="868" t="s">
        <v>301</v>
      </c>
      <c r="I112" s="868" t="s">
        <v>396</v>
      </c>
      <c r="K112" s="893"/>
      <c r="L112" s="889">
        <v>1</v>
      </c>
      <c r="M112" s="946"/>
      <c r="P112" s="892"/>
    </row>
    <row r="113" spans="1:18" ht="13.5" thickBot="1">
      <c r="A113" s="887" t="s">
        <v>293</v>
      </c>
      <c r="B113" s="868" t="s">
        <v>353</v>
      </c>
      <c r="C113" s="868" t="s">
        <v>413</v>
      </c>
      <c r="D113" s="868" t="s">
        <v>293</v>
      </c>
      <c r="E113" s="868" t="s">
        <v>306</v>
      </c>
      <c r="I113" s="868" t="s">
        <v>397</v>
      </c>
      <c r="K113" s="893"/>
      <c r="L113" s="889">
        <v>1</v>
      </c>
      <c r="M113" s="946"/>
      <c r="P113" s="892"/>
    </row>
    <row r="114" spans="1:18" ht="13.5" thickBot="1">
      <c r="A114" s="860" t="s">
        <v>293</v>
      </c>
      <c r="B114" s="861" t="s">
        <v>413</v>
      </c>
      <c r="C114" s="861"/>
      <c r="D114" s="862"/>
      <c r="E114" s="862"/>
      <c r="F114" s="862"/>
      <c r="G114" s="861" t="s">
        <v>414</v>
      </c>
      <c r="H114" s="862"/>
      <c r="I114" s="862"/>
      <c r="J114" s="862"/>
      <c r="K114" s="952"/>
      <c r="L114" s="864"/>
      <c r="M114" s="865"/>
      <c r="N114" s="861"/>
      <c r="O114" s="866">
        <f>SUM(N115:N136)</f>
        <v>13</v>
      </c>
      <c r="P114" s="867"/>
    </row>
    <row r="115" spans="1:18" s="878" customFormat="1" ht="13.5" thickBot="1">
      <c r="A115" s="937" t="s">
        <v>293</v>
      </c>
      <c r="B115" s="938" t="s">
        <v>413</v>
      </c>
      <c r="C115" s="938" t="s">
        <v>293</v>
      </c>
      <c r="D115" s="938"/>
      <c r="E115" s="938"/>
      <c r="F115" s="938"/>
      <c r="G115" s="939"/>
      <c r="H115" s="938" t="s">
        <v>415</v>
      </c>
      <c r="I115" s="939"/>
      <c r="J115" s="939"/>
      <c r="K115" s="940"/>
      <c r="L115" s="941"/>
      <c r="M115" s="942"/>
      <c r="N115" s="943">
        <f>SUM(M116:M128)</f>
        <v>8</v>
      </c>
      <c r="O115" s="938"/>
      <c r="P115" s="944"/>
      <c r="R115" s="869"/>
    </row>
    <row r="116" spans="1:18" ht="13.5" thickBot="1">
      <c r="A116" s="903" t="s">
        <v>293</v>
      </c>
      <c r="B116" s="904" t="s">
        <v>413</v>
      </c>
      <c r="C116" s="904" t="s">
        <v>293</v>
      </c>
      <c r="D116" s="904" t="s">
        <v>293</v>
      </c>
      <c r="E116" s="904"/>
      <c r="F116" s="904"/>
      <c r="G116" s="904"/>
      <c r="H116" s="904"/>
      <c r="I116" s="904" t="s">
        <v>416</v>
      </c>
      <c r="J116" s="904"/>
      <c r="K116" s="906"/>
      <c r="L116" s="907"/>
      <c r="M116" s="945">
        <f>SUM(L117)</f>
        <v>1</v>
      </c>
      <c r="N116" s="904"/>
      <c r="O116" s="904"/>
      <c r="P116" s="909"/>
    </row>
    <row r="117" spans="1:18" ht="13.5" thickBot="1">
      <c r="A117" s="887" t="s">
        <v>293</v>
      </c>
      <c r="B117" s="868" t="s">
        <v>413</v>
      </c>
      <c r="C117" s="868" t="s">
        <v>293</v>
      </c>
      <c r="D117" s="868" t="s">
        <v>293</v>
      </c>
      <c r="E117" s="868" t="s">
        <v>298</v>
      </c>
      <c r="I117" s="868" t="s">
        <v>417</v>
      </c>
      <c r="K117" s="893"/>
      <c r="L117" s="889">
        <v>1</v>
      </c>
      <c r="M117" s="946"/>
      <c r="P117" s="892"/>
    </row>
    <row r="118" spans="1:18" ht="13.5" thickBot="1">
      <c r="A118" s="903" t="s">
        <v>293</v>
      </c>
      <c r="B118" s="904" t="s">
        <v>413</v>
      </c>
      <c r="C118" s="904" t="s">
        <v>293</v>
      </c>
      <c r="D118" s="904" t="s">
        <v>353</v>
      </c>
      <c r="E118" s="905"/>
      <c r="F118" s="905"/>
      <c r="G118" s="904"/>
      <c r="H118" s="904"/>
      <c r="I118" s="904" t="s">
        <v>418</v>
      </c>
      <c r="J118" s="904"/>
      <c r="K118" s="906"/>
      <c r="L118" s="907"/>
      <c r="M118" s="945">
        <f>SUM(L119:L121)</f>
        <v>3</v>
      </c>
      <c r="N118" s="904"/>
      <c r="O118" s="904"/>
      <c r="P118" s="909"/>
    </row>
    <row r="119" spans="1:18">
      <c r="A119" s="887" t="s">
        <v>293</v>
      </c>
      <c r="B119" s="868" t="s">
        <v>413</v>
      </c>
      <c r="C119" s="868" t="s">
        <v>293</v>
      </c>
      <c r="D119" s="868" t="s">
        <v>353</v>
      </c>
      <c r="E119" s="868" t="s">
        <v>298</v>
      </c>
      <c r="I119" s="868" t="s">
        <v>419</v>
      </c>
      <c r="K119" s="893"/>
      <c r="L119" s="889">
        <v>1</v>
      </c>
      <c r="M119" s="946"/>
      <c r="P119" s="892"/>
    </row>
    <row r="120" spans="1:18">
      <c r="A120" s="887" t="s">
        <v>293</v>
      </c>
      <c r="B120" s="868" t="s">
        <v>413</v>
      </c>
      <c r="C120" s="868" t="s">
        <v>293</v>
      </c>
      <c r="D120" s="868" t="s">
        <v>353</v>
      </c>
      <c r="E120" s="868" t="s">
        <v>301</v>
      </c>
      <c r="I120" s="868" t="s">
        <v>420</v>
      </c>
      <c r="K120" s="893"/>
      <c r="L120" s="889">
        <v>1</v>
      </c>
      <c r="M120" s="946"/>
      <c r="P120" s="892"/>
    </row>
    <row r="121" spans="1:18" ht="13.5" thickBot="1">
      <c r="A121" s="887" t="s">
        <v>293</v>
      </c>
      <c r="B121" s="868" t="s">
        <v>413</v>
      </c>
      <c r="C121" s="868" t="s">
        <v>293</v>
      </c>
      <c r="D121" s="868" t="s">
        <v>353</v>
      </c>
      <c r="E121" s="868" t="s">
        <v>306</v>
      </c>
      <c r="I121" s="868" t="s">
        <v>421</v>
      </c>
      <c r="K121" s="893"/>
      <c r="L121" s="889">
        <v>1</v>
      </c>
      <c r="M121" s="946"/>
      <c r="P121" s="892"/>
    </row>
    <row r="122" spans="1:18" ht="13.5" thickBot="1">
      <c r="A122" s="903" t="s">
        <v>293</v>
      </c>
      <c r="B122" s="904" t="s">
        <v>413</v>
      </c>
      <c r="C122" s="904" t="s">
        <v>293</v>
      </c>
      <c r="D122" s="904" t="s">
        <v>413</v>
      </c>
      <c r="E122" s="905"/>
      <c r="F122" s="905"/>
      <c r="G122" s="904"/>
      <c r="H122" s="904"/>
      <c r="I122" s="904" t="s">
        <v>422</v>
      </c>
      <c r="J122" s="905"/>
      <c r="K122" s="906"/>
      <c r="L122" s="907"/>
      <c r="M122" s="945">
        <f>SUM(L123)</f>
        <v>1</v>
      </c>
      <c r="N122" s="904"/>
      <c r="O122" s="904"/>
      <c r="P122" s="909"/>
    </row>
    <row r="123" spans="1:18" ht="13.5" thickBot="1">
      <c r="A123" s="887" t="s">
        <v>293</v>
      </c>
      <c r="B123" s="868" t="s">
        <v>413</v>
      </c>
      <c r="C123" s="868" t="s">
        <v>293</v>
      </c>
      <c r="D123" s="868" t="s">
        <v>413</v>
      </c>
      <c r="E123" s="868" t="s">
        <v>298</v>
      </c>
      <c r="I123" s="868" t="s">
        <v>423</v>
      </c>
      <c r="K123" s="893"/>
      <c r="L123" s="889">
        <v>1</v>
      </c>
      <c r="M123" s="946"/>
      <c r="P123" s="892"/>
    </row>
    <row r="124" spans="1:18" ht="13.5" thickBot="1">
      <c r="A124" s="903" t="s">
        <v>293</v>
      </c>
      <c r="B124" s="904" t="s">
        <v>413</v>
      </c>
      <c r="C124" s="904" t="s">
        <v>293</v>
      </c>
      <c r="D124" s="904" t="s">
        <v>424</v>
      </c>
      <c r="E124" s="905"/>
      <c r="F124" s="905"/>
      <c r="G124" s="904"/>
      <c r="H124" s="904"/>
      <c r="I124" s="904" t="s">
        <v>425</v>
      </c>
      <c r="J124" s="905"/>
      <c r="K124" s="906"/>
      <c r="L124" s="907"/>
      <c r="M124" s="945">
        <f>SUM(L125)</f>
        <v>1</v>
      </c>
      <c r="N124" s="904"/>
      <c r="O124" s="904"/>
      <c r="P124" s="909"/>
    </row>
    <row r="125" spans="1:18" ht="13.5" thickBot="1">
      <c r="A125" s="887" t="s">
        <v>293</v>
      </c>
      <c r="B125" s="868" t="s">
        <v>413</v>
      </c>
      <c r="C125" s="868" t="s">
        <v>293</v>
      </c>
      <c r="D125" s="868" t="s">
        <v>424</v>
      </c>
      <c r="E125" s="868" t="s">
        <v>298</v>
      </c>
      <c r="I125" s="868" t="s">
        <v>426</v>
      </c>
      <c r="K125" s="893"/>
      <c r="L125" s="889">
        <v>1</v>
      </c>
      <c r="M125" s="946"/>
      <c r="P125" s="892"/>
    </row>
    <row r="126" spans="1:18" ht="13.5" thickBot="1">
      <c r="A126" s="903" t="s">
        <v>293</v>
      </c>
      <c r="B126" s="904" t="s">
        <v>413</v>
      </c>
      <c r="C126" s="904" t="s">
        <v>293</v>
      </c>
      <c r="D126" s="904" t="s">
        <v>427</v>
      </c>
      <c r="E126" s="905"/>
      <c r="F126" s="905"/>
      <c r="G126" s="904"/>
      <c r="H126" s="904"/>
      <c r="I126" s="904" t="s">
        <v>428</v>
      </c>
      <c r="J126" s="905"/>
      <c r="K126" s="906"/>
      <c r="L126" s="907"/>
      <c r="M126" s="945">
        <f>SUM(L127:L128)</f>
        <v>2</v>
      </c>
      <c r="N126" s="904"/>
      <c r="O126" s="904"/>
      <c r="P126" s="909"/>
    </row>
    <row r="127" spans="1:18">
      <c r="A127" s="887" t="s">
        <v>293</v>
      </c>
      <c r="B127" s="868" t="s">
        <v>413</v>
      </c>
      <c r="C127" s="868" t="s">
        <v>293</v>
      </c>
      <c r="D127" s="868" t="s">
        <v>427</v>
      </c>
      <c r="E127" s="868" t="s">
        <v>298</v>
      </c>
      <c r="I127" s="868" t="s">
        <v>429</v>
      </c>
      <c r="K127" s="893"/>
      <c r="L127" s="889">
        <v>1</v>
      </c>
      <c r="M127" s="946"/>
      <c r="P127" s="892"/>
    </row>
    <row r="128" spans="1:18" ht="13.5" thickBot="1">
      <c r="A128" s="887" t="s">
        <v>293</v>
      </c>
      <c r="B128" s="868" t="s">
        <v>413</v>
      </c>
      <c r="C128" s="868" t="s">
        <v>293</v>
      </c>
      <c r="D128" s="868" t="s">
        <v>427</v>
      </c>
      <c r="E128" s="868" t="s">
        <v>301</v>
      </c>
      <c r="I128" s="868" t="s">
        <v>430</v>
      </c>
      <c r="K128" s="893"/>
      <c r="L128" s="889">
        <v>1</v>
      </c>
      <c r="M128" s="946"/>
      <c r="P128" s="892"/>
    </row>
    <row r="129" spans="1:18" s="878" customFormat="1" ht="13.5" thickBot="1">
      <c r="A129" s="937" t="s">
        <v>293</v>
      </c>
      <c r="B129" s="938" t="s">
        <v>413</v>
      </c>
      <c r="C129" s="938" t="s">
        <v>353</v>
      </c>
      <c r="D129" s="938"/>
      <c r="E129" s="938"/>
      <c r="F129" s="939"/>
      <c r="G129" s="939"/>
      <c r="H129" s="938" t="s">
        <v>431</v>
      </c>
      <c r="I129" s="939"/>
      <c r="J129" s="939"/>
      <c r="K129" s="940"/>
      <c r="L129" s="941"/>
      <c r="M129" s="942"/>
      <c r="N129" s="943">
        <f>SUM(M130:M137)</f>
        <v>5</v>
      </c>
      <c r="O129" s="938"/>
      <c r="P129" s="944"/>
      <c r="R129" s="869"/>
    </row>
    <row r="130" spans="1:18" ht="13.5" thickBot="1">
      <c r="A130" s="903" t="s">
        <v>293</v>
      </c>
      <c r="B130" s="904" t="s">
        <v>413</v>
      </c>
      <c r="C130" s="904" t="s">
        <v>353</v>
      </c>
      <c r="D130" s="904" t="s">
        <v>293</v>
      </c>
      <c r="E130" s="904"/>
      <c r="F130" s="905"/>
      <c r="G130" s="905"/>
      <c r="H130" s="904"/>
      <c r="I130" s="904" t="s">
        <v>432</v>
      </c>
      <c r="J130" s="905"/>
      <c r="K130" s="906"/>
      <c r="L130" s="907"/>
      <c r="M130" s="945">
        <f>SUM(L131:L133)</f>
        <v>3</v>
      </c>
      <c r="N130" s="904"/>
      <c r="O130" s="904"/>
      <c r="P130" s="909"/>
    </row>
    <row r="131" spans="1:18">
      <c r="A131" s="887" t="s">
        <v>293</v>
      </c>
      <c r="B131" s="868" t="s">
        <v>413</v>
      </c>
      <c r="C131" s="868" t="s">
        <v>353</v>
      </c>
      <c r="D131" s="868" t="s">
        <v>293</v>
      </c>
      <c r="E131" s="868" t="s">
        <v>298</v>
      </c>
      <c r="I131" s="868" t="s">
        <v>433</v>
      </c>
      <c r="L131" s="889">
        <v>1</v>
      </c>
      <c r="M131" s="946"/>
      <c r="P131" s="892"/>
    </row>
    <row r="132" spans="1:18">
      <c r="A132" s="887" t="s">
        <v>293</v>
      </c>
      <c r="B132" s="868" t="s">
        <v>413</v>
      </c>
      <c r="C132" s="868" t="s">
        <v>353</v>
      </c>
      <c r="D132" s="868" t="s">
        <v>293</v>
      </c>
      <c r="E132" s="868" t="s">
        <v>301</v>
      </c>
      <c r="I132" s="868" t="s">
        <v>434</v>
      </c>
      <c r="K132" s="893"/>
      <c r="L132" s="889">
        <v>1</v>
      </c>
      <c r="M132" s="946"/>
      <c r="P132" s="892"/>
    </row>
    <row r="133" spans="1:18" ht="13.5" thickBot="1">
      <c r="A133" s="887" t="str">
        <f>A130</f>
        <v>1.</v>
      </c>
      <c r="B133" s="868" t="str">
        <f>B130</f>
        <v>3.</v>
      </c>
      <c r="C133" s="868" t="str">
        <f>C130</f>
        <v>2.</v>
      </c>
      <c r="D133" s="868" t="str">
        <f>D130</f>
        <v>1.</v>
      </c>
      <c r="E133" s="868" t="s">
        <v>306</v>
      </c>
      <c r="I133" s="868" t="s">
        <v>435</v>
      </c>
      <c r="K133" s="893"/>
      <c r="L133" s="889">
        <v>1</v>
      </c>
      <c r="M133" s="946"/>
      <c r="P133" s="892"/>
    </row>
    <row r="134" spans="1:18" ht="13.5" thickBot="1">
      <c r="A134" s="903" t="s">
        <v>293</v>
      </c>
      <c r="B134" s="904" t="s">
        <v>413</v>
      </c>
      <c r="C134" s="904" t="s">
        <v>353</v>
      </c>
      <c r="D134" s="904" t="s">
        <v>353</v>
      </c>
      <c r="E134" s="904"/>
      <c r="F134" s="905"/>
      <c r="G134" s="905"/>
      <c r="H134" s="904"/>
      <c r="I134" s="904" t="s">
        <v>436</v>
      </c>
      <c r="J134" s="905"/>
      <c r="K134" s="906"/>
      <c r="L134" s="907"/>
      <c r="M134" s="945">
        <f>SUM(L135:L136)</f>
        <v>2</v>
      </c>
      <c r="N134" s="904"/>
      <c r="O134" s="904"/>
      <c r="P134" s="909"/>
    </row>
    <row r="135" spans="1:18">
      <c r="A135" s="887" t="s">
        <v>293</v>
      </c>
      <c r="B135" s="868" t="s">
        <v>413</v>
      </c>
      <c r="C135" s="868" t="s">
        <v>353</v>
      </c>
      <c r="D135" s="868" t="s">
        <v>353</v>
      </c>
      <c r="E135" s="868" t="s">
        <v>298</v>
      </c>
      <c r="I135" s="868" t="s">
        <v>437</v>
      </c>
      <c r="K135" s="893"/>
      <c r="L135" s="889">
        <v>1</v>
      </c>
      <c r="M135" s="946"/>
      <c r="P135" s="892"/>
    </row>
    <row r="136" spans="1:18" ht="13.5" thickBot="1">
      <c r="A136" s="887" t="s">
        <v>293</v>
      </c>
      <c r="B136" s="868" t="s">
        <v>413</v>
      </c>
      <c r="C136" s="868" t="s">
        <v>353</v>
      </c>
      <c r="D136" s="868" t="s">
        <v>353</v>
      </c>
      <c r="E136" s="868" t="s">
        <v>301</v>
      </c>
      <c r="I136" s="868" t="s">
        <v>438</v>
      </c>
      <c r="K136" s="893"/>
      <c r="L136" s="889">
        <v>1</v>
      </c>
      <c r="M136" s="946"/>
      <c r="P136" s="892"/>
    </row>
    <row r="137" spans="1:18" ht="13.5" thickBot="1">
      <c r="A137" s="860" t="s">
        <v>293</v>
      </c>
      <c r="B137" s="861" t="s">
        <v>424</v>
      </c>
      <c r="C137" s="862"/>
      <c r="D137" s="862"/>
      <c r="E137" s="862"/>
      <c r="F137" s="862"/>
      <c r="G137" s="861" t="s">
        <v>109</v>
      </c>
      <c r="H137" s="861"/>
      <c r="I137" s="862"/>
      <c r="J137" s="862"/>
      <c r="K137" s="952"/>
      <c r="L137" s="864"/>
      <c r="M137" s="865"/>
      <c r="N137" s="866"/>
      <c r="O137" s="866">
        <f>SUM(N138)</f>
        <v>3201397.5</v>
      </c>
      <c r="P137" s="1591"/>
    </row>
    <row r="138" spans="1:18" s="878" customFormat="1" ht="13.5" thickBot="1">
      <c r="A138" s="1604" t="s">
        <v>293</v>
      </c>
      <c r="B138" s="1605" t="s">
        <v>424</v>
      </c>
      <c r="C138" s="1605" t="s">
        <v>293</v>
      </c>
      <c r="D138" s="1605"/>
      <c r="E138" s="1605"/>
      <c r="F138" s="1605"/>
      <c r="G138" s="1605"/>
      <c r="H138" s="1605" t="s">
        <v>439</v>
      </c>
      <c r="I138" s="1605"/>
      <c r="J138" s="1606"/>
      <c r="K138" s="1607"/>
      <c r="L138" s="1608"/>
      <c r="M138" s="1608"/>
      <c r="N138" s="1609">
        <v>3201397.5</v>
      </c>
      <c r="O138" s="1609"/>
      <c r="P138" s="1610"/>
      <c r="R138" s="869"/>
    </row>
    <row r="139" spans="1:18">
      <c r="K139" s="889"/>
      <c r="L139" s="889"/>
      <c r="M139" s="946"/>
    </row>
    <row r="140" spans="1:18">
      <c r="K140" s="889"/>
      <c r="L140" s="889"/>
      <c r="M140" s="946"/>
    </row>
    <row r="141" spans="1:18">
      <c r="K141" s="889"/>
      <c r="L141" s="889"/>
      <c r="M141" s="946"/>
    </row>
    <row r="142" spans="1:18">
      <c r="K142" s="889"/>
      <c r="L142" s="889"/>
      <c r="M142" s="946"/>
    </row>
    <row r="143" spans="1:18">
      <c r="K143" s="889"/>
      <c r="L143" s="889"/>
      <c r="M143" s="946"/>
    </row>
    <row r="144" spans="1:18">
      <c r="K144" s="889"/>
      <c r="L144" s="889"/>
      <c r="M144" s="946"/>
    </row>
    <row r="145" spans="11:13">
      <c r="K145" s="889"/>
      <c r="L145" s="889"/>
      <c r="M145" s="946"/>
    </row>
    <row r="146" spans="11:13">
      <c r="K146" s="889"/>
      <c r="L146" s="889"/>
      <c r="M146" s="946"/>
    </row>
    <row r="147" spans="11:13">
      <c r="K147" s="889"/>
      <c r="L147" s="889"/>
      <c r="M147" s="946"/>
    </row>
    <row r="148" spans="11:13">
      <c r="K148" s="889"/>
      <c r="L148" s="889"/>
      <c r="M148" s="946"/>
    </row>
    <row r="149" spans="11:13">
      <c r="K149" s="889"/>
      <c r="L149" s="889"/>
      <c r="M149" s="946"/>
    </row>
    <row r="150" spans="11:13">
      <c r="K150" s="889"/>
      <c r="L150" s="889"/>
      <c r="M150" s="946"/>
    </row>
    <row r="151" spans="11:13">
      <c r="K151" s="889"/>
      <c r="L151" s="889"/>
      <c r="M151" s="946"/>
    </row>
    <row r="152" spans="11:13">
      <c r="K152" s="889"/>
      <c r="L152" s="889"/>
      <c r="M152" s="946"/>
    </row>
    <row r="153" spans="11:13">
      <c r="K153" s="889"/>
      <c r="L153" s="889"/>
      <c r="M153" s="946"/>
    </row>
    <row r="154" spans="11:13">
      <c r="K154" s="889"/>
      <c r="L154" s="889"/>
      <c r="M154" s="946"/>
    </row>
    <row r="155" spans="11:13">
      <c r="K155" s="889"/>
      <c r="L155" s="889"/>
      <c r="M155" s="946"/>
    </row>
    <row r="156" spans="11:13">
      <c r="K156" s="889"/>
      <c r="L156" s="889"/>
      <c r="M156" s="946"/>
    </row>
    <row r="157" spans="11:13">
      <c r="K157" s="889"/>
      <c r="L157" s="889"/>
      <c r="M157" s="946"/>
    </row>
    <row r="158" spans="11:13">
      <c r="K158" s="889"/>
      <c r="L158" s="889"/>
      <c r="M158" s="946"/>
    </row>
    <row r="159" spans="11:13">
      <c r="K159" s="889"/>
      <c r="L159" s="889"/>
      <c r="M159" s="946"/>
    </row>
    <row r="160" spans="11:13">
      <c r="K160" s="889"/>
      <c r="L160" s="889"/>
      <c r="M160" s="946"/>
    </row>
    <row r="161" spans="11:13">
      <c r="K161" s="889"/>
      <c r="L161" s="889"/>
      <c r="M161" s="946"/>
    </row>
    <row r="162" spans="11:13">
      <c r="K162" s="889"/>
      <c r="L162" s="889"/>
      <c r="M162" s="946"/>
    </row>
    <row r="163" spans="11:13">
      <c r="K163" s="889"/>
      <c r="L163" s="889"/>
      <c r="M163" s="946"/>
    </row>
    <row r="164" spans="11:13">
      <c r="K164" s="889"/>
      <c r="L164" s="889"/>
      <c r="M164" s="946"/>
    </row>
    <row r="165" spans="11:13">
      <c r="K165" s="889"/>
      <c r="L165" s="889"/>
      <c r="M165" s="946"/>
    </row>
    <row r="166" spans="11:13">
      <c r="K166" s="889"/>
      <c r="L166" s="889"/>
      <c r="M166" s="946"/>
    </row>
    <row r="167" spans="11:13">
      <c r="K167" s="889"/>
      <c r="L167" s="889"/>
      <c r="M167" s="946"/>
    </row>
    <row r="168" spans="11:13">
      <c r="K168" s="889"/>
      <c r="L168" s="889"/>
      <c r="M168" s="946"/>
    </row>
    <row r="169" spans="11:13">
      <c r="K169" s="889"/>
      <c r="L169" s="889"/>
      <c r="M169" s="946"/>
    </row>
    <row r="170" spans="11:13">
      <c r="K170" s="889"/>
      <c r="L170" s="889"/>
      <c r="M170" s="946"/>
    </row>
    <row r="171" spans="11:13">
      <c r="K171" s="889"/>
      <c r="L171" s="889"/>
      <c r="M171" s="946"/>
    </row>
    <row r="172" spans="11:13">
      <c r="K172" s="889"/>
      <c r="L172" s="889"/>
      <c r="M172" s="946"/>
    </row>
    <row r="173" spans="11:13">
      <c r="K173" s="889"/>
      <c r="L173" s="889"/>
      <c r="M173" s="946"/>
    </row>
    <row r="174" spans="11:13">
      <c r="K174" s="889"/>
      <c r="L174" s="889"/>
      <c r="M174" s="946"/>
    </row>
    <row r="175" spans="11:13">
      <c r="K175" s="889"/>
      <c r="L175" s="889"/>
      <c r="M175" s="946"/>
    </row>
    <row r="176" spans="11:13">
      <c r="K176" s="889"/>
      <c r="L176" s="889"/>
      <c r="M176" s="946"/>
    </row>
    <row r="177" spans="11:13">
      <c r="K177" s="889"/>
      <c r="L177" s="889"/>
      <c r="M177" s="946"/>
    </row>
    <row r="178" spans="11:13">
      <c r="K178" s="889"/>
      <c r="L178" s="889"/>
      <c r="M178" s="946"/>
    </row>
    <row r="179" spans="11:13">
      <c r="K179" s="889"/>
      <c r="L179" s="889"/>
      <c r="M179" s="946"/>
    </row>
    <row r="180" spans="11:13">
      <c r="K180" s="889"/>
      <c r="L180" s="889"/>
      <c r="M180" s="946"/>
    </row>
    <row r="181" spans="11:13">
      <c r="K181" s="889"/>
      <c r="L181" s="889"/>
      <c r="M181" s="946"/>
    </row>
    <row r="182" spans="11:13">
      <c r="K182" s="889"/>
      <c r="L182" s="889"/>
      <c r="M182" s="946"/>
    </row>
    <row r="183" spans="11:13">
      <c r="K183" s="889"/>
      <c r="L183" s="889"/>
      <c r="M183" s="946"/>
    </row>
    <row r="184" spans="11:13">
      <c r="K184" s="889"/>
      <c r="L184" s="889"/>
      <c r="M184" s="946"/>
    </row>
    <row r="185" spans="11:13">
      <c r="K185" s="889"/>
      <c r="L185" s="889"/>
      <c r="M185" s="946"/>
    </row>
    <row r="186" spans="11:13">
      <c r="K186" s="889"/>
      <c r="L186" s="889"/>
      <c r="M186" s="946"/>
    </row>
    <row r="187" spans="11:13">
      <c r="K187" s="889"/>
      <c r="L187" s="889"/>
      <c r="M187" s="946"/>
    </row>
    <row r="188" spans="11:13">
      <c r="K188" s="889"/>
      <c r="L188" s="889"/>
      <c r="M188" s="946"/>
    </row>
    <row r="189" spans="11:13">
      <c r="K189" s="889"/>
      <c r="L189" s="889"/>
      <c r="M189" s="946"/>
    </row>
    <row r="190" spans="11:13">
      <c r="K190" s="889"/>
      <c r="L190" s="889"/>
      <c r="M190" s="946"/>
    </row>
    <row r="191" spans="11:13">
      <c r="K191" s="889"/>
      <c r="L191" s="889"/>
      <c r="M191" s="946"/>
    </row>
    <row r="192" spans="11:13">
      <c r="K192" s="889"/>
      <c r="L192" s="889"/>
      <c r="M192" s="946"/>
    </row>
    <row r="193" spans="11:13">
      <c r="K193" s="889"/>
      <c r="L193" s="889"/>
      <c r="M193" s="946"/>
    </row>
    <row r="194" spans="11:13">
      <c r="K194" s="889"/>
      <c r="L194" s="889"/>
      <c r="M194" s="946"/>
    </row>
    <row r="195" spans="11:13">
      <c r="K195" s="889"/>
      <c r="L195" s="889"/>
      <c r="M195" s="946"/>
    </row>
    <row r="196" spans="11:13">
      <c r="K196" s="889"/>
      <c r="L196" s="889"/>
      <c r="M196" s="946"/>
    </row>
    <row r="197" spans="11:13">
      <c r="K197" s="889"/>
      <c r="L197" s="889"/>
      <c r="M197" s="946"/>
    </row>
    <row r="198" spans="11:13">
      <c r="K198" s="889"/>
      <c r="L198" s="889"/>
      <c r="M198" s="946"/>
    </row>
    <row r="199" spans="11:13">
      <c r="K199" s="889"/>
      <c r="L199" s="889"/>
      <c r="M199" s="946"/>
    </row>
    <row r="200" spans="11:13">
      <c r="K200" s="889"/>
      <c r="L200" s="889"/>
      <c r="M200" s="946"/>
    </row>
    <row r="201" spans="11:13">
      <c r="K201" s="889"/>
      <c r="L201" s="889"/>
      <c r="M201" s="946"/>
    </row>
    <row r="202" spans="11:13">
      <c r="K202" s="889"/>
      <c r="L202" s="889"/>
      <c r="M202" s="946"/>
    </row>
    <row r="203" spans="11:13">
      <c r="K203" s="889"/>
      <c r="L203" s="889"/>
      <c r="M203" s="946"/>
    </row>
    <row r="204" spans="11:13">
      <c r="K204" s="889"/>
      <c r="L204" s="889"/>
      <c r="M204" s="946"/>
    </row>
    <row r="205" spans="11:13">
      <c r="K205" s="889"/>
      <c r="L205" s="889"/>
      <c r="M205" s="946"/>
    </row>
    <row r="206" spans="11:13">
      <c r="K206" s="889"/>
      <c r="L206" s="889"/>
      <c r="M206" s="946"/>
    </row>
    <row r="207" spans="11:13">
      <c r="K207" s="889"/>
      <c r="L207" s="889"/>
      <c r="M207" s="946"/>
    </row>
    <row r="208" spans="11:13">
      <c r="K208" s="889"/>
      <c r="L208" s="889"/>
      <c r="M208" s="946"/>
    </row>
    <row r="209" spans="11:13">
      <c r="K209" s="889"/>
      <c r="L209" s="889"/>
      <c r="M209" s="946"/>
    </row>
    <row r="210" spans="11:13">
      <c r="K210" s="889"/>
      <c r="L210" s="889"/>
      <c r="M210" s="946"/>
    </row>
    <row r="211" spans="11:13">
      <c r="K211" s="889"/>
      <c r="L211" s="889"/>
      <c r="M211" s="946"/>
    </row>
    <row r="212" spans="11:13">
      <c r="K212" s="889"/>
      <c r="L212" s="889"/>
      <c r="M212" s="946"/>
    </row>
    <row r="213" spans="11:13">
      <c r="K213" s="889"/>
      <c r="L213" s="889"/>
      <c r="M213" s="946"/>
    </row>
    <row r="214" spans="11:13">
      <c r="K214" s="889"/>
      <c r="L214" s="889"/>
      <c r="M214" s="946"/>
    </row>
    <row r="215" spans="11:13">
      <c r="K215" s="889"/>
      <c r="L215" s="889"/>
      <c r="M215" s="946"/>
    </row>
    <row r="216" spans="11:13">
      <c r="K216" s="889"/>
      <c r="L216" s="889"/>
      <c r="M216" s="946"/>
    </row>
    <row r="217" spans="11:13">
      <c r="K217" s="889"/>
      <c r="L217" s="889"/>
      <c r="M217" s="946"/>
    </row>
    <row r="218" spans="11:13">
      <c r="K218" s="889"/>
      <c r="L218" s="889"/>
      <c r="M218" s="946"/>
    </row>
    <row r="219" spans="11:13">
      <c r="K219" s="889"/>
      <c r="L219" s="889"/>
      <c r="M219" s="946"/>
    </row>
    <row r="220" spans="11:13">
      <c r="K220" s="889"/>
      <c r="L220" s="889"/>
      <c r="M220" s="946"/>
    </row>
    <row r="221" spans="11:13">
      <c r="K221" s="889"/>
      <c r="L221" s="889"/>
      <c r="M221" s="946"/>
    </row>
    <row r="222" spans="11:13">
      <c r="K222" s="889"/>
      <c r="L222" s="889"/>
      <c r="M222" s="946"/>
    </row>
    <row r="223" spans="11:13">
      <c r="K223" s="889"/>
      <c r="L223" s="889"/>
      <c r="M223" s="946"/>
    </row>
    <row r="224" spans="11:13">
      <c r="K224" s="889"/>
      <c r="L224" s="889"/>
      <c r="M224" s="946"/>
    </row>
    <row r="225" spans="11:13">
      <c r="K225" s="889"/>
      <c r="L225" s="889"/>
      <c r="M225" s="946"/>
    </row>
    <row r="226" spans="11:13">
      <c r="K226" s="889"/>
      <c r="L226" s="889"/>
      <c r="M226" s="946"/>
    </row>
    <row r="227" spans="11:13">
      <c r="K227" s="889"/>
      <c r="L227" s="889"/>
      <c r="M227" s="946"/>
    </row>
    <row r="228" spans="11:13">
      <c r="K228" s="889"/>
      <c r="L228" s="889"/>
      <c r="M228" s="946"/>
    </row>
    <row r="229" spans="11:13">
      <c r="K229" s="889"/>
      <c r="L229" s="889"/>
      <c r="M229" s="946"/>
    </row>
    <row r="230" spans="11:13">
      <c r="K230" s="889"/>
      <c r="L230" s="889"/>
      <c r="M230" s="946"/>
    </row>
    <row r="231" spans="11:13">
      <c r="K231" s="889"/>
      <c r="L231" s="889"/>
      <c r="M231" s="946"/>
    </row>
    <row r="232" spans="11:13">
      <c r="K232" s="889"/>
      <c r="L232" s="889"/>
      <c r="M232" s="946"/>
    </row>
    <row r="233" spans="11:13">
      <c r="K233" s="889"/>
      <c r="L233" s="889"/>
      <c r="M233" s="946"/>
    </row>
    <row r="234" spans="11:13">
      <c r="K234" s="889"/>
      <c r="L234" s="889"/>
      <c r="M234" s="946"/>
    </row>
    <row r="235" spans="11:13">
      <c r="K235" s="889"/>
      <c r="L235" s="889"/>
      <c r="M235" s="946"/>
    </row>
    <row r="236" spans="11:13">
      <c r="K236" s="889"/>
      <c r="L236" s="889"/>
      <c r="M236" s="946"/>
    </row>
    <row r="237" spans="11:13">
      <c r="K237" s="889"/>
      <c r="L237" s="889"/>
      <c r="M237" s="946"/>
    </row>
    <row r="238" spans="11:13">
      <c r="K238" s="889"/>
      <c r="L238" s="889"/>
      <c r="M238" s="946"/>
    </row>
    <row r="239" spans="11:13">
      <c r="K239" s="889"/>
      <c r="L239" s="889"/>
      <c r="M239" s="946"/>
    </row>
    <row r="240" spans="11:13">
      <c r="K240" s="889"/>
      <c r="L240" s="889"/>
      <c r="M240" s="946"/>
    </row>
    <row r="241" spans="11:13">
      <c r="K241" s="889"/>
      <c r="L241" s="889"/>
      <c r="M241" s="946"/>
    </row>
    <row r="242" spans="11:13">
      <c r="K242" s="889"/>
      <c r="L242" s="889"/>
      <c r="M242" s="946"/>
    </row>
    <row r="243" spans="11:13">
      <c r="K243" s="889"/>
      <c r="L243" s="889"/>
      <c r="M243" s="946"/>
    </row>
    <row r="244" spans="11:13">
      <c r="K244" s="889"/>
      <c r="L244" s="889"/>
      <c r="M244" s="946"/>
    </row>
    <row r="245" spans="11:13">
      <c r="K245" s="889"/>
      <c r="L245" s="889"/>
      <c r="M245" s="946"/>
    </row>
    <row r="246" spans="11:13">
      <c r="K246" s="889"/>
      <c r="L246" s="889"/>
      <c r="M246" s="946"/>
    </row>
    <row r="247" spans="11:13">
      <c r="K247" s="889"/>
      <c r="L247" s="889"/>
      <c r="M247" s="946"/>
    </row>
    <row r="248" spans="11:13">
      <c r="K248" s="889"/>
      <c r="L248" s="889"/>
      <c r="M248" s="946"/>
    </row>
    <row r="249" spans="11:13">
      <c r="K249" s="889"/>
      <c r="L249" s="889"/>
      <c r="M249" s="946"/>
    </row>
    <row r="250" spans="11:13">
      <c r="K250" s="889"/>
      <c r="L250" s="889"/>
      <c r="M250" s="946"/>
    </row>
    <row r="251" spans="11:13">
      <c r="K251" s="889"/>
      <c r="L251" s="889"/>
      <c r="M251" s="946"/>
    </row>
    <row r="252" spans="11:13">
      <c r="K252" s="889"/>
      <c r="L252" s="889"/>
      <c r="M252" s="946"/>
    </row>
    <row r="253" spans="11:13">
      <c r="K253" s="889"/>
      <c r="L253" s="889"/>
      <c r="M253" s="946"/>
    </row>
    <row r="254" spans="11:13">
      <c r="K254" s="889"/>
      <c r="L254" s="889"/>
      <c r="M254" s="946"/>
    </row>
    <row r="255" spans="11:13">
      <c r="K255" s="889"/>
      <c r="L255" s="889"/>
      <c r="M255" s="946"/>
    </row>
    <row r="256" spans="11:13">
      <c r="K256" s="889"/>
      <c r="L256" s="889"/>
      <c r="M256" s="946"/>
    </row>
    <row r="257" spans="11:13">
      <c r="K257" s="889"/>
      <c r="L257" s="889"/>
      <c r="M257" s="946"/>
    </row>
    <row r="258" spans="11:13">
      <c r="K258" s="889"/>
      <c r="L258" s="889"/>
      <c r="M258" s="946"/>
    </row>
    <row r="259" spans="11:13">
      <c r="K259" s="889"/>
      <c r="L259" s="889"/>
      <c r="M259" s="946"/>
    </row>
    <row r="260" spans="11:13">
      <c r="K260" s="889"/>
      <c r="L260" s="889"/>
      <c r="M260" s="946"/>
    </row>
    <row r="261" spans="11:13">
      <c r="K261" s="889"/>
      <c r="L261" s="889"/>
      <c r="M261" s="946"/>
    </row>
    <row r="262" spans="11:13">
      <c r="K262" s="889"/>
      <c r="L262" s="889"/>
      <c r="M262" s="946"/>
    </row>
    <row r="263" spans="11:13">
      <c r="K263" s="889"/>
      <c r="L263" s="889"/>
      <c r="M263" s="946"/>
    </row>
    <row r="264" spans="11:13">
      <c r="K264" s="889"/>
      <c r="L264" s="889"/>
      <c r="M264" s="946"/>
    </row>
    <row r="265" spans="11:13">
      <c r="K265" s="889"/>
      <c r="L265" s="889"/>
      <c r="M265" s="946"/>
    </row>
    <row r="266" spans="11:13">
      <c r="K266" s="889"/>
      <c r="L266" s="889"/>
      <c r="M266" s="946"/>
    </row>
    <row r="267" spans="11:13">
      <c r="K267" s="889"/>
      <c r="L267" s="889"/>
      <c r="M267" s="946"/>
    </row>
    <row r="268" spans="11:13">
      <c r="K268" s="889"/>
      <c r="L268" s="889"/>
      <c r="M268" s="946"/>
    </row>
    <row r="269" spans="11:13">
      <c r="K269" s="889"/>
      <c r="L269" s="889"/>
      <c r="M269" s="946"/>
    </row>
    <row r="270" spans="11:13">
      <c r="K270" s="889"/>
      <c r="L270" s="889"/>
      <c r="M270" s="946"/>
    </row>
    <row r="271" spans="11:13">
      <c r="K271" s="889"/>
      <c r="L271" s="889"/>
      <c r="M271" s="946"/>
    </row>
    <row r="272" spans="11:13">
      <c r="K272" s="889"/>
      <c r="L272" s="889"/>
      <c r="M272" s="946"/>
    </row>
    <row r="273" spans="11:13">
      <c r="K273" s="889"/>
      <c r="L273" s="889"/>
      <c r="M273" s="946"/>
    </row>
    <row r="274" spans="11:13">
      <c r="K274" s="889"/>
      <c r="L274" s="889"/>
      <c r="M274" s="946"/>
    </row>
    <row r="275" spans="11:13">
      <c r="K275" s="889"/>
      <c r="L275" s="889"/>
      <c r="M275" s="946"/>
    </row>
    <row r="276" spans="11:13">
      <c r="K276" s="889"/>
      <c r="L276" s="889"/>
      <c r="M276" s="946"/>
    </row>
    <row r="277" spans="11:13">
      <c r="K277" s="889"/>
      <c r="L277" s="889"/>
      <c r="M277" s="946"/>
    </row>
    <row r="278" spans="11:13">
      <c r="K278" s="889"/>
      <c r="L278" s="889"/>
      <c r="M278" s="946"/>
    </row>
    <row r="279" spans="11:13">
      <c r="K279" s="889"/>
      <c r="L279" s="889"/>
      <c r="M279" s="946"/>
    </row>
    <row r="280" spans="11:13">
      <c r="K280" s="889"/>
      <c r="L280" s="889"/>
      <c r="M280" s="946"/>
    </row>
    <row r="281" spans="11:13">
      <c r="K281" s="889"/>
      <c r="L281" s="889"/>
      <c r="M281" s="946"/>
    </row>
    <row r="282" spans="11:13">
      <c r="K282" s="889"/>
      <c r="L282" s="889"/>
      <c r="M282" s="946"/>
    </row>
    <row r="283" spans="11:13">
      <c r="K283" s="889"/>
      <c r="L283" s="889"/>
      <c r="M283" s="946"/>
    </row>
    <row r="284" spans="11:13">
      <c r="K284" s="889"/>
      <c r="L284" s="889"/>
      <c r="M284" s="946"/>
    </row>
    <row r="285" spans="11:13">
      <c r="K285" s="889"/>
      <c r="L285" s="889"/>
      <c r="M285" s="946"/>
    </row>
    <row r="286" spans="11:13">
      <c r="K286" s="889"/>
      <c r="L286" s="889"/>
      <c r="M286" s="946"/>
    </row>
    <row r="287" spans="11:13">
      <c r="K287" s="889"/>
      <c r="L287" s="889"/>
      <c r="M287" s="946"/>
    </row>
    <row r="288" spans="11:13">
      <c r="K288" s="889"/>
      <c r="L288" s="889"/>
      <c r="M288" s="946"/>
    </row>
    <row r="289" spans="11:13">
      <c r="K289" s="889"/>
      <c r="L289" s="889"/>
      <c r="M289" s="946"/>
    </row>
    <row r="290" spans="11:13">
      <c r="K290" s="889"/>
      <c r="L290" s="889"/>
      <c r="M290" s="946"/>
    </row>
    <row r="291" spans="11:13">
      <c r="K291" s="889"/>
      <c r="L291" s="889"/>
      <c r="M291" s="946"/>
    </row>
    <row r="292" spans="11:13">
      <c r="K292" s="889"/>
      <c r="L292" s="889"/>
      <c r="M292" s="946"/>
    </row>
    <row r="293" spans="11:13">
      <c r="K293" s="889"/>
      <c r="L293" s="889"/>
      <c r="M293" s="946"/>
    </row>
    <row r="294" spans="11:13">
      <c r="K294" s="889"/>
      <c r="L294" s="889"/>
      <c r="M294" s="946"/>
    </row>
    <row r="295" spans="11:13">
      <c r="K295" s="889"/>
      <c r="L295" s="889"/>
      <c r="M295" s="946"/>
    </row>
    <row r="296" spans="11:13">
      <c r="K296" s="889"/>
      <c r="L296" s="889"/>
      <c r="M296" s="946"/>
    </row>
    <row r="297" spans="11:13">
      <c r="K297" s="889"/>
      <c r="L297" s="889"/>
      <c r="M297" s="946"/>
    </row>
    <row r="298" spans="11:13">
      <c r="K298" s="889"/>
      <c r="L298" s="889"/>
      <c r="M298" s="946"/>
    </row>
    <row r="299" spans="11:13">
      <c r="K299" s="889"/>
      <c r="L299" s="889"/>
      <c r="M299" s="946"/>
    </row>
    <row r="300" spans="11:13">
      <c r="K300" s="889"/>
      <c r="L300" s="889"/>
      <c r="M300" s="946"/>
    </row>
    <row r="301" spans="11:13">
      <c r="K301" s="889"/>
      <c r="L301" s="889"/>
      <c r="M301" s="946"/>
    </row>
    <row r="302" spans="11:13">
      <c r="K302" s="889"/>
      <c r="L302" s="889"/>
      <c r="M302" s="946"/>
    </row>
    <row r="303" spans="11:13">
      <c r="K303" s="889"/>
      <c r="L303" s="889"/>
      <c r="M303" s="946"/>
    </row>
    <row r="304" spans="11:13">
      <c r="K304" s="889"/>
      <c r="L304" s="889"/>
      <c r="M304" s="946"/>
    </row>
    <row r="305" spans="11:13">
      <c r="K305" s="889"/>
      <c r="L305" s="889"/>
      <c r="M305" s="946"/>
    </row>
    <row r="306" spans="11:13">
      <c r="K306" s="889"/>
      <c r="L306" s="889"/>
      <c r="M306" s="946"/>
    </row>
    <row r="307" spans="11:13">
      <c r="K307" s="889"/>
      <c r="L307" s="889"/>
      <c r="M307" s="946"/>
    </row>
    <row r="308" spans="11:13">
      <c r="K308" s="889"/>
      <c r="L308" s="889"/>
      <c r="M308" s="946"/>
    </row>
    <row r="309" spans="11:13">
      <c r="K309" s="889"/>
      <c r="L309" s="889"/>
      <c r="M309" s="946"/>
    </row>
    <row r="310" spans="11:13">
      <c r="K310" s="889"/>
      <c r="L310" s="889"/>
      <c r="M310" s="946"/>
    </row>
    <row r="311" spans="11:13">
      <c r="K311" s="889"/>
      <c r="L311" s="889"/>
      <c r="M311" s="946"/>
    </row>
    <row r="312" spans="11:13">
      <c r="K312" s="889"/>
      <c r="L312" s="889"/>
      <c r="M312" s="946"/>
    </row>
    <row r="313" spans="11:13">
      <c r="K313" s="889"/>
      <c r="L313" s="889"/>
      <c r="M313" s="946"/>
    </row>
    <row r="314" spans="11:13">
      <c r="K314" s="889"/>
      <c r="L314" s="889"/>
      <c r="M314" s="946"/>
    </row>
    <row r="315" spans="11:13">
      <c r="K315" s="889"/>
      <c r="L315" s="889"/>
      <c r="M315" s="946"/>
    </row>
    <row r="316" spans="11:13">
      <c r="K316" s="889"/>
      <c r="L316" s="889"/>
      <c r="M316" s="946"/>
    </row>
    <row r="317" spans="11:13">
      <c r="K317" s="889"/>
      <c r="L317" s="889"/>
      <c r="M317" s="946"/>
    </row>
    <row r="318" spans="11:13">
      <c r="K318" s="889"/>
      <c r="L318" s="889"/>
      <c r="M318" s="946"/>
    </row>
    <row r="319" spans="11:13">
      <c r="K319" s="889"/>
      <c r="L319" s="889"/>
      <c r="M319" s="946"/>
    </row>
    <row r="320" spans="11:13">
      <c r="K320" s="889"/>
      <c r="L320" s="889"/>
      <c r="M320" s="946"/>
    </row>
    <row r="321" spans="11:13">
      <c r="K321" s="889"/>
      <c r="L321" s="889"/>
      <c r="M321" s="946"/>
    </row>
    <row r="322" spans="11:13">
      <c r="K322" s="889"/>
      <c r="L322" s="889"/>
      <c r="M322" s="946"/>
    </row>
    <row r="323" spans="11:13">
      <c r="K323" s="889"/>
      <c r="L323" s="889"/>
      <c r="M323" s="946"/>
    </row>
    <row r="324" spans="11:13">
      <c r="K324" s="889"/>
      <c r="L324" s="889"/>
      <c r="M324" s="946"/>
    </row>
    <row r="325" spans="11:13">
      <c r="K325" s="889"/>
      <c r="L325" s="889"/>
      <c r="M325" s="946"/>
    </row>
    <row r="326" spans="11:13">
      <c r="K326" s="889"/>
      <c r="L326" s="889"/>
      <c r="M326" s="946"/>
    </row>
    <row r="327" spans="11:13">
      <c r="K327" s="889"/>
      <c r="L327" s="889"/>
      <c r="M327" s="946"/>
    </row>
    <row r="328" spans="11:13">
      <c r="K328" s="889"/>
      <c r="L328" s="889"/>
      <c r="M328" s="946"/>
    </row>
    <row r="329" spans="11:13">
      <c r="K329" s="889"/>
      <c r="L329" s="889"/>
      <c r="M329" s="946"/>
    </row>
    <row r="330" spans="11:13">
      <c r="K330" s="889"/>
      <c r="L330" s="889"/>
      <c r="M330" s="946"/>
    </row>
    <row r="331" spans="11:13">
      <c r="K331" s="889"/>
      <c r="L331" s="889"/>
      <c r="M331" s="946"/>
    </row>
    <row r="332" spans="11:13">
      <c r="K332" s="889"/>
      <c r="L332" s="889"/>
      <c r="M332" s="946"/>
    </row>
    <row r="333" spans="11:13">
      <c r="K333" s="889"/>
      <c r="L333" s="889"/>
      <c r="M333" s="946"/>
    </row>
    <row r="334" spans="11:13">
      <c r="K334" s="889"/>
      <c r="L334" s="889"/>
      <c r="M334" s="946"/>
    </row>
    <row r="335" spans="11:13">
      <c r="K335" s="889"/>
      <c r="L335" s="889"/>
      <c r="M335" s="946"/>
    </row>
    <row r="336" spans="11:13">
      <c r="K336" s="889"/>
      <c r="L336" s="889"/>
      <c r="M336" s="946"/>
    </row>
    <row r="337" spans="11:13">
      <c r="K337" s="889"/>
      <c r="L337" s="889"/>
      <c r="M337" s="946"/>
    </row>
    <row r="338" spans="11:13">
      <c r="K338" s="889"/>
      <c r="L338" s="889"/>
      <c r="M338" s="946"/>
    </row>
    <row r="339" spans="11:13">
      <c r="K339" s="889"/>
      <c r="L339" s="889"/>
      <c r="M339" s="946"/>
    </row>
    <row r="340" spans="11:13">
      <c r="K340" s="889"/>
      <c r="L340" s="889"/>
      <c r="M340" s="946"/>
    </row>
    <row r="341" spans="11:13">
      <c r="K341" s="889"/>
      <c r="L341" s="889"/>
      <c r="M341" s="946"/>
    </row>
    <row r="342" spans="11:13">
      <c r="K342" s="889"/>
      <c r="L342" s="889"/>
      <c r="M342" s="946"/>
    </row>
    <row r="343" spans="11:13">
      <c r="K343" s="889"/>
      <c r="L343" s="889"/>
      <c r="M343" s="946"/>
    </row>
    <row r="344" spans="11:13">
      <c r="K344" s="889"/>
      <c r="L344" s="889"/>
      <c r="M344" s="946"/>
    </row>
    <row r="345" spans="11:13">
      <c r="K345" s="889"/>
      <c r="L345" s="889"/>
      <c r="M345" s="946"/>
    </row>
    <row r="346" spans="11:13">
      <c r="K346" s="889"/>
      <c r="L346" s="889"/>
      <c r="M346" s="946"/>
    </row>
    <row r="347" spans="11:13">
      <c r="K347" s="889"/>
      <c r="L347" s="889"/>
      <c r="M347" s="946"/>
    </row>
    <row r="348" spans="11:13">
      <c r="K348" s="889"/>
      <c r="L348" s="889"/>
      <c r="M348" s="946"/>
    </row>
    <row r="349" spans="11:13">
      <c r="K349" s="889"/>
      <c r="L349" s="889"/>
      <c r="M349" s="946"/>
    </row>
    <row r="350" spans="11:13">
      <c r="K350" s="889"/>
      <c r="L350" s="889"/>
      <c r="M350" s="946"/>
    </row>
    <row r="351" spans="11:13">
      <c r="K351" s="889"/>
      <c r="L351" s="889"/>
      <c r="M351" s="946"/>
    </row>
    <row r="352" spans="11:13">
      <c r="K352" s="889"/>
      <c r="L352" s="889"/>
      <c r="M352" s="946"/>
    </row>
    <row r="353" spans="11:13">
      <c r="K353" s="889"/>
      <c r="L353" s="889"/>
      <c r="M353" s="946"/>
    </row>
    <row r="354" spans="11:13">
      <c r="K354" s="889"/>
      <c r="L354" s="889"/>
      <c r="M354" s="946"/>
    </row>
    <row r="355" spans="11:13">
      <c r="K355" s="889"/>
      <c r="L355" s="889"/>
      <c r="M355" s="946"/>
    </row>
    <row r="356" spans="11:13">
      <c r="K356" s="889"/>
      <c r="L356" s="889"/>
      <c r="M356" s="946"/>
    </row>
    <row r="357" spans="11:13">
      <c r="K357" s="889"/>
      <c r="L357" s="889"/>
      <c r="M357" s="946"/>
    </row>
    <row r="358" spans="11:13">
      <c r="K358" s="889"/>
      <c r="L358" s="889"/>
      <c r="M358" s="946"/>
    </row>
    <row r="359" spans="11:13">
      <c r="K359" s="889"/>
      <c r="L359" s="889"/>
      <c r="M359" s="946"/>
    </row>
    <row r="360" spans="11:13">
      <c r="K360" s="889"/>
      <c r="L360" s="889"/>
      <c r="M360" s="946"/>
    </row>
    <row r="361" spans="11:13">
      <c r="K361" s="889"/>
      <c r="L361" s="889"/>
      <c r="M361" s="946"/>
    </row>
    <row r="362" spans="11:13">
      <c r="K362" s="889"/>
      <c r="L362" s="889"/>
      <c r="M362" s="946"/>
    </row>
    <row r="363" spans="11:13">
      <c r="K363" s="889"/>
      <c r="L363" s="889"/>
      <c r="M363" s="946"/>
    </row>
    <row r="364" spans="11:13">
      <c r="K364" s="889"/>
      <c r="L364" s="889"/>
      <c r="M364" s="946"/>
    </row>
    <row r="365" spans="11:13">
      <c r="K365" s="889"/>
      <c r="L365" s="889"/>
      <c r="M365" s="946"/>
    </row>
    <row r="366" spans="11:13">
      <c r="K366" s="889"/>
      <c r="L366" s="889"/>
      <c r="M366" s="946"/>
    </row>
    <row r="367" spans="11:13">
      <c r="K367" s="889"/>
      <c r="L367" s="889"/>
      <c r="M367" s="946"/>
    </row>
    <row r="368" spans="11:13">
      <c r="K368" s="889"/>
      <c r="L368" s="889"/>
      <c r="M368" s="946"/>
    </row>
    <row r="369" spans="11:13">
      <c r="K369" s="889"/>
      <c r="L369" s="889"/>
      <c r="M369" s="946"/>
    </row>
    <row r="370" spans="11:13">
      <c r="K370" s="889"/>
      <c r="L370" s="889"/>
      <c r="M370" s="946"/>
    </row>
    <row r="371" spans="11:13">
      <c r="K371" s="889"/>
      <c r="L371" s="889"/>
      <c r="M371" s="946"/>
    </row>
    <row r="372" spans="11:13">
      <c r="K372" s="889"/>
      <c r="L372" s="889"/>
      <c r="M372" s="946"/>
    </row>
    <row r="373" spans="11:13">
      <c r="K373" s="889"/>
      <c r="L373" s="889"/>
      <c r="M373" s="946"/>
    </row>
    <row r="374" spans="11:13">
      <c r="K374" s="889"/>
      <c r="L374" s="889"/>
      <c r="M374" s="946"/>
    </row>
    <row r="375" spans="11:13">
      <c r="K375" s="889"/>
      <c r="L375" s="889"/>
      <c r="M375" s="946"/>
    </row>
    <row r="376" spans="11:13">
      <c r="K376" s="889"/>
      <c r="L376" s="889"/>
      <c r="M376" s="946"/>
    </row>
    <row r="377" spans="11:13">
      <c r="K377" s="889"/>
      <c r="L377" s="889"/>
      <c r="M377" s="946"/>
    </row>
    <row r="378" spans="11:13">
      <c r="K378" s="889"/>
      <c r="L378" s="889"/>
      <c r="M378" s="946"/>
    </row>
    <row r="379" spans="11:13">
      <c r="K379" s="889"/>
      <c r="L379" s="889"/>
      <c r="M379" s="946"/>
    </row>
    <row r="380" spans="11:13">
      <c r="K380" s="889"/>
      <c r="L380" s="889"/>
      <c r="M380" s="946"/>
    </row>
    <row r="381" spans="11:13">
      <c r="K381" s="889"/>
      <c r="L381" s="889"/>
      <c r="M381" s="946"/>
    </row>
    <row r="382" spans="11:13">
      <c r="K382" s="889"/>
      <c r="L382" s="889"/>
      <c r="M382" s="946"/>
    </row>
    <row r="383" spans="11:13">
      <c r="K383" s="889"/>
      <c r="L383" s="889"/>
      <c r="M383" s="946"/>
    </row>
    <row r="384" spans="11:13">
      <c r="K384" s="889"/>
      <c r="L384" s="889"/>
      <c r="M384" s="946"/>
    </row>
    <row r="385" spans="11:13">
      <c r="K385" s="889"/>
      <c r="L385" s="889"/>
      <c r="M385" s="946"/>
    </row>
    <row r="386" spans="11:13">
      <c r="K386" s="889"/>
      <c r="L386" s="889"/>
      <c r="M386" s="946"/>
    </row>
    <row r="387" spans="11:13">
      <c r="K387" s="889"/>
      <c r="L387" s="889"/>
      <c r="M387" s="946"/>
    </row>
    <row r="388" spans="11:13">
      <c r="K388" s="889"/>
      <c r="L388" s="889"/>
      <c r="M388" s="946"/>
    </row>
    <row r="389" spans="11:13">
      <c r="K389" s="889"/>
      <c r="L389" s="889"/>
      <c r="M389" s="946"/>
    </row>
    <row r="390" spans="11:13">
      <c r="K390" s="889"/>
      <c r="L390" s="889"/>
      <c r="M390" s="946"/>
    </row>
    <row r="391" spans="11:13">
      <c r="K391" s="889"/>
      <c r="L391" s="889"/>
      <c r="M391" s="946"/>
    </row>
    <row r="392" spans="11:13">
      <c r="K392" s="889"/>
      <c r="L392" s="889"/>
      <c r="M392" s="946"/>
    </row>
    <row r="393" spans="11:13">
      <c r="K393" s="889"/>
      <c r="L393" s="889"/>
      <c r="M393" s="946"/>
    </row>
    <row r="394" spans="11:13">
      <c r="K394" s="889"/>
      <c r="L394" s="889"/>
      <c r="M394" s="946"/>
    </row>
    <row r="395" spans="11:13">
      <c r="K395" s="889"/>
      <c r="L395" s="889"/>
      <c r="M395" s="946"/>
    </row>
    <row r="396" spans="11:13">
      <c r="K396" s="889"/>
      <c r="L396" s="889"/>
      <c r="M396" s="946"/>
    </row>
    <row r="397" spans="11:13">
      <c r="K397" s="889"/>
      <c r="L397" s="889"/>
      <c r="M397" s="946"/>
    </row>
    <row r="398" spans="11:13">
      <c r="K398" s="889"/>
      <c r="L398" s="889"/>
      <c r="M398" s="946"/>
    </row>
    <row r="399" spans="11:13">
      <c r="K399" s="889"/>
      <c r="L399" s="889"/>
      <c r="M399" s="946"/>
    </row>
    <row r="400" spans="11:13">
      <c r="K400" s="889"/>
      <c r="L400" s="889"/>
      <c r="M400" s="946"/>
    </row>
    <row r="401" spans="11:13">
      <c r="K401" s="889"/>
      <c r="L401" s="889"/>
      <c r="M401" s="946"/>
    </row>
    <row r="402" spans="11:13">
      <c r="K402" s="889"/>
      <c r="L402" s="889"/>
      <c r="M402" s="946"/>
    </row>
    <row r="403" spans="11:13">
      <c r="K403" s="889"/>
      <c r="L403" s="889"/>
      <c r="M403" s="946"/>
    </row>
    <row r="404" spans="11:13">
      <c r="K404" s="889"/>
      <c r="L404" s="889"/>
      <c r="M404" s="946"/>
    </row>
    <row r="405" spans="11:13">
      <c r="K405" s="889"/>
      <c r="L405" s="889"/>
      <c r="M405" s="946"/>
    </row>
    <row r="406" spans="11:13">
      <c r="K406" s="889"/>
      <c r="L406" s="889"/>
      <c r="M406" s="946"/>
    </row>
    <row r="407" spans="11:13">
      <c r="K407" s="889"/>
      <c r="L407" s="889"/>
      <c r="M407" s="946"/>
    </row>
    <row r="408" spans="11:13">
      <c r="K408" s="889"/>
      <c r="L408" s="889"/>
      <c r="M408" s="946"/>
    </row>
    <row r="409" spans="11:13">
      <c r="K409" s="889"/>
      <c r="L409" s="889"/>
      <c r="M409" s="946"/>
    </row>
    <row r="410" spans="11:13">
      <c r="K410" s="889"/>
      <c r="L410" s="889"/>
      <c r="M410" s="946"/>
    </row>
    <row r="411" spans="11:13">
      <c r="K411" s="889"/>
      <c r="L411" s="889"/>
      <c r="M411" s="946"/>
    </row>
    <row r="412" spans="11:13">
      <c r="K412" s="889"/>
      <c r="L412" s="889"/>
      <c r="M412" s="946"/>
    </row>
  </sheetData>
  <mergeCells count="1">
    <mergeCell ref="G1:J1"/>
  </mergeCells>
  <printOptions horizontalCentered="1"/>
  <pageMargins left="0.11811023622047245" right="0.11811023622047245" top="0.55118110236220474" bottom="0.35433070866141736" header="0.31496062992125984" footer="0.31496062992125984"/>
  <pageSetup paperSize="9" scale="90" orientation="landscape" horizontalDpi="0" verticalDpi="0" r:id="rId1"/>
  <headerFooter>
    <oddHeader>&amp;L&amp;"Arial Narrow,Negrita"MUNICIPALIDAD DE VILLA MARÍA&amp;R&amp;"Arial Narrow,Negrita"PRESUPUESTO 2024</oddHeader>
    <oddFooter>&amp;R&amp;"Arial Narrow,Normal"&amp;P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DBF5D-E79A-4883-AE4C-766972CDC5AF}">
  <dimension ref="A1:X263"/>
  <sheetViews>
    <sheetView topLeftCell="A424" zoomScaleNormal="100" zoomScaleSheetLayoutView="75" workbookViewId="0">
      <selection activeCell="D424" sqref="D424"/>
    </sheetView>
  </sheetViews>
  <sheetFormatPr baseColWidth="10" defaultRowHeight="12.75"/>
  <cols>
    <col min="1" max="1" width="10.7109375" customWidth="1"/>
    <col min="2" max="2" width="50.7109375" customWidth="1"/>
    <col min="3" max="3" width="15.7109375" customWidth="1"/>
    <col min="4" max="4" width="17.28515625" customWidth="1"/>
    <col min="5" max="5" width="14.7109375" bestFit="1" customWidth="1"/>
    <col min="6" max="6" width="14" customWidth="1"/>
    <col min="7" max="7" width="18.28515625" customWidth="1"/>
    <col min="8" max="8" width="14.7109375" bestFit="1" customWidth="1"/>
    <col min="9" max="9" width="13.7109375" bestFit="1" customWidth="1"/>
    <col min="10" max="10" width="15.42578125" customWidth="1"/>
  </cols>
  <sheetData>
    <row r="1" spans="1:16" ht="18" thickBot="1">
      <c r="A1" s="1555" t="s">
        <v>972</v>
      </c>
      <c r="B1" s="1553"/>
      <c r="C1" s="1554"/>
    </row>
    <row r="2" spans="1:16" ht="13.5" thickBot="1"/>
    <row r="3" spans="1:16" ht="13.15" customHeight="1">
      <c r="A3" s="1334" t="s">
        <v>970</v>
      </c>
      <c r="B3" s="1352"/>
      <c r="C3" s="1161" t="s">
        <v>734</v>
      </c>
    </row>
    <row r="4" spans="1:16" ht="13.9" customHeight="1" thickBot="1">
      <c r="A4" s="1337"/>
      <c r="B4" s="1353"/>
      <c r="C4" s="1490"/>
    </row>
    <row r="5" spans="1:16" ht="13.5">
      <c r="A5" s="1097" t="s">
        <v>675</v>
      </c>
      <c r="B5" s="986"/>
      <c r="C5" s="1096"/>
    </row>
    <row r="6" spans="1:16" ht="13.5">
      <c r="A6" s="1097" t="s">
        <v>707</v>
      </c>
      <c r="B6" s="986"/>
      <c r="C6" s="1098"/>
    </row>
    <row r="7" spans="1:16" ht="13.5">
      <c r="A7" s="1097" t="s">
        <v>725</v>
      </c>
      <c r="B7" s="986"/>
      <c r="C7" s="1098"/>
      <c r="E7" s="1611"/>
      <c r="F7" s="1611"/>
      <c r="G7" s="1611"/>
      <c r="H7" s="1611"/>
      <c r="I7" s="1611"/>
      <c r="J7" s="1611"/>
      <c r="K7" s="1611"/>
      <c r="L7" s="1611"/>
      <c r="M7" s="1611"/>
      <c r="N7" s="1611"/>
      <c r="O7" s="1611"/>
      <c r="P7" s="1611"/>
    </row>
    <row r="8" spans="1:16" ht="14.25" thickBot="1">
      <c r="A8" s="1150" t="s">
        <v>0</v>
      </c>
      <c r="B8" s="1151"/>
      <c r="C8" s="1099"/>
      <c r="E8" s="1611"/>
      <c r="F8" s="1611"/>
      <c r="G8" s="1611"/>
      <c r="H8" s="1611"/>
      <c r="I8" s="1611"/>
      <c r="J8" s="1611"/>
      <c r="K8" s="1611"/>
      <c r="L8" s="1611"/>
      <c r="M8" s="1611"/>
      <c r="N8" s="1611"/>
      <c r="O8" s="1611"/>
      <c r="P8" s="1611"/>
    </row>
    <row r="9" spans="1:16" ht="14.25" thickBot="1">
      <c r="A9" s="1158" t="s">
        <v>1</v>
      </c>
      <c r="B9" s="1159"/>
      <c r="C9" s="1165">
        <f>C11+C34+C58+C72+C85+C115</f>
        <v>1124479183.0610001</v>
      </c>
      <c r="D9" s="696"/>
      <c r="E9" s="1611"/>
      <c r="F9" s="1611"/>
      <c r="G9" s="1611"/>
      <c r="H9" s="1611"/>
      <c r="I9" s="1611"/>
      <c r="J9" s="1611"/>
      <c r="K9" s="1611"/>
      <c r="L9" s="1611"/>
      <c r="M9" s="1611"/>
      <c r="N9" s="1611"/>
      <c r="O9" s="1611"/>
      <c r="P9" s="1611"/>
    </row>
    <row r="10" spans="1:16" ht="14.25" thickBot="1">
      <c r="A10" s="15"/>
      <c r="B10" s="15"/>
      <c r="C10" s="16"/>
      <c r="E10" s="1612"/>
      <c r="F10" s="1612"/>
      <c r="G10" s="1612"/>
      <c r="H10" s="1612"/>
      <c r="I10" s="1612"/>
      <c r="J10" s="1612"/>
      <c r="K10" s="1611"/>
      <c r="L10" s="1611"/>
      <c r="M10" s="1611"/>
      <c r="N10" s="1611"/>
      <c r="O10" s="1611"/>
      <c r="P10" s="1611"/>
    </row>
    <row r="11" spans="1:16" ht="14.25" thickBot="1">
      <c r="A11" s="1579" t="s">
        <v>2</v>
      </c>
      <c r="B11" s="1580"/>
      <c r="C11" s="1581">
        <f>C12+C19+C26</f>
        <v>369428482.92750001</v>
      </c>
      <c r="E11" s="1613"/>
      <c r="F11" s="1613"/>
      <c r="G11" s="1613"/>
      <c r="H11" s="1613"/>
      <c r="I11" s="1613"/>
      <c r="J11" s="1614"/>
      <c r="K11" s="1611"/>
      <c r="L11" s="1611"/>
      <c r="M11" s="1611"/>
      <c r="N11" s="1611"/>
      <c r="O11" s="1611"/>
      <c r="P11" s="1611"/>
    </row>
    <row r="12" spans="1:16" ht="13.5">
      <c r="A12" s="48">
        <v>211101</v>
      </c>
      <c r="B12" s="22" t="s">
        <v>667</v>
      </c>
      <c r="C12" s="26">
        <f>SUM(C13:C18)</f>
        <v>47841501.778749987</v>
      </c>
      <c r="E12" s="1615"/>
      <c r="F12" s="1615"/>
      <c r="G12" s="1615"/>
      <c r="H12" s="1615"/>
      <c r="I12" s="1615"/>
      <c r="J12" s="1611"/>
      <c r="K12" s="1611"/>
      <c r="L12" s="1611"/>
      <c r="M12" s="1611"/>
      <c r="N12" s="1611"/>
      <c r="O12" s="1611"/>
      <c r="P12" s="1611"/>
    </row>
    <row r="13" spans="1:16" ht="13.5">
      <c r="A13" s="33">
        <v>21110101</v>
      </c>
      <c r="B13" s="24" t="s">
        <v>810</v>
      </c>
      <c r="C13" s="24">
        <f>(34356429.08+241114198.7475+0.01)/2-100000000</f>
        <v>37735313.918749988</v>
      </c>
      <c r="E13" s="1615"/>
      <c r="F13" s="1615"/>
      <c r="G13" s="1615"/>
      <c r="H13" s="1615"/>
      <c r="I13" s="1615"/>
      <c r="J13" s="1611"/>
      <c r="K13" s="1611"/>
      <c r="L13" s="1611"/>
      <c r="M13" s="1611"/>
      <c r="N13" s="1611"/>
      <c r="O13" s="1611"/>
      <c r="P13" s="1611"/>
    </row>
    <row r="14" spans="1:16" ht="13.5">
      <c r="A14" s="33">
        <v>21110102</v>
      </c>
      <c r="B14" s="24" t="s">
        <v>811</v>
      </c>
      <c r="C14" s="24">
        <v>8301768.8600000003</v>
      </c>
      <c r="E14" s="1611"/>
      <c r="F14" s="1611"/>
      <c r="G14" s="1616"/>
      <c r="H14" s="1611"/>
      <c r="I14" s="1611"/>
      <c r="J14" s="1611"/>
      <c r="K14" s="1611"/>
      <c r="L14" s="1611"/>
      <c r="M14" s="1611"/>
      <c r="N14" s="1611"/>
      <c r="O14" s="1611"/>
      <c r="P14" s="1611"/>
    </row>
    <row r="15" spans="1:16" ht="13.5">
      <c r="A15" s="33">
        <v>21110103</v>
      </c>
      <c r="B15" s="24" t="s">
        <v>812</v>
      </c>
      <c r="C15" s="24">
        <v>964148</v>
      </c>
      <c r="E15" s="1611"/>
      <c r="F15" s="1611"/>
      <c r="G15" s="1614"/>
      <c r="H15" s="1611"/>
      <c r="I15" s="1611"/>
      <c r="J15" s="1611"/>
      <c r="K15" s="1611"/>
      <c r="L15" s="1611"/>
      <c r="M15" s="1611"/>
      <c r="N15" s="1611"/>
      <c r="O15" s="1611"/>
      <c r="P15" s="1611"/>
    </row>
    <row r="16" spans="1:16" ht="13.5">
      <c r="A16" s="33">
        <v>21110104</v>
      </c>
      <c r="B16" s="24" t="s">
        <v>813</v>
      </c>
      <c r="C16" s="24">
        <v>1</v>
      </c>
      <c r="E16" s="1611"/>
      <c r="F16" s="1611"/>
      <c r="G16" s="1611"/>
      <c r="H16" s="1611"/>
      <c r="I16" s="1611"/>
      <c r="J16" s="1611"/>
      <c r="K16" s="1611"/>
      <c r="L16" s="1611"/>
      <c r="M16" s="1611"/>
      <c r="N16" s="1611"/>
      <c r="O16" s="1611"/>
      <c r="P16" s="1611"/>
    </row>
    <row r="17" spans="1:16" ht="13.5">
      <c r="A17" s="33">
        <v>21110105</v>
      </c>
      <c r="B17" s="24" t="s">
        <v>814</v>
      </c>
      <c r="C17" s="24">
        <v>840269</v>
      </c>
      <c r="E17" s="1611"/>
      <c r="F17" s="1611"/>
      <c r="G17" s="1611"/>
      <c r="H17" s="1611"/>
      <c r="I17" s="1611"/>
      <c r="J17" s="1611"/>
      <c r="K17" s="1611"/>
      <c r="L17" s="1611"/>
      <c r="M17" s="1611"/>
      <c r="N17" s="1611"/>
      <c r="O17" s="1611"/>
      <c r="P17" s="1611"/>
    </row>
    <row r="18" spans="1:16" ht="13.5">
      <c r="A18" s="33">
        <v>21110106</v>
      </c>
      <c r="B18" s="24" t="s">
        <v>815</v>
      </c>
      <c r="C18" s="24">
        <v>1</v>
      </c>
    </row>
    <row r="19" spans="1:16" ht="13.5">
      <c r="A19" s="48">
        <v>211102</v>
      </c>
      <c r="B19" s="26" t="s">
        <v>668</v>
      </c>
      <c r="C19" s="26">
        <f>SUM(C20:C25)</f>
        <v>235429498.66</v>
      </c>
    </row>
    <row r="20" spans="1:16" ht="13.5">
      <c r="A20" s="33">
        <v>21110201</v>
      </c>
      <c r="B20" s="24" t="s">
        <v>816</v>
      </c>
      <c r="C20" s="24">
        <f>(34356429.08+355928524.185)/2</f>
        <v>195142476.63249999</v>
      </c>
    </row>
    <row r="21" spans="1:16" ht="13.5">
      <c r="A21" s="33">
        <v>21110202</v>
      </c>
      <c r="B21" s="24" t="s">
        <v>817</v>
      </c>
      <c r="C21" s="24">
        <f>(9974447.15+59325689.475)/2</f>
        <v>34650068.3125</v>
      </c>
    </row>
    <row r="22" spans="1:16" ht="13.5">
      <c r="A22" s="33">
        <v>21110203</v>
      </c>
      <c r="B22" s="24" t="s">
        <v>818</v>
      </c>
      <c r="C22" s="24">
        <f>11031281.43/2</f>
        <v>5515640.7149999999</v>
      </c>
    </row>
    <row r="23" spans="1:16" ht="13.5">
      <c r="A23" s="33">
        <v>21110204</v>
      </c>
      <c r="B23" s="24" t="s">
        <v>819</v>
      </c>
      <c r="C23" s="24">
        <v>1</v>
      </c>
    </row>
    <row r="24" spans="1:16" ht="13.5">
      <c r="A24" s="33">
        <v>21110205</v>
      </c>
      <c r="B24" s="24" t="s">
        <v>820</v>
      </c>
      <c r="C24" s="24">
        <f>242622/2</f>
        <v>121311</v>
      </c>
    </row>
    <row r="25" spans="1:16" ht="13.5">
      <c r="A25" s="33">
        <v>21110206</v>
      </c>
      <c r="B25" s="24" t="s">
        <v>821</v>
      </c>
      <c r="C25" s="24">
        <v>1</v>
      </c>
    </row>
    <row r="26" spans="1:16" ht="13.5">
      <c r="A26" s="48">
        <v>211103</v>
      </c>
      <c r="B26" s="26" t="s">
        <v>669</v>
      </c>
      <c r="C26" s="26">
        <f>SUM(C27:C32)</f>
        <v>86157482.488750011</v>
      </c>
    </row>
    <row r="27" spans="1:16" ht="13.5">
      <c r="A27" s="33">
        <v>21110301</v>
      </c>
      <c r="B27" s="24" t="s">
        <v>822</v>
      </c>
      <c r="C27" s="24">
        <f>(34356429.08+187516275.6675)/2-40000000</f>
        <v>70936352.373750001</v>
      </c>
    </row>
    <row r="28" spans="1:16" ht="13.5">
      <c r="A28" s="33">
        <v>21110302</v>
      </c>
      <c r="B28" s="24" t="s">
        <v>823</v>
      </c>
      <c r="C28" s="24">
        <f>(9974447.15+31035477.6225)/2-8800000</f>
        <v>11704962.38625</v>
      </c>
    </row>
    <row r="29" spans="1:16" ht="13.5">
      <c r="A29" s="33">
        <v>21110303</v>
      </c>
      <c r="B29" s="24" t="s">
        <v>824</v>
      </c>
      <c r="C29" s="24">
        <f>(5921213.7075)/2-1000000</f>
        <v>1960606.8537499998</v>
      </c>
    </row>
    <row r="30" spans="1:16" ht="13.5">
      <c r="A30" s="33">
        <v>21110304</v>
      </c>
      <c r="B30" s="24" t="s">
        <v>825</v>
      </c>
      <c r="C30" s="24">
        <v>1</v>
      </c>
    </row>
    <row r="31" spans="1:16" ht="13.5">
      <c r="A31" s="33">
        <v>21110305</v>
      </c>
      <c r="B31" s="24" t="s">
        <v>826</v>
      </c>
      <c r="C31" s="24">
        <f>3111117.75/2</f>
        <v>1555558.875</v>
      </c>
    </row>
    <row r="32" spans="1:16" ht="13.5">
      <c r="A32" s="33">
        <v>21110306</v>
      </c>
      <c r="B32" s="24" t="s">
        <v>670</v>
      </c>
      <c r="C32" s="24">
        <v>1</v>
      </c>
    </row>
    <row r="33" spans="1:3" ht="14.25" thickBot="1">
      <c r="A33" s="23"/>
      <c r="B33" s="24"/>
      <c r="C33" s="24"/>
    </row>
    <row r="34" spans="1:3" ht="14.25" thickBot="1">
      <c r="A34" s="1297" t="s">
        <v>9</v>
      </c>
      <c r="B34" s="1281"/>
      <c r="C34" s="1582">
        <f>C35+C37+C39+C41+C43+C50+C53</f>
        <v>12069500</v>
      </c>
    </row>
    <row r="35" spans="1:3" ht="13.5">
      <c r="A35" s="48">
        <v>211201</v>
      </c>
      <c r="B35" s="22" t="s">
        <v>459</v>
      </c>
      <c r="C35" s="16">
        <f>C36</f>
        <v>1748000</v>
      </c>
    </row>
    <row r="36" spans="1:3" ht="13.5">
      <c r="A36" s="33">
        <v>21120101</v>
      </c>
      <c r="B36" s="13" t="s">
        <v>460</v>
      </c>
      <c r="C36" s="24">
        <f>1500000+358000-110000</f>
        <v>1748000</v>
      </c>
    </row>
    <row r="37" spans="1:3" ht="13.5">
      <c r="A37" s="48">
        <v>211203</v>
      </c>
      <c r="B37" s="15" t="s">
        <v>461</v>
      </c>
      <c r="C37" s="26">
        <f>C38</f>
        <v>580000</v>
      </c>
    </row>
    <row r="38" spans="1:3" ht="13.5">
      <c r="A38" s="33">
        <v>21120302</v>
      </c>
      <c r="B38" s="13" t="s">
        <v>462</v>
      </c>
      <c r="C38" s="24">
        <f>500000+120000-40000</f>
        <v>580000</v>
      </c>
    </row>
    <row r="39" spans="1:3" ht="13.5">
      <c r="A39" s="48">
        <v>211204</v>
      </c>
      <c r="B39" s="15" t="s">
        <v>463</v>
      </c>
      <c r="C39" s="26">
        <f>C40</f>
        <v>1940000</v>
      </c>
    </row>
    <row r="40" spans="1:3" ht="13.5">
      <c r="A40" s="33">
        <v>21120401</v>
      </c>
      <c r="B40" s="24" t="s">
        <v>464</v>
      </c>
      <c r="C40" s="24">
        <f>1000000+1090000-150000</f>
        <v>1940000</v>
      </c>
    </row>
    <row r="41" spans="1:3" ht="13.5">
      <c r="A41" s="48">
        <v>211205</v>
      </c>
      <c r="B41" s="26" t="s">
        <v>465</v>
      </c>
      <c r="C41" s="26">
        <f>C42</f>
        <v>1433500</v>
      </c>
    </row>
    <row r="42" spans="1:3" ht="13.5">
      <c r="A42" s="33">
        <v>21120501</v>
      </c>
      <c r="B42" s="24" t="s">
        <v>466</v>
      </c>
      <c r="C42" s="24">
        <v>1433500</v>
      </c>
    </row>
    <row r="43" spans="1:3" ht="13.5">
      <c r="A43" s="48">
        <v>211207</v>
      </c>
      <c r="B43" s="26" t="s">
        <v>467</v>
      </c>
      <c r="C43" s="26">
        <f>SUM(C44:C49)</f>
        <v>3124500</v>
      </c>
    </row>
    <row r="44" spans="1:3" ht="13.5">
      <c r="A44" s="33">
        <v>21120702</v>
      </c>
      <c r="B44" s="24" t="s">
        <v>468</v>
      </c>
      <c r="C44" s="24">
        <f>500000+138000-10000</f>
        <v>628000</v>
      </c>
    </row>
    <row r="45" spans="1:3" ht="13.5">
      <c r="A45" s="33">
        <v>21120704</v>
      </c>
      <c r="B45" s="24" t="s">
        <v>469</v>
      </c>
      <c r="C45" s="24">
        <f>500000+172500</f>
        <v>672500</v>
      </c>
    </row>
    <row r="46" spans="1:3" ht="13.5">
      <c r="A46" s="33">
        <v>21120708</v>
      </c>
      <c r="B46" s="13" t="s">
        <v>470</v>
      </c>
      <c r="C46" s="24">
        <f>300000+70000</f>
        <v>370000</v>
      </c>
    </row>
    <row r="47" spans="1:3" ht="13.5">
      <c r="A47" s="33">
        <v>21120709</v>
      </c>
      <c r="B47" s="24" t="s">
        <v>471</v>
      </c>
      <c r="C47" s="24">
        <f>200000+50000</f>
        <v>250000</v>
      </c>
    </row>
    <row r="48" spans="1:3" ht="13.5">
      <c r="A48" s="33">
        <v>21120710</v>
      </c>
      <c r="B48" s="24" t="s">
        <v>472</v>
      </c>
      <c r="C48" s="24">
        <f>500000+120000</f>
        <v>620000</v>
      </c>
    </row>
    <row r="49" spans="1:3" ht="13.5">
      <c r="A49" s="33">
        <v>21120711</v>
      </c>
      <c r="B49" s="24" t="s">
        <v>473</v>
      </c>
      <c r="C49" s="24">
        <f>500000+94000-10000</f>
        <v>584000</v>
      </c>
    </row>
    <row r="50" spans="1:3" ht="13.5">
      <c r="A50" s="48">
        <v>211208</v>
      </c>
      <c r="B50" s="26" t="s">
        <v>474</v>
      </c>
      <c r="C50" s="26">
        <f>SUM(C51:C52)</f>
        <v>1653500</v>
      </c>
    </row>
    <row r="51" spans="1:3" ht="13.5">
      <c r="A51" s="33">
        <v>21120801</v>
      </c>
      <c r="B51" s="13" t="s">
        <v>475</v>
      </c>
      <c r="C51" s="24">
        <v>980000</v>
      </c>
    </row>
    <row r="52" spans="1:3" ht="13.5">
      <c r="A52" s="33">
        <v>21120805</v>
      </c>
      <c r="B52" s="24" t="s">
        <v>476</v>
      </c>
      <c r="C52" s="14">
        <v>673500</v>
      </c>
    </row>
    <row r="53" spans="1:3" ht="13.5">
      <c r="A53" s="48">
        <v>211209</v>
      </c>
      <c r="B53" s="26" t="s">
        <v>477</v>
      </c>
      <c r="C53" s="16">
        <f>SUM(C54:C56)</f>
        <v>1590000</v>
      </c>
    </row>
    <row r="54" spans="1:3" ht="13.5">
      <c r="A54" s="33">
        <v>21120901</v>
      </c>
      <c r="B54" s="24" t="s">
        <v>478</v>
      </c>
      <c r="C54" s="24">
        <f>500000+50000-350000</f>
        <v>200000</v>
      </c>
    </row>
    <row r="55" spans="1:3" ht="13.5">
      <c r="A55" s="33">
        <v>21120906</v>
      </c>
      <c r="B55" s="24" t="s">
        <v>479</v>
      </c>
      <c r="C55" s="24">
        <f>500000+250000-20000</f>
        <v>730000</v>
      </c>
    </row>
    <row r="56" spans="1:3" ht="13.5">
      <c r="A56" s="33">
        <v>21120907</v>
      </c>
      <c r="B56" s="13" t="s">
        <v>480</v>
      </c>
      <c r="C56" s="24">
        <f>500000+160000</f>
        <v>660000</v>
      </c>
    </row>
    <row r="57" spans="1:3" ht="14.25" thickBot="1">
      <c r="A57" s="23"/>
      <c r="B57" s="24"/>
      <c r="C57" s="24"/>
    </row>
    <row r="58" spans="1:3" ht="14.25" thickBot="1">
      <c r="A58" s="1583" t="s">
        <v>4</v>
      </c>
      <c r="B58" s="1286"/>
      <c r="C58" s="1584">
        <f>C59+C62+C64+C67</f>
        <v>14567074.523499999</v>
      </c>
    </row>
    <row r="59" spans="1:3" ht="13.5">
      <c r="A59" s="22">
        <v>211302</v>
      </c>
      <c r="B59" s="22" t="s">
        <v>481</v>
      </c>
      <c r="C59" s="16">
        <f>SUM(C60:C61)</f>
        <v>3027000</v>
      </c>
    </row>
    <row r="60" spans="1:3" ht="13.5">
      <c r="A60" s="40">
        <v>21130201</v>
      </c>
      <c r="B60" s="13" t="s">
        <v>482</v>
      </c>
      <c r="C60" s="14">
        <v>2877000</v>
      </c>
    </row>
    <row r="61" spans="1:3" ht="13.5">
      <c r="A61" s="40">
        <v>21130204</v>
      </c>
      <c r="B61" s="13" t="s">
        <v>483</v>
      </c>
      <c r="C61" s="14">
        <v>150000</v>
      </c>
    </row>
    <row r="62" spans="1:3" ht="13.5">
      <c r="A62" s="22">
        <v>211305</v>
      </c>
      <c r="B62" s="15" t="s">
        <v>489</v>
      </c>
      <c r="C62" s="16">
        <f>SUM(C63:C63)</f>
        <v>5000000</v>
      </c>
    </row>
    <row r="63" spans="1:3" ht="13.5">
      <c r="A63" s="40">
        <v>21130502</v>
      </c>
      <c r="B63" s="13" t="s">
        <v>491</v>
      </c>
      <c r="C63" s="43">
        <v>5000000</v>
      </c>
    </row>
    <row r="64" spans="1:3" ht="13.5">
      <c r="A64" s="22">
        <v>211306</v>
      </c>
      <c r="B64" s="15" t="s">
        <v>492</v>
      </c>
      <c r="C64" s="16">
        <f>SUM(C65:C66)</f>
        <v>274074.52350000001</v>
      </c>
    </row>
    <row r="65" spans="1:24" ht="13.5">
      <c r="A65" s="40">
        <v>21130604</v>
      </c>
      <c r="B65" s="13" t="s">
        <v>539</v>
      </c>
      <c r="C65" s="14">
        <f>104074.5235</f>
        <v>104074.5235</v>
      </c>
    </row>
    <row r="66" spans="1:24" ht="13.5">
      <c r="A66" s="40">
        <v>21130607</v>
      </c>
      <c r="B66" s="13" t="s">
        <v>493</v>
      </c>
      <c r="C66" s="14">
        <f>35000+35000+100000</f>
        <v>170000</v>
      </c>
    </row>
    <row r="67" spans="1:24" ht="13.5">
      <c r="A67" s="22">
        <v>211309</v>
      </c>
      <c r="B67" s="15" t="s">
        <v>496</v>
      </c>
      <c r="C67" s="16">
        <f>SUM(C68:C70)</f>
        <v>6266000</v>
      </c>
    </row>
    <row r="68" spans="1:24" ht="13.5">
      <c r="A68" s="40">
        <v>21130901</v>
      </c>
      <c r="B68" s="13" t="s">
        <v>497</v>
      </c>
      <c r="C68" s="43">
        <f>1000000+1687500</f>
        <v>2687500</v>
      </c>
    </row>
    <row r="69" spans="1:24" ht="13.5">
      <c r="A69" s="40">
        <v>21130903</v>
      </c>
      <c r="B69" s="13" t="s">
        <v>498</v>
      </c>
      <c r="C69" s="14">
        <v>883000</v>
      </c>
    </row>
    <row r="70" spans="1:24" ht="13.5">
      <c r="A70" s="40">
        <v>21130908</v>
      </c>
      <c r="B70" s="13" t="s">
        <v>500</v>
      </c>
      <c r="C70" s="43">
        <v>2695500</v>
      </c>
    </row>
    <row r="71" spans="1:24" ht="14.25" thickBot="1">
      <c r="A71" s="45"/>
      <c r="B71" s="45"/>
      <c r="C71" s="46"/>
    </row>
    <row r="72" spans="1:24" ht="12.75" customHeight="1" thickBot="1">
      <c r="A72" s="1287" t="s">
        <v>45</v>
      </c>
      <c r="B72" s="1281"/>
      <c r="C72" s="47">
        <f>C73+C79</f>
        <v>548566122.61000001</v>
      </c>
      <c r="D72" s="30"/>
      <c r="E72" s="30"/>
      <c r="F72" s="30"/>
      <c r="G72" s="30"/>
      <c r="H72" s="30"/>
      <c r="I72" s="30"/>
      <c r="J72" s="30"/>
      <c r="K72" s="30"/>
      <c r="L72" s="30"/>
      <c r="M72" s="8"/>
      <c r="N72" s="8"/>
      <c r="O72" s="8"/>
      <c r="P72" s="8"/>
      <c r="Q72" s="8"/>
      <c r="R72" s="8"/>
      <c r="S72" s="8"/>
      <c r="T72" s="8"/>
      <c r="U72" s="8"/>
      <c r="V72" s="8"/>
      <c r="W72" s="8"/>
      <c r="X72" s="8"/>
    </row>
    <row r="73" spans="1:24" ht="12.75" customHeight="1">
      <c r="A73" s="48">
        <v>211401</v>
      </c>
      <c r="B73" s="48" t="s">
        <v>501</v>
      </c>
      <c r="C73" s="26">
        <f>+SUM(C74:C78)</f>
        <v>528529623.61000001</v>
      </c>
      <c r="D73" s="30"/>
      <c r="E73" s="30"/>
      <c r="F73" s="30"/>
      <c r="G73" s="30"/>
      <c r="H73" s="30"/>
      <c r="I73" s="30"/>
      <c r="J73" s="30"/>
      <c r="K73" s="30"/>
      <c r="L73" s="30"/>
      <c r="M73" s="8"/>
      <c r="N73" s="8"/>
      <c r="O73" s="8"/>
      <c r="P73" s="8"/>
      <c r="Q73" s="8"/>
      <c r="R73" s="8"/>
      <c r="S73" s="8"/>
      <c r="T73" s="8"/>
      <c r="U73" s="8"/>
      <c r="V73" s="8"/>
      <c r="W73" s="8"/>
      <c r="X73" s="8"/>
    </row>
    <row r="74" spans="1:24" ht="12.75" customHeight="1">
      <c r="A74" s="33">
        <v>21140102</v>
      </c>
      <c r="B74" s="24" t="s">
        <v>547</v>
      </c>
      <c r="C74" s="24">
        <f>100400000-15000000</f>
        <v>85400000</v>
      </c>
      <c r="D74" s="30"/>
      <c r="E74" s="30"/>
      <c r="F74" s="30"/>
      <c r="G74" s="30"/>
      <c r="H74" s="30"/>
      <c r="I74" s="30"/>
      <c r="J74" s="30"/>
      <c r="K74" s="30"/>
      <c r="L74" s="30"/>
      <c r="M74" s="8"/>
      <c r="N74" s="8"/>
      <c r="O74" s="8"/>
      <c r="P74" s="8"/>
      <c r="Q74" s="8"/>
      <c r="R74" s="8"/>
      <c r="S74" s="8"/>
      <c r="T74" s="8"/>
      <c r="U74" s="8"/>
      <c r="V74" s="8"/>
      <c r="W74" s="8"/>
      <c r="X74" s="8"/>
    </row>
    <row r="75" spans="1:24" ht="12.75" customHeight="1">
      <c r="A75" s="33">
        <v>21140103</v>
      </c>
      <c r="B75" s="24" t="s">
        <v>548</v>
      </c>
      <c r="C75" s="24">
        <f>12000000*1.4*12-15000000</f>
        <v>186600000</v>
      </c>
      <c r="D75" s="30"/>
      <c r="E75" s="30"/>
      <c r="F75" s="30"/>
      <c r="G75" s="30"/>
      <c r="H75" s="30"/>
      <c r="I75" s="30"/>
      <c r="J75" s="30"/>
      <c r="K75" s="30"/>
      <c r="L75" s="30"/>
      <c r="M75" s="8"/>
      <c r="N75" s="8"/>
      <c r="O75" s="8"/>
      <c r="P75" s="8"/>
      <c r="Q75" s="8"/>
      <c r="R75" s="8"/>
      <c r="S75" s="8"/>
      <c r="T75" s="8"/>
      <c r="U75" s="8"/>
      <c r="V75" s="8"/>
      <c r="W75" s="8"/>
      <c r="X75" s="8"/>
    </row>
    <row r="76" spans="1:24" ht="12.75" customHeight="1">
      <c r="A76" s="33">
        <v>21140104</v>
      </c>
      <c r="B76" s="24" t="s">
        <v>802</v>
      </c>
      <c r="C76" s="24">
        <f>79173204.93+100000000+45000000-1+75000</f>
        <v>224248203.93000001</v>
      </c>
      <c r="D76" s="30"/>
      <c r="E76" s="30"/>
      <c r="F76" s="30"/>
      <c r="G76" s="30"/>
      <c r="H76" s="30"/>
      <c r="I76" s="30"/>
      <c r="J76" s="30"/>
      <c r="K76" s="30"/>
      <c r="L76" s="30"/>
      <c r="M76" s="8"/>
      <c r="N76" s="8"/>
      <c r="O76" s="8"/>
      <c r="P76" s="8"/>
      <c r="Q76" s="8"/>
      <c r="R76" s="8"/>
      <c r="S76" s="8"/>
      <c r="T76" s="8"/>
      <c r="U76" s="8"/>
      <c r="V76" s="8"/>
      <c r="W76" s="8"/>
      <c r="X76" s="8"/>
    </row>
    <row r="77" spans="1:24" ht="13.5" customHeight="1">
      <c r="A77" s="33">
        <v>21140108</v>
      </c>
      <c r="B77" s="24" t="s">
        <v>502</v>
      </c>
      <c r="C77" s="24">
        <f>146793419.68+488000-100000000-15000000</f>
        <v>32281419.680000007</v>
      </c>
      <c r="D77" s="30"/>
      <c r="E77" s="30"/>
      <c r="F77" s="30"/>
      <c r="G77" s="30"/>
      <c r="H77" s="30"/>
      <c r="I77" s="30"/>
      <c r="J77" s="30"/>
      <c r="K77" s="30"/>
      <c r="L77" s="30"/>
      <c r="M77" s="13"/>
      <c r="N77" s="13"/>
      <c r="O77" s="13"/>
      <c r="P77" s="13"/>
      <c r="Q77" s="13"/>
      <c r="R77" s="13"/>
      <c r="S77" s="13"/>
      <c r="T77" s="13"/>
      <c r="U77" s="13"/>
      <c r="V77" s="13"/>
      <c r="W77" s="13"/>
      <c r="X77" s="13"/>
    </row>
    <row r="78" spans="1:24" ht="13.5" customHeight="1">
      <c r="A78" s="33">
        <v>21140109</v>
      </c>
      <c r="B78" s="13" t="s">
        <v>549</v>
      </c>
      <c r="C78" s="24">
        <v>0</v>
      </c>
      <c r="D78" s="30"/>
      <c r="E78" s="30"/>
      <c r="F78" s="30"/>
      <c r="G78" s="30"/>
      <c r="H78" s="30"/>
      <c r="I78" s="30"/>
      <c r="J78" s="30"/>
      <c r="K78" s="30"/>
      <c r="L78" s="30"/>
      <c r="M78" s="13"/>
      <c r="N78" s="13"/>
      <c r="O78" s="13"/>
      <c r="P78" s="13"/>
      <c r="Q78" s="13"/>
      <c r="R78" s="13"/>
      <c r="S78" s="13"/>
      <c r="T78" s="13"/>
      <c r="U78" s="13"/>
      <c r="V78" s="13"/>
      <c r="W78" s="13"/>
      <c r="X78" s="13"/>
    </row>
    <row r="79" spans="1:24" ht="13.5" customHeight="1">
      <c r="A79" s="48">
        <v>211402</v>
      </c>
      <c r="B79" s="21" t="s">
        <v>503</v>
      </c>
      <c r="C79" s="26">
        <f>+SUM(C80:C83)</f>
        <v>20036499</v>
      </c>
      <c r="D79" s="10"/>
      <c r="E79" s="10"/>
      <c r="F79" s="10"/>
      <c r="G79" s="10"/>
      <c r="H79" s="10"/>
      <c r="I79" s="10"/>
      <c r="J79" s="10"/>
      <c r="K79" s="10"/>
      <c r="L79" s="10"/>
      <c r="M79" s="13"/>
      <c r="N79" s="13"/>
      <c r="O79" s="13"/>
      <c r="P79" s="13"/>
      <c r="Q79" s="13"/>
      <c r="R79" s="13"/>
      <c r="S79" s="13"/>
      <c r="T79" s="13"/>
      <c r="U79" s="13"/>
      <c r="V79" s="13"/>
      <c r="W79" s="13"/>
      <c r="X79" s="13"/>
    </row>
    <row r="80" spans="1:24" ht="13.5" customHeight="1">
      <c r="A80" s="33">
        <v>21140203</v>
      </c>
      <c r="B80" s="24" t="s">
        <v>550</v>
      </c>
      <c r="C80" s="24">
        <v>10000000</v>
      </c>
      <c r="D80" s="10"/>
      <c r="E80" s="10"/>
      <c r="F80" s="10"/>
      <c r="G80" s="10"/>
      <c r="H80" s="10"/>
      <c r="I80" s="10"/>
      <c r="J80" s="10"/>
      <c r="K80" s="10"/>
      <c r="L80" s="10"/>
      <c r="M80" s="13"/>
      <c r="N80" s="13"/>
      <c r="O80" s="13"/>
      <c r="P80" s="13"/>
      <c r="Q80" s="13"/>
      <c r="R80" s="13"/>
      <c r="S80" s="13"/>
      <c r="T80" s="13"/>
      <c r="U80" s="13"/>
      <c r="V80" s="13"/>
      <c r="W80" s="13"/>
      <c r="X80" s="13"/>
    </row>
    <row r="81" spans="1:24" ht="12.75" customHeight="1">
      <c r="A81" s="33">
        <v>21140209</v>
      </c>
      <c r="B81" s="13" t="s">
        <v>551</v>
      </c>
      <c r="C81" s="24">
        <f>10036500-1</f>
        <v>10036499</v>
      </c>
      <c r="D81" s="30"/>
      <c r="E81" s="30"/>
      <c r="F81" s="30"/>
      <c r="G81" s="30"/>
      <c r="H81" s="30"/>
      <c r="I81" s="30"/>
      <c r="J81" s="30"/>
      <c r="K81" s="30"/>
      <c r="L81" s="30"/>
      <c r="M81" s="8"/>
      <c r="N81" s="8"/>
      <c r="O81" s="8"/>
      <c r="P81" s="8"/>
      <c r="Q81" s="8"/>
      <c r="R81" s="8"/>
      <c r="S81" s="8"/>
      <c r="T81" s="8"/>
      <c r="U81" s="8"/>
      <c r="V81" s="8"/>
      <c r="W81" s="8"/>
      <c r="X81" s="8"/>
    </row>
    <row r="82" spans="1:24" ht="12.75" customHeight="1">
      <c r="A82" s="33">
        <v>21140212</v>
      </c>
      <c r="B82" s="13" t="s">
        <v>552</v>
      </c>
      <c r="C82" s="24">
        <v>0</v>
      </c>
      <c r="D82" s="30"/>
      <c r="E82" s="30"/>
      <c r="F82" s="30"/>
      <c r="G82" s="30"/>
      <c r="H82" s="30"/>
      <c r="I82" s="30"/>
      <c r="J82" s="30"/>
      <c r="K82" s="30"/>
      <c r="L82" s="30"/>
      <c r="M82" s="8"/>
      <c r="N82" s="8"/>
      <c r="O82" s="8"/>
      <c r="P82" s="8"/>
      <c r="Q82" s="8"/>
      <c r="R82" s="8"/>
      <c r="S82" s="8"/>
      <c r="T82" s="8"/>
      <c r="U82" s="8"/>
      <c r="V82" s="8"/>
      <c r="W82" s="8"/>
      <c r="X82" s="8"/>
    </row>
    <row r="83" spans="1:24" ht="12.75" customHeight="1">
      <c r="A83" s="33">
        <v>21140213</v>
      </c>
      <c r="B83" s="24" t="s">
        <v>504</v>
      </c>
      <c r="C83" s="24">
        <v>0</v>
      </c>
      <c r="D83" s="30"/>
      <c r="E83" s="30"/>
      <c r="F83" s="30"/>
      <c r="G83" s="30"/>
      <c r="H83" s="30"/>
      <c r="I83" s="30"/>
      <c r="J83" s="30"/>
      <c r="K83" s="30"/>
      <c r="L83" s="30"/>
      <c r="M83" s="8"/>
      <c r="N83" s="8"/>
      <c r="O83" s="8"/>
      <c r="P83" s="8"/>
      <c r="Q83" s="8"/>
      <c r="R83" s="8"/>
      <c r="S83" s="8"/>
      <c r="T83" s="8"/>
      <c r="U83" s="8"/>
      <c r="V83" s="8"/>
      <c r="W83" s="8"/>
      <c r="X83" s="8"/>
    </row>
    <row r="84" spans="1:24" ht="14.25" thickBot="1">
      <c r="A84" s="13"/>
      <c r="B84" s="13"/>
      <c r="C84" s="14"/>
    </row>
    <row r="85" spans="1:24" ht="14.25" thickBot="1">
      <c r="A85" s="1299" t="s">
        <v>48</v>
      </c>
      <c r="B85" s="1281"/>
      <c r="C85" s="1585">
        <f>C86+C89+C91+C95</f>
        <v>1868003</v>
      </c>
    </row>
    <row r="86" spans="1:24" ht="13.5">
      <c r="A86" s="48">
        <v>221101</v>
      </c>
      <c r="B86" s="26" t="s">
        <v>505</v>
      </c>
      <c r="C86" s="26">
        <v>2</v>
      </c>
    </row>
    <row r="87" spans="1:24" ht="13.5">
      <c r="A87" s="33">
        <v>22110101</v>
      </c>
      <c r="B87" s="23" t="s">
        <v>506</v>
      </c>
      <c r="C87" s="24">
        <v>1</v>
      </c>
    </row>
    <row r="88" spans="1:24" ht="13.5">
      <c r="A88" s="33">
        <v>22110102</v>
      </c>
      <c r="B88" s="23" t="s">
        <v>507</v>
      </c>
      <c r="C88" s="24">
        <v>1</v>
      </c>
    </row>
    <row r="89" spans="1:24" ht="13.5">
      <c r="A89" s="48">
        <v>221103</v>
      </c>
      <c r="B89" s="26" t="s">
        <v>508</v>
      </c>
      <c r="C89" s="26">
        <v>1</v>
      </c>
    </row>
    <row r="90" spans="1:24" ht="13.5">
      <c r="A90" s="33">
        <v>22110301</v>
      </c>
      <c r="B90" s="24" t="s">
        <v>509</v>
      </c>
      <c r="C90" s="24">
        <v>1</v>
      </c>
    </row>
    <row r="91" spans="1:24" ht="13.5">
      <c r="A91" s="48">
        <v>221104</v>
      </c>
      <c r="B91" s="22" t="s">
        <v>510</v>
      </c>
      <c r="C91" s="16">
        <f>SUM(C92:C94)</f>
        <v>780000</v>
      </c>
    </row>
    <row r="92" spans="1:24" ht="13.5">
      <c r="A92" s="33">
        <v>22110401</v>
      </c>
      <c r="B92" s="24" t="s">
        <v>511</v>
      </c>
      <c r="C92" s="24">
        <v>250000</v>
      </c>
    </row>
    <row r="93" spans="1:24" ht="13.5">
      <c r="A93" s="33">
        <v>22110404</v>
      </c>
      <c r="B93" s="24" t="s">
        <v>512</v>
      </c>
      <c r="C93" s="24">
        <f>-170000+500000</f>
        <v>330000</v>
      </c>
    </row>
    <row r="94" spans="1:24" ht="13.5">
      <c r="A94" s="33">
        <v>22110409</v>
      </c>
      <c r="B94" s="24" t="s">
        <v>513</v>
      </c>
      <c r="C94" s="24">
        <v>200000</v>
      </c>
    </row>
    <row r="95" spans="1:24" ht="13.5">
      <c r="A95" s="48">
        <v>221107</v>
      </c>
      <c r="B95" s="26" t="s">
        <v>514</v>
      </c>
      <c r="C95" s="26">
        <f>C96</f>
        <v>1088000</v>
      </c>
    </row>
    <row r="96" spans="1:24" ht="13.5">
      <c r="A96" s="33">
        <v>22110702</v>
      </c>
      <c r="B96" s="24" t="s">
        <v>515</v>
      </c>
      <c r="C96" s="24">
        <f>1000000+88000</f>
        <v>1088000</v>
      </c>
    </row>
    <row r="98" spans="1:24" ht="13.5" customHeight="1" thickBot="1">
      <c r="A98" s="100"/>
      <c r="B98" s="113"/>
      <c r="C98" s="72"/>
      <c r="D98" s="206"/>
      <c r="E98" s="135"/>
      <c r="F98" s="135"/>
      <c r="G98" s="135"/>
      <c r="H98" s="135"/>
      <c r="I98" s="135"/>
      <c r="J98" s="135"/>
      <c r="K98" s="135"/>
      <c r="L98" s="135"/>
      <c r="M98" s="135"/>
      <c r="N98" s="135"/>
      <c r="O98" s="135"/>
      <c r="P98" s="135"/>
      <c r="Q98" s="135"/>
      <c r="R98" s="135"/>
      <c r="S98" s="135"/>
      <c r="T98" s="135"/>
      <c r="U98" s="135"/>
      <c r="V98" s="135"/>
      <c r="W98" s="135"/>
    </row>
    <row r="99" spans="1:24" ht="12.75" customHeight="1">
      <c r="A99" s="1383" t="s">
        <v>285</v>
      </c>
      <c r="B99" s="1499"/>
      <c r="C99" s="1161" t="s">
        <v>827</v>
      </c>
      <c r="D99" s="28"/>
      <c r="E99" s="8"/>
      <c r="F99" s="8"/>
      <c r="G99" s="8"/>
      <c r="H99" s="4"/>
      <c r="I99" s="4"/>
      <c r="J99" s="4"/>
      <c r="K99" s="4"/>
      <c r="L99" s="4"/>
      <c r="M99" s="4"/>
      <c r="N99" s="4"/>
      <c r="O99" s="4"/>
      <c r="P99" s="4"/>
      <c r="Q99" s="4"/>
      <c r="R99" s="4"/>
      <c r="S99" s="4"/>
      <c r="T99" s="4"/>
      <c r="U99" s="4"/>
      <c r="V99" s="4"/>
      <c r="W99" s="4"/>
      <c r="X99" s="4"/>
    </row>
    <row r="100" spans="1:24" ht="15" customHeight="1" thickBot="1">
      <c r="A100" s="1385"/>
      <c r="B100" s="1498"/>
      <c r="C100" s="1500"/>
      <c r="D100" s="40"/>
      <c r="E100" s="8"/>
      <c r="F100" s="8"/>
      <c r="G100" s="8"/>
      <c r="H100" s="4"/>
      <c r="I100" s="4"/>
      <c r="J100" s="4"/>
      <c r="K100" s="4"/>
      <c r="L100" s="4"/>
      <c r="M100" s="4"/>
      <c r="N100" s="4"/>
      <c r="O100" s="4"/>
      <c r="P100" s="4"/>
      <c r="Q100" s="4"/>
      <c r="R100" s="4"/>
      <c r="S100" s="4"/>
      <c r="T100" s="4"/>
      <c r="U100" s="4"/>
      <c r="V100" s="4"/>
      <c r="W100" s="4"/>
      <c r="X100" s="4"/>
    </row>
    <row r="101" spans="1:24" ht="12.75" customHeight="1">
      <c r="A101" s="1543" t="s">
        <v>452</v>
      </c>
      <c r="B101" s="1544"/>
      <c r="C101" s="1549"/>
    </row>
    <row r="102" spans="1:24" ht="12.75" customHeight="1">
      <c r="A102" s="1545"/>
      <c r="B102" s="1546"/>
      <c r="C102" s="1550"/>
    </row>
    <row r="103" spans="1:24" ht="12.75" customHeight="1">
      <c r="A103" s="1545"/>
      <c r="B103" s="1546"/>
      <c r="C103" s="1550"/>
      <c r="F103" s="246"/>
    </row>
    <row r="104" spans="1:24" ht="12.75" customHeight="1">
      <c r="A104" s="1545"/>
      <c r="B104" s="1546"/>
      <c r="C104" s="1550"/>
    </row>
    <row r="105" spans="1:24" ht="12.75" customHeight="1">
      <c r="A105" s="1545"/>
      <c r="B105" s="1546"/>
      <c r="C105" s="1550"/>
    </row>
    <row r="106" spans="1:24" ht="12.75" customHeight="1">
      <c r="A106" s="1545"/>
      <c r="B106" s="1546"/>
      <c r="C106" s="1550"/>
    </row>
    <row r="107" spans="1:24" ht="12.75" customHeight="1">
      <c r="A107" s="1545"/>
      <c r="B107" s="1546"/>
      <c r="C107" s="1550"/>
    </row>
    <row r="108" spans="1:24" ht="12.75" customHeight="1">
      <c r="A108" s="1545"/>
      <c r="B108" s="1546"/>
      <c r="C108" s="1550"/>
    </row>
    <row r="109" spans="1:24" ht="12.75" customHeight="1">
      <c r="A109" s="1545"/>
      <c r="B109" s="1546"/>
      <c r="C109" s="1550"/>
    </row>
    <row r="110" spans="1:24" ht="12.75" customHeight="1" thickBot="1">
      <c r="A110" s="1547"/>
      <c r="B110" s="1548"/>
      <c r="C110" s="1551"/>
    </row>
    <row r="111" spans="1:24" ht="12.75" customHeight="1">
      <c r="A111" s="1094" t="s">
        <v>675</v>
      </c>
      <c r="B111" s="1095"/>
      <c r="C111" s="1096"/>
      <c r="D111" s="40"/>
      <c r="E111" s="13"/>
      <c r="F111" s="13"/>
      <c r="G111" s="13"/>
      <c r="H111" s="4"/>
      <c r="I111" s="4"/>
      <c r="J111" s="4"/>
      <c r="K111" s="4"/>
      <c r="L111" s="4"/>
      <c r="M111" s="4"/>
      <c r="N111" s="4"/>
      <c r="O111" s="4"/>
      <c r="P111" s="4"/>
      <c r="Q111" s="4"/>
      <c r="R111" s="4"/>
      <c r="S111" s="4"/>
      <c r="T111" s="4"/>
      <c r="U111" s="4"/>
      <c r="V111" s="4"/>
      <c r="W111" s="4"/>
      <c r="X111" s="4"/>
    </row>
    <row r="112" spans="1:24" ht="12.75" customHeight="1">
      <c r="A112" s="1097" t="s">
        <v>286</v>
      </c>
      <c r="B112" s="986"/>
      <c r="C112" s="1098"/>
      <c r="D112" s="40"/>
      <c r="E112" s="13"/>
      <c r="F112" s="13"/>
      <c r="G112" s="13"/>
      <c r="H112" s="4"/>
      <c r="I112" s="4"/>
      <c r="J112" s="4"/>
      <c r="K112" s="4"/>
      <c r="L112" s="4"/>
      <c r="M112" s="4"/>
      <c r="N112" s="4"/>
      <c r="O112" s="4"/>
      <c r="P112" s="4"/>
      <c r="Q112" s="4"/>
      <c r="R112" s="4"/>
      <c r="S112" s="4"/>
      <c r="T112" s="4"/>
      <c r="U112" s="4"/>
      <c r="V112" s="4"/>
      <c r="W112" s="4"/>
      <c r="X112" s="4"/>
    </row>
    <row r="113" spans="1:24" ht="12.75" customHeight="1">
      <c r="A113" s="1097" t="s">
        <v>971</v>
      </c>
      <c r="B113" s="808"/>
      <c r="C113" s="1184"/>
      <c r="D113" s="45"/>
      <c r="E113" s="67"/>
      <c r="F113" s="67"/>
      <c r="G113" s="67"/>
      <c r="H113" s="67"/>
      <c r="I113" s="67"/>
      <c r="J113" s="35"/>
      <c r="K113" s="35"/>
      <c r="L113" s="35"/>
      <c r="M113" s="35"/>
      <c r="N113" s="35"/>
      <c r="O113" s="35"/>
      <c r="P113" s="35"/>
      <c r="Q113" s="35"/>
      <c r="R113" s="35"/>
      <c r="S113" s="35"/>
      <c r="T113" s="35"/>
      <c r="U113" s="35"/>
      <c r="V113" s="35"/>
      <c r="W113" s="35"/>
      <c r="X113" s="35"/>
    </row>
    <row r="114" spans="1:24" ht="12.75" customHeight="1" thickBot="1">
      <c r="A114" s="1150" t="s">
        <v>59</v>
      </c>
      <c r="B114" s="1151"/>
      <c r="C114" s="1098"/>
      <c r="D114" s="40"/>
      <c r="E114" s="13"/>
      <c r="F114" s="13"/>
      <c r="G114" s="13"/>
      <c r="H114" s="4"/>
      <c r="I114" s="4"/>
      <c r="J114" s="4"/>
      <c r="K114" s="4"/>
      <c r="L114" s="4"/>
      <c r="M114" s="4"/>
      <c r="N114" s="4"/>
      <c r="O114" s="4"/>
      <c r="P114" s="4"/>
      <c r="Q114" s="4"/>
      <c r="R114" s="4"/>
      <c r="S114" s="4"/>
      <c r="T114" s="4"/>
      <c r="U114" s="4"/>
      <c r="V114" s="4"/>
      <c r="W114" s="4"/>
      <c r="X114" s="4"/>
    </row>
    <row r="115" spans="1:24" ht="12.75" customHeight="1" thickBot="1">
      <c r="A115" s="1540" t="s">
        <v>60</v>
      </c>
      <c r="B115" s="1552"/>
      <c r="C115" s="1542">
        <f>C118+C134+C152+C157+C167</f>
        <v>177980000</v>
      </c>
    </row>
    <row r="116" spans="1:24" ht="12.75" customHeight="1">
      <c r="A116" s="292"/>
      <c r="B116" s="292"/>
      <c r="C116" s="292"/>
    </row>
    <row r="117" spans="1:24" ht="12.75" customHeight="1">
      <c r="A117" s="292"/>
      <c r="B117" s="292"/>
      <c r="C117" s="292"/>
    </row>
    <row r="118" spans="1:24" ht="12.75" customHeight="1">
      <c r="A118" s="1284" t="s">
        <v>9</v>
      </c>
      <c r="B118" s="1285"/>
      <c r="C118" s="640">
        <f>C119+C122+C124+C126+C128+C130</f>
        <v>690000</v>
      </c>
    </row>
    <row r="119" spans="1:24" ht="12.75" customHeight="1">
      <c r="A119" s="22">
        <v>211201</v>
      </c>
      <c r="B119" s="22" t="s">
        <v>459</v>
      </c>
      <c r="C119" s="643">
        <f>C120+C121</f>
        <v>110000</v>
      </c>
    </row>
    <row r="120" spans="1:24" ht="12.75" customHeight="1">
      <c r="A120" s="40">
        <v>21120101</v>
      </c>
      <c r="B120" s="13" t="s">
        <v>460</v>
      </c>
      <c r="C120" s="641">
        <v>10000</v>
      </c>
    </row>
    <row r="121" spans="1:24" ht="12.75" customHeight="1">
      <c r="A121" s="40">
        <v>21120103</v>
      </c>
      <c r="B121" s="13" t="s">
        <v>587</v>
      </c>
      <c r="C121" s="641">
        <v>100000</v>
      </c>
    </row>
    <row r="122" spans="1:24" ht="12.75" customHeight="1">
      <c r="A122" s="22">
        <v>211203</v>
      </c>
      <c r="B122" s="15" t="s">
        <v>461</v>
      </c>
      <c r="C122" s="643">
        <f>C123</f>
        <v>40000</v>
      </c>
    </row>
    <row r="123" spans="1:24" ht="12.75" customHeight="1">
      <c r="A123" s="40">
        <v>21120302</v>
      </c>
      <c r="B123" s="13" t="s">
        <v>462</v>
      </c>
      <c r="C123" s="641">
        <v>40000</v>
      </c>
    </row>
    <row r="124" spans="1:24" ht="12.75" customHeight="1">
      <c r="A124" s="22">
        <v>211204</v>
      </c>
      <c r="B124" s="15" t="s">
        <v>463</v>
      </c>
      <c r="C124" s="643">
        <f>C125</f>
        <v>150000</v>
      </c>
    </row>
    <row r="125" spans="1:24" ht="12.75" customHeight="1">
      <c r="A125" s="40">
        <v>21120401</v>
      </c>
      <c r="B125" s="13" t="s">
        <v>464</v>
      </c>
      <c r="C125" s="641">
        <v>150000</v>
      </c>
    </row>
    <row r="126" spans="1:24" ht="12.75" customHeight="1">
      <c r="A126" s="22">
        <v>211207</v>
      </c>
      <c r="B126" s="828" t="s">
        <v>467</v>
      </c>
      <c r="C126" s="643">
        <f>C127</f>
        <v>10000</v>
      </c>
    </row>
    <row r="127" spans="1:24" ht="12.75" customHeight="1">
      <c r="A127" s="40">
        <v>21120702</v>
      </c>
      <c r="B127" s="13" t="s">
        <v>468</v>
      </c>
      <c r="C127" s="641">
        <v>10000</v>
      </c>
    </row>
    <row r="128" spans="1:24" ht="12.75" customHeight="1">
      <c r="A128" s="22">
        <v>211208</v>
      </c>
      <c r="B128" s="15" t="s">
        <v>474</v>
      </c>
      <c r="C128" s="643">
        <f>C129</f>
        <v>10000</v>
      </c>
    </row>
    <row r="129" spans="1:3" ht="12.75" customHeight="1">
      <c r="A129" s="40">
        <v>21120805</v>
      </c>
      <c r="B129" s="13" t="s">
        <v>476</v>
      </c>
      <c r="C129" s="641">
        <v>10000</v>
      </c>
    </row>
    <row r="130" spans="1:3" ht="12.75" customHeight="1">
      <c r="A130" s="22">
        <v>211209</v>
      </c>
      <c r="B130" s="15" t="s">
        <v>477</v>
      </c>
      <c r="C130" s="643">
        <f>C131+C132</f>
        <v>370000</v>
      </c>
    </row>
    <row r="131" spans="1:3" ht="12.75" customHeight="1">
      <c r="A131" s="40">
        <v>21120901</v>
      </c>
      <c r="B131" s="13" t="s">
        <v>478</v>
      </c>
      <c r="C131" s="641">
        <v>350000</v>
      </c>
    </row>
    <row r="132" spans="1:3" ht="12.75" customHeight="1">
      <c r="A132" s="40">
        <v>21120907</v>
      </c>
      <c r="B132" s="13" t="s">
        <v>480</v>
      </c>
      <c r="C132" s="641">
        <v>20000</v>
      </c>
    </row>
    <row r="133" spans="1:3" ht="12.75" customHeight="1">
      <c r="A133" s="13"/>
      <c r="B133" s="13"/>
      <c r="C133" s="13"/>
    </row>
    <row r="134" spans="1:3" ht="12.75" customHeight="1">
      <c r="A134" s="1288" t="s">
        <v>4</v>
      </c>
      <c r="B134" s="1285"/>
      <c r="C134" s="642">
        <f>C147+C145+C143+C141+C138+C135</f>
        <v>63920000</v>
      </c>
    </row>
    <row r="135" spans="1:3" ht="12.75" customHeight="1">
      <c r="A135" s="22">
        <v>211302</v>
      </c>
      <c r="B135" s="22" t="s">
        <v>481</v>
      </c>
      <c r="C135" s="643">
        <f>C136+C137</f>
        <v>220000</v>
      </c>
    </row>
    <row r="136" spans="1:3" ht="12.75" customHeight="1">
      <c r="A136" s="40">
        <v>21130201</v>
      </c>
      <c r="B136" s="13" t="s">
        <v>482</v>
      </c>
      <c r="C136" s="641">
        <v>150000</v>
      </c>
    </row>
    <row r="137" spans="1:3" ht="12.75" customHeight="1">
      <c r="A137" s="40">
        <v>21130204</v>
      </c>
      <c r="B137" s="13" t="s">
        <v>483</v>
      </c>
      <c r="C137" s="641">
        <v>70000</v>
      </c>
    </row>
    <row r="138" spans="1:3" ht="12.75" customHeight="1">
      <c r="A138" s="22">
        <v>211303</v>
      </c>
      <c r="B138" s="15" t="s">
        <v>484</v>
      </c>
      <c r="C138" s="643">
        <f>C139+C140</f>
        <v>100000</v>
      </c>
    </row>
    <row r="139" spans="1:3" ht="12.75" customHeight="1">
      <c r="A139" s="40">
        <v>21130306</v>
      </c>
      <c r="B139" s="13" t="s">
        <v>487</v>
      </c>
      <c r="C139" s="641">
        <v>70000</v>
      </c>
    </row>
    <row r="140" spans="1:3" ht="12.75" customHeight="1">
      <c r="A140" s="40">
        <v>21130307</v>
      </c>
      <c r="B140" s="13" t="s">
        <v>488</v>
      </c>
      <c r="C140" s="641">
        <v>30000</v>
      </c>
    </row>
    <row r="141" spans="1:3" ht="12.75" customHeight="1">
      <c r="A141" s="22">
        <v>211305</v>
      </c>
      <c r="B141" s="15" t="s">
        <v>489</v>
      </c>
      <c r="C141" s="643">
        <f>C142</f>
        <v>28000000</v>
      </c>
    </row>
    <row r="142" spans="1:3" ht="12.75" customHeight="1">
      <c r="A142" s="40">
        <v>21130502</v>
      </c>
      <c r="B142" s="13" t="s">
        <v>491</v>
      </c>
      <c r="C142" s="641">
        <v>28000000</v>
      </c>
    </row>
    <row r="143" spans="1:3" ht="12.75" customHeight="1">
      <c r="A143" s="22">
        <v>211306</v>
      </c>
      <c r="B143" s="15" t="s">
        <v>492</v>
      </c>
      <c r="C143" s="643">
        <f>C144</f>
        <v>100000</v>
      </c>
    </row>
    <row r="144" spans="1:3" ht="12.75" customHeight="1">
      <c r="A144" s="40">
        <v>21130604</v>
      </c>
      <c r="B144" s="13" t="s">
        <v>539</v>
      </c>
      <c r="C144" s="641">
        <v>100000</v>
      </c>
    </row>
    <row r="145" spans="1:3" ht="12.75" customHeight="1">
      <c r="A145" s="22">
        <v>211307</v>
      </c>
      <c r="B145" s="15" t="s">
        <v>494</v>
      </c>
      <c r="C145" s="643">
        <f>C146</f>
        <v>9000000</v>
      </c>
    </row>
    <row r="146" spans="1:3" ht="12.75" customHeight="1">
      <c r="A146" s="40">
        <v>21130701</v>
      </c>
      <c r="B146" s="13" t="s">
        <v>495</v>
      </c>
      <c r="C146" s="641">
        <v>9000000</v>
      </c>
    </row>
    <row r="147" spans="1:3" ht="12.75" customHeight="1">
      <c r="A147" s="22">
        <v>211309</v>
      </c>
      <c r="B147" s="15" t="s">
        <v>496</v>
      </c>
      <c r="C147" s="643">
        <f>C148+C149+C150</f>
        <v>26500000</v>
      </c>
    </row>
    <row r="148" spans="1:3" ht="12.75" customHeight="1">
      <c r="A148" s="40">
        <v>21130901</v>
      </c>
      <c r="B148" s="13" t="s">
        <v>497</v>
      </c>
      <c r="C148" s="641">
        <v>9000000</v>
      </c>
    </row>
    <row r="149" spans="1:3" ht="12.75" customHeight="1">
      <c r="A149" s="40">
        <v>21130903</v>
      </c>
      <c r="B149" s="13" t="s">
        <v>498</v>
      </c>
      <c r="C149" s="641">
        <v>17000000</v>
      </c>
    </row>
    <row r="150" spans="1:3" ht="12.75" customHeight="1">
      <c r="A150" s="40">
        <v>21130908</v>
      </c>
      <c r="B150" s="13" t="s">
        <v>500</v>
      </c>
      <c r="C150" s="641">
        <v>500000</v>
      </c>
    </row>
    <row r="151" spans="1:3" ht="12.75" customHeight="1">
      <c r="A151" s="13"/>
      <c r="B151" s="13"/>
      <c r="C151" s="13"/>
    </row>
    <row r="152" spans="1:3" ht="12.75" customHeight="1">
      <c r="A152" s="1290" t="s">
        <v>45</v>
      </c>
      <c r="B152" s="1285"/>
      <c r="C152" s="644">
        <f>C153</f>
        <v>3700000</v>
      </c>
    </row>
    <row r="153" spans="1:3" ht="12.75" customHeight="1">
      <c r="A153" s="22">
        <v>211402</v>
      </c>
      <c r="B153" s="22" t="s">
        <v>503</v>
      </c>
      <c r="C153" s="643">
        <f>C154+C155</f>
        <v>3700000</v>
      </c>
    </row>
    <row r="154" spans="1:3" ht="12.75" customHeight="1">
      <c r="A154" s="40">
        <v>21140204</v>
      </c>
      <c r="B154" s="13" t="s">
        <v>556</v>
      </c>
      <c r="C154" s="641">
        <v>3500000</v>
      </c>
    </row>
    <row r="155" spans="1:3" ht="12.75" customHeight="1">
      <c r="A155" s="40">
        <v>21140213</v>
      </c>
      <c r="B155" s="13" t="s">
        <v>504</v>
      </c>
      <c r="C155" s="641">
        <v>200000</v>
      </c>
    </row>
    <row r="156" spans="1:3" ht="12.75" customHeight="1">
      <c r="A156" s="13"/>
      <c r="B156" s="13"/>
      <c r="C156" s="13"/>
    </row>
    <row r="157" spans="1:3" ht="12.75" customHeight="1">
      <c r="A157" s="1289" t="s">
        <v>48</v>
      </c>
      <c r="B157" s="1285"/>
      <c r="C157" s="645">
        <f>C158+C160+C162+C164</f>
        <v>670000</v>
      </c>
    </row>
    <row r="158" spans="1:3" ht="12.75" customHeight="1">
      <c r="A158" s="646">
        <v>221102</v>
      </c>
      <c r="B158" s="852" t="s">
        <v>543</v>
      </c>
      <c r="C158" s="647">
        <f>C159</f>
        <v>250000</v>
      </c>
    </row>
    <row r="159" spans="1:3" ht="12.75" customHeight="1">
      <c r="A159" s="648">
        <v>22110204</v>
      </c>
      <c r="B159" s="648" t="s">
        <v>545</v>
      </c>
      <c r="C159" s="649">
        <v>250000</v>
      </c>
    </row>
    <row r="160" spans="1:3" ht="12.75" customHeight="1">
      <c r="A160" s="22">
        <v>221104</v>
      </c>
      <c r="B160" s="70" t="s">
        <v>510</v>
      </c>
      <c r="C160" s="643">
        <f>C161</f>
        <v>200000</v>
      </c>
    </row>
    <row r="161" spans="1:7" ht="12.75" customHeight="1">
      <c r="A161" s="40">
        <v>22110401</v>
      </c>
      <c r="B161" s="13" t="s">
        <v>511</v>
      </c>
      <c r="C161" s="641">
        <v>200000</v>
      </c>
    </row>
    <row r="162" spans="1:7" ht="12.75" customHeight="1">
      <c r="A162" s="241">
        <v>221106</v>
      </c>
      <c r="B162" s="217" t="s">
        <v>662</v>
      </c>
      <c r="C162" s="650">
        <f>C163</f>
        <v>200000</v>
      </c>
    </row>
    <row r="163" spans="1:7" ht="12.75" customHeight="1">
      <c r="A163" s="233">
        <v>22110601</v>
      </c>
      <c r="B163" s="77" t="s">
        <v>663</v>
      </c>
      <c r="C163" s="641">
        <v>200000</v>
      </c>
    </row>
    <row r="164" spans="1:7" ht="12.75" customHeight="1">
      <c r="A164" s="22">
        <v>221107</v>
      </c>
      <c r="B164" s="15" t="s">
        <v>514</v>
      </c>
      <c r="C164" s="643">
        <f>C165</f>
        <v>20000</v>
      </c>
    </row>
    <row r="165" spans="1:7" ht="12.75" customHeight="1">
      <c r="A165" s="40">
        <v>22110702</v>
      </c>
      <c r="B165" s="13" t="s">
        <v>515</v>
      </c>
      <c r="C165" s="641">
        <v>20000</v>
      </c>
    </row>
    <row r="166" spans="1:7" ht="15" customHeight="1" thickBot="1"/>
    <row r="167" spans="1:7" s="239" customFormat="1" ht="14.25" thickBot="1">
      <c r="A167" s="1047"/>
      <c r="B167" s="1046" t="s">
        <v>63</v>
      </c>
      <c r="C167" s="1048">
        <f>C168</f>
        <v>109000000</v>
      </c>
      <c r="D167" s="659"/>
      <c r="G167" s="660"/>
    </row>
    <row r="168" spans="1:7" s="239" customFormat="1" ht="13.5" customHeight="1">
      <c r="A168" s="669">
        <v>221202</v>
      </c>
      <c r="B168" s="669" t="s">
        <v>598</v>
      </c>
      <c r="C168" s="670">
        <f>SUM(C169:C169)</f>
        <v>109000000</v>
      </c>
      <c r="D168" s="659"/>
      <c r="G168" s="660"/>
    </row>
    <row r="169" spans="1:7" s="239" customFormat="1" ht="13.5" customHeight="1">
      <c r="A169" s="1049">
        <v>22120210</v>
      </c>
      <c r="B169" s="23" t="s">
        <v>694</v>
      </c>
      <c r="C169" s="24">
        <v>109000000</v>
      </c>
      <c r="D169" s="659"/>
      <c r="G169" s="660"/>
    </row>
    <row r="170" spans="1:7" ht="15" customHeight="1"/>
    <row r="171" spans="1:7" ht="14.25" thickBot="1">
      <c r="A171" s="23"/>
      <c r="B171" s="24"/>
      <c r="C171" s="24"/>
    </row>
    <row r="172" spans="1:7" ht="13.15" customHeight="1">
      <c r="A172" s="1063" t="s">
        <v>705</v>
      </c>
      <c r="B172" s="985" t="s">
        <v>708</v>
      </c>
      <c r="C172" s="1161" t="s">
        <v>735</v>
      </c>
    </row>
    <row r="173" spans="1:7" ht="13.9" customHeight="1" thickBot="1">
      <c r="A173" s="1168"/>
      <c r="B173" s="981"/>
      <c r="C173" s="1490"/>
    </row>
    <row r="174" spans="1:7" ht="13.5">
      <c r="A174" s="1097" t="s">
        <v>675</v>
      </c>
      <c r="B174" s="986"/>
      <c r="C174" s="1098"/>
    </row>
    <row r="175" spans="1:7" ht="13.5">
      <c r="A175" s="1097" t="s">
        <v>707</v>
      </c>
      <c r="B175" s="970"/>
      <c r="C175" s="1189"/>
    </row>
    <row r="176" spans="1:7" ht="13.5">
      <c r="A176" s="1028" t="s">
        <v>888</v>
      </c>
      <c r="B176" s="970"/>
      <c r="C176" s="1189"/>
    </row>
    <row r="177" spans="1:24" ht="14.25" thickBot="1">
      <c r="A177" s="1150" t="s">
        <v>0</v>
      </c>
      <c r="B177" s="1151"/>
      <c r="C177" s="1098"/>
    </row>
    <row r="178" spans="1:24" ht="14.25" thickBot="1">
      <c r="A178" s="1158" t="s">
        <v>1</v>
      </c>
      <c r="B178" s="1159"/>
      <c r="C178" s="1156">
        <f>C180+C197+C216</f>
        <v>257105146.80000001</v>
      </c>
    </row>
    <row r="179" spans="1:24" ht="14.25" thickBot="1">
      <c r="A179" s="15"/>
      <c r="B179" s="15"/>
      <c r="C179" s="16"/>
    </row>
    <row r="180" spans="1:24" ht="14.25" thickBot="1">
      <c r="A180" s="1280" t="s">
        <v>9</v>
      </c>
      <c r="B180" s="1281"/>
      <c r="C180" s="31">
        <f>C181+C185+C194+C191+C187</f>
        <v>9412146.8000000007</v>
      </c>
    </row>
    <row r="181" spans="1:24" ht="13.5">
      <c r="A181" s="21">
        <v>21120300000</v>
      </c>
      <c r="B181" s="15" t="s">
        <v>461</v>
      </c>
      <c r="C181" s="16">
        <f>+SUM(C182:C184)</f>
        <v>6450146.7999999998</v>
      </c>
    </row>
    <row r="182" spans="1:24" ht="13.5">
      <c r="A182" s="23">
        <v>21120301000</v>
      </c>
      <c r="B182" s="13" t="s">
        <v>527</v>
      </c>
      <c r="C182" s="24">
        <v>1650000</v>
      </c>
    </row>
    <row r="183" spans="1:24" ht="13.5">
      <c r="A183" s="23">
        <v>21120302000</v>
      </c>
      <c r="B183" s="13" t="s">
        <v>462</v>
      </c>
      <c r="C183" s="24">
        <f>2907146.8+1802500</f>
        <v>4709646.8</v>
      </c>
    </row>
    <row r="184" spans="1:24" ht="13.5">
      <c r="A184" s="23">
        <v>21120303000</v>
      </c>
      <c r="B184" s="13" t="s">
        <v>533</v>
      </c>
      <c r="C184" s="24">
        <v>90500</v>
      </c>
    </row>
    <row r="185" spans="1:24" ht="13.5">
      <c r="A185" s="21">
        <v>21120400000</v>
      </c>
      <c r="B185" s="15" t="s">
        <v>463</v>
      </c>
      <c r="C185" s="26">
        <f>C186</f>
        <v>1682000</v>
      </c>
    </row>
    <row r="186" spans="1:24" ht="13.5">
      <c r="A186" s="23">
        <v>21120401000</v>
      </c>
      <c r="B186" s="24" t="s">
        <v>464</v>
      </c>
      <c r="C186" s="24">
        <v>1682000</v>
      </c>
    </row>
    <row r="187" spans="1:24" ht="12.75" customHeight="1">
      <c r="A187" s="21">
        <v>21120700000</v>
      </c>
      <c r="B187" s="603" t="s">
        <v>467</v>
      </c>
      <c r="C187" s="26">
        <f>+SUM(C188:C190)</f>
        <v>615000</v>
      </c>
      <c r="D187" s="270"/>
      <c r="E187" s="274"/>
      <c r="F187" s="4"/>
      <c r="G187" s="4"/>
      <c r="H187" s="4"/>
      <c r="I187" s="4"/>
      <c r="J187" s="4"/>
      <c r="K187" s="4"/>
      <c r="L187" s="4"/>
      <c r="M187" s="4"/>
      <c r="N187" s="4"/>
      <c r="O187" s="4"/>
      <c r="P187" s="4"/>
      <c r="Q187" s="4"/>
      <c r="R187" s="4"/>
      <c r="S187" s="4"/>
      <c r="T187" s="4"/>
      <c r="U187" s="4"/>
      <c r="V187" s="4"/>
      <c r="W187" s="4"/>
      <c r="X187" s="4"/>
    </row>
    <row r="188" spans="1:24" ht="12.75" customHeight="1">
      <c r="A188" s="23">
        <v>21120702000</v>
      </c>
      <c r="B188" s="24" t="s">
        <v>468</v>
      </c>
      <c r="C188" s="24">
        <v>225000</v>
      </c>
      <c r="D188" s="270"/>
      <c r="E188" s="274"/>
      <c r="F188" s="4"/>
      <c r="G188" s="4"/>
      <c r="H188" s="4"/>
      <c r="I188" s="4"/>
      <c r="J188" s="4"/>
      <c r="K188" s="4"/>
      <c r="L188" s="4"/>
      <c r="M188" s="4"/>
      <c r="N188" s="4"/>
      <c r="O188" s="4"/>
      <c r="P188" s="4"/>
      <c r="Q188" s="4"/>
      <c r="R188" s="4"/>
      <c r="S188" s="4"/>
      <c r="T188" s="4"/>
      <c r="U188" s="4"/>
      <c r="V188" s="4"/>
      <c r="W188" s="4"/>
      <c r="X188" s="4"/>
    </row>
    <row r="189" spans="1:24" ht="12.75" customHeight="1">
      <c r="A189" s="23">
        <v>21120707000</v>
      </c>
      <c r="B189" s="13" t="s">
        <v>516</v>
      </c>
      <c r="C189" s="24">
        <v>125000</v>
      </c>
      <c r="D189" s="270"/>
      <c r="E189" s="274"/>
      <c r="F189" s="4"/>
      <c r="G189" s="4"/>
      <c r="H189" s="4"/>
      <c r="I189" s="4"/>
      <c r="J189" s="4"/>
      <c r="K189" s="4"/>
      <c r="L189" s="4"/>
      <c r="M189" s="4"/>
      <c r="N189" s="4"/>
      <c r="O189" s="4"/>
      <c r="P189" s="4"/>
      <c r="Q189" s="4"/>
      <c r="R189" s="4"/>
      <c r="S189" s="4"/>
      <c r="T189" s="4"/>
      <c r="U189" s="4"/>
      <c r="V189" s="4"/>
      <c r="W189" s="4"/>
      <c r="X189" s="4"/>
    </row>
    <row r="190" spans="1:24" ht="12.75" customHeight="1">
      <c r="A190" s="23">
        <v>21120708000</v>
      </c>
      <c r="B190" s="13" t="s">
        <v>470</v>
      </c>
      <c r="C190" s="24">
        <v>265000</v>
      </c>
      <c r="D190" s="270"/>
      <c r="E190" s="274"/>
      <c r="F190" s="4"/>
      <c r="G190" s="4"/>
      <c r="H190" s="4"/>
      <c r="I190" s="4"/>
      <c r="J190" s="4"/>
      <c r="K190" s="4"/>
      <c r="L190" s="4"/>
      <c r="M190" s="4"/>
      <c r="N190" s="4"/>
      <c r="O190" s="4"/>
      <c r="P190" s="4"/>
      <c r="Q190" s="4"/>
      <c r="R190" s="4"/>
      <c r="S190" s="4"/>
      <c r="T190" s="4"/>
      <c r="U190" s="4"/>
      <c r="V190" s="4"/>
      <c r="W190" s="4"/>
      <c r="X190" s="4"/>
    </row>
    <row r="191" spans="1:24" ht="13.5">
      <c r="A191" s="21">
        <v>21120800000</v>
      </c>
      <c r="B191" s="15" t="s">
        <v>474</v>
      </c>
      <c r="C191" s="26">
        <f>SUM(C192:C193)</f>
        <v>415000</v>
      </c>
    </row>
    <row r="192" spans="1:24" ht="13.5">
      <c r="A192" s="23">
        <v>21120805000</v>
      </c>
      <c r="B192" s="24" t="s">
        <v>476</v>
      </c>
      <c r="C192" s="24">
        <v>265000</v>
      </c>
    </row>
    <row r="193" spans="1:3" ht="13.5">
      <c r="A193" s="23">
        <v>21120806000</v>
      </c>
      <c r="B193" s="13" t="s">
        <v>534</v>
      </c>
      <c r="C193" s="24">
        <v>150000</v>
      </c>
    </row>
    <row r="194" spans="1:3" ht="13.5">
      <c r="A194" s="21">
        <v>21120900000</v>
      </c>
      <c r="B194" s="26" t="s">
        <v>477</v>
      </c>
      <c r="C194" s="26">
        <f>SUM(C195)</f>
        <v>250000</v>
      </c>
    </row>
    <row r="195" spans="1:3" ht="13.5">
      <c r="A195" s="23">
        <v>21120906000</v>
      </c>
      <c r="B195" s="24" t="s">
        <v>479</v>
      </c>
      <c r="C195" s="24">
        <v>250000</v>
      </c>
    </row>
    <row r="196" spans="1:3" ht="14.25" thickBot="1">
      <c r="A196" s="23"/>
      <c r="B196" s="24"/>
      <c r="C196" s="24"/>
    </row>
    <row r="197" spans="1:3" ht="14.25" thickBot="1">
      <c r="A197" s="1282" t="s">
        <v>4</v>
      </c>
      <c r="B197" s="1281"/>
      <c r="C197" s="41">
        <f>C198+C200+C202+C205+C207+C212</f>
        <v>247535000</v>
      </c>
    </row>
    <row r="198" spans="1:3" ht="13.5">
      <c r="A198" s="48">
        <v>211302</v>
      </c>
      <c r="B198" s="48" t="s">
        <v>481</v>
      </c>
      <c r="C198" s="16">
        <f>C199</f>
        <v>226000</v>
      </c>
    </row>
    <row r="199" spans="1:3" ht="13.5">
      <c r="A199" s="40">
        <v>21130204</v>
      </c>
      <c r="B199" s="13" t="s">
        <v>483</v>
      </c>
      <c r="C199" s="14">
        <v>226000</v>
      </c>
    </row>
    <row r="200" spans="1:3" ht="13.5">
      <c r="A200" s="22">
        <v>211303</v>
      </c>
      <c r="B200" s="42" t="s">
        <v>484</v>
      </c>
      <c r="C200" s="26">
        <f>C201</f>
        <v>20000</v>
      </c>
    </row>
    <row r="201" spans="1:3" ht="13.5">
      <c r="A201" s="40">
        <v>21130307</v>
      </c>
      <c r="B201" s="13" t="s">
        <v>488</v>
      </c>
      <c r="C201" s="24">
        <v>20000</v>
      </c>
    </row>
    <row r="202" spans="1:3" ht="13.5">
      <c r="A202" s="22">
        <v>211305</v>
      </c>
      <c r="B202" s="15" t="s">
        <v>489</v>
      </c>
      <c r="C202" s="16">
        <f>+SUM(C203:C204)</f>
        <v>2761000</v>
      </c>
    </row>
    <row r="203" spans="1:3" ht="13.5">
      <c r="A203" s="33">
        <v>21130501</v>
      </c>
      <c r="B203" s="13" t="s">
        <v>490</v>
      </c>
      <c r="C203" s="14">
        <v>25000</v>
      </c>
    </row>
    <row r="204" spans="1:3" ht="13.5">
      <c r="A204" s="33">
        <v>21130502</v>
      </c>
      <c r="B204" s="24" t="s">
        <v>491</v>
      </c>
      <c r="C204" s="43">
        <v>2736000</v>
      </c>
    </row>
    <row r="205" spans="1:3" ht="13.5">
      <c r="A205" s="22">
        <v>211306</v>
      </c>
      <c r="B205" s="15" t="s">
        <v>492</v>
      </c>
      <c r="C205" s="16">
        <f>C206</f>
        <v>455000</v>
      </c>
    </row>
    <row r="206" spans="1:3" ht="13.5">
      <c r="A206" s="40">
        <v>21130603</v>
      </c>
      <c r="B206" s="13" t="s">
        <v>535</v>
      </c>
      <c r="C206" s="14">
        <v>455000</v>
      </c>
    </row>
    <row r="207" spans="1:3" ht="13.5">
      <c r="A207" s="22">
        <v>211307</v>
      </c>
      <c r="B207" s="15" t="s">
        <v>494</v>
      </c>
      <c r="C207" s="16">
        <f>+SUM(C208:C211)</f>
        <v>236977000</v>
      </c>
    </row>
    <row r="208" spans="1:3" ht="13.5">
      <c r="A208" s="40">
        <v>21130701</v>
      </c>
      <c r="B208" s="13" t="s">
        <v>495</v>
      </c>
      <c r="C208" s="14">
        <v>150000000</v>
      </c>
    </row>
    <row r="209" spans="1:3" ht="13.5">
      <c r="A209" s="40">
        <v>21130703</v>
      </c>
      <c r="B209" s="13" t="s">
        <v>536</v>
      </c>
      <c r="C209" s="14">
        <f>1000000+55000</f>
        <v>1055000</v>
      </c>
    </row>
    <row r="210" spans="1:3" ht="13.5">
      <c r="A210" s="40">
        <v>21130704</v>
      </c>
      <c r="B210" s="13" t="s">
        <v>537</v>
      </c>
      <c r="C210" s="14">
        <v>790000</v>
      </c>
    </row>
    <row r="211" spans="1:3" ht="13.5">
      <c r="A211" s="40">
        <v>21130705</v>
      </c>
      <c r="B211" s="13" t="s">
        <v>538</v>
      </c>
      <c r="C211" s="14">
        <v>85132000</v>
      </c>
    </row>
    <row r="212" spans="1:3" ht="13.5">
      <c r="A212" s="48">
        <v>211309</v>
      </c>
      <c r="B212" s="26" t="s">
        <v>496</v>
      </c>
      <c r="C212" s="16">
        <f>+SUM(C213:C214)</f>
        <v>7096000</v>
      </c>
    </row>
    <row r="213" spans="1:3" ht="13.5">
      <c r="A213" s="40">
        <v>21130901</v>
      </c>
      <c r="B213" s="13" t="s">
        <v>497</v>
      </c>
      <c r="C213" s="43">
        <v>7016500</v>
      </c>
    </row>
    <row r="214" spans="1:3" ht="13.5">
      <c r="A214" s="40">
        <v>21130908</v>
      </c>
      <c r="B214" s="13" t="s">
        <v>500</v>
      </c>
      <c r="C214" s="14">
        <v>79500</v>
      </c>
    </row>
    <row r="215" spans="1:3" ht="14.25" thickBot="1">
      <c r="A215" s="13"/>
      <c r="B215" s="13"/>
      <c r="C215" s="14"/>
    </row>
    <row r="216" spans="1:3" ht="14.25" thickBot="1">
      <c r="A216" s="1283" t="s">
        <v>48</v>
      </c>
      <c r="B216" s="1281"/>
      <c r="C216" s="52">
        <f>C217+C220</f>
        <v>158000</v>
      </c>
    </row>
    <row r="217" spans="1:3" ht="13.5">
      <c r="A217" s="48">
        <v>221104</v>
      </c>
      <c r="B217" s="22" t="s">
        <v>510</v>
      </c>
      <c r="C217" s="16">
        <f>SUM(C218:C219)</f>
        <v>108000</v>
      </c>
    </row>
    <row r="218" spans="1:3" ht="13.5">
      <c r="A218" s="33">
        <v>22110401</v>
      </c>
      <c r="B218" s="24" t="s">
        <v>511</v>
      </c>
      <c r="C218" s="24">
        <v>45000</v>
      </c>
    </row>
    <row r="219" spans="1:3" ht="13.5">
      <c r="A219" s="33">
        <v>22110404</v>
      </c>
      <c r="B219" s="24" t="s">
        <v>512</v>
      </c>
      <c r="C219" s="24">
        <v>63000</v>
      </c>
    </row>
    <row r="220" spans="1:3" ht="13.5">
      <c r="A220" s="48">
        <v>221107</v>
      </c>
      <c r="B220" s="26" t="s">
        <v>514</v>
      </c>
      <c r="C220" s="26">
        <f>C221</f>
        <v>50000</v>
      </c>
    </row>
    <row r="221" spans="1:3" ht="13.5">
      <c r="A221" s="33">
        <v>22110702</v>
      </c>
      <c r="B221" s="24" t="s">
        <v>515</v>
      </c>
      <c r="C221" s="24">
        <v>50000</v>
      </c>
    </row>
    <row r="222" spans="1:3" ht="13.5">
      <c r="A222" s="23"/>
      <c r="B222" s="24"/>
      <c r="C222" s="24"/>
    </row>
    <row r="223" spans="1:3" ht="14.25" thickBot="1">
      <c r="A223" s="23"/>
      <c r="B223" s="24"/>
      <c r="C223" s="24"/>
    </row>
    <row r="224" spans="1:3">
      <c r="A224" s="1063" t="s">
        <v>705</v>
      </c>
      <c r="B224" s="985" t="s">
        <v>709</v>
      </c>
      <c r="C224" s="1179" t="s">
        <v>736</v>
      </c>
    </row>
    <row r="225" spans="1:3" ht="13.5" thickBot="1">
      <c r="A225" s="1064"/>
      <c r="B225" s="1065"/>
      <c r="C225" s="1497"/>
    </row>
    <row r="226" spans="1:3" ht="13.5">
      <c r="A226" s="1097" t="s">
        <v>675</v>
      </c>
      <c r="B226" s="986"/>
      <c r="C226" s="1080"/>
    </row>
    <row r="227" spans="1:3" ht="13.5">
      <c r="A227" s="1097" t="s">
        <v>707</v>
      </c>
      <c r="B227" s="970"/>
      <c r="C227" s="1080"/>
    </row>
    <row r="228" spans="1:3" ht="13.5">
      <c r="A228" s="1028" t="s">
        <v>725</v>
      </c>
      <c r="B228" s="970"/>
      <c r="C228" s="1080"/>
    </row>
    <row r="229" spans="1:3" ht="14.25" thickBot="1">
      <c r="A229" s="1097" t="s">
        <v>0</v>
      </c>
      <c r="B229" s="986"/>
      <c r="C229" s="1080"/>
    </row>
    <row r="230" spans="1:3" ht="14.25" thickBot="1">
      <c r="A230" s="988" t="s">
        <v>1</v>
      </c>
      <c r="B230" s="989"/>
      <c r="C230" s="1156">
        <f>+C232+C242+C257</f>
        <v>15651500</v>
      </c>
    </row>
    <row r="231" spans="1:3" ht="14.25" thickBot="1">
      <c r="A231" s="15"/>
      <c r="B231" s="15"/>
      <c r="C231" s="16"/>
    </row>
    <row r="232" spans="1:3" ht="14.25" thickBot="1">
      <c r="A232" s="1280" t="s">
        <v>9</v>
      </c>
      <c r="B232" s="1281"/>
      <c r="C232" s="31">
        <f>C233+C235+C239+C237</f>
        <v>1265000</v>
      </c>
    </row>
    <row r="233" spans="1:3" ht="13.5">
      <c r="A233" s="48">
        <v>211203</v>
      </c>
      <c r="B233" s="15" t="s">
        <v>461</v>
      </c>
      <c r="C233" s="16">
        <f>+SUM(C234:C234)</f>
        <v>697000</v>
      </c>
    </row>
    <row r="234" spans="1:3" ht="13.5">
      <c r="A234" s="33">
        <v>21120302</v>
      </c>
      <c r="B234" s="13" t="s">
        <v>462</v>
      </c>
      <c r="C234" s="24">
        <v>697000</v>
      </c>
    </row>
    <row r="235" spans="1:3" ht="13.5">
      <c r="A235" s="48">
        <v>211204</v>
      </c>
      <c r="B235" s="15" t="s">
        <v>463</v>
      </c>
      <c r="C235" s="26">
        <f>SUM(C236)</f>
        <v>163000</v>
      </c>
    </row>
    <row r="236" spans="1:3" ht="13.5">
      <c r="A236" s="33">
        <v>21120401</v>
      </c>
      <c r="B236" s="24" t="s">
        <v>464</v>
      </c>
      <c r="C236" s="24">
        <v>163000</v>
      </c>
    </row>
    <row r="237" spans="1:3" ht="13.5">
      <c r="A237" s="48">
        <v>211208</v>
      </c>
      <c r="B237" s="15" t="s">
        <v>474</v>
      </c>
      <c r="C237" s="26">
        <f>SUM(C238)</f>
        <v>115000</v>
      </c>
    </row>
    <row r="238" spans="1:3" ht="13.5">
      <c r="A238" s="33">
        <v>21120805</v>
      </c>
      <c r="B238" s="24" t="s">
        <v>476</v>
      </c>
      <c r="C238" s="24">
        <f>50000+65000</f>
        <v>115000</v>
      </c>
    </row>
    <row r="239" spans="1:3" ht="13.5">
      <c r="A239" s="48">
        <v>211209</v>
      </c>
      <c r="B239" s="26" t="s">
        <v>477</v>
      </c>
      <c r="C239" s="26">
        <f>SUM(C240)</f>
        <v>290000</v>
      </c>
    </row>
    <row r="240" spans="1:3" ht="13.5">
      <c r="A240" s="33">
        <v>21120906</v>
      </c>
      <c r="B240" s="24" t="s">
        <v>479</v>
      </c>
      <c r="C240" s="24">
        <v>290000</v>
      </c>
    </row>
    <row r="241" spans="1:3" ht="14.25" thickBot="1">
      <c r="A241" s="23"/>
      <c r="B241" s="24"/>
      <c r="C241" s="24"/>
    </row>
    <row r="242" spans="1:3" ht="14.25" thickBot="1">
      <c r="A242" s="1282" t="s">
        <v>4</v>
      </c>
      <c r="B242" s="1281"/>
      <c r="C242" s="41">
        <f>C243+C245+C247+C249+C253</f>
        <v>13986000</v>
      </c>
    </row>
    <row r="243" spans="1:3" ht="13.5">
      <c r="A243" s="48">
        <v>211302</v>
      </c>
      <c r="B243" s="48" t="s">
        <v>481</v>
      </c>
      <c r="C243" s="16">
        <f>SUM(C244)</f>
        <v>335000</v>
      </c>
    </row>
    <row r="244" spans="1:3" ht="13.5">
      <c r="A244" s="40">
        <v>21130204</v>
      </c>
      <c r="B244" s="13" t="s">
        <v>483</v>
      </c>
      <c r="C244" s="14">
        <v>335000</v>
      </c>
    </row>
    <row r="245" spans="1:3" ht="13.5">
      <c r="A245" s="22">
        <v>211303</v>
      </c>
      <c r="B245" s="42" t="s">
        <v>484</v>
      </c>
      <c r="C245" s="26">
        <f>SUM(C246)</f>
        <v>220000</v>
      </c>
    </row>
    <row r="246" spans="1:3" ht="13.5">
      <c r="A246" s="40">
        <v>21130307</v>
      </c>
      <c r="B246" s="13" t="s">
        <v>488</v>
      </c>
      <c r="C246" s="24">
        <v>220000</v>
      </c>
    </row>
    <row r="247" spans="1:3" ht="13.5">
      <c r="A247" s="22">
        <v>211305</v>
      </c>
      <c r="B247" s="15" t="s">
        <v>489</v>
      </c>
      <c r="C247" s="16">
        <f>SUM(C248)</f>
        <v>10000000</v>
      </c>
    </row>
    <row r="248" spans="1:3" ht="13.5">
      <c r="A248" s="33">
        <v>21130502</v>
      </c>
      <c r="B248" s="24" t="s">
        <v>491</v>
      </c>
      <c r="C248" s="14">
        <v>10000000</v>
      </c>
    </row>
    <row r="249" spans="1:3" ht="13.5">
      <c r="A249" s="22">
        <v>211307</v>
      </c>
      <c r="B249" s="15" t="s">
        <v>494</v>
      </c>
      <c r="C249" s="16">
        <f>SUM(C250:C252)</f>
        <v>1751500</v>
      </c>
    </row>
    <row r="250" spans="1:3" ht="13.5">
      <c r="A250" s="40">
        <v>21130701</v>
      </c>
      <c r="B250" s="13" t="s">
        <v>495</v>
      </c>
      <c r="C250" s="14">
        <v>850000</v>
      </c>
    </row>
    <row r="251" spans="1:3" ht="13.5">
      <c r="A251" s="40">
        <v>21130703</v>
      </c>
      <c r="B251" s="13" t="s">
        <v>536</v>
      </c>
      <c r="C251" s="14">
        <v>101500</v>
      </c>
    </row>
    <row r="252" spans="1:3" ht="13.5">
      <c r="A252" s="40">
        <v>21130704</v>
      </c>
      <c r="B252" s="13" t="s">
        <v>537</v>
      </c>
      <c r="C252" s="14">
        <v>800000</v>
      </c>
    </row>
    <row r="253" spans="1:3" ht="13.5">
      <c r="A253" s="48">
        <v>211309</v>
      </c>
      <c r="B253" s="26" t="s">
        <v>496</v>
      </c>
      <c r="C253" s="16">
        <f>SUM(C254:C255)</f>
        <v>1679500</v>
      </c>
    </row>
    <row r="254" spans="1:3" ht="13.5">
      <c r="A254" s="40">
        <v>21130901</v>
      </c>
      <c r="B254" s="13" t="s">
        <v>497</v>
      </c>
      <c r="C254" s="14">
        <v>1600000</v>
      </c>
    </row>
    <row r="255" spans="1:3" ht="13.5">
      <c r="A255" s="40">
        <v>21130908</v>
      </c>
      <c r="B255" s="13" t="s">
        <v>500</v>
      </c>
      <c r="C255" s="14">
        <v>79500</v>
      </c>
    </row>
    <row r="256" spans="1:3" ht="14.25" thickBot="1">
      <c r="A256" s="40"/>
      <c r="B256" s="13"/>
      <c r="C256" s="14"/>
    </row>
    <row r="257" spans="1:3" ht="14.25" thickBot="1">
      <c r="A257" s="1283" t="s">
        <v>48</v>
      </c>
      <c r="B257" s="1281"/>
      <c r="C257" s="52">
        <f>C258+C261</f>
        <v>400500</v>
      </c>
    </row>
    <row r="258" spans="1:3" ht="13.5">
      <c r="A258" s="48">
        <v>221104</v>
      </c>
      <c r="B258" s="22" t="s">
        <v>510</v>
      </c>
      <c r="C258" s="16">
        <f>SUM(C259:C260)</f>
        <v>325500</v>
      </c>
    </row>
    <row r="259" spans="1:3" ht="13.5">
      <c r="A259" s="33">
        <v>22110401</v>
      </c>
      <c r="B259" s="24" t="s">
        <v>511</v>
      </c>
      <c r="C259" s="24">
        <v>240000</v>
      </c>
    </row>
    <row r="260" spans="1:3" ht="13.5">
      <c r="A260" s="33">
        <v>22110404</v>
      </c>
      <c r="B260" s="24" t="s">
        <v>512</v>
      </c>
      <c r="C260" s="24">
        <v>85500</v>
      </c>
    </row>
    <row r="261" spans="1:3" ht="13.5">
      <c r="A261" s="48">
        <v>221107</v>
      </c>
      <c r="B261" s="26" t="s">
        <v>514</v>
      </c>
      <c r="C261" s="26">
        <f>SUM(C262)</f>
        <v>75000</v>
      </c>
    </row>
    <row r="262" spans="1:3" ht="13.5">
      <c r="A262" s="33">
        <v>22110702</v>
      </c>
      <c r="B262" s="24" t="s">
        <v>515</v>
      </c>
      <c r="C262" s="24">
        <v>75000</v>
      </c>
    </row>
    <row r="263" spans="1:3">
      <c r="A263" s="1050"/>
    </row>
  </sheetData>
  <mergeCells count="18">
    <mergeCell ref="A99:B100"/>
    <mergeCell ref="A101:C110"/>
    <mergeCell ref="A11:B11"/>
    <mergeCell ref="A34:B34"/>
    <mergeCell ref="A58:B58"/>
    <mergeCell ref="A85:B85"/>
    <mergeCell ref="A72:B72"/>
    <mergeCell ref="A134:B134"/>
    <mergeCell ref="A157:B157"/>
    <mergeCell ref="A152:B152"/>
    <mergeCell ref="A3:B4"/>
    <mergeCell ref="A257:B257"/>
    <mergeCell ref="A232:B232"/>
    <mergeCell ref="A242:B242"/>
    <mergeCell ref="A180:B180"/>
    <mergeCell ref="A197:B197"/>
    <mergeCell ref="A216:B216"/>
    <mergeCell ref="A118:B118"/>
  </mergeCells>
  <phoneticPr fontId="99" type="noConversion"/>
  <printOptions horizontalCentered="1"/>
  <pageMargins left="0.78740157480314965" right="0.59055118110236227" top="0.78740157480314965" bottom="0.59055118110236227" header="0.31496062992125984" footer="0.39370078740157483"/>
  <pageSetup paperSize="9" orientation="portrait" r:id="rId1"/>
  <headerFooter>
    <oddHeader>&amp;L&amp;"Arial Narrow,Negrita"MUNICIPALIDAD DE VILLA MARÍA
&amp;R&amp;"Arial Narrow,Negrita"PRESUPUESO 2024</oddHeader>
    <oddFooter>&amp;R&amp;"Arial Narrow,Normal"&amp;P</oddFooter>
  </headerFooter>
  <rowBreaks count="4" manualBreakCount="4">
    <brk id="54" max="2" man="1"/>
    <brk id="98" max="2" man="1"/>
    <brk id="156" max="2" man="1"/>
    <brk id="211"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F9F5-00A4-4EFF-A6EB-564B0529DD43}">
  <sheetPr>
    <tabColor rgb="FF66FF33"/>
  </sheetPr>
  <dimension ref="A1:AH440"/>
  <sheetViews>
    <sheetView zoomScaleNormal="100" zoomScaleSheetLayoutView="75" workbookViewId="0">
      <selection activeCell="A2" sqref="A2"/>
    </sheetView>
  </sheetViews>
  <sheetFormatPr baseColWidth="10" defaultRowHeight="12.75"/>
  <cols>
    <col min="1" max="1" width="10.7109375" customWidth="1"/>
    <col min="2" max="2" width="50.7109375" customWidth="1"/>
    <col min="3" max="3" width="15.7109375" customWidth="1"/>
    <col min="4" max="4" width="17.140625" customWidth="1"/>
    <col min="5" max="6" width="14.7109375" bestFit="1" customWidth="1"/>
    <col min="7" max="7" width="16.140625" customWidth="1"/>
    <col min="8" max="8" width="12.7109375" bestFit="1" customWidth="1"/>
    <col min="9" max="9" width="13.7109375" bestFit="1" customWidth="1"/>
  </cols>
  <sheetData>
    <row r="1" spans="1:10" ht="18" thickBot="1">
      <c r="A1" s="1555" t="s">
        <v>973</v>
      </c>
      <c r="B1" s="1553"/>
      <c r="C1" s="1554"/>
    </row>
    <row r="2" spans="1:10" ht="13.5" thickBot="1"/>
    <row r="3" spans="1:10" ht="13.15" customHeight="1">
      <c r="A3" s="1334" t="s">
        <v>966</v>
      </c>
      <c r="B3" s="1336"/>
      <c r="C3" s="1161" t="s">
        <v>762</v>
      </c>
    </row>
    <row r="4" spans="1:10" ht="13.9" customHeight="1" thickBot="1">
      <c r="A4" s="1363"/>
      <c r="B4" s="1304"/>
      <c r="C4" s="1490"/>
    </row>
    <row r="5" spans="1:10" ht="13.5">
      <c r="A5" s="1094" t="s">
        <v>675</v>
      </c>
      <c r="B5" s="1095"/>
      <c r="C5" s="1096"/>
    </row>
    <row r="6" spans="1:10" ht="13.5">
      <c r="A6" s="1097" t="s">
        <v>706</v>
      </c>
      <c r="B6" s="986"/>
      <c r="C6" s="1098"/>
    </row>
    <row r="7" spans="1:10" ht="13.5">
      <c r="A7" s="1097" t="s">
        <v>726</v>
      </c>
      <c r="B7" s="986"/>
      <c r="C7" s="1098"/>
    </row>
    <row r="8" spans="1:10" ht="14.25" thickBot="1">
      <c r="A8" s="1150" t="s">
        <v>0</v>
      </c>
      <c r="B8" s="1151"/>
      <c r="C8" s="1099"/>
    </row>
    <row r="9" spans="1:10" ht="14.25" thickBot="1">
      <c r="A9" s="1158" t="s">
        <v>1</v>
      </c>
      <c r="B9" s="1159"/>
      <c r="C9" s="1165">
        <f>C11+C34+C58+C78+C84</f>
        <v>754187658.73374999</v>
      </c>
      <c r="D9" s="696"/>
    </row>
    <row r="10" spans="1:10" ht="14.25" thickBot="1">
      <c r="A10" s="15"/>
      <c r="B10" s="15"/>
      <c r="C10" s="16"/>
      <c r="E10" s="1611"/>
      <c r="F10" s="1611"/>
      <c r="G10" s="1611"/>
      <c r="H10" s="1611"/>
      <c r="I10" s="1611"/>
      <c r="J10" s="1611"/>
    </row>
    <row r="11" spans="1:10" ht="14.25" thickBot="1">
      <c r="A11" s="1579" t="s">
        <v>2</v>
      </c>
      <c r="B11" s="1580"/>
      <c r="C11" s="18">
        <f>C12+C19+C26</f>
        <v>709872158.73374999</v>
      </c>
      <c r="E11" s="1615"/>
      <c r="F11" s="1615"/>
      <c r="G11" s="1615"/>
      <c r="H11" s="1615"/>
      <c r="I11" s="1615"/>
      <c r="J11" s="1611"/>
    </row>
    <row r="12" spans="1:10" ht="13.5">
      <c r="A12" s="48">
        <v>211101</v>
      </c>
      <c r="B12" s="22" t="s">
        <v>667</v>
      </c>
      <c r="C12" s="26">
        <f>SUM(C13:C18)</f>
        <v>288685177.58499998</v>
      </c>
      <c r="E12" s="1613"/>
      <c r="F12" s="1613"/>
      <c r="G12" s="1613"/>
      <c r="H12" s="1613"/>
      <c r="I12" s="1613"/>
      <c r="J12" s="1611"/>
    </row>
    <row r="13" spans="1:10" ht="13.5">
      <c r="A13" s="33">
        <v>21110101</v>
      </c>
      <c r="B13" s="24" t="s">
        <v>810</v>
      </c>
      <c r="C13" s="24">
        <f>(34356429.08+241114198.7475+0.01)/2+100000000</f>
        <v>237735313.91874999</v>
      </c>
      <c r="E13" s="1615"/>
      <c r="F13" s="1615"/>
      <c r="G13" s="1615"/>
      <c r="H13" s="1615"/>
      <c r="I13" s="1615"/>
      <c r="J13" s="1611"/>
    </row>
    <row r="14" spans="1:10" ht="13.5">
      <c r="A14" s="33">
        <v>21110102</v>
      </c>
      <c r="B14" s="24" t="s">
        <v>811</v>
      </c>
      <c r="C14" s="24">
        <f>(9974447.15+39672764.5275)/2+16521836.49</f>
        <v>41345442.328749999</v>
      </c>
      <c r="E14" s="1615"/>
      <c r="F14" s="1615"/>
      <c r="G14" s="1615"/>
      <c r="H14" s="1615"/>
      <c r="I14" s="1615"/>
      <c r="J14" s="1611"/>
    </row>
    <row r="15" spans="1:10" ht="13.5">
      <c r="A15" s="33">
        <v>21110103</v>
      </c>
      <c r="B15" s="24" t="s">
        <v>812</v>
      </c>
      <c r="C15" s="24">
        <f>(7528297.335)/2+2800000.67</f>
        <v>6564149.3375000004</v>
      </c>
      <c r="E15" s="1615"/>
      <c r="F15" s="1615"/>
      <c r="G15" s="1617"/>
      <c r="H15" s="1615"/>
      <c r="I15" s="1615"/>
      <c r="J15" s="1611"/>
    </row>
    <row r="16" spans="1:10" ht="13.5">
      <c r="A16" s="33">
        <v>21110104</v>
      </c>
      <c r="B16" s="24" t="s">
        <v>813</v>
      </c>
      <c r="C16" s="24">
        <v>1</v>
      </c>
      <c r="E16" s="1611"/>
      <c r="F16" s="1611"/>
      <c r="G16" s="1614"/>
      <c r="H16" s="1611"/>
      <c r="I16" s="1611"/>
      <c r="J16" s="1611"/>
    </row>
    <row r="17" spans="1:10" ht="13.5">
      <c r="A17" s="33">
        <v>21110105</v>
      </c>
      <c r="B17" s="24" t="s">
        <v>814</v>
      </c>
      <c r="C17" s="24">
        <f>3880539/2+1100000.5</f>
        <v>3040270</v>
      </c>
      <c r="E17" s="1611"/>
      <c r="F17" s="1611"/>
      <c r="G17" s="1611"/>
      <c r="H17" s="1611"/>
      <c r="I17" s="1611"/>
      <c r="J17" s="1611"/>
    </row>
    <row r="18" spans="1:10" ht="13.5">
      <c r="A18" s="33">
        <v>21110106</v>
      </c>
      <c r="B18" s="24" t="s">
        <v>815</v>
      </c>
      <c r="C18" s="24">
        <v>1</v>
      </c>
    </row>
    <row r="19" spans="1:10" ht="13.5">
      <c r="A19" s="48">
        <v>211102</v>
      </c>
      <c r="B19" s="26" t="s">
        <v>668</v>
      </c>
      <c r="C19" s="26">
        <f>SUM(C20:C25)</f>
        <v>235429498.66</v>
      </c>
    </row>
    <row r="20" spans="1:10" ht="13.5">
      <c r="A20" s="33">
        <v>21110201</v>
      </c>
      <c r="B20" s="24" t="s">
        <v>816</v>
      </c>
      <c r="C20" s="24">
        <f>(34356429.08+355928524.185)/2</f>
        <v>195142476.63249999</v>
      </c>
    </row>
    <row r="21" spans="1:10" ht="13.5">
      <c r="A21" s="33">
        <v>21110202</v>
      </c>
      <c r="B21" s="24" t="s">
        <v>817</v>
      </c>
      <c r="C21" s="24">
        <f>(9974447.15+59325689.475)/2</f>
        <v>34650068.3125</v>
      </c>
    </row>
    <row r="22" spans="1:10" ht="13.5">
      <c r="A22" s="33">
        <v>21110203</v>
      </c>
      <c r="B22" s="24" t="s">
        <v>818</v>
      </c>
      <c r="C22" s="24">
        <f>11031281.43/2</f>
        <v>5515640.7149999999</v>
      </c>
    </row>
    <row r="23" spans="1:10" ht="13.5">
      <c r="A23" s="33">
        <v>21110204</v>
      </c>
      <c r="B23" s="24" t="s">
        <v>819</v>
      </c>
      <c r="C23" s="24">
        <v>1</v>
      </c>
    </row>
    <row r="24" spans="1:10" ht="13.5">
      <c r="A24" s="33">
        <v>21110205</v>
      </c>
      <c r="B24" s="24" t="s">
        <v>820</v>
      </c>
      <c r="C24" s="24">
        <f>242622/2</f>
        <v>121311</v>
      </c>
    </row>
    <row r="25" spans="1:10" ht="13.5">
      <c r="A25" s="33">
        <v>21110206</v>
      </c>
      <c r="B25" s="24" t="s">
        <v>821</v>
      </c>
      <c r="C25" s="24">
        <v>1</v>
      </c>
    </row>
    <row r="26" spans="1:10" ht="13.5">
      <c r="A26" s="48">
        <v>211103</v>
      </c>
      <c r="B26" s="26" t="s">
        <v>669</v>
      </c>
      <c r="C26" s="26">
        <f>SUM(C27:C32)</f>
        <v>185757482.48874998</v>
      </c>
    </row>
    <row r="27" spans="1:10" ht="13.5">
      <c r="A27" s="33">
        <v>21110301</v>
      </c>
      <c r="B27" s="24" t="s">
        <v>822</v>
      </c>
      <c r="C27" s="24">
        <f>(34356429.08+187516275.6675)/2+40000000</f>
        <v>150936352.37375</v>
      </c>
    </row>
    <row r="28" spans="1:10" ht="13.5">
      <c r="A28" s="33">
        <v>21110302</v>
      </c>
      <c r="B28" s="24" t="s">
        <v>823</v>
      </c>
      <c r="C28" s="24">
        <f>(9974447.15+31035477.6225)/2+8800000</f>
        <v>29304962.38625</v>
      </c>
    </row>
    <row r="29" spans="1:10" ht="13.5">
      <c r="A29" s="33">
        <v>21110303</v>
      </c>
      <c r="B29" s="24" t="s">
        <v>824</v>
      </c>
      <c r="C29" s="24">
        <f>(5921213.7075)/2+1000000</f>
        <v>3960606.8537499998</v>
      </c>
    </row>
    <row r="30" spans="1:10" ht="13.5">
      <c r="A30" s="33">
        <v>21110304</v>
      </c>
      <c r="B30" s="24" t="s">
        <v>825</v>
      </c>
      <c r="C30" s="24">
        <v>1</v>
      </c>
    </row>
    <row r="31" spans="1:10" ht="13.5">
      <c r="A31" s="33">
        <v>21110305</v>
      </c>
      <c r="B31" s="24" t="s">
        <v>826</v>
      </c>
      <c r="C31" s="24">
        <f>3111117.75/2</f>
        <v>1555558.875</v>
      </c>
    </row>
    <row r="32" spans="1:10" ht="13.5">
      <c r="A32" s="33">
        <v>21110306</v>
      </c>
      <c r="B32" s="24" t="s">
        <v>670</v>
      </c>
      <c r="C32" s="24">
        <v>1</v>
      </c>
    </row>
    <row r="33" spans="1:3" ht="14.25" thickBot="1">
      <c r="A33" s="23"/>
      <c r="B33" s="24"/>
      <c r="C33" s="24"/>
    </row>
    <row r="34" spans="1:3" ht="14.25" thickBot="1">
      <c r="A34" s="1280" t="s">
        <v>9</v>
      </c>
      <c r="B34" s="1281"/>
      <c r="C34" s="31">
        <f>C35+C37+C39+C41+C43+C50+C53</f>
        <v>12759500</v>
      </c>
    </row>
    <row r="35" spans="1:3" ht="13.5">
      <c r="A35" s="48">
        <v>211201</v>
      </c>
      <c r="B35" s="22" t="s">
        <v>459</v>
      </c>
      <c r="C35" s="16">
        <f>C36</f>
        <v>1858000</v>
      </c>
    </row>
    <row r="36" spans="1:3" ht="13.5">
      <c r="A36" s="33">
        <v>21120101</v>
      </c>
      <c r="B36" s="13" t="s">
        <v>460</v>
      </c>
      <c r="C36" s="24">
        <f>1500000+358000</f>
        <v>1858000</v>
      </c>
    </row>
    <row r="37" spans="1:3" ht="13.5">
      <c r="A37" s="48">
        <v>211203</v>
      </c>
      <c r="B37" s="15" t="s">
        <v>461</v>
      </c>
      <c r="C37" s="26">
        <f>C38</f>
        <v>620000</v>
      </c>
    </row>
    <row r="38" spans="1:3" ht="13.5">
      <c r="A38" s="33">
        <v>21120302</v>
      </c>
      <c r="B38" s="13" t="s">
        <v>462</v>
      </c>
      <c r="C38" s="24">
        <f>500000+120000</f>
        <v>620000</v>
      </c>
    </row>
    <row r="39" spans="1:3" ht="13.5">
      <c r="A39" s="48">
        <v>211204</v>
      </c>
      <c r="B39" s="15" t="s">
        <v>463</v>
      </c>
      <c r="C39" s="26">
        <f>C40</f>
        <v>2090000</v>
      </c>
    </row>
    <row r="40" spans="1:3" ht="13.5">
      <c r="A40" s="33">
        <v>21120401</v>
      </c>
      <c r="B40" s="24" t="s">
        <v>464</v>
      </c>
      <c r="C40" s="24">
        <f>1000000+1090000</f>
        <v>2090000</v>
      </c>
    </row>
    <row r="41" spans="1:3" ht="13.5">
      <c r="A41" s="48">
        <v>211205</v>
      </c>
      <c r="B41" s="26" t="s">
        <v>465</v>
      </c>
      <c r="C41" s="26">
        <f>C42</f>
        <v>1433500</v>
      </c>
    </row>
    <row r="42" spans="1:3" ht="13.5">
      <c r="A42" s="33">
        <v>21120501</v>
      </c>
      <c r="B42" s="24" t="s">
        <v>466</v>
      </c>
      <c r="C42" s="24">
        <v>1433500</v>
      </c>
    </row>
    <row r="43" spans="1:3" ht="13.5">
      <c r="A43" s="48">
        <v>211207</v>
      </c>
      <c r="B43" s="26" t="s">
        <v>467</v>
      </c>
      <c r="C43" s="26">
        <f>SUM(C44:C49)</f>
        <v>3144500</v>
      </c>
    </row>
    <row r="44" spans="1:3" ht="13.5">
      <c r="A44" s="33">
        <v>21120702</v>
      </c>
      <c r="B44" s="24" t="s">
        <v>468</v>
      </c>
      <c r="C44" s="24">
        <f>500000+138000</f>
        <v>638000</v>
      </c>
    </row>
    <row r="45" spans="1:3" ht="13.5">
      <c r="A45" s="33">
        <v>21120704</v>
      </c>
      <c r="B45" s="24" t="s">
        <v>469</v>
      </c>
      <c r="C45" s="24">
        <f>500000+172500</f>
        <v>672500</v>
      </c>
    </row>
    <row r="46" spans="1:3" ht="13.5">
      <c r="A46" s="33">
        <v>21120708</v>
      </c>
      <c r="B46" s="13" t="s">
        <v>470</v>
      </c>
      <c r="C46" s="24">
        <f>300000+70000</f>
        <v>370000</v>
      </c>
    </row>
    <row r="47" spans="1:3" ht="13.5">
      <c r="A47" s="33">
        <v>21120709</v>
      </c>
      <c r="B47" s="24" t="s">
        <v>471</v>
      </c>
      <c r="C47" s="24">
        <f>200000+50000</f>
        <v>250000</v>
      </c>
    </row>
    <row r="48" spans="1:3" ht="13.5">
      <c r="A48" s="33">
        <v>21120710</v>
      </c>
      <c r="B48" s="24" t="s">
        <v>472</v>
      </c>
      <c r="C48" s="24">
        <f>500000+120000</f>
        <v>620000</v>
      </c>
    </row>
    <row r="49" spans="1:3" ht="13.5">
      <c r="A49" s="33">
        <v>21120711</v>
      </c>
      <c r="B49" s="24" t="s">
        <v>473</v>
      </c>
      <c r="C49" s="24">
        <f>500000+94000</f>
        <v>594000</v>
      </c>
    </row>
    <row r="50" spans="1:3" ht="13.5">
      <c r="A50" s="48">
        <v>211208</v>
      </c>
      <c r="B50" s="26" t="s">
        <v>474</v>
      </c>
      <c r="C50" s="26">
        <f>SUM(C51:C52)</f>
        <v>1653500</v>
      </c>
    </row>
    <row r="51" spans="1:3" ht="13.5">
      <c r="A51" s="33">
        <v>21120801</v>
      </c>
      <c r="B51" s="13" t="s">
        <v>475</v>
      </c>
      <c r="C51" s="24">
        <v>980000</v>
      </c>
    </row>
    <row r="52" spans="1:3" ht="13.5">
      <c r="A52" s="33">
        <v>21120805</v>
      </c>
      <c r="B52" s="24" t="s">
        <v>476</v>
      </c>
      <c r="C52" s="14">
        <v>673500</v>
      </c>
    </row>
    <row r="53" spans="1:3" ht="13.5">
      <c r="A53" s="48">
        <v>211209</v>
      </c>
      <c r="B53" s="26" t="s">
        <v>477</v>
      </c>
      <c r="C53" s="16">
        <f>SUM(C54:C56)</f>
        <v>1960000</v>
      </c>
    </row>
    <row r="54" spans="1:3" ht="13.5">
      <c r="A54" s="33">
        <v>21120901</v>
      </c>
      <c r="B54" s="24" t="s">
        <v>478</v>
      </c>
      <c r="C54" s="24">
        <f>500000+50000</f>
        <v>550000</v>
      </c>
    </row>
    <row r="55" spans="1:3" ht="13.5">
      <c r="A55" s="33">
        <v>21120906</v>
      </c>
      <c r="B55" s="24" t="s">
        <v>479</v>
      </c>
      <c r="C55" s="24">
        <f>500000+250000</f>
        <v>750000</v>
      </c>
    </row>
    <row r="56" spans="1:3" ht="13.5">
      <c r="A56" s="33">
        <v>21120907</v>
      </c>
      <c r="B56" s="13" t="s">
        <v>480</v>
      </c>
      <c r="C56" s="24">
        <f>500000+160000</f>
        <v>660000</v>
      </c>
    </row>
    <row r="57" spans="1:3" ht="14.25" thickBot="1">
      <c r="A57" s="23"/>
      <c r="B57" s="24"/>
      <c r="C57" s="24"/>
    </row>
    <row r="58" spans="1:3" ht="14.25" thickBot="1">
      <c r="A58" s="1282" t="s">
        <v>4</v>
      </c>
      <c r="B58" s="1281"/>
      <c r="C58" s="41">
        <f>C59+C62+C67+C70+C72</f>
        <v>24836000</v>
      </c>
    </row>
    <row r="59" spans="1:3" ht="13.5">
      <c r="A59" s="22">
        <v>211302</v>
      </c>
      <c r="B59" s="22" t="s">
        <v>481</v>
      </c>
      <c r="C59" s="16">
        <f>SUM(C60:C61)</f>
        <v>2041000</v>
      </c>
    </row>
    <row r="60" spans="1:3" ht="13.5">
      <c r="A60" s="33">
        <v>21130201</v>
      </c>
      <c r="B60" s="33" t="s">
        <v>482</v>
      </c>
      <c r="C60" s="25">
        <v>280000</v>
      </c>
    </row>
    <row r="61" spans="1:3" ht="13.5">
      <c r="A61" s="40">
        <v>21130204</v>
      </c>
      <c r="B61" s="13" t="s">
        <v>483</v>
      </c>
      <c r="C61" s="14">
        <v>1761000</v>
      </c>
    </row>
    <row r="62" spans="1:3" ht="13.5">
      <c r="A62" s="22">
        <v>211303</v>
      </c>
      <c r="B62" s="42" t="s">
        <v>484</v>
      </c>
      <c r="C62" s="26">
        <f>SUM(C63:C66)</f>
        <v>1176000</v>
      </c>
    </row>
    <row r="63" spans="1:3" ht="13.5">
      <c r="A63" s="33">
        <v>21130301</v>
      </c>
      <c r="B63" s="23" t="s">
        <v>485</v>
      </c>
      <c r="C63" s="24">
        <v>320000</v>
      </c>
    </row>
    <row r="64" spans="1:3" ht="13.5">
      <c r="A64" s="33">
        <v>21130304</v>
      </c>
      <c r="B64" s="23" t="s">
        <v>486</v>
      </c>
      <c r="C64" s="24">
        <v>80000</v>
      </c>
    </row>
    <row r="65" spans="1:3" ht="13.5">
      <c r="A65" s="40">
        <v>21130306</v>
      </c>
      <c r="B65" s="13" t="s">
        <v>487</v>
      </c>
      <c r="C65" s="24">
        <v>586000</v>
      </c>
    </row>
    <row r="66" spans="1:3" ht="13.5">
      <c r="A66" s="40">
        <v>21130307</v>
      </c>
      <c r="B66" s="13" t="s">
        <v>488</v>
      </c>
      <c r="C66" s="24">
        <v>190000</v>
      </c>
    </row>
    <row r="67" spans="1:3" ht="13.5">
      <c r="A67" s="22">
        <v>211305</v>
      </c>
      <c r="B67" s="15" t="s">
        <v>489</v>
      </c>
      <c r="C67" s="16">
        <f>SUM(C68:C69)</f>
        <v>6440000</v>
      </c>
    </row>
    <row r="68" spans="1:3" ht="13.5">
      <c r="A68" s="40">
        <v>21130501</v>
      </c>
      <c r="B68" s="13" t="s">
        <v>490</v>
      </c>
      <c r="C68" s="14">
        <f>500000+7000</f>
        <v>507000</v>
      </c>
    </row>
    <row r="69" spans="1:3" ht="13.5">
      <c r="A69" s="40">
        <v>21130502</v>
      </c>
      <c r="B69" s="13" t="s">
        <v>491</v>
      </c>
      <c r="C69" s="43">
        <f>1000000+4933000</f>
        <v>5933000</v>
      </c>
    </row>
    <row r="70" spans="1:3" ht="13.5">
      <c r="A70" s="22">
        <v>211306</v>
      </c>
      <c r="B70" s="15" t="s">
        <v>492</v>
      </c>
      <c r="C70" s="16">
        <f>C71</f>
        <v>358000</v>
      </c>
    </row>
    <row r="71" spans="1:3" ht="13.5">
      <c r="A71" s="40">
        <v>21130607</v>
      </c>
      <c r="B71" s="13" t="s">
        <v>493</v>
      </c>
      <c r="C71" s="14">
        <v>358000</v>
      </c>
    </row>
    <row r="72" spans="1:3" ht="13.5">
      <c r="A72" s="22">
        <v>211309</v>
      </c>
      <c r="B72" s="15" t="s">
        <v>496</v>
      </c>
      <c r="C72" s="16">
        <f>SUM(C73:C76)</f>
        <v>14821000</v>
      </c>
    </row>
    <row r="73" spans="1:3" ht="13.5">
      <c r="A73" s="40">
        <v>21130901</v>
      </c>
      <c r="B73" s="13" t="s">
        <v>497</v>
      </c>
      <c r="C73" s="43">
        <f>3000000+1687500</f>
        <v>4687500</v>
      </c>
    </row>
    <row r="74" spans="1:3" ht="13.5">
      <c r="A74" s="40">
        <v>21130903</v>
      </c>
      <c r="B74" s="13" t="s">
        <v>498</v>
      </c>
      <c r="C74" s="14">
        <v>883000</v>
      </c>
    </row>
    <row r="75" spans="1:3" ht="13.5">
      <c r="A75" s="33">
        <v>21130906</v>
      </c>
      <c r="B75" s="13" t="s">
        <v>499</v>
      </c>
      <c r="C75" s="24">
        <v>2100000</v>
      </c>
    </row>
    <row r="76" spans="1:3" ht="13.5">
      <c r="A76" s="40">
        <v>21130908</v>
      </c>
      <c r="B76" s="13" t="s">
        <v>500</v>
      </c>
      <c r="C76" s="43">
        <v>7150500</v>
      </c>
    </row>
    <row r="77" spans="1:3" ht="14.25" thickBot="1">
      <c r="A77" s="45"/>
      <c r="B77" s="45"/>
      <c r="C77" s="46"/>
    </row>
    <row r="78" spans="1:3" ht="14.25" thickBot="1">
      <c r="A78" s="1287" t="s">
        <v>45</v>
      </c>
      <c r="B78" s="1281"/>
      <c r="C78" s="47">
        <f>C79+C81</f>
        <v>4000000</v>
      </c>
    </row>
    <row r="79" spans="1:3" ht="13.5">
      <c r="A79" s="48">
        <v>211401</v>
      </c>
      <c r="B79" s="48" t="s">
        <v>501</v>
      </c>
      <c r="C79" s="49">
        <f>SUM(C80:C80)</f>
        <v>2000000</v>
      </c>
    </row>
    <row r="80" spans="1:3" ht="13.5">
      <c r="A80" s="33">
        <v>21140108</v>
      </c>
      <c r="B80" s="13" t="s">
        <v>502</v>
      </c>
      <c r="C80" s="24">
        <v>2000000</v>
      </c>
    </row>
    <row r="81" spans="1:3" ht="13.5">
      <c r="A81" s="48">
        <v>211402</v>
      </c>
      <c r="B81" s="48" t="s">
        <v>503</v>
      </c>
      <c r="C81" s="26">
        <f>C82</f>
        <v>2000000</v>
      </c>
    </row>
    <row r="82" spans="1:3" ht="13.5">
      <c r="A82" s="33">
        <v>21140213</v>
      </c>
      <c r="B82" s="13" t="s">
        <v>504</v>
      </c>
      <c r="C82" s="24">
        <v>2000000</v>
      </c>
    </row>
    <row r="83" spans="1:3" ht="14.25" thickBot="1">
      <c r="A83" s="13"/>
      <c r="B83" s="13"/>
      <c r="C83" s="14"/>
    </row>
    <row r="84" spans="1:3" ht="14.25" thickBot="1">
      <c r="A84" s="1283" t="s">
        <v>48</v>
      </c>
      <c r="B84" s="1281"/>
      <c r="C84" s="52">
        <f>+C85+C89</f>
        <v>2720000</v>
      </c>
    </row>
    <row r="85" spans="1:3" ht="13.5">
      <c r="A85" s="48">
        <v>221104</v>
      </c>
      <c r="B85" s="22" t="s">
        <v>510</v>
      </c>
      <c r="C85" s="16">
        <f>SUM(C86:C88)</f>
        <v>1632000</v>
      </c>
    </row>
    <row r="86" spans="1:3" ht="13.5">
      <c r="A86" s="33">
        <v>22110401</v>
      </c>
      <c r="B86" s="24" t="s">
        <v>511</v>
      </c>
      <c r="C86" s="24">
        <v>500000</v>
      </c>
    </row>
    <row r="87" spans="1:3" ht="13.5">
      <c r="A87" s="33">
        <v>22110404</v>
      </c>
      <c r="B87" s="24" t="s">
        <v>512</v>
      </c>
      <c r="C87" s="24">
        <v>590000</v>
      </c>
    </row>
    <row r="88" spans="1:3" ht="13.5">
      <c r="A88" s="33">
        <v>22110409</v>
      </c>
      <c r="B88" s="24" t="s">
        <v>513</v>
      </c>
      <c r="C88" s="24">
        <v>542000</v>
      </c>
    </row>
    <row r="89" spans="1:3" ht="13.5">
      <c r="A89" s="48">
        <v>221107</v>
      </c>
      <c r="B89" s="26" t="s">
        <v>514</v>
      </c>
      <c r="C89" s="26">
        <f>C90</f>
        <v>1088000</v>
      </c>
    </row>
    <row r="90" spans="1:3" ht="13.5">
      <c r="A90" s="33">
        <v>22110702</v>
      </c>
      <c r="B90" s="24" t="s">
        <v>515</v>
      </c>
      <c r="C90" s="24">
        <f>1000000+88000</f>
        <v>1088000</v>
      </c>
    </row>
    <row r="92" spans="1:3" ht="14.25" thickBot="1">
      <c r="A92" s="23"/>
      <c r="B92" s="23"/>
      <c r="C92" s="46"/>
    </row>
    <row r="93" spans="1:3" ht="13.9" customHeight="1">
      <c r="A93" s="1334" t="s">
        <v>967</v>
      </c>
      <c r="B93" s="1352"/>
      <c r="C93" s="1179" t="s">
        <v>763</v>
      </c>
    </row>
    <row r="94" spans="1:3" ht="13.5" thickBot="1">
      <c r="A94" s="1337"/>
      <c r="B94" s="1353"/>
      <c r="C94" s="1497"/>
    </row>
    <row r="95" spans="1:3" ht="13.5">
      <c r="A95" s="1028" t="s">
        <v>675</v>
      </c>
      <c r="B95" s="986"/>
      <c r="C95" s="1080"/>
    </row>
    <row r="96" spans="1:3" ht="13.5">
      <c r="A96" s="1097" t="s">
        <v>706</v>
      </c>
      <c r="B96" s="986"/>
      <c r="C96" s="1080"/>
    </row>
    <row r="97" spans="1:3" ht="13.5">
      <c r="A97" s="1097" t="s">
        <v>726</v>
      </c>
      <c r="B97" s="986"/>
      <c r="C97" s="1080"/>
    </row>
    <row r="98" spans="1:3" ht="14.25" thickBot="1">
      <c r="A98" s="1097" t="s">
        <v>0</v>
      </c>
      <c r="B98" s="986"/>
      <c r="C98" s="1080"/>
    </row>
    <row r="99" spans="1:3" ht="14.25" thickBot="1">
      <c r="A99" s="988" t="s">
        <v>1</v>
      </c>
      <c r="B99" s="989"/>
      <c r="C99" s="1156">
        <f>+C101+C113+C129</f>
        <v>54204500</v>
      </c>
    </row>
    <row r="100" spans="1:3" ht="14.25" thickBot="1">
      <c r="A100" s="15"/>
      <c r="B100" s="15"/>
      <c r="C100" s="16"/>
    </row>
    <row r="101" spans="1:3" ht="14.25" thickBot="1">
      <c r="A101" s="1280" t="s">
        <v>9</v>
      </c>
      <c r="B101" s="1281"/>
      <c r="C101" s="31">
        <f>C102+C104+C106+C108</f>
        <v>11701000</v>
      </c>
    </row>
    <row r="102" spans="1:3" ht="13.5">
      <c r="A102" s="48">
        <v>211202</v>
      </c>
      <c r="B102" s="48" t="s">
        <v>529</v>
      </c>
      <c r="C102" s="16">
        <f>SUM(C103)</f>
        <v>3067500</v>
      </c>
    </row>
    <row r="103" spans="1:3" ht="13.5">
      <c r="A103" s="33">
        <v>21120202</v>
      </c>
      <c r="B103" s="13" t="s">
        <v>530</v>
      </c>
      <c r="C103" s="24">
        <v>3067500</v>
      </c>
    </row>
    <row r="104" spans="1:3" ht="13.5">
      <c r="A104" s="48">
        <v>211203</v>
      </c>
      <c r="B104" s="15" t="s">
        <v>461</v>
      </c>
      <c r="C104" s="26">
        <f>SUM(C105)</f>
        <v>676500</v>
      </c>
    </row>
    <row r="105" spans="1:3" ht="13.5">
      <c r="A105" s="33">
        <v>21120302</v>
      </c>
      <c r="B105" s="13" t="s">
        <v>462</v>
      </c>
      <c r="C105" s="24">
        <v>676500</v>
      </c>
    </row>
    <row r="106" spans="1:3" ht="13.5">
      <c r="A106" s="48">
        <v>211204</v>
      </c>
      <c r="B106" s="15" t="s">
        <v>463</v>
      </c>
      <c r="C106" s="26">
        <f>SUM(C107)</f>
        <v>491000</v>
      </c>
    </row>
    <row r="107" spans="1:3" ht="13.5">
      <c r="A107" s="33">
        <v>21120401</v>
      </c>
      <c r="B107" s="24" t="s">
        <v>464</v>
      </c>
      <c r="C107" s="14">
        <v>491000</v>
      </c>
    </row>
    <row r="108" spans="1:3" ht="13.5">
      <c r="A108" s="48">
        <v>211209</v>
      </c>
      <c r="B108" s="26" t="s">
        <v>477</v>
      </c>
      <c r="C108" s="16">
        <f>+SUM(C109:C111)</f>
        <v>7466000</v>
      </c>
    </row>
    <row r="109" spans="1:3" ht="13.5">
      <c r="A109" s="40">
        <v>21120905</v>
      </c>
      <c r="B109" s="13" t="s">
        <v>525</v>
      </c>
      <c r="C109" s="14">
        <v>5393500</v>
      </c>
    </row>
    <row r="110" spans="1:3" ht="13.5">
      <c r="A110" s="33">
        <v>21120906</v>
      </c>
      <c r="B110" s="24" t="s">
        <v>479</v>
      </c>
      <c r="C110" s="14">
        <v>79500</v>
      </c>
    </row>
    <row r="111" spans="1:3" ht="13.5">
      <c r="A111" s="33">
        <v>21120907</v>
      </c>
      <c r="B111" s="13" t="s">
        <v>480</v>
      </c>
      <c r="C111" s="14">
        <v>1993000</v>
      </c>
    </row>
    <row r="112" spans="1:3" ht="14.25" thickBot="1">
      <c r="A112" s="23"/>
      <c r="B112" s="24"/>
      <c r="C112" s="14"/>
    </row>
    <row r="113" spans="1:3" ht="14.25" thickBot="1">
      <c r="A113" s="1282" t="s">
        <v>4</v>
      </c>
      <c r="B113" s="1281"/>
      <c r="C113" s="41">
        <f>C114+C117+C119+C122</f>
        <v>42333500</v>
      </c>
    </row>
    <row r="114" spans="1:3" ht="13.5">
      <c r="A114" s="48">
        <v>211302</v>
      </c>
      <c r="B114" s="48" t="s">
        <v>481</v>
      </c>
      <c r="C114" s="16">
        <f>+SUM(C115:C116)</f>
        <v>2936500</v>
      </c>
    </row>
    <row r="115" spans="1:3" ht="13.5">
      <c r="A115" s="40">
        <v>21130204</v>
      </c>
      <c r="B115" s="13" t="s">
        <v>483</v>
      </c>
      <c r="C115" s="43">
        <v>2586500</v>
      </c>
    </row>
    <row r="116" spans="1:3" ht="13.5">
      <c r="A116" s="33">
        <v>21130205</v>
      </c>
      <c r="B116" s="24" t="s">
        <v>531</v>
      </c>
      <c r="C116" s="51">
        <v>350000</v>
      </c>
    </row>
    <row r="117" spans="1:3" ht="13.5">
      <c r="A117" s="22">
        <v>211303</v>
      </c>
      <c r="B117" s="42" t="s">
        <v>484</v>
      </c>
      <c r="C117" s="26">
        <f>SUM(C118)</f>
        <v>71000</v>
      </c>
    </row>
    <row r="118" spans="1:3" ht="13.5">
      <c r="A118" s="40">
        <v>21130307</v>
      </c>
      <c r="B118" s="13" t="s">
        <v>488</v>
      </c>
      <c r="C118" s="24">
        <f>50000+21000</f>
        <v>71000</v>
      </c>
    </row>
    <row r="119" spans="1:3" ht="13.5">
      <c r="A119" s="22">
        <v>211305</v>
      </c>
      <c r="B119" s="15" t="s">
        <v>489</v>
      </c>
      <c r="C119" s="16">
        <f>SUM(C120:C121)</f>
        <v>1145000</v>
      </c>
    </row>
    <row r="120" spans="1:3" ht="13.5">
      <c r="A120" s="33">
        <v>21130501</v>
      </c>
      <c r="B120" s="13" t="s">
        <v>490</v>
      </c>
      <c r="C120" s="14">
        <f>50000+15000</f>
        <v>65000</v>
      </c>
    </row>
    <row r="121" spans="1:3" ht="13.5">
      <c r="A121" s="33">
        <v>21130502</v>
      </c>
      <c r="B121" s="24" t="s">
        <v>491</v>
      </c>
      <c r="C121" s="43">
        <v>1080000</v>
      </c>
    </row>
    <row r="122" spans="1:3" ht="13.5">
      <c r="A122" s="48">
        <v>211309</v>
      </c>
      <c r="B122" s="15" t="s">
        <v>496</v>
      </c>
      <c r="C122" s="16">
        <f>SUM(C123:C127)</f>
        <v>38181000</v>
      </c>
    </row>
    <row r="123" spans="1:3" ht="13.5">
      <c r="A123" s="40">
        <v>21130901</v>
      </c>
      <c r="B123" s="13" t="s">
        <v>497</v>
      </c>
      <c r="C123" s="43">
        <f>7000000+80000-1100000</f>
        <v>5980000</v>
      </c>
    </row>
    <row r="124" spans="1:3" ht="13.5">
      <c r="A124" s="40">
        <v>21130903</v>
      </c>
      <c r="B124" s="13" t="s">
        <v>498</v>
      </c>
      <c r="C124" s="14">
        <v>430000</v>
      </c>
    </row>
    <row r="125" spans="1:3" ht="13.5">
      <c r="A125" s="40">
        <v>21130905</v>
      </c>
      <c r="B125" s="13" t="s">
        <v>532</v>
      </c>
      <c r="C125" s="14">
        <v>9962500</v>
      </c>
    </row>
    <row r="126" spans="1:3" ht="13.5">
      <c r="A126" s="40">
        <v>21130906</v>
      </c>
      <c r="B126" s="13" t="s">
        <v>499</v>
      </c>
      <c r="C126" s="14">
        <v>20764500</v>
      </c>
    </row>
    <row r="127" spans="1:3" ht="13.5">
      <c r="A127" s="40">
        <v>21130908</v>
      </c>
      <c r="B127" s="13" t="s">
        <v>500</v>
      </c>
      <c r="C127" s="14">
        <v>1044000</v>
      </c>
    </row>
    <row r="128" spans="1:3" ht="14.25" thickBot="1">
      <c r="A128" s="13"/>
      <c r="B128" s="13"/>
      <c r="C128" s="14"/>
    </row>
    <row r="129" spans="1:3" ht="14.25" thickBot="1">
      <c r="A129" s="1283" t="s">
        <v>48</v>
      </c>
      <c r="B129" s="1281"/>
      <c r="C129" s="52">
        <f>C130+C133</f>
        <v>170000</v>
      </c>
    </row>
    <row r="130" spans="1:3" ht="13.5">
      <c r="A130" s="48">
        <v>221104</v>
      </c>
      <c r="B130" s="22" t="s">
        <v>510</v>
      </c>
      <c r="C130" s="16">
        <f>SUM(C131:C132)</f>
        <v>120000</v>
      </c>
    </row>
    <row r="131" spans="1:3" ht="13.5">
      <c r="A131" s="33">
        <v>22110401</v>
      </c>
      <c r="B131" s="24" t="s">
        <v>511</v>
      </c>
      <c r="C131" s="14">
        <v>50000</v>
      </c>
    </row>
    <row r="132" spans="1:3" ht="13.5">
      <c r="A132" s="33">
        <v>22110404</v>
      </c>
      <c r="B132" s="24" t="s">
        <v>512</v>
      </c>
      <c r="C132" s="24">
        <v>70000</v>
      </c>
    </row>
    <row r="133" spans="1:3" ht="13.5">
      <c r="A133" s="48">
        <v>221107</v>
      </c>
      <c r="B133" s="26" t="s">
        <v>514</v>
      </c>
      <c r="C133" s="26">
        <f>SUM(C134)</f>
        <v>50000</v>
      </c>
    </row>
    <row r="134" spans="1:3" ht="13.5">
      <c r="A134" s="33">
        <v>22110702</v>
      </c>
      <c r="B134" s="24" t="s">
        <v>515</v>
      </c>
      <c r="C134" s="24">
        <v>50000</v>
      </c>
    </row>
    <row r="135" spans="1:3" ht="13.5">
      <c r="A135" s="23"/>
      <c r="B135" s="24"/>
      <c r="C135" s="24"/>
    </row>
    <row r="136" spans="1:3" ht="14.25" thickBot="1">
      <c r="A136" s="23"/>
      <c r="B136" s="24"/>
      <c r="C136" s="14"/>
    </row>
    <row r="137" spans="1:3" ht="13.15" customHeight="1">
      <c r="A137" s="1334" t="s">
        <v>968</v>
      </c>
      <c r="B137" s="1336"/>
      <c r="C137" s="1518">
        <v>1103</v>
      </c>
    </row>
    <row r="138" spans="1:3" ht="13.9" customHeight="1" thickBot="1">
      <c r="A138" s="1363"/>
      <c r="B138" s="1304"/>
      <c r="C138" s="1519"/>
    </row>
    <row r="139" spans="1:3" ht="13.5">
      <c r="A139" s="1028" t="s">
        <v>675</v>
      </c>
      <c r="B139" s="1072"/>
      <c r="C139" s="1029"/>
    </row>
    <row r="140" spans="1:3" ht="13.5">
      <c r="A140" s="1097" t="s">
        <v>706</v>
      </c>
      <c r="B140" s="1072"/>
      <c r="C140" s="1029"/>
    </row>
    <row r="141" spans="1:3" ht="13.5">
      <c r="A141" s="1097" t="s">
        <v>726</v>
      </c>
      <c r="B141" s="1072"/>
      <c r="C141" s="1029"/>
    </row>
    <row r="142" spans="1:3" ht="14.25" thickBot="1">
      <c r="A142" s="1028" t="s">
        <v>59</v>
      </c>
      <c r="B142" s="1072"/>
      <c r="C142" s="1029"/>
    </row>
    <row r="143" spans="1:3" ht="13.5" thickBot="1">
      <c r="A143" s="1532" t="s">
        <v>60</v>
      </c>
      <c r="B143" s="1533"/>
      <c r="C143" s="1534">
        <f>SUM(C145+C163+C175)</f>
        <v>39061500</v>
      </c>
    </row>
    <row r="144" spans="1:3" ht="14.25" thickBot="1">
      <c r="A144" s="23"/>
      <c r="B144" s="46"/>
      <c r="C144" s="24"/>
    </row>
    <row r="145" spans="1:3" ht="14.25" thickBot="1">
      <c r="A145" s="1297" t="s">
        <v>9</v>
      </c>
      <c r="B145" s="1281"/>
      <c r="C145" s="62">
        <f>C146+C148+C150+C158+C152</f>
        <v>14372000</v>
      </c>
    </row>
    <row r="146" spans="1:3" ht="13.5">
      <c r="A146" s="48">
        <v>211201</v>
      </c>
      <c r="B146" s="48" t="s">
        <v>459</v>
      </c>
      <c r="C146" s="49">
        <f>C147</f>
        <v>3485500</v>
      </c>
    </row>
    <row r="147" spans="1:3" ht="13.5">
      <c r="A147" s="33">
        <v>21120101</v>
      </c>
      <c r="B147" s="13" t="s">
        <v>460</v>
      </c>
      <c r="C147" s="24">
        <f>485500+3000000</f>
        <v>3485500</v>
      </c>
    </row>
    <row r="148" spans="1:3" ht="13.5">
      <c r="A148" s="48">
        <v>211203</v>
      </c>
      <c r="B148" s="15" t="s">
        <v>461</v>
      </c>
      <c r="C148" s="26">
        <f>SUM(C149)</f>
        <v>2896000</v>
      </c>
    </row>
    <row r="149" spans="1:3" ht="13.5">
      <c r="A149" s="33">
        <v>21120302</v>
      </c>
      <c r="B149" s="13" t="s">
        <v>462</v>
      </c>
      <c r="C149" s="24">
        <v>2896000</v>
      </c>
    </row>
    <row r="150" spans="1:3" ht="13.5">
      <c r="A150" s="48">
        <v>211204</v>
      </c>
      <c r="B150" s="15" t="s">
        <v>463</v>
      </c>
      <c r="C150" s="26">
        <f>SUM(C151)</f>
        <v>5210000</v>
      </c>
    </row>
    <row r="151" spans="1:3" ht="13.5">
      <c r="A151" s="33">
        <v>21120401</v>
      </c>
      <c r="B151" s="13" t="s">
        <v>464</v>
      </c>
      <c r="C151" s="24">
        <v>5210000</v>
      </c>
    </row>
    <row r="152" spans="1:3" ht="13.5">
      <c r="A152" s="48">
        <v>211207</v>
      </c>
      <c r="B152" s="26" t="s">
        <v>467</v>
      </c>
      <c r="C152" s="26">
        <f>+SUM(C153:C157)</f>
        <v>781000</v>
      </c>
    </row>
    <row r="153" spans="1:3" ht="13.5">
      <c r="A153" s="33">
        <v>21120702</v>
      </c>
      <c r="B153" s="13" t="s">
        <v>468</v>
      </c>
      <c r="C153" s="24">
        <f>250000+56000</f>
        <v>306000</v>
      </c>
    </row>
    <row r="154" spans="1:3" ht="13.5">
      <c r="A154" s="33">
        <v>21120708</v>
      </c>
      <c r="B154" s="13" t="s">
        <v>470</v>
      </c>
      <c r="C154" s="24">
        <f>250000+30000</f>
        <v>280000</v>
      </c>
    </row>
    <row r="155" spans="1:3" ht="13.5">
      <c r="A155" s="33">
        <v>21120709</v>
      </c>
      <c r="B155" s="24" t="s">
        <v>471</v>
      </c>
      <c r="C155" s="24">
        <v>140000</v>
      </c>
    </row>
    <row r="156" spans="1:3" ht="13.5">
      <c r="A156" s="33">
        <v>21120710</v>
      </c>
      <c r="B156" s="24" t="s">
        <v>472</v>
      </c>
      <c r="C156" s="24">
        <v>30000</v>
      </c>
    </row>
    <row r="157" spans="1:3" ht="13.5">
      <c r="A157" s="33">
        <v>21120711</v>
      </c>
      <c r="B157" s="24" t="s">
        <v>473</v>
      </c>
      <c r="C157" s="24">
        <v>25000</v>
      </c>
    </row>
    <row r="158" spans="1:3" ht="13.5">
      <c r="A158" s="48">
        <v>211209</v>
      </c>
      <c r="B158" s="26" t="s">
        <v>477</v>
      </c>
      <c r="C158" s="26">
        <f>+SUM(C159:C161)</f>
        <v>1999500</v>
      </c>
    </row>
    <row r="159" spans="1:3" ht="13.5">
      <c r="A159" s="33">
        <v>21120901</v>
      </c>
      <c r="B159" s="13" t="s">
        <v>478</v>
      </c>
      <c r="C159" s="24">
        <f>500000+40000</f>
        <v>540000</v>
      </c>
    </row>
    <row r="160" spans="1:3" ht="13.5">
      <c r="A160" s="33">
        <v>21120906</v>
      </c>
      <c r="B160" s="13" t="s">
        <v>479</v>
      </c>
      <c r="C160" s="24">
        <f>500000+459000</f>
        <v>959000</v>
      </c>
    </row>
    <row r="161" spans="1:3" ht="13.5">
      <c r="A161" s="33">
        <v>21120907</v>
      </c>
      <c r="B161" s="13" t="s">
        <v>480</v>
      </c>
      <c r="C161" s="24">
        <f>-1500000+2000500</f>
        <v>500500</v>
      </c>
    </row>
    <row r="162" spans="1:3" ht="14.25" thickBot="1">
      <c r="A162" s="23"/>
      <c r="B162" s="13"/>
      <c r="C162" s="24"/>
    </row>
    <row r="163" spans="1:3" ht="14.25" thickBot="1">
      <c r="A163" s="1298" t="s">
        <v>4</v>
      </c>
      <c r="B163" s="1281"/>
      <c r="C163" s="64">
        <f>C164+C166+C169</f>
        <v>24259500</v>
      </c>
    </row>
    <row r="164" spans="1:3" ht="13.5">
      <c r="A164" s="22">
        <v>211302</v>
      </c>
      <c r="B164" s="48" t="s">
        <v>481</v>
      </c>
      <c r="C164" s="49">
        <f>C165</f>
        <v>3075500</v>
      </c>
    </row>
    <row r="165" spans="1:3" ht="13.5">
      <c r="A165" s="40">
        <v>21130204</v>
      </c>
      <c r="B165" s="13" t="s">
        <v>483</v>
      </c>
      <c r="C165" s="24">
        <v>3075500</v>
      </c>
    </row>
    <row r="166" spans="1:3" ht="13.5">
      <c r="A166" s="22">
        <v>211303</v>
      </c>
      <c r="B166" s="15" t="s">
        <v>484</v>
      </c>
      <c r="C166" s="26">
        <f>+SUM(C167:C168)</f>
        <v>241500</v>
      </c>
    </row>
    <row r="167" spans="1:3" ht="13.5">
      <c r="A167" s="40">
        <v>21130302</v>
      </c>
      <c r="B167" s="13" t="s">
        <v>520</v>
      </c>
      <c r="C167" s="24">
        <v>225500</v>
      </c>
    </row>
    <row r="168" spans="1:3" ht="13.5">
      <c r="A168" s="40">
        <v>21130307</v>
      </c>
      <c r="B168" s="13" t="s">
        <v>488</v>
      </c>
      <c r="C168" s="24">
        <v>16000</v>
      </c>
    </row>
    <row r="169" spans="1:3" ht="13.5">
      <c r="A169" s="48">
        <v>211309</v>
      </c>
      <c r="B169" s="21" t="s">
        <v>496</v>
      </c>
      <c r="C169" s="26">
        <f>+SUM(C170:C173)</f>
        <v>20942500</v>
      </c>
    </row>
    <row r="170" spans="1:3" ht="13.5">
      <c r="A170" s="40">
        <v>21130901</v>
      </c>
      <c r="B170" s="23" t="s">
        <v>497</v>
      </c>
      <c r="C170" s="24">
        <f>10000000+10501000</f>
        <v>20501000</v>
      </c>
    </row>
    <row r="171" spans="1:3" ht="13.5">
      <c r="A171" s="40">
        <v>21130903</v>
      </c>
      <c r="B171" s="13" t="s">
        <v>498</v>
      </c>
      <c r="C171" s="24">
        <f>25000+16000</f>
        <v>41000</v>
      </c>
    </row>
    <row r="172" spans="1:3" ht="13.5">
      <c r="A172" s="33">
        <v>21130906</v>
      </c>
      <c r="B172" s="13" t="s">
        <v>499</v>
      </c>
      <c r="C172" s="24">
        <f>225500-25000</f>
        <v>200500</v>
      </c>
    </row>
    <row r="173" spans="1:3" ht="13.5">
      <c r="A173" s="40">
        <v>21130908</v>
      </c>
      <c r="B173" s="23" t="s">
        <v>500</v>
      </c>
      <c r="C173" s="24">
        <v>200000</v>
      </c>
    </row>
    <row r="174" spans="1:3" ht="14.25" thickBot="1">
      <c r="A174" s="23"/>
      <c r="B174" s="23"/>
      <c r="C174" s="24"/>
    </row>
    <row r="175" spans="1:3" ht="14.25" thickBot="1">
      <c r="A175" s="1299" t="s">
        <v>48</v>
      </c>
      <c r="B175" s="1281"/>
      <c r="C175" s="65">
        <f>C176+C178</f>
        <v>430000</v>
      </c>
    </row>
    <row r="176" spans="1:3" ht="13.5">
      <c r="A176" s="48">
        <v>221104</v>
      </c>
      <c r="B176" s="48" t="s">
        <v>510</v>
      </c>
      <c r="C176" s="49">
        <f>SUM(C177)</f>
        <v>350000</v>
      </c>
    </row>
    <row r="177" spans="1:34" ht="13.5">
      <c r="A177" s="33">
        <v>22110401</v>
      </c>
      <c r="B177" s="13" t="s">
        <v>511</v>
      </c>
      <c r="C177" s="51">
        <v>350000</v>
      </c>
    </row>
    <row r="178" spans="1:34" ht="13.5">
      <c r="A178" s="48">
        <v>221107</v>
      </c>
      <c r="B178" s="26" t="s">
        <v>514</v>
      </c>
      <c r="C178" s="26">
        <f>SUM(C179)</f>
        <v>80000</v>
      </c>
    </row>
    <row r="179" spans="1:34" ht="13.5">
      <c r="A179" s="33">
        <v>22110702</v>
      </c>
      <c r="B179" s="13" t="s">
        <v>515</v>
      </c>
      <c r="C179" s="51">
        <v>80000</v>
      </c>
    </row>
    <row r="181" spans="1:34" ht="13.5" customHeight="1" thickBot="1">
      <c r="A181" s="23"/>
      <c r="B181" s="13"/>
      <c r="C181" s="24"/>
      <c r="D181" s="27"/>
      <c r="E181" s="27"/>
      <c r="F181" s="7"/>
      <c r="G181" s="7"/>
      <c r="H181" s="7"/>
      <c r="I181" s="7"/>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ht="13.5" customHeight="1">
      <c r="A182" s="1063" t="s">
        <v>887</v>
      </c>
      <c r="B182" s="985"/>
      <c r="C182" s="1518">
        <v>1104</v>
      </c>
      <c r="D182" s="45"/>
      <c r="E182" s="45"/>
      <c r="F182" s="45"/>
      <c r="G182" s="45"/>
      <c r="H182" s="45"/>
      <c r="I182" s="45"/>
      <c r="J182" s="45"/>
      <c r="K182" s="45"/>
      <c r="L182" s="45"/>
      <c r="M182" s="35"/>
      <c r="N182" s="35"/>
      <c r="O182" s="35"/>
      <c r="P182" s="35"/>
      <c r="Q182" s="35"/>
      <c r="R182" s="35"/>
      <c r="S182" s="35"/>
      <c r="T182" s="35"/>
      <c r="U182" s="35"/>
      <c r="V182" s="35"/>
      <c r="W182" s="35"/>
      <c r="X182" s="35"/>
    </row>
    <row r="183" spans="1:34" ht="12.75" customHeight="1" thickBot="1">
      <c r="A183" s="1168"/>
      <c r="B183" s="981"/>
      <c r="C183" s="1519"/>
      <c r="D183" s="45"/>
      <c r="E183" s="45"/>
      <c r="F183" s="45"/>
      <c r="G183" s="45"/>
      <c r="H183" s="45"/>
      <c r="I183" s="45"/>
      <c r="J183" s="45"/>
      <c r="K183" s="45"/>
      <c r="L183" s="45"/>
      <c r="M183" s="35"/>
      <c r="N183" s="35"/>
      <c r="O183" s="35"/>
      <c r="P183" s="35"/>
      <c r="Q183" s="35"/>
      <c r="R183" s="35"/>
      <c r="S183" s="35"/>
      <c r="T183" s="35"/>
      <c r="U183" s="35"/>
      <c r="V183" s="35"/>
      <c r="W183" s="35"/>
      <c r="X183" s="35"/>
    </row>
    <row r="184" spans="1:34" ht="12.75" customHeight="1">
      <c r="A184" s="1028" t="s">
        <v>675</v>
      </c>
      <c r="B184" s="808"/>
      <c r="C184" s="1184"/>
      <c r="D184" s="45"/>
      <c r="E184" s="45"/>
      <c r="F184" s="45"/>
      <c r="G184" s="45"/>
      <c r="H184" s="45"/>
      <c r="I184" s="45"/>
      <c r="J184" s="45"/>
      <c r="K184" s="45"/>
      <c r="L184" s="45"/>
      <c r="M184" s="35"/>
      <c r="N184" s="35"/>
      <c r="O184" s="35"/>
      <c r="P184" s="35"/>
      <c r="Q184" s="35"/>
      <c r="R184" s="35"/>
      <c r="S184" s="35"/>
      <c r="T184" s="35"/>
      <c r="U184" s="35"/>
      <c r="V184" s="35"/>
      <c r="W184" s="35"/>
      <c r="X184" s="35"/>
    </row>
    <row r="185" spans="1:34" ht="12.75" customHeight="1">
      <c r="A185" s="1097" t="s">
        <v>706</v>
      </c>
      <c r="B185" s="808"/>
      <c r="C185" s="1184"/>
      <c r="D185" s="45"/>
      <c r="E185" s="45"/>
      <c r="F185" s="45"/>
      <c r="G185" s="45"/>
      <c r="H185" s="45"/>
      <c r="I185" s="45"/>
      <c r="J185" s="45"/>
      <c r="K185" s="45"/>
      <c r="L185" s="45"/>
      <c r="M185" s="35"/>
      <c r="N185" s="35"/>
      <c r="O185" s="35"/>
      <c r="P185" s="35"/>
      <c r="Q185" s="35"/>
      <c r="R185" s="35"/>
      <c r="S185" s="35"/>
      <c r="T185" s="35"/>
      <c r="U185" s="35"/>
      <c r="V185" s="35"/>
      <c r="W185" s="35"/>
      <c r="X185" s="35"/>
    </row>
    <row r="186" spans="1:34" ht="12.75" customHeight="1">
      <c r="A186" s="1097" t="s">
        <v>726</v>
      </c>
      <c r="B186" s="808"/>
      <c r="C186" s="1184"/>
      <c r="D186" s="45"/>
      <c r="E186" s="45"/>
      <c r="F186" s="45"/>
      <c r="G186" s="45"/>
      <c r="H186" s="45"/>
      <c r="I186" s="45"/>
      <c r="J186" s="45"/>
      <c r="K186" s="45"/>
      <c r="L186" s="45"/>
      <c r="M186" s="35"/>
      <c r="N186" s="35"/>
      <c r="O186" s="35"/>
      <c r="P186" s="35"/>
      <c r="Q186" s="35"/>
      <c r="R186" s="35"/>
      <c r="S186" s="35"/>
      <c r="T186" s="35"/>
      <c r="U186" s="35"/>
      <c r="V186" s="35"/>
      <c r="W186" s="35"/>
      <c r="X186" s="35"/>
    </row>
    <row r="187" spans="1:34" ht="12.75" customHeight="1" thickBot="1">
      <c r="A187" s="1125" t="s">
        <v>59</v>
      </c>
      <c r="B187" s="982"/>
      <c r="C187" s="1185"/>
      <c r="D187" s="45"/>
      <c r="E187" s="45"/>
      <c r="F187" s="45"/>
      <c r="G187" s="45"/>
      <c r="H187" s="45"/>
      <c r="I187" s="45"/>
      <c r="J187" s="45"/>
      <c r="K187" s="45"/>
      <c r="L187" s="45"/>
      <c r="M187" s="35"/>
      <c r="N187" s="35"/>
      <c r="O187" s="35"/>
      <c r="P187" s="35"/>
      <c r="Q187" s="35"/>
      <c r="R187" s="35"/>
      <c r="S187" s="35"/>
      <c r="T187" s="35"/>
      <c r="U187" s="35"/>
      <c r="V187" s="35"/>
      <c r="W187" s="35"/>
      <c r="X187" s="35"/>
    </row>
    <row r="188" spans="1:34" ht="12.75" customHeight="1" thickBot="1">
      <c r="A188" s="1171" t="s">
        <v>60</v>
      </c>
      <c r="B188" s="1186"/>
      <c r="C188" s="1173">
        <f>C190+C211+C227</f>
        <v>44877500</v>
      </c>
      <c r="D188" s="45"/>
      <c r="E188" s="45"/>
      <c r="F188" s="45"/>
      <c r="G188" s="45"/>
      <c r="H188" s="45"/>
      <c r="I188" s="45"/>
      <c r="J188" s="45"/>
      <c r="K188" s="45"/>
      <c r="L188" s="45"/>
      <c r="M188" s="35"/>
      <c r="N188" s="35"/>
      <c r="O188" s="35"/>
      <c r="P188" s="35"/>
      <c r="Q188" s="35"/>
      <c r="R188" s="35"/>
      <c r="S188" s="35"/>
      <c r="T188" s="35"/>
      <c r="U188" s="35"/>
      <c r="V188" s="35"/>
      <c r="W188" s="35"/>
      <c r="X188" s="35"/>
    </row>
    <row r="189" spans="1:34" ht="12.75" customHeight="1" thickBot="1">
      <c r="A189" s="88"/>
      <c r="B189" s="88"/>
      <c r="C189" s="24"/>
      <c r="D189" s="45"/>
      <c r="E189" s="45"/>
      <c r="F189" s="45"/>
      <c r="G189" s="45"/>
      <c r="H189" s="45"/>
      <c r="I189" s="45"/>
      <c r="J189" s="45"/>
      <c r="K189" s="45"/>
      <c r="L189" s="45"/>
      <c r="M189" s="35"/>
      <c r="N189" s="35"/>
      <c r="O189" s="35"/>
      <c r="P189" s="35"/>
      <c r="Q189" s="35"/>
      <c r="R189" s="35"/>
      <c r="S189" s="35"/>
      <c r="T189" s="35"/>
      <c r="U189" s="35"/>
      <c r="V189" s="35"/>
      <c r="W189" s="35"/>
      <c r="X189" s="35"/>
    </row>
    <row r="190" spans="1:34" ht="12.75" customHeight="1" thickBot="1">
      <c r="A190" s="1297" t="s">
        <v>9</v>
      </c>
      <c r="B190" s="1281"/>
      <c r="C190" s="62">
        <f>C191+C193+C195+C197+C199+C201+C205+C207</f>
        <v>4681000</v>
      </c>
      <c r="D190" s="45"/>
      <c r="E190" s="45"/>
      <c r="F190" s="45"/>
      <c r="G190" s="45"/>
      <c r="H190" s="45"/>
      <c r="I190" s="45"/>
      <c r="J190" s="45"/>
      <c r="K190" s="45"/>
      <c r="L190" s="45"/>
      <c r="M190" s="35"/>
      <c r="N190" s="35"/>
      <c r="O190" s="35"/>
      <c r="P190" s="35"/>
      <c r="Q190" s="35"/>
      <c r="R190" s="35"/>
      <c r="S190" s="35"/>
      <c r="T190" s="35"/>
      <c r="U190" s="35"/>
      <c r="V190" s="35"/>
      <c r="W190" s="35"/>
      <c r="X190" s="35"/>
    </row>
    <row r="191" spans="1:34" ht="12.75" customHeight="1">
      <c r="A191" s="48">
        <v>211201</v>
      </c>
      <c r="B191" s="48" t="s">
        <v>459</v>
      </c>
      <c r="C191" s="49">
        <f>C192</f>
        <v>1289500</v>
      </c>
      <c r="D191" s="91"/>
      <c r="E191" s="91"/>
      <c r="F191" s="91"/>
      <c r="G191" s="91"/>
      <c r="H191" s="91"/>
      <c r="I191" s="91"/>
      <c r="J191" s="91"/>
      <c r="K191" s="91"/>
      <c r="L191" s="91"/>
      <c r="M191" s="92"/>
      <c r="N191" s="92"/>
      <c r="O191" s="92"/>
      <c r="P191" s="92"/>
      <c r="Q191" s="92"/>
      <c r="R191" s="92"/>
      <c r="S191" s="92"/>
      <c r="T191" s="92"/>
      <c r="U191" s="92"/>
      <c r="V191" s="92"/>
      <c r="W191" s="92"/>
      <c r="X191" s="92"/>
    </row>
    <row r="192" spans="1:34" ht="12.75" customHeight="1">
      <c r="A192" s="33">
        <v>21120101</v>
      </c>
      <c r="B192" s="23" t="s">
        <v>460</v>
      </c>
      <c r="C192" s="24">
        <f>1000000+289500</f>
        <v>1289500</v>
      </c>
      <c r="D192" s="45"/>
      <c r="E192" s="45"/>
      <c r="F192" s="45"/>
      <c r="G192" s="45"/>
      <c r="H192" s="45"/>
      <c r="I192" s="45"/>
      <c r="J192" s="45"/>
      <c r="K192" s="45"/>
      <c r="L192" s="45"/>
      <c r="M192" s="35"/>
      <c r="N192" s="35"/>
      <c r="O192" s="35"/>
      <c r="P192" s="35"/>
      <c r="Q192" s="35"/>
      <c r="R192" s="35"/>
      <c r="S192" s="35"/>
      <c r="T192" s="35"/>
      <c r="U192" s="35"/>
      <c r="V192" s="35"/>
      <c r="W192" s="35"/>
      <c r="X192" s="35"/>
    </row>
    <row r="193" spans="1:24" ht="12.75" customHeight="1">
      <c r="A193" s="48">
        <v>211202</v>
      </c>
      <c r="B193" s="15" t="s">
        <v>529</v>
      </c>
      <c r="C193" s="26">
        <f>C194</f>
        <v>550000</v>
      </c>
      <c r="D193" s="45"/>
      <c r="E193" s="45"/>
      <c r="F193" s="45"/>
      <c r="G193" s="45"/>
      <c r="H193" s="45"/>
      <c r="I193" s="45"/>
      <c r="J193" s="45"/>
      <c r="K193" s="45"/>
      <c r="L193" s="45"/>
      <c r="M193" s="35"/>
      <c r="N193" s="35"/>
      <c r="O193" s="35"/>
      <c r="P193" s="35"/>
      <c r="Q193" s="35"/>
      <c r="R193" s="35"/>
      <c r="S193" s="35"/>
      <c r="T193" s="35"/>
      <c r="U193" s="35"/>
      <c r="V193" s="35"/>
      <c r="W193" s="35"/>
      <c r="X193" s="35"/>
    </row>
    <row r="194" spans="1:24" ht="12.75" customHeight="1">
      <c r="A194" s="33">
        <v>21120201</v>
      </c>
      <c r="B194" s="13" t="s">
        <v>540</v>
      </c>
      <c r="C194" s="24">
        <f>500000+50000</f>
        <v>550000</v>
      </c>
      <c r="D194" s="45"/>
      <c r="E194" s="45"/>
      <c r="F194" s="45"/>
      <c r="G194" s="45"/>
      <c r="H194" s="45"/>
      <c r="I194" s="45"/>
      <c r="J194" s="45"/>
      <c r="K194" s="45"/>
      <c r="L194" s="45"/>
      <c r="M194" s="35"/>
      <c r="N194" s="35"/>
      <c r="O194" s="35"/>
      <c r="P194" s="35"/>
      <c r="Q194" s="35"/>
      <c r="R194" s="35"/>
      <c r="S194" s="35"/>
      <c r="T194" s="35"/>
      <c r="U194" s="35"/>
      <c r="V194" s="35"/>
      <c r="W194" s="35"/>
      <c r="X194" s="35"/>
    </row>
    <row r="195" spans="1:24" ht="12.75" customHeight="1">
      <c r="A195" s="48">
        <v>211203</v>
      </c>
      <c r="B195" s="21" t="s">
        <v>461</v>
      </c>
      <c r="C195" s="26">
        <f>C196</f>
        <v>60000</v>
      </c>
      <c r="D195" s="45"/>
      <c r="E195" s="45"/>
      <c r="F195" s="45"/>
      <c r="G195" s="45"/>
      <c r="H195" s="45"/>
      <c r="I195" s="45"/>
      <c r="J195" s="45"/>
      <c r="K195" s="45"/>
      <c r="L195" s="45"/>
      <c r="M195" s="35"/>
      <c r="N195" s="35"/>
      <c r="O195" s="35"/>
      <c r="P195" s="35"/>
      <c r="Q195" s="35"/>
      <c r="R195" s="35"/>
      <c r="S195" s="35"/>
      <c r="T195" s="35"/>
      <c r="U195" s="35"/>
      <c r="V195" s="35"/>
      <c r="W195" s="35"/>
      <c r="X195" s="35"/>
    </row>
    <row r="196" spans="1:24" ht="12.75" customHeight="1">
      <c r="A196" s="33">
        <v>21120302</v>
      </c>
      <c r="B196" s="23" t="s">
        <v>462</v>
      </c>
      <c r="C196" s="24">
        <v>60000</v>
      </c>
      <c r="D196" s="45"/>
      <c r="E196" s="45"/>
      <c r="F196" s="45"/>
      <c r="G196" s="45"/>
      <c r="H196" s="45"/>
      <c r="I196" s="45"/>
      <c r="J196" s="45"/>
      <c r="K196" s="45"/>
      <c r="L196" s="45"/>
      <c r="M196" s="35"/>
      <c r="N196" s="35"/>
      <c r="O196" s="35"/>
      <c r="P196" s="35"/>
      <c r="Q196" s="35"/>
      <c r="R196" s="35"/>
      <c r="S196" s="35"/>
      <c r="T196" s="35"/>
      <c r="U196" s="35"/>
      <c r="V196" s="35"/>
      <c r="W196" s="35"/>
      <c r="X196" s="35"/>
    </row>
    <row r="197" spans="1:24" ht="12.75" customHeight="1">
      <c r="A197" s="48">
        <v>211204</v>
      </c>
      <c r="B197" s="21" t="s">
        <v>463</v>
      </c>
      <c r="C197" s="26">
        <f>C198</f>
        <v>620000</v>
      </c>
      <c r="D197" s="45"/>
      <c r="E197" s="45"/>
      <c r="F197" s="45"/>
      <c r="G197" s="45"/>
      <c r="H197" s="45"/>
      <c r="I197" s="45"/>
      <c r="J197" s="45"/>
      <c r="K197" s="45"/>
      <c r="L197" s="45"/>
      <c r="M197" s="35"/>
      <c r="N197" s="35"/>
      <c r="O197" s="35"/>
      <c r="P197" s="35"/>
      <c r="Q197" s="35"/>
      <c r="R197" s="35"/>
      <c r="S197" s="35"/>
      <c r="T197" s="35"/>
      <c r="U197" s="35"/>
      <c r="V197" s="35"/>
      <c r="W197" s="35"/>
      <c r="X197" s="35"/>
    </row>
    <row r="198" spans="1:24" ht="12.75" customHeight="1">
      <c r="A198" s="33">
        <v>21120401</v>
      </c>
      <c r="B198" s="23" t="s">
        <v>464</v>
      </c>
      <c r="C198" s="24">
        <f>500000+120000</f>
        <v>620000</v>
      </c>
      <c r="D198" s="45"/>
      <c r="E198" s="45"/>
      <c r="F198" s="45"/>
      <c r="G198" s="45"/>
      <c r="H198" s="45"/>
      <c r="I198" s="45"/>
      <c r="J198" s="45"/>
      <c r="K198" s="45"/>
      <c r="L198" s="45"/>
      <c r="M198" s="35"/>
      <c r="N198" s="35"/>
      <c r="O198" s="35"/>
      <c r="P198" s="35"/>
      <c r="Q198" s="35"/>
      <c r="R198" s="35"/>
      <c r="S198" s="35"/>
      <c r="T198" s="35"/>
      <c r="U198" s="35"/>
      <c r="V198" s="35"/>
      <c r="W198" s="35"/>
      <c r="X198" s="35"/>
    </row>
    <row r="199" spans="1:24" ht="12.75" customHeight="1">
      <c r="A199" s="48">
        <v>211205</v>
      </c>
      <c r="B199" s="15" t="s">
        <v>465</v>
      </c>
      <c r="C199" s="26">
        <f>C200</f>
        <v>850000</v>
      </c>
      <c r="D199" s="45"/>
      <c r="E199" s="45"/>
      <c r="F199" s="45"/>
      <c r="G199" s="45"/>
      <c r="H199" s="45"/>
      <c r="I199" s="45"/>
      <c r="J199" s="45"/>
      <c r="K199" s="45"/>
      <c r="L199" s="45"/>
      <c r="M199" s="35"/>
      <c r="N199" s="35"/>
      <c r="O199" s="35"/>
      <c r="P199" s="35"/>
      <c r="Q199" s="35"/>
      <c r="R199" s="35"/>
      <c r="S199" s="35"/>
      <c r="T199" s="35"/>
      <c r="U199" s="35"/>
      <c r="V199" s="35"/>
      <c r="W199" s="35"/>
      <c r="X199" s="35"/>
    </row>
    <row r="200" spans="1:24" ht="12.75" customHeight="1">
      <c r="A200" s="33">
        <v>21120501</v>
      </c>
      <c r="B200" s="13" t="s">
        <v>466</v>
      </c>
      <c r="C200" s="24">
        <f>500000+350000</f>
        <v>850000</v>
      </c>
      <c r="D200" s="45"/>
      <c r="E200" s="45"/>
      <c r="F200" s="45"/>
      <c r="G200" s="45"/>
      <c r="H200" s="45"/>
      <c r="I200" s="45"/>
      <c r="J200" s="45"/>
      <c r="K200" s="45"/>
      <c r="L200" s="45"/>
      <c r="M200" s="35"/>
      <c r="N200" s="35"/>
      <c r="O200" s="35"/>
      <c r="P200" s="35"/>
      <c r="Q200" s="35"/>
      <c r="R200" s="35"/>
      <c r="S200" s="35"/>
      <c r="T200" s="35"/>
      <c r="U200" s="35"/>
      <c r="V200" s="35"/>
      <c r="W200" s="35"/>
      <c r="X200" s="35"/>
    </row>
    <row r="201" spans="1:24" ht="12.75" customHeight="1">
      <c r="A201" s="48">
        <v>211207</v>
      </c>
      <c r="B201" s="15" t="s">
        <v>467</v>
      </c>
      <c r="C201" s="26">
        <f>SUM(C202:C204)</f>
        <v>965000</v>
      </c>
      <c r="D201" s="45"/>
      <c r="E201" s="45"/>
      <c r="F201" s="45"/>
      <c r="G201" s="45"/>
      <c r="H201" s="45"/>
      <c r="I201" s="45"/>
      <c r="J201" s="45"/>
      <c r="K201" s="45"/>
      <c r="L201" s="45"/>
      <c r="M201" s="35"/>
      <c r="N201" s="35"/>
      <c r="O201" s="35"/>
      <c r="P201" s="35"/>
      <c r="Q201" s="35"/>
      <c r="R201" s="35"/>
      <c r="S201" s="35"/>
      <c r="T201" s="35"/>
      <c r="U201" s="35"/>
      <c r="V201" s="35"/>
      <c r="W201" s="35"/>
      <c r="X201" s="35"/>
    </row>
    <row r="202" spans="1:24" ht="12.75" customHeight="1">
      <c r="A202" s="33">
        <v>21120701</v>
      </c>
      <c r="B202" s="13" t="s">
        <v>541</v>
      </c>
      <c r="C202" s="24">
        <f>500000+120000</f>
        <v>620000</v>
      </c>
      <c r="D202" s="45"/>
      <c r="E202" s="45"/>
      <c r="F202" s="45"/>
      <c r="G202" s="45"/>
      <c r="H202" s="45"/>
      <c r="I202" s="45"/>
      <c r="J202" s="45"/>
      <c r="K202" s="45"/>
      <c r="L202" s="45"/>
      <c r="M202" s="35"/>
      <c r="N202" s="35"/>
      <c r="O202" s="35"/>
      <c r="P202" s="35"/>
      <c r="Q202" s="35"/>
      <c r="R202" s="35"/>
      <c r="S202" s="35"/>
      <c r="T202" s="35"/>
      <c r="U202" s="35"/>
      <c r="V202" s="35"/>
      <c r="W202" s="35"/>
      <c r="X202" s="35"/>
    </row>
    <row r="203" spans="1:24" ht="12.75" customHeight="1">
      <c r="A203" s="33">
        <v>21120704</v>
      </c>
      <c r="B203" s="13" t="s">
        <v>469</v>
      </c>
      <c r="C203" s="24">
        <f>300000+25000</f>
        <v>325000</v>
      </c>
      <c r="D203" s="45"/>
      <c r="E203" s="45"/>
      <c r="F203" s="45"/>
      <c r="G203" s="45"/>
      <c r="H203" s="45"/>
      <c r="I203" s="45"/>
      <c r="J203" s="45"/>
      <c r="K203" s="45"/>
      <c r="L203" s="45"/>
      <c r="M203" s="35"/>
      <c r="N203" s="35"/>
      <c r="O203" s="35"/>
      <c r="P203" s="35"/>
      <c r="Q203" s="35"/>
      <c r="R203" s="35"/>
      <c r="S203" s="35"/>
      <c r="T203" s="35"/>
      <c r="U203" s="35"/>
      <c r="V203" s="35"/>
      <c r="W203" s="35"/>
      <c r="X203" s="35"/>
    </row>
    <row r="204" spans="1:24" ht="12.75" customHeight="1">
      <c r="A204" s="33">
        <v>21120706</v>
      </c>
      <c r="B204" s="13" t="s">
        <v>542</v>
      </c>
      <c r="C204" s="24">
        <v>20000</v>
      </c>
      <c r="D204" s="45"/>
      <c r="E204" s="45"/>
      <c r="F204" s="45"/>
      <c r="G204" s="45"/>
      <c r="H204" s="45"/>
      <c r="I204" s="45"/>
      <c r="J204" s="45"/>
      <c r="K204" s="45"/>
      <c r="L204" s="45"/>
      <c r="M204" s="35"/>
      <c r="N204" s="35"/>
      <c r="O204" s="35"/>
      <c r="P204" s="35"/>
      <c r="Q204" s="35"/>
      <c r="R204" s="35"/>
      <c r="S204" s="35"/>
      <c r="T204" s="35"/>
      <c r="U204" s="35"/>
      <c r="V204" s="35"/>
      <c r="W204" s="35"/>
      <c r="X204" s="35"/>
    </row>
    <row r="205" spans="1:24" ht="12.75" customHeight="1">
      <c r="A205" s="48">
        <v>211208</v>
      </c>
      <c r="B205" s="15" t="s">
        <v>474</v>
      </c>
      <c r="C205" s="26">
        <f>C206</f>
        <v>60000</v>
      </c>
      <c r="D205" s="45"/>
      <c r="E205" s="45"/>
      <c r="F205" s="45"/>
      <c r="G205" s="45"/>
      <c r="H205" s="45"/>
      <c r="I205" s="45"/>
      <c r="J205" s="45"/>
      <c r="K205" s="45"/>
      <c r="L205" s="45"/>
      <c r="M205" s="35"/>
      <c r="N205" s="35"/>
      <c r="O205" s="35"/>
      <c r="P205" s="35"/>
      <c r="Q205" s="35"/>
      <c r="R205" s="35"/>
      <c r="S205" s="35"/>
      <c r="T205" s="35"/>
      <c r="U205" s="35"/>
      <c r="V205" s="35"/>
      <c r="W205" s="35"/>
      <c r="X205" s="35"/>
    </row>
    <row r="206" spans="1:24" ht="12.75" customHeight="1">
      <c r="A206" s="33">
        <v>21120805</v>
      </c>
      <c r="B206" s="13" t="s">
        <v>476</v>
      </c>
      <c r="C206" s="24">
        <v>60000</v>
      </c>
      <c r="D206" s="45"/>
      <c r="E206" s="45"/>
      <c r="F206" s="45"/>
      <c r="G206" s="45"/>
      <c r="H206" s="45"/>
      <c r="I206" s="45"/>
      <c r="J206" s="45"/>
      <c r="K206" s="45"/>
      <c r="L206" s="45"/>
      <c r="M206" s="35"/>
      <c r="N206" s="35"/>
      <c r="O206" s="35"/>
      <c r="P206" s="35"/>
      <c r="Q206" s="35"/>
      <c r="R206" s="35"/>
      <c r="S206" s="35"/>
      <c r="T206" s="35"/>
      <c r="U206" s="35"/>
      <c r="V206" s="35"/>
      <c r="W206" s="35"/>
      <c r="X206" s="35"/>
    </row>
    <row r="207" spans="1:24" ht="12.75" customHeight="1">
      <c r="A207" s="48">
        <v>211209</v>
      </c>
      <c r="B207" s="26" t="s">
        <v>477</v>
      </c>
      <c r="C207" s="26">
        <f>+SUM(C208:C209)</f>
        <v>286500</v>
      </c>
      <c r="D207" s="45"/>
      <c r="E207" s="45"/>
      <c r="F207" s="45"/>
      <c r="G207" s="45"/>
      <c r="H207" s="45"/>
      <c r="I207" s="45"/>
      <c r="J207" s="45"/>
      <c r="K207" s="45"/>
      <c r="L207" s="45"/>
      <c r="M207" s="35"/>
      <c r="N207" s="35"/>
      <c r="O207" s="35"/>
      <c r="P207" s="35"/>
      <c r="Q207" s="35"/>
      <c r="R207" s="35"/>
      <c r="S207" s="35"/>
      <c r="T207" s="35"/>
      <c r="U207" s="35"/>
      <c r="V207" s="35"/>
      <c r="W207" s="35"/>
      <c r="X207" s="35"/>
    </row>
    <row r="208" spans="1:24" ht="12.75" customHeight="1">
      <c r="A208" s="33">
        <v>21120901</v>
      </c>
      <c r="B208" s="23" t="s">
        <v>478</v>
      </c>
      <c r="C208" s="24">
        <v>26500</v>
      </c>
      <c r="D208" s="45"/>
      <c r="E208" s="45"/>
      <c r="F208" s="45"/>
      <c r="G208" s="45"/>
      <c r="H208" s="45"/>
      <c r="I208" s="45"/>
      <c r="J208" s="45"/>
      <c r="K208" s="45"/>
      <c r="L208" s="45"/>
      <c r="M208" s="35"/>
      <c r="N208" s="35"/>
      <c r="O208" s="35"/>
      <c r="P208" s="35"/>
      <c r="Q208" s="35"/>
      <c r="R208" s="35"/>
      <c r="S208" s="35"/>
      <c r="T208" s="35"/>
      <c r="U208" s="35"/>
      <c r="V208" s="35"/>
      <c r="W208" s="35"/>
      <c r="X208" s="35"/>
    </row>
    <row r="209" spans="1:24" ht="12.75" customHeight="1">
      <c r="A209" s="33">
        <v>21120906</v>
      </c>
      <c r="B209" s="23" t="s">
        <v>479</v>
      </c>
      <c r="C209" s="24">
        <f>200000+60000</f>
        <v>260000</v>
      </c>
      <c r="D209" s="45"/>
      <c r="E209" s="45"/>
      <c r="F209" s="45"/>
      <c r="G209" s="45"/>
      <c r="H209" s="45"/>
      <c r="I209" s="45"/>
      <c r="J209" s="45"/>
      <c r="K209" s="45"/>
      <c r="L209" s="45"/>
      <c r="M209" s="35"/>
      <c r="N209" s="35"/>
      <c r="O209" s="35"/>
      <c r="P209" s="35"/>
      <c r="Q209" s="35"/>
      <c r="R209" s="35"/>
      <c r="S209" s="35"/>
      <c r="T209" s="35"/>
      <c r="U209" s="35"/>
      <c r="V209" s="35"/>
      <c r="W209" s="35"/>
      <c r="X209" s="35"/>
    </row>
    <row r="210" spans="1:24" ht="12.75" customHeight="1" thickBot="1">
      <c r="A210" s="23"/>
      <c r="B210" s="23"/>
      <c r="C210" s="24"/>
      <c r="D210" s="45"/>
      <c r="E210" s="45"/>
      <c r="F210" s="45"/>
      <c r="G210" s="45"/>
      <c r="H210" s="45"/>
      <c r="I210" s="45"/>
      <c r="J210" s="45"/>
      <c r="K210" s="45"/>
      <c r="L210" s="45"/>
      <c r="M210" s="35"/>
      <c r="N210" s="35"/>
      <c r="O210" s="35"/>
      <c r="P210" s="35"/>
      <c r="Q210" s="35"/>
      <c r="R210" s="35"/>
      <c r="S210" s="35"/>
      <c r="T210" s="35"/>
      <c r="U210" s="35"/>
      <c r="V210" s="35"/>
      <c r="W210" s="35"/>
      <c r="X210" s="35"/>
    </row>
    <row r="211" spans="1:24" ht="12.75" customHeight="1" thickBot="1">
      <c r="A211" s="1298" t="s">
        <v>4</v>
      </c>
      <c r="B211" s="1281"/>
      <c r="C211" s="64">
        <f>C212+C215+C217+C220+C222</f>
        <v>29984000</v>
      </c>
      <c r="D211" s="45"/>
      <c r="E211" s="45"/>
      <c r="F211" s="45"/>
      <c r="G211" s="45"/>
      <c r="H211" s="45"/>
      <c r="I211" s="45"/>
      <c r="J211" s="45"/>
      <c r="K211" s="45"/>
      <c r="L211" s="45"/>
      <c r="M211" s="35"/>
      <c r="N211" s="35"/>
      <c r="O211" s="35"/>
      <c r="P211" s="35"/>
      <c r="Q211" s="35"/>
      <c r="R211" s="35"/>
      <c r="S211" s="35"/>
      <c r="T211" s="35"/>
      <c r="U211" s="35"/>
      <c r="V211" s="35"/>
      <c r="W211" s="35"/>
      <c r="X211" s="35"/>
    </row>
    <row r="212" spans="1:24" ht="12.75" customHeight="1">
      <c r="A212" s="48">
        <v>211302</v>
      </c>
      <c r="B212" s="48" t="s">
        <v>481</v>
      </c>
      <c r="C212" s="49">
        <f>SUM(C213:C214)</f>
        <v>283000</v>
      </c>
      <c r="D212" s="91"/>
      <c r="E212" s="91"/>
      <c r="F212" s="91"/>
      <c r="G212" s="91"/>
      <c r="H212" s="91"/>
      <c r="I212" s="91"/>
      <c r="J212" s="91"/>
      <c r="K212" s="91"/>
      <c r="L212" s="91"/>
      <c r="M212" s="92"/>
      <c r="N212" s="92"/>
      <c r="O212" s="92"/>
      <c r="P212" s="92"/>
      <c r="Q212" s="92"/>
      <c r="R212" s="92"/>
      <c r="S212" s="92"/>
      <c r="T212" s="92"/>
      <c r="U212" s="92"/>
      <c r="V212" s="92"/>
      <c r="W212" s="92"/>
      <c r="X212" s="92"/>
    </row>
    <row r="213" spans="1:24" ht="12.75" customHeight="1">
      <c r="A213" s="33">
        <v>21130201</v>
      </c>
      <c r="B213" s="13" t="s">
        <v>482</v>
      </c>
      <c r="C213" s="25">
        <v>133000</v>
      </c>
      <c r="D213" s="91"/>
      <c r="E213" s="91"/>
      <c r="F213" s="91"/>
      <c r="G213" s="91"/>
      <c r="H213" s="91"/>
      <c r="I213" s="91"/>
      <c r="J213" s="91"/>
      <c r="K213" s="91"/>
      <c r="L213" s="91"/>
      <c r="M213" s="92"/>
      <c r="N213" s="92"/>
      <c r="O213" s="92"/>
      <c r="P213" s="92"/>
      <c r="Q213" s="92"/>
      <c r="R213" s="92"/>
      <c r="S213" s="92"/>
      <c r="T213" s="92"/>
      <c r="U213" s="92"/>
      <c r="V213" s="92"/>
      <c r="W213" s="92"/>
      <c r="X213" s="92"/>
    </row>
    <row r="214" spans="1:24" ht="12.75" customHeight="1">
      <c r="A214" s="33">
        <v>21130204</v>
      </c>
      <c r="B214" s="23" t="s">
        <v>483</v>
      </c>
      <c r="C214" s="24">
        <v>150000</v>
      </c>
      <c r="D214" s="45"/>
      <c r="E214" s="45"/>
      <c r="F214" s="45"/>
      <c r="G214" s="45"/>
      <c r="H214" s="45"/>
      <c r="I214" s="45"/>
      <c r="J214" s="45"/>
      <c r="K214" s="45"/>
      <c r="L214" s="45"/>
      <c r="M214" s="35"/>
      <c r="N214" s="35"/>
      <c r="O214" s="35"/>
      <c r="P214" s="35"/>
      <c r="Q214" s="35"/>
      <c r="R214" s="35"/>
      <c r="S214" s="35"/>
      <c r="T214" s="35"/>
      <c r="U214" s="35"/>
      <c r="V214" s="35"/>
      <c r="W214" s="35"/>
      <c r="X214" s="35"/>
    </row>
    <row r="215" spans="1:24" ht="12.75" customHeight="1">
      <c r="A215" s="48">
        <v>211303</v>
      </c>
      <c r="B215" s="15" t="s">
        <v>484</v>
      </c>
      <c r="C215" s="26">
        <f>SUM(C216)</f>
        <v>540000</v>
      </c>
      <c r="D215" s="45"/>
      <c r="E215" s="45"/>
      <c r="F215" s="45"/>
      <c r="G215" s="45"/>
      <c r="H215" s="45"/>
      <c r="I215" s="45"/>
      <c r="J215" s="45"/>
      <c r="K215" s="45"/>
      <c r="L215" s="45"/>
      <c r="M215" s="35"/>
      <c r="N215" s="35"/>
      <c r="O215" s="35"/>
      <c r="P215" s="35"/>
      <c r="Q215" s="35"/>
      <c r="R215" s="35"/>
      <c r="S215" s="35"/>
      <c r="T215" s="35"/>
      <c r="U215" s="35"/>
      <c r="V215" s="35"/>
      <c r="W215" s="35"/>
      <c r="X215" s="35"/>
    </row>
    <row r="216" spans="1:24" ht="12.75" customHeight="1">
      <c r="A216" s="33">
        <v>21130304</v>
      </c>
      <c r="B216" s="13" t="s">
        <v>486</v>
      </c>
      <c r="C216" s="24">
        <f>500000+40000</f>
        <v>540000</v>
      </c>
      <c r="D216" s="45"/>
      <c r="E216" s="45"/>
      <c r="F216" s="45"/>
      <c r="G216" s="45"/>
      <c r="H216" s="45"/>
      <c r="I216" s="45"/>
      <c r="J216" s="45"/>
      <c r="K216" s="45"/>
      <c r="L216" s="45"/>
      <c r="M216" s="35"/>
      <c r="N216" s="35"/>
      <c r="O216" s="35"/>
      <c r="P216" s="35"/>
      <c r="Q216" s="35"/>
      <c r="R216" s="35"/>
      <c r="S216" s="35"/>
      <c r="T216" s="35"/>
      <c r="U216" s="35"/>
      <c r="V216" s="35"/>
      <c r="W216" s="35"/>
      <c r="X216" s="35"/>
    </row>
    <row r="217" spans="1:24" ht="12.75" customHeight="1">
      <c r="A217" s="48">
        <v>211305</v>
      </c>
      <c r="B217" s="21" t="s">
        <v>489</v>
      </c>
      <c r="C217" s="26">
        <f>+SUM(C218:C219)</f>
        <v>4920000</v>
      </c>
      <c r="D217" s="45"/>
      <c r="E217" s="45"/>
      <c r="F217" s="45"/>
      <c r="G217" s="45"/>
      <c r="H217" s="45"/>
      <c r="I217" s="45"/>
      <c r="J217" s="45"/>
      <c r="K217" s="45"/>
      <c r="L217" s="45"/>
      <c r="M217" s="35"/>
      <c r="N217" s="35"/>
      <c r="O217" s="35"/>
      <c r="P217" s="35"/>
      <c r="Q217" s="35"/>
      <c r="R217" s="35"/>
      <c r="S217" s="35"/>
      <c r="T217" s="35"/>
      <c r="U217" s="35"/>
      <c r="V217" s="35"/>
      <c r="W217" s="35"/>
      <c r="X217" s="35"/>
    </row>
    <row r="218" spans="1:24" ht="12.75" customHeight="1">
      <c r="A218" s="33">
        <v>21130501</v>
      </c>
      <c r="B218" s="13" t="s">
        <v>490</v>
      </c>
      <c r="C218" s="24">
        <f>50000+8000</f>
        <v>58000</v>
      </c>
      <c r="D218" s="45"/>
      <c r="E218" s="45"/>
      <c r="F218" s="45"/>
      <c r="G218" s="45"/>
      <c r="H218" s="45"/>
      <c r="I218" s="45"/>
      <c r="J218" s="45"/>
      <c r="K218" s="45"/>
      <c r="L218" s="45"/>
      <c r="M218" s="35"/>
      <c r="N218" s="35"/>
      <c r="O218" s="35"/>
      <c r="P218" s="35"/>
      <c r="Q218" s="35"/>
      <c r="R218" s="35"/>
      <c r="S218" s="35"/>
      <c r="T218" s="35"/>
      <c r="U218" s="35"/>
      <c r="V218" s="35"/>
      <c r="W218" s="35"/>
      <c r="X218" s="35"/>
    </row>
    <row r="219" spans="1:24" ht="12.75" customHeight="1">
      <c r="A219" s="33">
        <v>21130502</v>
      </c>
      <c r="B219" s="23" t="s">
        <v>491</v>
      </c>
      <c r="C219" s="51">
        <f>2000000+2912000-50000</f>
        <v>4862000</v>
      </c>
      <c r="D219" s="35"/>
      <c r="E219" s="35"/>
      <c r="F219" s="35"/>
      <c r="G219" s="35"/>
      <c r="H219" s="35"/>
      <c r="I219" s="35"/>
      <c r="J219" s="35"/>
      <c r="K219" s="35"/>
      <c r="L219" s="35"/>
      <c r="M219" s="35"/>
      <c r="N219" s="35"/>
      <c r="O219" s="35"/>
      <c r="P219" s="35"/>
      <c r="Q219" s="35"/>
      <c r="R219" s="35"/>
      <c r="S219" s="35"/>
      <c r="T219" s="35"/>
      <c r="U219" s="35"/>
      <c r="V219" s="35"/>
      <c r="W219" s="35"/>
      <c r="X219" s="35"/>
    </row>
    <row r="220" spans="1:24" ht="12.75" customHeight="1">
      <c r="A220" s="48">
        <v>211307</v>
      </c>
      <c r="B220" s="26" t="s">
        <v>494</v>
      </c>
      <c r="C220" s="26">
        <f>C221</f>
        <v>35000</v>
      </c>
      <c r="D220" s="24"/>
      <c r="E220" s="24"/>
      <c r="F220" s="24"/>
      <c r="G220" s="24"/>
      <c r="H220" s="24"/>
      <c r="I220" s="24"/>
      <c r="J220" s="24"/>
      <c r="K220" s="24"/>
      <c r="L220" s="24"/>
      <c r="M220" s="35"/>
      <c r="N220" s="35"/>
      <c r="O220" s="35"/>
      <c r="P220" s="35"/>
      <c r="Q220" s="35"/>
      <c r="R220" s="35"/>
      <c r="S220" s="35"/>
      <c r="T220" s="35"/>
      <c r="U220" s="35"/>
      <c r="V220" s="35"/>
      <c r="W220" s="35"/>
      <c r="X220" s="35"/>
    </row>
    <row r="221" spans="1:24" ht="12.75" customHeight="1">
      <c r="A221" s="33">
        <v>21130701</v>
      </c>
      <c r="B221" s="23" t="s">
        <v>495</v>
      </c>
      <c r="C221" s="24">
        <v>35000</v>
      </c>
      <c r="D221" s="24"/>
      <c r="E221" s="24"/>
      <c r="F221" s="24"/>
      <c r="G221" s="24"/>
      <c r="H221" s="24"/>
      <c r="I221" s="24"/>
      <c r="J221" s="24"/>
      <c r="K221" s="24"/>
      <c r="L221" s="24"/>
      <c r="M221" s="35"/>
      <c r="N221" s="35"/>
      <c r="O221" s="35"/>
      <c r="P221" s="35"/>
      <c r="Q221" s="35"/>
      <c r="R221" s="35"/>
      <c r="S221" s="35"/>
      <c r="T221" s="35"/>
      <c r="U221" s="35"/>
      <c r="V221" s="35"/>
      <c r="W221" s="35"/>
      <c r="X221" s="35"/>
    </row>
    <row r="222" spans="1:24" ht="12.75" customHeight="1">
      <c r="A222" s="48">
        <v>211309</v>
      </c>
      <c r="B222" s="21" t="s">
        <v>496</v>
      </c>
      <c r="C222" s="26">
        <f>+SUM(C223:C225)</f>
        <v>24206000</v>
      </c>
      <c r="D222" s="24"/>
      <c r="E222" s="24"/>
      <c r="F222" s="24"/>
      <c r="G222" s="24"/>
      <c r="H222" s="24"/>
      <c r="I222" s="24"/>
      <c r="J222" s="24"/>
      <c r="K222" s="24"/>
      <c r="L222" s="24"/>
      <c r="M222" s="35"/>
      <c r="N222" s="35"/>
      <c r="O222" s="35"/>
      <c r="P222" s="35"/>
      <c r="Q222" s="35"/>
      <c r="R222" s="35"/>
      <c r="S222" s="35"/>
      <c r="T222" s="35"/>
      <c r="U222" s="35"/>
      <c r="V222" s="35"/>
      <c r="W222" s="35"/>
      <c r="X222" s="35"/>
    </row>
    <row r="223" spans="1:24" ht="12.75" customHeight="1">
      <c r="A223" s="33">
        <v>21130901</v>
      </c>
      <c r="B223" s="23" t="s">
        <v>497</v>
      </c>
      <c r="C223" s="51">
        <f>5000000+4088000</f>
        <v>9088000</v>
      </c>
      <c r="D223" s="24"/>
      <c r="E223" s="24"/>
      <c r="F223" s="24"/>
      <c r="G223" s="24"/>
      <c r="H223" s="24"/>
      <c r="I223" s="24"/>
      <c r="J223" s="24"/>
      <c r="K223" s="24"/>
      <c r="L223" s="24"/>
      <c r="M223" s="35"/>
      <c r="N223" s="35"/>
      <c r="O223" s="35"/>
      <c r="P223" s="35"/>
      <c r="Q223" s="35"/>
      <c r="R223" s="35"/>
      <c r="S223" s="35"/>
      <c r="T223" s="35"/>
      <c r="U223" s="35"/>
      <c r="V223" s="35"/>
      <c r="W223" s="35"/>
      <c r="X223" s="35"/>
    </row>
    <row r="224" spans="1:24" ht="12.75" customHeight="1">
      <c r="A224" s="33">
        <v>21130903</v>
      </c>
      <c r="B224" s="23" t="s">
        <v>498</v>
      </c>
      <c r="C224" s="24">
        <v>9000</v>
      </c>
      <c r="D224" s="24"/>
      <c r="E224" s="24"/>
      <c r="F224" s="24"/>
      <c r="G224" s="24"/>
      <c r="H224" s="24"/>
      <c r="I224" s="24"/>
      <c r="J224" s="24"/>
      <c r="K224" s="24"/>
      <c r="L224" s="24"/>
      <c r="M224" s="35"/>
      <c r="N224" s="35"/>
      <c r="O224" s="35"/>
      <c r="P224" s="35"/>
      <c r="Q224" s="35"/>
      <c r="R224" s="35"/>
      <c r="S224" s="35"/>
      <c r="T224" s="35"/>
      <c r="U224" s="35"/>
      <c r="V224" s="35"/>
      <c r="W224" s="35"/>
      <c r="X224" s="35"/>
    </row>
    <row r="225" spans="1:24" ht="12.75" customHeight="1">
      <c r="A225" s="33">
        <v>21130908</v>
      </c>
      <c r="B225" s="23" t="s">
        <v>500</v>
      </c>
      <c r="C225" s="51">
        <v>15109000</v>
      </c>
      <c r="D225" s="45"/>
      <c r="E225" s="45"/>
      <c r="F225" s="45"/>
      <c r="G225" s="45"/>
      <c r="H225" s="45"/>
      <c r="I225" s="45"/>
      <c r="J225" s="45"/>
      <c r="K225" s="45"/>
      <c r="L225" s="45"/>
      <c r="M225" s="35"/>
      <c r="N225" s="35"/>
      <c r="O225" s="35"/>
      <c r="P225" s="35"/>
      <c r="Q225" s="35"/>
      <c r="R225" s="35"/>
      <c r="S225" s="35"/>
      <c r="T225" s="35"/>
      <c r="U225" s="35"/>
      <c r="V225" s="35"/>
      <c r="W225" s="35"/>
      <c r="X225" s="35"/>
    </row>
    <row r="226" spans="1:24" ht="12.75" customHeight="1" thickBot="1">
      <c r="A226" s="23"/>
      <c r="B226" s="23"/>
      <c r="C226" s="24"/>
      <c r="D226" s="45"/>
      <c r="E226" s="45"/>
      <c r="F226" s="45"/>
      <c r="G226" s="45"/>
      <c r="H226" s="45"/>
      <c r="I226" s="45"/>
      <c r="J226" s="45"/>
      <c r="K226" s="45"/>
      <c r="L226" s="45"/>
      <c r="M226" s="35"/>
      <c r="N226" s="35"/>
      <c r="O226" s="35"/>
      <c r="P226" s="35"/>
      <c r="Q226" s="35"/>
      <c r="R226" s="35"/>
      <c r="S226" s="35"/>
      <c r="T226" s="35"/>
      <c r="U226" s="35"/>
      <c r="V226" s="35"/>
      <c r="W226" s="35"/>
      <c r="X226" s="35"/>
    </row>
    <row r="227" spans="1:24" ht="12.75" customHeight="1" thickBot="1">
      <c r="A227" s="1299" t="s">
        <v>48</v>
      </c>
      <c r="B227" s="1281"/>
      <c r="C227" s="65">
        <f>C228+C232+C235</f>
        <v>10212500</v>
      </c>
      <c r="D227" s="45"/>
      <c r="E227" s="45"/>
      <c r="F227" s="45"/>
      <c r="G227" s="45"/>
      <c r="H227" s="45"/>
      <c r="I227" s="45"/>
      <c r="J227" s="45"/>
      <c r="K227" s="45"/>
      <c r="L227" s="45"/>
      <c r="M227" s="35"/>
      <c r="N227" s="35"/>
      <c r="O227" s="35"/>
      <c r="P227" s="35"/>
      <c r="Q227" s="35"/>
      <c r="R227" s="35"/>
      <c r="S227" s="35"/>
      <c r="T227" s="35"/>
      <c r="U227" s="35"/>
      <c r="V227" s="35"/>
      <c r="W227" s="35"/>
      <c r="X227" s="35"/>
    </row>
    <row r="228" spans="1:24" ht="12.75" customHeight="1">
      <c r="A228" s="48">
        <v>221102</v>
      </c>
      <c r="B228" s="15" t="s">
        <v>543</v>
      </c>
      <c r="C228" s="26">
        <f>SUM(C229:C231)</f>
        <v>4067500</v>
      </c>
      <c r="D228" s="45"/>
      <c r="E228" s="45"/>
      <c r="F228" s="45"/>
      <c r="G228" s="45"/>
      <c r="H228" s="45"/>
      <c r="I228" s="45"/>
      <c r="J228" s="45"/>
      <c r="K228" s="45"/>
      <c r="L228" s="45"/>
      <c r="M228" s="93"/>
      <c r="N228" s="93"/>
      <c r="O228" s="93"/>
      <c r="P228" s="93"/>
      <c r="Q228" s="93"/>
      <c r="R228" s="93"/>
      <c r="S228" s="93"/>
      <c r="T228" s="93"/>
      <c r="U228" s="93"/>
      <c r="V228" s="93"/>
      <c r="W228" s="93"/>
      <c r="X228" s="93"/>
    </row>
    <row r="229" spans="1:24" ht="12.75" customHeight="1">
      <c r="A229" s="33">
        <v>22110202</v>
      </c>
      <c r="B229" s="13" t="s">
        <v>544</v>
      </c>
      <c r="C229" s="24">
        <f>2000000+10000</f>
        <v>2010000</v>
      </c>
      <c r="D229" s="45"/>
      <c r="E229" s="45"/>
      <c r="F229" s="45"/>
      <c r="G229" s="45"/>
      <c r="H229" s="45"/>
      <c r="I229" s="45"/>
      <c r="J229" s="45"/>
      <c r="K229" s="45"/>
      <c r="L229" s="45"/>
      <c r="M229" s="93"/>
      <c r="N229" s="93"/>
      <c r="O229" s="93"/>
      <c r="P229" s="93"/>
      <c r="Q229" s="93"/>
      <c r="R229" s="93"/>
      <c r="S229" s="93"/>
      <c r="T229" s="93"/>
      <c r="U229" s="93"/>
      <c r="V229" s="93"/>
      <c r="W229" s="93"/>
      <c r="X229" s="93"/>
    </row>
    <row r="230" spans="1:24" ht="12.75" customHeight="1">
      <c r="A230" s="33">
        <v>22110204</v>
      </c>
      <c r="B230" s="13" t="s">
        <v>545</v>
      </c>
      <c r="C230" s="24">
        <f>1000000+42000</f>
        <v>1042000</v>
      </c>
      <c r="D230" s="45"/>
      <c r="E230" s="45"/>
      <c r="F230" s="45"/>
      <c r="G230" s="45"/>
      <c r="H230" s="45"/>
      <c r="I230" s="45"/>
      <c r="J230" s="45"/>
      <c r="K230" s="45"/>
      <c r="L230" s="45"/>
      <c r="M230" s="93"/>
      <c r="N230" s="93"/>
      <c r="O230" s="93"/>
      <c r="P230" s="93"/>
      <c r="Q230" s="93"/>
      <c r="R230" s="93"/>
      <c r="S230" s="93"/>
      <c r="T230" s="93"/>
      <c r="U230" s="93"/>
      <c r="V230" s="93"/>
      <c r="W230" s="93"/>
      <c r="X230" s="93"/>
    </row>
    <row r="231" spans="1:24" ht="12.75" customHeight="1">
      <c r="A231" s="33">
        <v>22110205</v>
      </c>
      <c r="B231" s="13" t="s">
        <v>546</v>
      </c>
      <c r="C231" s="24">
        <f>1000000+15500</f>
        <v>1015500</v>
      </c>
      <c r="D231" s="45"/>
      <c r="E231" s="45"/>
      <c r="F231" s="45"/>
      <c r="G231" s="45"/>
      <c r="H231" s="45"/>
      <c r="I231" s="45"/>
      <c r="J231" s="45"/>
      <c r="K231" s="45"/>
      <c r="L231" s="45"/>
      <c r="M231" s="93"/>
      <c r="N231" s="93"/>
      <c r="O231" s="93"/>
      <c r="P231" s="93"/>
      <c r="Q231" s="93"/>
      <c r="R231" s="93"/>
      <c r="S231" s="93"/>
      <c r="T231" s="93"/>
      <c r="U231" s="93"/>
      <c r="V231" s="93"/>
      <c r="W231" s="93"/>
      <c r="X231" s="93"/>
    </row>
    <row r="232" spans="1:24" ht="12.75" customHeight="1">
      <c r="A232" s="48">
        <v>221104</v>
      </c>
      <c r="B232" s="48" t="s">
        <v>510</v>
      </c>
      <c r="C232" s="49">
        <f>SUM(C233:C234)</f>
        <v>6105000</v>
      </c>
      <c r="D232" s="91"/>
      <c r="E232" s="91"/>
      <c r="F232" s="91"/>
      <c r="G232" s="91"/>
      <c r="H232" s="91"/>
      <c r="I232" s="91"/>
      <c r="J232" s="91"/>
      <c r="K232" s="91"/>
      <c r="L232" s="91"/>
      <c r="M232" s="92"/>
      <c r="N232" s="92"/>
      <c r="O232" s="92"/>
      <c r="P232" s="92"/>
      <c r="Q232" s="92"/>
      <c r="R232" s="92"/>
      <c r="S232" s="92"/>
      <c r="T232" s="92"/>
      <c r="U232" s="92"/>
      <c r="V232" s="92"/>
      <c r="W232" s="92"/>
      <c r="X232" s="92"/>
    </row>
    <row r="233" spans="1:24" ht="12.75" customHeight="1">
      <c r="A233" s="33">
        <v>22110401</v>
      </c>
      <c r="B233" s="23" t="s">
        <v>511</v>
      </c>
      <c r="C233" s="24">
        <f>1000000+80000</f>
        <v>1080000</v>
      </c>
      <c r="D233" s="45"/>
      <c r="E233" s="45"/>
      <c r="F233" s="45"/>
      <c r="G233" s="45"/>
      <c r="H233" s="45"/>
      <c r="I233" s="45"/>
      <c r="J233" s="45"/>
      <c r="K233" s="45"/>
      <c r="L233" s="45"/>
      <c r="M233" s="35"/>
      <c r="N233" s="35"/>
      <c r="O233" s="35"/>
      <c r="P233" s="35"/>
      <c r="Q233" s="35"/>
      <c r="R233" s="35"/>
      <c r="S233" s="35"/>
      <c r="T233" s="35"/>
      <c r="U233" s="35"/>
      <c r="V233" s="35"/>
      <c r="W233" s="35"/>
      <c r="X233" s="35"/>
    </row>
    <row r="234" spans="1:24" ht="12.75" customHeight="1">
      <c r="A234" s="33">
        <v>22110404</v>
      </c>
      <c r="B234" s="23" t="s">
        <v>512</v>
      </c>
      <c r="C234" s="24">
        <f>5000000+25000</f>
        <v>5025000</v>
      </c>
      <c r="D234" s="45"/>
      <c r="E234" s="45"/>
      <c r="F234" s="45"/>
      <c r="G234" s="45"/>
      <c r="H234" s="45"/>
      <c r="I234" s="45"/>
      <c r="J234" s="45"/>
      <c r="K234" s="45"/>
      <c r="L234" s="45"/>
      <c r="M234" s="35"/>
      <c r="N234" s="35"/>
      <c r="O234" s="35"/>
      <c r="P234" s="35"/>
      <c r="Q234" s="35"/>
      <c r="R234" s="35"/>
      <c r="S234" s="35"/>
      <c r="T234" s="35"/>
      <c r="U234" s="35"/>
      <c r="V234" s="35"/>
      <c r="W234" s="35"/>
      <c r="X234" s="35"/>
    </row>
    <row r="235" spans="1:24" ht="12.75" customHeight="1">
      <c r="A235" s="48">
        <v>221107</v>
      </c>
      <c r="B235" s="26" t="s">
        <v>514</v>
      </c>
      <c r="C235" s="26">
        <v>40000</v>
      </c>
      <c r="D235" s="45"/>
      <c r="E235" s="45"/>
      <c r="F235" s="45"/>
      <c r="G235" s="45"/>
      <c r="H235" s="45"/>
      <c r="I235" s="45"/>
      <c r="J235" s="45"/>
      <c r="K235" s="45"/>
      <c r="L235" s="45"/>
      <c r="M235" s="35"/>
      <c r="N235" s="35"/>
      <c r="O235" s="35"/>
      <c r="P235" s="35"/>
      <c r="Q235" s="35"/>
      <c r="R235" s="35"/>
      <c r="S235" s="35"/>
      <c r="T235" s="35"/>
      <c r="U235" s="35"/>
      <c r="V235" s="35"/>
      <c r="W235" s="35"/>
      <c r="X235" s="35"/>
    </row>
    <row r="236" spans="1:24" ht="12.75" customHeight="1">
      <c r="A236" s="33">
        <v>22110702</v>
      </c>
      <c r="B236" s="23" t="s">
        <v>515</v>
      </c>
      <c r="C236" s="24">
        <v>40000</v>
      </c>
      <c r="D236" s="45"/>
      <c r="E236" s="45"/>
      <c r="F236" s="45"/>
      <c r="G236" s="45"/>
      <c r="H236" s="45"/>
      <c r="I236" s="45"/>
      <c r="J236" s="45"/>
      <c r="K236" s="45"/>
      <c r="L236" s="45"/>
      <c r="M236" s="35"/>
      <c r="N236" s="35"/>
      <c r="O236" s="35"/>
      <c r="P236" s="35"/>
      <c r="Q236" s="35"/>
      <c r="R236" s="35"/>
      <c r="S236" s="35"/>
      <c r="T236" s="35"/>
      <c r="U236" s="35"/>
      <c r="V236" s="35"/>
      <c r="W236" s="35"/>
      <c r="X236" s="35"/>
    </row>
    <row r="237" spans="1:24" ht="12.75" customHeight="1">
      <c r="A237" s="23"/>
      <c r="B237" s="23"/>
      <c r="C237" s="24"/>
      <c r="D237" s="45"/>
      <c r="E237" s="45"/>
      <c r="F237" s="45"/>
      <c r="G237" s="45"/>
      <c r="H237" s="45"/>
      <c r="I237" s="45"/>
      <c r="J237" s="45"/>
      <c r="K237" s="45"/>
      <c r="L237" s="45"/>
      <c r="M237" s="35"/>
      <c r="N237" s="35"/>
      <c r="O237" s="35"/>
      <c r="P237" s="35"/>
      <c r="Q237" s="35"/>
      <c r="R237" s="35"/>
      <c r="S237" s="35"/>
      <c r="T237" s="35"/>
      <c r="U237" s="35"/>
      <c r="V237" s="35"/>
      <c r="W237" s="35"/>
      <c r="X237" s="35"/>
    </row>
    <row r="238" spans="1:24" ht="13.5" thickBot="1"/>
    <row r="239" spans="1:24" ht="12.75" customHeight="1">
      <c r="A239" s="1334" t="s">
        <v>761</v>
      </c>
      <c r="B239" s="1336"/>
      <c r="C239" s="1518">
        <v>1105</v>
      </c>
    </row>
    <row r="240" spans="1:24" ht="13.5" thickBot="1">
      <c r="A240" s="1363"/>
      <c r="B240" s="1304"/>
      <c r="C240" s="1519"/>
    </row>
    <row r="241" spans="1:3" ht="13.5">
      <c r="A241" s="1028" t="s">
        <v>675</v>
      </c>
      <c r="B241" s="808"/>
      <c r="C241" s="1184"/>
    </row>
    <row r="242" spans="1:3" ht="13.5">
      <c r="A242" s="1097" t="s">
        <v>706</v>
      </c>
      <c r="B242" s="808"/>
      <c r="C242" s="1184"/>
    </row>
    <row r="243" spans="1:3" ht="13.5">
      <c r="A243" s="1097" t="s">
        <v>726</v>
      </c>
      <c r="B243" s="808"/>
      <c r="C243" s="1184"/>
    </row>
    <row r="244" spans="1:3" ht="14.25" thickBot="1">
      <c r="A244" s="1028" t="s">
        <v>59</v>
      </c>
      <c r="B244" s="808"/>
      <c r="C244" s="1184"/>
    </row>
    <row r="245" spans="1:3" ht="14.25" thickBot="1">
      <c r="A245" s="1535" t="s">
        <v>60</v>
      </c>
      <c r="B245" s="1536"/>
      <c r="C245" s="1033">
        <f>C247+C278+C297</f>
        <v>115652900</v>
      </c>
    </row>
    <row r="246" spans="1:3" ht="14.25" thickBot="1">
      <c r="A246" s="23"/>
      <c r="B246" s="23"/>
      <c r="C246" s="24"/>
    </row>
    <row r="247" spans="1:3" ht="14.25" thickBot="1">
      <c r="A247" s="1297" t="s">
        <v>9</v>
      </c>
      <c r="B247" s="1281"/>
      <c r="C247" s="62">
        <f>C248+C250+C253+C255+C257+C260+C268+C272</f>
        <v>42862000</v>
      </c>
    </row>
    <row r="248" spans="1:3" ht="13.5">
      <c r="A248" s="48">
        <v>211201</v>
      </c>
      <c r="B248" s="22" t="s">
        <v>459</v>
      </c>
      <c r="C248" s="26">
        <f>C249</f>
        <v>9028500</v>
      </c>
    </row>
    <row r="249" spans="1:3" ht="13.5">
      <c r="A249" s="33">
        <v>21120101</v>
      </c>
      <c r="B249" s="13" t="s">
        <v>460</v>
      </c>
      <c r="C249" s="24">
        <v>9028500</v>
      </c>
    </row>
    <row r="250" spans="1:3" ht="13.5">
      <c r="A250" s="48">
        <v>211202</v>
      </c>
      <c r="B250" s="48" t="s">
        <v>529</v>
      </c>
      <c r="C250" s="26">
        <f>+SUM(C251:C252)</f>
        <v>2050000</v>
      </c>
    </row>
    <row r="251" spans="1:3" ht="13.5">
      <c r="A251" s="33">
        <v>21120202</v>
      </c>
      <c r="B251" s="13" t="s">
        <v>530</v>
      </c>
      <c r="C251" s="24">
        <f>1000000+300000</f>
        <v>1300000</v>
      </c>
    </row>
    <row r="252" spans="1:3" ht="13.5">
      <c r="A252" s="33">
        <v>21120203</v>
      </c>
      <c r="B252" s="13" t="s">
        <v>564</v>
      </c>
      <c r="C252" s="24">
        <v>750000</v>
      </c>
    </row>
    <row r="253" spans="1:3" ht="13.5">
      <c r="A253" s="48">
        <v>211203</v>
      </c>
      <c r="B253" s="15" t="s">
        <v>461</v>
      </c>
      <c r="C253" s="26">
        <f>C254</f>
        <v>20000</v>
      </c>
    </row>
    <row r="254" spans="1:3" ht="13.5">
      <c r="A254" s="33">
        <v>21120302</v>
      </c>
      <c r="B254" s="13" t="s">
        <v>462</v>
      </c>
      <c r="C254" s="24">
        <v>20000</v>
      </c>
    </row>
    <row r="255" spans="1:3" ht="13.5">
      <c r="A255" s="48">
        <v>211204</v>
      </c>
      <c r="B255" s="15" t="s">
        <v>463</v>
      </c>
      <c r="C255" s="26">
        <f>C256</f>
        <v>1308500</v>
      </c>
    </row>
    <row r="256" spans="1:3" ht="13.5">
      <c r="A256" s="33">
        <v>21120401</v>
      </c>
      <c r="B256" s="24" t="s">
        <v>464</v>
      </c>
      <c r="C256" s="24">
        <v>1308500</v>
      </c>
    </row>
    <row r="257" spans="1:3" ht="13.5">
      <c r="A257" s="48">
        <v>211205</v>
      </c>
      <c r="B257" s="26" t="s">
        <v>465</v>
      </c>
      <c r="C257" s="26">
        <f>+SUM(C258:C259)</f>
        <v>11947500</v>
      </c>
    </row>
    <row r="258" spans="1:3" ht="13.5">
      <c r="A258" s="33">
        <v>21120501</v>
      </c>
      <c r="B258" s="13" t="s">
        <v>466</v>
      </c>
      <c r="C258" s="24">
        <v>11939500</v>
      </c>
    </row>
    <row r="259" spans="1:3" ht="13.5">
      <c r="A259" s="33">
        <v>21120502</v>
      </c>
      <c r="B259" s="13" t="s">
        <v>580</v>
      </c>
      <c r="C259" s="24">
        <v>8000</v>
      </c>
    </row>
    <row r="260" spans="1:3" ht="13.5">
      <c r="A260" s="48">
        <v>211207</v>
      </c>
      <c r="B260" s="15" t="s">
        <v>467</v>
      </c>
      <c r="C260" s="26">
        <f>+SUM(C261:C267)</f>
        <v>4232000</v>
      </c>
    </row>
    <row r="261" spans="1:3" ht="13.5">
      <c r="A261" s="33">
        <v>21120701</v>
      </c>
      <c r="B261" s="13" t="s">
        <v>541</v>
      </c>
      <c r="C261" s="24">
        <v>1448000</v>
      </c>
    </row>
    <row r="262" spans="1:3" ht="13.5">
      <c r="A262" s="33">
        <v>21120704</v>
      </c>
      <c r="B262" s="13" t="s">
        <v>469</v>
      </c>
      <c r="C262" s="24">
        <v>2398500</v>
      </c>
    </row>
    <row r="263" spans="1:3" ht="13.5">
      <c r="A263" s="33">
        <v>21120706</v>
      </c>
      <c r="B263" s="13" t="s">
        <v>542</v>
      </c>
      <c r="C263" s="24">
        <v>5500</v>
      </c>
    </row>
    <row r="264" spans="1:3" ht="13.5">
      <c r="A264" s="33">
        <v>21120708</v>
      </c>
      <c r="B264" s="13" t="s">
        <v>470</v>
      </c>
      <c r="C264" s="24">
        <v>5500</v>
      </c>
    </row>
    <row r="265" spans="1:3" ht="13.5">
      <c r="A265" s="33">
        <v>21120709</v>
      </c>
      <c r="B265" s="24" t="s">
        <v>471</v>
      </c>
      <c r="C265" s="24">
        <v>23000</v>
      </c>
    </row>
    <row r="266" spans="1:3" ht="13.5">
      <c r="A266" s="33">
        <v>21120710</v>
      </c>
      <c r="B266" s="24" t="s">
        <v>472</v>
      </c>
      <c r="C266" s="24">
        <v>25000</v>
      </c>
    </row>
    <row r="267" spans="1:3" ht="13.5">
      <c r="A267" s="33">
        <v>21120711</v>
      </c>
      <c r="B267" s="24" t="s">
        <v>473</v>
      </c>
      <c r="C267" s="24">
        <v>326500</v>
      </c>
    </row>
    <row r="268" spans="1:3" ht="13.5">
      <c r="A268" s="48">
        <v>211208</v>
      </c>
      <c r="B268" s="15" t="s">
        <v>474</v>
      </c>
      <c r="C268" s="26">
        <f>+SUM(C269:C271)</f>
        <v>598000</v>
      </c>
    </row>
    <row r="269" spans="1:3" ht="13.5">
      <c r="A269" s="33">
        <v>21120801</v>
      </c>
      <c r="B269" s="24" t="s">
        <v>475</v>
      </c>
      <c r="C269" s="24">
        <v>20000</v>
      </c>
    </row>
    <row r="270" spans="1:3" ht="13.5">
      <c r="A270" s="33">
        <v>21120803</v>
      </c>
      <c r="B270" s="13" t="s">
        <v>517</v>
      </c>
      <c r="C270" s="24">
        <v>15500</v>
      </c>
    </row>
    <row r="271" spans="1:3" ht="13.5">
      <c r="A271" s="33">
        <v>21120805</v>
      </c>
      <c r="B271" s="24" t="s">
        <v>476</v>
      </c>
      <c r="C271" s="24">
        <v>562500</v>
      </c>
    </row>
    <row r="272" spans="1:3" ht="13.5">
      <c r="A272" s="48">
        <v>211209</v>
      </c>
      <c r="B272" s="26" t="s">
        <v>477</v>
      </c>
      <c r="C272" s="26">
        <f>+SUM(C273:C276)</f>
        <v>13677500</v>
      </c>
    </row>
    <row r="273" spans="1:3" ht="13.5">
      <c r="A273" s="33">
        <v>21120901</v>
      </c>
      <c r="B273" s="24" t="s">
        <v>478</v>
      </c>
      <c r="C273" s="24">
        <f>5000000+7822000</f>
        <v>12822000</v>
      </c>
    </row>
    <row r="274" spans="1:3" ht="13.5">
      <c r="A274" s="33">
        <v>21120902</v>
      </c>
      <c r="B274" s="24" t="s">
        <v>584</v>
      </c>
      <c r="C274" s="24">
        <f>500000+60500</f>
        <v>560500</v>
      </c>
    </row>
    <row r="275" spans="1:3" ht="13.5">
      <c r="A275" s="33">
        <v>21120903</v>
      </c>
      <c r="B275" s="24" t="s">
        <v>569</v>
      </c>
      <c r="C275" s="24">
        <v>18000</v>
      </c>
    </row>
    <row r="276" spans="1:3" ht="13.5">
      <c r="A276" s="33">
        <v>21120906</v>
      </c>
      <c r="B276" s="24" t="s">
        <v>479</v>
      </c>
      <c r="C276" s="24">
        <f>777000-500000</f>
        <v>277000</v>
      </c>
    </row>
    <row r="277" spans="1:3" ht="14.25" thickBot="1">
      <c r="A277" s="23"/>
      <c r="B277" s="24"/>
      <c r="C277" s="24"/>
    </row>
    <row r="278" spans="1:3" ht="14.25" thickBot="1">
      <c r="A278" s="1298" t="s">
        <v>4</v>
      </c>
      <c r="B278" s="1281"/>
      <c r="C278" s="64">
        <f>C279+C281+C286+C289+C292</f>
        <v>70643500</v>
      </c>
    </row>
    <row r="279" spans="1:3" ht="13.5">
      <c r="A279" s="22">
        <v>211302</v>
      </c>
      <c r="B279" s="48" t="s">
        <v>481</v>
      </c>
      <c r="C279" s="26">
        <f>C280</f>
        <v>2206500</v>
      </c>
    </row>
    <row r="280" spans="1:3" ht="13.5">
      <c r="A280" s="40">
        <v>21130204</v>
      </c>
      <c r="B280" s="45" t="s">
        <v>483</v>
      </c>
      <c r="C280" s="24">
        <v>2206500</v>
      </c>
    </row>
    <row r="281" spans="1:3" ht="13.5">
      <c r="A281" s="22">
        <v>211303</v>
      </c>
      <c r="B281" s="42" t="s">
        <v>484</v>
      </c>
      <c r="C281" s="26">
        <f>+SUM(C282:C285)</f>
        <v>36298000</v>
      </c>
    </row>
    <row r="282" spans="1:3" ht="13.5">
      <c r="A282" s="40">
        <v>21130301</v>
      </c>
      <c r="B282" s="45" t="s">
        <v>485</v>
      </c>
      <c r="C282" s="24">
        <f>5000000+11014000</f>
        <v>16014000</v>
      </c>
    </row>
    <row r="283" spans="1:3" ht="13.5">
      <c r="A283" s="40">
        <v>21130304</v>
      </c>
      <c r="B283" s="45" t="s">
        <v>486</v>
      </c>
      <c r="C283" s="24">
        <f>5000000+11710000</f>
        <v>16710000</v>
      </c>
    </row>
    <row r="284" spans="1:3" ht="13.5">
      <c r="A284" s="33">
        <v>21130305</v>
      </c>
      <c r="B284" s="23" t="s">
        <v>577</v>
      </c>
      <c r="C284" s="24">
        <f>2000000+10500</f>
        <v>2010500</v>
      </c>
    </row>
    <row r="285" spans="1:3" ht="13.5">
      <c r="A285" s="40">
        <v>21130307</v>
      </c>
      <c r="B285" s="13" t="s">
        <v>488</v>
      </c>
      <c r="C285" s="24">
        <f>1000000+563500</f>
        <v>1563500</v>
      </c>
    </row>
    <row r="286" spans="1:3" ht="13.5">
      <c r="A286" s="22">
        <v>211305</v>
      </c>
      <c r="B286" s="15" t="s">
        <v>489</v>
      </c>
      <c r="C286" s="26">
        <f>+SUM(C287:C288)</f>
        <v>4744500</v>
      </c>
    </row>
    <row r="287" spans="1:3" ht="13.5">
      <c r="A287" s="40">
        <v>21130501</v>
      </c>
      <c r="B287" s="13" t="s">
        <v>490</v>
      </c>
      <c r="C287" s="24">
        <f>100000+7000</f>
        <v>107000</v>
      </c>
    </row>
    <row r="288" spans="1:3" ht="13.5">
      <c r="A288" s="40">
        <v>21130502</v>
      </c>
      <c r="B288" s="13" t="s">
        <v>491</v>
      </c>
      <c r="C288" s="51">
        <f>2000000+2637500</f>
        <v>4637500</v>
      </c>
    </row>
    <row r="289" spans="1:3" ht="13.5">
      <c r="A289" s="22">
        <v>211306</v>
      </c>
      <c r="B289" s="15" t="s">
        <v>492</v>
      </c>
      <c r="C289" s="26">
        <f>SUM(C290:C291)</f>
        <v>1020000</v>
      </c>
    </row>
    <row r="290" spans="1:3" ht="13.5">
      <c r="A290" s="33">
        <v>21130604</v>
      </c>
      <c r="B290" s="23" t="s">
        <v>539</v>
      </c>
      <c r="C290" s="24">
        <f>1000000+15000</f>
        <v>1015000</v>
      </c>
    </row>
    <row r="291" spans="1:3" ht="13.5">
      <c r="A291" s="40">
        <v>21130607</v>
      </c>
      <c r="B291" s="13" t="s">
        <v>493</v>
      </c>
      <c r="C291" s="24">
        <v>5000</v>
      </c>
    </row>
    <row r="292" spans="1:3" ht="13.5">
      <c r="A292" s="22">
        <v>211309</v>
      </c>
      <c r="B292" s="42" t="s">
        <v>496</v>
      </c>
      <c r="C292" s="26">
        <f>+SUM(C293:C295)</f>
        <v>26374500</v>
      </c>
    </row>
    <row r="293" spans="1:3" ht="13.5">
      <c r="A293" s="40">
        <v>21130901</v>
      </c>
      <c r="B293" s="45" t="s">
        <v>497</v>
      </c>
      <c r="C293" s="51">
        <f>4000000+11808000</f>
        <v>15808000</v>
      </c>
    </row>
    <row r="294" spans="1:3" ht="13.5">
      <c r="A294" s="40">
        <v>21130903</v>
      </c>
      <c r="B294" s="13" t="s">
        <v>498</v>
      </c>
      <c r="C294" s="24">
        <v>7799000</v>
      </c>
    </row>
    <row r="295" spans="1:3" ht="13.5">
      <c r="A295" s="40">
        <v>21130908</v>
      </c>
      <c r="B295" s="45" t="s">
        <v>500</v>
      </c>
      <c r="C295" s="24">
        <v>2767500</v>
      </c>
    </row>
    <row r="296" spans="1:3" ht="14.25" thickBot="1">
      <c r="A296" s="13"/>
      <c r="B296" s="45"/>
      <c r="C296" s="24"/>
    </row>
    <row r="297" spans="1:3" ht="14.25" thickBot="1">
      <c r="A297" s="1312" t="s">
        <v>48</v>
      </c>
      <c r="B297" s="1281"/>
      <c r="C297" s="65">
        <f>C298+C301+C305</f>
        <v>2147400</v>
      </c>
    </row>
    <row r="298" spans="1:3" ht="13.5">
      <c r="A298" s="48">
        <v>221102</v>
      </c>
      <c r="B298" s="130" t="s">
        <v>543</v>
      </c>
      <c r="C298" s="26">
        <f>SUM(C299:C300)</f>
        <v>1032900</v>
      </c>
    </row>
    <row r="299" spans="1:3" ht="13.5">
      <c r="A299" s="33">
        <v>22110204</v>
      </c>
      <c r="B299" s="45" t="s">
        <v>545</v>
      </c>
      <c r="C299" s="24">
        <f>500000+32900</f>
        <v>532900</v>
      </c>
    </row>
    <row r="300" spans="1:3" ht="13.5">
      <c r="A300" s="33">
        <v>22110205</v>
      </c>
      <c r="B300" s="45" t="s">
        <v>546</v>
      </c>
      <c r="C300" s="24">
        <f>400000+100000</f>
        <v>500000</v>
      </c>
    </row>
    <row r="301" spans="1:3" ht="13.5">
      <c r="A301" s="48">
        <v>221104</v>
      </c>
      <c r="B301" s="22" t="s">
        <v>510</v>
      </c>
      <c r="C301" s="26">
        <f>SUM(C302:C304)</f>
        <v>874500</v>
      </c>
    </row>
    <row r="302" spans="1:3" ht="13.5">
      <c r="A302" s="33">
        <v>22110401</v>
      </c>
      <c r="B302" s="45" t="s">
        <v>511</v>
      </c>
      <c r="C302" s="24">
        <f>200000+150000</f>
        <v>350000</v>
      </c>
    </row>
    <row r="303" spans="1:3" ht="13.5">
      <c r="A303" s="33">
        <v>22110405</v>
      </c>
      <c r="B303" s="13" t="s">
        <v>554</v>
      </c>
      <c r="C303" s="24">
        <f>300000+24500</f>
        <v>324500</v>
      </c>
    </row>
    <row r="304" spans="1:3" ht="13.5">
      <c r="A304" s="33">
        <v>22110409</v>
      </c>
      <c r="B304" s="24" t="s">
        <v>513</v>
      </c>
      <c r="C304" s="24">
        <v>200000</v>
      </c>
    </row>
    <row r="305" spans="1:23" ht="13.5">
      <c r="A305" s="48">
        <v>221107</v>
      </c>
      <c r="B305" s="26" t="s">
        <v>514</v>
      </c>
      <c r="C305" s="26">
        <f>SUM(C306)</f>
        <v>240000</v>
      </c>
    </row>
    <row r="306" spans="1:23" ht="13.5">
      <c r="A306" s="33">
        <v>22110702</v>
      </c>
      <c r="B306" s="13" t="s">
        <v>515</v>
      </c>
      <c r="C306" s="24">
        <v>240000</v>
      </c>
    </row>
    <row r="308" spans="1:23" ht="13.5" customHeight="1" thickBot="1">
      <c r="A308" s="100"/>
      <c r="B308" s="72"/>
      <c r="C308" s="72"/>
      <c r="D308" s="200"/>
      <c r="E308" s="201"/>
      <c r="F308" s="100"/>
      <c r="G308" s="100"/>
      <c r="H308" s="100"/>
      <c r="I308" s="100"/>
      <c r="J308" s="100"/>
      <c r="K308" s="100"/>
      <c r="L308" s="100"/>
      <c r="M308" s="100"/>
      <c r="N308" s="100"/>
      <c r="O308" s="100"/>
      <c r="P308" s="100"/>
      <c r="Q308" s="100"/>
      <c r="R308" s="100"/>
      <c r="S308" s="100"/>
      <c r="T308" s="100"/>
      <c r="U308" s="100"/>
      <c r="V308" s="100"/>
      <c r="W308" s="100"/>
    </row>
    <row r="309" spans="1:23" ht="13.5" customHeight="1">
      <c r="A309" s="1340" t="s">
        <v>759</v>
      </c>
      <c r="B309" s="1341"/>
      <c r="C309" s="1538" t="s">
        <v>808</v>
      </c>
      <c r="D309" s="233"/>
      <c r="E309" s="201"/>
      <c r="F309" s="100"/>
      <c r="G309" s="100"/>
      <c r="H309" s="100"/>
      <c r="I309" s="100"/>
      <c r="J309" s="100"/>
      <c r="K309" s="100"/>
      <c r="L309" s="100"/>
      <c r="M309" s="100"/>
      <c r="N309" s="100"/>
      <c r="O309" s="100"/>
      <c r="P309" s="100"/>
      <c r="Q309" s="100"/>
      <c r="R309" s="100"/>
      <c r="S309" s="100"/>
      <c r="T309" s="100"/>
      <c r="U309" s="100"/>
      <c r="V309" s="100"/>
      <c r="W309" s="100"/>
    </row>
    <row r="310" spans="1:23" ht="13.5" customHeight="1" thickBot="1">
      <c r="A310" s="1342"/>
      <c r="B310" s="1343"/>
      <c r="C310" s="1539"/>
      <c r="D310" s="233"/>
      <c r="E310" s="201"/>
      <c r="F310" s="100"/>
      <c r="G310" s="100"/>
      <c r="H310" s="100"/>
      <c r="I310" s="100"/>
      <c r="J310" s="100"/>
      <c r="K310" s="100"/>
      <c r="L310" s="100"/>
      <c r="M310" s="100"/>
      <c r="N310" s="100"/>
      <c r="O310" s="100"/>
      <c r="P310" s="100"/>
      <c r="Q310" s="100"/>
      <c r="R310" s="100"/>
      <c r="S310" s="100"/>
      <c r="T310" s="100"/>
      <c r="U310" s="100"/>
      <c r="V310" s="100"/>
      <c r="W310" s="100"/>
    </row>
    <row r="311" spans="1:23" ht="13.5" customHeight="1">
      <c r="A311" s="609" t="s">
        <v>671</v>
      </c>
      <c r="B311" s="631"/>
      <c r="C311" s="1068"/>
      <c r="D311" s="225"/>
      <c r="E311" s="201"/>
      <c r="F311" s="100"/>
      <c r="G311" s="100"/>
      <c r="H311" s="100"/>
      <c r="I311" s="100"/>
      <c r="J311" s="100"/>
      <c r="K311" s="100"/>
      <c r="L311" s="100"/>
      <c r="M311" s="100"/>
      <c r="N311" s="100"/>
      <c r="O311" s="100"/>
      <c r="P311" s="100"/>
      <c r="Q311" s="100"/>
      <c r="R311" s="100"/>
      <c r="S311" s="100"/>
      <c r="T311" s="100"/>
      <c r="U311" s="100"/>
      <c r="V311" s="100"/>
      <c r="W311" s="100"/>
    </row>
    <row r="312" spans="1:23" ht="13.5" customHeight="1">
      <c r="A312" s="1097" t="s">
        <v>706</v>
      </c>
      <c r="B312" s="631"/>
      <c r="C312" s="1068"/>
      <c r="D312" s="261"/>
      <c r="E312" s="201"/>
      <c r="F312" s="100"/>
      <c r="G312" s="100"/>
      <c r="H312" s="100"/>
      <c r="I312" s="100"/>
      <c r="J312" s="100"/>
      <c r="K312" s="100"/>
      <c r="L312" s="100"/>
      <c r="M312" s="100"/>
      <c r="N312" s="100"/>
      <c r="O312" s="100"/>
      <c r="P312" s="100"/>
      <c r="Q312" s="100"/>
      <c r="R312" s="100"/>
      <c r="S312" s="100"/>
      <c r="T312" s="100"/>
      <c r="U312" s="100"/>
      <c r="V312" s="100"/>
      <c r="W312" s="100"/>
    </row>
    <row r="313" spans="1:23" ht="13.5" customHeight="1">
      <c r="A313" s="1097" t="s">
        <v>726</v>
      </c>
      <c r="B313" s="631"/>
      <c r="C313" s="1068"/>
      <c r="D313" s="225"/>
      <c r="E313" s="201"/>
      <c r="F313" s="100"/>
      <c r="G313" s="100"/>
      <c r="H313" s="100"/>
      <c r="I313" s="100"/>
      <c r="J313" s="100"/>
      <c r="K313" s="100"/>
      <c r="L313" s="100"/>
      <c r="M313" s="100"/>
      <c r="N313" s="100"/>
      <c r="O313" s="100"/>
      <c r="P313" s="100"/>
      <c r="Q313" s="100"/>
      <c r="R313" s="100"/>
      <c r="S313" s="100"/>
      <c r="T313" s="100"/>
      <c r="U313" s="100"/>
      <c r="V313" s="100"/>
      <c r="W313" s="100"/>
    </row>
    <row r="314" spans="1:23" ht="13.5" customHeight="1" thickBot="1">
      <c r="A314" s="609" t="s">
        <v>0</v>
      </c>
      <c r="B314" s="631"/>
      <c r="C314" s="1068"/>
      <c r="D314" s="218"/>
      <c r="E314" s="201"/>
      <c r="F314" s="100"/>
      <c r="G314" s="100"/>
      <c r="H314" s="100"/>
      <c r="I314" s="100"/>
      <c r="J314" s="100"/>
      <c r="K314" s="100"/>
      <c r="L314" s="100"/>
      <c r="M314" s="100"/>
      <c r="N314" s="100"/>
      <c r="O314" s="100"/>
      <c r="P314" s="100"/>
      <c r="Q314" s="100"/>
      <c r="R314" s="100"/>
      <c r="S314" s="100"/>
      <c r="T314" s="100"/>
      <c r="U314" s="100"/>
      <c r="V314" s="100"/>
      <c r="W314" s="100"/>
    </row>
    <row r="315" spans="1:23" ht="13.5" customHeight="1" thickBot="1">
      <c r="A315" s="632" t="s">
        <v>1</v>
      </c>
      <c r="B315" s="633"/>
      <c r="C315" s="1537">
        <f>C317+C335+C355+C363+C378</f>
        <v>115824240.41000001</v>
      </c>
      <c r="D315" s="225"/>
      <c r="E315" s="201"/>
      <c r="F315" s="100"/>
      <c r="G315" s="100"/>
      <c r="H315" s="100"/>
      <c r="I315" s="100"/>
      <c r="J315" s="100"/>
      <c r="K315" s="100"/>
      <c r="L315" s="100"/>
      <c r="M315" s="100"/>
      <c r="N315" s="100"/>
      <c r="O315" s="100"/>
      <c r="P315" s="100"/>
      <c r="Q315" s="100"/>
      <c r="R315" s="100"/>
      <c r="S315" s="100"/>
      <c r="T315" s="100"/>
      <c r="U315" s="100"/>
      <c r="V315" s="100"/>
      <c r="W315" s="100"/>
    </row>
    <row r="316" spans="1:23" ht="13.5" customHeight="1" thickBot="1">
      <c r="A316" s="217"/>
      <c r="B316" s="217"/>
      <c r="C316" s="256"/>
      <c r="D316" s="233"/>
      <c r="E316" s="201"/>
      <c r="F316" s="100"/>
      <c r="G316" s="100"/>
      <c r="H316" s="100"/>
      <c r="I316" s="100"/>
      <c r="J316" s="100"/>
      <c r="K316" s="100"/>
      <c r="L316" s="100"/>
      <c r="M316" s="100"/>
      <c r="N316" s="100"/>
      <c r="O316" s="100"/>
      <c r="P316" s="100"/>
      <c r="Q316" s="100"/>
      <c r="R316" s="100"/>
      <c r="S316" s="100"/>
      <c r="T316" s="100"/>
      <c r="U316" s="100"/>
      <c r="V316" s="100"/>
      <c r="W316" s="100"/>
    </row>
    <row r="317" spans="1:23" ht="13.5" customHeight="1" thickBot="1">
      <c r="A317" s="1305" t="s">
        <v>9</v>
      </c>
      <c r="B317" s="1281"/>
      <c r="C317" s="257">
        <f>C318+C320+C323+C325+C327+C329</f>
        <v>6316000</v>
      </c>
      <c r="D317" s="233"/>
      <c r="E317" s="201"/>
      <c r="F317" s="100"/>
      <c r="G317" s="100"/>
      <c r="H317" s="100"/>
      <c r="I317" s="100"/>
      <c r="J317" s="100"/>
      <c r="K317" s="100"/>
      <c r="L317" s="100"/>
      <c r="M317" s="100"/>
      <c r="N317" s="100"/>
      <c r="O317" s="100"/>
      <c r="P317" s="100"/>
      <c r="Q317" s="100"/>
      <c r="R317" s="100"/>
      <c r="S317" s="100"/>
      <c r="T317" s="100"/>
      <c r="U317" s="100"/>
      <c r="V317" s="100"/>
      <c r="W317" s="100"/>
    </row>
    <row r="318" spans="1:23" ht="13.5" customHeight="1">
      <c r="A318" s="76">
        <v>211201</v>
      </c>
      <c r="B318" s="76" t="s">
        <v>459</v>
      </c>
      <c r="C318" s="249">
        <f>SUM(C319)</f>
        <v>2012000</v>
      </c>
      <c r="D318" s="262"/>
      <c r="E318" s="201"/>
      <c r="F318" s="100"/>
      <c r="G318" s="100"/>
      <c r="H318" s="100"/>
      <c r="I318" s="100"/>
      <c r="J318" s="100"/>
      <c r="K318" s="100"/>
      <c r="L318" s="100"/>
      <c r="M318" s="100"/>
      <c r="N318" s="100"/>
      <c r="O318" s="100"/>
      <c r="P318" s="100"/>
      <c r="Q318" s="100"/>
      <c r="R318" s="100"/>
      <c r="S318" s="100"/>
      <c r="T318" s="100"/>
      <c r="U318" s="100"/>
      <c r="V318" s="100"/>
      <c r="W318" s="100"/>
    </row>
    <row r="319" spans="1:23" ht="13.5" customHeight="1">
      <c r="A319" s="154">
        <v>21120101</v>
      </c>
      <c r="B319" s="77" t="s">
        <v>460</v>
      </c>
      <c r="C319" s="224">
        <f>2000000+72000-60000</f>
        <v>2012000</v>
      </c>
      <c r="D319" s="233"/>
      <c r="E319" s="201"/>
      <c r="F319" s="100"/>
      <c r="G319" s="100"/>
      <c r="H319" s="100"/>
      <c r="I319" s="100"/>
      <c r="J319" s="100"/>
      <c r="K319" s="100"/>
      <c r="L319" s="100"/>
      <c r="M319" s="100"/>
      <c r="N319" s="100"/>
      <c r="O319" s="100"/>
      <c r="P319" s="100"/>
      <c r="Q319" s="100"/>
      <c r="R319" s="100"/>
      <c r="S319" s="100"/>
      <c r="T319" s="100"/>
      <c r="U319" s="100"/>
      <c r="V319" s="100"/>
      <c r="W319" s="100"/>
    </row>
    <row r="320" spans="1:23" ht="13.5" customHeight="1">
      <c r="A320" s="76">
        <v>211203</v>
      </c>
      <c r="B320" s="217" t="s">
        <v>461</v>
      </c>
      <c r="C320" s="256">
        <f>SUM(C321:C322)</f>
        <v>563000</v>
      </c>
      <c r="D320" s="233"/>
      <c r="E320" s="201"/>
      <c r="F320" s="100"/>
      <c r="G320" s="100"/>
      <c r="H320" s="100"/>
      <c r="I320" s="100"/>
      <c r="J320" s="100"/>
      <c r="K320" s="100"/>
      <c r="L320" s="100"/>
      <c r="M320" s="100"/>
      <c r="N320" s="100"/>
      <c r="O320" s="100"/>
      <c r="P320" s="100"/>
      <c r="Q320" s="100"/>
      <c r="R320" s="100"/>
      <c r="S320" s="100"/>
      <c r="T320" s="100"/>
      <c r="U320" s="100"/>
      <c r="V320" s="100"/>
      <c r="W320" s="100"/>
    </row>
    <row r="321" spans="1:23" ht="13.5" customHeight="1">
      <c r="A321" s="154">
        <v>21120301</v>
      </c>
      <c r="B321" s="77" t="s">
        <v>527</v>
      </c>
      <c r="C321" s="72">
        <v>60000</v>
      </c>
      <c r="D321" s="244"/>
      <c r="E321" s="201"/>
      <c r="F321" s="100"/>
      <c r="G321" s="100"/>
      <c r="H321" s="100"/>
      <c r="I321" s="100"/>
      <c r="J321" s="100"/>
      <c r="K321" s="100"/>
      <c r="L321" s="100"/>
      <c r="M321" s="100"/>
      <c r="N321" s="100"/>
      <c r="O321" s="100"/>
      <c r="P321" s="100"/>
      <c r="Q321" s="100"/>
      <c r="R321" s="100"/>
      <c r="S321" s="100"/>
      <c r="T321" s="100"/>
      <c r="U321" s="100"/>
      <c r="V321" s="100"/>
      <c r="W321" s="100"/>
    </row>
    <row r="322" spans="1:23" ht="13.5" customHeight="1">
      <c r="A322" s="154">
        <v>21120302</v>
      </c>
      <c r="B322" s="77" t="s">
        <v>462</v>
      </c>
      <c r="C322" s="72">
        <v>503000</v>
      </c>
      <c r="D322" s="233"/>
      <c r="E322" s="201"/>
      <c r="F322" s="100"/>
      <c r="G322" s="100"/>
      <c r="H322" s="100"/>
      <c r="I322" s="100"/>
      <c r="J322" s="100"/>
      <c r="K322" s="100"/>
      <c r="L322" s="100"/>
      <c r="M322" s="100"/>
      <c r="N322" s="100"/>
      <c r="O322" s="100"/>
      <c r="P322" s="100"/>
      <c r="Q322" s="100"/>
      <c r="R322" s="100"/>
      <c r="S322" s="100"/>
      <c r="T322" s="100"/>
      <c r="U322" s="100"/>
      <c r="V322" s="100"/>
      <c r="W322" s="100"/>
    </row>
    <row r="323" spans="1:23" ht="13.5" customHeight="1">
      <c r="A323" s="76">
        <v>211204</v>
      </c>
      <c r="B323" s="217" t="s">
        <v>463</v>
      </c>
      <c r="C323" s="36">
        <f>C324</f>
        <v>1774000</v>
      </c>
      <c r="D323" s="233"/>
      <c r="E323" s="201"/>
      <c r="F323" s="100"/>
      <c r="G323" s="100"/>
      <c r="H323" s="100"/>
      <c r="I323" s="100"/>
      <c r="J323" s="100"/>
      <c r="K323" s="100"/>
      <c r="L323" s="100"/>
      <c r="M323" s="100"/>
      <c r="N323" s="100"/>
      <c r="O323" s="100"/>
      <c r="P323" s="100"/>
      <c r="Q323" s="100"/>
      <c r="R323" s="100"/>
      <c r="S323" s="100"/>
      <c r="T323" s="100"/>
      <c r="U323" s="100"/>
      <c r="V323" s="100"/>
      <c r="W323" s="100"/>
    </row>
    <row r="324" spans="1:23" ht="13.5" customHeight="1">
      <c r="A324" s="154">
        <v>21120401</v>
      </c>
      <c r="B324" s="77" t="s">
        <v>464</v>
      </c>
      <c r="C324" s="224">
        <f>2000000+464000-690000</f>
        <v>1774000</v>
      </c>
      <c r="D324" s="233"/>
      <c r="E324" s="201"/>
      <c r="F324" s="100"/>
      <c r="G324" s="100"/>
      <c r="H324" s="100"/>
      <c r="I324" s="100"/>
      <c r="J324" s="100"/>
      <c r="K324" s="100"/>
      <c r="L324" s="100"/>
      <c r="M324" s="100"/>
      <c r="N324" s="100"/>
      <c r="O324" s="100"/>
      <c r="P324" s="100"/>
      <c r="Q324" s="100"/>
      <c r="R324" s="100"/>
      <c r="S324" s="100"/>
      <c r="T324" s="100"/>
      <c r="U324" s="100"/>
      <c r="V324" s="100"/>
      <c r="W324" s="100"/>
    </row>
    <row r="325" spans="1:23" ht="13.5" customHeight="1">
      <c r="A325" s="76">
        <v>211205</v>
      </c>
      <c r="B325" s="36" t="s">
        <v>465</v>
      </c>
      <c r="C325" s="256">
        <f>C326</f>
        <v>1330000</v>
      </c>
      <c r="D325" s="233"/>
      <c r="E325" s="201"/>
      <c r="F325" s="100"/>
      <c r="G325" s="100"/>
      <c r="H325" s="100"/>
      <c r="I325" s="100"/>
      <c r="J325" s="100"/>
      <c r="K325" s="100"/>
      <c r="L325" s="100"/>
      <c r="M325" s="100"/>
      <c r="N325" s="100"/>
      <c r="O325" s="100"/>
      <c r="P325" s="100"/>
      <c r="Q325" s="100"/>
      <c r="R325" s="100"/>
      <c r="S325" s="100"/>
      <c r="T325" s="100"/>
      <c r="U325" s="100"/>
      <c r="V325" s="100"/>
      <c r="W325" s="100"/>
    </row>
    <row r="326" spans="1:23" ht="13.5" customHeight="1">
      <c r="A326" s="154">
        <v>21120501</v>
      </c>
      <c r="B326" s="77" t="s">
        <v>466</v>
      </c>
      <c r="C326" s="224">
        <f>-690000+2020000</f>
        <v>1330000</v>
      </c>
      <c r="D326" s="233"/>
      <c r="E326" s="201"/>
      <c r="F326" s="100"/>
      <c r="G326" s="100"/>
      <c r="H326" s="100"/>
      <c r="I326" s="100"/>
      <c r="J326" s="100"/>
      <c r="K326" s="100"/>
      <c r="L326" s="100"/>
      <c r="M326" s="100"/>
      <c r="N326" s="100"/>
      <c r="O326" s="100"/>
      <c r="P326" s="100"/>
      <c r="Q326" s="100"/>
      <c r="R326" s="100"/>
      <c r="S326" s="100"/>
      <c r="T326" s="100"/>
      <c r="U326" s="100"/>
      <c r="V326" s="100"/>
      <c r="W326" s="100"/>
    </row>
    <row r="327" spans="1:23" ht="13.5" customHeight="1">
      <c r="A327" s="76">
        <v>211208</v>
      </c>
      <c r="B327" s="217" t="s">
        <v>474</v>
      </c>
      <c r="C327" s="256">
        <f>C328</f>
        <v>59500</v>
      </c>
      <c r="D327" s="233"/>
      <c r="E327" s="201"/>
      <c r="F327" s="100"/>
      <c r="G327" s="100"/>
      <c r="H327" s="100"/>
      <c r="I327" s="100"/>
      <c r="J327" s="100"/>
      <c r="K327" s="100"/>
      <c r="L327" s="100"/>
      <c r="M327" s="100"/>
      <c r="N327" s="100"/>
      <c r="O327" s="100"/>
      <c r="P327" s="100"/>
      <c r="Q327" s="100"/>
      <c r="R327" s="100"/>
      <c r="S327" s="100"/>
      <c r="T327" s="100"/>
      <c r="U327" s="100"/>
      <c r="V327" s="100"/>
      <c r="W327" s="100"/>
    </row>
    <row r="328" spans="1:23" ht="13.5" customHeight="1">
      <c r="A328" s="154">
        <v>21120805</v>
      </c>
      <c r="B328" s="77" t="s">
        <v>476</v>
      </c>
      <c r="C328" s="224">
        <v>59500</v>
      </c>
      <c r="D328" s="233"/>
      <c r="E328" s="201"/>
      <c r="F328" s="100"/>
      <c r="G328" s="100"/>
      <c r="H328" s="100"/>
      <c r="I328" s="100"/>
      <c r="J328" s="100"/>
      <c r="K328" s="100"/>
      <c r="L328" s="100"/>
      <c r="M328" s="100"/>
      <c r="N328" s="100"/>
      <c r="O328" s="100"/>
      <c r="P328" s="100"/>
      <c r="Q328" s="100"/>
      <c r="R328" s="100"/>
      <c r="S328" s="100"/>
      <c r="T328" s="100"/>
      <c r="U328" s="100"/>
      <c r="V328" s="100"/>
      <c r="W328" s="100"/>
    </row>
    <row r="329" spans="1:23" ht="13.5" customHeight="1">
      <c r="A329" s="76">
        <v>211209</v>
      </c>
      <c r="B329" s="36" t="s">
        <v>477</v>
      </c>
      <c r="C329" s="256">
        <f>+SUM(C330:C333)</f>
        <v>577500</v>
      </c>
      <c r="D329" s="233"/>
      <c r="E329" s="201"/>
      <c r="F329" s="100"/>
      <c r="G329" s="100"/>
      <c r="H329" s="100"/>
      <c r="I329" s="100"/>
      <c r="J329" s="100"/>
      <c r="K329" s="100"/>
      <c r="L329" s="100"/>
      <c r="M329" s="100"/>
      <c r="N329" s="100"/>
      <c r="O329" s="100"/>
      <c r="P329" s="100"/>
      <c r="Q329" s="100"/>
      <c r="R329" s="100"/>
      <c r="S329" s="100"/>
      <c r="T329" s="100"/>
      <c r="U329" s="100"/>
      <c r="V329" s="100"/>
      <c r="W329" s="100"/>
    </row>
    <row r="330" spans="1:23" ht="13.5" customHeight="1">
      <c r="A330" s="154">
        <v>21120901</v>
      </c>
      <c r="B330" s="77" t="s">
        <v>478</v>
      </c>
      <c r="C330" s="224">
        <v>99000</v>
      </c>
      <c r="D330" s="233"/>
      <c r="E330" s="201"/>
      <c r="F330" s="100"/>
      <c r="G330" s="100"/>
      <c r="H330" s="100"/>
      <c r="I330" s="100"/>
      <c r="J330" s="100"/>
      <c r="K330" s="100"/>
      <c r="L330" s="100"/>
      <c r="M330" s="100"/>
      <c r="N330" s="100"/>
      <c r="O330" s="100"/>
      <c r="P330" s="100"/>
      <c r="Q330" s="100"/>
      <c r="R330" s="100"/>
      <c r="S330" s="100"/>
      <c r="T330" s="100"/>
      <c r="U330" s="100"/>
      <c r="V330" s="100"/>
      <c r="W330" s="100"/>
    </row>
    <row r="331" spans="1:23" ht="13.5" customHeight="1">
      <c r="A331" s="154">
        <v>21120905</v>
      </c>
      <c r="B331" s="77" t="s">
        <v>525</v>
      </c>
      <c r="C331" s="224">
        <v>63000</v>
      </c>
      <c r="D331" s="233"/>
      <c r="E331" s="201"/>
      <c r="F331" s="100"/>
      <c r="G331" s="100"/>
      <c r="H331" s="100"/>
      <c r="I331" s="100"/>
      <c r="J331" s="100"/>
      <c r="K331" s="100"/>
      <c r="L331" s="100"/>
      <c r="M331" s="100"/>
      <c r="N331" s="100"/>
      <c r="O331" s="100"/>
      <c r="P331" s="100"/>
      <c r="Q331" s="100"/>
      <c r="R331" s="100"/>
      <c r="S331" s="100"/>
      <c r="T331" s="100"/>
      <c r="U331" s="100"/>
      <c r="V331" s="100"/>
      <c r="W331" s="100"/>
    </row>
    <row r="332" spans="1:23" ht="13.5" customHeight="1">
      <c r="A332" s="154">
        <v>21120906</v>
      </c>
      <c r="B332" s="77" t="s">
        <v>479</v>
      </c>
      <c r="C332" s="224">
        <v>96500</v>
      </c>
      <c r="D332" s="233"/>
      <c r="E332" s="201"/>
      <c r="F332" s="100"/>
      <c r="G332" s="100"/>
      <c r="H332" s="100"/>
      <c r="I332" s="100"/>
      <c r="J332" s="100"/>
      <c r="K332" s="100"/>
      <c r="L332" s="100"/>
      <c r="M332" s="100"/>
      <c r="N332" s="100"/>
      <c r="O332" s="100"/>
      <c r="P332" s="100"/>
      <c r="Q332" s="100"/>
      <c r="R332" s="100"/>
      <c r="S332" s="100"/>
      <c r="T332" s="100"/>
      <c r="U332" s="100"/>
      <c r="V332" s="100"/>
      <c r="W332" s="100"/>
    </row>
    <row r="333" spans="1:23" ht="13.5" customHeight="1">
      <c r="A333" s="154">
        <v>21120907</v>
      </c>
      <c r="B333" s="77" t="s">
        <v>480</v>
      </c>
      <c r="C333" s="72">
        <v>319000</v>
      </c>
      <c r="D333" s="233"/>
      <c r="E333" s="201"/>
      <c r="F333" s="100"/>
      <c r="G333" s="100"/>
      <c r="H333" s="100"/>
      <c r="I333" s="100"/>
      <c r="J333" s="100"/>
      <c r="K333" s="100"/>
      <c r="L333" s="100"/>
      <c r="M333" s="100"/>
      <c r="N333" s="100"/>
      <c r="O333" s="100"/>
      <c r="P333" s="100"/>
      <c r="Q333" s="100"/>
      <c r="R333" s="100"/>
      <c r="S333" s="100"/>
      <c r="T333" s="100"/>
      <c r="U333" s="100"/>
      <c r="V333" s="100"/>
      <c r="W333" s="100"/>
    </row>
    <row r="334" spans="1:23" ht="13.5" customHeight="1" thickBot="1">
      <c r="A334" s="100"/>
      <c r="B334" s="77"/>
      <c r="C334" s="224"/>
      <c r="D334" s="233"/>
      <c r="E334" s="201"/>
      <c r="F334" s="100"/>
      <c r="G334" s="100"/>
      <c r="H334" s="100"/>
      <c r="I334" s="100"/>
      <c r="J334" s="100"/>
      <c r="K334" s="100"/>
      <c r="L334" s="100"/>
      <c r="M334" s="100"/>
      <c r="N334" s="100"/>
      <c r="O334" s="100"/>
      <c r="P334" s="100"/>
      <c r="Q334" s="100"/>
      <c r="R334" s="100"/>
      <c r="S334" s="100"/>
      <c r="T334" s="100"/>
      <c r="U334" s="100"/>
      <c r="V334" s="100"/>
      <c r="W334" s="100"/>
    </row>
    <row r="335" spans="1:23" ht="13.5" customHeight="1" thickBot="1">
      <c r="A335" s="1306" t="s">
        <v>4</v>
      </c>
      <c r="B335" s="1281"/>
      <c r="C335" s="258">
        <f>C336+C339+C343+C346+C348</f>
        <v>8522000</v>
      </c>
      <c r="D335" s="233"/>
      <c r="E335" s="201"/>
      <c r="F335" s="100"/>
      <c r="G335" s="100"/>
      <c r="H335" s="100"/>
      <c r="I335" s="100"/>
      <c r="J335" s="100"/>
      <c r="K335" s="100"/>
      <c r="L335" s="100"/>
      <c r="M335" s="100"/>
      <c r="N335" s="100"/>
      <c r="O335" s="100"/>
      <c r="P335" s="100"/>
      <c r="Q335" s="100"/>
      <c r="R335" s="100"/>
      <c r="S335" s="100"/>
      <c r="T335" s="100"/>
      <c r="U335" s="100"/>
      <c r="V335" s="100"/>
      <c r="W335" s="100"/>
    </row>
    <row r="336" spans="1:23" ht="13.5" customHeight="1">
      <c r="A336" s="241">
        <v>211302</v>
      </c>
      <c r="B336" s="76" t="s">
        <v>481</v>
      </c>
      <c r="C336" s="249">
        <f>SUM(C337:C338)</f>
        <v>1153000</v>
      </c>
      <c r="D336" s="233"/>
      <c r="E336" s="201"/>
      <c r="F336" s="100"/>
      <c r="G336" s="100"/>
      <c r="H336" s="100"/>
      <c r="I336" s="100"/>
      <c r="J336" s="100"/>
      <c r="K336" s="100"/>
      <c r="L336" s="100"/>
      <c r="M336" s="100"/>
      <c r="N336" s="100"/>
      <c r="O336" s="100"/>
      <c r="P336" s="100"/>
      <c r="Q336" s="100"/>
      <c r="R336" s="100"/>
      <c r="S336" s="100"/>
      <c r="T336" s="100"/>
      <c r="U336" s="100"/>
      <c r="V336" s="100"/>
      <c r="W336" s="100"/>
    </row>
    <row r="337" spans="1:23" ht="13.5" customHeight="1">
      <c r="A337" s="233">
        <v>21130201</v>
      </c>
      <c r="B337" s="154" t="s">
        <v>482</v>
      </c>
      <c r="C337" s="224">
        <v>442000</v>
      </c>
      <c r="D337" s="244"/>
      <c r="E337" s="201"/>
      <c r="F337" s="100"/>
      <c r="G337" s="100"/>
      <c r="H337" s="100"/>
      <c r="I337" s="100"/>
      <c r="J337" s="100"/>
      <c r="K337" s="100"/>
      <c r="L337" s="100"/>
      <c r="M337" s="100"/>
      <c r="N337" s="100"/>
      <c r="O337" s="100"/>
      <c r="P337" s="100"/>
      <c r="Q337" s="100"/>
      <c r="R337" s="100"/>
      <c r="S337" s="100"/>
      <c r="T337" s="100"/>
      <c r="U337" s="100"/>
      <c r="V337" s="100"/>
      <c r="W337" s="100"/>
    </row>
    <row r="338" spans="1:23" ht="13.5" customHeight="1">
      <c r="A338" s="233">
        <v>21130204</v>
      </c>
      <c r="B338" s="77" t="s">
        <v>483</v>
      </c>
      <c r="C338" s="224">
        <v>711000</v>
      </c>
      <c r="D338" s="233"/>
      <c r="E338" s="201"/>
      <c r="F338" s="100"/>
      <c r="G338" s="100"/>
      <c r="H338" s="100"/>
      <c r="I338" s="100"/>
      <c r="J338" s="100"/>
      <c r="K338" s="100"/>
      <c r="L338" s="100"/>
      <c r="M338" s="100"/>
      <c r="N338" s="100"/>
      <c r="O338" s="100"/>
      <c r="P338" s="100"/>
      <c r="Q338" s="100"/>
      <c r="R338" s="100"/>
      <c r="S338" s="100"/>
      <c r="T338" s="100"/>
      <c r="U338" s="100"/>
      <c r="V338" s="100"/>
      <c r="W338" s="100"/>
    </row>
    <row r="339" spans="1:23" ht="13.5" customHeight="1">
      <c r="A339" s="241">
        <v>211303</v>
      </c>
      <c r="B339" s="217" t="s">
        <v>484</v>
      </c>
      <c r="C339" s="36">
        <f>+SUM(C340:C342)</f>
        <v>638000</v>
      </c>
      <c r="D339" s="233"/>
      <c r="E339" s="201"/>
      <c r="F339" s="100"/>
      <c r="G339" s="100"/>
      <c r="H339" s="100"/>
      <c r="I339" s="100"/>
      <c r="J339" s="100"/>
      <c r="K339" s="100"/>
      <c r="L339" s="100"/>
      <c r="M339" s="100"/>
      <c r="N339" s="100"/>
      <c r="O339" s="100"/>
      <c r="P339" s="100"/>
      <c r="Q339" s="100"/>
      <c r="R339" s="100"/>
      <c r="S339" s="100"/>
      <c r="T339" s="100"/>
      <c r="U339" s="100"/>
      <c r="V339" s="100"/>
      <c r="W339" s="100"/>
    </row>
    <row r="340" spans="1:23" ht="13.5" customHeight="1">
      <c r="A340" s="233">
        <v>21130302</v>
      </c>
      <c r="B340" s="77" t="s">
        <v>520</v>
      </c>
      <c r="C340" s="72">
        <v>40000</v>
      </c>
      <c r="D340" s="233"/>
      <c r="E340" s="201"/>
      <c r="F340" s="100"/>
      <c r="G340" s="100"/>
      <c r="H340" s="100"/>
      <c r="I340" s="100"/>
      <c r="J340" s="100"/>
      <c r="K340" s="100"/>
      <c r="L340" s="100"/>
      <c r="M340" s="100"/>
      <c r="N340" s="100"/>
      <c r="O340" s="100"/>
      <c r="P340" s="100"/>
      <c r="Q340" s="100"/>
      <c r="R340" s="100"/>
      <c r="S340" s="100"/>
      <c r="T340" s="100"/>
      <c r="U340" s="100"/>
      <c r="V340" s="100"/>
      <c r="W340" s="100"/>
    </row>
    <row r="341" spans="1:23" ht="13.5" customHeight="1">
      <c r="A341" s="233">
        <v>21130306</v>
      </c>
      <c r="B341" s="77" t="s">
        <v>487</v>
      </c>
      <c r="C341" s="72">
        <v>127500</v>
      </c>
      <c r="D341" s="233"/>
      <c r="E341" s="201"/>
      <c r="F341" s="100"/>
      <c r="G341" s="100"/>
      <c r="H341" s="100"/>
      <c r="I341" s="100"/>
      <c r="J341" s="100"/>
      <c r="K341" s="100"/>
      <c r="L341" s="100"/>
      <c r="M341" s="100"/>
      <c r="N341" s="100"/>
      <c r="O341" s="100"/>
      <c r="P341" s="100"/>
      <c r="Q341" s="100"/>
      <c r="R341" s="100"/>
      <c r="S341" s="100"/>
      <c r="T341" s="100"/>
      <c r="U341" s="100"/>
      <c r="V341" s="100"/>
      <c r="W341" s="100"/>
    </row>
    <row r="342" spans="1:23" ht="13.5" customHeight="1">
      <c r="A342" s="233">
        <v>21130307</v>
      </c>
      <c r="B342" s="77" t="s">
        <v>488</v>
      </c>
      <c r="C342" s="72">
        <v>470500</v>
      </c>
      <c r="D342" s="237"/>
      <c r="E342" s="201"/>
      <c r="F342" s="100"/>
      <c r="G342" s="100"/>
      <c r="H342" s="100"/>
      <c r="I342" s="100"/>
      <c r="J342" s="100"/>
      <c r="K342" s="100"/>
      <c r="L342" s="100"/>
      <c r="M342" s="100"/>
      <c r="N342" s="100"/>
      <c r="O342" s="100"/>
      <c r="P342" s="100"/>
      <c r="Q342" s="100"/>
      <c r="R342" s="100"/>
      <c r="S342" s="100"/>
      <c r="T342" s="100"/>
      <c r="U342" s="100"/>
      <c r="V342" s="100"/>
      <c r="W342" s="100"/>
    </row>
    <row r="343" spans="1:23" ht="13.5" customHeight="1">
      <c r="A343" s="76">
        <v>211305</v>
      </c>
      <c r="B343" s="217" t="s">
        <v>489</v>
      </c>
      <c r="C343" s="256">
        <f>+SUM(C344:C345)</f>
        <v>2791000</v>
      </c>
      <c r="D343" s="237"/>
      <c r="E343" s="201"/>
      <c r="F343" s="100"/>
      <c r="G343" s="100"/>
      <c r="H343" s="100"/>
      <c r="I343" s="100"/>
      <c r="J343" s="100"/>
      <c r="K343" s="100"/>
      <c r="L343" s="100"/>
      <c r="M343" s="100"/>
      <c r="N343" s="100"/>
      <c r="O343" s="100"/>
      <c r="P343" s="100"/>
      <c r="Q343" s="100"/>
      <c r="R343" s="100"/>
      <c r="S343" s="100"/>
      <c r="T343" s="100"/>
      <c r="U343" s="100"/>
      <c r="V343" s="100"/>
      <c r="W343" s="100"/>
    </row>
    <row r="344" spans="1:23" ht="13.5" customHeight="1">
      <c r="A344" s="233">
        <v>21130501</v>
      </c>
      <c r="B344" s="77" t="s">
        <v>490</v>
      </c>
      <c r="C344" s="224">
        <v>21000</v>
      </c>
      <c r="D344" s="233"/>
      <c r="E344" s="201"/>
      <c r="F344" s="100"/>
      <c r="G344" s="100"/>
      <c r="H344" s="100"/>
      <c r="I344" s="100"/>
      <c r="J344" s="100"/>
      <c r="K344" s="100"/>
      <c r="L344" s="100"/>
      <c r="M344" s="100"/>
      <c r="N344" s="100"/>
      <c r="O344" s="100"/>
      <c r="P344" s="100"/>
      <c r="Q344" s="100"/>
      <c r="R344" s="100"/>
      <c r="S344" s="100"/>
      <c r="T344" s="100"/>
      <c r="U344" s="100"/>
      <c r="V344" s="100"/>
      <c r="W344" s="100"/>
    </row>
    <row r="345" spans="1:23" ht="13.5" customHeight="1">
      <c r="A345" s="233">
        <v>21130502</v>
      </c>
      <c r="B345" s="77" t="s">
        <v>491</v>
      </c>
      <c r="C345" s="224">
        <f>2000000+770000</f>
        <v>2770000</v>
      </c>
      <c r="D345" s="117"/>
      <c r="E345" s="201"/>
      <c r="F345" s="100"/>
      <c r="G345" s="100"/>
      <c r="H345" s="100"/>
      <c r="I345" s="100"/>
      <c r="J345" s="100"/>
      <c r="K345" s="100"/>
      <c r="L345" s="100"/>
      <c r="M345" s="100"/>
      <c r="N345" s="100"/>
      <c r="O345" s="100"/>
      <c r="P345" s="100"/>
      <c r="Q345" s="100"/>
      <c r="R345" s="100"/>
      <c r="S345" s="100"/>
      <c r="T345" s="100"/>
      <c r="U345" s="100"/>
      <c r="V345" s="100"/>
      <c r="W345" s="100"/>
    </row>
    <row r="346" spans="1:23" ht="13.5" customHeight="1">
      <c r="A346" s="76">
        <v>211307</v>
      </c>
      <c r="B346" s="36" t="s">
        <v>494</v>
      </c>
      <c r="C346" s="256">
        <f>C347</f>
        <v>40000</v>
      </c>
      <c r="D346" s="117"/>
      <c r="E346" s="201"/>
      <c r="F346" s="100"/>
      <c r="G346" s="100"/>
      <c r="H346" s="100"/>
      <c r="I346" s="100"/>
      <c r="J346" s="100"/>
      <c r="K346" s="100"/>
      <c r="L346" s="100"/>
      <c r="M346" s="100"/>
      <c r="N346" s="100"/>
      <c r="O346" s="100"/>
      <c r="P346" s="100"/>
      <c r="Q346" s="100"/>
      <c r="R346" s="100"/>
      <c r="S346" s="100"/>
      <c r="T346" s="100"/>
      <c r="U346" s="100"/>
      <c r="V346" s="100"/>
      <c r="W346" s="100"/>
    </row>
    <row r="347" spans="1:23" ht="13.5" customHeight="1">
      <c r="A347" s="154">
        <v>21130701</v>
      </c>
      <c r="B347" s="77" t="s">
        <v>495</v>
      </c>
      <c r="C347" s="224">
        <v>40000</v>
      </c>
      <c r="D347" s="224"/>
      <c r="E347" s="201"/>
      <c r="F347" s="100"/>
      <c r="G347" s="100"/>
      <c r="H347" s="100"/>
      <c r="I347" s="100"/>
      <c r="J347" s="100"/>
      <c r="K347" s="100"/>
      <c r="L347" s="100"/>
      <c r="M347" s="100"/>
      <c r="N347" s="100"/>
      <c r="O347" s="100"/>
      <c r="P347" s="100"/>
      <c r="Q347" s="100"/>
      <c r="R347" s="100"/>
      <c r="S347" s="100"/>
      <c r="T347" s="100"/>
      <c r="U347" s="100"/>
      <c r="V347" s="100"/>
      <c r="W347" s="100"/>
    </row>
    <row r="348" spans="1:23" ht="13.5" customHeight="1">
      <c r="A348" s="76">
        <v>211309</v>
      </c>
      <c r="B348" s="217" t="s">
        <v>496</v>
      </c>
      <c r="C348" s="256">
        <f>+SUM(C349:C353)</f>
        <v>3900000</v>
      </c>
      <c r="D348" s="224"/>
      <c r="E348" s="201"/>
      <c r="F348" s="100"/>
      <c r="G348" s="100"/>
      <c r="H348" s="100"/>
      <c r="I348" s="100"/>
      <c r="J348" s="100"/>
      <c r="K348" s="100"/>
      <c r="L348" s="100"/>
      <c r="M348" s="100"/>
      <c r="N348" s="100"/>
      <c r="O348" s="100"/>
      <c r="P348" s="100"/>
      <c r="Q348" s="100"/>
      <c r="R348" s="100"/>
      <c r="S348" s="100"/>
      <c r="T348" s="100"/>
      <c r="U348" s="100"/>
      <c r="V348" s="100"/>
      <c r="W348" s="100"/>
    </row>
    <row r="349" spans="1:23" ht="13.5" customHeight="1">
      <c r="A349" s="154">
        <v>21130901</v>
      </c>
      <c r="B349" s="77" t="s">
        <v>497</v>
      </c>
      <c r="C349" s="224">
        <f>2000000+436000</f>
        <v>2436000</v>
      </c>
      <c r="D349" s="224"/>
      <c r="E349" s="201"/>
      <c r="F349" s="100"/>
      <c r="G349" s="100"/>
      <c r="H349" s="100"/>
      <c r="I349" s="100"/>
      <c r="J349" s="100"/>
      <c r="K349" s="100"/>
      <c r="L349" s="100"/>
      <c r="M349" s="100"/>
      <c r="N349" s="100"/>
      <c r="O349" s="100"/>
      <c r="P349" s="100"/>
      <c r="Q349" s="100"/>
      <c r="R349" s="100"/>
      <c r="S349" s="100"/>
      <c r="T349" s="100"/>
      <c r="U349" s="100"/>
      <c r="V349" s="100"/>
      <c r="W349" s="100"/>
    </row>
    <row r="350" spans="1:23" ht="13.5" customHeight="1">
      <c r="A350" s="154">
        <v>21130902</v>
      </c>
      <c r="B350" s="77" t="s">
        <v>586</v>
      </c>
      <c r="C350" s="224">
        <v>500000</v>
      </c>
      <c r="D350" s="224"/>
      <c r="E350" s="201"/>
      <c r="F350" s="100"/>
      <c r="G350" s="100"/>
      <c r="H350" s="100"/>
      <c r="I350" s="100"/>
      <c r="J350" s="100"/>
      <c r="K350" s="100"/>
      <c r="L350" s="100"/>
      <c r="M350" s="100"/>
      <c r="N350" s="100"/>
      <c r="O350" s="100"/>
      <c r="P350" s="100"/>
      <c r="Q350" s="100"/>
      <c r="R350" s="100"/>
      <c r="S350" s="100"/>
      <c r="T350" s="100"/>
      <c r="U350" s="100"/>
      <c r="V350" s="100"/>
      <c r="W350" s="100"/>
    </row>
    <row r="351" spans="1:23" ht="13.5" customHeight="1">
      <c r="A351" s="154">
        <v>21130903</v>
      </c>
      <c r="B351" s="77" t="s">
        <v>498</v>
      </c>
      <c r="C351" s="224">
        <v>66000</v>
      </c>
      <c r="D351" s="224"/>
      <c r="E351" s="201"/>
      <c r="F351" s="100"/>
      <c r="G351" s="100"/>
      <c r="H351" s="100"/>
      <c r="I351" s="100"/>
      <c r="J351" s="100"/>
      <c r="K351" s="100"/>
      <c r="L351" s="100"/>
      <c r="M351" s="100"/>
      <c r="N351" s="100"/>
      <c r="O351" s="100"/>
      <c r="P351" s="100"/>
      <c r="Q351" s="100"/>
      <c r="R351" s="100"/>
      <c r="S351" s="100"/>
      <c r="T351" s="100"/>
      <c r="U351" s="100"/>
      <c r="V351" s="100"/>
      <c r="W351" s="100"/>
    </row>
    <row r="352" spans="1:23" ht="13.5" customHeight="1">
      <c r="A352" s="233">
        <v>21130906</v>
      </c>
      <c r="B352" s="77" t="s">
        <v>499</v>
      </c>
      <c r="C352" s="224">
        <v>500000</v>
      </c>
      <c r="D352" s="224"/>
      <c r="E352" s="201"/>
      <c r="F352" s="100"/>
      <c r="G352" s="100"/>
      <c r="H352" s="100"/>
      <c r="I352" s="100"/>
      <c r="J352" s="100"/>
      <c r="K352" s="100"/>
      <c r="L352" s="100"/>
      <c r="M352" s="100"/>
      <c r="N352" s="100"/>
      <c r="O352" s="100"/>
      <c r="P352" s="100"/>
      <c r="Q352" s="100"/>
      <c r="R352" s="100"/>
      <c r="S352" s="100"/>
      <c r="T352" s="100"/>
      <c r="U352" s="100"/>
      <c r="V352" s="100"/>
      <c r="W352" s="100"/>
    </row>
    <row r="353" spans="1:23" ht="13.5" customHeight="1">
      <c r="A353" s="154">
        <v>21130908</v>
      </c>
      <c r="B353" s="72" t="s">
        <v>500</v>
      </c>
      <c r="C353" s="72">
        <v>398000</v>
      </c>
      <c r="D353" s="224"/>
      <c r="E353" s="201"/>
      <c r="F353" s="100"/>
      <c r="G353" s="100"/>
      <c r="H353" s="100"/>
      <c r="I353" s="100"/>
      <c r="J353" s="100"/>
      <c r="K353" s="100"/>
      <c r="L353" s="100"/>
      <c r="M353" s="100"/>
      <c r="N353" s="100"/>
      <c r="O353" s="100"/>
      <c r="P353" s="100"/>
      <c r="Q353" s="100"/>
      <c r="R353" s="100"/>
      <c r="S353" s="100"/>
      <c r="T353" s="100"/>
      <c r="U353" s="100"/>
      <c r="V353" s="100"/>
      <c r="W353" s="100"/>
    </row>
    <row r="354" spans="1:23" ht="13.5" customHeight="1" thickBot="1">
      <c r="A354" s="77"/>
      <c r="B354" s="154"/>
      <c r="C354" s="224"/>
      <c r="D354" s="224"/>
      <c r="E354" s="201"/>
      <c r="F354" s="100"/>
      <c r="G354" s="100"/>
      <c r="H354" s="100"/>
      <c r="I354" s="100"/>
      <c r="J354" s="100"/>
      <c r="K354" s="100"/>
      <c r="L354" s="100"/>
      <c r="M354" s="100"/>
      <c r="N354" s="100"/>
      <c r="O354" s="100"/>
      <c r="P354" s="100"/>
      <c r="Q354" s="100"/>
      <c r="R354" s="100"/>
      <c r="S354" s="100"/>
      <c r="T354" s="100"/>
      <c r="U354" s="100"/>
      <c r="V354" s="100"/>
      <c r="W354" s="100"/>
    </row>
    <row r="355" spans="1:23" ht="13.5" customHeight="1" thickBot="1">
      <c r="A355" s="1313" t="s">
        <v>45</v>
      </c>
      <c r="B355" s="1281"/>
      <c r="C355" s="263">
        <f>C356</f>
        <v>2392000</v>
      </c>
      <c r="D355" s="218"/>
      <c r="E355" s="201"/>
      <c r="F355" s="100"/>
      <c r="G355" s="100"/>
      <c r="H355" s="100"/>
      <c r="I355" s="100"/>
      <c r="J355" s="100"/>
      <c r="K355" s="100"/>
      <c r="L355" s="100"/>
      <c r="M355" s="100"/>
      <c r="N355" s="100"/>
      <c r="O355" s="100"/>
      <c r="P355" s="100"/>
      <c r="Q355" s="100"/>
      <c r="R355" s="100"/>
      <c r="S355" s="100"/>
      <c r="T355" s="100"/>
      <c r="U355" s="100"/>
      <c r="V355" s="100"/>
      <c r="W355" s="100"/>
    </row>
    <row r="356" spans="1:23" ht="13.5" customHeight="1">
      <c r="A356" s="241">
        <v>211402</v>
      </c>
      <c r="B356" s="241" t="s">
        <v>46</v>
      </c>
      <c r="C356" s="249">
        <f>SUM(C357:C361)</f>
        <v>2392000</v>
      </c>
      <c r="D356" s="218"/>
      <c r="E356" s="201"/>
      <c r="F356" s="100"/>
      <c r="G356" s="100"/>
      <c r="H356" s="100"/>
      <c r="I356" s="100"/>
      <c r="J356" s="100"/>
      <c r="K356" s="100"/>
      <c r="L356" s="100"/>
      <c r="M356" s="100"/>
      <c r="N356" s="100"/>
      <c r="O356" s="100"/>
      <c r="P356" s="100"/>
      <c r="Q356" s="100"/>
      <c r="R356" s="100"/>
      <c r="S356" s="100"/>
      <c r="T356" s="100"/>
      <c r="U356" s="100"/>
      <c r="V356" s="100"/>
      <c r="W356" s="100"/>
    </row>
    <row r="357" spans="1:23" ht="13.5" customHeight="1">
      <c r="A357" s="233">
        <v>21140205</v>
      </c>
      <c r="B357" s="233" t="s">
        <v>653</v>
      </c>
      <c r="C357" s="224">
        <v>312000</v>
      </c>
      <c r="D357" s="218"/>
      <c r="E357" s="201"/>
      <c r="F357" s="100"/>
      <c r="G357" s="100"/>
      <c r="H357" s="100"/>
      <c r="I357" s="100"/>
      <c r="J357" s="100"/>
      <c r="K357" s="100"/>
      <c r="L357" s="100"/>
      <c r="M357" s="100"/>
      <c r="N357" s="100"/>
      <c r="O357" s="100"/>
      <c r="P357" s="100"/>
      <c r="Q357" s="100"/>
      <c r="R357" s="100"/>
      <c r="S357" s="100"/>
      <c r="T357" s="100"/>
      <c r="U357" s="100"/>
      <c r="V357" s="100"/>
      <c r="W357" s="100"/>
    </row>
    <row r="358" spans="1:23" ht="13.5" customHeight="1">
      <c r="A358" s="233">
        <v>21140208</v>
      </c>
      <c r="B358" s="77" t="s">
        <v>553</v>
      </c>
      <c r="C358" s="224">
        <v>480000</v>
      </c>
      <c r="D358" s="77"/>
      <c r="E358" s="201"/>
      <c r="F358" s="100"/>
      <c r="G358" s="100"/>
      <c r="H358" s="100"/>
      <c r="I358" s="100"/>
      <c r="J358" s="100"/>
      <c r="K358" s="100"/>
      <c r="L358" s="100"/>
      <c r="M358" s="100"/>
      <c r="N358" s="100"/>
      <c r="O358" s="100"/>
      <c r="P358" s="100"/>
      <c r="Q358" s="100"/>
      <c r="R358" s="100"/>
      <c r="S358" s="100"/>
      <c r="T358" s="100"/>
      <c r="U358" s="100"/>
      <c r="V358" s="100"/>
      <c r="W358" s="100"/>
    </row>
    <row r="359" spans="1:23" ht="13.5" customHeight="1">
      <c r="A359" s="154">
        <v>21140211</v>
      </c>
      <c r="B359" s="77" t="s">
        <v>654</v>
      </c>
      <c r="C359" s="224">
        <v>800000</v>
      </c>
      <c r="D359" s="233"/>
      <c r="E359" s="201"/>
      <c r="F359" s="100"/>
      <c r="G359" s="100"/>
      <c r="H359" s="100"/>
      <c r="I359" s="100"/>
      <c r="J359" s="100"/>
      <c r="K359" s="100"/>
      <c r="L359" s="100"/>
      <c r="M359" s="100"/>
      <c r="N359" s="100"/>
      <c r="O359" s="100"/>
      <c r="P359" s="100"/>
      <c r="Q359" s="100"/>
      <c r="R359" s="100"/>
      <c r="S359" s="100"/>
      <c r="T359" s="100"/>
      <c r="U359" s="100"/>
      <c r="V359" s="100"/>
      <c r="W359" s="100"/>
    </row>
    <row r="360" spans="1:23" ht="13.5" customHeight="1">
      <c r="A360" s="233">
        <v>21140212</v>
      </c>
      <c r="B360" s="77" t="s">
        <v>552</v>
      </c>
      <c r="C360" s="224">
        <v>500000</v>
      </c>
      <c r="D360" s="233"/>
      <c r="E360" s="201"/>
      <c r="F360" s="100"/>
      <c r="G360" s="100"/>
      <c r="H360" s="100"/>
      <c r="I360" s="100"/>
      <c r="J360" s="100"/>
      <c r="K360" s="100"/>
      <c r="L360" s="100"/>
      <c r="M360" s="100"/>
      <c r="N360" s="100"/>
      <c r="O360" s="100"/>
      <c r="P360" s="100"/>
      <c r="Q360" s="100"/>
      <c r="R360" s="100"/>
      <c r="S360" s="100"/>
      <c r="T360" s="100"/>
      <c r="U360" s="100"/>
      <c r="V360" s="100"/>
      <c r="W360" s="100"/>
    </row>
    <row r="361" spans="1:23" ht="13.5" customHeight="1">
      <c r="A361" s="233">
        <v>21140213</v>
      </c>
      <c r="B361" s="77" t="s">
        <v>504</v>
      </c>
      <c r="C361" s="224">
        <v>300000</v>
      </c>
      <c r="D361" s="233"/>
      <c r="E361" s="201"/>
      <c r="F361" s="100"/>
      <c r="G361" s="100"/>
      <c r="H361" s="100"/>
      <c r="I361" s="100"/>
      <c r="J361" s="100"/>
      <c r="K361" s="100"/>
      <c r="L361" s="100"/>
      <c r="M361" s="100"/>
      <c r="N361" s="100"/>
      <c r="O361" s="100"/>
      <c r="P361" s="100"/>
      <c r="Q361" s="100"/>
      <c r="R361" s="100"/>
      <c r="S361" s="100"/>
      <c r="T361" s="100"/>
      <c r="U361" s="100"/>
      <c r="V361" s="100"/>
      <c r="W361" s="100"/>
    </row>
    <row r="362" spans="1:23" ht="13.5" customHeight="1" thickBot="1">
      <c r="A362" s="77"/>
      <c r="B362" s="77"/>
      <c r="C362" s="224"/>
      <c r="D362" s="233"/>
      <c r="E362" s="201"/>
      <c r="F362" s="100"/>
      <c r="G362" s="100"/>
      <c r="H362" s="100"/>
      <c r="I362" s="100"/>
      <c r="J362" s="100"/>
      <c r="K362" s="100"/>
      <c r="L362" s="100"/>
      <c r="M362" s="100"/>
      <c r="N362" s="100"/>
      <c r="O362" s="100"/>
      <c r="P362" s="100"/>
      <c r="Q362" s="100"/>
      <c r="R362" s="100"/>
      <c r="S362" s="100"/>
      <c r="T362" s="100"/>
      <c r="U362" s="100"/>
      <c r="V362" s="100"/>
      <c r="W362" s="100"/>
    </row>
    <row r="363" spans="1:23" ht="13.5" customHeight="1" thickBot="1">
      <c r="A363" s="1307" t="s">
        <v>48</v>
      </c>
      <c r="B363" s="1281"/>
      <c r="C363" s="264">
        <f>C364+C368</f>
        <v>2977000</v>
      </c>
      <c r="D363" s="233"/>
      <c r="E363" s="201"/>
      <c r="F363" s="100"/>
      <c r="G363" s="100"/>
      <c r="H363" s="100"/>
      <c r="I363" s="100"/>
      <c r="J363" s="100"/>
      <c r="K363" s="100"/>
      <c r="L363" s="100"/>
      <c r="M363" s="100"/>
      <c r="N363" s="100"/>
      <c r="O363" s="100"/>
      <c r="P363" s="100"/>
      <c r="Q363" s="100"/>
      <c r="R363" s="100"/>
      <c r="S363" s="100"/>
      <c r="T363" s="100"/>
      <c r="U363" s="100"/>
      <c r="V363" s="100"/>
      <c r="W363" s="100"/>
    </row>
    <row r="364" spans="1:23" ht="13.5" customHeight="1">
      <c r="A364" s="76">
        <v>221104</v>
      </c>
      <c r="B364" s="826" t="s">
        <v>510</v>
      </c>
      <c r="C364" s="256">
        <f>SUM(C365:C367)</f>
        <v>2183500</v>
      </c>
      <c r="D364" s="233"/>
      <c r="E364" s="201"/>
      <c r="F364" s="100"/>
      <c r="G364" s="100"/>
      <c r="H364" s="100"/>
      <c r="I364" s="100"/>
      <c r="J364" s="100"/>
      <c r="K364" s="100"/>
      <c r="L364" s="100"/>
      <c r="M364" s="100"/>
      <c r="N364" s="100"/>
      <c r="O364" s="100"/>
      <c r="P364" s="100"/>
      <c r="Q364" s="100"/>
      <c r="R364" s="100"/>
      <c r="S364" s="100"/>
      <c r="T364" s="100"/>
      <c r="U364" s="100"/>
      <c r="V364" s="100"/>
      <c r="W364" s="100"/>
    </row>
    <row r="365" spans="1:23" ht="13.5" customHeight="1">
      <c r="A365" s="154">
        <v>22110401</v>
      </c>
      <c r="B365" s="77" t="s">
        <v>511</v>
      </c>
      <c r="C365" s="224">
        <f>500000+70500</f>
        <v>570500</v>
      </c>
      <c r="D365" s="233"/>
      <c r="E365" s="201"/>
      <c r="F365" s="100"/>
      <c r="G365" s="100"/>
      <c r="H365" s="100"/>
      <c r="I365" s="100"/>
      <c r="J365" s="100"/>
      <c r="K365" s="100"/>
      <c r="L365" s="100"/>
      <c r="M365" s="100"/>
      <c r="N365" s="100"/>
      <c r="O365" s="100"/>
      <c r="P365" s="100"/>
      <c r="Q365" s="100"/>
      <c r="R365" s="100"/>
      <c r="S365" s="100"/>
      <c r="T365" s="100"/>
      <c r="U365" s="100"/>
      <c r="V365" s="100"/>
      <c r="W365" s="100"/>
    </row>
    <row r="366" spans="1:23" ht="13.5" customHeight="1">
      <c r="A366" s="154">
        <v>22110404</v>
      </c>
      <c r="B366" s="77" t="s">
        <v>512</v>
      </c>
      <c r="C366" s="224">
        <v>1589500</v>
      </c>
      <c r="D366" s="233"/>
      <c r="E366" s="201"/>
      <c r="F366" s="100"/>
      <c r="G366" s="100"/>
      <c r="H366" s="100"/>
      <c r="I366" s="100"/>
      <c r="J366" s="100"/>
      <c r="K366" s="100"/>
      <c r="L366" s="100"/>
      <c r="M366" s="100"/>
      <c r="N366" s="100"/>
      <c r="O366" s="100"/>
      <c r="P366" s="100"/>
      <c r="Q366" s="100"/>
      <c r="R366" s="100"/>
      <c r="S366" s="100"/>
      <c r="T366" s="100"/>
      <c r="U366" s="100"/>
      <c r="V366" s="100"/>
      <c r="W366" s="100"/>
    </row>
    <row r="367" spans="1:23" ht="13.5" customHeight="1">
      <c r="A367" s="154">
        <v>22110409</v>
      </c>
      <c r="B367" s="72" t="s">
        <v>513</v>
      </c>
      <c r="C367" s="72">
        <v>23500</v>
      </c>
      <c r="D367" s="233"/>
      <c r="E367" s="201"/>
      <c r="F367" s="100"/>
      <c r="G367" s="100"/>
      <c r="H367" s="100"/>
      <c r="I367" s="100"/>
      <c r="J367" s="100"/>
      <c r="K367" s="100"/>
      <c r="L367" s="100"/>
      <c r="M367" s="100"/>
      <c r="N367" s="100"/>
      <c r="O367" s="100"/>
      <c r="P367" s="100"/>
      <c r="Q367" s="100"/>
      <c r="R367" s="100"/>
      <c r="S367" s="100"/>
      <c r="T367" s="100"/>
      <c r="U367" s="100"/>
      <c r="V367" s="100"/>
      <c r="W367" s="100"/>
    </row>
    <row r="368" spans="1:23" ht="13.5" customHeight="1">
      <c r="A368" s="76">
        <v>221107</v>
      </c>
      <c r="B368" s="36" t="s">
        <v>514</v>
      </c>
      <c r="C368" s="256">
        <f>C369</f>
        <v>793500</v>
      </c>
      <c r="D368" s="233"/>
      <c r="E368" s="201"/>
      <c r="F368" s="100"/>
      <c r="G368" s="100"/>
      <c r="H368" s="100"/>
      <c r="I368" s="100"/>
      <c r="J368" s="100"/>
      <c r="K368" s="100"/>
      <c r="L368" s="100"/>
      <c r="M368" s="100"/>
      <c r="N368" s="100"/>
      <c r="O368" s="100"/>
      <c r="P368" s="100"/>
      <c r="Q368" s="100"/>
      <c r="R368" s="100"/>
      <c r="S368" s="100"/>
      <c r="T368" s="100"/>
      <c r="U368" s="100"/>
      <c r="V368" s="100"/>
      <c r="W368" s="100"/>
    </row>
    <row r="369" spans="1:23" ht="13.5" customHeight="1">
      <c r="A369" s="154">
        <v>22110702</v>
      </c>
      <c r="B369" s="77" t="s">
        <v>515</v>
      </c>
      <c r="C369" s="224">
        <v>793500</v>
      </c>
      <c r="D369" s="233"/>
      <c r="E369" s="201"/>
      <c r="F369" s="100"/>
      <c r="G369" s="100"/>
      <c r="H369" s="100"/>
      <c r="I369" s="100"/>
      <c r="J369" s="100"/>
      <c r="K369" s="100"/>
      <c r="L369" s="100"/>
      <c r="M369" s="100"/>
      <c r="N369" s="100"/>
      <c r="O369" s="100"/>
      <c r="P369" s="100"/>
      <c r="Q369" s="100"/>
      <c r="R369" s="100"/>
      <c r="S369" s="100"/>
      <c r="T369" s="100"/>
      <c r="U369" s="100"/>
      <c r="V369" s="100"/>
      <c r="W369" s="100"/>
    </row>
    <row r="370" spans="1:23" ht="13.5" customHeight="1">
      <c r="A370" s="100"/>
      <c r="B370" s="77"/>
      <c r="C370" s="224"/>
      <c r="D370" s="233"/>
      <c r="E370" s="201"/>
      <c r="F370" s="100"/>
      <c r="G370" s="100"/>
      <c r="H370" s="100"/>
      <c r="I370" s="100"/>
      <c r="J370" s="100"/>
      <c r="K370" s="100"/>
      <c r="L370" s="100"/>
      <c r="M370" s="100"/>
      <c r="N370" s="100"/>
      <c r="O370" s="100"/>
      <c r="P370" s="100"/>
      <c r="Q370" s="100"/>
      <c r="R370" s="100"/>
      <c r="S370" s="100"/>
      <c r="T370" s="100"/>
      <c r="U370" s="100"/>
      <c r="V370" s="100"/>
      <c r="W370" s="100"/>
    </row>
    <row r="371" spans="1:23" ht="13.5" customHeight="1" thickBot="1">
      <c r="A371" s="100"/>
      <c r="B371" s="77"/>
      <c r="C371" s="224"/>
      <c r="D371" s="233"/>
      <c r="E371" s="201"/>
      <c r="F371" s="100"/>
      <c r="G371" s="100"/>
      <c r="H371" s="100"/>
      <c r="I371" s="100"/>
      <c r="J371" s="100"/>
      <c r="K371" s="100"/>
      <c r="L371" s="100"/>
      <c r="M371" s="100"/>
      <c r="N371" s="100"/>
      <c r="O371" s="100"/>
      <c r="P371" s="100"/>
      <c r="Q371" s="100"/>
      <c r="R371" s="100"/>
      <c r="S371" s="100"/>
      <c r="T371" s="100"/>
      <c r="U371" s="100"/>
      <c r="V371" s="100"/>
      <c r="W371" s="100"/>
    </row>
    <row r="372" spans="1:23" ht="13.5" customHeight="1">
      <c r="A372" s="1308" t="s">
        <v>969</v>
      </c>
      <c r="B372" s="1309"/>
      <c r="C372" s="1478" t="s">
        <v>809</v>
      </c>
      <c r="D372" s="233"/>
      <c r="E372" s="201"/>
      <c r="F372" s="100"/>
      <c r="G372" s="100"/>
      <c r="H372" s="100"/>
      <c r="I372" s="100"/>
      <c r="J372" s="100"/>
      <c r="K372" s="100"/>
      <c r="L372" s="100"/>
      <c r="M372" s="100"/>
      <c r="N372" s="100"/>
      <c r="O372" s="100"/>
      <c r="P372" s="100"/>
      <c r="Q372" s="100"/>
      <c r="R372" s="100"/>
      <c r="S372" s="100"/>
      <c r="T372" s="100"/>
      <c r="U372" s="100"/>
      <c r="V372" s="100"/>
      <c r="W372" s="100"/>
    </row>
    <row r="373" spans="1:23" ht="13.5" customHeight="1" thickBot="1">
      <c r="A373" s="1344"/>
      <c r="B373" s="1345"/>
      <c r="C373" s="1479"/>
      <c r="D373" s="233"/>
      <c r="E373" s="201"/>
      <c r="F373" s="100"/>
      <c r="G373" s="100"/>
      <c r="H373" s="100"/>
      <c r="I373" s="100"/>
      <c r="J373" s="100"/>
      <c r="K373" s="100"/>
      <c r="L373" s="100"/>
      <c r="M373" s="100"/>
      <c r="N373" s="100"/>
      <c r="O373" s="100"/>
      <c r="P373" s="100"/>
      <c r="Q373" s="100"/>
      <c r="R373" s="100"/>
      <c r="S373" s="100"/>
      <c r="T373" s="100"/>
      <c r="U373" s="100"/>
      <c r="V373" s="100"/>
      <c r="W373" s="100"/>
    </row>
    <row r="374" spans="1:23" ht="13.5" customHeight="1">
      <c r="A374" s="608" t="s">
        <v>671</v>
      </c>
      <c r="B374" s="1066"/>
      <c r="C374" s="1067"/>
      <c r="D374" s="233"/>
      <c r="E374" s="201"/>
      <c r="F374" s="100"/>
      <c r="G374" s="100"/>
      <c r="H374" s="100"/>
      <c r="I374" s="100"/>
      <c r="J374" s="100"/>
      <c r="K374" s="100"/>
      <c r="L374" s="100"/>
      <c r="M374" s="100"/>
      <c r="N374" s="100"/>
      <c r="O374" s="100"/>
      <c r="P374" s="100"/>
      <c r="Q374" s="100"/>
      <c r="R374" s="100"/>
      <c r="S374" s="100"/>
      <c r="T374" s="100"/>
      <c r="U374" s="100"/>
      <c r="V374" s="100"/>
      <c r="W374" s="100"/>
    </row>
    <row r="375" spans="1:23" ht="13.5" customHeight="1">
      <c r="A375" s="1097" t="s">
        <v>706</v>
      </c>
      <c r="B375" s="631"/>
      <c r="C375" s="1068"/>
      <c r="D375" s="233"/>
      <c r="E375" s="201"/>
      <c r="F375" s="100"/>
      <c r="G375" s="100"/>
      <c r="H375" s="100"/>
      <c r="I375" s="100"/>
      <c r="J375" s="100"/>
      <c r="K375" s="100"/>
      <c r="L375" s="100"/>
      <c r="M375" s="100"/>
      <c r="N375" s="100"/>
      <c r="O375" s="100"/>
      <c r="P375" s="100"/>
      <c r="Q375" s="100"/>
      <c r="R375" s="100"/>
      <c r="S375" s="100"/>
      <c r="T375" s="100"/>
      <c r="U375" s="100"/>
      <c r="V375" s="100"/>
      <c r="W375" s="100"/>
    </row>
    <row r="376" spans="1:23" ht="13.5" customHeight="1">
      <c r="A376" s="1097" t="s">
        <v>726</v>
      </c>
      <c r="B376" s="631"/>
      <c r="C376" s="1068"/>
      <c r="D376" s="233"/>
      <c r="E376" s="201"/>
      <c r="F376" s="100"/>
      <c r="G376" s="100"/>
      <c r="H376" s="100"/>
      <c r="I376" s="100"/>
      <c r="J376" s="100"/>
      <c r="K376" s="100"/>
      <c r="L376" s="100"/>
      <c r="M376" s="100"/>
      <c r="N376" s="100"/>
      <c r="O376" s="100"/>
      <c r="P376" s="100"/>
      <c r="Q376" s="100"/>
      <c r="R376" s="100"/>
      <c r="S376" s="100"/>
      <c r="T376" s="100"/>
      <c r="U376" s="100"/>
      <c r="V376" s="100"/>
      <c r="W376" s="100"/>
    </row>
    <row r="377" spans="1:23" ht="13.5" customHeight="1" thickBot="1">
      <c r="A377" s="1069" t="s">
        <v>0</v>
      </c>
      <c r="B377" s="1070"/>
      <c r="C377" s="1071"/>
      <c r="D377" s="233"/>
      <c r="E377" s="201"/>
      <c r="F377" s="100"/>
      <c r="G377" s="100"/>
      <c r="H377" s="100"/>
      <c r="I377" s="100"/>
      <c r="J377" s="100"/>
      <c r="K377" s="100"/>
      <c r="L377" s="100"/>
      <c r="M377" s="100"/>
      <c r="N377" s="100"/>
      <c r="O377" s="100"/>
      <c r="P377" s="100"/>
      <c r="Q377" s="100"/>
      <c r="R377" s="100"/>
      <c r="S377" s="100"/>
      <c r="T377" s="100"/>
      <c r="U377" s="100"/>
      <c r="V377" s="100"/>
      <c r="W377" s="100"/>
    </row>
    <row r="378" spans="1:23" ht="13.5" customHeight="1" thickBot="1">
      <c r="A378" s="1540" t="s">
        <v>66</v>
      </c>
      <c r="B378" s="1541"/>
      <c r="C378" s="1247">
        <f>C380+C411+C431</f>
        <v>95617240.410000011</v>
      </c>
      <c r="D378" s="244"/>
      <c r="E378" s="201"/>
      <c r="F378" s="100"/>
      <c r="G378" s="100"/>
      <c r="H378" s="100"/>
      <c r="I378" s="100"/>
      <c r="J378" s="100"/>
      <c r="K378" s="100"/>
      <c r="L378" s="100"/>
      <c r="M378" s="100"/>
      <c r="N378" s="100"/>
      <c r="O378" s="100"/>
      <c r="P378" s="100"/>
      <c r="Q378" s="100"/>
      <c r="R378" s="100"/>
      <c r="S378" s="100"/>
      <c r="T378" s="100"/>
      <c r="U378" s="100"/>
      <c r="V378" s="100"/>
      <c r="W378" s="100"/>
    </row>
    <row r="379" spans="1:23" ht="13.5" customHeight="1" thickBot="1">
      <c r="A379" s="217"/>
      <c r="B379" s="217"/>
      <c r="C379" s="256"/>
      <c r="D379" s="233"/>
      <c r="E379" s="201"/>
      <c r="F379" s="100"/>
      <c r="G379" s="100"/>
      <c r="H379" s="100"/>
      <c r="I379" s="100"/>
      <c r="J379" s="100"/>
      <c r="K379" s="100"/>
      <c r="L379" s="100"/>
      <c r="M379" s="100"/>
      <c r="N379" s="100"/>
      <c r="O379" s="100"/>
      <c r="P379" s="100"/>
      <c r="Q379" s="100"/>
      <c r="R379" s="100"/>
      <c r="S379" s="100"/>
      <c r="T379" s="100"/>
      <c r="U379" s="100"/>
      <c r="V379" s="100"/>
      <c r="W379" s="100"/>
    </row>
    <row r="380" spans="1:23" ht="13.5" customHeight="1" thickBot="1">
      <c r="A380" s="1305" t="s">
        <v>9</v>
      </c>
      <c r="B380" s="1281"/>
      <c r="C380" s="257">
        <f>C381+C383+C386+C389+C391+C394+C402+C405</f>
        <v>15253500</v>
      </c>
      <c r="D380" s="233"/>
      <c r="E380" s="201"/>
      <c r="F380" s="100"/>
      <c r="G380" s="100"/>
      <c r="H380" s="100"/>
      <c r="I380" s="100"/>
      <c r="J380" s="100"/>
      <c r="K380" s="100"/>
      <c r="L380" s="100"/>
      <c r="M380" s="100"/>
      <c r="N380" s="100"/>
      <c r="O380" s="100"/>
      <c r="P380" s="100"/>
      <c r="Q380" s="100"/>
      <c r="R380" s="100"/>
      <c r="S380" s="100"/>
      <c r="T380" s="100"/>
      <c r="U380" s="100"/>
      <c r="V380" s="100"/>
      <c r="W380" s="100"/>
    </row>
    <row r="381" spans="1:23" ht="13.5" customHeight="1">
      <c r="A381" s="76">
        <v>211201</v>
      </c>
      <c r="B381" s="76" t="s">
        <v>459</v>
      </c>
      <c r="C381" s="249">
        <f>SUM(C382)</f>
        <v>2038000</v>
      </c>
      <c r="D381" s="233"/>
      <c r="E381" s="201"/>
      <c r="F381" s="100"/>
      <c r="G381" s="100"/>
      <c r="H381" s="100"/>
      <c r="I381" s="100"/>
      <c r="J381" s="100"/>
      <c r="K381" s="100"/>
      <c r="L381" s="100"/>
      <c r="M381" s="100"/>
      <c r="N381" s="100"/>
      <c r="O381" s="100"/>
      <c r="P381" s="100"/>
      <c r="Q381" s="100"/>
      <c r="R381" s="100"/>
      <c r="S381" s="100"/>
      <c r="T381" s="100"/>
      <c r="U381" s="100"/>
      <c r="V381" s="100"/>
      <c r="W381" s="100"/>
    </row>
    <row r="382" spans="1:23" ht="13.5" customHeight="1">
      <c r="A382" s="154">
        <v>21120101</v>
      </c>
      <c r="B382" s="77" t="s">
        <v>460</v>
      </c>
      <c r="C382" s="224">
        <v>2038000</v>
      </c>
      <c r="D382" s="233"/>
      <c r="E382" s="201"/>
      <c r="F382" s="100"/>
      <c r="G382" s="100"/>
      <c r="H382" s="100"/>
      <c r="I382" s="100"/>
      <c r="J382" s="100"/>
      <c r="K382" s="100"/>
      <c r="L382" s="100"/>
      <c r="M382" s="100"/>
      <c r="N382" s="100"/>
      <c r="O382" s="100"/>
      <c r="P382" s="100"/>
      <c r="Q382" s="100"/>
      <c r="R382" s="100"/>
      <c r="S382" s="100"/>
      <c r="T382" s="100"/>
      <c r="U382" s="100"/>
      <c r="V382" s="100"/>
      <c r="W382" s="100"/>
    </row>
    <row r="383" spans="1:23" ht="13.5" customHeight="1">
      <c r="A383" s="76">
        <v>211202</v>
      </c>
      <c r="B383" s="76" t="s">
        <v>529</v>
      </c>
      <c r="C383" s="36">
        <f>+SUM(C384:C385)</f>
        <v>127500</v>
      </c>
      <c r="D383" s="233"/>
      <c r="E383" s="201"/>
      <c r="F383" s="100"/>
      <c r="G383" s="100"/>
      <c r="H383" s="100"/>
      <c r="I383" s="100"/>
      <c r="J383" s="100"/>
      <c r="K383" s="100"/>
      <c r="L383" s="100"/>
      <c r="M383" s="100"/>
      <c r="N383" s="100"/>
      <c r="O383" s="100"/>
      <c r="P383" s="100"/>
      <c r="Q383" s="100"/>
      <c r="R383" s="100"/>
      <c r="S383" s="100"/>
      <c r="T383" s="100"/>
      <c r="U383" s="100"/>
      <c r="V383" s="100"/>
      <c r="W383" s="100"/>
    </row>
    <row r="384" spans="1:23" ht="13.5" customHeight="1">
      <c r="A384" s="154">
        <v>21120201</v>
      </c>
      <c r="B384" s="77" t="s">
        <v>540</v>
      </c>
      <c r="C384" s="72">
        <v>47500</v>
      </c>
      <c r="D384" s="233"/>
      <c r="E384" s="201"/>
      <c r="F384" s="100"/>
      <c r="G384" s="100"/>
      <c r="H384" s="100"/>
      <c r="I384" s="100"/>
      <c r="J384" s="100"/>
      <c r="K384" s="100"/>
      <c r="L384" s="100"/>
      <c r="M384" s="100"/>
      <c r="N384" s="100"/>
      <c r="O384" s="100"/>
      <c r="P384" s="100"/>
      <c r="Q384" s="100"/>
      <c r="R384" s="100"/>
      <c r="S384" s="100"/>
      <c r="T384" s="100"/>
      <c r="U384" s="100"/>
      <c r="V384" s="100"/>
      <c r="W384" s="100"/>
    </row>
    <row r="385" spans="1:23" ht="13.5" customHeight="1">
      <c r="A385" s="154">
        <v>21120202</v>
      </c>
      <c r="B385" s="77" t="s">
        <v>530</v>
      </c>
      <c r="C385" s="72">
        <v>80000</v>
      </c>
      <c r="D385" s="233"/>
      <c r="E385" s="201"/>
      <c r="F385" s="100"/>
      <c r="G385" s="100"/>
      <c r="H385" s="100"/>
      <c r="I385" s="100"/>
      <c r="J385" s="100"/>
      <c r="K385" s="100"/>
      <c r="L385" s="100"/>
      <c r="M385" s="100"/>
      <c r="N385" s="100"/>
      <c r="O385" s="100"/>
      <c r="P385" s="100"/>
      <c r="Q385" s="100"/>
      <c r="R385" s="100"/>
      <c r="S385" s="100"/>
      <c r="T385" s="100"/>
      <c r="U385" s="100"/>
      <c r="V385" s="100"/>
      <c r="W385" s="100"/>
    </row>
    <row r="386" spans="1:23" ht="13.5" customHeight="1">
      <c r="A386" s="76">
        <v>211203</v>
      </c>
      <c r="B386" s="217" t="s">
        <v>461</v>
      </c>
      <c r="C386" s="256">
        <f>+SUM(C387:C388)</f>
        <v>292000</v>
      </c>
      <c r="D386" s="233"/>
      <c r="E386" s="201"/>
      <c r="F386" s="100"/>
      <c r="G386" s="100"/>
      <c r="H386" s="100"/>
      <c r="I386" s="100"/>
      <c r="J386" s="100"/>
      <c r="K386" s="100"/>
      <c r="L386" s="100"/>
      <c r="M386" s="100"/>
      <c r="N386" s="100"/>
      <c r="O386" s="100"/>
      <c r="P386" s="100"/>
      <c r="Q386" s="100"/>
      <c r="R386" s="100"/>
      <c r="S386" s="100"/>
      <c r="T386" s="100"/>
      <c r="U386" s="100"/>
      <c r="V386" s="100"/>
      <c r="W386" s="100"/>
    </row>
    <row r="387" spans="1:23" ht="13.5" customHeight="1">
      <c r="A387" s="154">
        <v>21120301</v>
      </c>
      <c r="B387" s="77" t="s">
        <v>527</v>
      </c>
      <c r="C387" s="72">
        <v>150000</v>
      </c>
      <c r="D387" s="233"/>
      <c r="E387" s="201"/>
      <c r="F387" s="100"/>
      <c r="G387" s="100"/>
      <c r="H387" s="100"/>
      <c r="I387" s="100"/>
      <c r="J387" s="100"/>
      <c r="K387" s="100"/>
      <c r="L387" s="100"/>
      <c r="M387" s="100"/>
      <c r="N387" s="100"/>
      <c r="O387" s="100"/>
      <c r="P387" s="100"/>
      <c r="Q387" s="100"/>
      <c r="R387" s="100"/>
      <c r="S387" s="100"/>
      <c r="T387" s="100"/>
      <c r="U387" s="100"/>
      <c r="V387" s="100"/>
      <c r="W387" s="100"/>
    </row>
    <row r="388" spans="1:23" ht="13.5" customHeight="1">
      <c r="A388" s="154">
        <v>21120302</v>
      </c>
      <c r="B388" s="77" t="s">
        <v>462</v>
      </c>
      <c r="C388" s="72">
        <v>142000</v>
      </c>
      <c r="D388" s="233"/>
      <c r="E388" s="201"/>
      <c r="F388" s="100"/>
      <c r="G388" s="100"/>
      <c r="H388" s="100"/>
      <c r="I388" s="100"/>
      <c r="J388" s="100"/>
      <c r="K388" s="100"/>
      <c r="L388" s="100"/>
      <c r="M388" s="100"/>
      <c r="N388" s="100"/>
      <c r="O388" s="100"/>
      <c r="P388" s="100"/>
      <c r="Q388" s="100"/>
      <c r="R388" s="100"/>
      <c r="S388" s="100"/>
      <c r="T388" s="100"/>
      <c r="U388" s="100"/>
      <c r="V388" s="100"/>
      <c r="W388" s="100"/>
    </row>
    <row r="389" spans="1:23" ht="13.5" customHeight="1">
      <c r="A389" s="76">
        <v>211204</v>
      </c>
      <c r="B389" s="217" t="s">
        <v>463</v>
      </c>
      <c r="C389" s="36">
        <f>C390</f>
        <v>2267000</v>
      </c>
      <c r="D389" s="233"/>
      <c r="E389" s="201"/>
      <c r="F389" s="100"/>
      <c r="G389" s="100"/>
      <c r="H389" s="100"/>
      <c r="I389" s="100"/>
      <c r="J389" s="100"/>
      <c r="K389" s="100"/>
      <c r="L389" s="100"/>
      <c r="M389" s="100"/>
      <c r="N389" s="100"/>
      <c r="O389" s="100"/>
      <c r="P389" s="100"/>
      <c r="Q389" s="100"/>
      <c r="R389" s="100"/>
      <c r="S389" s="100"/>
      <c r="T389" s="100"/>
      <c r="U389" s="100"/>
      <c r="V389" s="100"/>
      <c r="W389" s="100"/>
    </row>
    <row r="390" spans="1:23" ht="13.5" customHeight="1">
      <c r="A390" s="154">
        <v>21120401</v>
      </c>
      <c r="B390" s="77" t="s">
        <v>464</v>
      </c>
      <c r="C390" s="224">
        <v>2267000</v>
      </c>
      <c r="D390" s="233"/>
      <c r="E390" s="201"/>
      <c r="F390" s="100"/>
      <c r="G390" s="100"/>
      <c r="H390" s="100"/>
      <c r="I390" s="100"/>
      <c r="J390" s="100"/>
      <c r="K390" s="100"/>
      <c r="L390" s="100"/>
      <c r="M390" s="100"/>
      <c r="N390" s="100"/>
      <c r="O390" s="100"/>
      <c r="P390" s="100"/>
      <c r="Q390" s="100"/>
      <c r="R390" s="100"/>
      <c r="S390" s="100"/>
      <c r="T390" s="100"/>
      <c r="U390" s="100"/>
      <c r="V390" s="100"/>
      <c r="W390" s="100"/>
    </row>
    <row r="391" spans="1:23" ht="13.5" customHeight="1">
      <c r="A391" s="76">
        <v>211205</v>
      </c>
      <c r="B391" s="36" t="s">
        <v>465</v>
      </c>
      <c r="C391" s="256">
        <f>+SUM(C392:C393)</f>
        <v>2320000</v>
      </c>
      <c r="D391" s="233"/>
      <c r="E391" s="201"/>
      <c r="F391" s="100"/>
      <c r="G391" s="100"/>
      <c r="H391" s="100"/>
      <c r="I391" s="100"/>
      <c r="J391" s="100"/>
      <c r="K391" s="100"/>
      <c r="L391" s="100"/>
      <c r="M391" s="100"/>
      <c r="N391" s="100"/>
      <c r="O391" s="100"/>
      <c r="P391" s="100"/>
      <c r="Q391" s="100"/>
      <c r="R391" s="100"/>
      <c r="S391" s="100"/>
      <c r="T391" s="100"/>
      <c r="U391" s="100"/>
      <c r="V391" s="100"/>
      <c r="W391" s="100"/>
    </row>
    <row r="392" spans="1:23" ht="13.5" customHeight="1">
      <c r="A392" s="154">
        <v>21120501</v>
      </c>
      <c r="B392" s="77" t="s">
        <v>466</v>
      </c>
      <c r="C392" s="224">
        <v>2020000</v>
      </c>
      <c r="D392" s="233"/>
      <c r="E392" s="201"/>
      <c r="F392" s="100"/>
      <c r="G392" s="100"/>
      <c r="H392" s="100"/>
      <c r="I392" s="100"/>
      <c r="J392" s="100"/>
      <c r="K392" s="100"/>
      <c r="L392" s="100"/>
      <c r="M392" s="100"/>
      <c r="N392" s="100"/>
      <c r="O392" s="100"/>
      <c r="P392" s="100"/>
      <c r="Q392" s="100"/>
      <c r="R392" s="100"/>
      <c r="S392" s="100"/>
      <c r="T392" s="100"/>
      <c r="U392" s="100"/>
      <c r="V392" s="100"/>
      <c r="W392" s="100"/>
    </row>
    <row r="393" spans="1:23" ht="13.5" customHeight="1">
      <c r="A393" s="154">
        <v>21120502</v>
      </c>
      <c r="B393" s="77" t="s">
        <v>580</v>
      </c>
      <c r="C393" s="224">
        <v>300000</v>
      </c>
      <c r="D393" s="233"/>
      <c r="E393" s="201"/>
      <c r="F393" s="100"/>
      <c r="G393" s="100"/>
      <c r="H393" s="100"/>
      <c r="I393" s="100"/>
      <c r="J393" s="100"/>
      <c r="K393" s="100"/>
      <c r="L393" s="100"/>
      <c r="M393" s="100"/>
      <c r="N393" s="100"/>
      <c r="O393" s="100"/>
      <c r="P393" s="100"/>
      <c r="Q393" s="100"/>
      <c r="R393" s="100"/>
      <c r="S393" s="100"/>
      <c r="T393" s="100"/>
      <c r="U393" s="100"/>
      <c r="V393" s="100"/>
      <c r="W393" s="100"/>
    </row>
    <row r="394" spans="1:23" ht="13.5" customHeight="1">
      <c r="A394" s="76">
        <v>211207</v>
      </c>
      <c r="B394" s="848" t="s">
        <v>467</v>
      </c>
      <c r="C394" s="256">
        <f>+SUM(C395:C401)</f>
        <v>4333000</v>
      </c>
      <c r="D394" s="233"/>
      <c r="E394" s="201"/>
      <c r="F394" s="100"/>
      <c r="G394" s="100"/>
      <c r="H394" s="100"/>
      <c r="I394" s="100"/>
      <c r="J394" s="100"/>
      <c r="K394" s="100"/>
      <c r="L394" s="100"/>
      <c r="M394" s="100"/>
      <c r="N394" s="100"/>
      <c r="O394" s="100"/>
      <c r="P394" s="100"/>
      <c r="Q394" s="100"/>
      <c r="R394" s="100"/>
      <c r="S394" s="100"/>
      <c r="T394" s="100"/>
      <c r="U394" s="100"/>
      <c r="V394" s="100"/>
      <c r="W394" s="100"/>
    </row>
    <row r="395" spans="1:23" ht="13.5" customHeight="1">
      <c r="A395" s="154">
        <v>21120701</v>
      </c>
      <c r="B395" s="77" t="s">
        <v>541</v>
      </c>
      <c r="C395" s="224">
        <v>735000</v>
      </c>
      <c r="D395" s="233"/>
      <c r="E395" s="201"/>
      <c r="F395" s="100"/>
      <c r="G395" s="100"/>
      <c r="H395" s="100"/>
      <c r="I395" s="100"/>
      <c r="J395" s="100"/>
      <c r="K395" s="100"/>
      <c r="L395" s="100"/>
      <c r="M395" s="100"/>
      <c r="N395" s="100"/>
      <c r="O395" s="100"/>
      <c r="P395" s="100"/>
      <c r="Q395" s="100"/>
      <c r="R395" s="100"/>
      <c r="S395" s="100"/>
      <c r="T395" s="100"/>
      <c r="U395" s="100"/>
      <c r="V395" s="100"/>
      <c r="W395" s="100"/>
    </row>
    <row r="396" spans="1:23" ht="13.5" customHeight="1">
      <c r="A396" s="154">
        <v>21120704</v>
      </c>
      <c r="B396" s="77" t="s">
        <v>469</v>
      </c>
      <c r="C396" s="224">
        <v>1264000</v>
      </c>
      <c r="D396" s="233"/>
      <c r="E396" s="201"/>
      <c r="F396" s="100"/>
      <c r="G396" s="100"/>
      <c r="H396" s="100"/>
      <c r="I396" s="100"/>
      <c r="J396" s="100"/>
      <c r="K396" s="100"/>
      <c r="L396" s="100"/>
      <c r="M396" s="100"/>
      <c r="N396" s="100"/>
      <c r="O396" s="100"/>
      <c r="P396" s="100"/>
      <c r="Q396" s="100"/>
      <c r="R396" s="100"/>
      <c r="S396" s="100"/>
      <c r="T396" s="100"/>
      <c r="U396" s="100"/>
      <c r="V396" s="100"/>
      <c r="W396" s="100"/>
    </row>
    <row r="397" spans="1:23" ht="13.5" customHeight="1">
      <c r="A397" s="154">
        <v>21120706</v>
      </c>
      <c r="B397" s="77" t="s">
        <v>542</v>
      </c>
      <c r="C397" s="224">
        <v>548000</v>
      </c>
      <c r="D397" s="233"/>
      <c r="E397" s="201"/>
      <c r="F397" s="100"/>
      <c r="G397" s="100"/>
      <c r="H397" s="100"/>
      <c r="I397" s="100"/>
      <c r="J397" s="100"/>
      <c r="K397" s="100"/>
      <c r="L397" s="100"/>
      <c r="M397" s="100"/>
      <c r="N397" s="100"/>
      <c r="O397" s="100"/>
      <c r="P397" s="100"/>
      <c r="Q397" s="100"/>
      <c r="R397" s="100"/>
      <c r="S397" s="100"/>
      <c r="T397" s="100"/>
      <c r="U397" s="100"/>
      <c r="V397" s="100"/>
      <c r="W397" s="100"/>
    </row>
    <row r="398" spans="1:23" ht="13.5" customHeight="1">
      <c r="A398" s="154">
        <v>21120708</v>
      </c>
      <c r="B398" s="77" t="s">
        <v>470</v>
      </c>
      <c r="C398" s="224">
        <v>549500</v>
      </c>
      <c r="D398" s="233"/>
      <c r="E398" s="201"/>
      <c r="F398" s="100"/>
      <c r="G398" s="100"/>
      <c r="H398" s="100"/>
      <c r="I398" s="100"/>
      <c r="J398" s="100"/>
      <c r="K398" s="100"/>
      <c r="L398" s="100"/>
      <c r="M398" s="100"/>
      <c r="N398" s="100"/>
      <c r="O398" s="100"/>
      <c r="P398" s="100"/>
      <c r="Q398" s="100"/>
      <c r="R398" s="100"/>
      <c r="S398" s="100"/>
      <c r="T398" s="100"/>
      <c r="U398" s="100"/>
      <c r="V398" s="100"/>
      <c r="W398" s="100"/>
    </row>
    <row r="399" spans="1:23" ht="13.5" customHeight="1">
      <c r="A399" s="154">
        <v>21120709</v>
      </c>
      <c r="B399" s="72" t="s">
        <v>471</v>
      </c>
      <c r="C399" s="72">
        <v>545500</v>
      </c>
      <c r="D399" s="233"/>
      <c r="E399" s="201"/>
      <c r="F399" s="100"/>
      <c r="G399" s="100"/>
      <c r="H399" s="100"/>
      <c r="I399" s="100"/>
      <c r="J399" s="100"/>
      <c r="K399" s="100"/>
      <c r="L399" s="100"/>
      <c r="M399" s="100"/>
      <c r="N399" s="100"/>
      <c r="O399" s="100"/>
      <c r="P399" s="100"/>
      <c r="Q399" s="100"/>
      <c r="R399" s="100"/>
      <c r="S399" s="100"/>
      <c r="T399" s="100"/>
      <c r="U399" s="100"/>
      <c r="V399" s="100"/>
      <c r="W399" s="100"/>
    </row>
    <row r="400" spans="1:23" ht="13.5" customHeight="1">
      <c r="A400" s="154">
        <v>21120710</v>
      </c>
      <c r="B400" s="72" t="s">
        <v>472</v>
      </c>
      <c r="C400" s="72">
        <v>182000</v>
      </c>
      <c r="D400" s="233"/>
      <c r="E400" s="201"/>
      <c r="F400" s="100"/>
      <c r="G400" s="100"/>
      <c r="H400" s="100"/>
      <c r="I400" s="100"/>
      <c r="J400" s="100"/>
      <c r="K400" s="100"/>
      <c r="L400" s="100"/>
      <c r="M400" s="100"/>
      <c r="N400" s="100"/>
      <c r="O400" s="100"/>
      <c r="P400" s="100"/>
      <c r="Q400" s="100"/>
      <c r="R400" s="100"/>
      <c r="S400" s="100"/>
      <c r="T400" s="100"/>
      <c r="U400" s="100"/>
      <c r="V400" s="100"/>
      <c r="W400" s="100"/>
    </row>
    <row r="401" spans="1:23" ht="13.5" customHeight="1">
      <c r="A401" s="154">
        <v>21120711</v>
      </c>
      <c r="B401" s="72" t="s">
        <v>473</v>
      </c>
      <c r="C401" s="72">
        <v>509000</v>
      </c>
      <c r="D401" s="233"/>
      <c r="E401" s="201"/>
      <c r="F401" s="100"/>
      <c r="G401" s="100"/>
      <c r="H401" s="100"/>
      <c r="I401" s="100"/>
      <c r="J401" s="100"/>
      <c r="K401" s="100"/>
      <c r="L401" s="100"/>
      <c r="M401" s="100"/>
      <c r="N401" s="100"/>
      <c r="O401" s="100"/>
      <c r="P401" s="100"/>
      <c r="Q401" s="100"/>
      <c r="R401" s="100"/>
      <c r="S401" s="100"/>
      <c r="T401" s="100"/>
      <c r="U401" s="100"/>
      <c r="V401" s="100"/>
      <c r="W401" s="100"/>
    </row>
    <row r="402" spans="1:23" ht="13.5" customHeight="1">
      <c r="A402" s="76">
        <v>211208</v>
      </c>
      <c r="B402" s="217" t="s">
        <v>474</v>
      </c>
      <c r="C402" s="256">
        <f>+SUM(C403:C404)</f>
        <v>1415500</v>
      </c>
      <c r="D402" s="233"/>
      <c r="E402" s="201"/>
      <c r="F402" s="100"/>
      <c r="G402" s="100"/>
      <c r="H402" s="100"/>
      <c r="I402" s="100"/>
      <c r="J402" s="100"/>
      <c r="K402" s="100"/>
      <c r="L402" s="100"/>
      <c r="M402" s="100"/>
      <c r="N402" s="100"/>
      <c r="O402" s="100"/>
      <c r="P402" s="100"/>
      <c r="Q402" s="100"/>
      <c r="R402" s="100"/>
      <c r="S402" s="100"/>
      <c r="T402" s="100"/>
      <c r="U402" s="100"/>
      <c r="V402" s="100"/>
      <c r="W402" s="100"/>
    </row>
    <row r="403" spans="1:23" ht="13.5" customHeight="1">
      <c r="A403" s="154">
        <v>21120801</v>
      </c>
      <c r="B403" s="77" t="s">
        <v>475</v>
      </c>
      <c r="C403" s="224">
        <v>1060000</v>
      </c>
      <c r="D403" s="233"/>
      <c r="E403" s="201"/>
      <c r="F403" s="100"/>
      <c r="G403" s="100"/>
      <c r="H403" s="100"/>
      <c r="I403" s="100"/>
      <c r="J403" s="100"/>
      <c r="K403" s="100"/>
      <c r="L403" s="100"/>
      <c r="M403" s="100"/>
      <c r="N403" s="100"/>
      <c r="O403" s="100"/>
      <c r="P403" s="100"/>
      <c r="Q403" s="100"/>
      <c r="R403" s="100"/>
      <c r="S403" s="100"/>
      <c r="T403" s="100"/>
      <c r="U403" s="100"/>
      <c r="V403" s="100"/>
      <c r="W403" s="100"/>
    </row>
    <row r="404" spans="1:23" ht="13.5" customHeight="1">
      <c r="A404" s="154">
        <v>21120805</v>
      </c>
      <c r="B404" s="77" t="s">
        <v>476</v>
      </c>
      <c r="C404" s="224">
        <v>355500</v>
      </c>
      <c r="D404" s="233"/>
      <c r="E404" s="201"/>
      <c r="F404" s="100"/>
      <c r="G404" s="100"/>
      <c r="H404" s="100"/>
      <c r="I404" s="100"/>
      <c r="J404" s="100"/>
      <c r="K404" s="100"/>
      <c r="L404" s="100"/>
      <c r="M404" s="100"/>
      <c r="N404" s="100"/>
      <c r="O404" s="100"/>
      <c r="P404" s="100"/>
      <c r="Q404" s="100"/>
      <c r="R404" s="100"/>
      <c r="S404" s="100"/>
      <c r="T404" s="100"/>
      <c r="U404" s="100"/>
      <c r="V404" s="100"/>
      <c r="W404" s="100"/>
    </row>
    <row r="405" spans="1:23" ht="13.5" customHeight="1">
      <c r="A405" s="76">
        <v>211209</v>
      </c>
      <c r="B405" s="36" t="s">
        <v>477</v>
      </c>
      <c r="C405" s="256">
        <f>+SUM(C406:C409)</f>
        <v>2460500</v>
      </c>
      <c r="D405" s="233"/>
      <c r="E405" s="201"/>
      <c r="F405" s="100"/>
      <c r="G405" s="100"/>
      <c r="H405" s="100"/>
      <c r="I405" s="100"/>
      <c r="J405" s="100"/>
      <c r="K405" s="100"/>
      <c r="L405" s="100"/>
      <c r="M405" s="100"/>
      <c r="N405" s="100"/>
      <c r="O405" s="100"/>
      <c r="P405" s="100"/>
      <c r="Q405" s="100"/>
      <c r="R405" s="100"/>
      <c r="S405" s="100"/>
      <c r="T405" s="100"/>
      <c r="U405" s="100"/>
      <c r="V405" s="100"/>
      <c r="W405" s="100"/>
    </row>
    <row r="406" spans="1:23" ht="13.5" customHeight="1">
      <c r="A406" s="154">
        <v>21120901</v>
      </c>
      <c r="B406" s="77" t="s">
        <v>478</v>
      </c>
      <c r="C406" s="224">
        <v>1097500</v>
      </c>
      <c r="D406" s="233"/>
      <c r="E406" s="201"/>
      <c r="F406" s="100"/>
      <c r="G406" s="100"/>
      <c r="H406" s="100"/>
      <c r="I406" s="100"/>
      <c r="J406" s="100"/>
      <c r="K406" s="100"/>
      <c r="L406" s="100"/>
      <c r="M406" s="100"/>
      <c r="N406" s="100"/>
      <c r="O406" s="100"/>
      <c r="P406" s="100"/>
      <c r="Q406" s="100"/>
      <c r="R406" s="100"/>
      <c r="S406" s="100"/>
      <c r="T406" s="100"/>
      <c r="U406" s="100"/>
      <c r="V406" s="100"/>
      <c r="W406" s="100"/>
    </row>
    <row r="407" spans="1:23" ht="13.5" customHeight="1">
      <c r="A407" s="154">
        <v>21120905</v>
      </c>
      <c r="B407" s="77" t="s">
        <v>525</v>
      </c>
      <c r="C407" s="224">
        <v>456500</v>
      </c>
      <c r="D407" s="233"/>
      <c r="E407" s="201"/>
      <c r="F407" s="100"/>
      <c r="G407" s="100"/>
      <c r="H407" s="100"/>
      <c r="I407" s="100"/>
      <c r="J407" s="100"/>
      <c r="K407" s="100"/>
      <c r="L407" s="100"/>
      <c r="M407" s="100"/>
      <c r="N407" s="100"/>
      <c r="O407" s="100"/>
      <c r="P407" s="100"/>
      <c r="Q407" s="100"/>
      <c r="R407" s="100"/>
      <c r="S407" s="100"/>
      <c r="T407" s="100"/>
      <c r="U407" s="100"/>
      <c r="V407" s="100"/>
      <c r="W407" s="100"/>
    </row>
    <row r="408" spans="1:23" ht="13.5" customHeight="1">
      <c r="A408" s="154">
        <v>21120906</v>
      </c>
      <c r="B408" s="77" t="s">
        <v>479</v>
      </c>
      <c r="C408" s="224">
        <v>250000</v>
      </c>
      <c r="D408" s="233"/>
      <c r="E408" s="201"/>
      <c r="F408" s="100"/>
      <c r="G408" s="100"/>
      <c r="H408" s="100"/>
      <c r="I408" s="100"/>
      <c r="J408" s="100"/>
      <c r="K408" s="100"/>
      <c r="L408" s="100"/>
      <c r="M408" s="100"/>
      <c r="N408" s="100"/>
      <c r="O408" s="100"/>
      <c r="P408" s="100"/>
      <c r="Q408" s="100"/>
      <c r="R408" s="100"/>
      <c r="S408" s="100"/>
      <c r="T408" s="100"/>
      <c r="U408" s="100"/>
      <c r="V408" s="100"/>
      <c r="W408" s="100"/>
    </row>
    <row r="409" spans="1:23" ht="13.5" customHeight="1">
      <c r="A409" s="154">
        <v>21120907</v>
      </c>
      <c r="B409" s="77" t="s">
        <v>480</v>
      </c>
      <c r="C409" s="72">
        <v>656500</v>
      </c>
      <c r="D409" s="233"/>
      <c r="E409" s="201"/>
      <c r="F409" s="100"/>
      <c r="G409" s="100"/>
      <c r="H409" s="100"/>
      <c r="I409" s="100"/>
      <c r="J409" s="100"/>
      <c r="K409" s="100"/>
      <c r="L409" s="100"/>
      <c r="M409" s="100"/>
      <c r="N409" s="100"/>
      <c r="O409" s="100"/>
      <c r="P409" s="100"/>
      <c r="Q409" s="100"/>
      <c r="R409" s="100"/>
      <c r="S409" s="100"/>
      <c r="T409" s="100"/>
      <c r="U409" s="100"/>
      <c r="V409" s="100"/>
      <c r="W409" s="100"/>
    </row>
    <row r="410" spans="1:23" ht="13.5" customHeight="1" thickBot="1">
      <c r="A410" s="100"/>
      <c r="B410" s="77"/>
      <c r="C410" s="224"/>
      <c r="D410" s="233"/>
      <c r="E410" s="201"/>
      <c r="F410" s="100"/>
      <c r="G410" s="100"/>
      <c r="H410" s="100"/>
      <c r="I410" s="100"/>
      <c r="J410" s="100"/>
      <c r="K410" s="100"/>
      <c r="L410" s="100"/>
      <c r="M410" s="100"/>
      <c r="N410" s="100"/>
      <c r="O410" s="100"/>
      <c r="P410" s="100"/>
      <c r="Q410" s="100"/>
      <c r="R410" s="100"/>
      <c r="S410" s="100"/>
      <c r="T410" s="100"/>
      <c r="U410" s="100"/>
      <c r="V410" s="100"/>
      <c r="W410" s="100"/>
    </row>
    <row r="411" spans="1:23" ht="13.5" customHeight="1" thickBot="1">
      <c r="A411" s="1306" t="s">
        <v>4</v>
      </c>
      <c r="B411" s="1281"/>
      <c r="C411" s="258">
        <f>C412+C415+C419+C422+C424</f>
        <v>65790265.649999999</v>
      </c>
      <c r="D411" s="233"/>
      <c r="E411" s="201"/>
      <c r="F411" s="100"/>
      <c r="G411" s="100"/>
      <c r="H411" s="100"/>
      <c r="I411" s="100"/>
      <c r="J411" s="100"/>
      <c r="K411" s="100"/>
      <c r="L411" s="100"/>
      <c r="M411" s="100"/>
      <c r="N411" s="100"/>
      <c r="O411" s="100"/>
      <c r="P411" s="100"/>
      <c r="Q411" s="100"/>
      <c r="R411" s="100"/>
      <c r="S411" s="100"/>
      <c r="T411" s="100"/>
      <c r="U411" s="100"/>
      <c r="V411" s="100"/>
      <c r="W411" s="100"/>
    </row>
    <row r="412" spans="1:23" ht="13.5" customHeight="1">
      <c r="A412" s="241">
        <v>211302</v>
      </c>
      <c r="B412" s="76" t="s">
        <v>481</v>
      </c>
      <c r="C412" s="249">
        <f>SUM(C413:C414)</f>
        <v>17108000</v>
      </c>
      <c r="D412" s="233"/>
      <c r="E412" s="201"/>
      <c r="F412" s="100"/>
      <c r="G412" s="100"/>
      <c r="H412" s="100"/>
      <c r="I412" s="100"/>
      <c r="J412" s="100"/>
      <c r="K412" s="100"/>
      <c r="L412" s="100"/>
      <c r="M412" s="100"/>
      <c r="N412" s="100"/>
      <c r="O412" s="100"/>
      <c r="P412" s="100"/>
      <c r="Q412" s="100"/>
      <c r="R412" s="100"/>
      <c r="S412" s="100"/>
      <c r="T412" s="100"/>
      <c r="U412" s="100"/>
      <c r="V412" s="100"/>
      <c r="W412" s="100"/>
    </row>
    <row r="413" spans="1:23" ht="13.5" customHeight="1">
      <c r="A413" s="233">
        <v>21130201</v>
      </c>
      <c r="B413" s="154" t="s">
        <v>482</v>
      </c>
      <c r="C413" s="224">
        <f>3000000+11031000</f>
        <v>14031000</v>
      </c>
      <c r="D413" s="233"/>
      <c r="E413" s="201"/>
      <c r="F413" s="100"/>
      <c r="G413" s="100"/>
      <c r="H413" s="100"/>
      <c r="I413" s="100"/>
      <c r="J413" s="100"/>
      <c r="K413" s="100"/>
      <c r="L413" s="100"/>
      <c r="M413" s="100"/>
      <c r="N413" s="100"/>
      <c r="O413" s="100"/>
      <c r="P413" s="100"/>
      <c r="Q413" s="100"/>
      <c r="R413" s="100"/>
      <c r="S413" s="100"/>
      <c r="T413" s="100"/>
      <c r="U413" s="100"/>
      <c r="V413" s="100"/>
      <c r="W413" s="100"/>
    </row>
    <row r="414" spans="1:23" ht="13.5" customHeight="1">
      <c r="A414" s="233">
        <v>21130204</v>
      </c>
      <c r="B414" s="77" t="s">
        <v>483</v>
      </c>
      <c r="C414" s="224">
        <f>3000000+77000</f>
        <v>3077000</v>
      </c>
      <c r="D414" s="233"/>
      <c r="E414" s="201"/>
      <c r="F414" s="100"/>
      <c r="G414" s="100"/>
      <c r="H414" s="100"/>
      <c r="I414" s="100"/>
      <c r="J414" s="100"/>
      <c r="K414" s="100"/>
      <c r="L414" s="100"/>
      <c r="M414" s="100"/>
      <c r="N414" s="100"/>
      <c r="O414" s="100"/>
      <c r="P414" s="100"/>
      <c r="Q414" s="100"/>
      <c r="R414" s="100"/>
      <c r="S414" s="100"/>
      <c r="T414" s="100"/>
      <c r="U414" s="100"/>
      <c r="V414" s="100"/>
      <c r="W414" s="100"/>
    </row>
    <row r="415" spans="1:23" ht="13.5" customHeight="1">
      <c r="A415" s="241">
        <v>211303</v>
      </c>
      <c r="B415" s="217" t="s">
        <v>484</v>
      </c>
      <c r="C415" s="36">
        <f>+SUM(C416:C418)</f>
        <v>13168000</v>
      </c>
      <c r="D415" s="233"/>
      <c r="E415" s="201"/>
      <c r="F415" s="100"/>
      <c r="G415" s="100"/>
      <c r="H415" s="100"/>
      <c r="I415" s="100"/>
      <c r="J415" s="100"/>
      <c r="K415" s="100"/>
      <c r="L415" s="100"/>
      <c r="M415" s="100"/>
      <c r="N415" s="100"/>
      <c r="O415" s="100"/>
      <c r="P415" s="100"/>
      <c r="Q415" s="100"/>
      <c r="R415" s="100"/>
      <c r="S415" s="100"/>
      <c r="T415" s="100"/>
      <c r="U415" s="100"/>
      <c r="V415" s="100"/>
      <c r="W415" s="100"/>
    </row>
    <row r="416" spans="1:23" ht="13.5" customHeight="1">
      <c r="A416" s="233">
        <v>21130302</v>
      </c>
      <c r="B416" s="77" t="s">
        <v>520</v>
      </c>
      <c r="C416" s="72">
        <v>40000</v>
      </c>
      <c r="D416" s="233"/>
      <c r="E416" s="201"/>
      <c r="F416" s="100"/>
      <c r="G416" s="100"/>
      <c r="H416" s="100"/>
      <c r="I416" s="100"/>
      <c r="J416" s="100"/>
      <c r="K416" s="100"/>
      <c r="L416" s="100"/>
      <c r="M416" s="100"/>
      <c r="N416" s="100"/>
      <c r="O416" s="100"/>
      <c r="P416" s="100"/>
      <c r="Q416" s="100"/>
      <c r="R416" s="100"/>
      <c r="S416" s="100"/>
      <c r="T416" s="100"/>
      <c r="U416" s="100"/>
      <c r="V416" s="100"/>
      <c r="W416" s="100"/>
    </row>
    <row r="417" spans="1:23" ht="13.5" customHeight="1">
      <c r="A417" s="233">
        <v>21130306</v>
      </c>
      <c r="B417" s="77" t="s">
        <v>487</v>
      </c>
      <c r="C417" s="72">
        <v>12119000</v>
      </c>
      <c r="D417" s="233"/>
      <c r="E417" s="201"/>
      <c r="F417" s="100"/>
      <c r="G417" s="100"/>
      <c r="H417" s="100"/>
      <c r="I417" s="100"/>
      <c r="J417" s="100"/>
      <c r="K417" s="100"/>
      <c r="L417" s="100"/>
      <c r="M417" s="100"/>
      <c r="N417" s="100"/>
      <c r="O417" s="100"/>
      <c r="P417" s="100"/>
      <c r="Q417" s="100"/>
      <c r="R417" s="100"/>
      <c r="S417" s="100"/>
      <c r="T417" s="100"/>
      <c r="U417" s="100"/>
      <c r="V417" s="100"/>
      <c r="W417" s="100"/>
    </row>
    <row r="418" spans="1:23" ht="13.5" customHeight="1">
      <c r="A418" s="233">
        <v>21130307</v>
      </c>
      <c r="B418" s="77" t="s">
        <v>488</v>
      </c>
      <c r="C418" s="72">
        <v>1009000</v>
      </c>
      <c r="D418" s="233"/>
      <c r="E418" s="201"/>
      <c r="F418" s="100"/>
      <c r="G418" s="100"/>
      <c r="H418" s="100"/>
      <c r="I418" s="100"/>
      <c r="J418" s="100"/>
      <c r="K418" s="100"/>
      <c r="L418" s="100"/>
      <c r="M418" s="100"/>
      <c r="N418" s="100"/>
      <c r="O418" s="100"/>
      <c r="P418" s="100"/>
      <c r="Q418" s="100"/>
      <c r="R418" s="100"/>
      <c r="S418" s="100"/>
      <c r="T418" s="100"/>
      <c r="U418" s="100"/>
      <c r="V418" s="100"/>
      <c r="W418" s="100"/>
    </row>
    <row r="419" spans="1:23" ht="13.5" customHeight="1">
      <c r="A419" s="76">
        <v>21130500</v>
      </c>
      <c r="B419" s="217" t="s">
        <v>489</v>
      </c>
      <c r="C419" s="256">
        <f>+SUM(C420:C421)</f>
        <v>7690000</v>
      </c>
      <c r="D419" s="233"/>
      <c r="E419" s="201"/>
      <c r="F419" s="100"/>
      <c r="G419" s="100"/>
      <c r="H419" s="100"/>
      <c r="I419" s="100"/>
      <c r="J419" s="100"/>
      <c r="K419" s="100"/>
      <c r="L419" s="100"/>
      <c r="M419" s="100"/>
      <c r="N419" s="100"/>
      <c r="O419" s="100"/>
      <c r="P419" s="100"/>
      <c r="Q419" s="100"/>
      <c r="R419" s="100"/>
      <c r="S419" s="100"/>
      <c r="T419" s="100"/>
      <c r="U419" s="100"/>
      <c r="V419" s="100"/>
      <c r="W419" s="100"/>
    </row>
    <row r="420" spans="1:23" ht="13.5" customHeight="1">
      <c r="A420" s="233">
        <v>21130501</v>
      </c>
      <c r="B420" s="77" t="s">
        <v>490</v>
      </c>
      <c r="C420" s="224">
        <f>500000+40000</f>
        <v>540000</v>
      </c>
      <c r="D420" s="233"/>
      <c r="E420" s="201"/>
      <c r="F420" s="100"/>
      <c r="G420" s="100"/>
      <c r="H420" s="100"/>
      <c r="I420" s="100"/>
      <c r="J420" s="100"/>
      <c r="K420" s="100"/>
      <c r="L420" s="100"/>
      <c r="M420" s="100"/>
      <c r="N420" s="100"/>
      <c r="O420" s="100"/>
      <c r="P420" s="100"/>
      <c r="Q420" s="100"/>
      <c r="R420" s="100"/>
      <c r="S420" s="100"/>
      <c r="T420" s="100"/>
      <c r="U420" s="100"/>
      <c r="V420" s="100"/>
      <c r="W420" s="100"/>
    </row>
    <row r="421" spans="1:23" ht="13.5" customHeight="1">
      <c r="A421" s="233">
        <v>21130502</v>
      </c>
      <c r="B421" s="77" t="s">
        <v>491</v>
      </c>
      <c r="C421" s="224">
        <v>7150000</v>
      </c>
      <c r="D421" s="233"/>
      <c r="E421" s="201"/>
      <c r="F421" s="100"/>
      <c r="G421" s="100"/>
      <c r="H421" s="100"/>
      <c r="I421" s="100"/>
      <c r="J421" s="100"/>
      <c r="K421" s="100"/>
      <c r="L421" s="100"/>
      <c r="M421" s="100"/>
      <c r="N421" s="100"/>
      <c r="O421" s="100"/>
      <c r="P421" s="100"/>
      <c r="Q421" s="100"/>
      <c r="R421" s="100"/>
      <c r="S421" s="100"/>
      <c r="T421" s="100"/>
      <c r="U421" s="100"/>
      <c r="V421" s="100"/>
      <c r="W421" s="100"/>
    </row>
    <row r="422" spans="1:23" ht="13.5" customHeight="1">
      <c r="A422" s="76">
        <v>211307</v>
      </c>
      <c r="B422" s="36" t="s">
        <v>494</v>
      </c>
      <c r="C422" s="256">
        <f>C423</f>
        <v>636500</v>
      </c>
      <c r="D422" s="233"/>
      <c r="E422" s="201"/>
      <c r="F422" s="100"/>
      <c r="G422" s="100"/>
      <c r="H422" s="100"/>
      <c r="I422" s="100"/>
      <c r="J422" s="100"/>
      <c r="K422" s="100"/>
      <c r="L422" s="100"/>
      <c r="M422" s="100"/>
      <c r="N422" s="100"/>
      <c r="O422" s="100"/>
      <c r="P422" s="100"/>
      <c r="Q422" s="100"/>
      <c r="R422" s="100"/>
      <c r="S422" s="100"/>
      <c r="T422" s="100"/>
      <c r="U422" s="100"/>
      <c r="V422" s="100"/>
      <c r="W422" s="100"/>
    </row>
    <row r="423" spans="1:23" ht="13.5" customHeight="1">
      <c r="A423" s="154">
        <v>21130701</v>
      </c>
      <c r="B423" s="77" t="s">
        <v>495</v>
      </c>
      <c r="C423" s="224">
        <f>500000+136500</f>
        <v>636500</v>
      </c>
      <c r="D423" s="233"/>
      <c r="E423" s="201"/>
      <c r="F423" s="100"/>
      <c r="G423" s="100"/>
      <c r="H423" s="100"/>
      <c r="I423" s="100"/>
      <c r="J423" s="100"/>
      <c r="K423" s="100"/>
      <c r="L423" s="100"/>
      <c r="M423" s="100"/>
      <c r="N423" s="100"/>
      <c r="O423" s="100"/>
      <c r="P423" s="100"/>
      <c r="Q423" s="100"/>
      <c r="R423" s="100"/>
      <c r="S423" s="100"/>
      <c r="T423" s="100"/>
      <c r="U423" s="100"/>
      <c r="V423" s="100"/>
      <c r="W423" s="100"/>
    </row>
    <row r="424" spans="1:23" ht="13.5" customHeight="1">
      <c r="A424" s="76">
        <v>211309</v>
      </c>
      <c r="B424" s="217" t="s">
        <v>496</v>
      </c>
      <c r="C424" s="256">
        <f>+SUM(C425:C429)</f>
        <v>27187765.649999999</v>
      </c>
      <c r="D424" s="233"/>
      <c r="E424" s="201"/>
      <c r="F424" s="100"/>
      <c r="G424" s="100"/>
      <c r="H424" s="100"/>
      <c r="I424" s="100"/>
      <c r="J424" s="100"/>
      <c r="K424" s="100"/>
      <c r="L424" s="100"/>
      <c r="M424" s="100"/>
      <c r="N424" s="100"/>
      <c r="O424" s="100"/>
      <c r="P424" s="100"/>
      <c r="Q424" s="100"/>
      <c r="R424" s="100"/>
      <c r="S424" s="100"/>
      <c r="T424" s="100"/>
      <c r="U424" s="100"/>
      <c r="V424" s="100"/>
      <c r="W424" s="100"/>
    </row>
    <row r="425" spans="1:23" ht="13.5" customHeight="1">
      <c r="A425" s="154">
        <v>21130901</v>
      </c>
      <c r="B425" s="77" t="s">
        <v>497</v>
      </c>
      <c r="C425" s="224">
        <v>20372000</v>
      </c>
      <c r="D425" s="233"/>
      <c r="E425" s="201"/>
      <c r="F425" s="100"/>
      <c r="G425" s="100"/>
      <c r="H425" s="100"/>
      <c r="I425" s="100"/>
      <c r="J425" s="100"/>
      <c r="K425" s="100"/>
      <c r="L425" s="100"/>
      <c r="M425" s="100"/>
      <c r="N425" s="100"/>
      <c r="O425" s="100"/>
      <c r="P425" s="100"/>
      <c r="Q425" s="100"/>
      <c r="R425" s="100"/>
      <c r="S425" s="100"/>
      <c r="T425" s="100"/>
      <c r="U425" s="100"/>
      <c r="V425" s="100"/>
      <c r="W425" s="100"/>
    </row>
    <row r="426" spans="1:23" ht="13.5" customHeight="1">
      <c r="A426" s="154">
        <v>21130902</v>
      </c>
      <c r="B426" s="77" t="s">
        <v>586</v>
      </c>
      <c r="C426" s="224">
        <v>900000</v>
      </c>
      <c r="D426" s="233"/>
      <c r="E426" s="201"/>
      <c r="F426" s="100"/>
      <c r="G426" s="100"/>
      <c r="H426" s="100"/>
      <c r="I426" s="100"/>
      <c r="J426" s="100"/>
      <c r="K426" s="100"/>
      <c r="L426" s="100"/>
      <c r="M426" s="100"/>
      <c r="N426" s="100"/>
      <c r="O426" s="100"/>
      <c r="P426" s="100"/>
      <c r="Q426" s="100"/>
      <c r="R426" s="100"/>
      <c r="S426" s="100"/>
      <c r="T426" s="100"/>
      <c r="U426" s="100"/>
      <c r="V426" s="100"/>
      <c r="W426" s="100"/>
    </row>
    <row r="427" spans="1:23" ht="13.5" customHeight="1">
      <c r="A427" s="154">
        <v>21130903</v>
      </c>
      <c r="B427" s="77" t="s">
        <v>498</v>
      </c>
      <c r="C427" s="224">
        <f>5500+643265.65</f>
        <v>648765.65</v>
      </c>
      <c r="D427" s="233"/>
      <c r="E427" s="201"/>
      <c r="F427" s="100"/>
      <c r="G427" s="100"/>
      <c r="H427" s="100"/>
      <c r="I427" s="100"/>
      <c r="J427" s="100"/>
      <c r="K427" s="100"/>
      <c r="L427" s="100"/>
      <c r="M427" s="100"/>
      <c r="N427" s="100"/>
      <c r="O427" s="100"/>
      <c r="P427" s="100"/>
      <c r="Q427" s="100"/>
      <c r="R427" s="100"/>
      <c r="S427" s="100"/>
      <c r="T427" s="100"/>
      <c r="U427" s="100"/>
      <c r="V427" s="100"/>
      <c r="W427" s="100"/>
    </row>
    <row r="428" spans="1:23" ht="13.5" customHeight="1">
      <c r="A428" s="233">
        <v>21130906</v>
      </c>
      <c r="B428" s="77" t="s">
        <v>499</v>
      </c>
      <c r="C428" s="224">
        <f>4000000+373000</f>
        <v>4373000</v>
      </c>
      <c r="D428" s="233"/>
      <c r="E428" s="201"/>
      <c r="F428" s="100"/>
      <c r="G428" s="100"/>
      <c r="H428" s="100"/>
      <c r="I428" s="100"/>
      <c r="J428" s="100"/>
      <c r="K428" s="100"/>
      <c r="L428" s="100"/>
      <c r="M428" s="100"/>
      <c r="N428" s="100"/>
      <c r="O428" s="100"/>
      <c r="P428" s="100"/>
      <c r="Q428" s="100"/>
      <c r="R428" s="100"/>
      <c r="S428" s="100"/>
      <c r="T428" s="100"/>
      <c r="U428" s="100"/>
      <c r="V428" s="100"/>
      <c r="W428" s="100"/>
    </row>
    <row r="429" spans="1:23" ht="13.5" customHeight="1">
      <c r="A429" s="154">
        <v>21130908</v>
      </c>
      <c r="B429" s="72" t="s">
        <v>500</v>
      </c>
      <c r="C429" s="72">
        <v>894000</v>
      </c>
      <c r="D429" s="233"/>
      <c r="E429" s="201"/>
      <c r="F429" s="100"/>
      <c r="G429" s="100"/>
      <c r="H429" s="100"/>
      <c r="I429" s="100"/>
      <c r="J429" s="100"/>
      <c r="K429" s="100"/>
      <c r="L429" s="100"/>
      <c r="M429" s="100"/>
      <c r="N429" s="100"/>
      <c r="O429" s="100"/>
      <c r="P429" s="100"/>
      <c r="Q429" s="100"/>
      <c r="R429" s="100"/>
      <c r="S429" s="100"/>
      <c r="T429" s="100"/>
      <c r="U429" s="100"/>
      <c r="V429" s="100"/>
      <c r="W429" s="100"/>
    </row>
    <row r="430" spans="1:23" ht="13.5" customHeight="1" thickBot="1">
      <c r="A430" s="233"/>
      <c r="B430" s="77"/>
      <c r="C430" s="224"/>
      <c r="D430" s="233"/>
      <c r="E430" s="201"/>
      <c r="F430" s="100"/>
      <c r="G430" s="100"/>
      <c r="H430" s="100"/>
      <c r="I430" s="100"/>
      <c r="J430" s="100"/>
      <c r="K430" s="100"/>
      <c r="L430" s="100"/>
      <c r="M430" s="100"/>
      <c r="N430" s="100"/>
      <c r="O430" s="100"/>
      <c r="P430" s="100"/>
      <c r="Q430" s="100"/>
      <c r="R430" s="100"/>
      <c r="S430" s="100"/>
      <c r="T430" s="100"/>
      <c r="U430" s="100"/>
      <c r="V430" s="100"/>
      <c r="W430" s="100"/>
    </row>
    <row r="431" spans="1:23" ht="13.5" customHeight="1" thickBot="1">
      <c r="A431" s="1307" t="s">
        <v>48</v>
      </c>
      <c r="B431" s="1281"/>
      <c r="C431" s="264">
        <f>C432+C434+C438</f>
        <v>14573474.76</v>
      </c>
      <c r="D431" s="233"/>
      <c r="E431" s="201"/>
      <c r="F431" s="100"/>
      <c r="G431" s="100"/>
      <c r="H431" s="100"/>
      <c r="I431" s="100"/>
      <c r="J431" s="100"/>
      <c r="K431" s="100"/>
      <c r="L431" s="100"/>
      <c r="M431" s="100"/>
      <c r="N431" s="100"/>
      <c r="O431" s="100"/>
      <c r="P431" s="100"/>
      <c r="Q431" s="100"/>
      <c r="R431" s="100"/>
      <c r="S431" s="100"/>
      <c r="T431" s="100"/>
      <c r="U431" s="100"/>
      <c r="V431" s="100"/>
      <c r="W431" s="100"/>
    </row>
    <row r="432" spans="1:23" ht="13.5" customHeight="1">
      <c r="A432" s="76">
        <v>221102</v>
      </c>
      <c r="B432" s="76" t="s">
        <v>543</v>
      </c>
      <c r="C432" s="249">
        <f>SUM(C433)</f>
        <v>590000</v>
      </c>
      <c r="D432" s="233"/>
      <c r="E432" s="201"/>
      <c r="F432" s="100"/>
      <c r="G432" s="100"/>
      <c r="H432" s="100"/>
      <c r="I432" s="100"/>
      <c r="J432" s="100"/>
      <c r="K432" s="100"/>
      <c r="L432" s="100"/>
      <c r="M432" s="100"/>
      <c r="N432" s="100"/>
      <c r="O432" s="100"/>
      <c r="P432" s="100"/>
      <c r="Q432" s="100"/>
      <c r="R432" s="100"/>
      <c r="S432" s="100"/>
      <c r="T432" s="100"/>
      <c r="U432" s="100"/>
      <c r="V432" s="100"/>
      <c r="W432" s="100"/>
    </row>
    <row r="433" spans="1:23" ht="13.5" customHeight="1">
      <c r="A433" s="154">
        <v>22110205</v>
      </c>
      <c r="B433" s="77" t="s">
        <v>546</v>
      </c>
      <c r="C433" s="224">
        <f>500000+90000</f>
        <v>590000</v>
      </c>
      <c r="D433" s="233"/>
      <c r="E433" s="201"/>
      <c r="F433" s="100"/>
      <c r="G433" s="100"/>
      <c r="H433" s="100"/>
      <c r="I433" s="100"/>
      <c r="J433" s="100"/>
      <c r="K433" s="100"/>
      <c r="L433" s="100"/>
      <c r="M433" s="100"/>
      <c r="N433" s="100"/>
      <c r="O433" s="100"/>
      <c r="P433" s="100"/>
      <c r="Q433" s="100"/>
      <c r="R433" s="100"/>
      <c r="S433" s="100"/>
      <c r="T433" s="100"/>
      <c r="U433" s="100"/>
      <c r="V433" s="100"/>
      <c r="W433" s="100"/>
    </row>
    <row r="434" spans="1:23" ht="13.5" customHeight="1">
      <c r="A434" s="76">
        <v>221104</v>
      </c>
      <c r="B434" s="826" t="s">
        <v>510</v>
      </c>
      <c r="C434" s="256">
        <f>SUM(C435:C437)</f>
        <v>3900000</v>
      </c>
      <c r="D434" s="233"/>
      <c r="E434" s="201"/>
      <c r="F434" s="100"/>
      <c r="G434" s="100"/>
      <c r="H434" s="100"/>
      <c r="I434" s="100"/>
      <c r="J434" s="100"/>
      <c r="K434" s="100"/>
      <c r="L434" s="100"/>
      <c r="M434" s="100"/>
      <c r="N434" s="100"/>
      <c r="O434" s="100"/>
      <c r="P434" s="100"/>
      <c r="Q434" s="100"/>
      <c r="R434" s="100"/>
      <c r="S434" s="100"/>
      <c r="T434" s="100"/>
      <c r="U434" s="100"/>
      <c r="V434" s="100"/>
      <c r="W434" s="100"/>
    </row>
    <row r="435" spans="1:23" ht="13.5" customHeight="1">
      <c r="A435" s="154">
        <v>22110401</v>
      </c>
      <c r="B435" s="77" t="s">
        <v>511</v>
      </c>
      <c r="C435" s="224">
        <v>800000</v>
      </c>
      <c r="D435" s="233"/>
      <c r="E435" s="201"/>
      <c r="F435" s="100"/>
      <c r="G435" s="100"/>
      <c r="H435" s="100"/>
      <c r="I435" s="100"/>
      <c r="J435" s="100"/>
      <c r="K435" s="100"/>
      <c r="L435" s="100"/>
      <c r="M435" s="100"/>
      <c r="N435" s="100"/>
      <c r="O435" s="100"/>
      <c r="P435" s="100"/>
      <c r="Q435" s="100"/>
      <c r="R435" s="100"/>
      <c r="S435" s="100"/>
      <c r="T435" s="100"/>
      <c r="U435" s="100"/>
      <c r="V435" s="100"/>
      <c r="W435" s="100"/>
    </row>
    <row r="436" spans="1:23" ht="13.5" customHeight="1">
      <c r="A436" s="154">
        <v>22110404</v>
      </c>
      <c r="B436" s="77" t="s">
        <v>512</v>
      </c>
      <c r="C436" s="224">
        <f>2000000+40000</f>
        <v>2040000</v>
      </c>
      <c r="D436" s="233"/>
      <c r="E436" s="201"/>
      <c r="F436" s="100"/>
      <c r="G436" s="100"/>
      <c r="H436" s="100"/>
      <c r="I436" s="100"/>
      <c r="J436" s="100"/>
      <c r="K436" s="100"/>
      <c r="L436" s="100"/>
      <c r="M436" s="100"/>
      <c r="N436" s="100"/>
      <c r="O436" s="100"/>
      <c r="P436" s="100"/>
      <c r="Q436" s="100"/>
      <c r="R436" s="100"/>
      <c r="S436" s="100"/>
      <c r="T436" s="100"/>
      <c r="U436" s="100"/>
      <c r="V436" s="100"/>
      <c r="W436" s="100"/>
    </row>
    <row r="437" spans="1:23" ht="13.5" customHeight="1">
      <c r="A437" s="154">
        <v>22110409</v>
      </c>
      <c r="B437" s="72" t="s">
        <v>513</v>
      </c>
      <c r="C437" s="72">
        <f>1000000+60000</f>
        <v>1060000</v>
      </c>
      <c r="D437" s="233"/>
      <c r="E437" s="201"/>
      <c r="F437" s="100"/>
      <c r="G437" s="100"/>
      <c r="H437" s="100"/>
      <c r="I437" s="100"/>
      <c r="J437" s="100"/>
      <c r="K437" s="100"/>
      <c r="L437" s="100"/>
      <c r="M437" s="100"/>
      <c r="N437" s="100"/>
      <c r="O437" s="100"/>
      <c r="P437" s="100"/>
      <c r="Q437" s="100"/>
      <c r="R437" s="100"/>
      <c r="S437" s="100"/>
      <c r="T437" s="100"/>
      <c r="U437" s="100"/>
      <c r="V437" s="100"/>
      <c r="W437" s="100"/>
    </row>
    <row r="438" spans="1:23" ht="13.5" customHeight="1">
      <c r="A438" s="76">
        <v>221107</v>
      </c>
      <c r="B438" s="36" t="s">
        <v>514</v>
      </c>
      <c r="C438" s="256">
        <f>SUM(C439)</f>
        <v>10083474.76</v>
      </c>
      <c r="D438" s="233"/>
      <c r="E438" s="201"/>
      <c r="F438" s="100"/>
      <c r="G438" s="100"/>
      <c r="H438" s="100"/>
      <c r="I438" s="100"/>
      <c r="J438" s="100"/>
      <c r="K438" s="100"/>
      <c r="L438" s="100"/>
      <c r="M438" s="100"/>
      <c r="N438" s="100"/>
      <c r="O438" s="100"/>
      <c r="P438" s="100"/>
      <c r="Q438" s="100"/>
      <c r="R438" s="100"/>
      <c r="S438" s="100"/>
      <c r="T438" s="100"/>
      <c r="U438" s="100"/>
      <c r="V438" s="100"/>
      <c r="W438" s="100"/>
    </row>
    <row r="439" spans="1:23" ht="13.5" customHeight="1">
      <c r="A439" s="154">
        <v>22110702</v>
      </c>
      <c r="B439" s="77" t="s">
        <v>515</v>
      </c>
      <c r="C439" s="224">
        <f>11032474.76+50000-999000</f>
        <v>10083474.76</v>
      </c>
      <c r="D439" s="233"/>
      <c r="E439" s="201"/>
      <c r="F439" s="100"/>
      <c r="G439" s="100"/>
      <c r="H439" s="100"/>
      <c r="I439" s="100"/>
      <c r="J439" s="100"/>
      <c r="K439" s="100"/>
      <c r="L439" s="100"/>
      <c r="M439" s="100"/>
      <c r="N439" s="100"/>
      <c r="O439" s="100"/>
      <c r="P439" s="100"/>
      <c r="Q439" s="100"/>
      <c r="R439" s="100"/>
      <c r="S439" s="100"/>
      <c r="T439" s="100"/>
      <c r="U439" s="100"/>
      <c r="V439" s="100"/>
      <c r="W439" s="100"/>
    </row>
    <row r="440" spans="1:23" ht="15" customHeight="1"/>
  </sheetData>
  <mergeCells count="30">
    <mergeCell ref="A3:B4"/>
    <mergeCell ref="A93:B94"/>
    <mergeCell ref="A137:B138"/>
    <mergeCell ref="A239:B240"/>
    <mergeCell ref="A309:B310"/>
    <mergeCell ref="A317:B317"/>
    <mergeCell ref="A335:B335"/>
    <mergeCell ref="A355:B355"/>
    <mergeCell ref="A363:B363"/>
    <mergeCell ref="A380:B380"/>
    <mergeCell ref="A411:B411"/>
    <mergeCell ref="A431:B431"/>
    <mergeCell ref="A372:B373"/>
    <mergeCell ref="A297:B297"/>
    <mergeCell ref="A247:B247"/>
    <mergeCell ref="A278:B278"/>
    <mergeCell ref="A101:B101"/>
    <mergeCell ref="A113:B113"/>
    <mergeCell ref="A129:B129"/>
    <mergeCell ref="A190:B190"/>
    <mergeCell ref="A211:B211"/>
    <mergeCell ref="A227:B227"/>
    <mergeCell ref="A11:B11"/>
    <mergeCell ref="A175:B175"/>
    <mergeCell ref="A34:B34"/>
    <mergeCell ref="A58:B58"/>
    <mergeCell ref="A78:B78"/>
    <mergeCell ref="A84:B84"/>
    <mergeCell ref="A145:B145"/>
    <mergeCell ref="A163:B163"/>
  </mergeCells>
  <printOptions horizontalCentered="1"/>
  <pageMargins left="0.78740157480314965" right="0.59055118110236227" top="0.78740157480314965" bottom="0.78740157480314965" header="0.31496062992125984" footer="0.31496062992125984"/>
  <pageSetup paperSize="9" orientation="portrait" horizontalDpi="0" verticalDpi="0" r:id="rId1"/>
  <headerFooter>
    <oddHeader>&amp;L&amp;"Arial Narrow,Negrita"MUNICIPALIDAD DE VILLA MARÍA&amp;R&amp;"Arial Narrow,Negrita"PRESUPUESTO 2024</oddHeader>
    <oddFooter>&amp;R&amp;"Arial Narrow,Normal"&amp;P</oddFooter>
  </headerFooter>
  <rowBreaks count="7" manualBreakCount="7">
    <brk id="52" max="2" man="1"/>
    <brk id="107" max="2" man="1"/>
    <brk id="162" max="2" man="1"/>
    <brk id="274" max="2" man="1"/>
    <brk id="328" max="2" man="1"/>
    <brk id="382" max="2" man="1"/>
    <brk id="426"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A7EF-00EB-46E1-B7E3-97704418D144}">
  <dimension ref="A1:AH749"/>
  <sheetViews>
    <sheetView zoomScaleNormal="100" zoomScaleSheetLayoutView="75" workbookViewId="0">
      <selection activeCell="A16" sqref="A16"/>
    </sheetView>
  </sheetViews>
  <sheetFormatPr baseColWidth="10" defaultRowHeight="12.75"/>
  <cols>
    <col min="2" max="2" width="56.140625" customWidth="1"/>
    <col min="3" max="3" width="17" customWidth="1"/>
    <col min="4" max="4" width="17.28515625" customWidth="1"/>
    <col min="5" max="5" width="14.7109375" bestFit="1" customWidth="1"/>
    <col min="6" max="6" width="16.28515625" bestFit="1" customWidth="1"/>
    <col min="7" max="8" width="14.140625" customWidth="1"/>
  </cols>
  <sheetData>
    <row r="1" spans="1:34" ht="18" thickBot="1">
      <c r="A1" s="1555" t="s">
        <v>974</v>
      </c>
      <c r="B1" s="1556"/>
      <c r="C1" s="1557"/>
    </row>
    <row r="2" spans="1:34" ht="15.75" customHeight="1" thickBot="1"/>
    <row r="3" spans="1:34" ht="13.5" customHeight="1">
      <c r="A3" s="1383" t="s">
        <v>964</v>
      </c>
      <c r="B3" s="1384"/>
      <c r="C3" s="1516">
        <v>1201</v>
      </c>
      <c r="D3" s="29"/>
      <c r="E3" s="29"/>
      <c r="F3" s="105"/>
      <c r="G3" s="105"/>
      <c r="H3" s="105"/>
      <c r="I3" s="105"/>
      <c r="J3" s="9"/>
      <c r="K3" s="9"/>
      <c r="L3" s="9"/>
      <c r="M3" s="9"/>
      <c r="N3" s="9"/>
      <c r="O3" s="9"/>
      <c r="P3" s="9"/>
      <c r="Q3" s="9"/>
      <c r="R3" s="9"/>
      <c r="S3" s="9"/>
      <c r="T3" s="9"/>
      <c r="U3" s="9"/>
      <c r="V3" s="9"/>
      <c r="W3" s="9"/>
      <c r="X3" s="9"/>
      <c r="Y3" s="9"/>
      <c r="Z3" s="9"/>
      <c r="AA3" s="9"/>
      <c r="AB3" s="9"/>
      <c r="AC3" s="9"/>
      <c r="AD3" s="9"/>
      <c r="AE3" s="9"/>
      <c r="AF3" s="9"/>
      <c r="AG3" s="9"/>
      <c r="AH3" s="9"/>
    </row>
    <row r="4" spans="1:34" ht="13.5" customHeight="1" thickBot="1">
      <c r="A4" s="1385"/>
      <c r="B4" s="1386"/>
      <c r="C4" s="1517"/>
      <c r="D4" s="107"/>
      <c r="E4" s="29"/>
      <c r="F4" s="105"/>
      <c r="G4" s="105"/>
      <c r="H4" s="105"/>
      <c r="I4" s="105"/>
      <c r="J4" s="9"/>
      <c r="K4" s="9"/>
      <c r="L4" s="9"/>
      <c r="M4" s="9"/>
      <c r="N4" s="9"/>
      <c r="O4" s="9"/>
      <c r="P4" s="9"/>
      <c r="Q4" s="9"/>
      <c r="R4" s="9"/>
      <c r="S4" s="9"/>
      <c r="T4" s="9"/>
      <c r="U4" s="9"/>
      <c r="V4" s="9"/>
      <c r="W4" s="9"/>
      <c r="X4" s="9"/>
      <c r="Y4" s="9"/>
      <c r="Z4" s="9"/>
      <c r="AA4" s="9"/>
      <c r="AB4" s="9"/>
      <c r="AC4" s="9"/>
      <c r="AD4" s="9"/>
      <c r="AE4" s="9"/>
      <c r="AF4" s="9"/>
      <c r="AG4" s="9"/>
      <c r="AH4" s="9"/>
    </row>
    <row r="5" spans="1:34" ht="13.5" customHeight="1">
      <c r="A5" s="1028" t="s">
        <v>675</v>
      </c>
      <c r="B5" s="808"/>
      <c r="C5" s="1183"/>
      <c r="D5" s="27"/>
      <c r="J5" s="9"/>
      <c r="K5" s="9"/>
      <c r="L5" s="9"/>
      <c r="M5" s="9"/>
      <c r="N5" s="9"/>
      <c r="O5" s="9"/>
      <c r="P5" s="9"/>
      <c r="Q5" s="9"/>
      <c r="R5" s="9"/>
      <c r="S5" s="9"/>
      <c r="T5" s="9"/>
      <c r="U5" s="9"/>
      <c r="V5" s="9"/>
      <c r="W5" s="9"/>
      <c r="X5" s="9"/>
      <c r="Y5" s="9"/>
      <c r="Z5" s="9"/>
      <c r="AA5" s="9"/>
      <c r="AB5" s="9"/>
      <c r="AC5" s="9"/>
      <c r="AD5" s="9"/>
      <c r="AE5" s="9"/>
      <c r="AF5" s="9"/>
      <c r="AG5" s="9"/>
      <c r="AH5" s="9"/>
    </row>
    <row r="6" spans="1:34" ht="13.5" customHeight="1">
      <c r="A6" s="1028" t="s">
        <v>728</v>
      </c>
      <c r="B6" s="808"/>
      <c r="C6" s="1184"/>
      <c r="D6" s="27"/>
      <c r="J6" s="9"/>
      <c r="K6" s="9"/>
      <c r="L6" s="9"/>
      <c r="M6" s="9"/>
      <c r="N6" s="9"/>
      <c r="O6" s="9"/>
      <c r="P6" s="9"/>
      <c r="Q6" s="9"/>
      <c r="R6" s="9"/>
      <c r="S6" s="9"/>
      <c r="T6" s="9"/>
      <c r="U6" s="9"/>
      <c r="V6" s="9"/>
      <c r="W6" s="9"/>
      <c r="X6" s="9"/>
      <c r="Y6" s="9"/>
      <c r="Z6" s="9"/>
      <c r="AA6" s="9"/>
      <c r="AB6" s="9"/>
      <c r="AC6" s="9"/>
      <c r="AD6" s="9"/>
      <c r="AE6" s="9"/>
      <c r="AF6" s="9"/>
      <c r="AG6" s="9"/>
      <c r="AH6" s="9"/>
    </row>
    <row r="7" spans="1:34" ht="13.5" customHeight="1">
      <c r="A7" s="1028" t="s">
        <v>729</v>
      </c>
      <c r="B7" s="808"/>
      <c r="C7" s="1184"/>
      <c r="D7" s="27"/>
      <c r="J7" s="9"/>
      <c r="K7" s="9"/>
      <c r="L7" s="9"/>
      <c r="M7" s="9"/>
      <c r="N7" s="9"/>
      <c r="O7" s="9"/>
      <c r="P7" s="9"/>
      <c r="Q7" s="9"/>
      <c r="R7" s="9"/>
      <c r="S7" s="9"/>
      <c r="T7" s="9"/>
      <c r="U7" s="9"/>
      <c r="V7" s="9"/>
      <c r="W7" s="9"/>
      <c r="X7" s="9"/>
      <c r="Y7" s="9"/>
      <c r="Z7" s="9"/>
      <c r="AA7" s="9"/>
      <c r="AB7" s="9"/>
      <c r="AC7" s="9"/>
      <c r="AD7" s="9"/>
      <c r="AE7" s="9"/>
      <c r="AF7" s="9"/>
      <c r="AG7" s="9"/>
      <c r="AH7" s="9"/>
    </row>
    <row r="8" spans="1:34" ht="13.5" customHeight="1" thickBot="1">
      <c r="A8" s="1125" t="s">
        <v>59</v>
      </c>
      <c r="B8" s="982"/>
      <c r="C8" s="1184"/>
      <c r="D8" s="27"/>
      <c r="J8" s="9"/>
      <c r="K8" s="9"/>
      <c r="L8" s="9"/>
      <c r="M8" s="9"/>
      <c r="N8" s="9"/>
      <c r="O8" s="9"/>
      <c r="P8" s="9"/>
      <c r="Q8" s="9"/>
      <c r="R8" s="9"/>
      <c r="S8" s="9"/>
      <c r="T8" s="9"/>
      <c r="U8" s="9"/>
      <c r="V8" s="9"/>
      <c r="W8" s="9"/>
      <c r="X8" s="9"/>
      <c r="Y8" s="9"/>
      <c r="Z8" s="9"/>
      <c r="AA8" s="9"/>
      <c r="AB8" s="9"/>
      <c r="AC8" s="9"/>
      <c r="AD8" s="9"/>
      <c r="AE8" s="9"/>
      <c r="AF8" s="9"/>
      <c r="AG8" s="9"/>
      <c r="AH8" s="9"/>
    </row>
    <row r="9" spans="1:34" ht="13.5" customHeight="1" thickBot="1">
      <c r="A9" s="1171" t="s">
        <v>78</v>
      </c>
      <c r="B9" s="1186"/>
      <c r="C9" s="1515">
        <f>C11+C34+C60+C81+C90</f>
        <v>1313106667.2337499</v>
      </c>
      <c r="D9" s="1040"/>
      <c r="J9" s="9"/>
      <c r="K9" s="9"/>
      <c r="L9" s="9"/>
      <c r="M9" s="9"/>
      <c r="N9" s="9"/>
      <c r="O9" s="9"/>
      <c r="P9" s="9"/>
      <c r="Q9" s="9"/>
      <c r="R9" s="9"/>
      <c r="S9" s="9"/>
      <c r="T9" s="9"/>
      <c r="U9" s="9"/>
      <c r="V9" s="9"/>
      <c r="W9" s="9"/>
      <c r="X9" s="9"/>
      <c r="Y9" s="9"/>
      <c r="Z9" s="9"/>
      <c r="AA9" s="9"/>
      <c r="AB9" s="9"/>
      <c r="AC9" s="9"/>
      <c r="AD9" s="9"/>
      <c r="AE9" s="9"/>
      <c r="AF9" s="9"/>
      <c r="AG9" s="9"/>
      <c r="AH9" s="9"/>
    </row>
    <row r="10" spans="1:34" ht="13.5" customHeight="1" thickBot="1">
      <c r="A10" s="21"/>
      <c r="B10" s="21"/>
      <c r="C10" s="46"/>
      <c r="D10" s="27"/>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3.5" customHeight="1" thickBot="1">
      <c r="A11" s="1314" t="s">
        <v>2</v>
      </c>
      <c r="B11" s="1281"/>
      <c r="C11" s="106">
        <f>C12+C19+C26</f>
        <v>1288950318.86375</v>
      </c>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row>
    <row r="12" spans="1:34" ht="12.75" customHeight="1">
      <c r="A12" s="48">
        <v>211101</v>
      </c>
      <c r="B12" s="22" t="s">
        <v>667</v>
      </c>
      <c r="C12" s="16">
        <f>SUM(C13:C18)</f>
        <v>503129724.99375004</v>
      </c>
      <c r="D12" s="1618"/>
      <c r="E12" s="1618"/>
      <c r="F12" s="1618"/>
      <c r="G12" s="1618"/>
      <c r="H12" s="1618"/>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row>
    <row r="13" spans="1:34" ht="12.75" customHeight="1">
      <c r="A13" s="33">
        <v>21110101</v>
      </c>
      <c r="B13" s="24" t="s">
        <v>810</v>
      </c>
      <c r="C13" s="24">
        <f>(779886793.46+86811638.45)/2-30000000</f>
        <v>403349215.95500004</v>
      </c>
      <c r="D13" s="1613"/>
      <c r="E13" s="1613"/>
      <c r="F13" s="1613"/>
      <c r="G13" s="1613"/>
      <c r="H13" s="16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1:34" ht="12.75" customHeight="1">
      <c r="A14" s="33">
        <v>21110102</v>
      </c>
      <c r="B14" s="24" t="s">
        <v>811</v>
      </c>
      <c r="C14" s="24">
        <f>(131270762.2575+25203378.9)/2-6000000</f>
        <v>72237070.578749999</v>
      </c>
      <c r="D14" s="1615"/>
      <c r="E14" s="1615"/>
      <c r="F14" s="1615"/>
      <c r="G14" s="1615"/>
      <c r="H14" s="1615"/>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row>
    <row r="15" spans="1:34" ht="12.75" customHeight="1">
      <c r="A15" s="33">
        <v>21110103</v>
      </c>
      <c r="B15" s="24" t="s">
        <v>812</v>
      </c>
      <c r="C15" s="24">
        <f>24127516.92/2</f>
        <v>12063758.460000001</v>
      </c>
      <c r="D15" s="1615"/>
      <c r="E15" s="1615"/>
      <c r="F15" s="1615"/>
      <c r="G15" s="1615"/>
      <c r="H15" s="1615"/>
      <c r="I15" s="986"/>
      <c r="J15" s="986"/>
      <c r="K15" s="986"/>
      <c r="L15" s="986"/>
      <c r="M15" s="986"/>
      <c r="N15" s="986"/>
      <c r="O15" s="986"/>
      <c r="P15" s="986"/>
      <c r="Q15" s="986"/>
      <c r="R15" s="986"/>
      <c r="S15" s="986"/>
      <c r="T15" s="986"/>
      <c r="U15" s="986"/>
      <c r="V15" s="986"/>
      <c r="W15" s="986"/>
      <c r="X15" s="986"/>
      <c r="Y15" s="986"/>
      <c r="Z15" s="13"/>
      <c r="AA15" s="13"/>
      <c r="AB15" s="13"/>
      <c r="AC15" s="13"/>
      <c r="AD15" s="13"/>
      <c r="AE15" s="13"/>
      <c r="AF15" s="13"/>
      <c r="AG15" s="13"/>
      <c r="AH15" s="13"/>
    </row>
    <row r="16" spans="1:34" ht="12.75" customHeight="1">
      <c r="A16" s="33">
        <v>21110104</v>
      </c>
      <c r="B16" s="24" t="s">
        <v>813</v>
      </c>
      <c r="C16" s="24">
        <v>1</v>
      </c>
      <c r="D16" s="1615"/>
      <c r="E16" s="1615"/>
      <c r="F16" s="1617"/>
      <c r="G16" s="1615"/>
      <c r="H16" s="1615"/>
      <c r="I16" s="986"/>
      <c r="J16" s="986"/>
      <c r="K16" s="986"/>
      <c r="L16" s="986"/>
      <c r="M16" s="986"/>
      <c r="N16" s="986"/>
      <c r="O16" s="986"/>
      <c r="P16" s="986"/>
      <c r="Q16" s="986"/>
      <c r="R16" s="986"/>
      <c r="S16" s="986"/>
      <c r="T16" s="986"/>
      <c r="U16" s="986"/>
      <c r="V16" s="986"/>
      <c r="W16" s="986"/>
      <c r="X16" s="986"/>
      <c r="Y16" s="986"/>
      <c r="Z16" s="13"/>
      <c r="AA16" s="13"/>
      <c r="AB16" s="13"/>
      <c r="AC16" s="13"/>
      <c r="AD16" s="13"/>
      <c r="AE16" s="13"/>
      <c r="AF16" s="13"/>
      <c r="AG16" s="13"/>
      <c r="AH16" s="13"/>
    </row>
    <row r="17" spans="1:34" ht="12.75" customHeight="1">
      <c r="A17" s="33">
        <v>21110105</v>
      </c>
      <c r="B17" s="24" t="s">
        <v>814</v>
      </c>
      <c r="C17" s="24">
        <f>(8759358)/2</f>
        <v>4379679</v>
      </c>
      <c r="D17" s="993"/>
      <c r="E17" s="993"/>
      <c r="F17" s="994"/>
      <c r="G17" s="986"/>
      <c r="H17" s="986"/>
      <c r="I17" s="986"/>
      <c r="J17" s="986"/>
      <c r="K17" s="986"/>
      <c r="L17" s="986"/>
      <c r="M17" s="986"/>
      <c r="N17" s="986"/>
      <c r="O17" s="986"/>
      <c r="P17" s="986"/>
      <c r="Q17" s="986"/>
      <c r="R17" s="986"/>
      <c r="S17" s="986"/>
      <c r="T17" s="986"/>
      <c r="U17" s="986"/>
      <c r="V17" s="986"/>
      <c r="W17" s="986"/>
      <c r="X17" s="986"/>
      <c r="Y17" s="986"/>
      <c r="Z17" s="13"/>
      <c r="AA17" s="13"/>
      <c r="AB17" s="13"/>
      <c r="AC17" s="13"/>
      <c r="AD17" s="13"/>
      <c r="AE17" s="13"/>
      <c r="AF17" s="13"/>
      <c r="AG17" s="13"/>
      <c r="AH17" s="13"/>
    </row>
    <row r="18" spans="1:34" ht="12.75" customHeight="1">
      <c r="A18" s="33">
        <v>21110106</v>
      </c>
      <c r="B18" s="24" t="s">
        <v>815</v>
      </c>
      <c r="C18" s="24">
        <f>(5800000+6000000+1800000+1400000+1400000+2300000+3500000)/2</f>
        <v>11100000</v>
      </c>
      <c r="D18" s="993"/>
      <c r="E18" s="995"/>
      <c r="F18" s="995"/>
      <c r="G18" s="995"/>
      <c r="H18" s="995"/>
      <c r="I18" s="995"/>
      <c r="J18" s="995"/>
      <c r="K18" s="995"/>
      <c r="L18" s="995"/>
      <c r="M18" s="995"/>
      <c r="N18" s="995"/>
      <c r="O18" s="986"/>
      <c r="P18" s="986"/>
      <c r="Q18" s="986"/>
      <c r="R18" s="986"/>
      <c r="S18" s="986"/>
      <c r="T18" s="986"/>
      <c r="U18" s="986"/>
      <c r="V18" s="986"/>
      <c r="W18" s="986"/>
      <c r="X18" s="986"/>
      <c r="Y18" s="986"/>
      <c r="Z18" s="13"/>
      <c r="AA18" s="13"/>
      <c r="AB18" s="13"/>
      <c r="AC18" s="13"/>
      <c r="AD18" s="13"/>
      <c r="AE18" s="13"/>
      <c r="AF18" s="13"/>
      <c r="AG18" s="13"/>
      <c r="AH18" s="13"/>
    </row>
    <row r="19" spans="1:34" ht="12.75" customHeight="1">
      <c r="A19" s="48">
        <v>211102</v>
      </c>
      <c r="B19" s="26" t="s">
        <v>668</v>
      </c>
      <c r="C19" s="26">
        <f>SUM(C20:C25)</f>
        <v>223810198.82750002</v>
      </c>
      <c r="D19" s="993"/>
      <c r="E19" s="1001"/>
      <c r="F19" s="1001"/>
      <c r="G19" s="1002"/>
      <c r="H19" s="1002"/>
      <c r="I19" s="1002"/>
      <c r="J19" s="986"/>
      <c r="K19" s="986"/>
      <c r="L19" s="986"/>
      <c r="M19" s="986"/>
      <c r="N19" s="986"/>
      <c r="O19" s="986"/>
      <c r="P19" s="986"/>
      <c r="Q19" s="986"/>
      <c r="R19" s="986"/>
      <c r="S19" s="986"/>
      <c r="T19" s="986"/>
      <c r="U19" s="986"/>
      <c r="V19" s="986"/>
      <c r="W19" s="986"/>
      <c r="X19" s="986"/>
      <c r="Y19" s="986"/>
      <c r="Z19" s="13"/>
      <c r="AA19" s="13"/>
      <c r="AB19" s="13"/>
      <c r="AC19" s="13"/>
      <c r="AD19" s="13"/>
      <c r="AE19" s="13"/>
      <c r="AF19" s="13"/>
      <c r="AG19" s="13"/>
      <c r="AH19" s="13"/>
    </row>
    <row r="20" spans="1:34" ht="12.75" customHeight="1">
      <c r="A20" s="33">
        <v>21110201</v>
      </c>
      <c r="B20" s="24" t="s">
        <v>816</v>
      </c>
      <c r="C20" s="24">
        <f>(272809761.7525+86811638.45)/2</f>
        <v>179810700.10124999</v>
      </c>
      <c r="D20" s="996"/>
      <c r="E20" s="984"/>
      <c r="F20" s="994"/>
      <c r="G20" s="994"/>
      <c r="H20" s="994"/>
      <c r="I20" s="994"/>
      <c r="J20" s="994"/>
      <c r="K20" s="994"/>
      <c r="L20" s="994"/>
      <c r="M20" s="994"/>
      <c r="N20" s="994"/>
      <c r="O20" s="994"/>
      <c r="P20" s="994"/>
      <c r="Q20" s="994"/>
      <c r="R20" s="994"/>
      <c r="S20" s="994"/>
      <c r="T20" s="994"/>
      <c r="U20" s="994"/>
      <c r="V20" s="994"/>
      <c r="W20" s="994"/>
      <c r="X20" s="994"/>
      <c r="Y20" s="994"/>
      <c r="Z20" s="27"/>
      <c r="AA20" s="27"/>
      <c r="AB20" s="27"/>
      <c r="AC20" s="27"/>
      <c r="AD20" s="27"/>
      <c r="AE20" s="27"/>
      <c r="AF20" s="27"/>
      <c r="AG20" s="27"/>
      <c r="AH20" s="27"/>
    </row>
    <row r="21" spans="1:34" ht="12.75" customHeight="1">
      <c r="A21" s="33">
        <v>21110202</v>
      </c>
      <c r="B21" s="24" t="s">
        <v>817</v>
      </c>
      <c r="C21" s="24">
        <f>(45355629.6375+25203378.9)/2</f>
        <v>35279504.268749997</v>
      </c>
      <c r="D21" s="996"/>
      <c r="E21" s="996"/>
      <c r="F21" s="994"/>
      <c r="G21" s="994"/>
      <c r="H21" s="994"/>
      <c r="I21" s="994"/>
      <c r="J21" s="994"/>
      <c r="K21" s="994"/>
      <c r="L21" s="994"/>
      <c r="M21" s="994"/>
      <c r="N21" s="994"/>
      <c r="O21" s="994"/>
      <c r="P21" s="994"/>
      <c r="Q21" s="994"/>
      <c r="R21" s="994"/>
      <c r="S21" s="994"/>
      <c r="T21" s="994"/>
      <c r="U21" s="994"/>
      <c r="V21" s="994"/>
      <c r="W21" s="994"/>
      <c r="X21" s="994"/>
      <c r="Y21" s="994"/>
      <c r="Z21" s="27"/>
      <c r="AA21" s="27"/>
      <c r="AB21" s="27"/>
      <c r="AC21" s="27"/>
      <c r="AD21" s="27"/>
      <c r="AE21" s="27"/>
      <c r="AF21" s="27"/>
      <c r="AG21" s="27"/>
      <c r="AH21" s="27"/>
    </row>
    <row r="22" spans="1:34" ht="12.75" customHeight="1">
      <c r="A22" s="33">
        <v>21110203</v>
      </c>
      <c r="B22" s="24" t="s">
        <v>818</v>
      </c>
      <c r="C22" s="24">
        <f>(8538025.9575)</f>
        <v>8538025.9574999996</v>
      </c>
      <c r="D22" s="996"/>
      <c r="E22" s="996"/>
      <c r="F22" s="994"/>
      <c r="G22" s="994"/>
      <c r="H22" s="994"/>
      <c r="I22" s="994"/>
      <c r="J22" s="994"/>
      <c r="K22" s="994"/>
      <c r="L22" s="994"/>
      <c r="M22" s="994"/>
      <c r="N22" s="994"/>
      <c r="O22" s="994"/>
      <c r="P22" s="994"/>
      <c r="Q22" s="994"/>
      <c r="R22" s="994"/>
      <c r="S22" s="994"/>
      <c r="T22" s="994"/>
      <c r="U22" s="994"/>
      <c r="V22" s="994"/>
      <c r="W22" s="994"/>
      <c r="X22" s="994"/>
      <c r="Y22" s="994"/>
      <c r="Z22" s="27"/>
      <c r="AA22" s="27"/>
      <c r="AB22" s="27"/>
      <c r="AC22" s="27"/>
      <c r="AD22" s="27"/>
      <c r="AE22" s="27"/>
      <c r="AF22" s="27"/>
      <c r="AG22" s="27"/>
      <c r="AH22" s="27"/>
    </row>
    <row r="23" spans="1:34" ht="12.75" customHeight="1">
      <c r="A23" s="33">
        <v>21110204</v>
      </c>
      <c r="B23" s="24" t="s">
        <v>819</v>
      </c>
      <c r="C23" s="24">
        <v>1</v>
      </c>
      <c r="D23" s="1003"/>
      <c r="E23" s="1003"/>
      <c r="F23" s="1003"/>
      <c r="G23" s="1003"/>
      <c r="H23" s="994"/>
      <c r="I23" s="994"/>
      <c r="J23" s="994"/>
      <c r="K23" s="994"/>
      <c r="L23" s="994"/>
      <c r="M23" s="994"/>
      <c r="N23" s="994"/>
      <c r="O23" s="994"/>
      <c r="P23" s="994"/>
      <c r="Q23" s="994"/>
      <c r="R23" s="994"/>
      <c r="S23" s="994"/>
      <c r="T23" s="994"/>
      <c r="U23" s="994"/>
      <c r="V23" s="994"/>
      <c r="W23" s="994"/>
      <c r="X23" s="994"/>
      <c r="Y23" s="994"/>
      <c r="Z23" s="27"/>
      <c r="AA23" s="27"/>
      <c r="AB23" s="27"/>
      <c r="AC23" s="27"/>
      <c r="AD23" s="27"/>
      <c r="AE23" s="27"/>
      <c r="AF23" s="27"/>
      <c r="AG23" s="27"/>
      <c r="AH23" s="27"/>
    </row>
    <row r="24" spans="1:34" ht="12.75" customHeight="1">
      <c r="A24" s="33">
        <v>21110205</v>
      </c>
      <c r="B24" s="24" t="s">
        <v>820</v>
      </c>
      <c r="C24" s="24">
        <f>363933/2</f>
        <v>181966.5</v>
      </c>
      <c r="D24" s="994"/>
      <c r="E24" s="997"/>
      <c r="F24" s="998"/>
      <c r="G24" s="999"/>
      <c r="H24" s="999"/>
      <c r="I24" s="998"/>
      <c r="J24" s="994"/>
      <c r="K24" s="994"/>
      <c r="L24" s="994"/>
      <c r="M24" s="994"/>
      <c r="N24" s="994"/>
      <c r="O24" s="994"/>
      <c r="P24" s="994"/>
      <c r="Q24" s="994"/>
      <c r="R24" s="994"/>
      <c r="S24" s="994"/>
      <c r="T24" s="994"/>
      <c r="U24" s="994"/>
      <c r="V24" s="994"/>
      <c r="W24" s="994"/>
      <c r="X24" s="994"/>
      <c r="Y24" s="994"/>
      <c r="Z24" s="27"/>
      <c r="AA24" s="27"/>
      <c r="AB24" s="27"/>
      <c r="AC24" s="27"/>
      <c r="AD24" s="27"/>
      <c r="AE24" s="27"/>
      <c r="AF24" s="27"/>
      <c r="AG24" s="27"/>
      <c r="AH24" s="27"/>
    </row>
    <row r="25" spans="1:34" ht="12.75" customHeight="1">
      <c r="A25" s="33">
        <v>21110206</v>
      </c>
      <c r="B25" s="24" t="s">
        <v>821</v>
      </c>
      <c r="C25" s="24">
        <v>1</v>
      </c>
      <c r="D25" s="986"/>
      <c r="E25" s="997"/>
      <c r="F25" s="998"/>
      <c r="G25" s="1000"/>
      <c r="H25" s="999"/>
      <c r="I25" s="998"/>
      <c r="J25" s="986"/>
      <c r="K25" s="986"/>
      <c r="L25" s="986"/>
      <c r="M25" s="986"/>
      <c r="N25" s="986"/>
      <c r="O25" s="986"/>
      <c r="P25" s="986"/>
      <c r="Q25" s="986"/>
      <c r="R25" s="986"/>
      <c r="S25" s="986"/>
      <c r="T25" s="986"/>
      <c r="U25" s="986"/>
      <c r="V25" s="986"/>
      <c r="W25" s="986"/>
      <c r="X25" s="986"/>
      <c r="Y25" s="986"/>
      <c r="Z25" s="13"/>
      <c r="AA25" s="13"/>
      <c r="AB25" s="13"/>
      <c r="AC25" s="13"/>
      <c r="AD25" s="13"/>
      <c r="AE25" s="13"/>
      <c r="AF25" s="13"/>
      <c r="AG25" s="13"/>
      <c r="AH25" s="13"/>
    </row>
    <row r="26" spans="1:34" ht="12.75" customHeight="1">
      <c r="A26" s="48">
        <v>211103</v>
      </c>
      <c r="B26" s="26" t="s">
        <v>669</v>
      </c>
      <c r="C26" s="26">
        <f>SUM(C27:C32)</f>
        <v>562010395.04250002</v>
      </c>
      <c r="D26" s="993"/>
      <c r="E26" s="997"/>
      <c r="F26" s="998"/>
      <c r="G26" s="1000"/>
      <c r="H26" s="999"/>
      <c r="I26" s="998"/>
      <c r="J26" s="986"/>
      <c r="K26" s="986"/>
      <c r="L26" s="986"/>
      <c r="M26" s="986"/>
      <c r="N26" s="986"/>
      <c r="O26" s="986"/>
      <c r="P26" s="986"/>
      <c r="Q26" s="986"/>
      <c r="R26" s="986"/>
      <c r="S26" s="986"/>
      <c r="T26" s="986"/>
      <c r="U26" s="986"/>
      <c r="V26" s="986"/>
      <c r="W26" s="986"/>
      <c r="X26" s="986"/>
      <c r="Y26" s="986"/>
      <c r="Z26" s="13"/>
      <c r="AA26" s="13"/>
      <c r="AB26" s="13"/>
      <c r="AC26" s="13"/>
      <c r="AD26" s="13"/>
      <c r="AE26" s="13"/>
      <c r="AF26" s="13"/>
      <c r="AG26" s="13"/>
      <c r="AH26" s="13"/>
    </row>
    <row r="27" spans="1:34" ht="12.75" customHeight="1">
      <c r="A27" s="33">
        <v>21110301</v>
      </c>
      <c r="B27" s="24" t="s">
        <v>822</v>
      </c>
      <c r="C27" s="24">
        <f>(837547272.0225+86811638.45)/2</f>
        <v>462179455.23625004</v>
      </c>
      <c r="D27" s="996"/>
      <c r="E27" s="997"/>
      <c r="F27" s="998"/>
      <c r="G27" s="1000"/>
      <c r="H27" s="999"/>
      <c r="I27" s="998"/>
      <c r="J27" s="994"/>
      <c r="K27" s="994"/>
      <c r="L27" s="994"/>
      <c r="M27" s="994"/>
      <c r="N27" s="994"/>
      <c r="O27" s="994"/>
      <c r="P27" s="994"/>
      <c r="Q27" s="994"/>
      <c r="R27" s="994"/>
      <c r="S27" s="994"/>
      <c r="T27" s="994"/>
      <c r="U27" s="994"/>
      <c r="V27" s="994"/>
      <c r="W27" s="994"/>
      <c r="X27" s="994"/>
      <c r="Y27" s="994"/>
      <c r="Z27" s="27"/>
      <c r="AA27" s="27"/>
      <c r="AB27" s="27"/>
      <c r="AC27" s="27"/>
      <c r="AD27" s="27"/>
      <c r="AE27" s="27"/>
      <c r="AF27" s="27"/>
      <c r="AG27" s="27"/>
      <c r="AH27" s="27"/>
    </row>
    <row r="28" spans="1:34" ht="12.75" customHeight="1">
      <c r="A28" s="33">
        <v>21110302</v>
      </c>
      <c r="B28" s="24" t="s">
        <v>823</v>
      </c>
      <c r="C28" s="24">
        <f>(135333576.69+25203378.9)/2</f>
        <v>80268477.795000002</v>
      </c>
      <c r="D28" s="107"/>
      <c r="E28" s="695"/>
      <c r="F28" s="78"/>
      <c r="G28" s="20"/>
      <c r="H28" s="78"/>
      <c r="I28" s="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34" ht="12.75" customHeight="1">
      <c r="A29" s="33">
        <v>21110303</v>
      </c>
      <c r="B29" s="24" t="s">
        <v>824</v>
      </c>
      <c r="C29" s="24">
        <f>25633182.0225/2</f>
        <v>12816591.01125</v>
      </c>
      <c r="D29" s="27"/>
      <c r="E29" s="695"/>
      <c r="F29" s="7"/>
      <c r="G29" s="20"/>
      <c r="H29" s="78"/>
      <c r="I29" s="69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row>
    <row r="30" spans="1:34" ht="12.75" customHeight="1">
      <c r="A30" s="33">
        <v>21110304</v>
      </c>
      <c r="B30" s="24" t="s">
        <v>825</v>
      </c>
      <c r="C30" s="24">
        <v>1</v>
      </c>
      <c r="D30" s="40"/>
      <c r="E30" s="695"/>
      <c r="F30" s="7"/>
      <c r="G30" s="20"/>
      <c r="H30" s="78"/>
      <c r="I30" s="7"/>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row>
    <row r="31" spans="1:34" ht="12.75" customHeight="1">
      <c r="A31" s="33">
        <v>21110305</v>
      </c>
      <c r="B31" s="24" t="s">
        <v>826</v>
      </c>
      <c r="C31" s="24">
        <f>13491738/2</f>
        <v>6745869</v>
      </c>
      <c r="D31" s="40"/>
      <c r="E31" s="695"/>
      <c r="F31" s="13"/>
      <c r="G31" s="696"/>
      <c r="H31" s="78"/>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2" spans="1:34" ht="12.75" customHeight="1">
      <c r="A32" s="33">
        <v>21110306</v>
      </c>
      <c r="B32" s="24" t="s">
        <v>670</v>
      </c>
      <c r="C32" s="24">
        <v>1</v>
      </c>
      <c r="D32" s="107"/>
      <c r="E32" s="695"/>
      <c r="F32" s="13"/>
      <c r="G32" s="27"/>
      <c r="H32" s="78"/>
      <c r="I32" s="13"/>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row>
    <row r="33" spans="1:34" ht="13.5" customHeight="1" thickBot="1">
      <c r="A33" s="23"/>
      <c r="B33" s="23"/>
      <c r="C33" s="24"/>
      <c r="D33" s="27"/>
      <c r="E33" s="695"/>
      <c r="F33" s="13"/>
      <c r="G33" s="14"/>
      <c r="H33" s="78"/>
      <c r="I33" s="13"/>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row>
    <row r="34" spans="1:34" ht="13.5" customHeight="1" thickBot="1">
      <c r="A34" s="1297" t="s">
        <v>9</v>
      </c>
      <c r="B34" s="1281"/>
      <c r="C34" s="62">
        <f>+C35+C37+C40+C44+C51+C54+C42</f>
        <v>12375926.824999999</v>
      </c>
      <c r="D34" s="27"/>
      <c r="E34" s="27"/>
      <c r="F34" s="108"/>
      <c r="G34" s="7"/>
      <c r="H34" s="7"/>
      <c r="I34" s="7"/>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row>
    <row r="35" spans="1:34" ht="13.5" customHeight="1">
      <c r="A35" s="48">
        <v>211201</v>
      </c>
      <c r="B35" s="48" t="s">
        <v>459</v>
      </c>
      <c r="C35" s="49">
        <f>C36</f>
        <v>2069426.825</v>
      </c>
      <c r="D35" s="107"/>
      <c r="E35" s="107"/>
      <c r="F35" s="110"/>
      <c r="G35" s="111"/>
      <c r="H35" s="111"/>
      <c r="I35" s="111"/>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row>
    <row r="36" spans="1:34" ht="13.5" customHeight="1">
      <c r="A36" s="33">
        <v>21120101</v>
      </c>
      <c r="B36" s="13" t="s">
        <v>460</v>
      </c>
      <c r="C36" s="24">
        <f>(3962853.65+176000)/2</f>
        <v>2069426.825</v>
      </c>
      <c r="D36" s="107"/>
      <c r="E36" s="107"/>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row>
    <row r="37" spans="1:34" ht="13.5" customHeight="1">
      <c r="A37" s="48">
        <v>211203</v>
      </c>
      <c r="B37" s="15" t="s">
        <v>461</v>
      </c>
      <c r="C37" s="26">
        <f>SUM(C38:C39)</f>
        <v>500000</v>
      </c>
      <c r="D37" s="107"/>
      <c r="E37" s="107"/>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row>
    <row r="38" spans="1:34" ht="13.5" customHeight="1">
      <c r="A38" s="33">
        <v>21120301</v>
      </c>
      <c r="B38" s="13" t="s">
        <v>527</v>
      </c>
      <c r="C38" s="24">
        <v>120000</v>
      </c>
      <c r="D38" s="32"/>
      <c r="E38" s="14"/>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row>
    <row r="39" spans="1:34" ht="13.5" customHeight="1">
      <c r="A39" s="33">
        <v>21120302</v>
      </c>
      <c r="B39" s="13" t="s">
        <v>462</v>
      </c>
      <c r="C39" s="24">
        <f>300000+80000</f>
        <v>380000</v>
      </c>
      <c r="D39" s="107"/>
      <c r="E39" s="107"/>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row>
    <row r="40" spans="1:34" ht="13.5" customHeight="1">
      <c r="A40" s="48">
        <v>211204</v>
      </c>
      <c r="B40" s="15" t="s">
        <v>463</v>
      </c>
      <c r="C40" s="26">
        <f>C41</f>
        <v>2687000</v>
      </c>
      <c r="D40" s="107"/>
      <c r="E40" s="107"/>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row>
    <row r="41" spans="1:34" ht="13.5" customHeight="1">
      <c r="A41" s="33">
        <v>21120401</v>
      </c>
      <c r="B41" s="24" t="s">
        <v>464</v>
      </c>
      <c r="C41" s="24">
        <f>1500000+1187000</f>
        <v>2687000</v>
      </c>
      <c r="D41" s="107"/>
      <c r="E41" s="107"/>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row>
    <row r="42" spans="1:34" ht="13.5" customHeight="1">
      <c r="A42" s="48">
        <v>211205</v>
      </c>
      <c r="B42" s="26" t="s">
        <v>465</v>
      </c>
      <c r="C42" s="26">
        <f>C43</f>
        <v>1550500</v>
      </c>
      <c r="D42" s="37"/>
      <c r="E42" s="38"/>
      <c r="F42" s="38"/>
      <c r="G42" s="39"/>
      <c r="H42" s="38"/>
      <c r="I42" s="38"/>
      <c r="J42" s="38"/>
      <c r="K42" s="38"/>
      <c r="L42" s="38"/>
      <c r="M42" s="38"/>
      <c r="N42" s="38"/>
      <c r="O42" s="38"/>
      <c r="P42" s="38"/>
      <c r="Q42" s="38"/>
      <c r="R42" s="38"/>
      <c r="S42" s="38"/>
      <c r="T42" s="38"/>
      <c r="U42" s="38"/>
      <c r="V42" s="38"/>
      <c r="W42" s="38"/>
      <c r="X42" s="38"/>
      <c r="Y42" s="23"/>
      <c r="Z42" s="23"/>
      <c r="AA42" s="23"/>
      <c r="AB42" s="23"/>
      <c r="AC42" s="23"/>
      <c r="AD42" s="23"/>
      <c r="AE42" s="23"/>
      <c r="AF42" s="23"/>
      <c r="AG42" s="23"/>
      <c r="AH42" s="23"/>
    </row>
    <row r="43" spans="1:34" ht="13.5" customHeight="1">
      <c r="A43" s="33">
        <v>21120501</v>
      </c>
      <c r="B43" s="24" t="s">
        <v>466</v>
      </c>
      <c r="C43" s="24">
        <f>550500+1000000</f>
        <v>1550500</v>
      </c>
      <c r="D43" s="37"/>
      <c r="E43" s="38"/>
      <c r="F43" s="38"/>
      <c r="G43" s="39"/>
      <c r="H43" s="38"/>
      <c r="I43" s="38"/>
      <c r="J43" s="38"/>
      <c r="K43" s="38"/>
      <c r="L43" s="38"/>
      <c r="M43" s="38"/>
      <c r="N43" s="38"/>
      <c r="O43" s="38"/>
      <c r="P43" s="38"/>
      <c r="Q43" s="38"/>
      <c r="R43" s="38"/>
      <c r="S43" s="38"/>
      <c r="T43" s="38"/>
      <c r="U43" s="38"/>
      <c r="V43" s="38"/>
      <c r="W43" s="38"/>
      <c r="X43" s="38"/>
      <c r="Y43" s="23"/>
      <c r="Z43" s="23"/>
      <c r="AA43" s="23"/>
      <c r="AB43" s="23"/>
      <c r="AC43" s="23"/>
      <c r="AD43" s="23"/>
      <c r="AE43" s="23"/>
      <c r="AF43" s="23"/>
      <c r="AG43" s="23"/>
      <c r="AH43" s="23"/>
    </row>
    <row r="44" spans="1:34" ht="13.5" customHeight="1">
      <c r="A44" s="48">
        <v>211207</v>
      </c>
      <c r="B44" s="26" t="s">
        <v>467</v>
      </c>
      <c r="C44" s="26">
        <f>SUM(C45:C50)</f>
        <v>1205000</v>
      </c>
      <c r="D44" s="107"/>
      <c r="E44" s="107"/>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34" ht="13.5" customHeight="1">
      <c r="A45" s="33">
        <v>21120702</v>
      </c>
      <c r="B45" s="24" t="s">
        <v>468</v>
      </c>
      <c r="C45" s="24">
        <f>(1000000+50000)/2</f>
        <v>525000</v>
      </c>
      <c r="D45" s="107"/>
      <c r="E45" s="107"/>
      <c r="F45" s="35"/>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row>
    <row r="46" spans="1:34" ht="13.5" customHeight="1">
      <c r="A46" s="33">
        <v>21120704</v>
      </c>
      <c r="B46" s="24" t="s">
        <v>469</v>
      </c>
      <c r="C46" s="24">
        <v>200000</v>
      </c>
      <c r="D46" s="107"/>
      <c r="E46" s="107"/>
      <c r="F46" s="35"/>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row>
    <row r="47" spans="1:34" ht="13.5" customHeight="1">
      <c r="A47" s="33">
        <v>21120708</v>
      </c>
      <c r="B47" s="13" t="s">
        <v>470</v>
      </c>
      <c r="C47" s="24">
        <v>50000</v>
      </c>
      <c r="D47" s="107"/>
      <c r="E47" s="107"/>
      <c r="F47" s="35"/>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row>
    <row r="48" spans="1:34" ht="13.5" customHeight="1">
      <c r="A48" s="33">
        <v>21120709</v>
      </c>
      <c r="B48" s="24" t="s">
        <v>471</v>
      </c>
      <c r="C48" s="24">
        <v>30000</v>
      </c>
      <c r="D48" s="107"/>
      <c r="E48" s="107"/>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1:34" ht="13.5" customHeight="1">
      <c r="A49" s="33">
        <v>21120710</v>
      </c>
      <c r="B49" s="24" t="s">
        <v>472</v>
      </c>
      <c r="C49" s="24">
        <v>320000</v>
      </c>
      <c r="D49" s="107"/>
      <c r="E49" s="107"/>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ht="13.5" customHeight="1">
      <c r="A50" s="33">
        <v>21120711</v>
      </c>
      <c r="B50" s="24" t="s">
        <v>473</v>
      </c>
      <c r="C50" s="24">
        <v>80000</v>
      </c>
      <c r="D50" s="107"/>
      <c r="E50" s="107"/>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1:34" ht="13.5" customHeight="1">
      <c r="A51" s="48">
        <v>211208</v>
      </c>
      <c r="B51" s="26" t="s">
        <v>474</v>
      </c>
      <c r="C51" s="26">
        <f>+SUM(C52:C53)</f>
        <v>918000</v>
      </c>
      <c r="D51" s="107"/>
      <c r="E51" s="107"/>
      <c r="F51" s="35"/>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row>
    <row r="52" spans="1:34" ht="13.5" customHeight="1">
      <c r="A52" s="33">
        <v>21120801</v>
      </c>
      <c r="B52" s="13" t="s">
        <v>475</v>
      </c>
      <c r="C52" s="24">
        <v>320000</v>
      </c>
      <c r="D52" s="107"/>
      <c r="E52" s="107"/>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ht="13.5" customHeight="1">
      <c r="A53" s="33">
        <v>21120805</v>
      </c>
      <c r="B53" s="24" t="s">
        <v>476</v>
      </c>
      <c r="C53" s="24">
        <v>598000</v>
      </c>
      <c r="D53" s="107"/>
      <c r="E53" s="107"/>
      <c r="F53" s="35"/>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row>
    <row r="54" spans="1:34" ht="13.5" customHeight="1">
      <c r="A54" s="48">
        <v>211209</v>
      </c>
      <c r="B54" s="26" t="s">
        <v>477</v>
      </c>
      <c r="C54" s="16">
        <f>+SUM(C55:C58)</f>
        <v>3446000</v>
      </c>
      <c r="D54" s="107"/>
      <c r="E54" s="107"/>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ht="13.5" customHeight="1">
      <c r="A55" s="33">
        <v>21120901</v>
      </c>
      <c r="B55" s="24" t="s">
        <v>478</v>
      </c>
      <c r="C55" s="24">
        <f>1000000+88000</f>
        <v>1088000</v>
      </c>
      <c r="D55" s="107"/>
      <c r="E55" s="107"/>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1:34" ht="13.5" customHeight="1">
      <c r="A56" s="33">
        <v>21120905</v>
      </c>
      <c r="B56" s="24" t="s">
        <v>525</v>
      </c>
      <c r="C56" s="24">
        <v>260000</v>
      </c>
      <c r="D56" s="107"/>
      <c r="E56" s="107"/>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1:34" ht="13.5" customHeight="1">
      <c r="A57" s="33">
        <v>21120906</v>
      </c>
      <c r="B57" s="24" t="s">
        <v>479</v>
      </c>
      <c r="C57" s="24">
        <f>1548000</f>
        <v>1548000</v>
      </c>
      <c r="D57" s="107"/>
      <c r="E57" s="107"/>
      <c r="F57" s="9"/>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1:34" ht="13.5" customHeight="1">
      <c r="A58" s="33">
        <v>21120907</v>
      </c>
      <c r="B58" s="13" t="s">
        <v>480</v>
      </c>
      <c r="C58" s="14">
        <v>550000</v>
      </c>
      <c r="D58" s="107"/>
      <c r="E58" s="107"/>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ht="13.5" customHeight="1" thickBot="1">
      <c r="A59" s="23"/>
      <c r="B59" s="8"/>
      <c r="C59" s="24"/>
      <c r="D59" s="107"/>
      <c r="E59" s="107"/>
      <c r="F59" s="7"/>
      <c r="G59" s="7"/>
      <c r="H59" s="7"/>
      <c r="I59" s="7"/>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3.5" customHeight="1" thickBot="1">
      <c r="A60" s="1298" t="s">
        <v>4</v>
      </c>
      <c r="B60" s="1281"/>
      <c r="C60" s="64">
        <f>C61+C63+C67+C70+C72+C74</f>
        <v>8527625.4749999996</v>
      </c>
      <c r="D60" s="107"/>
      <c r="E60" s="107"/>
      <c r="F60" s="7"/>
      <c r="G60" s="108"/>
      <c r="H60" s="7"/>
      <c r="I60" s="7"/>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3.5" customHeight="1">
      <c r="A61" s="22">
        <v>211302</v>
      </c>
      <c r="B61" s="48" t="s">
        <v>481</v>
      </c>
      <c r="C61" s="49">
        <f>+SUM(C62:C62)</f>
        <v>479000</v>
      </c>
      <c r="D61" s="107"/>
      <c r="E61" s="107"/>
      <c r="F61" s="111"/>
      <c r="G61" s="110"/>
      <c r="H61" s="111"/>
      <c r="I61" s="111"/>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row>
    <row r="62" spans="1:34" ht="13.5" customHeight="1">
      <c r="A62" s="40">
        <v>21130204</v>
      </c>
      <c r="B62" s="13" t="s">
        <v>483</v>
      </c>
      <c r="C62" s="24">
        <f>100000+379000</f>
        <v>479000</v>
      </c>
      <c r="D62" s="107"/>
      <c r="E62" s="107"/>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row>
    <row r="63" spans="1:34" ht="13.5" customHeight="1">
      <c r="A63" s="22">
        <v>211303</v>
      </c>
      <c r="B63" s="15" t="s">
        <v>484</v>
      </c>
      <c r="C63" s="26">
        <f>SUM(C64:C66)</f>
        <v>170000</v>
      </c>
      <c r="D63" s="107"/>
      <c r="E63" s="107"/>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1:34" ht="13.5" customHeight="1">
      <c r="A64" s="40">
        <v>21130302</v>
      </c>
      <c r="B64" s="13" t="s">
        <v>520</v>
      </c>
      <c r="C64" s="24">
        <v>60000</v>
      </c>
      <c r="D64" s="107"/>
      <c r="E64" s="107"/>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1:34" ht="13.5" customHeight="1">
      <c r="A65" s="33">
        <v>21130304</v>
      </c>
      <c r="B65" s="23" t="s">
        <v>486</v>
      </c>
      <c r="C65" s="24">
        <v>50000</v>
      </c>
      <c r="D65" s="6"/>
    </row>
    <row r="66" spans="1:34" ht="13.5" customHeight="1">
      <c r="A66" s="40">
        <v>21130307</v>
      </c>
      <c r="B66" s="13" t="s">
        <v>488</v>
      </c>
      <c r="C66" s="24">
        <v>60000</v>
      </c>
      <c r="D66" s="107"/>
      <c r="E66" s="107"/>
      <c r="F66" s="14"/>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row>
    <row r="67" spans="1:34" ht="13.5" customHeight="1">
      <c r="A67" s="48">
        <v>211305</v>
      </c>
      <c r="B67" s="15" t="s">
        <v>489</v>
      </c>
      <c r="C67" s="26">
        <f>SUM(C68:C69)</f>
        <v>759000</v>
      </c>
      <c r="D67" s="107"/>
      <c r="E67" s="107"/>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1:34" ht="13.5" customHeight="1">
      <c r="A68" s="33">
        <v>21130501</v>
      </c>
      <c r="B68" s="13" t="s">
        <v>490</v>
      </c>
      <c r="C68" s="14">
        <v>9000</v>
      </c>
      <c r="D68" s="107"/>
      <c r="E68" s="107"/>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1:34" ht="13.5" customHeight="1">
      <c r="A69" s="33">
        <v>21130502</v>
      </c>
      <c r="B69" s="24" t="s">
        <v>491</v>
      </c>
      <c r="C69" s="14">
        <f>600000+150000</f>
        <v>750000</v>
      </c>
      <c r="D69" s="107"/>
      <c r="E69" s="10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1:34" ht="13.5" customHeight="1">
      <c r="A70" s="48">
        <v>211306</v>
      </c>
      <c r="B70" s="26" t="s">
        <v>492</v>
      </c>
      <c r="C70" s="16">
        <f>C71</f>
        <v>40000</v>
      </c>
      <c r="D70" s="107"/>
      <c r="E70" s="107"/>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1:34" ht="13.5" customHeight="1">
      <c r="A71" s="33">
        <v>21130607</v>
      </c>
      <c r="B71" s="24" t="s">
        <v>493</v>
      </c>
      <c r="C71" s="14">
        <v>40000</v>
      </c>
      <c r="D71" s="107"/>
      <c r="E71" s="107"/>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1:34" ht="13.5" customHeight="1">
      <c r="A72" s="48">
        <v>211307</v>
      </c>
      <c r="B72" s="26" t="s">
        <v>494</v>
      </c>
      <c r="C72" s="16">
        <f>C73</f>
        <v>350000</v>
      </c>
      <c r="D72" s="107"/>
      <c r="E72" s="107"/>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1:34" ht="13.5" customHeight="1">
      <c r="A73" s="33">
        <v>21130701</v>
      </c>
      <c r="B73" s="13" t="s">
        <v>495</v>
      </c>
      <c r="C73" s="14">
        <v>350000</v>
      </c>
      <c r="D73" s="107"/>
      <c r="E73" s="107"/>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1:34" ht="13.5" customHeight="1">
      <c r="A74" s="48">
        <v>211309</v>
      </c>
      <c r="B74" s="26" t="s">
        <v>496</v>
      </c>
      <c r="C74" s="16">
        <f>+SUM(C75:C79)</f>
        <v>6729625.4749999996</v>
      </c>
      <c r="D74" s="107"/>
      <c r="E74" s="107"/>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1:34" ht="13.5" customHeight="1">
      <c r="A75" s="33">
        <v>21130901</v>
      </c>
      <c r="B75" s="24" t="s">
        <v>497</v>
      </c>
      <c r="C75" s="14">
        <f>(544500+10176250.95)/2</f>
        <v>5360375.4749999996</v>
      </c>
      <c r="D75" s="107"/>
      <c r="E75" s="107"/>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1:34" ht="13.5" customHeight="1">
      <c r="A76" s="33">
        <v>21130903</v>
      </c>
      <c r="B76" s="24" t="s">
        <v>498</v>
      </c>
      <c r="C76" s="14">
        <f>1687500/2</f>
        <v>843750</v>
      </c>
      <c r="D76" s="107"/>
      <c r="E76" s="107"/>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ht="13.5" customHeight="1">
      <c r="A77" s="33">
        <v>21130905</v>
      </c>
      <c r="B77" s="24" t="s">
        <v>532</v>
      </c>
      <c r="C77" s="24">
        <v>130000</v>
      </c>
      <c r="D77" s="107"/>
      <c r="E77" s="107"/>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ht="13.5" customHeight="1">
      <c r="A78" s="33">
        <v>21130906</v>
      </c>
      <c r="B78" s="13" t="s">
        <v>499</v>
      </c>
      <c r="C78" s="14">
        <v>95500</v>
      </c>
      <c r="D78" s="107"/>
      <c r="E78" s="107"/>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ht="13.5" customHeight="1">
      <c r="A79" s="33">
        <v>21130908</v>
      </c>
      <c r="B79" s="24" t="s">
        <v>500</v>
      </c>
      <c r="C79" s="14">
        <v>300000</v>
      </c>
      <c r="D79" s="107"/>
      <c r="E79" s="10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ht="13.5" customHeight="1" thickBot="1">
      <c r="A80" s="23"/>
      <c r="B80" s="23"/>
      <c r="C80" s="24"/>
      <c r="D80" s="107"/>
      <c r="E80" s="107"/>
      <c r="F80" s="7"/>
      <c r="G80" s="7"/>
      <c r="H80" s="7"/>
      <c r="I80" s="7"/>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3.5" customHeight="1" thickBot="1">
      <c r="A81" s="1287" t="s">
        <v>45</v>
      </c>
      <c r="B81" s="1281"/>
      <c r="C81" s="47">
        <f>C82+C85</f>
        <v>2581796.0700000003</v>
      </c>
      <c r="D81" s="107"/>
      <c r="E81" s="107"/>
      <c r="F81" s="7"/>
      <c r="G81" s="7"/>
      <c r="H81" s="108"/>
      <c r="I81" s="7"/>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3.5" customHeight="1">
      <c r="A82" s="48">
        <v>211401</v>
      </c>
      <c r="B82" s="48" t="s">
        <v>501</v>
      </c>
      <c r="C82" s="49">
        <f>SUM(C83:C84)</f>
        <v>1210000</v>
      </c>
      <c r="D82" s="107"/>
      <c r="E82" s="107"/>
      <c r="F82" s="111"/>
      <c r="G82" s="111"/>
      <c r="H82" s="110"/>
      <c r="I82" s="111"/>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row>
    <row r="83" spans="1:34" ht="13.5" customHeight="1">
      <c r="A83" s="33">
        <v>21140108</v>
      </c>
      <c r="B83" s="24" t="s">
        <v>502</v>
      </c>
      <c r="C83" s="24">
        <f>400000+40000</f>
        <v>440000</v>
      </c>
      <c r="D83" s="107"/>
      <c r="E83" s="107"/>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row>
    <row r="84" spans="1:34" ht="13.5" customHeight="1">
      <c r="A84" s="33">
        <v>21140109</v>
      </c>
      <c r="B84" s="24" t="s">
        <v>549</v>
      </c>
      <c r="C84" s="24">
        <f>700000+70000</f>
        <v>770000</v>
      </c>
      <c r="D84" s="107"/>
      <c r="E84" s="107"/>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row>
    <row r="85" spans="1:34" ht="13.5" customHeight="1">
      <c r="A85" s="48">
        <v>211402</v>
      </c>
      <c r="B85" s="21" t="s">
        <v>503</v>
      </c>
      <c r="C85" s="26">
        <f>+SUM(C86:C88)</f>
        <v>1371796.07</v>
      </c>
      <c r="D85" s="107"/>
      <c r="E85" s="107"/>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row>
    <row r="86" spans="1:34" ht="13.5" customHeight="1">
      <c r="A86" s="33">
        <v>21140203</v>
      </c>
      <c r="B86" s="24" t="s">
        <v>550</v>
      </c>
      <c r="C86" s="24">
        <v>550000</v>
      </c>
      <c r="D86" s="107"/>
      <c r="E86" s="107"/>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row>
    <row r="87" spans="1:34" ht="13.5" customHeight="1">
      <c r="A87" s="33">
        <v>21140204</v>
      </c>
      <c r="B87" s="24" t="s">
        <v>556</v>
      </c>
      <c r="C87" s="24">
        <f>450000+45000</f>
        <v>495000</v>
      </c>
      <c r="D87" s="107"/>
      <c r="E87" s="107"/>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row>
    <row r="88" spans="1:34" ht="13.5" customHeight="1">
      <c r="A88" s="33">
        <v>21140213</v>
      </c>
      <c r="B88" s="24" t="s">
        <v>504</v>
      </c>
      <c r="C88" s="24">
        <f>170000+156796.07</f>
        <v>326796.07</v>
      </c>
      <c r="D88" s="107"/>
      <c r="E88" s="107"/>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row>
    <row r="89" spans="1:34" ht="13.5" customHeight="1" thickBot="1">
      <c r="A89" s="23"/>
      <c r="B89" s="13"/>
      <c r="C89" s="14"/>
      <c r="D89" s="107"/>
      <c r="E89" s="107"/>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row>
    <row r="90" spans="1:34" ht="13.5" customHeight="1" thickBot="1">
      <c r="A90" s="1299" t="s">
        <v>48</v>
      </c>
      <c r="B90" s="1281"/>
      <c r="C90" s="65">
        <f>C91+C95</f>
        <v>671000</v>
      </c>
      <c r="D90" s="107"/>
      <c r="E90" s="107"/>
      <c r="F90" s="7"/>
      <c r="G90" s="7"/>
      <c r="H90" s="7"/>
      <c r="I90" s="7"/>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3.5" customHeight="1">
      <c r="A91" s="48">
        <v>221104</v>
      </c>
      <c r="B91" s="48" t="s">
        <v>510</v>
      </c>
      <c r="C91" s="49">
        <f>SUM(C92:C94)</f>
        <v>471000</v>
      </c>
      <c r="D91" s="107"/>
      <c r="E91" s="107"/>
      <c r="F91" s="111"/>
      <c r="G91" s="111"/>
      <c r="H91" s="111"/>
      <c r="I91" s="111"/>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row>
    <row r="92" spans="1:34" ht="13.5" customHeight="1">
      <c r="A92" s="33">
        <v>22110401</v>
      </c>
      <c r="B92" s="24" t="s">
        <v>511</v>
      </c>
      <c r="C92" s="24">
        <v>350000</v>
      </c>
      <c r="D92" s="107"/>
      <c r="E92" s="107"/>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row>
    <row r="93" spans="1:34" ht="13.5" customHeight="1">
      <c r="A93" s="33">
        <v>22110404</v>
      </c>
      <c r="B93" s="13" t="s">
        <v>512</v>
      </c>
      <c r="C93" s="24">
        <v>21000</v>
      </c>
      <c r="D93" s="107"/>
      <c r="E93" s="107"/>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row>
    <row r="94" spans="1:34" ht="13.5" customHeight="1">
      <c r="A94" s="33">
        <v>22110409</v>
      </c>
      <c r="B94" s="24" t="s">
        <v>513</v>
      </c>
      <c r="C94" s="24">
        <v>100000</v>
      </c>
      <c r="D94" s="107"/>
      <c r="E94" s="107"/>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row>
    <row r="95" spans="1:34" ht="13.5" customHeight="1">
      <c r="A95" s="48">
        <v>221107</v>
      </c>
      <c r="B95" s="26" t="s">
        <v>514</v>
      </c>
      <c r="C95" s="26">
        <f>SUM(C96)</f>
        <v>200000</v>
      </c>
      <c r="D95" s="107"/>
      <c r="E95" s="107"/>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row>
    <row r="96" spans="1:34" ht="13.5" customHeight="1">
      <c r="A96" s="33">
        <v>22110702</v>
      </c>
      <c r="B96" s="24" t="s">
        <v>515</v>
      </c>
      <c r="C96" s="24">
        <v>200000</v>
      </c>
      <c r="D96" s="107"/>
      <c r="E96" s="107"/>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row>
    <row r="97" spans="1:34" ht="13.5" customHeight="1">
      <c r="A97" s="23"/>
      <c r="B97" s="24"/>
      <c r="C97" s="24"/>
      <c r="D97" s="107"/>
      <c r="E97" s="107"/>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row>
    <row r="98" spans="1:34" ht="13.5" thickBot="1"/>
    <row r="99" spans="1:34" ht="12.75" customHeight="1">
      <c r="A99" s="1334" t="s">
        <v>737</v>
      </c>
      <c r="B99" s="1352"/>
      <c r="C99" s="1518">
        <v>1202</v>
      </c>
    </row>
    <row r="100" spans="1:34" ht="13.5" thickBot="1">
      <c r="A100" s="1337"/>
      <c r="B100" s="1353"/>
      <c r="C100" s="1519"/>
    </row>
    <row r="101" spans="1:34" ht="13.5">
      <c r="A101" s="1028" t="s">
        <v>675</v>
      </c>
      <c r="B101" s="808"/>
      <c r="C101" s="1183"/>
    </row>
    <row r="102" spans="1:34" ht="13.5">
      <c r="A102" s="1028" t="s">
        <v>728</v>
      </c>
      <c r="B102" s="808"/>
      <c r="C102" s="1184"/>
    </row>
    <row r="103" spans="1:34" ht="13.5">
      <c r="A103" s="1028" t="s">
        <v>729</v>
      </c>
      <c r="B103" s="808"/>
      <c r="C103" s="1184"/>
    </row>
    <row r="104" spans="1:34" ht="14.25" thickBot="1">
      <c r="A104" s="1125" t="s">
        <v>59</v>
      </c>
      <c r="B104" s="982"/>
      <c r="C104" s="1184"/>
    </row>
    <row r="105" spans="1:34" ht="14.25" thickBot="1">
      <c r="A105" s="1171" t="s">
        <v>60</v>
      </c>
      <c r="B105" s="1186"/>
      <c r="C105" s="1512">
        <f>(C107+C122+C136)</f>
        <v>3653500</v>
      </c>
    </row>
    <row r="106" spans="1:34" ht="14.25" thickBot="1">
      <c r="A106" s="23"/>
      <c r="B106" s="23"/>
      <c r="C106" s="24"/>
    </row>
    <row r="107" spans="1:34" ht="14.25" thickBot="1">
      <c r="A107" s="1297" t="s">
        <v>9</v>
      </c>
      <c r="B107" s="1281"/>
      <c r="C107" s="62">
        <f>C108+C110+C112+C114+C117</f>
        <v>1100500</v>
      </c>
    </row>
    <row r="108" spans="1:34" ht="13.5">
      <c r="A108" s="48">
        <v>211201</v>
      </c>
      <c r="B108" s="48" t="s">
        <v>459</v>
      </c>
      <c r="C108" s="49">
        <f>SUM(C109)</f>
        <v>85500</v>
      </c>
    </row>
    <row r="109" spans="1:34" ht="13.5">
      <c r="A109" s="33">
        <v>21120101</v>
      </c>
      <c r="B109" s="13" t="s">
        <v>460</v>
      </c>
      <c r="C109" s="24">
        <v>85500</v>
      </c>
    </row>
    <row r="110" spans="1:34" ht="13.5">
      <c r="A110" s="48">
        <v>211203</v>
      </c>
      <c r="B110" s="15" t="s">
        <v>461</v>
      </c>
      <c r="C110" s="26">
        <f>SUM(C111)</f>
        <v>170000</v>
      </c>
    </row>
    <row r="111" spans="1:34" ht="13.5">
      <c r="A111" s="33">
        <v>21120302</v>
      </c>
      <c r="B111" s="13" t="s">
        <v>462</v>
      </c>
      <c r="C111" s="24">
        <f>70000+100000</f>
        <v>170000</v>
      </c>
    </row>
    <row r="112" spans="1:34" ht="13.5">
      <c r="A112" s="48">
        <v>211204</v>
      </c>
      <c r="B112" s="15" t="s">
        <v>463</v>
      </c>
      <c r="C112" s="26">
        <f>SUM(C113)</f>
        <v>210000</v>
      </c>
    </row>
    <row r="113" spans="1:3" ht="13.5">
      <c r="A113" s="33">
        <v>21120401</v>
      </c>
      <c r="B113" s="13" t="s">
        <v>464</v>
      </c>
      <c r="C113" s="24">
        <f>60000+150000</f>
        <v>210000</v>
      </c>
    </row>
    <row r="114" spans="1:3" ht="13.5">
      <c r="A114" s="48">
        <v>211208</v>
      </c>
      <c r="B114" s="15" t="s">
        <v>474</v>
      </c>
      <c r="C114" s="26">
        <f>SUM(C115:C116)</f>
        <v>145000</v>
      </c>
    </row>
    <row r="115" spans="1:3" ht="13.5">
      <c r="A115" s="33">
        <v>0.21120801</v>
      </c>
      <c r="B115" s="13" t="s">
        <v>475</v>
      </c>
      <c r="C115" s="24">
        <v>100000</v>
      </c>
    </row>
    <row r="116" spans="1:3" ht="13.5">
      <c r="A116" s="33">
        <v>21120805</v>
      </c>
      <c r="B116" s="13" t="s">
        <v>476</v>
      </c>
      <c r="C116" s="24">
        <v>45000</v>
      </c>
    </row>
    <row r="117" spans="1:3" ht="13.5">
      <c r="A117" s="48">
        <v>211209</v>
      </c>
      <c r="B117" s="26" t="s">
        <v>477</v>
      </c>
      <c r="C117" s="26">
        <f>SUM(C118:C120)</f>
        <v>490000</v>
      </c>
    </row>
    <row r="118" spans="1:3" ht="13.5">
      <c r="A118" s="33">
        <v>21120901</v>
      </c>
      <c r="B118" s="13" t="s">
        <v>478</v>
      </c>
      <c r="C118" s="24">
        <v>60000</v>
      </c>
    </row>
    <row r="119" spans="1:3" ht="13.5">
      <c r="A119" s="33">
        <v>21120906</v>
      </c>
      <c r="B119" s="13" t="s">
        <v>479</v>
      </c>
      <c r="C119" s="24">
        <v>210000</v>
      </c>
    </row>
    <row r="120" spans="1:3" ht="13.5">
      <c r="A120" s="33">
        <v>21120907</v>
      </c>
      <c r="B120" s="13" t="s">
        <v>480</v>
      </c>
      <c r="C120" s="24">
        <f>130000+90000</f>
        <v>220000</v>
      </c>
    </row>
    <row r="121" spans="1:3" ht="14.25" thickBot="1">
      <c r="A121" s="23"/>
      <c r="B121" s="13"/>
      <c r="C121" s="24"/>
    </row>
    <row r="122" spans="1:3" ht="14.25" thickBot="1">
      <c r="A122" s="1298" t="s">
        <v>4</v>
      </c>
      <c r="B122" s="1281"/>
      <c r="C122" s="64">
        <f>C123+C125+C127+C129</f>
        <v>2326000</v>
      </c>
    </row>
    <row r="123" spans="1:3" ht="13.5">
      <c r="A123" s="22">
        <v>211302</v>
      </c>
      <c r="B123" s="48" t="s">
        <v>481</v>
      </c>
      <c r="C123" s="26">
        <f>C124</f>
        <v>85000</v>
      </c>
    </row>
    <row r="124" spans="1:3" ht="13.5">
      <c r="A124" s="33">
        <v>21130204</v>
      </c>
      <c r="B124" s="24" t="s">
        <v>483</v>
      </c>
      <c r="C124" s="24">
        <v>85000</v>
      </c>
    </row>
    <row r="125" spans="1:3" ht="13.5">
      <c r="A125" s="22">
        <v>211305</v>
      </c>
      <c r="B125" s="15" t="s">
        <v>489</v>
      </c>
      <c r="C125" s="49">
        <f>C126</f>
        <v>550000</v>
      </c>
    </row>
    <row r="126" spans="1:3" ht="13.5">
      <c r="A126" s="40">
        <v>21130502</v>
      </c>
      <c r="B126" s="13" t="s">
        <v>491</v>
      </c>
      <c r="C126" s="24">
        <v>550000</v>
      </c>
    </row>
    <row r="127" spans="1:3" ht="13.5">
      <c r="A127" s="22">
        <v>211307</v>
      </c>
      <c r="B127" s="15" t="s">
        <v>494</v>
      </c>
      <c r="C127" s="26">
        <f>C128</f>
        <v>634000</v>
      </c>
    </row>
    <row r="128" spans="1:3" ht="13.5">
      <c r="A128" s="40">
        <v>21130704</v>
      </c>
      <c r="B128" s="13" t="s">
        <v>537</v>
      </c>
      <c r="C128" s="24">
        <v>634000</v>
      </c>
    </row>
    <row r="129" spans="1:3" ht="13.5">
      <c r="A129" s="48">
        <v>211309</v>
      </c>
      <c r="B129" s="21" t="s">
        <v>496</v>
      </c>
      <c r="C129" s="49">
        <f>+SUM(C130:C134)</f>
        <v>1057000</v>
      </c>
    </row>
    <row r="130" spans="1:3" ht="13.5">
      <c r="A130" s="33">
        <v>21130901</v>
      </c>
      <c r="B130" s="23" t="s">
        <v>497</v>
      </c>
      <c r="C130" s="24">
        <v>530000</v>
      </c>
    </row>
    <row r="131" spans="1:3" ht="13.5">
      <c r="A131" s="33">
        <v>21130903</v>
      </c>
      <c r="B131" s="23" t="s">
        <v>498</v>
      </c>
      <c r="C131" s="24">
        <v>30000</v>
      </c>
    </row>
    <row r="132" spans="1:3" ht="13.5">
      <c r="A132" s="33">
        <v>21130905</v>
      </c>
      <c r="B132" s="13" t="s">
        <v>532</v>
      </c>
      <c r="C132" s="24">
        <f>25000+50000</f>
        <v>75000</v>
      </c>
    </row>
    <row r="133" spans="1:3" ht="13.5">
      <c r="A133" s="33">
        <v>21130906</v>
      </c>
      <c r="B133" s="13" t="s">
        <v>499</v>
      </c>
      <c r="C133" s="24">
        <v>130000</v>
      </c>
    </row>
    <row r="134" spans="1:3" ht="13.5">
      <c r="A134" s="33">
        <v>21130908</v>
      </c>
      <c r="B134" s="24" t="s">
        <v>500</v>
      </c>
      <c r="C134" s="24">
        <v>292000</v>
      </c>
    </row>
    <row r="135" spans="1:3" ht="14.25" thickBot="1">
      <c r="A135" s="23"/>
      <c r="B135" s="23"/>
      <c r="C135" s="24"/>
    </row>
    <row r="136" spans="1:3" ht="14.25" thickBot="1">
      <c r="A136" s="1299" t="s">
        <v>48</v>
      </c>
      <c r="B136" s="1281"/>
      <c r="C136" s="65">
        <f>C137+C139</f>
        <v>227000</v>
      </c>
    </row>
    <row r="137" spans="1:3" ht="13.5">
      <c r="A137" s="48">
        <v>221104</v>
      </c>
      <c r="B137" s="48" t="s">
        <v>510</v>
      </c>
      <c r="C137" s="49">
        <f>SUM(C138)</f>
        <v>167000</v>
      </c>
    </row>
    <row r="138" spans="1:3" ht="13.5">
      <c r="A138" s="33">
        <v>22110401</v>
      </c>
      <c r="B138" s="13" t="s">
        <v>511</v>
      </c>
      <c r="C138" s="24">
        <f>140000+27000</f>
        <v>167000</v>
      </c>
    </row>
    <row r="139" spans="1:3" ht="13.5">
      <c r="A139" s="48">
        <v>221107</v>
      </c>
      <c r="B139" s="26" t="s">
        <v>514</v>
      </c>
      <c r="C139" s="26">
        <f>SUM(C140)</f>
        <v>60000</v>
      </c>
    </row>
    <row r="140" spans="1:3" ht="13.5">
      <c r="A140" s="33">
        <v>22110702</v>
      </c>
      <c r="B140" s="13" t="s">
        <v>515</v>
      </c>
      <c r="C140" s="24">
        <v>60000</v>
      </c>
    </row>
    <row r="141" spans="1:3" ht="13.5">
      <c r="A141" s="33"/>
      <c r="B141" s="13"/>
      <c r="C141" s="24"/>
    </row>
    <row r="142" spans="1:3" ht="13.5" thickBot="1"/>
    <row r="143" spans="1:3" ht="12.75" customHeight="1">
      <c r="A143" s="1523" t="s">
        <v>727</v>
      </c>
      <c r="B143" s="1524"/>
      <c r="C143" s="1525" t="s">
        <v>764</v>
      </c>
    </row>
    <row r="144" spans="1:3" ht="13.5" thickBot="1">
      <c r="A144" s="1526"/>
      <c r="B144" s="1527"/>
      <c r="C144" s="1528"/>
    </row>
    <row r="145" spans="1:4" ht="13.5">
      <c r="A145" s="1028" t="s">
        <v>675</v>
      </c>
      <c r="B145" s="808"/>
      <c r="C145" s="1029"/>
    </row>
    <row r="146" spans="1:4" ht="13.5">
      <c r="A146" s="1028" t="s">
        <v>728</v>
      </c>
      <c r="B146" s="808"/>
      <c r="C146" s="1029"/>
    </row>
    <row r="147" spans="1:4" ht="13.5">
      <c r="A147" s="1028" t="s">
        <v>729</v>
      </c>
      <c r="B147" s="808"/>
      <c r="C147" s="1029"/>
    </row>
    <row r="148" spans="1:4" ht="14.25" thickBot="1">
      <c r="A148" s="1125" t="s">
        <v>0</v>
      </c>
      <c r="B148" s="982"/>
      <c r="C148" s="1029"/>
    </row>
    <row r="149" spans="1:4" ht="14.25" thickBot="1">
      <c r="A149" s="1529" t="s">
        <v>1</v>
      </c>
      <c r="B149" s="1530"/>
      <c r="C149" s="1531">
        <f>C151+C168+C182</f>
        <v>5837500</v>
      </c>
      <c r="D149" s="246"/>
    </row>
    <row r="150" spans="1:4" ht="13.5" thickBot="1">
      <c r="A150" s="177"/>
      <c r="B150" s="4"/>
      <c r="C150" s="3"/>
    </row>
    <row r="151" spans="1:4" ht="14.25" thickBot="1">
      <c r="A151" s="1297" t="s">
        <v>9</v>
      </c>
      <c r="B151" s="1281"/>
      <c r="C151" s="62">
        <f>C152++C154+C156+C158+C163+C160</f>
        <v>1116500</v>
      </c>
    </row>
    <row r="152" spans="1:4" ht="13.5">
      <c r="A152" s="48">
        <v>211201</v>
      </c>
      <c r="B152" s="48" t="s">
        <v>459</v>
      </c>
      <c r="C152" s="49">
        <f>SUM(C153)</f>
        <v>170000</v>
      </c>
    </row>
    <row r="153" spans="1:4" ht="13.5">
      <c r="A153" s="33">
        <v>21120101</v>
      </c>
      <c r="B153" s="23" t="s">
        <v>460</v>
      </c>
      <c r="C153" s="24">
        <f>50000+120000</f>
        <v>170000</v>
      </c>
    </row>
    <row r="154" spans="1:4" ht="13.5">
      <c r="A154" s="48">
        <v>211203</v>
      </c>
      <c r="B154" s="21" t="s">
        <v>461</v>
      </c>
      <c r="C154" s="26">
        <f>C155</f>
        <v>95000</v>
      </c>
    </row>
    <row r="155" spans="1:4" ht="13.5">
      <c r="A155" s="33">
        <v>21120302</v>
      </c>
      <c r="B155" s="23" t="s">
        <v>462</v>
      </c>
      <c r="C155" s="24">
        <v>95000</v>
      </c>
    </row>
    <row r="156" spans="1:4" ht="13.5">
      <c r="A156" s="48">
        <v>211204</v>
      </c>
      <c r="B156" s="21" t="s">
        <v>463</v>
      </c>
      <c r="C156" s="26">
        <f>C157</f>
        <v>80000</v>
      </c>
    </row>
    <row r="157" spans="1:4" ht="13.5">
      <c r="A157" s="33">
        <v>21120401</v>
      </c>
      <c r="B157" s="24" t="s">
        <v>464</v>
      </c>
      <c r="C157" s="24">
        <v>80000</v>
      </c>
    </row>
    <row r="158" spans="1:4" ht="13.5">
      <c r="A158" s="48">
        <v>211207</v>
      </c>
      <c r="B158" s="603" t="s">
        <v>467</v>
      </c>
      <c r="C158" s="26">
        <f>C159</f>
        <v>88000</v>
      </c>
    </row>
    <row r="159" spans="1:4" ht="13.5">
      <c r="A159" s="33">
        <v>21120702</v>
      </c>
      <c r="B159" s="24" t="s">
        <v>468</v>
      </c>
      <c r="C159" s="24">
        <v>88000</v>
      </c>
    </row>
    <row r="160" spans="1:4" ht="13.5">
      <c r="A160" s="48">
        <v>211208</v>
      </c>
      <c r="B160" s="26" t="s">
        <v>474</v>
      </c>
      <c r="C160" s="26">
        <f>SUM(C161:C162)</f>
        <v>191000</v>
      </c>
    </row>
    <row r="161" spans="1:3" ht="13.5">
      <c r="A161" s="33">
        <v>21120801</v>
      </c>
      <c r="B161" s="13" t="s">
        <v>475</v>
      </c>
      <c r="C161" s="24">
        <v>41000</v>
      </c>
    </row>
    <row r="162" spans="1:3" ht="13.5">
      <c r="A162" s="33">
        <v>21120805</v>
      </c>
      <c r="B162" s="24" t="s">
        <v>476</v>
      </c>
      <c r="C162" s="24">
        <v>150000</v>
      </c>
    </row>
    <row r="163" spans="1:3" ht="13.5">
      <c r="A163" s="48">
        <v>211209</v>
      </c>
      <c r="B163" s="26" t="s">
        <v>477</v>
      </c>
      <c r="C163" s="26">
        <f>SUM(C164:C166)</f>
        <v>492500</v>
      </c>
    </row>
    <row r="164" spans="1:3" ht="13.5">
      <c r="A164" s="33">
        <v>21120901</v>
      </c>
      <c r="B164" s="13" t="s">
        <v>478</v>
      </c>
      <c r="C164" s="24">
        <f>50000+28000</f>
        <v>78000</v>
      </c>
    </row>
    <row r="165" spans="1:3" ht="13.5">
      <c r="A165" s="33">
        <v>21120906</v>
      </c>
      <c r="B165" s="24" t="s">
        <v>479</v>
      </c>
      <c r="C165" s="24">
        <f>64500+50000</f>
        <v>114500</v>
      </c>
    </row>
    <row r="166" spans="1:3" ht="13.5">
      <c r="A166" s="33">
        <v>21120907</v>
      </c>
      <c r="B166" s="13" t="s">
        <v>480</v>
      </c>
      <c r="C166" s="24">
        <f>150000+150000</f>
        <v>300000</v>
      </c>
    </row>
    <row r="167" spans="1:3" ht="14.25" thickBot="1">
      <c r="A167" s="23"/>
      <c r="B167" s="24"/>
      <c r="C167" s="24"/>
    </row>
    <row r="168" spans="1:3" ht="14.25" thickBot="1">
      <c r="A168" s="1298" t="s">
        <v>4</v>
      </c>
      <c r="B168" s="1281"/>
      <c r="C168" s="64">
        <f>+C171+C173+C175+C169</f>
        <v>4397000</v>
      </c>
    </row>
    <row r="169" spans="1:3" ht="13.5">
      <c r="A169" s="48">
        <v>211302</v>
      </c>
      <c r="B169" s="48" t="s">
        <v>481</v>
      </c>
      <c r="C169" s="49">
        <f>SUM(C170)</f>
        <v>300000</v>
      </c>
    </row>
    <row r="170" spans="1:3" ht="13.5">
      <c r="A170" s="33">
        <v>21130204</v>
      </c>
      <c r="B170" s="24" t="s">
        <v>483</v>
      </c>
      <c r="C170" s="24">
        <v>300000</v>
      </c>
    </row>
    <row r="171" spans="1:3" ht="13.5">
      <c r="A171" s="48">
        <v>211305</v>
      </c>
      <c r="B171" s="26" t="s">
        <v>489</v>
      </c>
      <c r="C171" s="26">
        <f>C172</f>
        <v>755000</v>
      </c>
    </row>
    <row r="172" spans="1:3" ht="13.5">
      <c r="A172" s="33">
        <v>21130502</v>
      </c>
      <c r="B172" s="23" t="s">
        <v>491</v>
      </c>
      <c r="C172" s="24">
        <v>755000</v>
      </c>
    </row>
    <row r="173" spans="1:3" ht="13.5">
      <c r="A173" s="48">
        <v>211306</v>
      </c>
      <c r="B173" s="21" t="s">
        <v>492</v>
      </c>
      <c r="C173" s="26">
        <f>C174</f>
        <v>80000</v>
      </c>
    </row>
    <row r="174" spans="1:3" ht="13.5">
      <c r="A174" s="33">
        <v>21130604</v>
      </c>
      <c r="B174" s="23" t="s">
        <v>539</v>
      </c>
      <c r="C174" s="24">
        <f>56000+24000</f>
        <v>80000</v>
      </c>
    </row>
    <row r="175" spans="1:3" ht="13.5">
      <c r="A175" s="48">
        <v>211309</v>
      </c>
      <c r="B175" s="26" t="s">
        <v>496</v>
      </c>
      <c r="C175" s="26">
        <f>SUM(C176:C180)</f>
        <v>3262000</v>
      </c>
    </row>
    <row r="176" spans="1:3" ht="13.5">
      <c r="A176" s="33">
        <v>21130901</v>
      </c>
      <c r="B176" s="24" t="s">
        <v>497</v>
      </c>
      <c r="C176" s="24">
        <v>1106000</v>
      </c>
    </row>
    <row r="177" spans="1:3" ht="13.5">
      <c r="A177" s="33">
        <v>21130903</v>
      </c>
      <c r="B177" s="24" t="s">
        <v>498</v>
      </c>
      <c r="C177" s="24">
        <v>217000</v>
      </c>
    </row>
    <row r="178" spans="1:3" ht="13.5">
      <c r="A178" s="33">
        <v>21130905</v>
      </c>
      <c r="B178" s="13" t="s">
        <v>532</v>
      </c>
      <c r="C178" s="24">
        <v>250000</v>
      </c>
    </row>
    <row r="179" spans="1:3" ht="13.5">
      <c r="A179" s="33">
        <v>21130906</v>
      </c>
      <c r="B179" s="23" t="s">
        <v>499</v>
      </c>
      <c r="C179" s="24">
        <f>84000+33000+1000000</f>
        <v>1117000</v>
      </c>
    </row>
    <row r="180" spans="1:3" ht="13.5">
      <c r="A180" s="33">
        <v>21130908</v>
      </c>
      <c r="B180" s="24" t="s">
        <v>500</v>
      </c>
      <c r="C180" s="24">
        <f>22000+50000+500000</f>
        <v>572000</v>
      </c>
    </row>
    <row r="181" spans="1:3" ht="14.25" thickBot="1">
      <c r="A181" s="23"/>
      <c r="B181" s="23"/>
      <c r="C181" s="24"/>
    </row>
    <row r="182" spans="1:3" ht="14.25" thickBot="1">
      <c r="A182" s="1299" t="s">
        <v>48</v>
      </c>
      <c r="B182" s="1281"/>
      <c r="C182" s="125">
        <f>C183+C185</f>
        <v>324000</v>
      </c>
    </row>
    <row r="183" spans="1:3" ht="13.5">
      <c r="A183" s="48">
        <v>221104</v>
      </c>
      <c r="B183" s="48" t="s">
        <v>510</v>
      </c>
      <c r="C183" s="49">
        <f>SUM(C184:C184)</f>
        <v>164000</v>
      </c>
    </row>
    <row r="184" spans="1:3" ht="13.5">
      <c r="A184" s="33">
        <v>22110401</v>
      </c>
      <c r="B184" s="23" t="s">
        <v>511</v>
      </c>
      <c r="C184" s="24">
        <f>84000+80000</f>
        <v>164000</v>
      </c>
    </row>
    <row r="185" spans="1:3" ht="13.5">
      <c r="A185" s="48">
        <v>221107</v>
      </c>
      <c r="B185" s="26" t="s">
        <v>514</v>
      </c>
      <c r="C185" s="26">
        <f>SUM(C186)</f>
        <v>160000</v>
      </c>
    </row>
    <row r="186" spans="1:3" ht="13.5">
      <c r="A186" s="33">
        <v>22110702</v>
      </c>
      <c r="B186" s="24" t="s">
        <v>515</v>
      </c>
      <c r="C186" s="24">
        <f>80000*2</f>
        <v>160000</v>
      </c>
    </row>
    <row r="187" spans="1:3" ht="13.5">
      <c r="A187" s="33"/>
      <c r="B187" s="24"/>
      <c r="C187" s="24"/>
    </row>
    <row r="188" spans="1:3" ht="13.5" thickBot="1"/>
    <row r="189" spans="1:3" ht="12.75" customHeight="1">
      <c r="A189" s="1334" t="s">
        <v>120</v>
      </c>
      <c r="B189" s="1336"/>
      <c r="C189" s="1518">
        <v>1204</v>
      </c>
    </row>
    <row r="190" spans="1:3" ht="13.5" thickBot="1">
      <c r="A190" s="1363"/>
      <c r="B190" s="1304"/>
      <c r="C190" s="1519"/>
    </row>
    <row r="191" spans="1:3" ht="13.5">
      <c r="A191" s="1122" t="s">
        <v>675</v>
      </c>
      <c r="B191" s="1521"/>
      <c r="C191" s="1096"/>
    </row>
    <row r="192" spans="1:3" ht="13.5">
      <c r="A192" s="1028" t="s">
        <v>728</v>
      </c>
      <c r="B192" s="1188"/>
      <c r="C192" s="1098"/>
    </row>
    <row r="193" spans="1:3" ht="13.5">
      <c r="A193" s="1028" t="s">
        <v>729</v>
      </c>
      <c r="B193" s="970"/>
      <c r="C193" s="1098"/>
    </row>
    <row r="194" spans="1:3" ht="14.25" thickBot="1">
      <c r="A194" s="1028" t="s">
        <v>121</v>
      </c>
      <c r="B194" s="1188"/>
      <c r="C194" s="1098"/>
    </row>
    <row r="195" spans="1:3" ht="14.25" thickBot="1">
      <c r="A195" s="1171" t="s">
        <v>60</v>
      </c>
      <c r="B195" s="1522"/>
      <c r="C195" s="1520">
        <f>+C197+C210+C225</f>
        <v>10392000</v>
      </c>
    </row>
    <row r="196" spans="1:3" ht="14.25" thickBot="1">
      <c r="A196" s="13"/>
      <c r="B196" s="14"/>
      <c r="C196" s="14"/>
    </row>
    <row r="197" spans="1:3" ht="14.25" thickBot="1">
      <c r="A197" s="1297" t="s">
        <v>9</v>
      </c>
      <c r="B197" s="1281"/>
      <c r="C197" s="62">
        <f>C198+C200+C202+C204</f>
        <v>483000</v>
      </c>
    </row>
    <row r="198" spans="1:3" ht="13.5">
      <c r="A198" s="48">
        <v>211201</v>
      </c>
      <c r="B198" s="48" t="s">
        <v>459</v>
      </c>
      <c r="C198" s="26">
        <f>SUM(C199)</f>
        <v>80000</v>
      </c>
    </row>
    <row r="199" spans="1:3" ht="13.5">
      <c r="A199" s="33">
        <v>21120101</v>
      </c>
      <c r="B199" s="13" t="s">
        <v>460</v>
      </c>
      <c r="C199" s="24">
        <v>80000</v>
      </c>
    </row>
    <row r="200" spans="1:3" ht="13.5">
      <c r="A200" s="48">
        <v>211203</v>
      </c>
      <c r="B200" s="15" t="s">
        <v>461</v>
      </c>
      <c r="C200" s="26">
        <f>C201</f>
        <v>60000</v>
      </c>
    </row>
    <row r="201" spans="1:3" ht="13.5">
      <c r="A201" s="33">
        <v>21120302</v>
      </c>
      <c r="B201" s="13" t="s">
        <v>462</v>
      </c>
      <c r="C201" s="24">
        <v>60000</v>
      </c>
    </row>
    <row r="202" spans="1:3" ht="13.5">
      <c r="A202" s="48">
        <v>211204</v>
      </c>
      <c r="B202" s="15" t="s">
        <v>463</v>
      </c>
      <c r="C202" s="26">
        <f>C203</f>
        <v>80000</v>
      </c>
    </row>
    <row r="203" spans="1:3" ht="13.5">
      <c r="A203" s="33">
        <v>21120401</v>
      </c>
      <c r="B203" s="24" t="s">
        <v>464</v>
      </c>
      <c r="C203" s="24">
        <v>80000</v>
      </c>
    </row>
    <row r="204" spans="1:3" ht="13.5">
      <c r="A204" s="48">
        <v>211209</v>
      </c>
      <c r="B204" s="26" t="s">
        <v>477</v>
      </c>
      <c r="C204" s="26">
        <f>SUM(C205:C208)</f>
        <v>263000</v>
      </c>
    </row>
    <row r="205" spans="1:3" ht="13.5">
      <c r="A205" s="33">
        <v>21120901</v>
      </c>
      <c r="B205" s="13" t="s">
        <v>478</v>
      </c>
      <c r="C205" s="24">
        <v>35000</v>
      </c>
    </row>
    <row r="206" spans="1:3" ht="13.5">
      <c r="A206" s="33">
        <v>21120905</v>
      </c>
      <c r="B206" s="13" t="s">
        <v>525</v>
      </c>
      <c r="C206" s="24">
        <v>32000</v>
      </c>
    </row>
    <row r="207" spans="1:3" ht="13.5">
      <c r="A207" s="33">
        <v>21120906</v>
      </c>
      <c r="B207" s="24" t="s">
        <v>479</v>
      </c>
      <c r="C207" s="24">
        <v>36000</v>
      </c>
    </row>
    <row r="208" spans="1:3" ht="13.5">
      <c r="A208" s="33">
        <v>21120907</v>
      </c>
      <c r="B208" s="13" t="s">
        <v>480</v>
      </c>
      <c r="C208" s="24">
        <v>160000</v>
      </c>
    </row>
    <row r="209" spans="1:3" ht="14.25" thickBot="1">
      <c r="A209" s="23"/>
      <c r="B209" s="24"/>
      <c r="C209" s="24"/>
    </row>
    <row r="210" spans="1:3" ht="14.25" thickBot="1">
      <c r="A210" s="1298" t="s">
        <v>4</v>
      </c>
      <c r="B210" s="1281"/>
      <c r="C210" s="64">
        <f>C211+C213+C215+C217+C219</f>
        <v>9725000</v>
      </c>
    </row>
    <row r="211" spans="1:3" ht="13.5">
      <c r="A211" s="22">
        <v>211302</v>
      </c>
      <c r="B211" s="48" t="s">
        <v>481</v>
      </c>
      <c r="C211" s="26">
        <f>C212</f>
        <v>88000</v>
      </c>
    </row>
    <row r="212" spans="1:3" ht="13.5">
      <c r="A212" s="40">
        <v>21130204</v>
      </c>
      <c r="B212" s="13" t="s">
        <v>483</v>
      </c>
      <c r="C212" s="24">
        <v>88000</v>
      </c>
    </row>
    <row r="213" spans="1:3" ht="13.5">
      <c r="A213" s="22">
        <v>211303</v>
      </c>
      <c r="B213" s="15" t="s">
        <v>484</v>
      </c>
      <c r="C213" s="26">
        <f>C214</f>
        <v>30000</v>
      </c>
    </row>
    <row r="214" spans="1:3" ht="13.5">
      <c r="A214" s="40">
        <v>21130307</v>
      </c>
      <c r="B214" s="13" t="s">
        <v>488</v>
      </c>
      <c r="C214" s="24">
        <v>30000</v>
      </c>
    </row>
    <row r="215" spans="1:3" ht="13.5">
      <c r="A215" s="22">
        <v>211305</v>
      </c>
      <c r="B215" s="15" t="s">
        <v>489</v>
      </c>
      <c r="C215" s="26">
        <f>C216</f>
        <v>7241000</v>
      </c>
    </row>
    <row r="216" spans="1:3" ht="13.5">
      <c r="A216" s="40">
        <v>21130502</v>
      </c>
      <c r="B216" s="13" t="s">
        <v>491</v>
      </c>
      <c r="C216" s="24">
        <v>7241000</v>
      </c>
    </row>
    <row r="217" spans="1:3" ht="13.5">
      <c r="A217" s="22">
        <v>211306</v>
      </c>
      <c r="B217" s="15" t="s">
        <v>492</v>
      </c>
      <c r="C217" s="26">
        <f>C218</f>
        <v>35000</v>
      </c>
    </row>
    <row r="218" spans="1:3" ht="13.5">
      <c r="A218" s="40">
        <v>21130607</v>
      </c>
      <c r="B218" s="13" t="s">
        <v>493</v>
      </c>
      <c r="C218" s="24">
        <v>35000</v>
      </c>
    </row>
    <row r="219" spans="1:3" ht="13.5">
      <c r="A219" s="22">
        <v>211309</v>
      </c>
      <c r="B219" s="15" t="s">
        <v>496</v>
      </c>
      <c r="C219" s="26">
        <f>+SUM(C220:C223)</f>
        <v>2331000</v>
      </c>
    </row>
    <row r="220" spans="1:3" ht="13.5">
      <c r="A220" s="40">
        <v>21130901</v>
      </c>
      <c r="B220" s="13" t="s">
        <v>497</v>
      </c>
      <c r="C220" s="24">
        <v>2000000</v>
      </c>
    </row>
    <row r="221" spans="1:3" ht="13.5">
      <c r="A221" s="40">
        <v>21130903</v>
      </c>
      <c r="B221" s="13" t="s">
        <v>498</v>
      </c>
      <c r="C221" s="24">
        <v>36000</v>
      </c>
    </row>
    <row r="222" spans="1:3" ht="13.5">
      <c r="A222" s="40">
        <v>21130906</v>
      </c>
      <c r="B222" s="13" t="s">
        <v>499</v>
      </c>
      <c r="C222" s="14">
        <v>145000</v>
      </c>
    </row>
    <row r="223" spans="1:3" ht="13.5">
      <c r="A223" s="40">
        <v>21130908</v>
      </c>
      <c r="B223" s="13" t="s">
        <v>500</v>
      </c>
      <c r="C223" s="24">
        <v>150000</v>
      </c>
    </row>
    <row r="224" spans="1:3" ht="14.25" thickBot="1">
      <c r="A224" s="13"/>
      <c r="B224" s="13"/>
      <c r="C224" s="24"/>
    </row>
    <row r="225" spans="1:3" ht="14.25" thickBot="1">
      <c r="A225" s="1299" t="s">
        <v>48</v>
      </c>
      <c r="B225" s="1281"/>
      <c r="C225" s="65">
        <f>C226+'Prevención, Segur y Conviv 2024'!C306+C228</f>
        <v>184000</v>
      </c>
    </row>
    <row r="226" spans="1:3" ht="13.5">
      <c r="A226" s="48">
        <v>221104</v>
      </c>
      <c r="B226" s="48" t="s">
        <v>510</v>
      </c>
      <c r="C226" s="49">
        <f>SUM(C227)</f>
        <v>84000</v>
      </c>
    </row>
    <row r="227" spans="1:3" ht="13.5">
      <c r="A227" s="33">
        <v>22110401</v>
      </c>
      <c r="B227" s="13" t="s">
        <v>511</v>
      </c>
      <c r="C227" s="24">
        <v>84000</v>
      </c>
    </row>
    <row r="228" spans="1:3" ht="13.5">
      <c r="A228" s="48">
        <v>221107</v>
      </c>
      <c r="B228" s="21" t="s">
        <v>514</v>
      </c>
      <c r="C228" s="26">
        <f>SUM(C229)</f>
        <v>100000</v>
      </c>
    </row>
    <row r="229" spans="1:3" ht="13.5">
      <c r="A229" s="33">
        <v>22110702</v>
      </c>
      <c r="B229" s="23" t="s">
        <v>515</v>
      </c>
      <c r="C229" s="24">
        <v>100000</v>
      </c>
    </row>
    <row r="230" spans="1:3">
      <c r="A230" s="1050"/>
    </row>
    <row r="231" spans="1:3" ht="13.5" thickBot="1"/>
    <row r="232" spans="1:3" ht="12.75" customHeight="1">
      <c r="A232" s="1334" t="s">
        <v>104</v>
      </c>
      <c r="B232" s="1336"/>
      <c r="C232" s="1161" t="s">
        <v>765</v>
      </c>
    </row>
    <row r="233" spans="1:3" ht="13.5" thickBot="1">
      <c r="A233" s="1363"/>
      <c r="B233" s="1304"/>
      <c r="C233" s="1490"/>
    </row>
    <row r="234" spans="1:3" ht="13.5">
      <c r="A234" s="1122" t="s">
        <v>675</v>
      </c>
      <c r="B234" s="1137"/>
      <c r="C234" s="1124"/>
    </row>
    <row r="235" spans="1:3" ht="13.5">
      <c r="A235" s="1028" t="s">
        <v>728</v>
      </c>
      <c r="B235" s="808"/>
      <c r="C235" s="1029"/>
    </row>
    <row r="236" spans="1:3" ht="13.5">
      <c r="A236" s="1028" t="s">
        <v>729</v>
      </c>
      <c r="B236" s="808"/>
      <c r="C236" s="1029"/>
    </row>
    <row r="237" spans="1:3" ht="14.25" thickBot="1">
      <c r="A237" s="1125" t="s">
        <v>0</v>
      </c>
      <c r="B237" s="982"/>
      <c r="C237" s="1101"/>
    </row>
    <row r="238" spans="1:3" ht="14.25" thickBot="1">
      <c r="A238" s="1171" t="s">
        <v>1</v>
      </c>
      <c r="B238" s="1186"/>
      <c r="C238" s="1173">
        <f>+C240+C261+C277</f>
        <v>42416000</v>
      </c>
    </row>
    <row r="239" spans="1:3" ht="14.25" thickBot="1">
      <c r="A239" s="21"/>
      <c r="B239" s="21"/>
      <c r="C239" s="26"/>
    </row>
    <row r="240" spans="1:3" ht="14.25" thickBot="1">
      <c r="A240" s="1297" t="s">
        <v>9</v>
      </c>
      <c r="B240" s="1316"/>
      <c r="C240" s="62">
        <f>C241+C243+C245+C247+C253+C256</f>
        <v>4443500</v>
      </c>
    </row>
    <row r="241" spans="1:3" ht="13.5">
      <c r="A241" s="48">
        <v>211201</v>
      </c>
      <c r="B241" s="48" t="s">
        <v>459</v>
      </c>
      <c r="C241" s="49">
        <f>SUM(C242)</f>
        <v>403000</v>
      </c>
    </row>
    <row r="242" spans="1:3" ht="13.5">
      <c r="A242" s="33">
        <v>21120101</v>
      </c>
      <c r="B242" s="23" t="s">
        <v>460</v>
      </c>
      <c r="C242" s="24">
        <v>403000</v>
      </c>
    </row>
    <row r="243" spans="1:3" ht="13.5">
      <c r="A243" s="48">
        <v>211203</v>
      </c>
      <c r="B243" s="21" t="s">
        <v>461</v>
      </c>
      <c r="C243" s="26">
        <f>+SUM(C244:C244)</f>
        <v>2848000</v>
      </c>
    </row>
    <row r="244" spans="1:3" ht="13.5">
      <c r="A244" s="33">
        <v>21120302</v>
      </c>
      <c r="B244" s="23" t="s">
        <v>462</v>
      </c>
      <c r="C244" s="24">
        <v>2848000</v>
      </c>
    </row>
    <row r="245" spans="1:3" ht="13.5">
      <c r="A245" s="48">
        <v>211204</v>
      </c>
      <c r="B245" s="21" t="s">
        <v>463</v>
      </c>
      <c r="C245" s="26">
        <f>C246</f>
        <v>579500</v>
      </c>
    </row>
    <row r="246" spans="1:3" ht="13.5">
      <c r="A246" s="33">
        <v>21120401</v>
      </c>
      <c r="B246" s="24" t="s">
        <v>464</v>
      </c>
      <c r="C246" s="24">
        <v>579500</v>
      </c>
    </row>
    <row r="247" spans="1:3" ht="13.5">
      <c r="A247" s="48">
        <v>211207</v>
      </c>
      <c r="B247" s="26" t="s">
        <v>467</v>
      </c>
      <c r="C247" s="26">
        <f>+SUM(C248:C252)</f>
        <v>312000</v>
      </c>
    </row>
    <row r="248" spans="1:3" ht="13.5">
      <c r="A248" s="33">
        <v>21120702</v>
      </c>
      <c r="B248" s="24" t="s">
        <v>468</v>
      </c>
      <c r="C248" s="24">
        <v>100000</v>
      </c>
    </row>
    <row r="249" spans="1:3" ht="13.5">
      <c r="A249" s="33">
        <v>21120708</v>
      </c>
      <c r="B249" s="13" t="s">
        <v>470</v>
      </c>
      <c r="C249" s="24">
        <v>30000</v>
      </c>
    </row>
    <row r="250" spans="1:3" ht="13.5">
      <c r="A250" s="33">
        <v>21120709</v>
      </c>
      <c r="B250" s="24" t="s">
        <v>471</v>
      </c>
      <c r="C250" s="24">
        <v>32000</v>
      </c>
    </row>
    <row r="251" spans="1:3" ht="13.5">
      <c r="A251" s="33">
        <v>2112071</v>
      </c>
      <c r="B251" s="24" t="s">
        <v>472</v>
      </c>
      <c r="C251" s="24">
        <v>120000</v>
      </c>
    </row>
    <row r="252" spans="1:3" ht="13.5">
      <c r="A252" s="33">
        <v>21120711</v>
      </c>
      <c r="B252" s="24" t="s">
        <v>473</v>
      </c>
      <c r="C252" s="24">
        <v>30000</v>
      </c>
    </row>
    <row r="253" spans="1:3" ht="13.5">
      <c r="A253" s="48">
        <v>211208</v>
      </c>
      <c r="B253" s="26" t="s">
        <v>474</v>
      </c>
      <c r="C253" s="26">
        <f>SUM(C254:C255)</f>
        <v>120000</v>
      </c>
    </row>
    <row r="254" spans="1:3" ht="13.5">
      <c r="A254" s="33">
        <v>21120801</v>
      </c>
      <c r="B254" s="13" t="s">
        <v>475</v>
      </c>
      <c r="C254" s="24">
        <v>80000</v>
      </c>
    </row>
    <row r="255" spans="1:3" ht="13.5">
      <c r="A255" s="33">
        <v>21120805</v>
      </c>
      <c r="B255" s="24" t="s">
        <v>476</v>
      </c>
      <c r="C255" s="24">
        <v>40000</v>
      </c>
    </row>
    <row r="256" spans="1:3" ht="13.5">
      <c r="A256" s="48">
        <v>211209</v>
      </c>
      <c r="B256" s="26" t="s">
        <v>477</v>
      </c>
      <c r="C256" s="26">
        <f>SUM(C257:C259)</f>
        <v>181000</v>
      </c>
    </row>
    <row r="257" spans="1:3" ht="13.5">
      <c r="A257" s="33">
        <v>21120901</v>
      </c>
      <c r="B257" s="24" t="s">
        <v>478</v>
      </c>
      <c r="C257" s="14">
        <v>148000</v>
      </c>
    </row>
    <row r="258" spans="1:3" ht="13.5">
      <c r="A258" s="33">
        <v>21120902</v>
      </c>
      <c r="B258" s="24" t="s">
        <v>584</v>
      </c>
      <c r="C258" s="14">
        <v>4000</v>
      </c>
    </row>
    <row r="259" spans="1:3" ht="13.5">
      <c r="A259" s="33">
        <v>21120906</v>
      </c>
      <c r="B259" s="24" t="s">
        <v>479</v>
      </c>
      <c r="C259" s="24">
        <v>29000</v>
      </c>
    </row>
    <row r="260" spans="1:3" ht="14.25" thickBot="1">
      <c r="A260" s="23"/>
      <c r="B260" s="24"/>
      <c r="C260" s="24"/>
    </row>
    <row r="261" spans="1:3" ht="14.25" thickBot="1">
      <c r="A261" s="1298" t="s">
        <v>4</v>
      </c>
      <c r="B261" s="1317"/>
      <c r="C261" s="64">
        <f>+C262+C265+C269+C271+C273</f>
        <v>36153500</v>
      </c>
    </row>
    <row r="262" spans="1:3" ht="13.5">
      <c r="A262" s="48">
        <v>211302</v>
      </c>
      <c r="B262" s="21" t="s">
        <v>481</v>
      </c>
      <c r="C262" s="26">
        <f>+SUM(C263:C264)</f>
        <v>2616500</v>
      </c>
    </row>
    <row r="263" spans="1:3" ht="13.5">
      <c r="A263" s="33">
        <v>21130201</v>
      </c>
      <c r="B263" s="23" t="s">
        <v>482</v>
      </c>
      <c r="C263" s="24">
        <v>2556500</v>
      </c>
    </row>
    <row r="264" spans="1:3" ht="13.5">
      <c r="A264" s="40">
        <v>21130204</v>
      </c>
      <c r="B264" s="40" t="s">
        <v>483</v>
      </c>
      <c r="C264" s="66">
        <v>60000</v>
      </c>
    </row>
    <row r="265" spans="1:3" ht="13.5">
      <c r="A265" s="48">
        <v>211303</v>
      </c>
      <c r="B265" s="26" t="s">
        <v>484</v>
      </c>
      <c r="C265" s="26">
        <f>+SUM(C266:C268)</f>
        <v>1715000</v>
      </c>
    </row>
    <row r="266" spans="1:3" ht="13.5">
      <c r="A266" s="33">
        <v>21130301</v>
      </c>
      <c r="B266" s="23" t="s">
        <v>485</v>
      </c>
      <c r="C266" s="24">
        <v>779500</v>
      </c>
    </row>
    <row r="267" spans="1:3" ht="13.5">
      <c r="A267" s="40">
        <v>21130306</v>
      </c>
      <c r="B267" s="13" t="s">
        <v>487</v>
      </c>
      <c r="C267" s="14">
        <v>875500</v>
      </c>
    </row>
    <row r="268" spans="1:3" ht="13.5">
      <c r="A268" s="33">
        <v>21130307</v>
      </c>
      <c r="B268" s="23" t="s">
        <v>488</v>
      </c>
      <c r="C268" s="24">
        <v>60000</v>
      </c>
    </row>
    <row r="269" spans="1:3" ht="13.5">
      <c r="A269" s="48">
        <v>211305</v>
      </c>
      <c r="B269" s="21" t="s">
        <v>489</v>
      </c>
      <c r="C269" s="26">
        <f>C270</f>
        <v>15654000</v>
      </c>
    </row>
    <row r="270" spans="1:3" ht="13.5">
      <c r="A270" s="33">
        <v>21130502</v>
      </c>
      <c r="B270" s="24" t="s">
        <v>491</v>
      </c>
      <c r="C270" s="51">
        <v>15654000</v>
      </c>
    </row>
    <row r="271" spans="1:3" ht="13.5">
      <c r="A271" s="48">
        <v>211307</v>
      </c>
      <c r="B271" s="26" t="s">
        <v>494</v>
      </c>
      <c r="C271" s="26">
        <f>C272</f>
        <v>100000</v>
      </c>
    </row>
    <row r="272" spans="1:3" ht="13.5">
      <c r="A272" s="33">
        <v>21130701</v>
      </c>
      <c r="B272" s="23" t="s">
        <v>495</v>
      </c>
      <c r="C272" s="24">
        <v>100000</v>
      </c>
    </row>
    <row r="273" spans="1:4" ht="13.5">
      <c r="A273" s="48">
        <v>211309</v>
      </c>
      <c r="B273" s="26" t="s">
        <v>496</v>
      </c>
      <c r="C273" s="26">
        <f>+SUM(C274:C275)</f>
        <v>16068000</v>
      </c>
    </row>
    <row r="274" spans="1:4" ht="13.5">
      <c r="A274" s="33">
        <v>21130901</v>
      </c>
      <c r="B274" s="24" t="s">
        <v>497</v>
      </c>
      <c r="C274" s="51">
        <v>13275500</v>
      </c>
    </row>
    <row r="275" spans="1:4" ht="13.5">
      <c r="A275" s="33">
        <v>21130908</v>
      </c>
      <c r="B275" s="24" t="s">
        <v>500</v>
      </c>
      <c r="C275" s="24">
        <v>2792500</v>
      </c>
    </row>
    <row r="276" spans="1:4" ht="14.25" thickBot="1">
      <c r="A276" s="23"/>
      <c r="B276" s="23"/>
      <c r="C276" s="24"/>
    </row>
    <row r="277" spans="1:4" ht="14.25" thickBot="1">
      <c r="A277" s="1299" t="s">
        <v>48</v>
      </c>
      <c r="B277" s="1318"/>
      <c r="C277" s="65">
        <f>(C278+C282)</f>
        <v>1819000</v>
      </c>
    </row>
    <row r="278" spans="1:4" ht="13.5">
      <c r="A278" s="48">
        <v>221104</v>
      </c>
      <c r="B278" s="21" t="s">
        <v>49</v>
      </c>
      <c r="C278" s="26">
        <f>SUM(C279:C281)</f>
        <v>404000</v>
      </c>
    </row>
    <row r="279" spans="1:4" ht="13.5">
      <c r="A279" s="33">
        <v>22110401</v>
      </c>
      <c r="B279" s="23" t="s">
        <v>511</v>
      </c>
      <c r="C279" s="24">
        <v>200000</v>
      </c>
    </row>
    <row r="280" spans="1:4" ht="13.5">
      <c r="A280" s="33">
        <v>22110404</v>
      </c>
      <c r="B280" s="23" t="s">
        <v>512</v>
      </c>
      <c r="C280" s="24">
        <v>134000</v>
      </c>
    </row>
    <row r="281" spans="1:4" ht="13.5">
      <c r="A281" s="33">
        <v>22110409</v>
      </c>
      <c r="B281" s="24" t="s">
        <v>513</v>
      </c>
      <c r="C281" s="24">
        <v>70000</v>
      </c>
    </row>
    <row r="282" spans="1:4" ht="13.5">
      <c r="A282" s="48">
        <v>221107</v>
      </c>
      <c r="B282" s="26" t="s">
        <v>514</v>
      </c>
      <c r="C282" s="26">
        <f>SUM(C283)</f>
        <v>1415000</v>
      </c>
    </row>
    <row r="283" spans="1:4" ht="13.5">
      <c r="A283" s="33">
        <v>22110702</v>
      </c>
      <c r="B283" s="24" t="s">
        <v>515</v>
      </c>
      <c r="C283" s="24">
        <f>40000+1375000</f>
        <v>1415000</v>
      </c>
    </row>
    <row r="284" spans="1:4" ht="13.5">
      <c r="A284" s="23"/>
      <c r="B284" s="24"/>
      <c r="C284" s="24"/>
      <c r="D284" s="246"/>
    </row>
    <row r="285" spans="1:4" ht="13.5" thickBot="1">
      <c r="B285" s="246"/>
    </row>
    <row r="286" spans="1:4" ht="12.75" customHeight="1">
      <c r="A286" s="1383" t="s">
        <v>767</v>
      </c>
      <c r="B286" s="1499"/>
      <c r="C286" s="1161" t="s">
        <v>766</v>
      </c>
    </row>
    <row r="287" spans="1:4" ht="13.5" thickBot="1">
      <c r="A287" s="1388"/>
      <c r="B287" s="1331"/>
      <c r="C287" s="1490"/>
    </row>
    <row r="288" spans="1:4" ht="13.5">
      <c r="A288" s="1094" t="s">
        <v>675</v>
      </c>
      <c r="B288" s="1095"/>
      <c r="C288" s="1096"/>
    </row>
    <row r="289" spans="1:4" ht="13.5">
      <c r="A289" s="1028" t="s">
        <v>728</v>
      </c>
      <c r="B289" s="986"/>
      <c r="C289" s="1098"/>
    </row>
    <row r="290" spans="1:4" ht="13.5">
      <c r="A290" s="1028" t="s">
        <v>729</v>
      </c>
      <c r="B290" s="986"/>
      <c r="C290" s="1098"/>
    </row>
    <row r="291" spans="1:4" ht="14.25" thickBot="1">
      <c r="A291" s="1150" t="s">
        <v>0</v>
      </c>
      <c r="B291" s="1151"/>
      <c r="C291" s="1099"/>
    </row>
    <row r="292" spans="1:4" ht="14.25" thickBot="1">
      <c r="A292" s="1158" t="s">
        <v>1</v>
      </c>
      <c r="B292" s="1159"/>
      <c r="C292" s="1165">
        <f>+C294+C311+C327+C336</f>
        <v>38946200</v>
      </c>
      <c r="D292" s="246"/>
    </row>
    <row r="293" spans="1:4" ht="14.25" thickBot="1">
      <c r="A293" s="15"/>
      <c r="B293" s="15"/>
      <c r="C293" s="16"/>
    </row>
    <row r="294" spans="1:4" ht="14.25" thickBot="1">
      <c r="A294" s="1280" t="s">
        <v>9</v>
      </c>
      <c r="B294" s="1281"/>
      <c r="C294" s="31">
        <f>(C295+C297+C300+C302+C306+C304)</f>
        <v>850500</v>
      </c>
    </row>
    <row r="295" spans="1:4" ht="13.5">
      <c r="A295" s="48">
        <v>211201</v>
      </c>
      <c r="B295" s="48" t="s">
        <v>459</v>
      </c>
      <c r="C295" s="82">
        <f>SUM(C296)</f>
        <v>269500</v>
      </c>
    </row>
    <row r="296" spans="1:4" ht="13.5">
      <c r="A296" s="33">
        <v>21120101</v>
      </c>
      <c r="B296" s="13" t="s">
        <v>460</v>
      </c>
      <c r="C296" s="14">
        <v>269500</v>
      </c>
    </row>
    <row r="297" spans="1:4" ht="13.5">
      <c r="A297" s="48">
        <v>211203</v>
      </c>
      <c r="B297" s="15" t="s">
        <v>461</v>
      </c>
      <c r="C297" s="16">
        <f>+SUM(C298:C299)</f>
        <v>94000</v>
      </c>
    </row>
    <row r="298" spans="1:4" ht="13.5">
      <c r="A298" s="33">
        <v>21120301</v>
      </c>
      <c r="B298" s="13" t="s">
        <v>527</v>
      </c>
      <c r="C298" s="24">
        <v>71000</v>
      </c>
    </row>
    <row r="299" spans="1:4" ht="13.5">
      <c r="A299" s="33">
        <v>21120302</v>
      </c>
      <c r="B299" s="13" t="s">
        <v>462</v>
      </c>
      <c r="C299" s="24">
        <v>23000</v>
      </c>
    </row>
    <row r="300" spans="1:4" ht="13.5">
      <c r="A300" s="48">
        <v>211204</v>
      </c>
      <c r="B300" s="15" t="s">
        <v>463</v>
      </c>
      <c r="C300" s="26">
        <f>C301</f>
        <v>168500</v>
      </c>
    </row>
    <row r="301" spans="1:4" ht="13.5">
      <c r="A301" s="33">
        <v>21120401</v>
      </c>
      <c r="B301" s="13" t="s">
        <v>464</v>
      </c>
      <c r="C301" s="14">
        <v>168500</v>
      </c>
    </row>
    <row r="302" spans="1:4" ht="13.5">
      <c r="A302" s="48">
        <v>211205</v>
      </c>
      <c r="B302" s="26" t="s">
        <v>465</v>
      </c>
      <c r="C302" s="16">
        <f>C303</f>
        <v>22000</v>
      </c>
    </row>
    <row r="303" spans="1:4" ht="13.5">
      <c r="A303" s="33">
        <v>21120501</v>
      </c>
      <c r="B303" s="13" t="s">
        <v>466</v>
      </c>
      <c r="C303" s="14">
        <v>22000</v>
      </c>
    </row>
    <row r="304" spans="1:4" ht="13.5">
      <c r="A304" s="48">
        <v>211208</v>
      </c>
      <c r="B304" s="15" t="s">
        <v>474</v>
      </c>
      <c r="C304" s="16">
        <f>C305</f>
        <v>200000</v>
      </c>
    </row>
    <row r="305" spans="1:3" ht="13.5">
      <c r="A305" s="33">
        <v>21120805</v>
      </c>
      <c r="B305" s="13" t="s">
        <v>476</v>
      </c>
      <c r="C305" s="14">
        <v>200000</v>
      </c>
    </row>
    <row r="306" spans="1:3" ht="13.5">
      <c r="A306" s="48">
        <v>211209</v>
      </c>
      <c r="B306" s="15" t="s">
        <v>477</v>
      </c>
      <c r="C306" s="16">
        <f>+SUM(C307:C309)</f>
        <v>96500</v>
      </c>
    </row>
    <row r="307" spans="1:3" ht="13.5">
      <c r="A307" s="33">
        <v>21120901</v>
      </c>
      <c r="B307" s="13" t="s">
        <v>478</v>
      </c>
      <c r="C307" s="14">
        <v>59000</v>
      </c>
    </row>
    <row r="308" spans="1:3" ht="13.5">
      <c r="A308" s="33">
        <v>21120906</v>
      </c>
      <c r="B308" s="13" t="s">
        <v>479</v>
      </c>
      <c r="C308" s="14">
        <v>15000</v>
      </c>
    </row>
    <row r="309" spans="1:3" ht="13.5">
      <c r="A309" s="33">
        <v>21120907</v>
      </c>
      <c r="B309" s="13" t="s">
        <v>480</v>
      </c>
      <c r="C309" s="14">
        <v>22500</v>
      </c>
    </row>
    <row r="310" spans="1:3" ht="14.25" thickBot="1">
      <c r="A310" s="23"/>
      <c r="B310" s="13"/>
      <c r="C310" s="14"/>
    </row>
    <row r="311" spans="1:3" ht="14.25" thickBot="1">
      <c r="A311" s="1282" t="s">
        <v>4</v>
      </c>
      <c r="B311" s="1281"/>
      <c r="C311" s="41">
        <f>C312+C314+C316+C319+C321</f>
        <v>13421000</v>
      </c>
    </row>
    <row r="312" spans="1:3" ht="13.5">
      <c r="A312" s="22">
        <v>211302</v>
      </c>
      <c r="B312" s="48" t="s">
        <v>481</v>
      </c>
      <c r="C312" s="82">
        <f>SUM(C313)</f>
        <v>70000</v>
      </c>
    </row>
    <row r="313" spans="1:3" ht="13.5">
      <c r="A313" s="40">
        <v>21130204</v>
      </c>
      <c r="B313" s="13" t="s">
        <v>483</v>
      </c>
      <c r="C313" s="14">
        <v>70000</v>
      </c>
    </row>
    <row r="314" spans="1:3" ht="13.5">
      <c r="A314" s="22">
        <v>211303</v>
      </c>
      <c r="B314" s="15" t="s">
        <v>484</v>
      </c>
      <c r="C314" s="26">
        <f>C315</f>
        <v>81500</v>
      </c>
    </row>
    <row r="315" spans="1:3" ht="13.5">
      <c r="A315" s="40">
        <v>21130307</v>
      </c>
      <c r="B315" s="13" t="s">
        <v>488</v>
      </c>
      <c r="C315" s="24">
        <v>81500</v>
      </c>
    </row>
    <row r="316" spans="1:3" ht="13.5">
      <c r="A316" s="48">
        <v>211305</v>
      </c>
      <c r="B316" s="15" t="s">
        <v>489</v>
      </c>
      <c r="C316" s="16">
        <f>+SUM(C317:C318)</f>
        <v>4196500</v>
      </c>
    </row>
    <row r="317" spans="1:3" ht="13.5">
      <c r="A317" s="40">
        <v>21130501</v>
      </c>
      <c r="B317" s="13" t="s">
        <v>490</v>
      </c>
      <c r="C317" s="14">
        <v>23000</v>
      </c>
    </row>
    <row r="318" spans="1:3" ht="13.5">
      <c r="A318" s="40">
        <v>21130502</v>
      </c>
      <c r="B318" s="13" t="s">
        <v>491</v>
      </c>
      <c r="C318" s="14">
        <v>4173500</v>
      </c>
    </row>
    <row r="319" spans="1:3" ht="13.5">
      <c r="A319" s="48">
        <v>211307</v>
      </c>
      <c r="B319" s="26" t="s">
        <v>494</v>
      </c>
      <c r="C319" s="16">
        <f>C320</f>
        <v>75000</v>
      </c>
    </row>
    <row r="320" spans="1:3" ht="13.5">
      <c r="A320" s="33">
        <v>21130701</v>
      </c>
      <c r="B320" s="13" t="s">
        <v>495</v>
      </c>
      <c r="C320" s="14">
        <v>75000</v>
      </c>
    </row>
    <row r="321" spans="1:34" ht="13.5">
      <c r="A321" s="48">
        <v>211309</v>
      </c>
      <c r="B321" s="15" t="s">
        <v>496</v>
      </c>
      <c r="C321" s="16">
        <f>+SUM(C322:C325)</f>
        <v>8998000</v>
      </c>
    </row>
    <row r="322" spans="1:34" ht="13.5">
      <c r="A322" s="33">
        <v>21130901</v>
      </c>
      <c r="B322" s="13" t="s">
        <v>497</v>
      </c>
      <c r="C322" s="14">
        <v>6405500</v>
      </c>
    </row>
    <row r="323" spans="1:34" ht="13.5">
      <c r="A323" s="33">
        <v>21130903</v>
      </c>
      <c r="B323" s="13" t="s">
        <v>498</v>
      </c>
      <c r="C323" s="14">
        <v>114500</v>
      </c>
    </row>
    <row r="324" spans="1:34" ht="13.5">
      <c r="A324" s="40">
        <v>21130906</v>
      </c>
      <c r="B324" s="13" t="s">
        <v>499</v>
      </c>
      <c r="C324" s="14">
        <v>631500</v>
      </c>
    </row>
    <row r="325" spans="1:34" ht="13.5">
      <c r="A325" s="33">
        <v>21130908</v>
      </c>
      <c r="B325" s="24" t="s">
        <v>500</v>
      </c>
      <c r="C325" s="24">
        <v>1846500</v>
      </c>
    </row>
    <row r="326" spans="1:34" ht="14.25" thickBot="1">
      <c r="A326" s="13"/>
      <c r="B326" s="33"/>
      <c r="C326" s="14"/>
    </row>
    <row r="327" spans="1:34" ht="14.25" thickBot="1">
      <c r="A327" s="1315" t="s">
        <v>45</v>
      </c>
      <c r="B327" s="1281"/>
      <c r="C327" s="87">
        <f>C328+C330</f>
        <v>24480000</v>
      </c>
    </row>
    <row r="328" spans="1:34" ht="13.5" customHeight="1">
      <c r="A328" s="48">
        <v>211401</v>
      </c>
      <c r="B328" s="48" t="s">
        <v>501</v>
      </c>
      <c r="C328" s="49">
        <f>SUM(C329:C329)</f>
        <v>5000000</v>
      </c>
      <c r="D328" s="107"/>
      <c r="E328" s="107"/>
      <c r="F328" s="111"/>
      <c r="G328" s="111"/>
      <c r="H328" s="110"/>
      <c r="I328" s="111"/>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row>
    <row r="329" spans="1:34" ht="13.5" customHeight="1">
      <c r="A329" s="33">
        <v>21140109</v>
      </c>
      <c r="B329" s="24" t="s">
        <v>549</v>
      </c>
      <c r="C329" s="24">
        <v>5000000</v>
      </c>
      <c r="D329" s="107"/>
      <c r="E329" s="107"/>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row>
    <row r="330" spans="1:34" ht="13.5" customHeight="1">
      <c r="A330" s="48">
        <v>211402</v>
      </c>
      <c r="B330" s="21" t="s">
        <v>503</v>
      </c>
      <c r="C330" s="26">
        <f>+SUM(C331:C334)</f>
        <v>19480000</v>
      </c>
      <c r="D330" s="107"/>
      <c r="E330" s="107"/>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row>
    <row r="331" spans="1:34" ht="13.5" customHeight="1">
      <c r="A331" s="33">
        <v>21140203</v>
      </c>
      <c r="B331" s="24" t="s">
        <v>550</v>
      </c>
      <c r="C331" s="24">
        <v>5000000</v>
      </c>
      <c r="D331" s="107"/>
      <c r="E331" s="107"/>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row>
    <row r="332" spans="1:34" ht="13.5" customHeight="1">
      <c r="A332" s="33">
        <v>21140204</v>
      </c>
      <c r="B332" s="24" t="s">
        <v>556</v>
      </c>
      <c r="C332" s="24">
        <v>2000000</v>
      </c>
      <c r="D332" s="107"/>
      <c r="E332" s="107"/>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row>
    <row r="333" spans="1:34" ht="13.5">
      <c r="A333" s="33">
        <v>21140207</v>
      </c>
      <c r="B333" s="23" t="s">
        <v>659</v>
      </c>
      <c r="C333" s="14">
        <v>10300000</v>
      </c>
    </row>
    <row r="334" spans="1:34" ht="13.5" customHeight="1">
      <c r="A334" s="33">
        <v>21140213</v>
      </c>
      <c r="B334" s="24" t="s">
        <v>504</v>
      </c>
      <c r="C334" s="24">
        <v>2180000</v>
      </c>
      <c r="D334" s="107"/>
      <c r="E334" s="107"/>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row>
    <row r="335" spans="1:34" ht="14.25" thickBot="1">
      <c r="A335" s="13"/>
      <c r="B335" s="13"/>
      <c r="C335" s="14"/>
    </row>
    <row r="336" spans="1:34" ht="14.25" thickBot="1">
      <c r="A336" s="1283" t="s">
        <v>48</v>
      </c>
      <c r="B336" s="1281"/>
      <c r="C336" s="52">
        <f>(C337+C341)</f>
        <v>194700</v>
      </c>
    </row>
    <row r="337" spans="1:3" ht="13.5">
      <c r="A337" s="48">
        <v>221104</v>
      </c>
      <c r="B337" s="48" t="s">
        <v>510</v>
      </c>
      <c r="C337" s="16">
        <f>SUM(C338:C340)</f>
        <v>164700</v>
      </c>
    </row>
    <row r="338" spans="1:3" ht="13.5">
      <c r="A338" s="33">
        <v>22110401</v>
      </c>
      <c r="B338" s="13" t="s">
        <v>511</v>
      </c>
      <c r="C338" s="14">
        <v>80000</v>
      </c>
    </row>
    <row r="339" spans="1:3" ht="13.5">
      <c r="A339" s="33">
        <v>22110404</v>
      </c>
      <c r="B339" s="13" t="s">
        <v>512</v>
      </c>
      <c r="C339" s="14">
        <v>14700</v>
      </c>
    </row>
    <row r="340" spans="1:3" ht="13.5">
      <c r="A340" s="33">
        <v>22110409</v>
      </c>
      <c r="B340" s="24" t="s">
        <v>513</v>
      </c>
      <c r="C340" s="24">
        <v>70000</v>
      </c>
    </row>
    <row r="341" spans="1:3" ht="13.5">
      <c r="A341" s="48">
        <v>221107</v>
      </c>
      <c r="B341" s="26" t="s">
        <v>514</v>
      </c>
      <c r="C341" s="16">
        <f>SUM(C342)</f>
        <v>30000</v>
      </c>
    </row>
    <row r="342" spans="1:3" ht="13.5">
      <c r="A342" s="33">
        <v>22110702</v>
      </c>
      <c r="B342" s="13" t="s">
        <v>515</v>
      </c>
      <c r="C342" s="14">
        <v>30000</v>
      </c>
    </row>
    <row r="343" spans="1:3" ht="13.5">
      <c r="A343" s="33"/>
      <c r="B343" s="13"/>
      <c r="C343" s="24"/>
    </row>
    <row r="344" spans="1:3" ht="14.25" thickBot="1">
      <c r="A344" s="23"/>
      <c r="B344" s="24"/>
      <c r="C344" s="24"/>
    </row>
    <row r="345" spans="1:3">
      <c r="A345" s="991" t="s">
        <v>705</v>
      </c>
      <c r="B345" s="992" t="s">
        <v>739</v>
      </c>
      <c r="C345" s="1161" t="s">
        <v>768</v>
      </c>
    </row>
    <row r="346" spans="1:3" ht="13.5" thickBot="1">
      <c r="A346" s="1489"/>
      <c r="B346" s="980"/>
      <c r="C346" s="1490"/>
    </row>
    <row r="347" spans="1:3" ht="13.5">
      <c r="A347" s="1028" t="s">
        <v>675</v>
      </c>
      <c r="B347" s="808"/>
      <c r="C347" s="1029"/>
    </row>
    <row r="348" spans="1:3" ht="13.5">
      <c r="A348" s="1028" t="s">
        <v>728</v>
      </c>
      <c r="B348" s="808"/>
      <c r="C348" s="1029"/>
    </row>
    <row r="349" spans="1:3" ht="13.5">
      <c r="A349" s="1028" t="s">
        <v>729</v>
      </c>
      <c r="B349" s="808"/>
      <c r="C349" s="1029"/>
    </row>
    <row r="350" spans="1:3" ht="14.25" thickBot="1">
      <c r="A350" s="1125" t="s">
        <v>0</v>
      </c>
      <c r="B350" s="982"/>
      <c r="C350" s="1101"/>
    </row>
    <row r="351" spans="1:3" ht="14.25" thickBot="1">
      <c r="A351" s="1171" t="s">
        <v>1</v>
      </c>
      <c r="B351" s="1186"/>
      <c r="C351" s="1173">
        <f>C353+C376+C395+C400</f>
        <v>59066500</v>
      </c>
    </row>
    <row r="352" spans="1:3" ht="13.5" thickBot="1">
      <c r="A352" s="177"/>
      <c r="B352" s="4"/>
      <c r="C352" s="3"/>
    </row>
    <row r="353" spans="1:3" ht="14.25" thickBot="1">
      <c r="A353" s="1297" t="s">
        <v>9</v>
      </c>
      <c r="B353" s="1281"/>
      <c r="C353" s="62">
        <f>C354++C358+C360+C362+C370+C367+C356</f>
        <v>8737000</v>
      </c>
    </row>
    <row r="354" spans="1:3" ht="13.5">
      <c r="A354" s="48">
        <v>211201</v>
      </c>
      <c r="B354" s="48" t="s">
        <v>459</v>
      </c>
      <c r="C354" s="49">
        <f>SUM(C355)</f>
        <v>1821500</v>
      </c>
    </row>
    <row r="355" spans="1:3" ht="13.5">
      <c r="A355" s="33">
        <v>21120101</v>
      </c>
      <c r="B355" s="23" t="s">
        <v>460</v>
      </c>
      <c r="C355" s="24">
        <v>1821500</v>
      </c>
    </row>
    <row r="356" spans="1:3" ht="13.5">
      <c r="A356" s="48">
        <v>211202</v>
      </c>
      <c r="B356" s="15" t="s">
        <v>529</v>
      </c>
      <c r="C356" s="26">
        <f>C357</f>
        <v>297500</v>
      </c>
    </row>
    <row r="357" spans="1:3" ht="13.5">
      <c r="A357" s="33">
        <v>21120202</v>
      </c>
      <c r="B357" s="13" t="s">
        <v>530</v>
      </c>
      <c r="C357" s="24">
        <v>297500</v>
      </c>
    </row>
    <row r="358" spans="1:3" ht="13.5">
      <c r="A358" s="48">
        <v>211203</v>
      </c>
      <c r="B358" s="21" t="s">
        <v>461</v>
      </c>
      <c r="C358" s="26">
        <f>C359</f>
        <v>1055000</v>
      </c>
    </row>
    <row r="359" spans="1:3" ht="13.5">
      <c r="A359" s="33">
        <v>21120302</v>
      </c>
      <c r="B359" s="23" t="s">
        <v>462</v>
      </c>
      <c r="C359" s="24">
        <v>1055000</v>
      </c>
    </row>
    <row r="360" spans="1:3" ht="13.5">
      <c r="A360" s="48">
        <v>211204</v>
      </c>
      <c r="B360" s="21" t="s">
        <v>463</v>
      </c>
      <c r="C360" s="26">
        <f>C361</f>
        <v>1079500</v>
      </c>
    </row>
    <row r="361" spans="1:3" ht="13.5">
      <c r="A361" s="33">
        <v>21120401</v>
      </c>
      <c r="B361" s="24" t="s">
        <v>464</v>
      </c>
      <c r="C361" s="24">
        <v>1079500</v>
      </c>
    </row>
    <row r="362" spans="1:3" ht="13.5">
      <c r="A362" s="48">
        <v>211207</v>
      </c>
      <c r="B362" s="603" t="s">
        <v>467</v>
      </c>
      <c r="C362" s="26">
        <f>+SUM(C363:C366)</f>
        <v>419500</v>
      </c>
    </row>
    <row r="363" spans="1:3" ht="13.5">
      <c r="A363" s="33">
        <v>21120702</v>
      </c>
      <c r="B363" s="24" t="s">
        <v>468</v>
      </c>
      <c r="C363" s="24">
        <v>88000</v>
      </c>
    </row>
    <row r="364" spans="1:3" ht="13.5">
      <c r="A364" s="33">
        <v>21120707</v>
      </c>
      <c r="B364" s="13" t="s">
        <v>516</v>
      </c>
      <c r="C364" s="24">
        <v>287000</v>
      </c>
    </row>
    <row r="365" spans="1:3" ht="13.5">
      <c r="A365" s="33">
        <v>21120708</v>
      </c>
      <c r="B365" s="13" t="s">
        <v>470</v>
      </c>
      <c r="C365" s="24">
        <v>17000</v>
      </c>
    </row>
    <row r="366" spans="1:3" ht="13.5">
      <c r="A366" s="33">
        <v>21120709</v>
      </c>
      <c r="B366" s="24" t="s">
        <v>471</v>
      </c>
      <c r="C366" s="24">
        <v>27500</v>
      </c>
    </row>
    <row r="367" spans="1:3" ht="13.5">
      <c r="A367" s="48">
        <v>211208</v>
      </c>
      <c r="B367" s="26" t="s">
        <v>474</v>
      </c>
      <c r="C367" s="26">
        <f>+SUM(C368:C369)</f>
        <v>1076000</v>
      </c>
    </row>
    <row r="368" spans="1:3" ht="13.5">
      <c r="A368" s="33">
        <v>21120801</v>
      </c>
      <c r="B368" s="13" t="s">
        <v>475</v>
      </c>
      <c r="C368" s="24">
        <v>41000</v>
      </c>
    </row>
    <row r="369" spans="1:3" ht="13.5">
      <c r="A369" s="33">
        <v>21120805</v>
      </c>
      <c r="B369" s="24" t="s">
        <v>476</v>
      </c>
      <c r="C369" s="24">
        <v>1035000</v>
      </c>
    </row>
    <row r="370" spans="1:3" ht="13.5">
      <c r="A370" s="48">
        <v>211209</v>
      </c>
      <c r="B370" s="26" t="s">
        <v>477</v>
      </c>
      <c r="C370" s="26">
        <f>+SUM(C371:C374)</f>
        <v>2988000</v>
      </c>
    </row>
    <row r="371" spans="1:3" ht="13.5">
      <c r="A371" s="33">
        <v>21120901</v>
      </c>
      <c r="B371" s="13" t="s">
        <v>478</v>
      </c>
      <c r="C371" s="24">
        <v>950000</v>
      </c>
    </row>
    <row r="372" spans="1:3" ht="13.5">
      <c r="A372" s="33">
        <v>21120905</v>
      </c>
      <c r="B372" s="24" t="s">
        <v>525</v>
      </c>
      <c r="C372" s="24">
        <v>17500</v>
      </c>
    </row>
    <row r="373" spans="1:3" ht="13.5">
      <c r="A373" s="33">
        <v>21120906</v>
      </c>
      <c r="B373" s="24" t="s">
        <v>479</v>
      </c>
      <c r="C373" s="24">
        <v>64500</v>
      </c>
    </row>
    <row r="374" spans="1:3" ht="13.5">
      <c r="A374" s="33">
        <v>21120907</v>
      </c>
      <c r="B374" s="13" t="s">
        <v>480</v>
      </c>
      <c r="C374" s="24">
        <v>1956000</v>
      </c>
    </row>
    <row r="375" spans="1:3" ht="14.25" thickBot="1">
      <c r="A375" s="23"/>
      <c r="B375" s="24"/>
      <c r="C375" s="24"/>
    </row>
    <row r="376" spans="1:3" ht="14.25" thickBot="1">
      <c r="A376" s="1298" t="s">
        <v>4</v>
      </c>
      <c r="B376" s="1281"/>
      <c r="C376" s="64">
        <f>+C382+C379+C386+C388+C377</f>
        <v>45216500</v>
      </c>
    </row>
    <row r="377" spans="1:3" ht="13.5">
      <c r="A377" s="48">
        <v>211302</v>
      </c>
      <c r="B377" s="48" t="s">
        <v>481</v>
      </c>
      <c r="C377" s="49">
        <f>SUM(C378)</f>
        <v>239000</v>
      </c>
    </row>
    <row r="378" spans="1:3" ht="13.5">
      <c r="A378" s="33">
        <v>21130204</v>
      </c>
      <c r="B378" s="24" t="s">
        <v>483</v>
      </c>
      <c r="C378" s="24">
        <v>239000</v>
      </c>
    </row>
    <row r="379" spans="1:3" ht="13.5">
      <c r="A379" s="48">
        <v>211303</v>
      </c>
      <c r="B379" s="26" t="s">
        <v>484</v>
      </c>
      <c r="C379" s="26">
        <f>+SUM(C380:C381)</f>
        <v>250500</v>
      </c>
    </row>
    <row r="380" spans="1:3" ht="13.5">
      <c r="A380" s="33">
        <v>21130301</v>
      </c>
      <c r="B380" s="23" t="s">
        <v>485</v>
      </c>
      <c r="C380" s="24">
        <v>140000</v>
      </c>
    </row>
    <row r="381" spans="1:3" ht="13.5">
      <c r="A381" s="33">
        <v>21130307</v>
      </c>
      <c r="B381" s="23" t="s">
        <v>488</v>
      </c>
      <c r="C381" s="24">
        <v>110500</v>
      </c>
    </row>
    <row r="382" spans="1:3" ht="13.5">
      <c r="A382" s="48">
        <v>211305</v>
      </c>
      <c r="B382" s="26" t="s">
        <v>489</v>
      </c>
      <c r="C382" s="26">
        <f>+SUM(C383:C385)</f>
        <v>19502500</v>
      </c>
    </row>
    <row r="383" spans="1:3" ht="13.5">
      <c r="A383" s="33">
        <v>21130501</v>
      </c>
      <c r="B383" s="13" t="s">
        <v>490</v>
      </c>
      <c r="C383" s="24">
        <v>57000</v>
      </c>
    </row>
    <row r="384" spans="1:3" ht="13.5">
      <c r="A384" s="33">
        <v>21130502</v>
      </c>
      <c r="B384" s="23" t="s">
        <v>491</v>
      </c>
      <c r="C384" s="24">
        <v>15101000</v>
      </c>
    </row>
    <row r="385" spans="1:3" ht="13.5">
      <c r="A385" s="33">
        <v>21130505</v>
      </c>
      <c r="B385" s="13" t="s">
        <v>651</v>
      </c>
      <c r="C385" s="24">
        <v>4344500</v>
      </c>
    </row>
    <row r="386" spans="1:3" ht="13.5">
      <c r="A386" s="48">
        <v>211306</v>
      </c>
      <c r="B386" s="21" t="s">
        <v>492</v>
      </c>
      <c r="C386" s="26">
        <f>C387</f>
        <v>24000</v>
      </c>
    </row>
    <row r="387" spans="1:3" ht="13.5">
      <c r="A387" s="33">
        <v>21130604</v>
      </c>
      <c r="B387" s="23" t="s">
        <v>539</v>
      </c>
      <c r="C387" s="24">
        <v>24000</v>
      </c>
    </row>
    <row r="388" spans="1:3" ht="13.5">
      <c r="A388" s="48">
        <v>211309</v>
      </c>
      <c r="B388" s="26" t="s">
        <v>496</v>
      </c>
      <c r="C388" s="26">
        <f>+SUM(C389:C393)</f>
        <v>25200500</v>
      </c>
    </row>
    <row r="389" spans="1:3" ht="13.5">
      <c r="A389" s="33">
        <v>21130901</v>
      </c>
      <c r="B389" s="24" t="s">
        <v>497</v>
      </c>
      <c r="C389" s="24">
        <f>14302500-150000</f>
        <v>14152500</v>
      </c>
    </row>
    <row r="390" spans="1:3" ht="13.5">
      <c r="A390" s="33">
        <v>21130903</v>
      </c>
      <c r="B390" s="24" t="s">
        <v>498</v>
      </c>
      <c r="C390" s="24">
        <v>17000</v>
      </c>
    </row>
    <row r="391" spans="1:3" ht="13.5">
      <c r="A391" s="33">
        <v>21130905</v>
      </c>
      <c r="B391" s="13" t="s">
        <v>532</v>
      </c>
      <c r="C391" s="24">
        <v>1288000</v>
      </c>
    </row>
    <row r="392" spans="1:3" ht="13.5">
      <c r="A392" s="33">
        <v>21130906</v>
      </c>
      <c r="B392" s="23" t="s">
        <v>499</v>
      </c>
      <c r="C392" s="24">
        <v>8864500</v>
      </c>
    </row>
    <row r="393" spans="1:3" ht="13.5">
      <c r="A393" s="33">
        <v>21130908</v>
      </c>
      <c r="B393" s="24" t="s">
        <v>500</v>
      </c>
      <c r="C393" s="24">
        <v>878500</v>
      </c>
    </row>
    <row r="394" spans="1:3" ht="14.25" thickBot="1">
      <c r="A394" s="23"/>
      <c r="B394" s="24"/>
      <c r="C394" s="24"/>
    </row>
    <row r="395" spans="1:3" ht="14.25" thickBot="1">
      <c r="A395" s="1287" t="s">
        <v>45</v>
      </c>
      <c r="B395" s="1281"/>
      <c r="C395" s="47">
        <f>C396</f>
        <v>710000</v>
      </c>
    </row>
    <row r="396" spans="1:3" ht="13.5">
      <c r="A396" s="48">
        <v>211402</v>
      </c>
      <c r="B396" s="48" t="s">
        <v>503</v>
      </c>
      <c r="C396" s="49">
        <f>SUM(C397:C398)</f>
        <v>710000</v>
      </c>
    </row>
    <row r="397" spans="1:3" ht="13.5">
      <c r="A397" s="33">
        <v>21140207</v>
      </c>
      <c r="B397" s="23" t="s">
        <v>659</v>
      </c>
      <c r="C397" s="24">
        <v>560000</v>
      </c>
    </row>
    <row r="398" spans="1:3" ht="13.5">
      <c r="A398" s="33">
        <v>21140213</v>
      </c>
      <c r="B398" s="23" t="s">
        <v>504</v>
      </c>
      <c r="C398" s="24">
        <v>150000</v>
      </c>
    </row>
    <row r="399" spans="1:3" ht="14.25" thickBot="1">
      <c r="A399" s="23"/>
      <c r="B399" s="23"/>
      <c r="C399" s="24"/>
    </row>
    <row r="400" spans="1:3" ht="14.25" thickBot="1">
      <c r="A400" s="1299" t="s">
        <v>48</v>
      </c>
      <c r="B400" s="1281"/>
      <c r="C400" s="125">
        <f>C401+C406</f>
        <v>4403000</v>
      </c>
    </row>
    <row r="401" spans="1:24" ht="13.5">
      <c r="A401" s="48">
        <v>221104</v>
      </c>
      <c r="B401" s="827" t="s">
        <v>510</v>
      </c>
      <c r="C401" s="49">
        <f>SUM(C402:C405)</f>
        <v>3917500</v>
      </c>
    </row>
    <row r="402" spans="1:24" ht="13.5">
      <c r="A402" s="33">
        <v>22110401</v>
      </c>
      <c r="B402" s="23" t="s">
        <v>511</v>
      </c>
      <c r="C402" s="24">
        <v>132500</v>
      </c>
    </row>
    <row r="403" spans="1:24" ht="13.5">
      <c r="A403" s="33">
        <v>22110404</v>
      </c>
      <c r="B403" s="23" t="s">
        <v>512</v>
      </c>
      <c r="C403" s="24">
        <f>1400000+38500</f>
        <v>1438500</v>
      </c>
    </row>
    <row r="404" spans="1:24" ht="13.5">
      <c r="A404" s="33">
        <v>22110406</v>
      </c>
      <c r="B404" s="23" t="s">
        <v>660</v>
      </c>
      <c r="C404" s="24">
        <v>2313500</v>
      </c>
    </row>
    <row r="405" spans="1:24" ht="13.5">
      <c r="A405" s="33">
        <v>22110409</v>
      </c>
      <c r="B405" s="24" t="s">
        <v>513</v>
      </c>
      <c r="C405" s="24">
        <v>33000</v>
      </c>
    </row>
    <row r="406" spans="1:24" ht="13.5">
      <c r="A406" s="48">
        <v>221107</v>
      </c>
      <c r="B406" s="26" t="s">
        <v>514</v>
      </c>
      <c r="C406" s="26">
        <f>C407</f>
        <v>485500</v>
      </c>
    </row>
    <row r="407" spans="1:24" ht="13.5">
      <c r="A407" s="33">
        <v>22110702</v>
      </c>
      <c r="B407" s="24" t="s">
        <v>515</v>
      </c>
      <c r="C407" s="24">
        <v>485500</v>
      </c>
    </row>
    <row r="409" spans="1:24" ht="13.5" thickBot="1"/>
    <row r="410" spans="1:24" ht="12.75" customHeight="1">
      <c r="A410" s="1334" t="s">
        <v>282</v>
      </c>
      <c r="B410" s="1336"/>
      <c r="C410" s="1161" t="s">
        <v>769</v>
      </c>
      <c r="D410" s="270"/>
      <c r="E410" s="4"/>
      <c r="F410" s="4"/>
      <c r="G410" s="4"/>
      <c r="H410" s="4"/>
      <c r="I410" s="4"/>
      <c r="J410" s="4"/>
      <c r="K410" s="4"/>
      <c r="L410" s="4"/>
      <c r="M410" s="4"/>
      <c r="N410" s="4"/>
      <c r="O410" s="4"/>
      <c r="P410" s="4"/>
      <c r="Q410" s="4"/>
      <c r="R410" s="4"/>
      <c r="S410" s="4"/>
      <c r="T410" s="4"/>
      <c r="U410" s="4"/>
      <c r="V410" s="4"/>
      <c r="W410" s="4"/>
      <c r="X410" s="4"/>
    </row>
    <row r="411" spans="1:24" ht="15" customHeight="1" thickBot="1">
      <c r="A411" s="1363"/>
      <c r="B411" s="1304"/>
      <c r="C411" s="1490"/>
      <c r="D411" s="270"/>
      <c r="E411" s="4"/>
      <c r="F411" s="4"/>
      <c r="G411" s="4"/>
      <c r="H411" s="4"/>
      <c r="I411" s="4"/>
      <c r="J411" s="4"/>
      <c r="K411" s="4"/>
      <c r="L411" s="4"/>
      <c r="M411" s="4"/>
      <c r="N411" s="4"/>
      <c r="O411" s="4"/>
      <c r="P411" s="4"/>
      <c r="Q411" s="4"/>
      <c r="R411" s="4"/>
      <c r="S411" s="4"/>
      <c r="T411" s="4"/>
      <c r="U411" s="4"/>
      <c r="V411" s="4"/>
      <c r="W411" s="4"/>
      <c r="X411" s="4"/>
    </row>
    <row r="412" spans="1:24" ht="12.75" customHeight="1">
      <c r="A412" s="1028" t="s">
        <v>675</v>
      </c>
      <c r="B412" s="808"/>
      <c r="C412" s="1029"/>
      <c r="D412" s="270"/>
      <c r="E412" s="4"/>
      <c r="F412" s="4"/>
      <c r="G412" s="4"/>
      <c r="H412" s="4"/>
      <c r="I412" s="4"/>
      <c r="J412" s="4"/>
      <c r="K412" s="4"/>
      <c r="L412" s="4"/>
      <c r="M412" s="4"/>
      <c r="N412" s="4"/>
      <c r="O412" s="4"/>
      <c r="P412" s="4"/>
      <c r="Q412" s="4"/>
      <c r="R412" s="4"/>
      <c r="S412" s="4"/>
      <c r="T412" s="4"/>
      <c r="U412" s="4"/>
      <c r="V412" s="4"/>
      <c r="W412" s="4"/>
      <c r="X412" s="4"/>
    </row>
    <row r="413" spans="1:24" ht="12.75" customHeight="1">
      <c r="A413" s="1028" t="s">
        <v>728</v>
      </c>
      <c r="B413" s="808"/>
      <c r="C413" s="1029"/>
      <c r="D413" s="270"/>
      <c r="E413" s="4"/>
      <c r="F413" s="4"/>
      <c r="G413" s="4"/>
      <c r="H413" s="4"/>
      <c r="I413" s="4"/>
      <c r="J413" s="4"/>
      <c r="K413" s="4"/>
      <c r="L413" s="4"/>
      <c r="M413" s="4"/>
      <c r="N413" s="4"/>
      <c r="O413" s="4"/>
      <c r="P413" s="4"/>
      <c r="Q413" s="4"/>
      <c r="R413" s="4"/>
      <c r="S413" s="4"/>
      <c r="T413" s="4"/>
      <c r="U413" s="4"/>
      <c r="V413" s="4"/>
      <c r="W413" s="4"/>
      <c r="X413" s="4"/>
    </row>
    <row r="414" spans="1:24" ht="12.75" customHeight="1">
      <c r="A414" s="1028" t="s">
        <v>729</v>
      </c>
      <c r="B414" s="808"/>
      <c r="C414" s="1029"/>
      <c r="D414" s="270"/>
      <c r="E414" s="4"/>
      <c r="F414" s="4"/>
      <c r="G414" s="4"/>
      <c r="H414" s="4"/>
      <c r="I414" s="4"/>
      <c r="J414" s="4"/>
      <c r="K414" s="4"/>
      <c r="L414" s="4"/>
      <c r="M414" s="4"/>
      <c r="N414" s="4"/>
      <c r="O414" s="4"/>
      <c r="P414" s="4"/>
      <c r="Q414" s="4"/>
      <c r="R414" s="4"/>
      <c r="S414" s="4"/>
      <c r="T414" s="4"/>
      <c r="U414" s="4"/>
      <c r="V414" s="4"/>
      <c r="W414" s="4"/>
      <c r="X414" s="4"/>
    </row>
    <row r="415" spans="1:24" ht="12.75" customHeight="1" thickBot="1">
      <c r="A415" s="1125" t="s">
        <v>0</v>
      </c>
      <c r="B415" s="982"/>
      <c r="C415" s="1101"/>
      <c r="D415" s="270"/>
      <c r="E415" s="4"/>
      <c r="F415" s="4"/>
      <c r="G415" s="4"/>
      <c r="H415" s="4"/>
      <c r="I415" s="4"/>
      <c r="J415" s="4"/>
      <c r="K415" s="4"/>
      <c r="L415" s="4"/>
      <c r="M415" s="4"/>
      <c r="N415" s="4"/>
      <c r="O415" s="4"/>
      <c r="P415" s="4"/>
      <c r="Q415" s="4"/>
      <c r="R415" s="4"/>
      <c r="S415" s="4"/>
      <c r="T415" s="4"/>
      <c r="U415" s="4"/>
      <c r="V415" s="4"/>
      <c r="W415" s="4"/>
      <c r="X415" s="4"/>
    </row>
    <row r="416" spans="1:24" ht="12.75" customHeight="1" thickBot="1">
      <c r="A416" s="1171" t="s">
        <v>1</v>
      </c>
      <c r="B416" s="1186"/>
      <c r="C416" s="1173">
        <f>C418+C449+C469</f>
        <v>74937500</v>
      </c>
      <c r="D416" s="270"/>
      <c r="E416" s="3"/>
      <c r="F416" s="4"/>
      <c r="G416" s="4"/>
      <c r="H416" s="4"/>
      <c r="I416" s="4"/>
      <c r="J416" s="4"/>
      <c r="K416" s="4"/>
      <c r="L416" s="4"/>
      <c r="M416" s="4"/>
      <c r="N416" s="4"/>
      <c r="O416" s="4"/>
      <c r="P416" s="4"/>
      <c r="Q416" s="4"/>
      <c r="R416" s="4"/>
      <c r="S416" s="4"/>
      <c r="T416" s="4"/>
      <c r="U416" s="4"/>
      <c r="V416" s="4"/>
      <c r="W416" s="4"/>
      <c r="X416" s="4"/>
    </row>
    <row r="417" spans="1:24" ht="12.75" customHeight="1" thickBot="1">
      <c r="A417" s="177"/>
      <c r="B417" s="4"/>
      <c r="C417" s="3"/>
      <c r="D417" s="181"/>
      <c r="E417" s="4"/>
      <c r="F417" s="4"/>
      <c r="G417" s="4"/>
      <c r="H417" s="4"/>
      <c r="I417" s="4"/>
      <c r="J417" s="4"/>
      <c r="K417" s="4"/>
      <c r="L417" s="4"/>
      <c r="M417" s="4"/>
      <c r="N417" s="4"/>
      <c r="O417" s="4"/>
      <c r="P417" s="4"/>
      <c r="Q417" s="4"/>
      <c r="R417" s="4"/>
      <c r="S417" s="4"/>
      <c r="T417" s="4"/>
      <c r="U417" s="4"/>
      <c r="V417" s="4"/>
      <c r="W417" s="4"/>
      <c r="X417" s="4"/>
    </row>
    <row r="418" spans="1:24" ht="12.75" customHeight="1" thickBot="1">
      <c r="A418" s="1297" t="s">
        <v>9</v>
      </c>
      <c r="B418" s="1281"/>
      <c r="C418" s="62">
        <f>C419+C421+C424+C426+C429+C431+C438+C442</f>
        <v>7099500</v>
      </c>
      <c r="D418" s="89"/>
      <c r="E418" s="4"/>
      <c r="F418" s="4"/>
      <c r="G418" s="4"/>
      <c r="H418" s="4"/>
      <c r="I418" s="4"/>
      <c r="J418" s="4"/>
      <c r="K418" s="4"/>
      <c r="L418" s="4"/>
      <c r="M418" s="4"/>
      <c r="N418" s="4"/>
      <c r="O418" s="4"/>
      <c r="P418" s="4"/>
      <c r="Q418" s="4"/>
      <c r="R418" s="4"/>
      <c r="S418" s="4"/>
      <c r="T418" s="4"/>
      <c r="U418" s="4"/>
      <c r="V418" s="4"/>
      <c r="W418" s="4"/>
      <c r="X418" s="4"/>
    </row>
    <row r="419" spans="1:24" ht="12.75" customHeight="1">
      <c r="A419" s="48">
        <v>211201</v>
      </c>
      <c r="B419" s="48" t="s">
        <v>459</v>
      </c>
      <c r="C419" s="49">
        <f>SUM(C420)</f>
        <v>1038000</v>
      </c>
      <c r="D419" s="272"/>
      <c r="E419" s="34"/>
      <c r="F419" s="34"/>
      <c r="G419" s="34"/>
      <c r="H419" s="34"/>
      <c r="I419" s="34"/>
      <c r="J419" s="34"/>
      <c r="K419" s="34"/>
      <c r="L419" s="34"/>
      <c r="M419" s="34"/>
      <c r="N419" s="34"/>
      <c r="O419" s="34"/>
      <c r="P419" s="34"/>
      <c r="Q419" s="34"/>
      <c r="R419" s="34"/>
      <c r="S419" s="34"/>
      <c r="T419" s="34"/>
      <c r="U419" s="34"/>
      <c r="V419" s="34"/>
      <c r="W419" s="34"/>
      <c r="X419" s="34"/>
    </row>
    <row r="420" spans="1:24" ht="13.5" customHeight="1">
      <c r="A420" s="33">
        <v>21120101</v>
      </c>
      <c r="B420" s="23" t="s">
        <v>460</v>
      </c>
      <c r="C420" s="24">
        <v>1038000</v>
      </c>
      <c r="D420" s="270"/>
      <c r="E420" s="274"/>
      <c r="F420" s="23"/>
      <c r="G420" s="23"/>
      <c r="H420" s="23"/>
      <c r="I420" s="23"/>
      <c r="J420" s="23"/>
      <c r="K420" s="23"/>
      <c r="L420" s="23"/>
      <c r="M420" s="23"/>
      <c r="N420" s="23"/>
      <c r="O420" s="23"/>
      <c r="P420" s="23"/>
      <c r="Q420" s="23"/>
      <c r="R420" s="23"/>
      <c r="S420" s="23"/>
      <c r="T420" s="23"/>
      <c r="U420" s="23"/>
      <c r="V420" s="23"/>
      <c r="W420" s="23"/>
      <c r="X420" s="23"/>
    </row>
    <row r="421" spans="1:24" ht="13.5" customHeight="1">
      <c r="A421" s="48">
        <v>211202</v>
      </c>
      <c r="B421" s="15" t="s">
        <v>529</v>
      </c>
      <c r="C421" s="26">
        <f>+SUM(C422:C423)</f>
        <v>264500</v>
      </c>
      <c r="D421" s="272"/>
      <c r="E421" s="274"/>
      <c r="F421" s="23"/>
      <c r="G421" s="23"/>
      <c r="H421" s="23"/>
      <c r="I421" s="23"/>
      <c r="J421" s="23"/>
      <c r="K421" s="23"/>
      <c r="L421" s="23"/>
      <c r="M421" s="23"/>
      <c r="N421" s="23"/>
      <c r="O421" s="23"/>
      <c r="P421" s="23"/>
      <c r="Q421" s="23"/>
      <c r="R421" s="23"/>
      <c r="S421" s="23"/>
      <c r="T421" s="23"/>
      <c r="U421" s="23"/>
      <c r="V421" s="23"/>
      <c r="W421" s="23"/>
      <c r="X421" s="23"/>
    </row>
    <row r="422" spans="1:24" ht="13.5" customHeight="1">
      <c r="A422" s="33">
        <v>21120201</v>
      </c>
      <c r="B422" s="13" t="s">
        <v>540</v>
      </c>
      <c r="C422" s="24">
        <v>60000</v>
      </c>
      <c r="D422" s="272"/>
      <c r="E422" s="274"/>
      <c r="F422" s="23"/>
      <c r="G422" s="23"/>
      <c r="H422" s="23"/>
      <c r="I422" s="23"/>
      <c r="J422" s="23"/>
      <c r="K422" s="23"/>
      <c r="L422" s="23"/>
      <c r="M422" s="23"/>
      <c r="N422" s="23"/>
      <c r="O422" s="23"/>
      <c r="P422" s="23"/>
      <c r="Q422" s="23"/>
      <c r="R422" s="23"/>
      <c r="S422" s="23"/>
      <c r="T422" s="23"/>
      <c r="U422" s="23"/>
      <c r="V422" s="23"/>
      <c r="W422" s="23"/>
      <c r="X422" s="23"/>
    </row>
    <row r="423" spans="1:24" ht="13.5" customHeight="1">
      <c r="A423" s="33">
        <v>21120202</v>
      </c>
      <c r="B423" s="13" t="s">
        <v>530</v>
      </c>
      <c r="C423" s="24">
        <v>204500</v>
      </c>
      <c r="D423" s="270"/>
      <c r="E423" s="274"/>
      <c r="F423" s="23"/>
      <c r="G423" s="23"/>
      <c r="H423" s="23"/>
      <c r="I423" s="23"/>
      <c r="J423" s="23"/>
      <c r="K423" s="23"/>
      <c r="L423" s="23"/>
      <c r="M423" s="23"/>
      <c r="N423" s="23"/>
      <c r="O423" s="23"/>
      <c r="P423" s="23"/>
      <c r="Q423" s="23"/>
      <c r="R423" s="23"/>
      <c r="S423" s="23"/>
      <c r="T423" s="23"/>
      <c r="U423" s="23"/>
      <c r="V423" s="23"/>
      <c r="W423" s="23"/>
      <c r="X423" s="23"/>
    </row>
    <row r="424" spans="1:24" ht="13.5" customHeight="1">
      <c r="A424" s="48">
        <v>211203</v>
      </c>
      <c r="B424" s="21" t="s">
        <v>461</v>
      </c>
      <c r="C424" s="26">
        <f>C425</f>
        <v>1330000</v>
      </c>
      <c r="D424" s="34"/>
      <c r="E424" s="274"/>
      <c r="F424" s="23"/>
      <c r="G424" s="23"/>
      <c r="H424" s="23"/>
      <c r="I424" s="23"/>
      <c r="J424" s="23"/>
      <c r="K424" s="23"/>
      <c r="L424" s="23"/>
      <c r="M424" s="23"/>
      <c r="N424" s="23"/>
      <c r="O424" s="23"/>
      <c r="P424" s="23"/>
      <c r="Q424" s="23"/>
      <c r="R424" s="23"/>
      <c r="S424" s="23"/>
      <c r="T424" s="23"/>
      <c r="U424" s="23"/>
      <c r="V424" s="23"/>
      <c r="W424" s="23"/>
      <c r="X424" s="23"/>
    </row>
    <row r="425" spans="1:24" ht="12.75" customHeight="1">
      <c r="A425" s="33">
        <v>21120302</v>
      </c>
      <c r="B425" s="23" t="s">
        <v>462</v>
      </c>
      <c r="C425" s="24">
        <v>1330000</v>
      </c>
      <c r="D425" s="270"/>
      <c r="E425" s="4"/>
      <c r="F425" s="4"/>
      <c r="G425" s="4"/>
      <c r="H425" s="4"/>
      <c r="I425" s="4"/>
      <c r="J425" s="4"/>
      <c r="K425" s="4"/>
      <c r="L425" s="4"/>
      <c r="M425" s="4"/>
      <c r="N425" s="4"/>
      <c r="O425" s="4"/>
      <c r="P425" s="4"/>
      <c r="Q425" s="4"/>
      <c r="R425" s="4"/>
      <c r="S425" s="4"/>
      <c r="T425" s="4"/>
      <c r="U425" s="4"/>
      <c r="V425" s="4"/>
      <c r="W425" s="4"/>
      <c r="X425" s="4"/>
    </row>
    <row r="426" spans="1:24" ht="12.75" customHeight="1">
      <c r="A426" s="48">
        <v>211204</v>
      </c>
      <c r="B426" s="21" t="s">
        <v>463</v>
      </c>
      <c r="C426" s="26">
        <f>+SUM(C427:C428)</f>
        <v>658000</v>
      </c>
      <c r="D426" s="270"/>
      <c r="E426" s="4"/>
      <c r="F426" s="4"/>
      <c r="G426" s="4"/>
      <c r="H426" s="4"/>
      <c r="I426" s="4"/>
      <c r="J426" s="4"/>
      <c r="K426" s="4"/>
      <c r="L426" s="4"/>
      <c r="M426" s="4"/>
      <c r="N426" s="4"/>
      <c r="O426" s="4"/>
      <c r="P426" s="4"/>
      <c r="Q426" s="4"/>
      <c r="R426" s="4"/>
      <c r="S426" s="4"/>
      <c r="T426" s="4"/>
      <c r="U426" s="4"/>
      <c r="V426" s="4"/>
      <c r="W426" s="4"/>
      <c r="X426" s="4"/>
    </row>
    <row r="427" spans="1:24" ht="12.75" customHeight="1">
      <c r="A427" s="33">
        <v>21120401</v>
      </c>
      <c r="B427" s="24" t="s">
        <v>464</v>
      </c>
      <c r="C427" s="24">
        <v>613000</v>
      </c>
      <c r="D427" s="270"/>
      <c r="E427" s="274"/>
      <c r="F427" s="4"/>
      <c r="G427" s="4"/>
      <c r="H427" s="4"/>
      <c r="I427" s="4"/>
      <c r="J427" s="4"/>
      <c r="K427" s="4"/>
      <c r="L427" s="4"/>
      <c r="M427" s="4"/>
      <c r="N427" s="4"/>
      <c r="O427" s="4"/>
      <c r="P427" s="4"/>
      <c r="Q427" s="4"/>
      <c r="R427" s="4"/>
      <c r="S427" s="4"/>
      <c r="T427" s="4"/>
      <c r="U427" s="4"/>
      <c r="V427" s="4"/>
      <c r="W427" s="4"/>
      <c r="X427" s="4"/>
    </row>
    <row r="428" spans="1:24" ht="12.75" customHeight="1">
      <c r="A428" s="33">
        <v>21120402</v>
      </c>
      <c r="B428" s="24" t="s">
        <v>649</v>
      </c>
      <c r="C428" s="24">
        <v>45000</v>
      </c>
      <c r="D428" s="270"/>
      <c r="E428" s="274"/>
      <c r="F428" s="4"/>
      <c r="G428" s="4"/>
      <c r="H428" s="4"/>
      <c r="I428" s="4"/>
      <c r="J428" s="4"/>
      <c r="K428" s="4"/>
      <c r="L428" s="4"/>
      <c r="M428" s="4"/>
      <c r="N428" s="4"/>
      <c r="O428" s="4"/>
      <c r="P428" s="4"/>
      <c r="Q428" s="4"/>
      <c r="R428" s="4"/>
      <c r="S428" s="4"/>
      <c r="T428" s="4"/>
      <c r="U428" s="4"/>
      <c r="V428" s="4"/>
      <c r="W428" s="4"/>
      <c r="X428" s="4"/>
    </row>
    <row r="429" spans="1:24" ht="12.75" customHeight="1">
      <c r="A429" s="48">
        <v>211205</v>
      </c>
      <c r="B429" s="15" t="s">
        <v>465</v>
      </c>
      <c r="C429" s="26">
        <f>C430</f>
        <v>583000</v>
      </c>
      <c r="D429" s="270"/>
      <c r="E429" s="274"/>
      <c r="F429" s="4"/>
      <c r="G429" s="4"/>
      <c r="H429" s="4"/>
      <c r="I429" s="4"/>
      <c r="J429" s="4"/>
      <c r="K429" s="4"/>
      <c r="L429" s="4"/>
      <c r="M429" s="4"/>
      <c r="N429" s="4"/>
      <c r="O429" s="4"/>
      <c r="P429" s="4"/>
      <c r="Q429" s="4"/>
      <c r="R429" s="4"/>
      <c r="S429" s="4"/>
      <c r="T429" s="4"/>
      <c r="U429" s="4"/>
      <c r="V429" s="4"/>
      <c r="W429" s="4"/>
      <c r="X429" s="4"/>
    </row>
    <row r="430" spans="1:24" ht="12.75" customHeight="1">
      <c r="A430" s="33">
        <v>21120502</v>
      </c>
      <c r="B430" s="13" t="s">
        <v>580</v>
      </c>
      <c r="C430" s="24">
        <v>583000</v>
      </c>
      <c r="D430" s="270"/>
      <c r="E430" s="274"/>
      <c r="F430" s="4"/>
      <c r="G430" s="4"/>
      <c r="H430" s="4"/>
      <c r="I430" s="4"/>
      <c r="J430" s="4"/>
      <c r="K430" s="4"/>
      <c r="L430" s="4"/>
      <c r="M430" s="4"/>
      <c r="N430" s="4"/>
      <c r="O430" s="4"/>
      <c r="P430" s="4"/>
      <c r="Q430" s="4"/>
      <c r="R430" s="4"/>
      <c r="S430" s="4"/>
      <c r="T430" s="4"/>
      <c r="U430" s="4"/>
      <c r="V430" s="4"/>
      <c r="W430" s="4"/>
      <c r="X430" s="4"/>
    </row>
    <row r="431" spans="1:24" ht="12.75" customHeight="1">
      <c r="A431" s="48">
        <v>211207</v>
      </c>
      <c r="B431" s="603" t="s">
        <v>467</v>
      </c>
      <c r="C431" s="26">
        <f>+SUM(C432:C437)</f>
        <v>868500</v>
      </c>
      <c r="D431" s="270"/>
      <c r="E431" s="274"/>
      <c r="F431" s="4"/>
      <c r="G431" s="4"/>
      <c r="H431" s="4"/>
      <c r="I431" s="4"/>
      <c r="J431" s="4"/>
      <c r="K431" s="4"/>
      <c r="L431" s="4"/>
      <c r="M431" s="4"/>
      <c r="N431" s="4"/>
      <c r="O431" s="4"/>
      <c r="P431" s="4"/>
      <c r="Q431" s="4"/>
      <c r="R431" s="4"/>
      <c r="S431" s="4"/>
      <c r="T431" s="4"/>
      <c r="U431" s="4"/>
      <c r="V431" s="4"/>
      <c r="W431" s="4"/>
      <c r="X431" s="4"/>
    </row>
    <row r="432" spans="1:24" ht="12.75" customHeight="1">
      <c r="A432" s="33">
        <v>21120702</v>
      </c>
      <c r="B432" s="24" t="s">
        <v>468</v>
      </c>
      <c r="C432" s="24">
        <v>19000</v>
      </c>
      <c r="D432" s="270"/>
      <c r="E432" s="274"/>
      <c r="F432" s="4"/>
      <c r="G432" s="4"/>
      <c r="H432" s="4"/>
      <c r="I432" s="4"/>
      <c r="J432" s="4"/>
      <c r="K432" s="4"/>
      <c r="L432" s="4"/>
      <c r="M432" s="4"/>
      <c r="N432" s="4"/>
      <c r="O432" s="4"/>
      <c r="P432" s="4"/>
      <c r="Q432" s="4"/>
      <c r="R432" s="4"/>
      <c r="S432" s="4"/>
      <c r="T432" s="4"/>
      <c r="U432" s="4"/>
      <c r="V432" s="4"/>
      <c r="W432" s="4"/>
      <c r="X432" s="4"/>
    </row>
    <row r="433" spans="1:24" ht="12.75" customHeight="1">
      <c r="A433" s="33">
        <v>21120706</v>
      </c>
      <c r="B433" s="13" t="s">
        <v>542</v>
      </c>
      <c r="C433" s="24">
        <v>20000</v>
      </c>
      <c r="D433" s="270"/>
      <c r="E433" s="274"/>
      <c r="F433" s="4"/>
      <c r="G433" s="4"/>
      <c r="H433" s="4"/>
      <c r="I433" s="4"/>
      <c r="J433" s="4"/>
      <c r="K433" s="4"/>
      <c r="L433" s="4"/>
      <c r="M433" s="4"/>
      <c r="N433" s="4"/>
      <c r="O433" s="4"/>
      <c r="P433" s="4"/>
      <c r="Q433" s="4"/>
      <c r="R433" s="4"/>
      <c r="S433" s="4"/>
      <c r="T433" s="4"/>
      <c r="U433" s="4"/>
      <c r="V433" s="4"/>
      <c r="W433" s="4"/>
      <c r="X433" s="4"/>
    </row>
    <row r="434" spans="1:24" ht="12.75" customHeight="1">
      <c r="A434" s="33">
        <v>21120707</v>
      </c>
      <c r="B434" s="13" t="s">
        <v>516</v>
      </c>
      <c r="C434" s="24">
        <v>17000</v>
      </c>
      <c r="D434" s="270"/>
      <c r="E434" s="274"/>
      <c r="F434" s="4"/>
      <c r="G434" s="4"/>
      <c r="H434" s="4"/>
      <c r="I434" s="4"/>
      <c r="J434" s="4"/>
      <c r="K434" s="4"/>
      <c r="L434" s="4"/>
      <c r="M434" s="4"/>
      <c r="N434" s="4"/>
      <c r="O434" s="4"/>
      <c r="P434" s="4"/>
      <c r="Q434" s="4"/>
      <c r="R434" s="4"/>
      <c r="S434" s="4"/>
      <c r="T434" s="4"/>
      <c r="U434" s="4"/>
      <c r="V434" s="4"/>
      <c r="W434" s="4"/>
      <c r="X434" s="4"/>
    </row>
    <row r="435" spans="1:24" ht="12.75" customHeight="1">
      <c r="A435" s="33">
        <v>21120708</v>
      </c>
      <c r="B435" s="13" t="s">
        <v>470</v>
      </c>
      <c r="C435" s="24">
        <v>25000</v>
      </c>
      <c r="D435" s="270"/>
      <c r="E435" s="274"/>
      <c r="F435" s="4"/>
      <c r="G435" s="4"/>
      <c r="H435" s="4"/>
      <c r="I435" s="4"/>
      <c r="J435" s="4"/>
      <c r="K435" s="4"/>
      <c r="L435" s="4"/>
      <c r="M435" s="4"/>
      <c r="N435" s="4"/>
      <c r="O435" s="4"/>
      <c r="P435" s="4"/>
      <c r="Q435" s="4"/>
      <c r="R435" s="4"/>
      <c r="S435" s="4"/>
      <c r="T435" s="4"/>
      <c r="U435" s="4"/>
      <c r="V435" s="4"/>
      <c r="W435" s="4"/>
      <c r="X435" s="4"/>
    </row>
    <row r="436" spans="1:24" ht="12.75" customHeight="1">
      <c r="A436" s="33">
        <v>21120709</v>
      </c>
      <c r="B436" s="24" t="s">
        <v>471</v>
      </c>
      <c r="C436" s="24">
        <v>15000</v>
      </c>
      <c r="D436" s="8"/>
      <c r="E436" s="8"/>
      <c r="F436" s="8"/>
      <c r="G436" s="8"/>
      <c r="H436" s="8"/>
      <c r="I436" s="8"/>
      <c r="J436" s="8"/>
      <c r="K436" s="8"/>
      <c r="L436" s="8"/>
      <c r="M436" s="8"/>
      <c r="N436" s="8"/>
      <c r="O436" s="8"/>
      <c r="P436" s="8"/>
      <c r="Q436" s="8"/>
      <c r="R436" s="8"/>
      <c r="S436" s="8"/>
      <c r="T436" s="8"/>
      <c r="U436" s="8"/>
      <c r="V436" s="8"/>
      <c r="W436" s="8"/>
      <c r="X436" s="8"/>
    </row>
    <row r="437" spans="1:24" ht="12.75" customHeight="1">
      <c r="A437" s="33">
        <v>21120710</v>
      </c>
      <c r="B437" s="24" t="s">
        <v>472</v>
      </c>
      <c r="C437" s="24">
        <v>772500</v>
      </c>
      <c r="D437" s="8"/>
      <c r="E437" s="8"/>
      <c r="F437" s="8"/>
      <c r="G437" s="8"/>
      <c r="H437" s="8"/>
      <c r="I437" s="8"/>
      <c r="J437" s="8"/>
      <c r="K437" s="8"/>
      <c r="L437" s="8"/>
      <c r="M437" s="8"/>
      <c r="N437" s="8"/>
      <c r="O437" s="8"/>
      <c r="P437" s="8"/>
      <c r="Q437" s="8"/>
      <c r="R437" s="8"/>
      <c r="S437" s="8"/>
      <c r="T437" s="8"/>
      <c r="U437" s="8"/>
      <c r="V437" s="8"/>
      <c r="W437" s="8"/>
      <c r="X437" s="8"/>
    </row>
    <row r="438" spans="1:24" ht="12.75" customHeight="1">
      <c r="A438" s="48">
        <v>211208</v>
      </c>
      <c r="B438" s="26" t="s">
        <v>474</v>
      </c>
      <c r="C438" s="26">
        <f>+SUM(C439:C441)</f>
        <v>1275000</v>
      </c>
      <c r="D438" s="270"/>
      <c r="E438" s="274"/>
      <c r="F438" s="4"/>
      <c r="G438" s="4"/>
      <c r="H438" s="4"/>
      <c r="I438" s="4"/>
      <c r="J438" s="4"/>
      <c r="K438" s="4"/>
      <c r="L438" s="4"/>
      <c r="M438" s="4"/>
      <c r="N438" s="4"/>
      <c r="O438" s="4"/>
      <c r="P438" s="4"/>
      <c r="Q438" s="4"/>
      <c r="R438" s="4"/>
      <c r="S438" s="4"/>
      <c r="T438" s="4"/>
      <c r="U438" s="4"/>
      <c r="V438" s="4"/>
      <c r="W438" s="4"/>
      <c r="X438" s="4"/>
    </row>
    <row r="439" spans="1:24" ht="13.5" customHeight="1">
      <c r="A439" s="33">
        <v>21120801</v>
      </c>
      <c r="B439" s="24" t="s">
        <v>475</v>
      </c>
      <c r="C439" s="24">
        <v>80000</v>
      </c>
      <c r="D439" s="23"/>
      <c r="E439" s="24"/>
      <c r="F439" s="23"/>
      <c r="G439" s="63"/>
      <c r="H439" s="23"/>
      <c r="I439" s="23"/>
      <c r="J439" s="23"/>
      <c r="K439" s="23"/>
      <c r="L439" s="23"/>
      <c r="M439" s="23"/>
      <c r="N439" s="23"/>
      <c r="O439" s="23"/>
      <c r="P439" s="23"/>
      <c r="Q439" s="23"/>
      <c r="R439" s="23"/>
      <c r="S439" s="23"/>
      <c r="T439" s="23"/>
      <c r="U439" s="23"/>
      <c r="V439" s="23"/>
      <c r="W439" s="23"/>
      <c r="X439" s="23"/>
    </row>
    <row r="440" spans="1:24" ht="13.5" customHeight="1">
      <c r="A440" s="33">
        <v>21120803</v>
      </c>
      <c r="B440" s="24" t="s">
        <v>517</v>
      </c>
      <c r="C440" s="24">
        <v>544500</v>
      </c>
      <c r="D440" s="23"/>
      <c r="E440" s="24"/>
      <c r="F440" s="23"/>
      <c r="G440" s="63"/>
      <c r="H440" s="23"/>
      <c r="I440" s="23"/>
      <c r="J440" s="23"/>
      <c r="K440" s="23"/>
      <c r="L440" s="23"/>
      <c r="M440" s="23"/>
      <c r="N440" s="23"/>
      <c r="O440" s="23"/>
      <c r="P440" s="23"/>
      <c r="Q440" s="23"/>
      <c r="R440" s="23"/>
      <c r="S440" s="23"/>
      <c r="T440" s="23"/>
      <c r="U440" s="23"/>
      <c r="V440" s="23"/>
      <c r="W440" s="23"/>
      <c r="X440" s="23"/>
    </row>
    <row r="441" spans="1:24" ht="12.75" customHeight="1">
      <c r="A441" s="33">
        <v>21120805</v>
      </c>
      <c r="B441" s="24" t="s">
        <v>476</v>
      </c>
      <c r="C441" s="24">
        <v>650500</v>
      </c>
      <c r="D441" s="270"/>
      <c r="E441" s="274"/>
      <c r="F441" s="4"/>
      <c r="G441" s="4"/>
      <c r="H441" s="4"/>
      <c r="I441" s="4"/>
      <c r="J441" s="4"/>
      <c r="K441" s="4"/>
      <c r="L441" s="4"/>
      <c r="M441" s="4"/>
      <c r="N441" s="4"/>
      <c r="O441" s="4"/>
      <c r="P441" s="4"/>
      <c r="Q441" s="4"/>
      <c r="R441" s="4"/>
      <c r="S441" s="4"/>
      <c r="T441" s="4"/>
      <c r="U441" s="4"/>
      <c r="V441" s="4"/>
      <c r="W441" s="4"/>
      <c r="X441" s="4"/>
    </row>
    <row r="442" spans="1:24" ht="12.75" customHeight="1">
      <c r="A442" s="48">
        <v>211209</v>
      </c>
      <c r="B442" s="26" t="s">
        <v>477</v>
      </c>
      <c r="C442" s="26">
        <f>+SUM(C443:C447)</f>
        <v>1082500</v>
      </c>
      <c r="D442" s="270"/>
      <c r="E442" s="274"/>
      <c r="F442" s="4"/>
      <c r="G442" s="4"/>
      <c r="H442" s="4"/>
      <c r="I442" s="4"/>
      <c r="J442" s="4"/>
      <c r="K442" s="4"/>
      <c r="L442" s="4"/>
      <c r="M442" s="4"/>
      <c r="N442" s="4"/>
      <c r="O442" s="4"/>
      <c r="P442" s="4"/>
      <c r="Q442" s="4"/>
      <c r="R442" s="4"/>
      <c r="S442" s="4"/>
      <c r="T442" s="4"/>
      <c r="U442" s="4"/>
      <c r="V442" s="4"/>
      <c r="W442" s="4"/>
      <c r="X442" s="4"/>
    </row>
    <row r="443" spans="1:24" ht="12.75" customHeight="1">
      <c r="A443" s="33">
        <v>21120901</v>
      </c>
      <c r="B443" s="24" t="s">
        <v>478</v>
      </c>
      <c r="C443" s="24">
        <v>64500</v>
      </c>
      <c r="D443" s="270"/>
      <c r="E443" s="274"/>
      <c r="F443" s="4"/>
      <c r="G443" s="4"/>
      <c r="H443" s="4"/>
      <c r="I443" s="4"/>
      <c r="J443" s="4"/>
      <c r="K443" s="4"/>
      <c r="L443" s="4"/>
      <c r="M443" s="4"/>
      <c r="N443" s="4"/>
      <c r="O443" s="4"/>
      <c r="P443" s="4"/>
      <c r="Q443" s="4"/>
      <c r="R443" s="4"/>
      <c r="S443" s="4"/>
      <c r="T443" s="4"/>
      <c r="U443" s="4"/>
      <c r="V443" s="4"/>
      <c r="W443" s="4"/>
      <c r="X443" s="4"/>
    </row>
    <row r="444" spans="1:24" ht="12.75" customHeight="1">
      <c r="A444" s="33">
        <v>21120903</v>
      </c>
      <c r="B444" s="24" t="s">
        <v>569</v>
      </c>
      <c r="C444" s="24">
        <v>20000</v>
      </c>
      <c r="D444" s="270"/>
      <c r="E444" s="274"/>
      <c r="F444" s="4"/>
      <c r="G444" s="4"/>
      <c r="H444" s="4"/>
      <c r="I444" s="4"/>
      <c r="J444" s="4"/>
      <c r="K444" s="4"/>
      <c r="L444" s="4"/>
      <c r="M444" s="4"/>
      <c r="N444" s="4"/>
      <c r="O444" s="4"/>
      <c r="P444" s="4"/>
      <c r="Q444" s="4"/>
      <c r="R444" s="4"/>
      <c r="S444" s="4"/>
      <c r="T444" s="4"/>
      <c r="U444" s="4"/>
      <c r="V444" s="4"/>
      <c r="W444" s="4"/>
      <c r="X444" s="4"/>
    </row>
    <row r="445" spans="1:24" ht="12.75" customHeight="1">
      <c r="A445" s="33">
        <v>21120905</v>
      </c>
      <c r="B445" s="24" t="s">
        <v>525</v>
      </c>
      <c r="C445" s="24">
        <v>7500</v>
      </c>
      <c r="D445" s="270"/>
      <c r="E445" s="274"/>
      <c r="F445" s="4"/>
      <c r="G445" s="4"/>
      <c r="H445" s="4"/>
      <c r="I445" s="4"/>
      <c r="J445" s="4"/>
      <c r="K445" s="4"/>
      <c r="L445" s="4"/>
      <c r="M445" s="4"/>
      <c r="N445" s="4"/>
      <c r="O445" s="4"/>
      <c r="P445" s="4"/>
      <c r="Q445" s="4"/>
      <c r="R445" s="4"/>
      <c r="S445" s="4"/>
      <c r="T445" s="4"/>
      <c r="U445" s="4"/>
      <c r="V445" s="4"/>
      <c r="W445" s="4"/>
      <c r="X445" s="4"/>
    </row>
    <row r="446" spans="1:24" ht="12.75" customHeight="1">
      <c r="A446" s="33">
        <v>21120906</v>
      </c>
      <c r="B446" s="24" t="s">
        <v>479</v>
      </c>
      <c r="C446" s="24">
        <v>30500</v>
      </c>
      <c r="D446" s="273"/>
      <c r="E446" s="274"/>
      <c r="F446" s="4"/>
      <c r="G446" s="4"/>
      <c r="H446" s="4"/>
      <c r="I446" s="4"/>
      <c r="J446" s="4"/>
      <c r="K446" s="4"/>
      <c r="L446" s="4"/>
      <c r="M446" s="4"/>
      <c r="N446" s="4"/>
      <c r="O446" s="4"/>
      <c r="P446" s="4"/>
      <c r="Q446" s="4"/>
      <c r="R446" s="4"/>
      <c r="S446" s="4"/>
      <c r="T446" s="4"/>
      <c r="U446" s="4"/>
      <c r="V446" s="4"/>
      <c r="W446" s="4"/>
      <c r="X446" s="4"/>
    </row>
    <row r="447" spans="1:24" ht="12.75" customHeight="1">
      <c r="A447" s="33">
        <v>21120907</v>
      </c>
      <c r="B447" s="13" t="s">
        <v>480</v>
      </c>
      <c r="C447" s="24">
        <v>960000</v>
      </c>
      <c r="D447" s="270"/>
      <c r="E447" s="274"/>
      <c r="F447" s="4"/>
      <c r="G447" s="4"/>
      <c r="H447" s="4"/>
      <c r="I447" s="4"/>
      <c r="J447" s="4"/>
      <c r="K447" s="4"/>
      <c r="L447" s="4"/>
      <c r="M447" s="4"/>
      <c r="N447" s="4"/>
      <c r="O447" s="4"/>
      <c r="P447" s="4"/>
      <c r="Q447" s="4"/>
      <c r="R447" s="4"/>
      <c r="S447" s="4"/>
      <c r="T447" s="4"/>
      <c r="U447" s="4"/>
      <c r="V447" s="4"/>
      <c r="W447" s="4"/>
      <c r="X447" s="4"/>
    </row>
    <row r="448" spans="1:24" ht="12.75" customHeight="1" thickBot="1">
      <c r="A448" s="23"/>
      <c r="B448" s="24"/>
      <c r="C448" s="24"/>
      <c r="D448" s="270"/>
      <c r="E448" s="274"/>
      <c r="F448" s="4"/>
      <c r="G448" s="4"/>
      <c r="H448" s="4"/>
      <c r="I448" s="4"/>
      <c r="J448" s="4"/>
      <c r="K448" s="4"/>
      <c r="L448" s="4"/>
      <c r="M448" s="4"/>
      <c r="N448" s="4"/>
      <c r="O448" s="4"/>
      <c r="P448" s="4"/>
      <c r="Q448" s="4"/>
      <c r="R448" s="4"/>
      <c r="S448" s="4"/>
      <c r="T448" s="4"/>
      <c r="U448" s="4"/>
      <c r="V448" s="4"/>
      <c r="W448" s="4"/>
      <c r="X448" s="4"/>
    </row>
    <row r="449" spans="1:24" ht="12.75" customHeight="1" thickBot="1">
      <c r="A449" s="1298" t="s">
        <v>4</v>
      </c>
      <c r="B449" s="1281"/>
      <c r="C449" s="64">
        <f>+C452+C461+C457+C463+C450</f>
        <v>67049000</v>
      </c>
      <c r="D449" s="270"/>
      <c r="E449" s="4"/>
      <c r="F449" s="4"/>
      <c r="G449" s="4"/>
      <c r="H449" s="4"/>
      <c r="I449" s="4"/>
      <c r="J449" s="4"/>
      <c r="K449" s="4"/>
      <c r="L449" s="4"/>
      <c r="M449" s="4"/>
      <c r="N449" s="4"/>
      <c r="O449" s="4"/>
      <c r="P449" s="4"/>
      <c r="Q449" s="4"/>
      <c r="R449" s="4"/>
      <c r="S449" s="4"/>
      <c r="T449" s="4"/>
      <c r="U449" s="4"/>
      <c r="V449" s="4"/>
      <c r="W449" s="4"/>
      <c r="X449" s="4"/>
    </row>
    <row r="450" spans="1:24" ht="12.75" customHeight="1">
      <c r="A450" s="48">
        <v>211302</v>
      </c>
      <c r="B450" s="48" t="s">
        <v>481</v>
      </c>
      <c r="C450" s="49">
        <f>SUM(C451)</f>
        <v>55000</v>
      </c>
      <c r="D450" s="272"/>
      <c r="E450" s="34"/>
      <c r="F450" s="34"/>
      <c r="G450" s="34"/>
      <c r="H450" s="34"/>
      <c r="I450" s="34"/>
      <c r="J450" s="34"/>
      <c r="K450" s="34"/>
      <c r="L450" s="34"/>
      <c r="M450" s="34"/>
      <c r="N450" s="34"/>
      <c r="O450" s="34"/>
      <c r="P450" s="34"/>
      <c r="Q450" s="34"/>
      <c r="R450" s="34"/>
      <c r="S450" s="34"/>
      <c r="T450" s="34"/>
      <c r="U450" s="34"/>
      <c r="V450" s="34"/>
      <c r="W450" s="34"/>
      <c r="X450" s="34"/>
    </row>
    <row r="451" spans="1:24" ht="13.5" customHeight="1">
      <c r="A451" s="33">
        <v>21130205</v>
      </c>
      <c r="B451" s="24" t="s">
        <v>531</v>
      </c>
      <c r="C451" s="24">
        <v>55000</v>
      </c>
      <c r="D451" s="270"/>
      <c r="E451" s="89"/>
      <c r="F451" s="24"/>
      <c r="G451" s="23"/>
      <c r="H451" s="23"/>
      <c r="I451" s="23"/>
      <c r="J451" s="23"/>
      <c r="K451" s="23"/>
      <c r="L451" s="23"/>
      <c r="M451" s="23"/>
      <c r="N451" s="23"/>
      <c r="O451" s="23"/>
      <c r="P451" s="23"/>
      <c r="Q451" s="23"/>
      <c r="R451" s="23"/>
      <c r="S451" s="23"/>
      <c r="T451" s="23"/>
      <c r="U451" s="23"/>
      <c r="V451" s="23"/>
      <c r="W451" s="23"/>
      <c r="X451" s="23"/>
    </row>
    <row r="452" spans="1:24" ht="13.5" customHeight="1">
      <c r="A452" s="48">
        <v>211303</v>
      </c>
      <c r="B452" s="26" t="s">
        <v>484</v>
      </c>
      <c r="C452" s="26">
        <f>+SUM(C453:C456)</f>
        <v>6461500</v>
      </c>
      <c r="D452" s="270"/>
      <c r="E452" s="89"/>
      <c r="F452" s="24"/>
      <c r="G452" s="23"/>
      <c r="H452" s="23"/>
      <c r="I452" s="23"/>
      <c r="J452" s="23"/>
      <c r="K452" s="23"/>
      <c r="L452" s="23"/>
      <c r="M452" s="23"/>
      <c r="N452" s="23"/>
      <c r="O452" s="23"/>
      <c r="P452" s="23"/>
      <c r="Q452" s="23"/>
      <c r="R452" s="23"/>
      <c r="S452" s="23"/>
      <c r="T452" s="23"/>
      <c r="U452" s="23"/>
      <c r="V452" s="23"/>
      <c r="W452" s="23"/>
      <c r="X452" s="23"/>
    </row>
    <row r="453" spans="1:24" ht="13.5" customHeight="1">
      <c r="A453" s="33">
        <v>21130301</v>
      </c>
      <c r="B453" s="23" t="s">
        <v>485</v>
      </c>
      <c r="C453" s="24">
        <v>5953000</v>
      </c>
      <c r="D453" s="273"/>
      <c r="E453" s="89"/>
      <c r="F453" s="24"/>
      <c r="G453" s="23"/>
      <c r="H453" s="23"/>
      <c r="I453" s="23"/>
      <c r="J453" s="23"/>
      <c r="K453" s="23"/>
      <c r="L453" s="23"/>
      <c r="M453" s="23"/>
      <c r="N453" s="23"/>
      <c r="O453" s="23"/>
      <c r="P453" s="23"/>
      <c r="Q453" s="23"/>
      <c r="R453" s="23"/>
      <c r="S453" s="23"/>
      <c r="T453" s="23"/>
      <c r="U453" s="23"/>
      <c r="V453" s="23"/>
      <c r="W453" s="23"/>
      <c r="X453" s="23"/>
    </row>
    <row r="454" spans="1:24" ht="13.5" customHeight="1">
      <c r="A454" s="33">
        <v>21130305</v>
      </c>
      <c r="B454" s="23" t="s">
        <v>577</v>
      </c>
      <c r="C454" s="72">
        <v>45000</v>
      </c>
      <c r="D454" s="35"/>
      <c r="E454" s="35"/>
      <c r="F454" s="35"/>
      <c r="G454" s="126"/>
      <c r="H454" s="35"/>
      <c r="I454" s="35"/>
      <c r="J454" s="35"/>
      <c r="K454" s="35"/>
      <c r="L454" s="35"/>
      <c r="M454" s="35"/>
      <c r="N454" s="35"/>
      <c r="O454" s="35"/>
      <c r="P454" s="35"/>
      <c r="Q454" s="35"/>
      <c r="R454" s="35"/>
      <c r="S454" s="35"/>
      <c r="T454" s="35"/>
      <c r="U454" s="35"/>
      <c r="V454" s="35"/>
      <c r="W454" s="35"/>
      <c r="X454" s="35"/>
    </row>
    <row r="455" spans="1:24" ht="13.5" customHeight="1">
      <c r="A455" s="33">
        <v>21130306</v>
      </c>
      <c r="B455" s="23" t="s">
        <v>487</v>
      </c>
      <c r="C455" s="72">
        <v>60000</v>
      </c>
      <c r="D455" s="117"/>
      <c r="E455" s="35"/>
      <c r="F455" s="35"/>
      <c r="G455" s="126"/>
      <c r="H455" s="35"/>
      <c r="I455" s="35"/>
      <c r="J455" s="35"/>
      <c r="K455" s="35"/>
      <c r="L455" s="35"/>
      <c r="M455" s="35"/>
      <c r="N455" s="35"/>
      <c r="O455" s="35"/>
      <c r="P455" s="35"/>
      <c r="Q455" s="35"/>
      <c r="R455" s="35"/>
      <c r="S455" s="35"/>
      <c r="T455" s="35"/>
      <c r="U455" s="35"/>
      <c r="V455" s="35"/>
      <c r="W455" s="35"/>
      <c r="X455" s="35"/>
    </row>
    <row r="456" spans="1:24" ht="13.5" customHeight="1">
      <c r="A456" s="33">
        <v>21130307</v>
      </c>
      <c r="B456" s="23" t="s">
        <v>488</v>
      </c>
      <c r="C456" s="24">
        <v>403500</v>
      </c>
      <c r="D456" s="123"/>
      <c r="E456" s="89"/>
      <c r="F456" s="24"/>
      <c r="G456" s="23"/>
      <c r="H456" s="23"/>
      <c r="I456" s="23"/>
      <c r="J456" s="23"/>
      <c r="K456" s="23"/>
      <c r="L456" s="23"/>
      <c r="M456" s="23"/>
      <c r="N456" s="23"/>
      <c r="O456" s="23"/>
      <c r="P456" s="23"/>
      <c r="Q456" s="23"/>
      <c r="R456" s="23"/>
      <c r="S456" s="23"/>
      <c r="T456" s="23"/>
      <c r="U456" s="23"/>
      <c r="V456" s="23"/>
      <c r="W456" s="23"/>
      <c r="X456" s="23"/>
    </row>
    <row r="457" spans="1:24" ht="13.5" customHeight="1">
      <c r="A457" s="48">
        <v>211305</v>
      </c>
      <c r="B457" s="26" t="s">
        <v>489</v>
      </c>
      <c r="C457" s="26">
        <f>+SUM(C458:C460)</f>
        <v>37112500</v>
      </c>
      <c r="D457" s="123"/>
      <c r="E457" s="89"/>
      <c r="F457" s="24"/>
      <c r="G457" s="23"/>
      <c r="H457" s="23"/>
      <c r="I457" s="23"/>
      <c r="J457" s="23"/>
      <c r="K457" s="23"/>
      <c r="L457" s="23"/>
      <c r="M457" s="23"/>
      <c r="N457" s="23"/>
      <c r="O457" s="23"/>
      <c r="P457" s="23"/>
      <c r="Q457" s="23"/>
      <c r="R457" s="23"/>
      <c r="S457" s="23"/>
      <c r="T457" s="23"/>
      <c r="U457" s="23"/>
      <c r="V457" s="23"/>
      <c r="W457" s="23"/>
      <c r="X457" s="23"/>
    </row>
    <row r="458" spans="1:24" ht="13.5" customHeight="1">
      <c r="A458" s="33">
        <v>21130501</v>
      </c>
      <c r="B458" s="13" t="s">
        <v>490</v>
      </c>
      <c r="C458" s="24">
        <v>37000</v>
      </c>
      <c r="D458" s="123"/>
      <c r="E458" s="89"/>
      <c r="F458" s="24"/>
      <c r="G458" s="23"/>
      <c r="H458" s="23"/>
      <c r="I458" s="23"/>
      <c r="J458" s="23"/>
      <c r="K458" s="23"/>
      <c r="L458" s="23"/>
      <c r="M458" s="23"/>
      <c r="N458" s="23"/>
      <c r="O458" s="23"/>
      <c r="P458" s="23"/>
      <c r="Q458" s="23"/>
      <c r="R458" s="23"/>
      <c r="S458" s="23"/>
      <c r="T458" s="23"/>
      <c r="U458" s="23"/>
      <c r="V458" s="23"/>
      <c r="W458" s="23"/>
      <c r="X458" s="23"/>
    </row>
    <row r="459" spans="1:24" ht="13.5" customHeight="1">
      <c r="A459" s="33">
        <v>21130502</v>
      </c>
      <c r="B459" s="23" t="s">
        <v>491</v>
      </c>
      <c r="C459" s="24">
        <v>448000</v>
      </c>
      <c r="D459" s="275"/>
      <c r="E459" s="89"/>
      <c r="F459" s="24"/>
      <c r="G459" s="23"/>
      <c r="H459" s="23"/>
      <c r="I459" s="23"/>
      <c r="J459" s="23"/>
      <c r="K459" s="23"/>
      <c r="L459" s="23"/>
      <c r="M459" s="23"/>
      <c r="N459" s="23"/>
      <c r="O459" s="23"/>
      <c r="P459" s="23"/>
      <c r="Q459" s="23"/>
      <c r="R459" s="23"/>
      <c r="S459" s="23"/>
      <c r="T459" s="23"/>
      <c r="U459" s="23"/>
      <c r="V459" s="23"/>
      <c r="W459" s="23"/>
      <c r="X459" s="23"/>
    </row>
    <row r="460" spans="1:24" ht="13.5" customHeight="1">
      <c r="A460" s="33">
        <v>21130505</v>
      </c>
      <c r="B460" s="13" t="s">
        <v>651</v>
      </c>
      <c r="C460" s="24">
        <v>36627500</v>
      </c>
      <c r="D460" s="123"/>
      <c r="E460" s="89"/>
      <c r="F460" s="23"/>
      <c r="G460" s="23"/>
      <c r="H460" s="24"/>
      <c r="I460" s="23"/>
      <c r="J460" s="23"/>
      <c r="K460" s="23"/>
      <c r="L460" s="23"/>
      <c r="M460" s="23"/>
      <c r="N460" s="23"/>
      <c r="O460" s="23"/>
      <c r="P460" s="23"/>
      <c r="Q460" s="23"/>
      <c r="R460" s="23"/>
      <c r="S460" s="23"/>
      <c r="T460" s="23"/>
      <c r="U460" s="23"/>
      <c r="V460" s="23"/>
      <c r="W460" s="23"/>
      <c r="X460" s="23"/>
    </row>
    <row r="461" spans="1:24" ht="13.5" customHeight="1">
      <c r="A461" s="48">
        <v>211306</v>
      </c>
      <c r="B461" s="21" t="s">
        <v>492</v>
      </c>
      <c r="C461" s="26">
        <f>C462</f>
        <v>711000</v>
      </c>
      <c r="D461" s="123"/>
      <c r="E461" s="89"/>
      <c r="F461" s="24"/>
      <c r="G461" s="23"/>
      <c r="H461" s="23"/>
      <c r="I461" s="23"/>
      <c r="J461" s="23"/>
      <c r="K461" s="23"/>
      <c r="L461" s="23"/>
      <c r="M461" s="23"/>
      <c r="N461" s="23"/>
      <c r="O461" s="23"/>
      <c r="P461" s="23"/>
      <c r="Q461" s="23"/>
      <c r="R461" s="23"/>
      <c r="S461" s="23"/>
      <c r="T461" s="23"/>
      <c r="U461" s="23"/>
      <c r="V461" s="23"/>
      <c r="W461" s="23"/>
      <c r="X461" s="23"/>
    </row>
    <row r="462" spans="1:24" ht="13.5" customHeight="1">
      <c r="A462" s="33">
        <v>21130604</v>
      </c>
      <c r="B462" s="23" t="s">
        <v>539</v>
      </c>
      <c r="C462" s="24">
        <v>711000</v>
      </c>
      <c r="D462" s="123"/>
      <c r="E462" s="89"/>
      <c r="F462" s="23"/>
      <c r="G462" s="23"/>
      <c r="H462" s="23"/>
      <c r="I462" s="23"/>
      <c r="J462" s="23"/>
      <c r="K462" s="23"/>
      <c r="L462" s="23"/>
      <c r="M462" s="23"/>
      <c r="N462" s="23"/>
      <c r="O462" s="23"/>
      <c r="P462" s="23"/>
      <c r="Q462" s="23"/>
      <c r="R462" s="23"/>
      <c r="S462" s="23"/>
      <c r="T462" s="23"/>
      <c r="U462" s="23"/>
      <c r="V462" s="23"/>
      <c r="W462" s="23"/>
      <c r="X462" s="23"/>
    </row>
    <row r="463" spans="1:24" ht="13.5" customHeight="1">
      <c r="A463" s="48">
        <v>211309</v>
      </c>
      <c r="B463" s="26" t="s">
        <v>496</v>
      </c>
      <c r="C463" s="26">
        <f>+SUM(C464:C467)</f>
        <v>22709000</v>
      </c>
      <c r="D463" s="123"/>
      <c r="E463" s="89"/>
      <c r="F463" s="23"/>
      <c r="G463" s="23"/>
      <c r="H463" s="23"/>
      <c r="I463" s="23"/>
      <c r="J463" s="23"/>
      <c r="K463" s="23"/>
      <c r="L463" s="23"/>
      <c r="M463" s="23"/>
      <c r="N463" s="23"/>
      <c r="O463" s="23"/>
      <c r="P463" s="23"/>
      <c r="Q463" s="23"/>
      <c r="R463" s="23"/>
      <c r="S463" s="23"/>
      <c r="T463" s="23"/>
      <c r="U463" s="23"/>
      <c r="V463" s="23"/>
      <c r="W463" s="23"/>
      <c r="X463" s="23"/>
    </row>
    <row r="464" spans="1:24" ht="13.5" customHeight="1">
      <c r="A464" s="33">
        <v>21130901</v>
      </c>
      <c r="B464" s="24" t="s">
        <v>497</v>
      </c>
      <c r="C464" s="24">
        <v>18161000</v>
      </c>
      <c r="D464" s="275"/>
      <c r="E464" s="89"/>
      <c r="F464" s="23"/>
      <c r="G464" s="23"/>
      <c r="H464" s="23"/>
      <c r="I464" s="23"/>
      <c r="J464" s="23"/>
      <c r="K464" s="23"/>
      <c r="L464" s="23"/>
      <c r="M464" s="23"/>
      <c r="N464" s="23"/>
      <c r="O464" s="23"/>
      <c r="P464" s="23"/>
      <c r="Q464" s="23"/>
      <c r="R464" s="23"/>
      <c r="S464" s="23"/>
      <c r="T464" s="23"/>
      <c r="U464" s="23"/>
      <c r="V464" s="23"/>
      <c r="W464" s="23"/>
      <c r="X464" s="23"/>
    </row>
    <row r="465" spans="1:24" ht="13.5" customHeight="1">
      <c r="A465" s="33">
        <v>21130903</v>
      </c>
      <c r="B465" s="24" t="s">
        <v>498</v>
      </c>
      <c r="C465" s="24">
        <v>24500</v>
      </c>
      <c r="D465" s="123"/>
      <c r="E465" s="89"/>
      <c r="F465" s="23"/>
      <c r="G465" s="23"/>
      <c r="H465" s="23"/>
      <c r="I465" s="21"/>
      <c r="J465" s="21"/>
      <c r="K465" s="21"/>
      <c r="L465" s="21"/>
      <c r="M465" s="21"/>
      <c r="N465" s="21"/>
      <c r="O465" s="21"/>
      <c r="P465" s="21"/>
      <c r="Q465" s="21"/>
      <c r="R465" s="21"/>
      <c r="S465" s="21"/>
      <c r="T465" s="21"/>
      <c r="U465" s="21"/>
      <c r="V465" s="21"/>
      <c r="W465" s="21"/>
      <c r="X465" s="21"/>
    </row>
    <row r="466" spans="1:24" ht="12.75" customHeight="1">
      <c r="A466" s="33">
        <v>21130906</v>
      </c>
      <c r="B466" s="23" t="s">
        <v>499</v>
      </c>
      <c r="C466" s="24">
        <v>4046000</v>
      </c>
      <c r="D466" s="23"/>
      <c r="E466" s="89"/>
      <c r="F466" s="23"/>
      <c r="G466" s="23"/>
      <c r="H466" s="23"/>
      <c r="I466" s="23"/>
      <c r="J466" s="23"/>
      <c r="K466" s="23"/>
      <c r="L466" s="23"/>
      <c r="M466" s="23"/>
      <c r="N466" s="23"/>
      <c r="O466" s="23"/>
      <c r="P466" s="23"/>
      <c r="Q466" s="23"/>
      <c r="R466" s="23"/>
      <c r="S466" s="23"/>
      <c r="T466" s="23"/>
      <c r="U466" s="23"/>
      <c r="V466" s="23"/>
      <c r="W466" s="23"/>
      <c r="X466" s="23"/>
    </row>
    <row r="467" spans="1:24" ht="13.5" customHeight="1">
      <c r="A467" s="33">
        <v>21130908</v>
      </c>
      <c r="B467" s="24" t="s">
        <v>500</v>
      </c>
      <c r="C467" s="24">
        <f>564500-87000</f>
        <v>477500</v>
      </c>
      <c r="D467" s="272"/>
      <c r="E467" s="89"/>
      <c r="F467" s="23"/>
      <c r="G467" s="23"/>
      <c r="H467" s="24"/>
      <c r="I467" s="23"/>
      <c r="J467" s="23"/>
      <c r="K467" s="23"/>
      <c r="L467" s="23"/>
      <c r="M467" s="23"/>
      <c r="N467" s="23"/>
      <c r="O467" s="23"/>
      <c r="P467" s="23"/>
      <c r="Q467" s="23"/>
      <c r="R467" s="23"/>
      <c r="S467" s="23"/>
      <c r="T467" s="23"/>
      <c r="U467" s="23"/>
      <c r="V467" s="23"/>
      <c r="W467" s="23"/>
      <c r="X467" s="23"/>
    </row>
    <row r="468" spans="1:24" ht="13.5" customHeight="1" thickBot="1">
      <c r="A468" s="23"/>
      <c r="B468" s="24"/>
      <c r="C468" s="24"/>
      <c r="D468" s="272"/>
      <c r="E468" s="89"/>
      <c r="F468" s="23"/>
      <c r="G468" s="23"/>
      <c r="H468" s="24"/>
      <c r="I468" s="23"/>
      <c r="J468" s="23"/>
      <c r="K468" s="23"/>
      <c r="L468" s="23"/>
      <c r="M468" s="23"/>
      <c r="N468" s="23"/>
      <c r="O468" s="23"/>
      <c r="P468" s="23"/>
      <c r="Q468" s="23"/>
      <c r="R468" s="23"/>
      <c r="S468" s="23"/>
      <c r="T468" s="23"/>
      <c r="U468" s="23"/>
      <c r="V468" s="23"/>
      <c r="W468" s="23"/>
      <c r="X468" s="23"/>
    </row>
    <row r="469" spans="1:24" ht="12.75" customHeight="1" thickBot="1">
      <c r="A469" s="1299" t="s">
        <v>48</v>
      </c>
      <c r="B469" s="1281"/>
      <c r="C469" s="125">
        <f>C470+C475</f>
        <v>789000</v>
      </c>
      <c r="D469" s="270"/>
      <c r="E469" s="4"/>
      <c r="F469" s="4"/>
      <c r="G469" s="4"/>
      <c r="H469" s="4"/>
      <c r="I469" s="4"/>
      <c r="J469" s="4"/>
      <c r="K469" s="4"/>
      <c r="L469" s="4"/>
      <c r="M469" s="4"/>
      <c r="N469" s="4"/>
      <c r="O469" s="4"/>
      <c r="P469" s="4"/>
      <c r="Q469" s="4"/>
      <c r="R469" s="4"/>
      <c r="S469" s="4"/>
      <c r="T469" s="4"/>
      <c r="U469" s="4"/>
      <c r="V469" s="4"/>
      <c r="W469" s="4"/>
      <c r="X469" s="4"/>
    </row>
    <row r="470" spans="1:24" ht="12.75" customHeight="1">
      <c r="A470" s="48">
        <v>221104</v>
      </c>
      <c r="B470" s="827" t="s">
        <v>510</v>
      </c>
      <c r="C470" s="49">
        <f>SUM(C471:C474)</f>
        <v>709000</v>
      </c>
      <c r="D470" s="272"/>
      <c r="E470" s="34"/>
      <c r="F470" s="34"/>
      <c r="G470" s="34"/>
      <c r="H470" s="34"/>
      <c r="I470" s="34"/>
      <c r="J470" s="34"/>
      <c r="K470" s="34"/>
      <c r="L470" s="34"/>
      <c r="M470" s="34"/>
      <c r="N470" s="34"/>
      <c r="O470" s="34"/>
      <c r="P470" s="34"/>
      <c r="Q470" s="34"/>
      <c r="R470" s="34"/>
      <c r="S470" s="34"/>
      <c r="T470" s="34"/>
      <c r="U470" s="34"/>
      <c r="V470" s="34"/>
      <c r="W470" s="34"/>
      <c r="X470" s="34"/>
    </row>
    <row r="471" spans="1:24" ht="12.75" customHeight="1">
      <c r="A471" s="33">
        <v>22110401</v>
      </c>
      <c r="B471" s="23" t="s">
        <v>511</v>
      </c>
      <c r="C471" s="24">
        <v>80000</v>
      </c>
      <c r="D471" s="270"/>
      <c r="E471" s="274"/>
      <c r="F471" s="4"/>
      <c r="G471" s="4"/>
      <c r="H471" s="4"/>
      <c r="I471" s="4"/>
      <c r="J471" s="4"/>
      <c r="K471" s="4"/>
      <c r="L471" s="4"/>
      <c r="M471" s="4"/>
      <c r="N471" s="4"/>
      <c r="O471" s="4"/>
      <c r="P471" s="4"/>
      <c r="Q471" s="4"/>
      <c r="R471" s="4"/>
      <c r="S471" s="4"/>
      <c r="T471" s="4"/>
      <c r="U471" s="4"/>
      <c r="V471" s="4"/>
      <c r="W471" s="4"/>
      <c r="X471" s="4"/>
    </row>
    <row r="472" spans="1:24" ht="12.75" customHeight="1">
      <c r="A472" s="33">
        <v>22110404</v>
      </c>
      <c r="B472" s="23" t="s">
        <v>512</v>
      </c>
      <c r="C472" s="24">
        <v>464500</v>
      </c>
      <c r="D472" s="270"/>
      <c r="E472" s="274"/>
      <c r="F472" s="4"/>
      <c r="G472" s="4"/>
      <c r="H472" s="4"/>
      <c r="I472" s="4"/>
      <c r="J472" s="4"/>
      <c r="K472" s="4"/>
      <c r="L472" s="4"/>
      <c r="M472" s="4"/>
      <c r="N472" s="4"/>
      <c r="O472" s="4"/>
      <c r="P472" s="4"/>
      <c r="Q472" s="4"/>
      <c r="R472" s="4"/>
      <c r="S472" s="4"/>
      <c r="T472" s="4"/>
      <c r="U472" s="4"/>
      <c r="V472" s="4"/>
      <c r="W472" s="4"/>
      <c r="X472" s="4"/>
    </row>
    <row r="473" spans="1:24" ht="12.75" customHeight="1">
      <c r="A473" s="33">
        <v>22110406</v>
      </c>
      <c r="B473" s="23" t="s">
        <v>660</v>
      </c>
      <c r="C473" s="24">
        <v>48500</v>
      </c>
      <c r="D473" s="270"/>
      <c r="E473" s="274"/>
      <c r="F473" s="4"/>
      <c r="G473" s="4"/>
      <c r="H473" s="4"/>
      <c r="I473" s="4"/>
      <c r="J473" s="4"/>
      <c r="K473" s="4"/>
      <c r="L473" s="4"/>
      <c r="M473" s="4"/>
      <c r="N473" s="4"/>
      <c r="O473" s="4"/>
      <c r="P473" s="4"/>
      <c r="Q473" s="4"/>
      <c r="R473" s="4"/>
      <c r="S473" s="4"/>
      <c r="T473" s="4"/>
      <c r="U473" s="4"/>
      <c r="V473" s="4"/>
      <c r="W473" s="4"/>
      <c r="X473" s="4"/>
    </row>
    <row r="474" spans="1:24" ht="13.5" customHeight="1">
      <c r="A474" s="33">
        <v>22110409</v>
      </c>
      <c r="B474" s="24" t="s">
        <v>513</v>
      </c>
      <c r="C474" s="24">
        <v>116000</v>
      </c>
      <c r="D474" s="40"/>
      <c r="E474" s="14"/>
      <c r="F474" s="13"/>
      <c r="G474" s="13"/>
      <c r="H474" s="13"/>
      <c r="I474" s="13"/>
      <c r="J474" s="13"/>
      <c r="K474" s="13"/>
      <c r="L474" s="13"/>
      <c r="M474" s="13"/>
      <c r="N474" s="13"/>
      <c r="O474" s="13"/>
      <c r="P474" s="13"/>
      <c r="Q474" s="13"/>
      <c r="R474" s="13"/>
      <c r="S474" s="13"/>
      <c r="T474" s="13"/>
      <c r="U474" s="13"/>
      <c r="V474" s="13"/>
      <c r="W474" s="13"/>
      <c r="X474" s="13"/>
    </row>
    <row r="475" spans="1:24" ht="12.75" customHeight="1">
      <c r="A475" s="48">
        <v>221107</v>
      </c>
      <c r="B475" s="26" t="s">
        <v>514</v>
      </c>
      <c r="C475" s="26">
        <f>C476</f>
        <v>80000</v>
      </c>
      <c r="D475" s="270"/>
      <c r="E475" s="274"/>
      <c r="F475" s="4"/>
      <c r="G475" s="4"/>
      <c r="H475" s="4"/>
      <c r="I475" s="4"/>
      <c r="J475" s="4"/>
      <c r="K475" s="4"/>
      <c r="L475" s="4"/>
      <c r="M475" s="4"/>
      <c r="N475" s="4"/>
      <c r="O475" s="4"/>
      <c r="P475" s="4"/>
      <c r="Q475" s="4"/>
      <c r="R475" s="4"/>
      <c r="S475" s="4"/>
      <c r="T475" s="4"/>
      <c r="U475" s="4"/>
      <c r="V475" s="4"/>
      <c r="W475" s="4"/>
      <c r="X475" s="4"/>
    </row>
    <row r="476" spans="1:24" ht="12.75" customHeight="1">
      <c r="A476" s="33">
        <v>22110702</v>
      </c>
      <c r="B476" s="24" t="s">
        <v>515</v>
      </c>
      <c r="C476" s="24">
        <v>80000</v>
      </c>
      <c r="D476" s="270"/>
      <c r="E476" s="274"/>
      <c r="F476" s="4"/>
      <c r="G476" s="4"/>
      <c r="H476" s="4"/>
      <c r="I476" s="4"/>
      <c r="J476" s="4"/>
      <c r="K476" s="4"/>
      <c r="L476" s="4"/>
      <c r="M476" s="4"/>
      <c r="N476" s="4"/>
      <c r="O476" s="4"/>
      <c r="P476" s="4"/>
      <c r="Q476" s="4"/>
      <c r="R476" s="4"/>
      <c r="S476" s="4"/>
      <c r="T476" s="4"/>
      <c r="U476" s="4"/>
      <c r="V476" s="4"/>
      <c r="W476" s="4"/>
      <c r="X476" s="4"/>
    </row>
    <row r="477" spans="1:24" ht="12.75" customHeight="1">
      <c r="A477" s="23"/>
      <c r="B477" s="24"/>
      <c r="C477" s="24"/>
      <c r="D477" s="270"/>
      <c r="E477" s="274"/>
      <c r="F477" s="4"/>
      <c r="G477" s="4"/>
      <c r="H477" s="4"/>
      <c r="I477" s="4"/>
      <c r="J477" s="4"/>
      <c r="K477" s="4"/>
      <c r="L477" s="4"/>
      <c r="M477" s="4"/>
      <c r="N477" s="4"/>
      <c r="O477" s="4"/>
      <c r="P477" s="4"/>
      <c r="Q477" s="4"/>
      <c r="R477" s="4"/>
      <c r="S477" s="4"/>
      <c r="T477" s="4"/>
      <c r="U477" s="4"/>
      <c r="V477" s="4"/>
      <c r="W477" s="4"/>
      <c r="X477" s="4"/>
    </row>
    <row r="478" spans="1:24" ht="13.5" thickBot="1"/>
    <row r="479" spans="1:24" ht="12.75" customHeight="1">
      <c r="A479" s="1104" t="s">
        <v>119</v>
      </c>
      <c r="B479" s="1105"/>
      <c r="C479" s="1161" t="s">
        <v>886</v>
      </c>
      <c r="D479" s="270"/>
      <c r="E479" s="4"/>
      <c r="F479" s="4"/>
      <c r="G479" s="4"/>
      <c r="H479" s="4"/>
      <c r="I479" s="4"/>
      <c r="J479" s="4"/>
      <c r="K479" s="4"/>
      <c r="L479" s="4"/>
      <c r="M479" s="4"/>
      <c r="N479" s="4"/>
      <c r="O479" s="4"/>
      <c r="P479" s="4"/>
      <c r="Q479" s="4"/>
      <c r="R479" s="4"/>
      <c r="S479" s="4"/>
      <c r="T479" s="4"/>
      <c r="U479" s="4"/>
      <c r="V479" s="4"/>
      <c r="W479" s="4"/>
      <c r="X479" s="4"/>
    </row>
    <row r="480" spans="1:24" ht="12.75" customHeight="1" thickBot="1">
      <c r="A480" s="1211"/>
      <c r="B480" s="1103"/>
      <c r="C480" s="1490"/>
      <c r="D480" s="270"/>
      <c r="E480" s="4"/>
      <c r="F480" s="4"/>
      <c r="G480" s="4"/>
      <c r="H480" s="4"/>
      <c r="I480" s="4"/>
      <c r="J480" s="4"/>
      <c r="K480" s="4"/>
      <c r="L480" s="4"/>
      <c r="M480" s="4"/>
      <c r="N480" s="4"/>
      <c r="O480" s="4"/>
      <c r="P480" s="4"/>
      <c r="Q480" s="4"/>
      <c r="R480" s="4"/>
      <c r="S480" s="4"/>
      <c r="T480" s="4"/>
      <c r="U480" s="4"/>
      <c r="V480" s="4"/>
      <c r="W480" s="4"/>
      <c r="X480" s="4"/>
    </row>
    <row r="481" spans="1:24" ht="12.75" customHeight="1">
      <c r="A481" s="1028" t="s">
        <v>675</v>
      </c>
      <c r="B481" s="808"/>
      <c r="C481" s="1029"/>
      <c r="D481" s="270"/>
      <c r="E481" s="4"/>
      <c r="F481" s="4"/>
      <c r="G481" s="4"/>
      <c r="H481" s="4"/>
      <c r="I481" s="4"/>
      <c r="J481" s="4"/>
      <c r="K481" s="4"/>
      <c r="L481" s="4"/>
      <c r="M481" s="4"/>
      <c r="N481" s="4"/>
      <c r="O481" s="4"/>
      <c r="P481" s="4"/>
      <c r="Q481" s="4"/>
      <c r="R481" s="4"/>
      <c r="S481" s="4"/>
      <c r="T481" s="4"/>
      <c r="U481" s="4"/>
      <c r="V481" s="4"/>
      <c r="W481" s="4"/>
      <c r="X481" s="4"/>
    </row>
    <row r="482" spans="1:24" ht="12.75" customHeight="1">
      <c r="A482" s="1028" t="s">
        <v>728</v>
      </c>
      <c r="B482" s="808"/>
      <c r="C482" s="1029"/>
      <c r="D482" s="270"/>
      <c r="E482" s="3"/>
      <c r="F482" s="4"/>
      <c r="G482" s="4"/>
      <c r="H482" s="4"/>
      <c r="I482" s="4"/>
      <c r="J482" s="4"/>
      <c r="K482" s="4"/>
      <c r="L482" s="4"/>
      <c r="M482" s="4"/>
      <c r="N482" s="4"/>
      <c r="O482" s="4"/>
      <c r="P482" s="4"/>
      <c r="Q482" s="4"/>
      <c r="R482" s="4"/>
      <c r="S482" s="4"/>
      <c r="T482" s="4"/>
      <c r="U482" s="4"/>
      <c r="V482" s="4"/>
      <c r="W482" s="4"/>
      <c r="X482" s="4"/>
    </row>
    <row r="483" spans="1:24" ht="12.75" customHeight="1">
      <c r="A483" s="1028" t="s">
        <v>729</v>
      </c>
      <c r="B483" s="808"/>
      <c r="C483" s="1029"/>
      <c r="D483" s="270"/>
      <c r="E483" s="3"/>
      <c r="F483" s="4"/>
      <c r="G483" s="4"/>
      <c r="H483" s="4"/>
      <c r="I483" s="4"/>
      <c r="J483" s="4"/>
      <c r="K483" s="4"/>
      <c r="L483" s="4"/>
      <c r="M483" s="4"/>
      <c r="N483" s="4"/>
      <c r="O483" s="4"/>
      <c r="P483" s="4"/>
      <c r="Q483" s="4"/>
      <c r="R483" s="4"/>
      <c r="S483" s="4"/>
      <c r="T483" s="4"/>
      <c r="U483" s="4"/>
      <c r="V483" s="4"/>
      <c r="W483" s="4"/>
      <c r="X483" s="4"/>
    </row>
    <row r="484" spans="1:24" ht="12.75" customHeight="1" thickBot="1">
      <c r="A484" s="1125" t="s">
        <v>0</v>
      </c>
      <c r="B484" s="982"/>
      <c r="C484" s="1101"/>
      <c r="D484" s="270"/>
      <c r="E484" s="4"/>
      <c r="F484" s="4"/>
      <c r="G484" s="4"/>
      <c r="H484" s="4"/>
      <c r="I484" s="4"/>
      <c r="J484" s="4"/>
      <c r="K484" s="4"/>
      <c r="L484" s="4"/>
      <c r="M484" s="4"/>
      <c r="N484" s="4"/>
      <c r="O484" s="4"/>
      <c r="P484" s="4"/>
      <c r="Q484" s="4"/>
      <c r="R484" s="4"/>
      <c r="S484" s="4"/>
      <c r="T484" s="4"/>
      <c r="U484" s="4"/>
      <c r="V484" s="4"/>
      <c r="W484" s="4"/>
      <c r="X484" s="4"/>
    </row>
    <row r="485" spans="1:24" ht="12.75" customHeight="1" thickBot="1">
      <c r="A485" s="1171" t="s">
        <v>1</v>
      </c>
      <c r="B485" s="1186"/>
      <c r="C485" s="1173">
        <f>+C487+C510+C535+C530</f>
        <v>34026000</v>
      </c>
      <c r="D485" s="270"/>
      <c r="E485" s="4"/>
      <c r="F485" s="3"/>
      <c r="G485" s="4"/>
      <c r="H485" s="4"/>
      <c r="I485" s="4"/>
      <c r="J485" s="4"/>
      <c r="K485" s="4"/>
      <c r="L485" s="4"/>
      <c r="M485" s="4"/>
      <c r="N485" s="4"/>
      <c r="O485" s="4"/>
      <c r="P485" s="4"/>
      <c r="Q485" s="4"/>
      <c r="R485" s="4"/>
      <c r="S485" s="4"/>
      <c r="T485" s="4"/>
      <c r="U485" s="4"/>
      <c r="V485" s="4"/>
      <c r="W485" s="4"/>
      <c r="X485" s="4"/>
    </row>
    <row r="486" spans="1:24" ht="12.75" customHeight="1" thickBot="1">
      <c r="A486" s="21"/>
      <c r="B486" s="21"/>
      <c r="C486" s="26"/>
      <c r="D486" s="181"/>
      <c r="E486" s="4"/>
      <c r="F486" s="4"/>
      <c r="G486" s="4"/>
      <c r="H486" s="4"/>
      <c r="I486" s="4"/>
      <c r="J486" s="4"/>
      <c r="K486" s="4"/>
      <c r="L486" s="4"/>
      <c r="M486" s="4"/>
      <c r="N486" s="4"/>
      <c r="O486" s="4"/>
      <c r="P486" s="4"/>
      <c r="Q486" s="4"/>
      <c r="R486" s="4"/>
      <c r="S486" s="4"/>
      <c r="T486" s="4"/>
      <c r="U486" s="4"/>
      <c r="V486" s="4"/>
      <c r="W486" s="4"/>
      <c r="X486" s="4"/>
    </row>
    <row r="487" spans="1:24" ht="12.75" customHeight="1" thickBot="1">
      <c r="A487" s="1297" t="s">
        <v>9</v>
      </c>
      <c r="B487" s="1281"/>
      <c r="C487" s="62">
        <f>C488+C490+C492+C495+C500+C504</f>
        <v>4846500</v>
      </c>
      <c r="D487" s="89"/>
      <c r="E487" s="4"/>
      <c r="F487" s="3"/>
      <c r="G487" s="4"/>
      <c r="H487" s="4"/>
      <c r="I487" s="4"/>
      <c r="J487" s="4"/>
      <c r="K487" s="4"/>
      <c r="L487" s="4"/>
      <c r="M487" s="4"/>
      <c r="N487" s="4"/>
      <c r="O487" s="4"/>
      <c r="P487" s="4"/>
      <c r="Q487" s="4"/>
      <c r="R487" s="4"/>
      <c r="S487" s="4"/>
      <c r="T487" s="4"/>
      <c r="U487" s="4"/>
      <c r="V487" s="4"/>
      <c r="W487" s="4"/>
      <c r="X487" s="4"/>
    </row>
    <row r="488" spans="1:24" ht="12.75" customHeight="1">
      <c r="A488" s="48">
        <v>211201</v>
      </c>
      <c r="B488" s="48" t="s">
        <v>459</v>
      </c>
      <c r="C488" s="49">
        <f>SUM(C489)</f>
        <v>447000</v>
      </c>
      <c r="D488" s="272"/>
      <c r="E488" s="34"/>
      <c r="F488" s="34"/>
      <c r="G488" s="34"/>
      <c r="H488" s="34"/>
      <c r="I488" s="34"/>
      <c r="J488" s="34"/>
      <c r="K488" s="34"/>
      <c r="L488" s="34"/>
      <c r="M488" s="34"/>
      <c r="N488" s="34"/>
      <c r="O488" s="34"/>
      <c r="P488" s="34"/>
      <c r="Q488" s="34"/>
      <c r="R488" s="34"/>
      <c r="S488" s="34"/>
      <c r="T488" s="34"/>
      <c r="U488" s="34"/>
      <c r="V488" s="34"/>
      <c r="W488" s="34"/>
      <c r="X488" s="34"/>
    </row>
    <row r="489" spans="1:24" ht="13.5" customHeight="1">
      <c r="A489" s="33">
        <v>21120101</v>
      </c>
      <c r="B489" s="23" t="s">
        <v>460</v>
      </c>
      <c r="C489" s="24">
        <v>447000</v>
      </c>
      <c r="D489" s="270"/>
      <c r="E489" s="274"/>
      <c r="F489" s="23"/>
      <c r="G489" s="23"/>
      <c r="H489" s="23"/>
      <c r="I489" s="23"/>
      <c r="J489" s="23"/>
      <c r="K489" s="23"/>
      <c r="L489" s="23"/>
      <c r="M489" s="23"/>
      <c r="N489" s="23"/>
      <c r="O489" s="23"/>
      <c r="P489" s="23"/>
      <c r="Q489" s="23"/>
      <c r="R489" s="23"/>
      <c r="S489" s="23"/>
      <c r="T489" s="23"/>
      <c r="U489" s="23"/>
      <c r="V489" s="23"/>
      <c r="W489" s="23"/>
      <c r="X489" s="23"/>
    </row>
    <row r="490" spans="1:24" ht="13.5" customHeight="1">
      <c r="A490" s="48">
        <v>211203</v>
      </c>
      <c r="B490" s="21" t="s">
        <v>461</v>
      </c>
      <c r="C490" s="26">
        <f>C491</f>
        <v>760000</v>
      </c>
      <c r="D490" s="277"/>
      <c r="E490" s="274"/>
      <c r="F490" s="23"/>
      <c r="G490" s="23"/>
      <c r="H490" s="23"/>
      <c r="I490" s="23"/>
      <c r="J490" s="23"/>
      <c r="K490" s="23"/>
      <c r="L490" s="23"/>
      <c r="M490" s="23"/>
      <c r="N490" s="23"/>
      <c r="O490" s="23"/>
      <c r="P490" s="23"/>
      <c r="Q490" s="23"/>
      <c r="R490" s="23"/>
      <c r="S490" s="23"/>
      <c r="T490" s="23"/>
      <c r="U490" s="23"/>
      <c r="V490" s="23"/>
      <c r="W490" s="23"/>
      <c r="X490" s="23"/>
    </row>
    <row r="491" spans="1:24" ht="12.75" customHeight="1">
      <c r="A491" s="33">
        <v>21120302</v>
      </c>
      <c r="B491" s="23" t="s">
        <v>462</v>
      </c>
      <c r="C491" s="24">
        <v>760000</v>
      </c>
      <c r="D491" s="270"/>
      <c r="E491" s="4"/>
      <c r="F491" s="4"/>
      <c r="G491" s="4"/>
      <c r="H491" s="4"/>
      <c r="I491" s="4"/>
      <c r="J491" s="4"/>
      <c r="K491" s="4"/>
      <c r="L491" s="4"/>
      <c r="M491" s="4"/>
      <c r="N491" s="4"/>
      <c r="O491" s="4"/>
      <c r="P491" s="4"/>
      <c r="Q491" s="4"/>
      <c r="R491" s="4"/>
      <c r="S491" s="4"/>
      <c r="T491" s="4"/>
      <c r="U491" s="4"/>
      <c r="V491" s="4"/>
      <c r="W491" s="4"/>
      <c r="X491" s="4"/>
    </row>
    <row r="492" spans="1:24" ht="12.75" customHeight="1">
      <c r="A492" s="48">
        <v>211204</v>
      </c>
      <c r="B492" s="21" t="s">
        <v>463</v>
      </c>
      <c r="C492" s="26">
        <f>+SUM(C493:C494)</f>
        <v>1101500</v>
      </c>
      <c r="D492" s="270"/>
      <c r="E492" s="4"/>
      <c r="F492" s="4"/>
      <c r="G492" s="4"/>
      <c r="H492" s="4"/>
      <c r="I492" s="4"/>
      <c r="J492" s="4"/>
      <c r="K492" s="4"/>
      <c r="L492" s="4"/>
      <c r="M492" s="4"/>
      <c r="N492" s="4"/>
      <c r="O492" s="4"/>
      <c r="P492" s="4"/>
      <c r="Q492" s="4"/>
      <c r="R492" s="4"/>
      <c r="S492" s="4"/>
      <c r="T492" s="4"/>
      <c r="U492" s="4"/>
      <c r="V492" s="4"/>
      <c r="W492" s="4"/>
      <c r="X492" s="4"/>
    </row>
    <row r="493" spans="1:24" ht="12.75" customHeight="1">
      <c r="A493" s="33">
        <v>21120401</v>
      </c>
      <c r="B493" s="24" t="s">
        <v>464</v>
      </c>
      <c r="C493" s="24">
        <v>901500</v>
      </c>
      <c r="D493" s="283"/>
      <c r="E493" s="274"/>
      <c r="F493" s="4"/>
      <c r="G493" s="4"/>
      <c r="H493" s="4"/>
      <c r="I493" s="4"/>
      <c r="J493" s="4"/>
      <c r="K493" s="4"/>
      <c r="L493" s="4"/>
      <c r="M493" s="4"/>
      <c r="N493" s="4"/>
      <c r="O493" s="4"/>
      <c r="P493" s="4"/>
      <c r="Q493" s="4"/>
      <c r="R493" s="4"/>
      <c r="S493" s="4"/>
      <c r="T493" s="4"/>
      <c r="U493" s="4"/>
      <c r="V493" s="4"/>
      <c r="W493" s="4"/>
      <c r="X493" s="4"/>
    </row>
    <row r="494" spans="1:24" ht="12.75" customHeight="1">
      <c r="A494" s="33">
        <v>21120402</v>
      </c>
      <c r="B494" s="13" t="s">
        <v>649</v>
      </c>
      <c r="C494" s="24">
        <v>200000</v>
      </c>
      <c r="D494" s="283"/>
      <c r="E494" s="274"/>
      <c r="F494" s="4"/>
      <c r="G494" s="4"/>
      <c r="H494" s="4"/>
      <c r="I494" s="4"/>
      <c r="J494" s="4"/>
      <c r="K494" s="4"/>
      <c r="L494" s="4"/>
      <c r="M494" s="4"/>
      <c r="N494" s="4"/>
      <c r="O494" s="4"/>
      <c r="P494" s="4"/>
      <c r="Q494" s="4"/>
      <c r="R494" s="4"/>
      <c r="S494" s="4"/>
      <c r="T494" s="4"/>
      <c r="U494" s="4"/>
      <c r="V494" s="4"/>
      <c r="W494" s="4"/>
      <c r="X494" s="4"/>
    </row>
    <row r="495" spans="1:24" ht="12.75" customHeight="1">
      <c r="A495" s="48">
        <v>211207</v>
      </c>
      <c r="B495" s="603" t="s">
        <v>467</v>
      </c>
      <c r="C495" s="26">
        <f>+SUM(C496:C499)</f>
        <v>121000</v>
      </c>
      <c r="D495" s="283"/>
      <c r="E495" s="274"/>
      <c r="F495" s="4"/>
      <c r="G495" s="4"/>
      <c r="H495" s="4"/>
      <c r="I495" s="4"/>
      <c r="J495" s="4"/>
      <c r="K495" s="4"/>
      <c r="L495" s="4"/>
      <c r="M495" s="4"/>
      <c r="N495" s="4"/>
      <c r="O495" s="4"/>
      <c r="P495" s="4"/>
      <c r="Q495" s="4"/>
      <c r="R495" s="4"/>
      <c r="S495" s="4"/>
      <c r="T495" s="4"/>
      <c r="U495" s="4"/>
      <c r="V495" s="4"/>
      <c r="W495" s="4"/>
      <c r="X495" s="4"/>
    </row>
    <row r="496" spans="1:24" ht="12.75" customHeight="1">
      <c r="A496" s="33">
        <v>21120702</v>
      </c>
      <c r="B496" s="24" t="s">
        <v>468</v>
      </c>
      <c r="C496" s="24">
        <v>40000</v>
      </c>
      <c r="D496" s="278"/>
      <c r="E496" s="274"/>
      <c r="F496" s="4"/>
      <c r="G496" s="4"/>
      <c r="H496" s="4"/>
      <c r="I496" s="4"/>
      <c r="J496" s="4"/>
      <c r="K496" s="4"/>
      <c r="L496" s="4"/>
      <c r="M496" s="4"/>
      <c r="N496" s="4"/>
      <c r="O496" s="4"/>
      <c r="P496" s="4"/>
      <c r="Q496" s="4"/>
      <c r="R496" s="4"/>
      <c r="S496" s="4"/>
      <c r="T496" s="4"/>
      <c r="U496" s="4"/>
      <c r="V496" s="4"/>
      <c r="W496" s="4"/>
      <c r="X496" s="4"/>
    </row>
    <row r="497" spans="1:24" ht="12.75" customHeight="1">
      <c r="A497" s="33">
        <v>21120709</v>
      </c>
      <c r="B497" s="24" t="s">
        <v>471</v>
      </c>
      <c r="C497" s="24">
        <v>23500</v>
      </c>
      <c r="D497" s="8"/>
      <c r="E497" s="8"/>
      <c r="F497" s="8"/>
      <c r="G497" s="8"/>
      <c r="H497" s="8"/>
      <c r="I497" s="8"/>
      <c r="J497" s="8"/>
      <c r="K497" s="8"/>
      <c r="L497" s="8"/>
      <c r="M497" s="8"/>
      <c r="N497" s="8"/>
      <c r="O497" s="8"/>
      <c r="P497" s="8"/>
      <c r="Q497" s="8"/>
      <c r="R497" s="8"/>
      <c r="S497" s="8"/>
      <c r="T497" s="8"/>
      <c r="U497" s="8"/>
      <c r="V497" s="8"/>
      <c r="W497" s="8"/>
      <c r="X497" s="8"/>
    </row>
    <row r="498" spans="1:24" ht="12.75" customHeight="1">
      <c r="A498" s="33">
        <v>21120710</v>
      </c>
      <c r="B498" s="24" t="s">
        <v>472</v>
      </c>
      <c r="C498" s="24">
        <v>23000</v>
      </c>
      <c r="D498" s="8"/>
      <c r="E498" s="8"/>
      <c r="F498" s="8"/>
      <c r="G498" s="8"/>
      <c r="H498" s="8"/>
      <c r="I498" s="8"/>
      <c r="J498" s="8"/>
      <c r="K498" s="8"/>
      <c r="L498" s="8"/>
      <c r="M498" s="8"/>
      <c r="N498" s="8"/>
      <c r="O498" s="8"/>
      <c r="P498" s="8"/>
      <c r="Q498" s="8"/>
      <c r="R498" s="8"/>
      <c r="S498" s="8"/>
      <c r="T498" s="8"/>
      <c r="U498" s="8"/>
      <c r="V498" s="8"/>
      <c r="W498" s="8"/>
      <c r="X498" s="8"/>
    </row>
    <row r="499" spans="1:24" ht="12.75" customHeight="1">
      <c r="A499" s="33">
        <v>21120711</v>
      </c>
      <c r="B499" s="24" t="s">
        <v>473</v>
      </c>
      <c r="C499" s="24">
        <v>34500</v>
      </c>
      <c r="D499" s="8"/>
      <c r="E499" s="8"/>
      <c r="F499" s="8"/>
      <c r="G499" s="8"/>
      <c r="H499" s="8"/>
      <c r="I499" s="8"/>
      <c r="J499" s="8"/>
      <c r="K499" s="8"/>
      <c r="L499" s="8"/>
      <c r="M499" s="8"/>
      <c r="N499" s="8"/>
      <c r="O499" s="8"/>
      <c r="P499" s="8"/>
      <c r="Q499" s="8"/>
      <c r="R499" s="8"/>
      <c r="S499" s="8"/>
      <c r="T499" s="8"/>
      <c r="U499" s="8"/>
      <c r="V499" s="8"/>
      <c r="W499" s="8"/>
      <c r="X499" s="8"/>
    </row>
    <row r="500" spans="1:24" ht="12.75" customHeight="1">
      <c r="A500" s="48">
        <v>211208</v>
      </c>
      <c r="B500" s="26" t="s">
        <v>474</v>
      </c>
      <c r="C500" s="26">
        <f>+SUM(C501:C503)</f>
        <v>1476000</v>
      </c>
      <c r="D500" s="287"/>
      <c r="E500" s="274"/>
      <c r="F500" s="4"/>
      <c r="G500" s="4"/>
      <c r="H500" s="4"/>
      <c r="I500" s="4"/>
      <c r="J500" s="4"/>
      <c r="K500" s="4"/>
      <c r="L500" s="4"/>
      <c r="M500" s="4"/>
      <c r="N500" s="4"/>
      <c r="O500" s="4"/>
      <c r="P500" s="4"/>
      <c r="Q500" s="4"/>
      <c r="R500" s="4"/>
      <c r="S500" s="4"/>
      <c r="T500" s="4"/>
      <c r="U500" s="4"/>
      <c r="V500" s="4"/>
      <c r="W500" s="4"/>
      <c r="X500" s="4"/>
    </row>
    <row r="501" spans="1:24" ht="12.75" customHeight="1">
      <c r="A501" s="33">
        <v>21120801</v>
      </c>
      <c r="B501" s="13" t="s">
        <v>475</v>
      </c>
      <c r="C501" s="24">
        <v>79500</v>
      </c>
      <c r="D501" s="287"/>
      <c r="E501" s="274"/>
      <c r="F501" s="4"/>
      <c r="G501" s="4"/>
      <c r="H501" s="4"/>
      <c r="I501" s="4"/>
      <c r="J501" s="4"/>
      <c r="K501" s="4"/>
      <c r="L501" s="4"/>
      <c r="M501" s="4"/>
      <c r="N501" s="4"/>
      <c r="O501" s="4"/>
      <c r="P501" s="4"/>
      <c r="Q501" s="4"/>
      <c r="R501" s="4"/>
      <c r="S501" s="4"/>
      <c r="T501" s="4"/>
      <c r="U501" s="4"/>
      <c r="V501" s="4"/>
      <c r="W501" s="4"/>
      <c r="X501" s="4"/>
    </row>
    <row r="502" spans="1:24" ht="13.5" customHeight="1">
      <c r="A502" s="33">
        <v>21120803</v>
      </c>
      <c r="B502" s="24" t="s">
        <v>517</v>
      </c>
      <c r="C502" s="24">
        <v>62500</v>
      </c>
      <c r="D502" s="23"/>
      <c r="E502" s="24"/>
      <c r="F502" s="23"/>
      <c r="G502" s="63"/>
      <c r="H502" s="23"/>
      <c r="I502" s="23"/>
      <c r="J502" s="23"/>
      <c r="K502" s="23"/>
      <c r="L502" s="23"/>
      <c r="M502" s="23"/>
      <c r="N502" s="23"/>
      <c r="O502" s="23"/>
      <c r="P502" s="23"/>
      <c r="Q502" s="23"/>
      <c r="R502" s="23"/>
      <c r="S502" s="23"/>
      <c r="T502" s="23"/>
      <c r="U502" s="23"/>
      <c r="V502" s="23"/>
      <c r="W502" s="23"/>
      <c r="X502" s="23"/>
    </row>
    <row r="503" spans="1:24" ht="12.75" customHeight="1">
      <c r="A503" s="33">
        <v>21120805</v>
      </c>
      <c r="B503" s="24" t="s">
        <v>476</v>
      </c>
      <c r="C503" s="24">
        <v>1334000</v>
      </c>
      <c r="D503" s="8"/>
      <c r="E503" s="274"/>
      <c r="F503" s="4"/>
      <c r="G503" s="4"/>
      <c r="H503" s="4"/>
      <c r="I503" s="4"/>
      <c r="J503" s="4"/>
      <c r="K503" s="4"/>
      <c r="L503" s="4"/>
      <c r="M503" s="4"/>
      <c r="N503" s="4"/>
      <c r="O503" s="4"/>
      <c r="P503" s="4"/>
      <c r="Q503" s="4"/>
      <c r="R503" s="4"/>
      <c r="S503" s="4"/>
      <c r="T503" s="4"/>
      <c r="U503" s="4"/>
      <c r="V503" s="4"/>
      <c r="W503" s="4"/>
      <c r="X503" s="4"/>
    </row>
    <row r="504" spans="1:24" ht="12.75" customHeight="1">
      <c r="A504" s="48">
        <v>211209</v>
      </c>
      <c r="B504" s="26" t="s">
        <v>477</v>
      </c>
      <c r="C504" s="26">
        <f>+SUM(C505:C508)</f>
        <v>941000</v>
      </c>
      <c r="D504" s="123"/>
      <c r="E504" s="274"/>
      <c r="F504" s="4"/>
      <c r="G504" s="4"/>
      <c r="H504" s="4"/>
      <c r="I504" s="4"/>
      <c r="J504" s="4"/>
      <c r="K504" s="4"/>
      <c r="L504" s="4"/>
      <c r="M504" s="4"/>
      <c r="N504" s="4"/>
      <c r="O504" s="4"/>
      <c r="P504" s="4"/>
      <c r="Q504" s="4"/>
      <c r="R504" s="4"/>
      <c r="S504" s="4"/>
      <c r="T504" s="4"/>
      <c r="U504" s="4"/>
      <c r="V504" s="4"/>
      <c r="W504" s="4"/>
      <c r="X504" s="4"/>
    </row>
    <row r="505" spans="1:24" ht="12.75" customHeight="1">
      <c r="A505" s="33">
        <v>21120901</v>
      </c>
      <c r="B505" s="24" t="s">
        <v>478</v>
      </c>
      <c r="C505" s="24">
        <v>7500</v>
      </c>
      <c r="D505" s="270"/>
      <c r="E505" s="274"/>
      <c r="F505" s="4"/>
      <c r="G505" s="4"/>
      <c r="H505" s="4"/>
      <c r="I505" s="4"/>
      <c r="J505" s="4"/>
      <c r="K505" s="4"/>
      <c r="L505" s="4"/>
      <c r="M505" s="4"/>
      <c r="N505" s="4"/>
      <c r="O505" s="4"/>
      <c r="P505" s="4"/>
      <c r="Q505" s="4"/>
      <c r="R505" s="4"/>
      <c r="S505" s="4"/>
      <c r="T505" s="4"/>
      <c r="U505" s="4"/>
      <c r="V505" s="4"/>
      <c r="W505" s="4"/>
      <c r="X505" s="4"/>
    </row>
    <row r="506" spans="1:24" ht="12.75" customHeight="1">
      <c r="A506" s="33">
        <v>21120905</v>
      </c>
      <c r="B506" s="24" t="s">
        <v>525</v>
      </c>
      <c r="C506" s="24">
        <v>124500</v>
      </c>
      <c r="D506" s="272"/>
      <c r="E506" s="274"/>
      <c r="F506" s="4"/>
      <c r="G506" s="4"/>
      <c r="H506" s="4"/>
      <c r="I506" s="4"/>
      <c r="J506" s="4"/>
      <c r="K506" s="4"/>
      <c r="L506" s="4"/>
      <c r="M506" s="4"/>
      <c r="N506" s="4"/>
      <c r="O506" s="4"/>
      <c r="P506" s="4"/>
      <c r="Q506" s="4"/>
      <c r="R506" s="4"/>
      <c r="S506" s="4"/>
      <c r="T506" s="4"/>
      <c r="U506" s="4"/>
      <c r="V506" s="4"/>
      <c r="W506" s="4"/>
      <c r="X506" s="4"/>
    </row>
    <row r="507" spans="1:24" ht="12.75" customHeight="1">
      <c r="A507" s="33">
        <v>21120906</v>
      </c>
      <c r="B507" s="24" t="s">
        <v>479</v>
      </c>
      <c r="C507" s="24">
        <v>603500</v>
      </c>
      <c r="D507" s="123"/>
      <c r="E507" s="274"/>
      <c r="F507" s="4"/>
      <c r="G507" s="4"/>
      <c r="H507" s="4"/>
      <c r="I507" s="4"/>
      <c r="J507" s="4"/>
      <c r="K507" s="4"/>
      <c r="L507" s="4"/>
      <c r="M507" s="4"/>
      <c r="N507" s="4"/>
      <c r="O507" s="4"/>
      <c r="P507" s="4"/>
      <c r="Q507" s="4"/>
      <c r="R507" s="4"/>
      <c r="S507" s="4"/>
      <c r="T507" s="4"/>
      <c r="U507" s="4"/>
      <c r="V507" s="4"/>
      <c r="W507" s="4"/>
      <c r="X507" s="4"/>
    </row>
    <row r="508" spans="1:24" ht="12.75" customHeight="1">
      <c r="A508" s="33">
        <v>21120907</v>
      </c>
      <c r="B508" s="13" t="s">
        <v>480</v>
      </c>
      <c r="C508" s="24">
        <v>205500</v>
      </c>
      <c r="D508" s="123"/>
      <c r="E508" s="274"/>
      <c r="F508" s="4"/>
      <c r="G508" s="4"/>
      <c r="H508" s="4"/>
      <c r="I508" s="4"/>
      <c r="J508" s="4"/>
      <c r="K508" s="4"/>
      <c r="L508" s="4"/>
      <c r="M508" s="4"/>
      <c r="N508" s="4"/>
      <c r="O508" s="4"/>
      <c r="P508" s="4"/>
      <c r="Q508" s="4"/>
      <c r="R508" s="4"/>
      <c r="S508" s="4"/>
      <c r="T508" s="4"/>
      <c r="U508" s="4"/>
      <c r="V508" s="4"/>
      <c r="W508" s="4"/>
      <c r="X508" s="4"/>
    </row>
    <row r="509" spans="1:24" ht="12.75" customHeight="1" thickBot="1">
      <c r="A509" s="23"/>
      <c r="B509" s="24"/>
      <c r="C509" s="24"/>
      <c r="D509" s="123"/>
      <c r="E509" s="274"/>
      <c r="F509" s="4"/>
      <c r="G509" s="4"/>
      <c r="H509" s="4"/>
      <c r="I509" s="4"/>
      <c r="J509" s="4"/>
      <c r="K509" s="4"/>
      <c r="L509" s="4"/>
      <c r="M509" s="4"/>
      <c r="N509" s="4"/>
      <c r="O509" s="4"/>
      <c r="P509" s="4"/>
      <c r="Q509" s="4"/>
      <c r="R509" s="4"/>
      <c r="S509" s="4"/>
      <c r="T509" s="4"/>
      <c r="U509" s="4"/>
      <c r="V509" s="4"/>
      <c r="W509" s="4"/>
      <c r="X509" s="4"/>
    </row>
    <row r="510" spans="1:24" ht="12.75" customHeight="1" thickBot="1">
      <c r="A510" s="1298" t="s">
        <v>4</v>
      </c>
      <c r="B510" s="1281"/>
      <c r="C510" s="64">
        <f>C511+C513+C516+C520+C524</f>
        <v>24921000</v>
      </c>
      <c r="D510" s="3"/>
      <c r="E510" s="4"/>
      <c r="F510" s="4"/>
      <c r="G510" s="4"/>
      <c r="H510" s="4"/>
      <c r="I510" s="4"/>
      <c r="J510" s="4"/>
      <c r="K510" s="4"/>
      <c r="L510" s="4"/>
      <c r="M510" s="4"/>
      <c r="N510" s="4"/>
      <c r="O510" s="4"/>
      <c r="P510" s="4"/>
      <c r="Q510" s="4"/>
      <c r="R510" s="4"/>
      <c r="S510" s="4"/>
      <c r="T510" s="4"/>
      <c r="U510" s="4"/>
      <c r="V510" s="4"/>
      <c r="W510" s="4"/>
      <c r="X510" s="4"/>
    </row>
    <row r="511" spans="1:24" ht="12.75" customHeight="1">
      <c r="A511" s="48">
        <v>211302</v>
      </c>
      <c r="B511" s="48" t="s">
        <v>481</v>
      </c>
      <c r="C511" s="49">
        <f>SUM(C512)</f>
        <v>712000</v>
      </c>
      <c r="D511" s="60"/>
      <c r="E511" s="34"/>
      <c r="F511" s="34"/>
      <c r="G511" s="34"/>
      <c r="H511" s="34"/>
      <c r="I511" s="34"/>
      <c r="J511" s="34"/>
      <c r="K511" s="34"/>
      <c r="L511" s="34"/>
      <c r="M511" s="34"/>
      <c r="N511" s="34"/>
      <c r="O511" s="34"/>
      <c r="P511" s="34"/>
      <c r="Q511" s="34"/>
      <c r="R511" s="34"/>
      <c r="S511" s="34"/>
      <c r="T511" s="34"/>
      <c r="U511" s="34"/>
      <c r="V511" s="34"/>
      <c r="W511" s="34"/>
      <c r="X511" s="34"/>
    </row>
    <row r="512" spans="1:24" ht="13.5" customHeight="1">
      <c r="A512" s="33">
        <v>21130204</v>
      </c>
      <c r="B512" s="24" t="s">
        <v>483</v>
      </c>
      <c r="C512" s="24">
        <v>712000</v>
      </c>
      <c r="D512" s="123"/>
      <c r="E512" s="89"/>
      <c r="F512" s="24"/>
      <c r="G512" s="23"/>
      <c r="H512" s="23"/>
      <c r="I512" s="23"/>
      <c r="J512" s="23"/>
      <c r="K512" s="23"/>
      <c r="L512" s="23"/>
      <c r="M512" s="23"/>
      <c r="N512" s="23"/>
      <c r="O512" s="23"/>
      <c r="P512" s="23"/>
      <c r="Q512" s="23"/>
      <c r="R512" s="23"/>
      <c r="S512" s="23"/>
      <c r="T512" s="23"/>
      <c r="U512" s="23"/>
      <c r="V512" s="23"/>
      <c r="W512" s="23"/>
      <c r="X512" s="23"/>
    </row>
    <row r="513" spans="1:24" ht="13.5" customHeight="1">
      <c r="A513" s="48">
        <v>211303</v>
      </c>
      <c r="B513" s="26" t="s">
        <v>484</v>
      </c>
      <c r="C513" s="26">
        <f>+SUM(C514:C515)</f>
        <v>287500</v>
      </c>
      <c r="D513" s="123"/>
      <c r="E513" s="89"/>
      <c r="F513" s="24"/>
      <c r="G513" s="23"/>
      <c r="H513" s="23"/>
      <c r="I513" s="23"/>
      <c r="J513" s="23"/>
      <c r="K513" s="23"/>
      <c r="L513" s="23"/>
      <c r="M513" s="23"/>
      <c r="N513" s="23"/>
      <c r="O513" s="23"/>
      <c r="P513" s="23"/>
      <c r="Q513" s="23"/>
      <c r="R513" s="23"/>
      <c r="S513" s="23"/>
      <c r="T513" s="23"/>
      <c r="U513" s="23"/>
      <c r="V513" s="23"/>
      <c r="W513" s="23"/>
      <c r="X513" s="23"/>
    </row>
    <row r="514" spans="1:24" ht="13.5" customHeight="1">
      <c r="A514" s="33">
        <v>21130306</v>
      </c>
      <c r="B514" s="13" t="s">
        <v>487</v>
      </c>
      <c r="C514" s="24">
        <v>98500</v>
      </c>
      <c r="D514" s="123"/>
      <c r="E514" s="89"/>
      <c r="F514" s="24"/>
      <c r="G514" s="23"/>
      <c r="H514" s="23"/>
      <c r="I514" s="23"/>
      <c r="J514" s="23"/>
      <c r="K514" s="23"/>
      <c r="L514" s="23"/>
      <c r="M514" s="23"/>
      <c r="N514" s="23"/>
      <c r="O514" s="23"/>
      <c r="P514" s="23"/>
      <c r="Q514" s="23"/>
      <c r="R514" s="23"/>
      <c r="S514" s="23"/>
      <c r="T514" s="23"/>
      <c r="U514" s="23"/>
      <c r="V514" s="23"/>
      <c r="W514" s="23"/>
      <c r="X514" s="23"/>
    </row>
    <row r="515" spans="1:24" ht="13.5" customHeight="1">
      <c r="A515" s="33">
        <v>21130307</v>
      </c>
      <c r="B515" s="23" t="s">
        <v>488</v>
      </c>
      <c r="C515" s="24">
        <v>189000</v>
      </c>
      <c r="D515" s="123"/>
      <c r="E515" s="89"/>
      <c r="F515" s="24"/>
      <c r="G515" s="23"/>
      <c r="H515" s="23"/>
      <c r="I515" s="23"/>
      <c r="J515" s="23"/>
      <c r="K515" s="23"/>
      <c r="L515" s="23"/>
      <c r="M515" s="23"/>
      <c r="N515" s="23"/>
      <c r="O515" s="23"/>
      <c r="P515" s="23"/>
      <c r="Q515" s="23"/>
      <c r="R515" s="23"/>
      <c r="S515" s="23"/>
      <c r="T515" s="23"/>
      <c r="U515" s="23"/>
      <c r="V515" s="23"/>
      <c r="W515" s="23"/>
      <c r="X515" s="23"/>
    </row>
    <row r="516" spans="1:24" ht="13.5" customHeight="1">
      <c r="A516" s="48">
        <v>211305</v>
      </c>
      <c r="B516" s="26" t="s">
        <v>489</v>
      </c>
      <c r="C516" s="26">
        <f>+SUM(C517:C519)</f>
        <v>3941000</v>
      </c>
      <c r="D516" s="123"/>
      <c r="E516" s="89"/>
      <c r="F516" s="24"/>
      <c r="G516" s="23"/>
      <c r="H516" s="23"/>
      <c r="I516" s="23"/>
      <c r="J516" s="23"/>
      <c r="K516" s="23"/>
      <c r="L516" s="23"/>
      <c r="M516" s="23"/>
      <c r="N516" s="23"/>
      <c r="O516" s="23"/>
      <c r="P516" s="23"/>
      <c r="Q516" s="23"/>
      <c r="R516" s="23"/>
      <c r="S516" s="23"/>
      <c r="T516" s="23"/>
      <c r="U516" s="23"/>
      <c r="V516" s="23"/>
      <c r="W516" s="23"/>
      <c r="X516" s="23"/>
    </row>
    <row r="517" spans="1:24" ht="13.5" customHeight="1">
      <c r="A517" s="33">
        <v>21130501</v>
      </c>
      <c r="B517" s="13" t="s">
        <v>490</v>
      </c>
      <c r="C517" s="24">
        <v>8000</v>
      </c>
      <c r="D517" s="123"/>
      <c r="E517" s="89"/>
      <c r="F517" s="24"/>
      <c r="G517" s="23"/>
      <c r="H517" s="23"/>
      <c r="I517" s="23"/>
      <c r="J517" s="23"/>
      <c r="K517" s="23"/>
      <c r="L517" s="23"/>
      <c r="M517" s="23"/>
      <c r="N517" s="23"/>
      <c r="O517" s="23"/>
      <c r="P517" s="23"/>
      <c r="Q517" s="23"/>
      <c r="R517" s="23"/>
      <c r="S517" s="23"/>
      <c r="T517" s="23"/>
      <c r="U517" s="23"/>
      <c r="V517" s="23"/>
      <c r="W517" s="23"/>
      <c r="X517" s="23"/>
    </row>
    <row r="518" spans="1:24" ht="13.5" customHeight="1">
      <c r="A518" s="33">
        <v>21130502</v>
      </c>
      <c r="B518" s="23" t="s">
        <v>491</v>
      </c>
      <c r="C518" s="24">
        <v>2951500</v>
      </c>
      <c r="D518" s="275"/>
      <c r="E518" s="89"/>
      <c r="F518" s="24"/>
      <c r="G518" s="23"/>
      <c r="H518" s="23"/>
      <c r="I518" s="23"/>
      <c r="J518" s="23"/>
      <c r="K518" s="23"/>
      <c r="L518" s="23"/>
      <c r="M518" s="23"/>
      <c r="N518" s="23"/>
      <c r="O518" s="23"/>
      <c r="P518" s="23"/>
      <c r="Q518" s="23"/>
      <c r="R518" s="23"/>
      <c r="S518" s="23"/>
      <c r="T518" s="23"/>
      <c r="U518" s="23"/>
      <c r="V518" s="23"/>
      <c r="W518" s="23"/>
      <c r="X518" s="23"/>
    </row>
    <row r="519" spans="1:24" ht="13.5" customHeight="1">
      <c r="A519" s="33">
        <v>21130505</v>
      </c>
      <c r="B519" s="13" t="s">
        <v>651</v>
      </c>
      <c r="C519" s="24">
        <v>981500</v>
      </c>
      <c r="D519" s="123"/>
      <c r="E519" s="89"/>
      <c r="F519" s="23"/>
      <c r="G519" s="23"/>
      <c r="H519" s="24"/>
      <c r="I519" s="23"/>
      <c r="J519" s="23"/>
      <c r="K519" s="23"/>
      <c r="L519" s="23"/>
      <c r="M519" s="23"/>
      <c r="N519" s="23"/>
      <c r="O519" s="23"/>
      <c r="P519" s="23"/>
      <c r="Q519" s="23"/>
      <c r="R519" s="23"/>
      <c r="S519" s="23"/>
      <c r="T519" s="23"/>
      <c r="U519" s="23"/>
      <c r="V519" s="23"/>
      <c r="W519" s="23"/>
      <c r="X519" s="23"/>
    </row>
    <row r="520" spans="1:24" ht="13.5" customHeight="1">
      <c r="A520" s="48">
        <v>211306</v>
      </c>
      <c r="B520" s="21" t="s">
        <v>492</v>
      </c>
      <c r="C520" s="26">
        <f>+SUM(C521:C523)</f>
        <v>404500</v>
      </c>
      <c r="D520" s="123"/>
      <c r="E520" s="89"/>
      <c r="F520" s="24"/>
      <c r="G520" s="23"/>
      <c r="H520" s="23"/>
      <c r="I520" s="23"/>
      <c r="J520" s="23"/>
      <c r="K520" s="23"/>
      <c r="L520" s="23"/>
      <c r="M520" s="23"/>
      <c r="N520" s="23"/>
      <c r="O520" s="23"/>
      <c r="P520" s="23"/>
      <c r="Q520" s="23"/>
      <c r="R520" s="23"/>
      <c r="S520" s="23"/>
      <c r="T520" s="23"/>
      <c r="U520" s="23"/>
      <c r="V520" s="23"/>
      <c r="W520" s="23"/>
      <c r="X520" s="23"/>
    </row>
    <row r="521" spans="1:24" ht="13.5" customHeight="1">
      <c r="A521" s="33">
        <v>21130603</v>
      </c>
      <c r="B521" s="23" t="s">
        <v>535</v>
      </c>
      <c r="C521" s="24">
        <v>120000</v>
      </c>
      <c r="D521" s="273"/>
      <c r="E521" s="89"/>
      <c r="F521" s="23"/>
      <c r="G521" s="23"/>
      <c r="H521" s="23"/>
      <c r="I521" s="23"/>
      <c r="J521" s="23"/>
      <c r="K521" s="23"/>
      <c r="L521" s="23"/>
      <c r="M521" s="23"/>
      <c r="N521" s="23"/>
      <c r="O521" s="23"/>
      <c r="P521" s="23"/>
      <c r="Q521" s="23"/>
      <c r="R521" s="23"/>
      <c r="S521" s="23"/>
      <c r="T521" s="23"/>
      <c r="U521" s="23"/>
      <c r="V521" s="23"/>
      <c r="W521" s="23"/>
      <c r="X521" s="23"/>
    </row>
    <row r="522" spans="1:24" ht="13.5" customHeight="1">
      <c r="A522" s="33">
        <v>21130604</v>
      </c>
      <c r="B522" s="23" t="s">
        <v>539</v>
      </c>
      <c r="C522" s="24">
        <v>235000</v>
      </c>
      <c r="D522" s="123"/>
      <c r="E522" s="89"/>
      <c r="F522" s="23"/>
      <c r="G522" s="23"/>
      <c r="H522" s="23"/>
      <c r="I522" s="23"/>
      <c r="J522" s="23"/>
      <c r="K522" s="23"/>
      <c r="L522" s="23"/>
      <c r="M522" s="23"/>
      <c r="N522" s="23"/>
      <c r="O522" s="23"/>
      <c r="P522" s="23"/>
      <c r="Q522" s="23"/>
      <c r="R522" s="23"/>
      <c r="S522" s="23"/>
      <c r="T522" s="23"/>
      <c r="U522" s="23"/>
      <c r="V522" s="23"/>
      <c r="W522" s="23"/>
      <c r="X522" s="23"/>
    </row>
    <row r="523" spans="1:24" ht="13.5" customHeight="1">
      <c r="A523" s="33">
        <v>21130606</v>
      </c>
      <c r="B523" s="13" t="s">
        <v>665</v>
      </c>
      <c r="C523" s="24">
        <v>49500</v>
      </c>
      <c r="D523" s="123"/>
      <c r="E523" s="89"/>
      <c r="F523" s="23"/>
      <c r="G523" s="23"/>
      <c r="H523" s="23"/>
      <c r="I523" s="23"/>
      <c r="J523" s="23"/>
      <c r="K523" s="23"/>
      <c r="L523" s="23"/>
      <c r="M523" s="23"/>
      <c r="N523" s="23"/>
      <c r="O523" s="23"/>
      <c r="P523" s="23"/>
      <c r="Q523" s="23"/>
      <c r="R523" s="23"/>
      <c r="S523" s="23"/>
      <c r="T523" s="23"/>
      <c r="U523" s="23"/>
      <c r="V523" s="23"/>
      <c r="W523" s="23"/>
      <c r="X523" s="23"/>
    </row>
    <row r="524" spans="1:24" ht="13.5" customHeight="1">
      <c r="A524" s="48">
        <v>211309</v>
      </c>
      <c r="B524" s="26" t="s">
        <v>496</v>
      </c>
      <c r="C524" s="26">
        <f>+SUM(C525:C528)</f>
        <v>19576000</v>
      </c>
      <c r="D524" s="123"/>
      <c r="E524" s="89"/>
      <c r="F524" s="23"/>
      <c r="G524" s="23"/>
      <c r="H524" s="23"/>
      <c r="I524" s="23"/>
      <c r="J524" s="23"/>
      <c r="K524" s="23"/>
      <c r="L524" s="23"/>
      <c r="M524" s="23"/>
      <c r="N524" s="23"/>
      <c r="O524" s="23"/>
      <c r="P524" s="23"/>
      <c r="Q524" s="23"/>
      <c r="R524" s="23"/>
      <c r="S524" s="23"/>
      <c r="T524" s="23"/>
      <c r="U524" s="23"/>
      <c r="V524" s="23"/>
      <c r="W524" s="23"/>
      <c r="X524" s="23"/>
    </row>
    <row r="525" spans="1:24" ht="13.5" customHeight="1">
      <c r="A525" s="33">
        <v>21130901</v>
      </c>
      <c r="B525" s="24" t="s">
        <v>497</v>
      </c>
      <c r="C525" s="24">
        <v>15955500</v>
      </c>
      <c r="D525" s="275"/>
      <c r="E525" s="89"/>
      <c r="F525" s="23"/>
      <c r="G525" s="23"/>
      <c r="H525" s="23"/>
      <c r="I525" s="21"/>
      <c r="J525" s="21"/>
      <c r="K525" s="21"/>
      <c r="L525" s="21"/>
      <c r="M525" s="21"/>
      <c r="N525" s="21"/>
      <c r="O525" s="21"/>
      <c r="P525" s="21"/>
      <c r="Q525" s="21"/>
      <c r="R525" s="21"/>
      <c r="S525" s="21"/>
      <c r="T525" s="21"/>
      <c r="U525" s="21"/>
      <c r="V525" s="21"/>
      <c r="W525" s="21"/>
      <c r="X525" s="21"/>
    </row>
    <row r="526" spans="1:24" ht="13.5" customHeight="1">
      <c r="A526" s="33">
        <v>21130903</v>
      </c>
      <c r="B526" s="24" t="s">
        <v>498</v>
      </c>
      <c r="C526" s="24">
        <v>25500</v>
      </c>
      <c r="D526" s="123"/>
      <c r="E526" s="89"/>
      <c r="F526" s="23"/>
      <c r="G526" s="23"/>
      <c r="H526" s="23"/>
      <c r="I526" s="23"/>
      <c r="J526" s="23"/>
      <c r="K526" s="23"/>
      <c r="L526" s="23"/>
      <c r="M526" s="23"/>
      <c r="N526" s="23"/>
      <c r="O526" s="23"/>
      <c r="P526" s="23"/>
      <c r="Q526" s="23"/>
      <c r="R526" s="23"/>
      <c r="S526" s="23"/>
      <c r="T526" s="23"/>
      <c r="U526" s="23"/>
      <c r="V526" s="23"/>
      <c r="W526" s="23"/>
      <c r="X526" s="23"/>
    </row>
    <row r="527" spans="1:24" ht="13.5" customHeight="1">
      <c r="A527" s="33">
        <v>21130906</v>
      </c>
      <c r="B527" s="23" t="s">
        <v>499</v>
      </c>
      <c r="C527" s="24">
        <v>2104000</v>
      </c>
      <c r="D527" s="23"/>
      <c r="E527" s="89"/>
      <c r="F527" s="23"/>
      <c r="G527" s="23"/>
      <c r="H527" s="23"/>
      <c r="I527" s="23"/>
      <c r="J527" s="23"/>
      <c r="K527" s="23"/>
      <c r="L527" s="23"/>
      <c r="M527" s="23"/>
      <c r="N527" s="23"/>
      <c r="O527" s="23"/>
      <c r="P527" s="23"/>
      <c r="Q527" s="23"/>
      <c r="R527" s="23"/>
      <c r="S527" s="23"/>
      <c r="T527" s="23"/>
      <c r="U527" s="23"/>
      <c r="V527" s="23"/>
      <c r="W527" s="23"/>
      <c r="X527" s="23"/>
    </row>
    <row r="528" spans="1:24" ht="13.5" customHeight="1">
      <c r="A528" s="33">
        <v>21130908</v>
      </c>
      <c r="B528" s="24" t="s">
        <v>500</v>
      </c>
      <c r="C528" s="24">
        <v>1491000</v>
      </c>
      <c r="D528" s="270"/>
      <c r="E528" s="89"/>
      <c r="F528" s="23"/>
      <c r="G528" s="23"/>
      <c r="H528" s="24"/>
      <c r="I528" s="23"/>
      <c r="J528" s="23"/>
      <c r="K528" s="23"/>
      <c r="L528" s="23"/>
      <c r="M528" s="23"/>
      <c r="N528" s="23"/>
      <c r="O528" s="23"/>
      <c r="P528" s="23"/>
      <c r="Q528" s="23"/>
      <c r="R528" s="23"/>
      <c r="S528" s="23"/>
      <c r="T528" s="23"/>
      <c r="U528" s="23"/>
      <c r="V528" s="23"/>
      <c r="W528" s="23"/>
      <c r="X528" s="23"/>
    </row>
    <row r="529" spans="1:24" ht="13.5" customHeight="1" thickBot="1">
      <c r="A529" s="23"/>
      <c r="B529" s="24"/>
      <c r="C529" s="24"/>
      <c r="D529" s="270"/>
      <c r="E529" s="89"/>
      <c r="F529" s="23"/>
      <c r="G529" s="23"/>
      <c r="H529" s="23"/>
      <c r="I529" s="23"/>
      <c r="J529" s="23"/>
      <c r="K529" s="23"/>
      <c r="L529" s="23"/>
      <c r="M529" s="23"/>
      <c r="N529" s="23"/>
      <c r="O529" s="23"/>
      <c r="P529" s="23"/>
      <c r="Q529" s="23"/>
      <c r="R529" s="23"/>
      <c r="S529" s="23"/>
      <c r="T529" s="23"/>
      <c r="U529" s="23"/>
      <c r="V529" s="23"/>
      <c r="W529" s="23"/>
      <c r="X529" s="23"/>
    </row>
    <row r="530" spans="1:24" ht="12.75" customHeight="1" thickBot="1">
      <c r="A530" s="1287" t="s">
        <v>45</v>
      </c>
      <c r="B530" s="1281"/>
      <c r="C530" s="47">
        <f>C531</f>
        <v>3000000</v>
      </c>
      <c r="D530" s="270"/>
      <c r="E530" s="4"/>
      <c r="F530" s="4"/>
      <c r="G530" s="4"/>
      <c r="H530" s="4"/>
      <c r="I530" s="4"/>
      <c r="J530" s="4"/>
      <c r="K530" s="4"/>
      <c r="L530" s="4"/>
      <c r="M530" s="4"/>
      <c r="N530" s="4"/>
      <c r="O530" s="4"/>
      <c r="P530" s="4"/>
      <c r="Q530" s="4"/>
      <c r="R530" s="4"/>
      <c r="S530" s="4"/>
      <c r="T530" s="4"/>
      <c r="U530" s="4"/>
      <c r="V530" s="4"/>
      <c r="W530" s="4"/>
      <c r="X530" s="4"/>
    </row>
    <row r="531" spans="1:24" ht="12.75" customHeight="1">
      <c r="A531" s="48">
        <v>211402</v>
      </c>
      <c r="B531" s="48" t="s">
        <v>503</v>
      </c>
      <c r="C531" s="49">
        <f>SUM(C532:C533)</f>
        <v>3000000</v>
      </c>
      <c r="D531" s="272"/>
      <c r="E531" s="34"/>
      <c r="F531" s="34"/>
      <c r="G531" s="34"/>
      <c r="H531" s="34"/>
      <c r="I531" s="34"/>
      <c r="J531" s="34"/>
      <c r="K531" s="34"/>
      <c r="L531" s="34"/>
      <c r="M531" s="34"/>
      <c r="N531" s="34"/>
      <c r="O531" s="34"/>
      <c r="P531" s="34"/>
      <c r="Q531" s="34"/>
      <c r="R531" s="34"/>
      <c r="S531" s="34"/>
      <c r="T531" s="34"/>
      <c r="U531" s="34"/>
      <c r="V531" s="34"/>
      <c r="W531" s="34"/>
      <c r="X531" s="34"/>
    </row>
    <row r="532" spans="1:24" ht="12.75" customHeight="1">
      <c r="A532" s="33">
        <v>21140207</v>
      </c>
      <c r="B532" s="13" t="s">
        <v>659</v>
      </c>
      <c r="C532" s="25">
        <v>2500000</v>
      </c>
      <c r="D532" s="272"/>
      <c r="E532" s="34"/>
      <c r="F532" s="34"/>
      <c r="G532" s="34"/>
      <c r="H532" s="34"/>
      <c r="I532" s="34"/>
      <c r="J532" s="34"/>
      <c r="K532" s="34"/>
      <c r="L532" s="34"/>
      <c r="M532" s="34"/>
      <c r="N532" s="34"/>
      <c r="O532" s="34"/>
      <c r="P532" s="34"/>
      <c r="Q532" s="34"/>
      <c r="R532" s="34"/>
      <c r="S532" s="34"/>
      <c r="T532" s="34"/>
      <c r="U532" s="34"/>
      <c r="V532" s="34"/>
      <c r="W532" s="34"/>
      <c r="X532" s="34"/>
    </row>
    <row r="533" spans="1:24" ht="12.75" customHeight="1">
      <c r="A533" s="33">
        <v>21140213</v>
      </c>
      <c r="B533" s="23" t="s">
        <v>504</v>
      </c>
      <c r="C533" s="24">
        <v>500000</v>
      </c>
      <c r="D533" s="270"/>
      <c r="E533" s="4"/>
      <c r="F533" s="4"/>
      <c r="G533" s="4"/>
      <c r="H533" s="4"/>
      <c r="I533" s="4"/>
      <c r="J533" s="4"/>
      <c r="K533" s="4"/>
      <c r="L533" s="4"/>
      <c r="M533" s="4"/>
      <c r="N533" s="4"/>
      <c r="O533" s="4"/>
      <c r="P533" s="4"/>
      <c r="Q533" s="4"/>
      <c r="R533" s="4"/>
      <c r="S533" s="4"/>
      <c r="T533" s="4"/>
      <c r="U533" s="4"/>
      <c r="V533" s="4"/>
      <c r="W533" s="4"/>
      <c r="X533" s="4"/>
    </row>
    <row r="534" spans="1:24" ht="12.75" customHeight="1" thickBot="1">
      <c r="A534" s="33"/>
      <c r="B534" s="23"/>
      <c r="C534" s="24"/>
      <c r="D534" s="270"/>
      <c r="E534" s="4"/>
      <c r="F534" s="4"/>
      <c r="G534" s="4"/>
      <c r="H534" s="4"/>
      <c r="I534" s="4"/>
      <c r="J534" s="4"/>
      <c r="K534" s="4"/>
      <c r="L534" s="4"/>
      <c r="M534" s="4"/>
      <c r="N534" s="4"/>
      <c r="O534" s="4"/>
      <c r="P534" s="4"/>
      <c r="Q534" s="4"/>
      <c r="R534" s="4"/>
      <c r="S534" s="4"/>
      <c r="T534" s="4"/>
      <c r="U534" s="4"/>
      <c r="V534" s="4"/>
      <c r="W534" s="4"/>
      <c r="X534" s="4"/>
    </row>
    <row r="535" spans="1:24" ht="12.75" customHeight="1" thickBot="1">
      <c r="A535" s="1299" t="s">
        <v>48</v>
      </c>
      <c r="B535" s="1281"/>
      <c r="C535" s="65">
        <f>C536+C540+C542</f>
        <v>1258500</v>
      </c>
      <c r="D535" s="288"/>
      <c r="E535" s="4"/>
      <c r="F535" s="4"/>
      <c r="G535" s="4"/>
      <c r="H535" s="4"/>
      <c r="I535" s="4"/>
      <c r="J535" s="4"/>
      <c r="K535" s="4"/>
      <c r="L535" s="4"/>
      <c r="M535" s="4"/>
      <c r="N535" s="4"/>
      <c r="O535" s="4"/>
      <c r="P535" s="4"/>
      <c r="Q535" s="4"/>
      <c r="R535" s="4"/>
      <c r="S535" s="4"/>
      <c r="T535" s="4"/>
      <c r="U535" s="4"/>
      <c r="V535" s="4"/>
      <c r="W535" s="4"/>
      <c r="X535" s="4"/>
    </row>
    <row r="536" spans="1:24" ht="12.75" customHeight="1">
      <c r="A536" s="48">
        <v>221104</v>
      </c>
      <c r="B536" s="827" t="s">
        <v>510</v>
      </c>
      <c r="C536" s="49">
        <f>SUM(C537:C539)</f>
        <v>948500</v>
      </c>
      <c r="D536" s="288"/>
      <c r="E536" s="34"/>
      <c r="F536" s="34"/>
      <c r="G536" s="34"/>
      <c r="H536" s="34"/>
      <c r="I536" s="34"/>
      <c r="J536" s="34"/>
      <c r="K536" s="34"/>
      <c r="L536" s="34"/>
      <c r="M536" s="34"/>
      <c r="N536" s="34"/>
      <c r="O536" s="34"/>
      <c r="P536" s="34"/>
      <c r="Q536" s="34"/>
      <c r="R536" s="34"/>
      <c r="S536" s="34"/>
      <c r="T536" s="34"/>
      <c r="U536" s="34"/>
      <c r="V536" s="34"/>
      <c r="W536" s="34"/>
      <c r="X536" s="34"/>
    </row>
    <row r="537" spans="1:24" ht="12.75" customHeight="1">
      <c r="A537" s="33">
        <v>22110401</v>
      </c>
      <c r="B537" s="23" t="s">
        <v>511</v>
      </c>
      <c r="C537" s="24">
        <v>404000</v>
      </c>
      <c r="D537" s="289"/>
      <c r="E537" s="274"/>
      <c r="F537" s="4"/>
      <c r="G537" s="4"/>
      <c r="H537" s="4"/>
      <c r="I537" s="4"/>
      <c r="J537" s="4"/>
      <c r="K537" s="4"/>
      <c r="L537" s="4"/>
      <c r="M537" s="4"/>
      <c r="N537" s="4"/>
      <c r="O537" s="4"/>
      <c r="P537" s="4"/>
      <c r="Q537" s="4"/>
      <c r="R537" s="4"/>
      <c r="S537" s="4"/>
      <c r="T537" s="4"/>
      <c r="U537" s="4"/>
      <c r="V537" s="4"/>
      <c r="W537" s="4"/>
      <c r="X537" s="4"/>
    </row>
    <row r="538" spans="1:24" ht="12.75" customHeight="1">
      <c r="A538" s="33">
        <v>22110404</v>
      </c>
      <c r="B538" s="23" t="s">
        <v>512</v>
      </c>
      <c r="C538" s="24">
        <v>100000</v>
      </c>
      <c r="D538" s="288"/>
      <c r="E538" s="4"/>
      <c r="F538" s="4"/>
      <c r="G538" s="4"/>
      <c r="H538" s="4"/>
      <c r="I538" s="4"/>
      <c r="J538" s="4"/>
      <c r="K538" s="4"/>
      <c r="L538" s="4"/>
      <c r="M538" s="4"/>
      <c r="N538" s="4"/>
      <c r="O538" s="4"/>
      <c r="P538" s="4"/>
      <c r="Q538" s="4"/>
      <c r="R538" s="4"/>
      <c r="S538" s="4"/>
      <c r="T538" s="4"/>
      <c r="U538" s="4"/>
      <c r="V538" s="4"/>
      <c r="W538" s="4"/>
      <c r="X538" s="4"/>
    </row>
    <row r="539" spans="1:24" ht="13.5" customHeight="1">
      <c r="A539" s="33">
        <v>22110409</v>
      </c>
      <c r="B539" s="24" t="s">
        <v>513</v>
      </c>
      <c r="C539" s="24">
        <v>444500</v>
      </c>
      <c r="D539" s="40"/>
      <c r="E539" s="14"/>
      <c r="F539" s="13"/>
      <c r="G539" s="13"/>
      <c r="H539" s="13"/>
      <c r="I539" s="13"/>
      <c r="J539" s="13"/>
      <c r="K539" s="13"/>
      <c r="L539" s="13"/>
      <c r="M539" s="13"/>
      <c r="N539" s="13"/>
      <c r="O539" s="13"/>
      <c r="P539" s="13"/>
      <c r="Q539" s="13"/>
      <c r="R539" s="13"/>
      <c r="S539" s="13"/>
      <c r="T539" s="13"/>
      <c r="U539" s="13"/>
      <c r="V539" s="13"/>
      <c r="W539" s="13"/>
      <c r="X539" s="13"/>
    </row>
    <row r="540" spans="1:24" ht="12.75" customHeight="1">
      <c r="A540" s="48">
        <v>221106</v>
      </c>
      <c r="B540" s="21" t="s">
        <v>662</v>
      </c>
      <c r="C540" s="26">
        <f>C541</f>
        <v>250000</v>
      </c>
      <c r="D540" s="289"/>
      <c r="E540" s="4"/>
      <c r="F540" s="4"/>
      <c r="G540" s="4"/>
      <c r="H540" s="4"/>
      <c r="I540" s="4"/>
      <c r="J540" s="4"/>
      <c r="K540" s="4"/>
      <c r="L540" s="4"/>
      <c r="M540" s="4"/>
      <c r="N540" s="4"/>
      <c r="O540" s="4"/>
      <c r="P540" s="4"/>
      <c r="Q540" s="4"/>
      <c r="R540" s="4"/>
      <c r="S540" s="4"/>
      <c r="T540" s="4"/>
      <c r="U540" s="4"/>
      <c r="V540" s="4"/>
      <c r="W540" s="4"/>
      <c r="X540" s="4"/>
    </row>
    <row r="541" spans="1:24" ht="12.75" customHeight="1">
      <c r="A541" s="33">
        <v>22110601</v>
      </c>
      <c r="B541" s="23" t="s">
        <v>663</v>
      </c>
      <c r="C541" s="24">
        <v>250000</v>
      </c>
      <c r="D541" s="290"/>
      <c r="E541" s="4"/>
      <c r="F541" s="4"/>
      <c r="G541" s="4"/>
      <c r="H541" s="4"/>
      <c r="I541" s="4"/>
      <c r="J541" s="4"/>
      <c r="K541" s="4"/>
      <c r="L541" s="4"/>
      <c r="M541" s="4"/>
      <c r="N541" s="4"/>
      <c r="O541" s="4"/>
      <c r="P541" s="4"/>
      <c r="Q541" s="4"/>
      <c r="R541" s="4"/>
      <c r="S541" s="4"/>
      <c r="T541" s="4"/>
      <c r="U541" s="4"/>
      <c r="V541" s="4"/>
      <c r="W541" s="4"/>
      <c r="X541" s="4"/>
    </row>
    <row r="542" spans="1:24" ht="12.75" customHeight="1">
      <c r="A542" s="48">
        <v>221107</v>
      </c>
      <c r="B542" s="26" t="s">
        <v>514</v>
      </c>
      <c r="C542" s="26">
        <f>C543</f>
        <v>60000</v>
      </c>
      <c r="D542" s="270"/>
      <c r="E542" s="4"/>
      <c r="F542" s="4"/>
      <c r="G542" s="4"/>
      <c r="H542" s="4"/>
      <c r="I542" s="4"/>
      <c r="J542" s="4"/>
      <c r="K542" s="4"/>
      <c r="L542" s="4"/>
      <c r="M542" s="4"/>
      <c r="N542" s="4"/>
      <c r="O542" s="4"/>
      <c r="P542" s="4"/>
      <c r="Q542" s="4"/>
      <c r="R542" s="4"/>
      <c r="S542" s="4"/>
      <c r="T542" s="4"/>
      <c r="U542" s="4"/>
      <c r="V542" s="4"/>
      <c r="W542" s="4"/>
      <c r="X542" s="4"/>
    </row>
    <row r="543" spans="1:24" ht="12.75" customHeight="1">
      <c r="A543" s="33">
        <v>22110702</v>
      </c>
      <c r="B543" s="24" t="s">
        <v>515</v>
      </c>
      <c r="C543" s="24">
        <v>60000</v>
      </c>
      <c r="D543" s="270"/>
      <c r="E543" s="274"/>
      <c r="F543" s="4"/>
      <c r="G543" s="4"/>
      <c r="H543" s="4"/>
      <c r="I543" s="4"/>
      <c r="J543" s="4"/>
      <c r="K543" s="4"/>
      <c r="L543" s="4"/>
      <c r="M543" s="4"/>
      <c r="N543" s="4"/>
      <c r="O543" s="4"/>
      <c r="P543" s="4"/>
      <c r="Q543" s="4"/>
      <c r="R543" s="4"/>
      <c r="S543" s="4"/>
      <c r="T543" s="4"/>
      <c r="U543" s="4"/>
      <c r="V543" s="4"/>
      <c r="W543" s="4"/>
      <c r="X543" s="4"/>
    </row>
    <row r="544" spans="1:24" ht="12.75" customHeight="1">
      <c r="A544" s="23"/>
      <c r="B544" s="24"/>
      <c r="C544" s="24"/>
      <c r="D544" s="270"/>
      <c r="E544" s="274"/>
      <c r="F544" s="4"/>
      <c r="G544" s="4"/>
      <c r="H544" s="4"/>
      <c r="I544" s="4"/>
      <c r="J544" s="4"/>
      <c r="K544" s="4"/>
      <c r="L544" s="4"/>
      <c r="M544" s="4"/>
      <c r="N544" s="4"/>
      <c r="O544" s="4"/>
      <c r="P544" s="4"/>
      <c r="Q544" s="4"/>
      <c r="R544" s="4"/>
      <c r="S544" s="4"/>
      <c r="T544" s="4"/>
      <c r="U544" s="4"/>
      <c r="V544" s="4"/>
      <c r="W544" s="4"/>
      <c r="X544" s="4"/>
    </row>
    <row r="545" spans="1:24" ht="12.75" customHeight="1" thickBot="1">
      <c r="A545" s="23"/>
      <c r="B545" s="24"/>
      <c r="C545" s="24"/>
      <c r="D545" s="270"/>
      <c r="E545" s="281"/>
      <c r="F545" s="4"/>
      <c r="G545" s="4"/>
      <c r="H545" s="4"/>
      <c r="I545" s="4"/>
      <c r="J545" s="4"/>
      <c r="K545" s="4"/>
      <c r="L545" s="4"/>
      <c r="M545" s="4"/>
      <c r="N545" s="4"/>
      <c r="O545" s="4"/>
      <c r="P545" s="4"/>
      <c r="Q545" s="4"/>
      <c r="R545" s="4"/>
      <c r="S545" s="4"/>
      <c r="T545" s="4"/>
      <c r="U545" s="4"/>
      <c r="V545" s="4"/>
      <c r="W545" s="4"/>
      <c r="X545" s="4"/>
    </row>
    <row r="546" spans="1:24" ht="12.75" customHeight="1">
      <c r="A546" s="1334" t="s">
        <v>458</v>
      </c>
      <c r="B546" s="1336"/>
      <c r="C546" s="1161" t="s">
        <v>770</v>
      </c>
      <c r="D546" s="289"/>
      <c r="E546" s="4"/>
      <c r="F546" s="4"/>
      <c r="G546" s="4"/>
      <c r="H546" s="4"/>
      <c r="I546" s="4"/>
      <c r="J546" s="4"/>
      <c r="K546" s="4"/>
      <c r="L546" s="4"/>
      <c r="M546" s="4"/>
      <c r="N546" s="4"/>
      <c r="O546" s="4"/>
      <c r="P546" s="4"/>
      <c r="Q546" s="4"/>
      <c r="R546" s="4"/>
      <c r="S546" s="4"/>
      <c r="T546" s="4"/>
      <c r="U546" s="4"/>
      <c r="V546" s="4"/>
      <c r="W546" s="4"/>
      <c r="X546" s="4"/>
    </row>
    <row r="547" spans="1:24" ht="12.75" customHeight="1" thickBot="1">
      <c r="A547" s="1337"/>
      <c r="B547" s="1338"/>
      <c r="C547" s="1491"/>
      <c r="E547" s="4"/>
      <c r="F547" s="4"/>
      <c r="G547" s="4"/>
      <c r="H547" s="4"/>
      <c r="I547" s="4"/>
      <c r="J547" s="4"/>
      <c r="K547" s="4"/>
      <c r="L547" s="4"/>
      <c r="M547" s="4"/>
      <c r="N547" s="4"/>
      <c r="O547" s="4"/>
      <c r="P547" s="4"/>
      <c r="Q547" s="4"/>
      <c r="R547" s="4"/>
      <c r="S547" s="4"/>
      <c r="T547" s="4"/>
      <c r="U547" s="4"/>
      <c r="V547" s="4"/>
      <c r="W547" s="4"/>
      <c r="X547" s="4"/>
    </row>
    <row r="548" spans="1:24" ht="12.75" customHeight="1">
      <c r="A548" s="1028" t="s">
        <v>675</v>
      </c>
      <c r="B548" s="808"/>
      <c r="C548" s="1029"/>
      <c r="D548" s="270"/>
      <c r="E548" s="274"/>
      <c r="F548" s="4"/>
      <c r="G548" s="4"/>
      <c r="H548" s="4"/>
      <c r="I548" s="4"/>
      <c r="J548" s="4"/>
      <c r="K548" s="4"/>
      <c r="L548" s="4"/>
      <c r="M548" s="4"/>
      <c r="N548" s="4"/>
      <c r="O548" s="4"/>
      <c r="P548" s="4"/>
      <c r="Q548" s="4"/>
      <c r="R548" s="4"/>
      <c r="S548" s="4"/>
      <c r="T548" s="4"/>
      <c r="U548" s="4"/>
      <c r="V548" s="4"/>
      <c r="W548" s="4"/>
      <c r="X548" s="4"/>
    </row>
    <row r="549" spans="1:24" ht="12.75" customHeight="1">
      <c r="A549" s="1028" t="s">
        <v>728</v>
      </c>
      <c r="B549" s="808"/>
      <c r="C549" s="1029"/>
      <c r="D549" s="270"/>
      <c r="E549" s="274"/>
      <c r="F549" s="4"/>
      <c r="G549" s="4"/>
      <c r="H549" s="4"/>
      <c r="I549" s="4"/>
      <c r="J549" s="4"/>
      <c r="K549" s="4"/>
      <c r="L549" s="4"/>
      <c r="M549" s="4"/>
      <c r="N549" s="4"/>
      <c r="O549" s="4"/>
      <c r="P549" s="4"/>
      <c r="Q549" s="4"/>
      <c r="R549" s="4"/>
      <c r="S549" s="4"/>
      <c r="T549" s="4"/>
      <c r="U549" s="4"/>
      <c r="V549" s="4"/>
      <c r="W549" s="4"/>
      <c r="X549" s="4"/>
    </row>
    <row r="550" spans="1:24" ht="12.75" customHeight="1">
      <c r="A550" s="1028" t="s">
        <v>729</v>
      </c>
      <c r="B550" s="808"/>
      <c r="C550" s="1029"/>
      <c r="D550" s="270"/>
      <c r="E550" s="274"/>
      <c r="F550" s="4"/>
      <c r="G550" s="4"/>
      <c r="H550" s="4"/>
      <c r="I550" s="4"/>
      <c r="J550" s="4"/>
      <c r="K550" s="4"/>
      <c r="L550" s="4"/>
      <c r="M550" s="4"/>
      <c r="N550" s="4"/>
      <c r="O550" s="4"/>
      <c r="P550" s="4"/>
      <c r="Q550" s="4"/>
      <c r="R550" s="4"/>
      <c r="S550" s="4"/>
      <c r="T550" s="4"/>
      <c r="U550" s="4"/>
      <c r="V550" s="4"/>
      <c r="W550" s="4"/>
      <c r="X550" s="4"/>
    </row>
    <row r="551" spans="1:24" ht="12.75" customHeight="1" thickBot="1">
      <c r="A551" s="1125" t="s">
        <v>0</v>
      </c>
      <c r="B551" s="982"/>
      <c r="C551" s="1101"/>
      <c r="D551" s="270"/>
      <c r="E551" s="274"/>
      <c r="F551" s="4"/>
      <c r="G551" s="4"/>
      <c r="H551" s="4"/>
      <c r="I551" s="4"/>
      <c r="J551" s="4"/>
      <c r="K551" s="4"/>
      <c r="L551" s="4"/>
      <c r="M551" s="4"/>
      <c r="N551" s="4"/>
      <c r="O551" s="4"/>
      <c r="P551" s="4"/>
      <c r="Q551" s="4"/>
      <c r="R551" s="4"/>
      <c r="S551" s="4"/>
      <c r="T551" s="4"/>
      <c r="U551" s="4"/>
      <c r="V551" s="4"/>
      <c r="W551" s="4"/>
      <c r="X551" s="4"/>
    </row>
    <row r="552" spans="1:24" ht="12.75" customHeight="1" thickBot="1">
      <c r="A552" s="1171" t="s">
        <v>66</v>
      </c>
      <c r="B552" s="1186"/>
      <c r="C552" s="1173">
        <f>C554+C570+C583</f>
        <v>15628500</v>
      </c>
      <c r="D552" s="270"/>
      <c r="E552" s="3"/>
      <c r="F552" s="4"/>
      <c r="G552" s="4"/>
      <c r="H552" s="4"/>
      <c r="I552" s="4"/>
      <c r="J552" s="4"/>
      <c r="K552" s="4"/>
      <c r="L552" s="4"/>
      <c r="M552" s="4"/>
      <c r="N552" s="4"/>
      <c r="O552" s="4"/>
      <c r="P552" s="4"/>
      <c r="Q552" s="4"/>
      <c r="R552" s="4"/>
      <c r="S552" s="4"/>
      <c r="T552" s="4"/>
      <c r="U552" s="4"/>
      <c r="V552" s="4"/>
      <c r="W552" s="4"/>
      <c r="X552" s="4"/>
    </row>
    <row r="553" spans="1:24" ht="12.75" customHeight="1" thickBot="1">
      <c r="A553" s="23"/>
      <c r="B553" s="24"/>
      <c r="C553" s="24"/>
      <c r="D553" s="270"/>
      <c r="E553" s="274"/>
      <c r="F553" s="4"/>
      <c r="G553" s="4"/>
      <c r="H553" s="4"/>
      <c r="I553" s="4"/>
      <c r="J553" s="4"/>
      <c r="K553" s="4"/>
      <c r="L553" s="4"/>
      <c r="M553" s="4"/>
      <c r="N553" s="4"/>
      <c r="O553" s="4"/>
      <c r="P553" s="4"/>
      <c r="Q553" s="4"/>
      <c r="R553" s="4"/>
      <c r="S553" s="4"/>
      <c r="T553" s="4"/>
      <c r="U553" s="4"/>
      <c r="V553" s="4"/>
      <c r="W553" s="4"/>
      <c r="X553" s="4"/>
    </row>
    <row r="554" spans="1:24" ht="12.75" customHeight="1" thickBot="1">
      <c r="A554" s="1297" t="s">
        <v>9</v>
      </c>
      <c r="B554" s="1281"/>
      <c r="C554" s="62">
        <f>C555+C557+C559+C561+C563+C565</f>
        <v>615000</v>
      </c>
      <c r="D554" s="89"/>
      <c r="E554" s="34"/>
      <c r="F554" s="4"/>
      <c r="G554" s="4"/>
      <c r="H554" s="4"/>
      <c r="I554" s="4"/>
      <c r="J554" s="4"/>
      <c r="K554" s="4"/>
      <c r="L554" s="4"/>
      <c r="M554" s="4"/>
      <c r="N554" s="4"/>
      <c r="O554" s="4"/>
      <c r="P554" s="4"/>
      <c r="Q554" s="4"/>
      <c r="R554" s="4"/>
      <c r="S554" s="4"/>
      <c r="T554" s="4"/>
      <c r="U554" s="4"/>
      <c r="V554" s="4"/>
      <c r="W554" s="4"/>
      <c r="X554" s="4"/>
    </row>
    <row r="555" spans="1:24" ht="12.75" customHeight="1">
      <c r="A555" s="48">
        <v>211201</v>
      </c>
      <c r="B555" s="48" t="s">
        <v>459</v>
      </c>
      <c r="C555" s="49">
        <f>C556</f>
        <v>30000</v>
      </c>
      <c r="D555" s="272"/>
      <c r="E555" s="274"/>
      <c r="F555" s="34"/>
      <c r="G555" s="34"/>
      <c r="H555" s="34"/>
      <c r="I555" s="34"/>
      <c r="J555" s="34"/>
      <c r="K555" s="34"/>
      <c r="L555" s="34"/>
      <c r="M555" s="34"/>
      <c r="N555" s="34"/>
      <c r="O555" s="34"/>
      <c r="P555" s="34"/>
      <c r="Q555" s="34"/>
      <c r="R555" s="34"/>
      <c r="S555" s="34"/>
      <c r="T555" s="34"/>
      <c r="U555" s="34"/>
      <c r="V555" s="34"/>
      <c r="W555" s="34"/>
      <c r="X555" s="34"/>
    </row>
    <row r="556" spans="1:24" ht="13.5" customHeight="1">
      <c r="A556" s="33">
        <v>21120101</v>
      </c>
      <c r="B556" s="23" t="s">
        <v>460</v>
      </c>
      <c r="C556" s="24">
        <v>30000</v>
      </c>
      <c r="D556" s="270"/>
      <c r="E556" s="4"/>
      <c r="F556" s="23"/>
      <c r="G556" s="23"/>
      <c r="H556" s="23"/>
      <c r="I556" s="23"/>
      <c r="J556" s="23"/>
      <c r="K556" s="23"/>
      <c r="L556" s="23"/>
      <c r="M556" s="23"/>
      <c r="N556" s="23"/>
      <c r="O556" s="23"/>
      <c r="P556" s="23"/>
      <c r="Q556" s="23"/>
      <c r="R556" s="23"/>
      <c r="S556" s="23"/>
      <c r="T556" s="23"/>
      <c r="U556" s="23"/>
      <c r="V556" s="23"/>
      <c r="W556" s="23"/>
      <c r="X556" s="23"/>
    </row>
    <row r="557" spans="1:24" ht="12.75" customHeight="1">
      <c r="A557" s="48">
        <v>211202</v>
      </c>
      <c r="B557" s="15" t="s">
        <v>529</v>
      </c>
      <c r="C557" s="26">
        <f>C558</f>
        <v>25000</v>
      </c>
      <c r="D557" s="89"/>
      <c r="E557" s="4"/>
      <c r="F557" s="4"/>
      <c r="G557" s="4"/>
      <c r="H557" s="4"/>
      <c r="I557" s="4"/>
      <c r="J557" s="4"/>
      <c r="K557" s="4"/>
      <c r="L557" s="4"/>
      <c r="M557" s="4"/>
      <c r="N557" s="4"/>
      <c r="O557" s="4"/>
      <c r="P557" s="4"/>
      <c r="Q557" s="4"/>
      <c r="R557" s="4"/>
      <c r="S557" s="4"/>
      <c r="T557" s="4"/>
      <c r="U557" s="4"/>
      <c r="V557" s="4"/>
      <c r="W557" s="4"/>
      <c r="X557" s="4"/>
    </row>
    <row r="558" spans="1:24" ht="12.75" customHeight="1">
      <c r="A558" s="33">
        <v>21120202</v>
      </c>
      <c r="B558" s="33" t="s">
        <v>530</v>
      </c>
      <c r="C558" s="24">
        <v>25000</v>
      </c>
      <c r="D558" s="89"/>
      <c r="E558" s="274"/>
      <c r="F558" s="4"/>
      <c r="G558" s="4"/>
      <c r="H558" s="4"/>
      <c r="I558" s="4"/>
      <c r="J558" s="4"/>
      <c r="K558" s="4"/>
      <c r="L558" s="4"/>
      <c r="M558" s="4"/>
      <c r="N558" s="4"/>
      <c r="O558" s="4"/>
      <c r="P558" s="4"/>
      <c r="Q558" s="4"/>
      <c r="R558" s="4"/>
      <c r="S558" s="4"/>
      <c r="T558" s="4"/>
      <c r="U558" s="4"/>
      <c r="V558" s="4"/>
      <c r="W558" s="4"/>
      <c r="X558" s="4"/>
    </row>
    <row r="559" spans="1:24" ht="13.5" customHeight="1">
      <c r="A559" s="48">
        <v>211203</v>
      </c>
      <c r="B559" s="21" t="s">
        <v>461</v>
      </c>
      <c r="C559" s="26">
        <f>C560</f>
        <v>40000</v>
      </c>
      <c r="D559" s="277"/>
      <c r="E559" s="4"/>
      <c r="F559" s="23"/>
      <c r="G559" s="23"/>
      <c r="H559" s="23"/>
      <c r="I559" s="23"/>
      <c r="J559" s="23"/>
      <c r="K559" s="23"/>
      <c r="L559" s="23"/>
      <c r="M559" s="23"/>
      <c r="N559" s="23"/>
      <c r="O559" s="23"/>
      <c r="P559" s="23"/>
      <c r="Q559" s="23"/>
      <c r="R559" s="23"/>
      <c r="S559" s="23"/>
      <c r="T559" s="23"/>
      <c r="U559" s="23"/>
      <c r="V559" s="23"/>
      <c r="W559" s="23"/>
      <c r="X559" s="23"/>
    </row>
    <row r="560" spans="1:24" ht="12.75" customHeight="1">
      <c r="A560" s="33">
        <v>21120302</v>
      </c>
      <c r="B560" s="23" t="s">
        <v>462</v>
      </c>
      <c r="C560" s="24">
        <v>40000</v>
      </c>
      <c r="D560" s="270"/>
      <c r="E560" s="4"/>
      <c r="F560" s="4"/>
      <c r="G560" s="4"/>
      <c r="H560" s="4"/>
      <c r="I560" s="4"/>
      <c r="J560" s="4"/>
      <c r="K560" s="4"/>
      <c r="L560" s="4"/>
      <c r="M560" s="4"/>
      <c r="N560" s="4"/>
      <c r="O560" s="4"/>
      <c r="P560" s="4"/>
      <c r="Q560" s="4"/>
      <c r="R560" s="4"/>
      <c r="S560" s="4"/>
      <c r="T560" s="4"/>
      <c r="U560" s="4"/>
      <c r="V560" s="4"/>
      <c r="W560" s="4"/>
      <c r="X560" s="4"/>
    </row>
    <row r="561" spans="1:24" ht="12.75" customHeight="1">
      <c r="A561" s="48">
        <v>211204</v>
      </c>
      <c r="B561" s="21" t="s">
        <v>463</v>
      </c>
      <c r="C561" s="26">
        <f>C562</f>
        <v>20000</v>
      </c>
      <c r="D561" s="270"/>
      <c r="E561" s="274"/>
      <c r="F561" s="4"/>
      <c r="G561" s="4"/>
      <c r="H561" s="4"/>
      <c r="I561" s="4"/>
      <c r="J561" s="4"/>
      <c r="K561" s="4"/>
      <c r="L561" s="4"/>
      <c r="M561" s="4"/>
      <c r="N561" s="4"/>
      <c r="O561" s="4"/>
      <c r="P561" s="4"/>
      <c r="Q561" s="4"/>
      <c r="R561" s="4"/>
      <c r="S561" s="4"/>
      <c r="T561" s="4"/>
      <c r="U561" s="4"/>
      <c r="V561" s="4"/>
      <c r="W561" s="4"/>
      <c r="X561" s="4"/>
    </row>
    <row r="562" spans="1:24" ht="12.75" customHeight="1">
      <c r="A562" s="33">
        <v>21120401</v>
      </c>
      <c r="B562" s="24" t="s">
        <v>464</v>
      </c>
      <c r="C562" s="24">
        <v>20000</v>
      </c>
      <c r="D562" s="270"/>
      <c r="E562" s="274"/>
      <c r="F562" s="4"/>
      <c r="G562" s="4"/>
      <c r="H562" s="4"/>
      <c r="I562" s="4"/>
      <c r="J562" s="4"/>
      <c r="K562" s="4"/>
      <c r="L562" s="4"/>
      <c r="M562" s="4"/>
      <c r="N562" s="4"/>
      <c r="O562" s="4"/>
      <c r="P562" s="4"/>
      <c r="Q562" s="4"/>
      <c r="R562" s="4"/>
      <c r="S562" s="4"/>
      <c r="T562" s="4"/>
      <c r="U562" s="4"/>
      <c r="V562" s="4"/>
      <c r="W562" s="4"/>
      <c r="X562" s="4"/>
    </row>
    <row r="563" spans="1:24" ht="12.75" customHeight="1">
      <c r="A563" s="48">
        <v>211208</v>
      </c>
      <c r="B563" s="26" t="s">
        <v>474</v>
      </c>
      <c r="C563" s="26">
        <f>C564</f>
        <v>8000</v>
      </c>
      <c r="D563" s="270"/>
      <c r="E563" s="274"/>
      <c r="F563" s="4"/>
      <c r="G563" s="4"/>
      <c r="H563" s="4"/>
      <c r="I563" s="4"/>
      <c r="J563" s="4"/>
      <c r="K563" s="4"/>
      <c r="L563" s="4"/>
      <c r="M563" s="4"/>
      <c r="N563" s="4"/>
      <c r="O563" s="4"/>
      <c r="P563" s="4"/>
      <c r="Q563" s="4"/>
      <c r="R563" s="4"/>
      <c r="S563" s="4"/>
      <c r="T563" s="4"/>
      <c r="U563" s="4"/>
      <c r="V563" s="4"/>
      <c r="W563" s="4"/>
      <c r="X563" s="4"/>
    </row>
    <row r="564" spans="1:24" ht="12.75" customHeight="1">
      <c r="A564" s="33">
        <v>21120805</v>
      </c>
      <c r="B564" s="24" t="s">
        <v>476</v>
      </c>
      <c r="C564" s="24">
        <v>8000</v>
      </c>
      <c r="D564" s="270"/>
      <c r="E564" s="274"/>
      <c r="F564" s="4"/>
      <c r="G564" s="4"/>
      <c r="H564" s="4"/>
      <c r="I564" s="4"/>
      <c r="J564" s="4"/>
      <c r="K564" s="4"/>
      <c r="L564" s="4"/>
      <c r="M564" s="4"/>
      <c r="N564" s="4"/>
      <c r="O564" s="4"/>
      <c r="P564" s="4"/>
      <c r="Q564" s="4"/>
      <c r="R564" s="4"/>
      <c r="S564" s="4"/>
      <c r="T564" s="4"/>
      <c r="U564" s="4"/>
      <c r="V564" s="4"/>
      <c r="W564" s="4"/>
      <c r="X564" s="4"/>
    </row>
    <row r="565" spans="1:24" ht="12.75" customHeight="1">
      <c r="A565" s="48">
        <v>211209</v>
      </c>
      <c r="B565" s="26" t="s">
        <v>477</v>
      </c>
      <c r="C565" s="26">
        <f>+SUM(C566:C568)</f>
        <v>492000</v>
      </c>
      <c r="D565" s="270"/>
      <c r="E565" s="274"/>
      <c r="F565" s="4"/>
      <c r="G565" s="4"/>
      <c r="H565" s="4"/>
      <c r="I565" s="4"/>
      <c r="J565" s="4"/>
      <c r="K565" s="4"/>
      <c r="L565" s="4"/>
      <c r="M565" s="4"/>
      <c r="N565" s="4"/>
      <c r="O565" s="4"/>
      <c r="P565" s="4"/>
      <c r="Q565" s="4"/>
      <c r="R565" s="4"/>
      <c r="S565" s="4"/>
      <c r="T565" s="4"/>
      <c r="U565" s="4"/>
      <c r="V565" s="4"/>
      <c r="W565" s="4"/>
      <c r="X565" s="4"/>
    </row>
    <row r="566" spans="1:24" ht="12.75" customHeight="1">
      <c r="A566" s="33">
        <v>21120905</v>
      </c>
      <c r="B566" s="24" t="s">
        <v>525</v>
      </c>
      <c r="C566" s="24">
        <v>12500</v>
      </c>
      <c r="D566" s="270"/>
      <c r="E566" s="274"/>
      <c r="F566" s="4"/>
      <c r="G566" s="4"/>
      <c r="H566" s="4"/>
      <c r="I566" s="4"/>
      <c r="J566" s="4"/>
      <c r="K566" s="4"/>
      <c r="L566" s="4"/>
      <c r="M566" s="4"/>
      <c r="N566" s="4"/>
      <c r="O566" s="4"/>
      <c r="P566" s="4"/>
      <c r="Q566" s="4"/>
      <c r="R566" s="4"/>
      <c r="S566" s="4"/>
      <c r="T566" s="4"/>
      <c r="U566" s="4"/>
      <c r="V566" s="4"/>
      <c r="W566" s="4"/>
      <c r="X566" s="4"/>
    </row>
    <row r="567" spans="1:24" ht="12.75" customHeight="1">
      <c r="A567" s="33">
        <v>21120906</v>
      </c>
      <c r="B567" s="24" t="s">
        <v>479</v>
      </c>
      <c r="C567" s="24">
        <v>20000</v>
      </c>
      <c r="D567" s="270"/>
      <c r="E567" s="274"/>
      <c r="F567" s="4"/>
      <c r="G567" s="4"/>
      <c r="H567" s="4"/>
      <c r="I567" s="4"/>
      <c r="J567" s="4"/>
      <c r="K567" s="4"/>
      <c r="L567" s="4"/>
      <c r="M567" s="4"/>
      <c r="N567" s="4"/>
      <c r="O567" s="4"/>
      <c r="P567" s="4"/>
      <c r="Q567" s="4"/>
      <c r="R567" s="4"/>
      <c r="S567" s="4"/>
      <c r="T567" s="4"/>
      <c r="U567" s="4"/>
      <c r="V567" s="4"/>
      <c r="W567" s="4"/>
      <c r="X567" s="4"/>
    </row>
    <row r="568" spans="1:24" ht="12.75" customHeight="1">
      <c r="A568" s="33">
        <v>21120907</v>
      </c>
      <c r="B568" s="13" t="s">
        <v>480</v>
      </c>
      <c r="C568" s="24">
        <v>459500</v>
      </c>
      <c r="D568" s="270"/>
      <c r="E568" s="274"/>
      <c r="F568" s="4"/>
      <c r="G568" s="4"/>
      <c r="H568" s="4"/>
      <c r="I568" s="4"/>
      <c r="J568" s="4"/>
      <c r="K568" s="4"/>
      <c r="L568" s="4"/>
      <c r="M568" s="4"/>
      <c r="N568" s="4"/>
      <c r="O568" s="4"/>
      <c r="P568" s="4"/>
      <c r="Q568" s="4"/>
      <c r="R568" s="4"/>
      <c r="S568" s="4"/>
      <c r="T568" s="4"/>
      <c r="U568" s="4"/>
      <c r="V568" s="4"/>
      <c r="W568" s="4"/>
      <c r="X568" s="4"/>
    </row>
    <row r="569" spans="1:24" ht="12.75" customHeight="1" thickBot="1">
      <c r="A569" s="23"/>
      <c r="B569" s="24"/>
      <c r="C569" s="24"/>
      <c r="D569" s="270"/>
      <c r="E569" s="4"/>
      <c r="F569" s="4"/>
      <c r="G569" s="4"/>
      <c r="H569" s="4"/>
      <c r="I569" s="4"/>
      <c r="J569" s="4"/>
      <c r="K569" s="4"/>
      <c r="L569" s="4"/>
      <c r="M569" s="4"/>
      <c r="N569" s="4"/>
      <c r="O569" s="4"/>
      <c r="P569" s="4"/>
      <c r="Q569" s="4"/>
      <c r="R569" s="4"/>
      <c r="S569" s="4"/>
      <c r="T569" s="4"/>
      <c r="U569" s="4"/>
      <c r="V569" s="4"/>
      <c r="W569" s="4"/>
      <c r="X569" s="4"/>
    </row>
    <row r="570" spans="1:24" ht="12.75" customHeight="1" thickBot="1">
      <c r="A570" s="1298" t="s">
        <v>4</v>
      </c>
      <c r="B570" s="1281"/>
      <c r="C570" s="64">
        <f>C571+C573+C575+C577</f>
        <v>14988500</v>
      </c>
      <c r="D570" s="270"/>
      <c r="E570" s="34"/>
      <c r="F570" s="4"/>
      <c r="G570" s="4"/>
      <c r="H570" s="4"/>
      <c r="I570" s="4"/>
      <c r="J570" s="4"/>
      <c r="K570" s="4"/>
      <c r="L570" s="4"/>
      <c r="M570" s="4"/>
      <c r="N570" s="4"/>
      <c r="O570" s="4"/>
      <c r="P570" s="4"/>
      <c r="Q570" s="4"/>
      <c r="R570" s="4"/>
      <c r="S570" s="4"/>
      <c r="T570" s="4"/>
      <c r="U570" s="4"/>
      <c r="V570" s="4"/>
      <c r="W570" s="4"/>
      <c r="X570" s="4"/>
    </row>
    <row r="571" spans="1:24" ht="12.75" customHeight="1">
      <c r="A571" s="48">
        <v>211302</v>
      </c>
      <c r="B571" s="48" t="s">
        <v>481</v>
      </c>
      <c r="C571" s="49">
        <f>SUM(C572)</f>
        <v>648500</v>
      </c>
      <c r="D571" s="272"/>
      <c r="E571" s="89"/>
      <c r="F571" s="34"/>
      <c r="G571" s="34"/>
      <c r="H571" s="34"/>
      <c r="I571" s="34"/>
      <c r="J571" s="34"/>
      <c r="K571" s="34"/>
      <c r="L571" s="34"/>
      <c r="M571" s="34"/>
      <c r="N571" s="34"/>
      <c r="O571" s="34"/>
      <c r="P571" s="34"/>
      <c r="Q571" s="34"/>
      <c r="R571" s="34"/>
      <c r="S571" s="34"/>
      <c r="T571" s="34"/>
      <c r="U571" s="34"/>
      <c r="V571" s="34"/>
      <c r="W571" s="34"/>
      <c r="X571" s="34"/>
    </row>
    <row r="572" spans="1:24" ht="13.5" customHeight="1">
      <c r="A572" s="33">
        <v>21130204</v>
      </c>
      <c r="B572" s="24" t="s">
        <v>483</v>
      </c>
      <c r="C572" s="24">
        <v>648500</v>
      </c>
      <c r="D572" s="270"/>
      <c r="E572" s="89"/>
      <c r="F572" s="24"/>
      <c r="G572" s="23"/>
      <c r="H572" s="23"/>
      <c r="I572" s="23"/>
      <c r="J572" s="23"/>
      <c r="K572" s="23"/>
      <c r="L572" s="23"/>
      <c r="M572" s="23"/>
      <c r="N572" s="23"/>
      <c r="O572" s="23"/>
      <c r="P572" s="23"/>
      <c r="Q572" s="23"/>
      <c r="R572" s="23"/>
      <c r="S572" s="23"/>
      <c r="T572" s="23"/>
      <c r="U572" s="23"/>
      <c r="V572" s="23"/>
      <c r="W572" s="23"/>
      <c r="X572" s="23"/>
    </row>
    <row r="573" spans="1:24" ht="13.5" customHeight="1">
      <c r="A573" s="48">
        <v>211303</v>
      </c>
      <c r="B573" s="26" t="s">
        <v>484</v>
      </c>
      <c r="C573" s="26">
        <f>C574</f>
        <v>20000</v>
      </c>
      <c r="D573" s="270"/>
      <c r="E573" s="89"/>
      <c r="F573" s="24"/>
      <c r="G573" s="23"/>
      <c r="H573" s="23"/>
      <c r="I573" s="23"/>
      <c r="J573" s="23"/>
      <c r="K573" s="23"/>
      <c r="L573" s="23"/>
      <c r="M573" s="23"/>
      <c r="N573" s="23"/>
      <c r="O573" s="23"/>
      <c r="P573" s="23"/>
      <c r="Q573" s="23"/>
      <c r="R573" s="23"/>
      <c r="S573" s="23"/>
      <c r="T573" s="23"/>
      <c r="U573" s="23"/>
      <c r="V573" s="23"/>
      <c r="W573" s="23"/>
      <c r="X573" s="23"/>
    </row>
    <row r="574" spans="1:24" ht="13.5" customHeight="1">
      <c r="A574" s="33">
        <v>21130307</v>
      </c>
      <c r="B574" s="23" t="s">
        <v>488</v>
      </c>
      <c r="C574" s="24">
        <v>20000</v>
      </c>
      <c r="D574" s="270"/>
      <c r="E574" s="89"/>
      <c r="F574" s="24"/>
      <c r="G574" s="23"/>
      <c r="H574" s="23"/>
      <c r="I574" s="23"/>
      <c r="J574" s="23"/>
      <c r="K574" s="23"/>
      <c r="L574" s="23"/>
      <c r="M574" s="23"/>
      <c r="N574" s="23"/>
      <c r="O574" s="23"/>
      <c r="P574" s="23"/>
      <c r="Q574" s="23"/>
      <c r="R574" s="23"/>
      <c r="S574" s="23"/>
      <c r="T574" s="23"/>
      <c r="U574" s="23"/>
      <c r="V574" s="23"/>
      <c r="W574" s="23"/>
      <c r="X574" s="23"/>
    </row>
    <row r="575" spans="1:24" ht="13.5" customHeight="1">
      <c r="A575" s="48">
        <v>211305</v>
      </c>
      <c r="B575" s="26" t="s">
        <v>489</v>
      </c>
      <c r="C575" s="26">
        <f>C576</f>
        <v>200000</v>
      </c>
      <c r="D575" s="270"/>
      <c r="E575" s="89"/>
      <c r="F575" s="24"/>
      <c r="G575" s="23"/>
      <c r="H575" s="23"/>
      <c r="I575" s="23"/>
      <c r="J575" s="23"/>
      <c r="K575" s="23"/>
      <c r="L575" s="23"/>
      <c r="M575" s="23"/>
      <c r="N575" s="23"/>
      <c r="O575" s="23"/>
      <c r="P575" s="23"/>
      <c r="Q575" s="23"/>
      <c r="R575" s="23"/>
      <c r="S575" s="23"/>
      <c r="T575" s="23"/>
      <c r="U575" s="23"/>
      <c r="V575" s="23"/>
      <c r="W575" s="23"/>
      <c r="X575" s="23"/>
    </row>
    <row r="576" spans="1:24" ht="13.5" customHeight="1">
      <c r="A576" s="33">
        <v>21130502</v>
      </c>
      <c r="B576" s="23" t="s">
        <v>491</v>
      </c>
      <c r="C576" s="24">
        <f>120000+80000</f>
        <v>200000</v>
      </c>
      <c r="D576" s="276"/>
      <c r="E576" s="270"/>
      <c r="F576" s="89"/>
      <c r="G576" s="23"/>
      <c r="H576" s="23"/>
      <c r="I576" s="23"/>
      <c r="J576" s="23"/>
      <c r="K576" s="23"/>
      <c r="L576" s="23"/>
      <c r="M576" s="23"/>
      <c r="N576" s="23"/>
      <c r="O576" s="23"/>
      <c r="P576" s="23"/>
      <c r="Q576" s="23"/>
      <c r="R576" s="23"/>
      <c r="S576" s="23"/>
      <c r="T576" s="23"/>
      <c r="U576" s="23"/>
      <c r="V576" s="23"/>
      <c r="W576" s="23"/>
      <c r="X576" s="23"/>
    </row>
    <row r="577" spans="1:24" ht="13.5" customHeight="1">
      <c r="A577" s="48">
        <v>211309</v>
      </c>
      <c r="B577" s="26" t="s">
        <v>496</v>
      </c>
      <c r="C577" s="26">
        <f>+SUM(C578:C581)</f>
        <v>14120000</v>
      </c>
      <c r="D577" s="276"/>
      <c r="E577" s="270"/>
      <c r="F577" s="89"/>
      <c r="G577" s="23"/>
      <c r="H577" s="23"/>
      <c r="I577" s="23"/>
      <c r="J577" s="23"/>
      <c r="K577" s="23"/>
      <c r="L577" s="23"/>
      <c r="M577" s="23"/>
      <c r="N577" s="23"/>
      <c r="O577" s="23"/>
      <c r="P577" s="23"/>
      <c r="Q577" s="23"/>
      <c r="R577" s="23"/>
      <c r="S577" s="23"/>
      <c r="T577" s="23"/>
      <c r="U577" s="23"/>
      <c r="V577" s="23"/>
      <c r="W577" s="23"/>
      <c r="X577" s="23"/>
    </row>
    <row r="578" spans="1:24" ht="13.5" customHeight="1">
      <c r="A578" s="33">
        <v>21130901</v>
      </c>
      <c r="B578" s="24" t="s">
        <v>497</v>
      </c>
      <c r="C578" s="24">
        <f>3971000-70000</f>
        <v>3901000</v>
      </c>
      <c r="D578" s="272"/>
      <c r="E578" s="89"/>
      <c r="F578" s="89"/>
      <c r="G578" s="23"/>
      <c r="H578" s="23"/>
      <c r="I578" s="23"/>
      <c r="J578" s="23"/>
      <c r="K578" s="23"/>
      <c r="L578" s="23"/>
      <c r="M578" s="23"/>
      <c r="N578" s="23"/>
      <c r="O578" s="23"/>
      <c r="P578" s="23"/>
      <c r="Q578" s="23"/>
      <c r="R578" s="23"/>
      <c r="S578" s="23"/>
      <c r="T578" s="23"/>
      <c r="U578" s="23"/>
      <c r="V578" s="23"/>
      <c r="W578" s="23"/>
      <c r="X578" s="23"/>
    </row>
    <row r="579" spans="1:24" ht="13.5" customHeight="1">
      <c r="A579" s="33">
        <v>21130905</v>
      </c>
      <c r="B579" s="13" t="s">
        <v>532</v>
      </c>
      <c r="C579" s="24">
        <v>35000</v>
      </c>
      <c r="D579" s="270"/>
      <c r="E579" s="123"/>
      <c r="F579" s="23"/>
      <c r="G579" s="23"/>
      <c r="H579" s="23"/>
      <c r="I579" s="21"/>
      <c r="J579" s="21"/>
      <c r="K579" s="21"/>
      <c r="L579" s="21"/>
      <c r="M579" s="21"/>
      <c r="N579" s="21"/>
      <c r="O579" s="21"/>
      <c r="P579" s="21"/>
      <c r="Q579" s="21"/>
      <c r="R579" s="21"/>
      <c r="S579" s="21"/>
      <c r="T579" s="21"/>
      <c r="U579" s="21"/>
      <c r="V579" s="21"/>
      <c r="W579" s="21"/>
      <c r="X579" s="21"/>
    </row>
    <row r="580" spans="1:24" ht="13.5" customHeight="1">
      <c r="A580" s="33">
        <v>21130906</v>
      </c>
      <c r="B580" s="23" t="s">
        <v>499</v>
      </c>
      <c r="C580" s="24">
        <v>10128500</v>
      </c>
      <c r="D580" s="23"/>
      <c r="E580" s="89"/>
      <c r="F580" s="23"/>
      <c r="G580" s="23"/>
      <c r="H580" s="23"/>
      <c r="I580" s="23"/>
      <c r="J580" s="23"/>
      <c r="K580" s="23"/>
      <c r="L580" s="23"/>
      <c r="M580" s="23"/>
      <c r="N580" s="23"/>
      <c r="O580" s="23"/>
      <c r="P580" s="23"/>
      <c r="Q580" s="23"/>
      <c r="R580" s="23"/>
      <c r="S580" s="23"/>
      <c r="T580" s="23"/>
      <c r="U580" s="23"/>
      <c r="V580" s="23"/>
      <c r="W580" s="23"/>
      <c r="X580" s="23"/>
    </row>
    <row r="581" spans="1:24" ht="13.5" customHeight="1">
      <c r="A581" s="33">
        <v>21130908</v>
      </c>
      <c r="B581" s="24" t="s">
        <v>500</v>
      </c>
      <c r="C581" s="24">
        <v>55500</v>
      </c>
      <c r="D581" s="270"/>
      <c r="E581" s="89"/>
      <c r="F581" s="23"/>
      <c r="G581" s="23"/>
      <c r="H581" s="24"/>
      <c r="I581" s="23"/>
      <c r="J581" s="23"/>
      <c r="K581" s="23"/>
      <c r="L581" s="23"/>
      <c r="M581" s="23"/>
      <c r="N581" s="23"/>
      <c r="O581" s="23"/>
      <c r="P581" s="23"/>
      <c r="Q581" s="23"/>
      <c r="R581" s="23"/>
      <c r="S581" s="23"/>
      <c r="T581" s="23"/>
      <c r="U581" s="23"/>
      <c r="V581" s="23"/>
      <c r="W581" s="23"/>
      <c r="X581" s="23"/>
    </row>
    <row r="582" spans="1:24" ht="13.5" customHeight="1" thickBot="1">
      <c r="A582" s="23"/>
      <c r="B582" s="24"/>
      <c r="C582" s="24"/>
      <c r="D582" s="270"/>
      <c r="E582" s="4"/>
      <c r="F582" s="23"/>
      <c r="G582" s="23"/>
      <c r="H582" s="23"/>
      <c r="I582" s="23"/>
      <c r="J582" s="23"/>
      <c r="K582" s="23"/>
      <c r="L582" s="23"/>
      <c r="M582" s="23"/>
      <c r="N582" s="23"/>
      <c r="O582" s="23"/>
      <c r="P582" s="23"/>
      <c r="Q582" s="23"/>
      <c r="R582" s="23"/>
      <c r="S582" s="23"/>
      <c r="T582" s="23"/>
      <c r="U582" s="23"/>
      <c r="V582" s="23"/>
      <c r="W582" s="23"/>
      <c r="X582" s="23"/>
    </row>
    <row r="583" spans="1:24" ht="12.75" customHeight="1" thickBot="1">
      <c r="A583" s="1299" t="s">
        <v>48</v>
      </c>
      <c r="B583" s="1281"/>
      <c r="C583" s="125">
        <f>C584</f>
        <v>25000</v>
      </c>
      <c r="D583" s="270"/>
      <c r="E583" s="34"/>
      <c r="F583" s="4"/>
      <c r="G583" s="4"/>
      <c r="H583" s="4"/>
      <c r="I583" s="4"/>
      <c r="J583" s="4"/>
      <c r="K583" s="4"/>
      <c r="L583" s="4"/>
      <c r="M583" s="4"/>
      <c r="N583" s="4"/>
      <c r="O583" s="4"/>
      <c r="P583" s="4"/>
      <c r="Q583" s="4"/>
      <c r="R583" s="4"/>
      <c r="S583" s="4"/>
      <c r="T583" s="4"/>
      <c r="U583" s="4"/>
      <c r="V583" s="4"/>
      <c r="W583" s="4"/>
      <c r="X583" s="4"/>
    </row>
    <row r="584" spans="1:24" ht="12.75" customHeight="1">
      <c r="A584" s="48">
        <v>221107</v>
      </c>
      <c r="B584" s="26" t="s">
        <v>514</v>
      </c>
      <c r="C584" s="49">
        <f>SUM(C585)</f>
        <v>25000</v>
      </c>
      <c r="D584" s="272"/>
      <c r="E584" s="274"/>
      <c r="F584" s="34"/>
      <c r="G584" s="34"/>
      <c r="H584" s="34"/>
      <c r="I584" s="34"/>
      <c r="J584" s="34"/>
      <c r="K584" s="34"/>
      <c r="L584" s="34"/>
      <c r="M584" s="34"/>
      <c r="N584" s="34"/>
      <c r="O584" s="34"/>
      <c r="P584" s="34"/>
      <c r="Q584" s="34"/>
      <c r="R584" s="34"/>
      <c r="S584" s="34"/>
      <c r="T584" s="34"/>
      <c r="U584" s="34"/>
      <c r="V584" s="34"/>
      <c r="W584" s="34"/>
      <c r="X584" s="34"/>
    </row>
    <row r="585" spans="1:24" ht="12.75" customHeight="1">
      <c r="A585" s="33">
        <v>22110702</v>
      </c>
      <c r="B585" s="24" t="s">
        <v>515</v>
      </c>
      <c r="C585" s="24">
        <v>25000</v>
      </c>
      <c r="D585" s="270"/>
      <c r="E585" s="4"/>
      <c r="F585" s="4"/>
      <c r="G585" s="4"/>
      <c r="H585" s="4"/>
      <c r="I585" s="4"/>
      <c r="J585" s="4"/>
      <c r="K585" s="4"/>
      <c r="L585" s="4"/>
      <c r="M585" s="4"/>
      <c r="N585" s="4"/>
      <c r="O585" s="4"/>
      <c r="P585" s="4"/>
      <c r="Q585" s="4"/>
      <c r="R585" s="4"/>
      <c r="S585" s="4"/>
      <c r="T585" s="4"/>
      <c r="U585" s="4"/>
      <c r="V585" s="4"/>
      <c r="W585" s="4"/>
      <c r="X585" s="4"/>
    </row>
    <row r="587" spans="1:24" ht="13.5" customHeight="1" thickBot="1">
      <c r="A587" s="100"/>
      <c r="B587" s="77"/>
      <c r="C587" s="224"/>
      <c r="D587" s="233"/>
      <c r="E587" s="201"/>
      <c r="F587" s="100"/>
      <c r="G587" s="100"/>
      <c r="H587" s="100"/>
      <c r="I587" s="100"/>
      <c r="J587" s="100"/>
      <c r="K587" s="100"/>
      <c r="L587" s="100"/>
      <c r="M587" s="100"/>
      <c r="N587" s="100"/>
      <c r="O587" s="100"/>
      <c r="P587" s="100"/>
      <c r="Q587" s="100"/>
      <c r="R587" s="100"/>
      <c r="S587" s="100"/>
      <c r="T587" s="100"/>
      <c r="U587" s="100"/>
      <c r="V587" s="100"/>
      <c r="W587" s="100"/>
    </row>
    <row r="588" spans="1:24" ht="12.75" customHeight="1">
      <c r="A588" s="1334" t="s">
        <v>760</v>
      </c>
      <c r="B588" s="1335"/>
      <c r="C588" s="1161" t="s">
        <v>771</v>
      </c>
      <c r="D588" s="28"/>
      <c r="E588" s="8"/>
      <c r="F588" s="8"/>
      <c r="G588" s="8"/>
      <c r="H588" s="4"/>
      <c r="I588" s="4"/>
      <c r="J588" s="4"/>
      <c r="K588" s="4"/>
      <c r="L588" s="4"/>
      <c r="M588" s="4"/>
      <c r="N588" s="4"/>
      <c r="O588" s="4"/>
      <c r="P588" s="4"/>
      <c r="Q588" s="4"/>
      <c r="R588" s="4"/>
      <c r="S588" s="4"/>
      <c r="T588" s="4"/>
      <c r="U588" s="4"/>
      <c r="V588" s="4"/>
      <c r="W588" s="4"/>
      <c r="X588" s="4"/>
    </row>
    <row r="589" spans="1:24" ht="12.75" customHeight="1" thickBot="1">
      <c r="A589" s="1363"/>
      <c r="B589" s="1303"/>
      <c r="C589" s="1490"/>
      <c r="D589" s="40"/>
      <c r="E589" s="8"/>
      <c r="F589" s="8"/>
      <c r="G589" s="8"/>
      <c r="H589" s="4"/>
      <c r="I589" s="4"/>
      <c r="J589" s="4"/>
      <c r="K589" s="4"/>
      <c r="L589" s="4"/>
      <c r="M589" s="4"/>
      <c r="N589" s="4"/>
      <c r="O589" s="4"/>
      <c r="P589" s="4"/>
      <c r="Q589" s="4"/>
      <c r="R589" s="4"/>
      <c r="S589" s="4"/>
      <c r="T589" s="4"/>
      <c r="U589" s="4"/>
      <c r="V589" s="4"/>
      <c r="W589" s="4"/>
      <c r="X589" s="4"/>
    </row>
    <row r="590" spans="1:24" ht="12.75" customHeight="1">
      <c r="A590" s="1094" t="s">
        <v>675</v>
      </c>
      <c r="B590" s="1095"/>
      <c r="C590" s="1096"/>
      <c r="D590" s="40"/>
      <c r="E590" s="13"/>
      <c r="F590" s="13"/>
      <c r="G590" s="13"/>
      <c r="H590" s="4"/>
      <c r="I590" s="4"/>
      <c r="J590" s="4"/>
      <c r="K590" s="4"/>
      <c r="L590" s="4"/>
      <c r="M590" s="4"/>
      <c r="N590" s="4"/>
      <c r="O590" s="4"/>
      <c r="P590" s="4"/>
      <c r="Q590" s="4"/>
      <c r="R590" s="4"/>
      <c r="S590" s="4"/>
      <c r="T590" s="4"/>
      <c r="U590" s="4"/>
      <c r="V590" s="4"/>
      <c r="W590" s="4"/>
      <c r="X590" s="4"/>
    </row>
    <row r="591" spans="1:24" ht="12.75" customHeight="1">
      <c r="A591" s="1028" t="s">
        <v>728</v>
      </c>
      <c r="B591" s="986"/>
      <c r="C591" s="1098"/>
      <c r="D591" s="40"/>
      <c r="E591" s="13"/>
      <c r="F591" s="13"/>
      <c r="G591" s="13"/>
      <c r="H591" s="4"/>
      <c r="I591" s="4"/>
      <c r="J591" s="4"/>
      <c r="K591" s="4"/>
      <c r="L591" s="4"/>
      <c r="M591" s="4"/>
      <c r="N591" s="4"/>
      <c r="O591" s="4"/>
      <c r="P591" s="4"/>
      <c r="Q591" s="4"/>
      <c r="R591" s="4"/>
      <c r="S591" s="4"/>
      <c r="T591" s="4"/>
      <c r="U591" s="4"/>
      <c r="V591" s="4"/>
      <c r="W591" s="4"/>
      <c r="X591" s="4"/>
    </row>
    <row r="592" spans="1:24" ht="12.75" customHeight="1">
      <c r="A592" s="1028" t="s">
        <v>729</v>
      </c>
      <c r="B592" s="808"/>
      <c r="C592" s="1184"/>
      <c r="D592" s="45"/>
      <c r="E592" s="67"/>
      <c r="F592" s="67"/>
      <c r="G592" s="67"/>
      <c r="H592" s="67"/>
      <c r="I592" s="67"/>
      <c r="J592" s="35"/>
      <c r="K592" s="35"/>
      <c r="L592" s="35"/>
      <c r="M592" s="35"/>
      <c r="N592" s="35"/>
      <c r="O592" s="35"/>
      <c r="P592" s="35"/>
      <c r="Q592" s="35"/>
      <c r="R592" s="35"/>
      <c r="S592" s="35"/>
      <c r="T592" s="35"/>
      <c r="U592" s="35"/>
      <c r="V592" s="35"/>
      <c r="W592" s="35"/>
      <c r="X592" s="35"/>
    </row>
    <row r="593" spans="1:24" ht="12.75" customHeight="1" thickBot="1">
      <c r="A593" s="1150" t="s">
        <v>0</v>
      </c>
      <c r="B593" s="1151"/>
      <c r="C593" s="1099"/>
      <c r="D593" s="40"/>
      <c r="E593" s="13"/>
      <c r="F593" s="13"/>
      <c r="G593" s="13"/>
      <c r="H593" s="4"/>
      <c r="I593" s="4"/>
      <c r="J593" s="4"/>
      <c r="K593" s="4"/>
      <c r="L593" s="4"/>
      <c r="M593" s="4"/>
      <c r="N593" s="4"/>
      <c r="O593" s="4"/>
      <c r="P593" s="4"/>
      <c r="Q593" s="4"/>
      <c r="R593" s="4"/>
      <c r="S593" s="4"/>
      <c r="T593" s="4"/>
      <c r="U593" s="4"/>
      <c r="V593" s="4"/>
      <c r="W593" s="4"/>
      <c r="X593" s="4"/>
    </row>
    <row r="594" spans="1:24" ht="12.75" customHeight="1" thickBot="1">
      <c r="A594" s="1158" t="s">
        <v>1</v>
      </c>
      <c r="B594" s="1159"/>
      <c r="C594" s="1165">
        <f>+C597+C611+C624</f>
        <v>1435000</v>
      </c>
      <c r="D594" s="50"/>
      <c r="E594" s="50"/>
      <c r="F594" s="13"/>
      <c r="G594" s="13"/>
      <c r="H594" s="4"/>
      <c r="I594" s="4"/>
      <c r="J594" s="4"/>
      <c r="K594" s="4"/>
      <c r="L594" s="4"/>
      <c r="M594" s="4"/>
      <c r="N594" s="4"/>
      <c r="O594" s="4"/>
      <c r="P594" s="4"/>
      <c r="Q594" s="4"/>
      <c r="R594" s="4"/>
      <c r="S594" s="4"/>
      <c r="T594" s="4"/>
      <c r="U594" s="4"/>
      <c r="V594" s="4"/>
      <c r="W594" s="4"/>
      <c r="X594" s="4"/>
    </row>
    <row r="595" spans="1:24" ht="12.75" customHeight="1">
      <c r="A595" s="15"/>
      <c r="B595" s="15"/>
      <c r="C595" s="16"/>
      <c r="D595" s="40"/>
      <c r="E595" s="13"/>
      <c r="F595" s="13"/>
      <c r="G595" s="13"/>
      <c r="H595" s="4"/>
      <c r="I595" s="4"/>
      <c r="J595" s="4"/>
      <c r="K595" s="4"/>
      <c r="L595" s="4"/>
      <c r="M595" s="4"/>
      <c r="N595" s="4"/>
      <c r="O595" s="4"/>
      <c r="P595" s="4"/>
      <c r="Q595" s="4"/>
      <c r="R595" s="4"/>
      <c r="S595" s="4"/>
      <c r="T595" s="4"/>
      <c r="U595" s="4"/>
      <c r="V595" s="4"/>
      <c r="W595" s="4"/>
      <c r="X595" s="4"/>
    </row>
    <row r="596" spans="1:24" ht="12.75" customHeight="1" thickBot="1">
      <c r="A596" s="13"/>
      <c r="B596" s="13"/>
      <c r="C596" s="14"/>
      <c r="D596" s="40"/>
      <c r="E596" s="8"/>
      <c r="F596" s="8"/>
      <c r="G596" s="8"/>
      <c r="H596" s="4"/>
      <c r="I596" s="4"/>
      <c r="J596" s="4"/>
      <c r="K596" s="4"/>
      <c r="L596" s="4"/>
      <c r="M596" s="4"/>
      <c r="N596" s="4"/>
      <c r="O596" s="4"/>
      <c r="P596" s="4"/>
      <c r="Q596" s="4"/>
      <c r="R596" s="4"/>
      <c r="S596" s="4"/>
      <c r="T596" s="4"/>
      <c r="U596" s="4"/>
      <c r="V596" s="4"/>
      <c r="W596" s="4"/>
      <c r="X596" s="4"/>
    </row>
    <row r="597" spans="1:24" ht="12.75" customHeight="1" thickBot="1">
      <c r="A597" s="1280" t="s">
        <v>9</v>
      </c>
      <c r="B597" s="1281"/>
      <c r="C597" s="31">
        <f>(C598+C600+C602+C604+C606)</f>
        <v>611000</v>
      </c>
      <c r="D597" s="40"/>
      <c r="E597" s="8"/>
      <c r="F597" s="8"/>
      <c r="G597" s="8"/>
      <c r="H597" s="4"/>
      <c r="I597" s="4"/>
      <c r="J597" s="4"/>
      <c r="K597" s="4"/>
      <c r="L597" s="4"/>
      <c r="M597" s="4"/>
      <c r="N597" s="4"/>
      <c r="O597" s="4"/>
      <c r="P597" s="4"/>
      <c r="Q597" s="4"/>
      <c r="R597" s="4"/>
      <c r="S597" s="4"/>
      <c r="T597" s="4"/>
      <c r="U597" s="4"/>
      <c r="V597" s="4"/>
      <c r="W597" s="4"/>
      <c r="X597" s="4"/>
    </row>
    <row r="598" spans="1:24" ht="12.75" customHeight="1">
      <c r="A598" s="48">
        <v>211201</v>
      </c>
      <c r="B598" s="48" t="s">
        <v>459</v>
      </c>
      <c r="C598" s="82">
        <f>SUM(C599)</f>
        <v>90000</v>
      </c>
      <c r="D598" s="40"/>
      <c r="E598" s="84"/>
      <c r="F598" s="84"/>
      <c r="G598" s="84"/>
      <c r="H598" s="4"/>
      <c r="I598" s="4"/>
      <c r="J598" s="4"/>
      <c r="K598" s="4"/>
      <c r="L598" s="4"/>
      <c r="M598" s="4"/>
      <c r="N598" s="4"/>
      <c r="O598" s="4"/>
      <c r="P598" s="4"/>
      <c r="Q598" s="4"/>
      <c r="R598" s="4"/>
      <c r="S598" s="4"/>
      <c r="T598" s="4"/>
      <c r="U598" s="4"/>
      <c r="V598" s="4"/>
      <c r="W598" s="4"/>
      <c r="X598" s="4"/>
    </row>
    <row r="599" spans="1:24" ht="12.75" customHeight="1">
      <c r="A599" s="33">
        <v>21120101</v>
      </c>
      <c r="B599" s="13" t="s">
        <v>460</v>
      </c>
      <c r="C599" s="14">
        <v>90000</v>
      </c>
      <c r="D599" s="40"/>
      <c r="E599" s="8"/>
      <c r="F599" s="8"/>
      <c r="G599" s="8"/>
      <c r="H599" s="4"/>
      <c r="I599" s="4"/>
      <c r="J599" s="4"/>
      <c r="K599" s="4"/>
      <c r="L599" s="4"/>
      <c r="M599" s="4"/>
      <c r="N599" s="4"/>
      <c r="O599" s="4"/>
      <c r="P599" s="4"/>
      <c r="Q599" s="4"/>
      <c r="R599" s="4"/>
      <c r="S599" s="4"/>
      <c r="T599" s="4"/>
      <c r="U599" s="4"/>
      <c r="V599" s="4"/>
      <c r="W599" s="4"/>
      <c r="X599" s="4"/>
    </row>
    <row r="600" spans="1:24" ht="12.75" customHeight="1">
      <c r="A600" s="48">
        <v>211203</v>
      </c>
      <c r="B600" s="15" t="s">
        <v>461</v>
      </c>
      <c r="C600" s="16">
        <f>SUM(C601)</f>
        <v>85000</v>
      </c>
      <c r="D600" s="40"/>
      <c r="E600" s="8"/>
      <c r="F600" s="8"/>
      <c r="G600" s="8"/>
      <c r="H600" s="4"/>
      <c r="I600" s="4"/>
      <c r="J600" s="4"/>
      <c r="K600" s="4"/>
      <c r="L600" s="4"/>
      <c r="M600" s="4"/>
      <c r="N600" s="4"/>
      <c r="O600" s="4"/>
      <c r="P600" s="4"/>
      <c r="Q600" s="4"/>
      <c r="R600" s="4"/>
      <c r="S600" s="4"/>
      <c r="T600" s="4"/>
      <c r="U600" s="4"/>
      <c r="V600" s="4"/>
      <c r="W600" s="4"/>
      <c r="X600" s="4"/>
    </row>
    <row r="601" spans="1:24" ht="12.75" customHeight="1">
      <c r="A601" s="33">
        <v>21120302</v>
      </c>
      <c r="B601" s="13" t="s">
        <v>462</v>
      </c>
      <c r="C601" s="24">
        <v>85000</v>
      </c>
      <c r="D601" s="32"/>
      <c r="E601" s="26"/>
      <c r="F601" s="13"/>
      <c r="G601" s="13"/>
      <c r="H601" s="4"/>
      <c r="I601" s="4"/>
      <c r="J601" s="4"/>
      <c r="K601" s="4"/>
      <c r="L601" s="4"/>
      <c r="M601" s="4"/>
      <c r="N601" s="4"/>
      <c r="O601" s="4"/>
      <c r="P601" s="4"/>
      <c r="Q601" s="4"/>
      <c r="R601" s="4"/>
      <c r="S601" s="4"/>
      <c r="T601" s="4"/>
      <c r="U601" s="4"/>
      <c r="V601" s="4"/>
      <c r="W601" s="4"/>
      <c r="X601" s="4"/>
    </row>
    <row r="602" spans="1:24" ht="12.75" customHeight="1">
      <c r="A602" s="48">
        <v>211204</v>
      </c>
      <c r="B602" s="15" t="s">
        <v>463</v>
      </c>
      <c r="C602" s="26">
        <f>SUM(C603)</f>
        <v>90000</v>
      </c>
      <c r="D602" s="32"/>
      <c r="E602" s="26"/>
      <c r="F602" s="13"/>
      <c r="G602" s="13"/>
      <c r="H602" s="4"/>
      <c r="I602" s="4"/>
      <c r="J602" s="4"/>
      <c r="K602" s="4"/>
      <c r="L602" s="4"/>
      <c r="M602" s="4"/>
      <c r="N602" s="4"/>
      <c r="O602" s="4"/>
      <c r="P602" s="4"/>
      <c r="Q602" s="4"/>
      <c r="R602" s="4"/>
      <c r="S602" s="4"/>
      <c r="T602" s="4"/>
      <c r="U602" s="4"/>
      <c r="V602" s="4"/>
      <c r="W602" s="4"/>
      <c r="X602" s="4"/>
    </row>
    <row r="603" spans="1:24" ht="12.75" customHeight="1">
      <c r="A603" s="33">
        <v>21120401</v>
      </c>
      <c r="B603" s="13" t="s">
        <v>464</v>
      </c>
      <c r="C603" s="14">
        <v>90000</v>
      </c>
      <c r="D603" s="14"/>
      <c r="E603" s="30"/>
      <c r="F603" s="8"/>
      <c r="G603" s="8"/>
      <c r="H603" s="4"/>
      <c r="I603" s="4"/>
      <c r="J603" s="4"/>
      <c r="K603" s="4"/>
      <c r="L603" s="4"/>
      <c r="M603" s="4"/>
      <c r="N603" s="4"/>
      <c r="O603" s="4"/>
      <c r="P603" s="4"/>
      <c r="Q603" s="4"/>
      <c r="R603" s="4"/>
      <c r="S603" s="4"/>
      <c r="T603" s="4"/>
      <c r="U603" s="4"/>
      <c r="V603" s="4"/>
      <c r="W603" s="4"/>
      <c r="X603" s="4"/>
    </row>
    <row r="604" spans="1:24" ht="12.75" customHeight="1">
      <c r="A604" s="48">
        <v>211208</v>
      </c>
      <c r="B604" s="15" t="s">
        <v>474</v>
      </c>
      <c r="C604" s="16">
        <f>SUM(C605)</f>
        <v>56000</v>
      </c>
      <c r="D604" s="13"/>
      <c r="E604" s="30"/>
      <c r="F604" s="8"/>
      <c r="G604" s="8"/>
      <c r="H604" s="4"/>
      <c r="I604" s="4"/>
      <c r="J604" s="4"/>
      <c r="K604" s="4"/>
      <c r="L604" s="4"/>
      <c r="M604" s="4"/>
      <c r="N604" s="4"/>
      <c r="O604" s="4"/>
      <c r="P604" s="4"/>
      <c r="Q604" s="4"/>
      <c r="R604" s="4"/>
      <c r="S604" s="4"/>
      <c r="T604" s="4"/>
      <c r="U604" s="4"/>
      <c r="V604" s="4"/>
      <c r="W604" s="4"/>
      <c r="X604" s="4"/>
    </row>
    <row r="605" spans="1:24" ht="12.75" customHeight="1">
      <c r="A605" s="33">
        <v>21120805</v>
      </c>
      <c r="B605" s="13" t="s">
        <v>476</v>
      </c>
      <c r="C605" s="14">
        <v>56000</v>
      </c>
      <c r="D605" s="40"/>
      <c r="E605" s="8"/>
      <c r="F605" s="8"/>
      <c r="G605" s="8"/>
      <c r="H605" s="4"/>
      <c r="I605" s="4"/>
      <c r="J605" s="4"/>
      <c r="K605" s="4"/>
      <c r="L605" s="4"/>
      <c r="M605" s="4"/>
      <c r="N605" s="4"/>
      <c r="O605" s="4"/>
      <c r="P605" s="4"/>
      <c r="Q605" s="4"/>
      <c r="R605" s="4"/>
      <c r="S605" s="4"/>
      <c r="T605" s="4"/>
      <c r="U605" s="4"/>
      <c r="V605" s="4"/>
      <c r="W605" s="4"/>
      <c r="X605" s="4"/>
    </row>
    <row r="606" spans="1:24" ht="12.75" customHeight="1">
      <c r="A606" s="48">
        <v>211209</v>
      </c>
      <c r="B606" s="26" t="s">
        <v>477</v>
      </c>
      <c r="C606" s="16">
        <f>SUM(C607:C609)</f>
        <v>290000</v>
      </c>
      <c r="D606" s="40"/>
      <c r="E606" s="8"/>
      <c r="F606" s="8"/>
      <c r="G606" s="8"/>
      <c r="H606" s="4"/>
      <c r="I606" s="4"/>
      <c r="J606" s="4"/>
      <c r="K606" s="4"/>
      <c r="L606" s="4"/>
      <c r="M606" s="4"/>
      <c r="N606" s="4"/>
      <c r="O606" s="4"/>
      <c r="P606" s="4"/>
      <c r="Q606" s="4"/>
      <c r="R606" s="4"/>
      <c r="S606" s="4"/>
      <c r="T606" s="4"/>
      <c r="U606" s="4"/>
      <c r="V606" s="4"/>
      <c r="W606" s="4"/>
      <c r="X606" s="4"/>
    </row>
    <row r="607" spans="1:24" ht="13.5" customHeight="1">
      <c r="A607" s="33">
        <v>21120901</v>
      </c>
      <c r="B607" s="13" t="s">
        <v>478</v>
      </c>
      <c r="C607" s="24">
        <v>90000</v>
      </c>
      <c r="D607" s="33"/>
      <c r="E607" s="27"/>
      <c r="F607" s="13"/>
      <c r="G607" s="13"/>
      <c r="H607" s="13"/>
      <c r="I607" s="13"/>
      <c r="J607" s="13"/>
      <c r="K607" s="13"/>
      <c r="L607" s="13"/>
      <c r="M607" s="13"/>
      <c r="N607" s="13"/>
      <c r="O607" s="13"/>
      <c r="P607" s="13"/>
      <c r="Q607" s="13"/>
      <c r="R607" s="13"/>
      <c r="S607" s="13"/>
      <c r="T607" s="13"/>
      <c r="U607" s="13"/>
      <c r="V607" s="13"/>
      <c r="W607" s="13"/>
      <c r="X607" s="13"/>
    </row>
    <row r="608" spans="1:24" ht="12.75" customHeight="1">
      <c r="A608" s="33">
        <v>21120906</v>
      </c>
      <c r="B608" s="13" t="s">
        <v>479</v>
      </c>
      <c r="C608" s="14">
        <v>50000</v>
      </c>
      <c r="D608" s="40"/>
      <c r="E608" s="8"/>
      <c r="F608" s="8"/>
      <c r="G608" s="8"/>
      <c r="H608" s="4"/>
      <c r="I608" s="4"/>
      <c r="J608" s="4"/>
      <c r="K608" s="4"/>
      <c r="L608" s="4"/>
      <c r="M608" s="4"/>
      <c r="N608" s="4"/>
      <c r="O608" s="4"/>
      <c r="P608" s="4"/>
      <c r="Q608" s="4"/>
      <c r="R608" s="4"/>
      <c r="S608" s="4"/>
      <c r="T608" s="4"/>
      <c r="U608" s="4"/>
      <c r="V608" s="4"/>
      <c r="W608" s="4"/>
      <c r="X608" s="4"/>
    </row>
    <row r="609" spans="1:24" ht="12.75" customHeight="1">
      <c r="A609" s="33">
        <v>21120907</v>
      </c>
      <c r="B609" s="13" t="s">
        <v>480</v>
      </c>
      <c r="C609" s="24">
        <v>150000</v>
      </c>
      <c r="D609" s="123"/>
      <c r="E609" s="274"/>
      <c r="F609" s="4"/>
      <c r="G609" s="4"/>
      <c r="H609" s="4"/>
      <c r="I609" s="4"/>
      <c r="J609" s="4"/>
      <c r="K609" s="4"/>
      <c r="L609" s="4"/>
      <c r="M609" s="4"/>
      <c r="N609" s="4"/>
      <c r="O609" s="4"/>
      <c r="P609" s="4"/>
      <c r="Q609" s="4"/>
      <c r="R609" s="4"/>
      <c r="S609" s="4"/>
      <c r="T609" s="4"/>
      <c r="U609" s="4"/>
      <c r="V609" s="4"/>
      <c r="W609" s="4"/>
      <c r="X609" s="4"/>
    </row>
    <row r="610" spans="1:24" ht="12.75" customHeight="1" thickBot="1">
      <c r="A610" s="23"/>
      <c r="B610" s="13"/>
      <c r="C610" s="14"/>
      <c r="D610" s="40"/>
      <c r="E610" s="8"/>
      <c r="F610" s="8"/>
      <c r="G610" s="8"/>
      <c r="H610" s="4"/>
      <c r="I610" s="4"/>
      <c r="J610" s="4"/>
      <c r="K610" s="4"/>
      <c r="L610" s="4"/>
      <c r="M610" s="4"/>
      <c r="N610" s="4"/>
      <c r="O610" s="4"/>
      <c r="P610" s="4"/>
      <c r="Q610" s="4"/>
      <c r="R610" s="4"/>
      <c r="S610" s="4"/>
      <c r="T610" s="4"/>
      <c r="U610" s="4"/>
      <c r="V610" s="4"/>
      <c r="W610" s="4"/>
      <c r="X610" s="4"/>
    </row>
    <row r="611" spans="1:24" ht="12.75" customHeight="1" thickBot="1">
      <c r="A611" s="1282" t="s">
        <v>4</v>
      </c>
      <c r="B611" s="1281"/>
      <c r="C611" s="41">
        <f>C612+C614+C616+C618</f>
        <v>474000</v>
      </c>
      <c r="D611" s="40"/>
      <c r="E611" s="8"/>
      <c r="F611" s="8"/>
      <c r="G611" s="8"/>
      <c r="H611" s="4"/>
      <c r="I611" s="4"/>
      <c r="J611" s="4"/>
      <c r="K611" s="4"/>
      <c r="L611" s="4"/>
      <c r="M611" s="4"/>
      <c r="N611" s="4"/>
      <c r="O611" s="4"/>
      <c r="P611" s="4"/>
      <c r="Q611" s="4"/>
      <c r="R611" s="4"/>
      <c r="S611" s="4"/>
      <c r="T611" s="4"/>
      <c r="U611" s="4"/>
      <c r="V611" s="4"/>
      <c r="W611" s="4"/>
      <c r="X611" s="4"/>
    </row>
    <row r="612" spans="1:24" ht="12.75" customHeight="1">
      <c r="A612" s="22">
        <v>211302</v>
      </c>
      <c r="B612" s="48" t="s">
        <v>481</v>
      </c>
      <c r="C612" s="82">
        <f>SUM(C613)</f>
        <v>60000</v>
      </c>
      <c r="D612" s="40"/>
      <c r="E612" s="84"/>
      <c r="F612" s="84"/>
      <c r="G612" s="84"/>
      <c r="H612" s="4"/>
      <c r="I612" s="4"/>
      <c r="J612" s="4"/>
      <c r="K612" s="4"/>
      <c r="L612" s="4"/>
      <c r="M612" s="4"/>
      <c r="N612" s="4"/>
      <c r="O612" s="4"/>
      <c r="P612" s="4"/>
      <c r="Q612" s="4"/>
      <c r="R612" s="4"/>
      <c r="S612" s="4"/>
      <c r="T612" s="4"/>
      <c r="U612" s="4"/>
      <c r="V612" s="4"/>
      <c r="W612" s="4"/>
      <c r="X612" s="4"/>
    </row>
    <row r="613" spans="1:24" ht="12.75" customHeight="1">
      <c r="A613" s="40">
        <v>21130204</v>
      </c>
      <c r="B613" s="13" t="s">
        <v>483</v>
      </c>
      <c r="C613" s="14">
        <v>60000</v>
      </c>
      <c r="D613" s="40"/>
      <c r="E613" s="8"/>
      <c r="F613" s="8"/>
      <c r="G613" s="8"/>
      <c r="H613" s="4"/>
      <c r="I613" s="4"/>
      <c r="J613" s="4"/>
      <c r="K613" s="4"/>
      <c r="L613" s="4"/>
      <c r="M613" s="4"/>
      <c r="N613" s="4"/>
      <c r="O613" s="4"/>
      <c r="P613" s="4"/>
      <c r="Q613" s="4"/>
      <c r="R613" s="4"/>
      <c r="S613" s="4"/>
      <c r="T613" s="4"/>
      <c r="U613" s="4"/>
      <c r="V613" s="4"/>
      <c r="W613" s="4"/>
      <c r="X613" s="4"/>
    </row>
    <row r="614" spans="1:24" ht="12.75" customHeight="1">
      <c r="A614" s="22">
        <v>21130300</v>
      </c>
      <c r="B614" s="15" t="s">
        <v>484</v>
      </c>
      <c r="C614" s="26">
        <f>SUM(C615)</f>
        <v>60000</v>
      </c>
      <c r="D614" s="40"/>
      <c r="E614" s="14"/>
      <c r="F614" s="13"/>
      <c r="G614" s="13"/>
      <c r="H614" s="4"/>
      <c r="I614" s="4"/>
      <c r="J614" s="4"/>
      <c r="K614" s="4"/>
      <c r="L614" s="4"/>
      <c r="M614" s="4"/>
      <c r="N614" s="4"/>
      <c r="O614" s="4"/>
      <c r="P614" s="4"/>
      <c r="Q614" s="4"/>
      <c r="R614" s="4"/>
      <c r="S614" s="4"/>
      <c r="T614" s="4"/>
      <c r="U614" s="4"/>
      <c r="V614" s="4"/>
      <c r="W614" s="4"/>
      <c r="X614" s="4"/>
    </row>
    <row r="615" spans="1:24" ht="12.75" customHeight="1">
      <c r="A615" s="40">
        <v>21130307</v>
      </c>
      <c r="B615" s="13" t="s">
        <v>488</v>
      </c>
      <c r="C615" s="24">
        <v>60000</v>
      </c>
      <c r="D615" s="40"/>
      <c r="E615" s="14"/>
      <c r="F615" s="14"/>
      <c r="G615" s="13"/>
      <c r="H615" s="4"/>
      <c r="I615" s="4"/>
      <c r="J615" s="4"/>
      <c r="K615" s="4"/>
      <c r="L615" s="4"/>
      <c r="M615" s="4"/>
      <c r="N615" s="4"/>
      <c r="O615" s="4"/>
      <c r="P615" s="4"/>
      <c r="Q615" s="4"/>
      <c r="R615" s="4"/>
      <c r="S615" s="4"/>
      <c r="T615" s="4"/>
      <c r="U615" s="4"/>
      <c r="V615" s="4"/>
      <c r="W615" s="4"/>
      <c r="X615" s="4"/>
    </row>
    <row r="616" spans="1:24" ht="12.75" customHeight="1">
      <c r="A616" s="48">
        <v>211305</v>
      </c>
      <c r="B616" s="15" t="s">
        <v>489</v>
      </c>
      <c r="C616" s="16">
        <f>SUM(C617)</f>
        <v>90000</v>
      </c>
      <c r="D616" s="40"/>
      <c r="E616" s="8"/>
      <c r="F616" s="8"/>
      <c r="G616" s="8"/>
      <c r="H616" s="4"/>
      <c r="I616" s="4"/>
      <c r="J616" s="4"/>
      <c r="K616" s="4"/>
      <c r="L616" s="4"/>
      <c r="M616" s="4"/>
      <c r="N616" s="4"/>
      <c r="O616" s="4"/>
      <c r="P616" s="4"/>
      <c r="Q616" s="4"/>
      <c r="R616" s="4"/>
      <c r="S616" s="4"/>
      <c r="T616" s="4"/>
      <c r="U616" s="4"/>
      <c r="V616" s="4"/>
      <c r="W616" s="4"/>
      <c r="X616" s="4"/>
    </row>
    <row r="617" spans="1:24" ht="12.75" customHeight="1">
      <c r="A617" s="40">
        <v>21130502</v>
      </c>
      <c r="B617" s="13" t="s">
        <v>491</v>
      </c>
      <c r="C617" s="14">
        <v>90000</v>
      </c>
      <c r="D617" s="30"/>
      <c r="E617" s="8"/>
      <c r="F617" s="8"/>
      <c r="G617" s="8"/>
      <c r="H617" s="4"/>
      <c r="I617" s="4"/>
      <c r="J617" s="4"/>
      <c r="K617" s="4"/>
      <c r="L617" s="4"/>
      <c r="M617" s="4"/>
      <c r="N617" s="4"/>
      <c r="O617" s="4"/>
      <c r="P617" s="4"/>
      <c r="Q617" s="4"/>
      <c r="R617" s="4"/>
      <c r="S617" s="4"/>
      <c r="T617" s="4"/>
      <c r="U617" s="4"/>
      <c r="V617" s="4"/>
      <c r="W617" s="4"/>
      <c r="X617" s="4"/>
    </row>
    <row r="618" spans="1:24" ht="12.75" customHeight="1">
      <c r="A618" s="48">
        <v>211309</v>
      </c>
      <c r="B618" s="15" t="s">
        <v>496</v>
      </c>
      <c r="C618" s="16">
        <f>SUM(C619:C622)</f>
        <v>264000</v>
      </c>
      <c r="D618" s="30"/>
      <c r="E618" s="8"/>
      <c r="F618" s="40"/>
      <c r="G618" s="8"/>
      <c r="H618" s="4"/>
      <c r="I618" s="4"/>
      <c r="J618" s="4"/>
      <c r="K618" s="4"/>
      <c r="L618" s="4"/>
      <c r="M618" s="4"/>
      <c r="N618" s="4"/>
      <c r="O618" s="4"/>
      <c r="P618" s="4"/>
      <c r="Q618" s="4"/>
      <c r="R618" s="4"/>
      <c r="S618" s="4"/>
      <c r="T618" s="4"/>
      <c r="U618" s="4"/>
      <c r="V618" s="4"/>
      <c r="W618" s="4"/>
      <c r="X618" s="4"/>
    </row>
    <row r="619" spans="1:24" ht="12.75" customHeight="1">
      <c r="A619" s="33">
        <v>21130901</v>
      </c>
      <c r="B619" s="13" t="s">
        <v>497</v>
      </c>
      <c r="C619" s="14">
        <v>50000</v>
      </c>
      <c r="D619" s="8"/>
      <c r="E619" s="8"/>
      <c r="F619" s="8"/>
      <c r="G619" s="8"/>
      <c r="H619" s="4"/>
      <c r="I619" s="4"/>
      <c r="J619" s="4"/>
      <c r="K619" s="4"/>
      <c r="L619" s="4"/>
      <c r="M619" s="4"/>
      <c r="N619" s="4"/>
      <c r="O619" s="4"/>
      <c r="P619" s="4"/>
      <c r="Q619" s="4"/>
      <c r="R619" s="4"/>
      <c r="S619" s="4"/>
      <c r="T619" s="4"/>
      <c r="U619" s="4"/>
      <c r="V619" s="4"/>
      <c r="W619" s="4"/>
      <c r="X619" s="4"/>
    </row>
    <row r="620" spans="1:24" ht="12.75" customHeight="1">
      <c r="A620" s="33">
        <v>21130903</v>
      </c>
      <c r="B620" s="13" t="s">
        <v>498</v>
      </c>
      <c r="C620" s="14">
        <v>60000</v>
      </c>
      <c r="D620" s="40"/>
      <c r="E620" s="30"/>
      <c r="F620" s="8"/>
      <c r="G620" s="8"/>
      <c r="H620" s="4"/>
      <c r="I620" s="4"/>
      <c r="J620" s="4"/>
      <c r="K620" s="4"/>
      <c r="L620" s="4"/>
      <c r="M620" s="4"/>
      <c r="N620" s="4"/>
      <c r="O620" s="4"/>
      <c r="P620" s="4"/>
      <c r="Q620" s="4"/>
      <c r="R620" s="4"/>
      <c r="S620" s="4"/>
      <c r="T620" s="4"/>
      <c r="U620" s="4"/>
      <c r="V620" s="4"/>
      <c r="W620" s="4"/>
      <c r="X620" s="4"/>
    </row>
    <row r="621" spans="1:24" ht="12.75" customHeight="1">
      <c r="A621" s="40">
        <v>21130906</v>
      </c>
      <c r="B621" s="13" t="s">
        <v>499</v>
      </c>
      <c r="C621" s="14">
        <v>70000</v>
      </c>
      <c r="D621" s="40"/>
      <c r="E621" s="8"/>
      <c r="F621" s="14"/>
      <c r="G621" s="8"/>
      <c r="H621" s="4"/>
      <c r="I621" s="4"/>
      <c r="J621" s="4"/>
      <c r="K621" s="4"/>
      <c r="L621" s="4"/>
      <c r="M621" s="4"/>
      <c r="N621" s="4"/>
      <c r="O621" s="4"/>
      <c r="P621" s="4"/>
      <c r="Q621" s="4"/>
      <c r="R621" s="4"/>
      <c r="S621" s="4"/>
      <c r="T621" s="4"/>
      <c r="U621" s="4"/>
      <c r="V621" s="4"/>
      <c r="W621" s="4"/>
      <c r="X621" s="4"/>
    </row>
    <row r="622" spans="1:24" ht="13.5" customHeight="1">
      <c r="A622" s="33">
        <v>21130908</v>
      </c>
      <c r="B622" s="24" t="s">
        <v>500</v>
      </c>
      <c r="C622" s="24">
        <v>84000</v>
      </c>
      <c r="D622" s="123"/>
      <c r="E622" s="123"/>
      <c r="F622" s="23"/>
      <c r="G622" s="23"/>
      <c r="H622" s="24"/>
      <c r="I622" s="23"/>
      <c r="J622" s="23"/>
      <c r="K622" s="23"/>
      <c r="L622" s="23"/>
      <c r="M622" s="23"/>
      <c r="N622" s="23"/>
      <c r="O622" s="23"/>
      <c r="P622" s="23"/>
      <c r="Q622" s="23"/>
      <c r="R622" s="23"/>
      <c r="S622" s="23"/>
      <c r="T622" s="23"/>
      <c r="U622" s="23"/>
      <c r="V622" s="23"/>
      <c r="W622" s="23"/>
      <c r="X622" s="23"/>
    </row>
    <row r="623" spans="1:24" ht="12.75" customHeight="1" thickBot="1">
      <c r="A623" s="13"/>
      <c r="B623" s="33"/>
      <c r="C623" s="14"/>
      <c r="D623" s="40"/>
      <c r="E623" s="8"/>
      <c r="F623" s="8"/>
      <c r="G623" s="8"/>
      <c r="H623" s="4"/>
      <c r="I623" s="4"/>
      <c r="J623" s="4"/>
      <c r="K623" s="4"/>
      <c r="L623" s="4"/>
      <c r="M623" s="4"/>
      <c r="N623" s="4"/>
      <c r="O623" s="4"/>
      <c r="P623" s="4"/>
      <c r="Q623" s="4"/>
      <c r="R623" s="4"/>
      <c r="S623" s="4"/>
      <c r="T623" s="4"/>
      <c r="U623" s="4"/>
      <c r="V623" s="4"/>
      <c r="W623" s="4"/>
      <c r="X623" s="4"/>
    </row>
    <row r="624" spans="1:24" ht="12.75" customHeight="1" thickBot="1">
      <c r="A624" s="1283" t="s">
        <v>48</v>
      </c>
      <c r="B624" s="1281"/>
      <c r="C624" s="52">
        <f>(C625+C628)</f>
        <v>350000</v>
      </c>
      <c r="D624" s="40"/>
      <c r="E624" s="8"/>
      <c r="F624" s="8"/>
      <c r="G624" s="8"/>
      <c r="H624" s="4"/>
      <c r="I624" s="4"/>
      <c r="J624" s="4"/>
      <c r="K624" s="4"/>
      <c r="L624" s="4"/>
      <c r="M624" s="4"/>
      <c r="N624" s="4"/>
      <c r="O624" s="4"/>
      <c r="P624" s="4"/>
      <c r="Q624" s="4"/>
      <c r="R624" s="4"/>
      <c r="S624" s="4"/>
      <c r="T624" s="4"/>
      <c r="U624" s="4"/>
      <c r="V624" s="4"/>
      <c r="W624" s="4"/>
      <c r="X624" s="4"/>
    </row>
    <row r="625" spans="1:24" ht="12.75" customHeight="1">
      <c r="A625" s="48">
        <v>221104</v>
      </c>
      <c r="B625" s="827" t="s">
        <v>510</v>
      </c>
      <c r="C625" s="16">
        <f>SUM(C626:C627)</f>
        <v>290000</v>
      </c>
      <c r="D625" s="40"/>
      <c r="E625" s="8"/>
      <c r="F625" s="8"/>
      <c r="G625" s="8"/>
      <c r="H625" s="4"/>
      <c r="I625" s="4"/>
      <c r="J625" s="4"/>
      <c r="K625" s="4"/>
      <c r="L625" s="4"/>
      <c r="M625" s="4"/>
      <c r="N625" s="4"/>
      <c r="O625" s="4"/>
      <c r="P625" s="4"/>
      <c r="Q625" s="4"/>
      <c r="R625" s="4"/>
      <c r="S625" s="4"/>
      <c r="T625" s="4"/>
      <c r="U625" s="4"/>
      <c r="V625" s="4"/>
      <c r="W625" s="4"/>
      <c r="X625" s="4"/>
    </row>
    <row r="626" spans="1:24" ht="12.75" customHeight="1">
      <c r="A626" s="33">
        <v>22110401</v>
      </c>
      <c r="B626" s="13" t="s">
        <v>511</v>
      </c>
      <c r="C626" s="14">
        <v>200000</v>
      </c>
      <c r="D626" s="40"/>
      <c r="E626" s="8"/>
      <c r="F626" s="8"/>
      <c r="G626" s="8"/>
      <c r="H626" s="4"/>
      <c r="I626" s="4"/>
      <c r="J626" s="4"/>
      <c r="K626" s="4"/>
      <c r="L626" s="4"/>
      <c r="M626" s="4"/>
      <c r="N626" s="4"/>
      <c r="O626" s="4"/>
      <c r="P626" s="4"/>
      <c r="Q626" s="4"/>
      <c r="R626" s="4"/>
      <c r="S626" s="4"/>
      <c r="T626" s="4"/>
      <c r="U626" s="4"/>
      <c r="V626" s="4"/>
      <c r="W626" s="4"/>
      <c r="X626" s="4"/>
    </row>
    <row r="627" spans="1:24" ht="13.5" customHeight="1">
      <c r="A627" s="33">
        <v>22110409</v>
      </c>
      <c r="B627" s="24" t="s">
        <v>513</v>
      </c>
      <c r="C627" s="24">
        <v>90000</v>
      </c>
      <c r="D627" s="40"/>
      <c r="E627" s="14"/>
      <c r="F627" s="13"/>
      <c r="G627" s="13"/>
      <c r="H627" s="13"/>
      <c r="I627" s="13"/>
      <c r="J627" s="13"/>
      <c r="K627" s="13"/>
      <c r="L627" s="13"/>
      <c r="M627" s="13"/>
      <c r="N627" s="13"/>
      <c r="O627" s="13"/>
      <c r="P627" s="13"/>
      <c r="Q627" s="13"/>
      <c r="R627" s="13"/>
      <c r="S627" s="13"/>
      <c r="T627" s="13"/>
      <c r="U627" s="13"/>
      <c r="V627" s="13"/>
      <c r="W627" s="13"/>
      <c r="X627" s="13"/>
    </row>
    <row r="628" spans="1:24" ht="12.75" customHeight="1">
      <c r="A628" s="48">
        <v>221107</v>
      </c>
      <c r="B628" s="26" t="s">
        <v>514</v>
      </c>
      <c r="C628" s="16">
        <f>SUM(C629)</f>
        <v>60000</v>
      </c>
      <c r="D628" s="40"/>
      <c r="E628" s="8"/>
      <c r="F628" s="8"/>
      <c r="G628" s="8"/>
      <c r="H628" s="4"/>
      <c r="I628" s="4"/>
      <c r="J628" s="4"/>
      <c r="K628" s="4"/>
      <c r="L628" s="4"/>
      <c r="M628" s="4"/>
      <c r="N628" s="4"/>
      <c r="O628" s="4"/>
      <c r="P628" s="4"/>
      <c r="Q628" s="4"/>
      <c r="R628" s="4"/>
      <c r="S628" s="4"/>
      <c r="T628" s="4"/>
      <c r="U628" s="4"/>
      <c r="V628" s="4"/>
      <c r="W628" s="4"/>
      <c r="X628" s="4"/>
    </row>
    <row r="629" spans="1:24" ht="12.75" customHeight="1">
      <c r="A629" s="33">
        <v>22110702</v>
      </c>
      <c r="B629" s="13" t="s">
        <v>515</v>
      </c>
      <c r="C629" s="14">
        <v>60000</v>
      </c>
      <c r="D629" s="40"/>
      <c r="E629" s="8"/>
      <c r="F629" s="8"/>
      <c r="G629" s="8"/>
      <c r="H629" s="4"/>
      <c r="I629" s="4"/>
      <c r="J629" s="4"/>
      <c r="K629" s="4"/>
      <c r="L629" s="4"/>
      <c r="M629" s="4"/>
      <c r="N629" s="4"/>
      <c r="O629" s="4"/>
      <c r="P629" s="4"/>
      <c r="Q629" s="4"/>
      <c r="R629" s="4"/>
      <c r="S629" s="4"/>
      <c r="T629" s="4"/>
      <c r="U629" s="4"/>
      <c r="V629" s="4"/>
      <c r="W629" s="4"/>
      <c r="X629" s="4"/>
    </row>
    <row r="630" spans="1:24" ht="12.75" customHeight="1">
      <c r="A630" s="23"/>
      <c r="B630" s="13"/>
      <c r="C630" s="14"/>
      <c r="D630" s="40"/>
      <c r="E630" s="8"/>
      <c r="F630" s="8"/>
      <c r="G630" s="8"/>
      <c r="H630" s="4"/>
      <c r="I630" s="4"/>
      <c r="J630" s="4"/>
      <c r="K630" s="4"/>
      <c r="L630" s="4"/>
      <c r="M630" s="4"/>
      <c r="N630" s="4"/>
      <c r="O630" s="4"/>
      <c r="P630" s="4"/>
      <c r="Q630" s="4"/>
      <c r="R630" s="4"/>
      <c r="S630" s="4"/>
      <c r="T630" s="4"/>
      <c r="U630" s="4"/>
      <c r="V630" s="4"/>
      <c r="W630" s="4"/>
      <c r="X630" s="4"/>
    </row>
    <row r="631" spans="1:24" ht="14.25" thickBot="1">
      <c r="A631" s="23"/>
      <c r="B631" s="24"/>
      <c r="C631" s="24"/>
    </row>
    <row r="632" spans="1:24">
      <c r="A632" s="1063" t="s">
        <v>772</v>
      </c>
      <c r="B632" s="985"/>
      <c r="C632" s="1518">
        <v>1212</v>
      </c>
    </row>
    <row r="633" spans="1:24" ht="13.5" thickBot="1">
      <c r="A633" s="1168"/>
      <c r="B633" s="981"/>
      <c r="C633" s="1519"/>
    </row>
    <row r="634" spans="1:24" ht="13.5">
      <c r="A634" s="1122" t="s">
        <v>675</v>
      </c>
      <c r="B634" s="808"/>
      <c r="C634" s="1184"/>
    </row>
    <row r="635" spans="1:24" ht="13.5">
      <c r="A635" s="1028" t="s">
        <v>728</v>
      </c>
      <c r="B635" s="808"/>
      <c r="C635" s="1184"/>
    </row>
    <row r="636" spans="1:24" ht="13.5">
      <c r="A636" s="1028" t="s">
        <v>729</v>
      </c>
      <c r="B636" s="808"/>
      <c r="C636" s="1184"/>
    </row>
    <row r="637" spans="1:24" ht="14.25" thickBot="1">
      <c r="A637" s="1125" t="s">
        <v>59</v>
      </c>
      <c r="B637" s="982"/>
      <c r="C637" s="1185"/>
    </row>
    <row r="638" spans="1:24" ht="14.25" thickBot="1">
      <c r="A638" s="1171" t="s">
        <v>60</v>
      </c>
      <c r="B638" s="1186"/>
      <c r="C638" s="1173">
        <f>+C640+C667+C686</f>
        <v>105172000</v>
      </c>
    </row>
    <row r="639" spans="1:24" ht="14.25" thickBot="1">
      <c r="A639" s="23"/>
      <c r="B639" s="23"/>
      <c r="C639" s="24"/>
    </row>
    <row r="640" spans="1:24" ht="14.25" thickBot="1">
      <c r="A640" s="1297" t="s">
        <v>9</v>
      </c>
      <c r="B640" s="1281"/>
      <c r="C640" s="62">
        <f>C641+C644+C646+C648+C650+C654+C658+C662</f>
        <v>70638000</v>
      </c>
    </row>
    <row r="641" spans="1:3" ht="13.5">
      <c r="A641" s="48">
        <v>211201</v>
      </c>
      <c r="B641" s="48" t="s">
        <v>459</v>
      </c>
      <c r="C641" s="49">
        <f>C642+C643</f>
        <v>33880500</v>
      </c>
    </row>
    <row r="642" spans="1:3" ht="13.5">
      <c r="A642" s="33">
        <v>21120101</v>
      </c>
      <c r="B642" s="13" t="s">
        <v>460</v>
      </c>
      <c r="C642" s="24">
        <f>636500</f>
        <v>636500</v>
      </c>
    </row>
    <row r="643" spans="1:3" ht="13.5">
      <c r="A643" s="33">
        <v>21120102</v>
      </c>
      <c r="B643" s="23" t="s">
        <v>575</v>
      </c>
      <c r="C643" s="51">
        <f>18244000+15000000</f>
        <v>33244000</v>
      </c>
    </row>
    <row r="644" spans="1:3" ht="13.5">
      <c r="A644" s="48">
        <v>211203</v>
      </c>
      <c r="B644" s="21" t="s">
        <v>461</v>
      </c>
      <c r="C644" s="49">
        <f>C645</f>
        <v>958000</v>
      </c>
    </row>
    <row r="645" spans="1:3" ht="13.5">
      <c r="A645" s="33">
        <v>21120302</v>
      </c>
      <c r="B645" s="23" t="s">
        <v>462</v>
      </c>
      <c r="C645" s="24">
        <v>958000</v>
      </c>
    </row>
    <row r="646" spans="1:3" ht="13.5">
      <c r="A646" s="48">
        <v>211204</v>
      </c>
      <c r="B646" s="21" t="s">
        <v>463</v>
      </c>
      <c r="C646" s="49">
        <f>C647</f>
        <v>472000</v>
      </c>
    </row>
    <row r="647" spans="1:3" ht="13.5">
      <c r="A647" s="33">
        <v>21120401</v>
      </c>
      <c r="B647" s="24" t="s">
        <v>464</v>
      </c>
      <c r="C647" s="24">
        <f>472000</f>
        <v>472000</v>
      </c>
    </row>
    <row r="648" spans="1:3" ht="13.5">
      <c r="A648" s="48">
        <v>211205</v>
      </c>
      <c r="B648" s="26" t="s">
        <v>465</v>
      </c>
      <c r="C648" s="26">
        <f>C649</f>
        <v>80000</v>
      </c>
    </row>
    <row r="649" spans="1:3" ht="13.5">
      <c r="A649" s="33">
        <v>21120501</v>
      </c>
      <c r="B649" s="23" t="s">
        <v>466</v>
      </c>
      <c r="C649" s="24">
        <v>80000</v>
      </c>
    </row>
    <row r="650" spans="1:3" ht="13.5">
      <c r="A650" s="48">
        <v>211206</v>
      </c>
      <c r="B650" s="21" t="s">
        <v>565</v>
      </c>
      <c r="C650" s="26">
        <f>+SUM(C651:C653)</f>
        <v>14835000</v>
      </c>
    </row>
    <row r="651" spans="1:3" ht="13.5">
      <c r="A651" s="33">
        <v>21120602</v>
      </c>
      <c r="B651" s="23" t="s">
        <v>566</v>
      </c>
      <c r="C651" s="24">
        <v>6055500</v>
      </c>
    </row>
    <row r="652" spans="1:3" ht="13.5">
      <c r="A652" s="33">
        <v>21120604</v>
      </c>
      <c r="B652" s="23" t="s">
        <v>567</v>
      </c>
      <c r="C652" s="24">
        <v>250000</v>
      </c>
    </row>
    <row r="653" spans="1:3" ht="13.5">
      <c r="A653" s="33">
        <v>21120605</v>
      </c>
      <c r="B653" s="23" t="s">
        <v>576</v>
      </c>
      <c r="C653" s="24">
        <v>8529500</v>
      </c>
    </row>
    <row r="654" spans="1:3" ht="13.5">
      <c r="A654" s="48">
        <v>211207</v>
      </c>
      <c r="B654" s="26" t="s">
        <v>467</v>
      </c>
      <c r="C654" s="26">
        <f>+SUM(C655:C657)</f>
        <v>1613000</v>
      </c>
    </row>
    <row r="655" spans="1:3" ht="13.5">
      <c r="A655" s="33">
        <v>21120703</v>
      </c>
      <c r="B655" s="23" t="s">
        <v>568</v>
      </c>
      <c r="C655" s="24">
        <v>520000</v>
      </c>
    </row>
    <row r="656" spans="1:3" ht="13.5">
      <c r="A656" s="33">
        <v>21120704</v>
      </c>
      <c r="B656" s="24" t="s">
        <v>469</v>
      </c>
      <c r="C656" s="24">
        <v>1020000</v>
      </c>
    </row>
    <row r="657" spans="1:3" ht="13.5">
      <c r="A657" s="33">
        <v>21120706</v>
      </c>
      <c r="B657" s="13" t="s">
        <v>542</v>
      </c>
      <c r="C657" s="24">
        <v>73000</v>
      </c>
    </row>
    <row r="658" spans="1:3" ht="13.5">
      <c r="A658" s="48">
        <v>211208</v>
      </c>
      <c r="B658" s="21" t="s">
        <v>474</v>
      </c>
      <c r="C658" s="26">
        <f>+SUM(C659:C661)</f>
        <v>11400500</v>
      </c>
    </row>
    <row r="659" spans="1:3" ht="13.5">
      <c r="A659" s="33">
        <v>21120801</v>
      </c>
      <c r="B659" s="13" t="s">
        <v>475</v>
      </c>
      <c r="C659" s="24">
        <v>3020000</v>
      </c>
    </row>
    <row r="660" spans="1:3" ht="13.5">
      <c r="A660" s="33">
        <v>21120805</v>
      </c>
      <c r="B660" s="24" t="s">
        <v>476</v>
      </c>
      <c r="C660" s="51">
        <v>5841000</v>
      </c>
    </row>
    <row r="661" spans="1:3" ht="13.5">
      <c r="A661" s="33">
        <v>21120806</v>
      </c>
      <c r="B661" s="13" t="s">
        <v>534</v>
      </c>
      <c r="C661" s="24">
        <v>2539500</v>
      </c>
    </row>
    <row r="662" spans="1:3" ht="13.5">
      <c r="A662" s="48">
        <v>211209</v>
      </c>
      <c r="B662" s="26" t="s">
        <v>477</v>
      </c>
      <c r="C662" s="26">
        <f>+SUM(C663:C665)</f>
        <v>7399000</v>
      </c>
    </row>
    <row r="663" spans="1:3" ht="13.5">
      <c r="A663" s="33">
        <v>21120901</v>
      </c>
      <c r="B663" s="23" t="s">
        <v>478</v>
      </c>
      <c r="C663" s="24">
        <f>1375500+5000000</f>
        <v>6375500</v>
      </c>
    </row>
    <row r="664" spans="1:3" ht="13.5">
      <c r="A664" s="33">
        <v>21120906</v>
      </c>
      <c r="B664" s="24" t="s">
        <v>479</v>
      </c>
      <c r="C664" s="24">
        <v>838500</v>
      </c>
    </row>
    <row r="665" spans="1:3" ht="13.5">
      <c r="A665" s="33">
        <v>21120907</v>
      </c>
      <c r="B665" s="13" t="s">
        <v>480</v>
      </c>
      <c r="C665" s="14">
        <v>185000</v>
      </c>
    </row>
    <row r="666" spans="1:3" ht="14.25" thickBot="1">
      <c r="A666" s="23"/>
      <c r="B666" s="24"/>
      <c r="C666" s="24"/>
    </row>
    <row r="667" spans="1:3" ht="14.25" thickBot="1">
      <c r="A667" s="1298" t="s">
        <v>4</v>
      </c>
      <c r="B667" s="1281"/>
      <c r="C667" s="64">
        <f>+C668+C676+C679+C681+C674</f>
        <v>31849500</v>
      </c>
    </row>
    <row r="668" spans="1:3" ht="13.5">
      <c r="A668" s="48">
        <v>211303</v>
      </c>
      <c r="B668" s="21" t="s">
        <v>484</v>
      </c>
      <c r="C668" s="26">
        <f>+SUM(C669:C673)</f>
        <v>11677500</v>
      </c>
    </row>
    <row r="669" spans="1:3" ht="13.5">
      <c r="A669" s="33">
        <v>21130301</v>
      </c>
      <c r="B669" s="23" t="s">
        <v>485</v>
      </c>
      <c r="C669" s="24">
        <v>10170500</v>
      </c>
    </row>
    <row r="670" spans="1:3" ht="13.5">
      <c r="A670" s="33">
        <v>21130303</v>
      </c>
      <c r="B670" s="23" t="s">
        <v>570</v>
      </c>
      <c r="C670" s="24">
        <v>520000</v>
      </c>
    </row>
    <row r="671" spans="1:3" ht="13.5">
      <c r="A671" s="33">
        <v>21130304</v>
      </c>
      <c r="B671" s="23" t="s">
        <v>486</v>
      </c>
      <c r="C671" s="24">
        <v>254500</v>
      </c>
    </row>
    <row r="672" spans="1:3" ht="13.5">
      <c r="A672" s="33">
        <v>21130305</v>
      </c>
      <c r="B672" s="23" t="s">
        <v>577</v>
      </c>
      <c r="C672" s="24">
        <v>40000</v>
      </c>
    </row>
    <row r="673" spans="1:3" ht="13.5">
      <c r="A673" s="33">
        <v>21130307</v>
      </c>
      <c r="B673" s="23" t="s">
        <v>488</v>
      </c>
      <c r="C673" s="24">
        <v>692500</v>
      </c>
    </row>
    <row r="674" spans="1:3" ht="13.5">
      <c r="A674" s="48">
        <v>211304</v>
      </c>
      <c r="B674" s="21" t="s">
        <v>578</v>
      </c>
      <c r="C674" s="26">
        <f>C675</f>
        <v>2328500</v>
      </c>
    </row>
    <row r="675" spans="1:3" ht="13.5">
      <c r="A675" s="33">
        <v>21130403</v>
      </c>
      <c r="B675" s="23" t="s">
        <v>579</v>
      </c>
      <c r="C675" s="24">
        <v>2328500</v>
      </c>
    </row>
    <row r="676" spans="1:3" ht="13.5">
      <c r="A676" s="48">
        <v>211305</v>
      </c>
      <c r="B676" s="21" t="s">
        <v>489</v>
      </c>
      <c r="C676" s="26">
        <f>C677+C678</f>
        <v>5137500</v>
      </c>
    </row>
    <row r="677" spans="1:3" ht="13.5">
      <c r="A677" s="33">
        <v>21130501</v>
      </c>
      <c r="B677" s="13" t="s">
        <v>490</v>
      </c>
      <c r="C677" s="24">
        <v>57500</v>
      </c>
    </row>
    <row r="678" spans="1:3" ht="13.5">
      <c r="A678" s="33">
        <v>21130502</v>
      </c>
      <c r="B678" s="24" t="s">
        <v>491</v>
      </c>
      <c r="C678" s="51">
        <f>5000000+80000</f>
        <v>5080000</v>
      </c>
    </row>
    <row r="679" spans="1:3" ht="13.5">
      <c r="A679" s="48">
        <v>211307</v>
      </c>
      <c r="B679" s="26" t="s">
        <v>494</v>
      </c>
      <c r="C679" s="26">
        <f>C680</f>
        <v>886000</v>
      </c>
    </row>
    <row r="680" spans="1:3" ht="13.5">
      <c r="A680" s="33">
        <v>21130701</v>
      </c>
      <c r="B680" s="24" t="s">
        <v>495</v>
      </c>
      <c r="C680" s="24">
        <v>886000</v>
      </c>
    </row>
    <row r="681" spans="1:3" ht="13.5">
      <c r="A681" s="48">
        <v>211309</v>
      </c>
      <c r="B681" s="26" t="s">
        <v>496</v>
      </c>
      <c r="C681" s="26">
        <f>+SUM(C682:C684)</f>
        <v>11820000</v>
      </c>
    </row>
    <row r="682" spans="1:3" ht="13.5">
      <c r="A682" s="33">
        <v>21130901</v>
      </c>
      <c r="B682" s="24" t="s">
        <v>497</v>
      </c>
      <c r="C682" s="51">
        <v>10536500</v>
      </c>
    </row>
    <row r="683" spans="1:3" ht="13.5">
      <c r="A683" s="33">
        <v>21130903</v>
      </c>
      <c r="B683" s="24" t="s">
        <v>498</v>
      </c>
      <c r="C683" s="24">
        <v>40000</v>
      </c>
    </row>
    <row r="684" spans="1:3" ht="13.5">
      <c r="A684" s="33">
        <v>21130908</v>
      </c>
      <c r="B684" s="24" t="s">
        <v>500</v>
      </c>
      <c r="C684" s="24">
        <f>-30000+1273500</f>
        <v>1243500</v>
      </c>
    </row>
    <row r="685" spans="1:3" ht="14.25" thickBot="1">
      <c r="A685" s="23"/>
      <c r="B685" s="23"/>
      <c r="C685" s="24"/>
    </row>
    <row r="686" spans="1:3" ht="14.25" thickBot="1">
      <c r="A686" s="1299" t="s">
        <v>48</v>
      </c>
      <c r="B686" s="1281"/>
      <c r="C686" s="65">
        <f>+C687+C690+C692</f>
        <v>2684500</v>
      </c>
    </row>
    <row r="687" spans="1:3" ht="13.5">
      <c r="A687" s="48">
        <v>221102</v>
      </c>
      <c r="B687" s="827" t="s">
        <v>543</v>
      </c>
      <c r="C687" s="49">
        <f>+SUM(C688:C689)</f>
        <v>1313000</v>
      </c>
    </row>
    <row r="688" spans="1:3" ht="13.5">
      <c r="A688" s="33">
        <v>22110201</v>
      </c>
      <c r="B688" s="23" t="s">
        <v>571</v>
      </c>
      <c r="C688" s="24">
        <v>1090000</v>
      </c>
    </row>
    <row r="689" spans="1:4" ht="13.5">
      <c r="A689" s="33">
        <v>22110205</v>
      </c>
      <c r="B689" s="33" t="s">
        <v>546</v>
      </c>
      <c r="C689" s="24">
        <v>223000</v>
      </c>
    </row>
    <row r="690" spans="1:4" ht="13.5">
      <c r="A690" s="48">
        <v>221104</v>
      </c>
      <c r="B690" s="827" t="s">
        <v>510</v>
      </c>
      <c r="C690" s="26">
        <f>C691</f>
        <v>1100000</v>
      </c>
    </row>
    <row r="691" spans="1:4" ht="13.5">
      <c r="A691" s="33">
        <v>22110405</v>
      </c>
      <c r="B691" s="24" t="s">
        <v>554</v>
      </c>
      <c r="C691" s="24">
        <v>1100000</v>
      </c>
    </row>
    <row r="692" spans="1:4" ht="13.5">
      <c r="A692" s="48">
        <v>221107</v>
      </c>
      <c r="B692" s="26" t="s">
        <v>514</v>
      </c>
      <c r="C692" s="26">
        <f>C693</f>
        <v>271500</v>
      </c>
    </row>
    <row r="693" spans="1:4" ht="13.5">
      <c r="A693" s="33">
        <v>22110702</v>
      </c>
      <c r="B693" s="24" t="s">
        <v>515</v>
      </c>
      <c r="C693" s="24">
        <v>271500</v>
      </c>
    </row>
    <row r="694" spans="1:4" ht="13.5">
      <c r="A694" s="23"/>
      <c r="B694" s="24"/>
      <c r="C694" s="24"/>
    </row>
    <row r="695" spans="1:4" ht="13.5" thickBot="1"/>
    <row r="696" spans="1:4">
      <c r="A696" s="1334" t="s">
        <v>965</v>
      </c>
      <c r="B696" s="1335"/>
      <c r="C696" s="1518">
        <v>1213</v>
      </c>
      <c r="D696" s="977"/>
    </row>
    <row r="697" spans="1:4" ht="13.5" thickBot="1">
      <c r="A697" s="1363"/>
      <c r="B697" s="1303"/>
      <c r="C697" s="1519"/>
      <c r="D697" s="978"/>
    </row>
    <row r="698" spans="1:4" ht="13.5">
      <c r="A698" s="1122" t="s">
        <v>675</v>
      </c>
      <c r="B698" s="1137"/>
      <c r="C698" s="1183"/>
    </row>
    <row r="699" spans="1:4" ht="13.5">
      <c r="A699" s="1028" t="s">
        <v>728</v>
      </c>
      <c r="B699" s="808"/>
      <c r="C699" s="1184"/>
    </row>
    <row r="700" spans="1:4" ht="13.5">
      <c r="A700" s="1028" t="s">
        <v>729</v>
      </c>
      <c r="B700" s="808"/>
      <c r="C700" s="1184"/>
    </row>
    <row r="701" spans="1:4" ht="14.25" thickBot="1">
      <c r="A701" s="1125" t="s">
        <v>59</v>
      </c>
      <c r="B701" s="982"/>
      <c r="C701" s="1184"/>
    </row>
    <row r="702" spans="1:4" ht="14.25" thickBot="1">
      <c r="A702" s="1171" t="s">
        <v>60</v>
      </c>
      <c r="B702" s="1186"/>
      <c r="C702" s="1033">
        <f>+C704+C729+C741</f>
        <v>124328000</v>
      </c>
    </row>
    <row r="703" spans="1:4" ht="14.25" thickBot="1">
      <c r="A703" s="23"/>
      <c r="B703" s="23"/>
      <c r="C703" s="24"/>
    </row>
    <row r="704" spans="1:4" ht="14.25" thickBot="1">
      <c r="A704" s="1297" t="s">
        <v>9</v>
      </c>
      <c r="B704" s="1281"/>
      <c r="C704" s="62">
        <f>+C707+C710+C712+C714+C719+C723+C725+C716+C705</f>
        <v>111095500</v>
      </c>
    </row>
    <row r="705" spans="1:3" ht="13.5">
      <c r="A705" s="48">
        <v>211201</v>
      </c>
      <c r="B705" s="48" t="s">
        <v>459</v>
      </c>
      <c r="C705" s="49">
        <f>C706</f>
        <v>59500</v>
      </c>
    </row>
    <row r="706" spans="1:3" ht="13.5">
      <c r="A706" s="33">
        <v>21120101</v>
      </c>
      <c r="B706" s="13" t="s">
        <v>460</v>
      </c>
      <c r="C706" s="24">
        <v>59500</v>
      </c>
    </row>
    <row r="707" spans="1:3" ht="13.5">
      <c r="A707" s="48">
        <v>211202</v>
      </c>
      <c r="B707" s="21" t="s">
        <v>529</v>
      </c>
      <c r="C707" s="26">
        <f>SUM(C708:C709)</f>
        <v>108253500</v>
      </c>
    </row>
    <row r="708" spans="1:3" ht="13.5">
      <c r="A708" s="33">
        <v>21120201</v>
      </c>
      <c r="B708" s="13" t="s">
        <v>540</v>
      </c>
      <c r="C708" s="24">
        <f>15000000+90743500</f>
        <v>105743500</v>
      </c>
    </row>
    <row r="709" spans="1:3" ht="13.5">
      <c r="A709" s="33">
        <v>21120203</v>
      </c>
      <c r="B709" s="23" t="s">
        <v>564</v>
      </c>
      <c r="C709" s="24">
        <f>60000+2450000</f>
        <v>2510000</v>
      </c>
    </row>
    <row r="710" spans="1:3" ht="13.5">
      <c r="A710" s="48">
        <v>211203</v>
      </c>
      <c r="B710" s="21" t="s">
        <v>461</v>
      </c>
      <c r="C710" s="49">
        <f>C711</f>
        <v>50000</v>
      </c>
    </row>
    <row r="711" spans="1:3" ht="13.5">
      <c r="A711" s="33">
        <v>21120302</v>
      </c>
      <c r="B711" s="23" t="s">
        <v>462</v>
      </c>
      <c r="C711" s="24">
        <v>50000</v>
      </c>
    </row>
    <row r="712" spans="1:3" ht="13.5">
      <c r="A712" s="48">
        <v>211204</v>
      </c>
      <c r="B712" s="21" t="s">
        <v>463</v>
      </c>
      <c r="C712" s="49">
        <f>C713</f>
        <v>1257000</v>
      </c>
    </row>
    <row r="713" spans="1:3" ht="13.5">
      <c r="A713" s="33">
        <v>21120401</v>
      </c>
      <c r="B713" s="24" t="s">
        <v>464</v>
      </c>
      <c r="C713" s="24">
        <v>1257000</v>
      </c>
    </row>
    <row r="714" spans="1:3" ht="13.5">
      <c r="A714" s="48">
        <v>211205</v>
      </c>
      <c r="B714" s="26" t="s">
        <v>465</v>
      </c>
      <c r="C714" s="26">
        <f>C715</f>
        <v>250000</v>
      </c>
    </row>
    <row r="715" spans="1:3" ht="13.5">
      <c r="A715" s="33">
        <v>21120501</v>
      </c>
      <c r="B715" s="23" t="s">
        <v>466</v>
      </c>
      <c r="C715" s="24">
        <v>250000</v>
      </c>
    </row>
    <row r="716" spans="1:3" ht="13.5">
      <c r="A716" s="48">
        <v>211206</v>
      </c>
      <c r="B716" s="21" t="s">
        <v>565</v>
      </c>
      <c r="C716" s="26">
        <f>C717+C718</f>
        <v>650000</v>
      </c>
    </row>
    <row r="717" spans="1:3" ht="13.5">
      <c r="A717" s="33">
        <v>21120602</v>
      </c>
      <c r="B717" s="23" t="s">
        <v>566</v>
      </c>
      <c r="C717" s="24">
        <v>500000</v>
      </c>
    </row>
    <row r="718" spans="1:3" ht="13.5">
      <c r="A718" s="33">
        <v>21120604</v>
      </c>
      <c r="B718" s="23" t="s">
        <v>567</v>
      </c>
      <c r="C718" s="24">
        <v>150000</v>
      </c>
    </row>
    <row r="719" spans="1:3" ht="13.5">
      <c r="A719" s="48">
        <v>211207</v>
      </c>
      <c r="B719" s="26" t="s">
        <v>467</v>
      </c>
      <c r="C719" s="26">
        <f>SUM(C720:C722)</f>
        <v>140000</v>
      </c>
    </row>
    <row r="720" spans="1:3" ht="13.5">
      <c r="A720" s="33">
        <v>21120703</v>
      </c>
      <c r="B720" s="23" t="s">
        <v>568</v>
      </c>
      <c r="C720" s="24">
        <v>60000</v>
      </c>
    </row>
    <row r="721" spans="1:3" ht="13.5">
      <c r="A721" s="33">
        <v>21120704</v>
      </c>
      <c r="B721" s="24" t="s">
        <v>469</v>
      </c>
      <c r="C721" s="24">
        <v>50000</v>
      </c>
    </row>
    <row r="722" spans="1:3" ht="13.5">
      <c r="A722" s="33">
        <v>21120708</v>
      </c>
      <c r="B722" s="13" t="s">
        <v>470</v>
      </c>
      <c r="C722" s="24">
        <v>30000</v>
      </c>
    </row>
    <row r="723" spans="1:3" ht="13.5">
      <c r="A723" s="48">
        <v>211208</v>
      </c>
      <c r="B723" s="21" t="s">
        <v>474</v>
      </c>
      <c r="C723" s="26">
        <f>C724</f>
        <v>235500</v>
      </c>
    </row>
    <row r="724" spans="1:3" ht="13.5">
      <c r="A724" s="33">
        <v>21120805</v>
      </c>
      <c r="B724" s="24" t="s">
        <v>476</v>
      </c>
      <c r="C724" s="24">
        <v>235500</v>
      </c>
    </row>
    <row r="725" spans="1:3" ht="13.5">
      <c r="A725" s="48">
        <v>211209</v>
      </c>
      <c r="B725" s="26" t="s">
        <v>477</v>
      </c>
      <c r="C725" s="26">
        <f>SUM(C726:C727)</f>
        <v>200000</v>
      </c>
    </row>
    <row r="726" spans="1:3" ht="13.5">
      <c r="A726" s="33">
        <v>21120903</v>
      </c>
      <c r="B726" s="13" t="s">
        <v>569</v>
      </c>
      <c r="C726" s="24">
        <v>150000</v>
      </c>
    </row>
    <row r="727" spans="1:3" ht="13.5">
      <c r="A727" s="33">
        <v>21120906</v>
      </c>
      <c r="B727" s="24" t="s">
        <v>479</v>
      </c>
      <c r="C727" s="24">
        <v>50000</v>
      </c>
    </row>
    <row r="728" spans="1:3" ht="14.25" thickBot="1">
      <c r="A728" s="23"/>
      <c r="B728" s="24"/>
      <c r="C728" s="24"/>
    </row>
    <row r="729" spans="1:3" ht="14.25" thickBot="1">
      <c r="A729" s="1298" t="s">
        <v>4</v>
      </c>
      <c r="B729" s="1281"/>
      <c r="C729" s="64">
        <f>+C730+C734+C736</f>
        <v>12552500</v>
      </c>
    </row>
    <row r="730" spans="1:3" ht="13.5">
      <c r="A730" s="48">
        <v>211303</v>
      </c>
      <c r="B730" s="21" t="s">
        <v>484</v>
      </c>
      <c r="C730" s="26">
        <f>+SUM(C731:C733)</f>
        <v>424000</v>
      </c>
    </row>
    <row r="731" spans="1:3" ht="13.5">
      <c r="A731" s="33">
        <v>21130303</v>
      </c>
      <c r="B731" s="23" t="s">
        <v>570</v>
      </c>
      <c r="C731" s="24">
        <v>200000</v>
      </c>
    </row>
    <row r="732" spans="1:3" ht="13.5">
      <c r="A732" s="33">
        <v>21130304</v>
      </c>
      <c r="B732" s="23" t="s">
        <v>486</v>
      </c>
      <c r="C732" s="24">
        <v>34000</v>
      </c>
    </row>
    <row r="733" spans="1:3" ht="13.5">
      <c r="A733" s="33">
        <v>21130307</v>
      </c>
      <c r="B733" s="23" t="s">
        <v>488</v>
      </c>
      <c r="C733" s="24">
        <v>190000</v>
      </c>
    </row>
    <row r="734" spans="1:3" ht="13.5">
      <c r="A734" s="48">
        <v>211305</v>
      </c>
      <c r="B734" s="21" t="s">
        <v>489</v>
      </c>
      <c r="C734" s="26">
        <f>C735</f>
        <v>10062000</v>
      </c>
    </row>
    <row r="735" spans="1:3" ht="13.5">
      <c r="A735" s="33">
        <v>21130502</v>
      </c>
      <c r="B735" s="24" t="s">
        <v>491</v>
      </c>
      <c r="C735" s="24">
        <f>62000+10000000</f>
        <v>10062000</v>
      </c>
    </row>
    <row r="736" spans="1:3" ht="13.5">
      <c r="A736" s="48">
        <v>211309</v>
      </c>
      <c r="B736" s="26" t="s">
        <v>496</v>
      </c>
      <c r="C736" s="26">
        <f>+SUM(C737:C739)</f>
        <v>2066500</v>
      </c>
    </row>
    <row r="737" spans="1:3" ht="13.5">
      <c r="A737" s="33">
        <v>21130901</v>
      </c>
      <c r="B737" s="24" t="s">
        <v>497</v>
      </c>
      <c r="C737" s="24">
        <v>1815000</v>
      </c>
    </row>
    <row r="738" spans="1:3" ht="13.5">
      <c r="A738" s="33">
        <v>21130903</v>
      </c>
      <c r="B738" s="24" t="s">
        <v>498</v>
      </c>
      <c r="C738" s="24">
        <v>6500</v>
      </c>
    </row>
    <row r="739" spans="1:3" ht="13.5">
      <c r="A739" s="33">
        <v>21130908</v>
      </c>
      <c r="B739" s="24" t="s">
        <v>500</v>
      </c>
      <c r="C739" s="24">
        <v>245000</v>
      </c>
    </row>
    <row r="740" spans="1:3" ht="14.25" thickBot="1">
      <c r="A740" s="33"/>
      <c r="B740" s="23"/>
      <c r="C740" s="24"/>
    </row>
    <row r="741" spans="1:3" ht="14.25" thickBot="1">
      <c r="A741" s="1299" t="s">
        <v>48</v>
      </c>
      <c r="B741" s="1281"/>
      <c r="C741" s="65">
        <f>C742+C744+C746</f>
        <v>680000</v>
      </c>
    </row>
    <row r="742" spans="1:3" ht="13.5">
      <c r="A742" s="48">
        <v>221102</v>
      </c>
      <c r="B742" s="48" t="s">
        <v>543</v>
      </c>
      <c r="C742" s="49">
        <f>SUM(C743)</f>
        <v>130000</v>
      </c>
    </row>
    <row r="743" spans="1:3" ht="13.5">
      <c r="A743" s="33">
        <v>22110201</v>
      </c>
      <c r="B743" s="23" t="s">
        <v>571</v>
      </c>
      <c r="C743" s="24">
        <v>130000</v>
      </c>
    </row>
    <row r="744" spans="1:3" ht="13.5">
      <c r="A744" s="48">
        <v>221104</v>
      </c>
      <c r="B744" s="48" t="s">
        <v>510</v>
      </c>
      <c r="C744" s="26">
        <f>SUM(C745)</f>
        <v>500000</v>
      </c>
    </row>
    <row r="745" spans="1:3" ht="13.5">
      <c r="A745" s="33">
        <v>22110401</v>
      </c>
      <c r="B745" s="24" t="s">
        <v>511</v>
      </c>
      <c r="C745" s="24">
        <v>500000</v>
      </c>
    </row>
    <row r="746" spans="1:3" ht="13.5">
      <c r="A746" s="48">
        <v>221107</v>
      </c>
      <c r="B746" s="26" t="s">
        <v>514</v>
      </c>
      <c r="C746" s="26">
        <f>SUM(C747)</f>
        <v>50000</v>
      </c>
    </row>
    <row r="747" spans="1:3" ht="13.5">
      <c r="A747" s="33">
        <v>22110702</v>
      </c>
      <c r="B747" s="24" t="s">
        <v>515</v>
      </c>
      <c r="C747" s="24">
        <v>50000</v>
      </c>
    </row>
    <row r="748" spans="1:3" ht="13.5">
      <c r="A748" s="23"/>
      <c r="B748" s="24"/>
      <c r="C748" s="24"/>
    </row>
    <row r="749" spans="1:3" ht="13.5">
      <c r="A749" s="23"/>
      <c r="B749" s="24"/>
      <c r="C749" s="24"/>
    </row>
  </sheetData>
  <mergeCells count="54">
    <mergeCell ref="A3:B4"/>
    <mergeCell ref="A99:B100"/>
    <mergeCell ref="A143:B144"/>
    <mergeCell ref="A189:B190"/>
    <mergeCell ref="A232:B233"/>
    <mergeCell ref="A554:B554"/>
    <mergeCell ref="A510:B510"/>
    <mergeCell ref="A530:B530"/>
    <mergeCell ref="A535:B535"/>
    <mergeCell ref="A410:B411"/>
    <mergeCell ref="A546:B547"/>
    <mergeCell ref="A353:B353"/>
    <mergeCell ref="A182:B182"/>
    <mergeCell ref="A240:B240"/>
    <mergeCell ref="A261:B261"/>
    <mergeCell ref="A277:B277"/>
    <mergeCell ref="A210:B210"/>
    <mergeCell ref="A225:B225"/>
    <mergeCell ref="A286:B287"/>
    <mergeCell ref="A395:B395"/>
    <mergeCell ref="A400:B400"/>
    <mergeCell ref="A487:B487"/>
    <mergeCell ref="A418:B418"/>
    <mergeCell ref="A449:B449"/>
    <mergeCell ref="A469:B469"/>
    <mergeCell ref="A624:B624"/>
    <mergeCell ref="A686:B686"/>
    <mergeCell ref="A640:B640"/>
    <mergeCell ref="A667:B667"/>
    <mergeCell ref="A696:B697"/>
    <mergeCell ref="A704:B704"/>
    <mergeCell ref="A729:B729"/>
    <mergeCell ref="A741:B741"/>
    <mergeCell ref="A294:B294"/>
    <mergeCell ref="A311:B311"/>
    <mergeCell ref="A327:B327"/>
    <mergeCell ref="A376:B376"/>
    <mergeCell ref="A570:B570"/>
    <mergeCell ref="A583:B583"/>
    <mergeCell ref="A336:B336"/>
    <mergeCell ref="A597:B597"/>
    <mergeCell ref="A611:B611"/>
    <mergeCell ref="A588:B589"/>
    <mergeCell ref="A136:B136"/>
    <mergeCell ref="A197:B197"/>
    <mergeCell ref="A151:B151"/>
    <mergeCell ref="A168:B168"/>
    <mergeCell ref="A11:B11"/>
    <mergeCell ref="A34:B34"/>
    <mergeCell ref="A60:B60"/>
    <mergeCell ref="A81:B81"/>
    <mergeCell ref="A90:B90"/>
    <mergeCell ref="A107:B107"/>
    <mergeCell ref="A122:B122"/>
  </mergeCells>
  <printOptions horizontalCentered="1"/>
  <pageMargins left="0.78740157480314965" right="0.59055118110236227" top="0.78740157480314965" bottom="0.78740157480314965" header="0.31496062992125984" footer="0.31496062992125984"/>
  <pageSetup paperSize="9" orientation="portrait" horizontalDpi="0" verticalDpi="0" r:id="rId1"/>
  <headerFooter>
    <oddHeader>&amp;L&amp;"Arial Narrow,Negrita"MUNICIPALIDAD DE VILLA MARÍA&amp;R&amp;"Arial Narrow,Negrita"PRESUPUESTO 2024</oddHeader>
    <oddFooter>&amp;R&amp;"Arial Narrow,Normal"&amp;P</oddFooter>
  </headerFooter>
  <rowBreaks count="6" manualBreakCount="6">
    <brk id="56" max="2" man="1"/>
    <brk id="385" max="2" man="1"/>
    <brk id="497" max="2" man="1"/>
    <brk id="553" max="2" man="1"/>
    <brk id="610" max="2" man="1"/>
    <brk id="666"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6FF33"/>
  </sheetPr>
  <dimension ref="A1:AH752"/>
  <sheetViews>
    <sheetView showRuler="0" zoomScaleNormal="100" zoomScaleSheetLayoutView="75" workbookViewId="0">
      <selection activeCell="E15" sqref="E15"/>
    </sheetView>
  </sheetViews>
  <sheetFormatPr baseColWidth="10" defaultColWidth="14.42578125" defaultRowHeight="15" customHeight="1"/>
  <cols>
    <col min="1" max="1" width="10.7109375" customWidth="1"/>
    <col min="2" max="2" width="50.7109375" customWidth="1"/>
    <col min="3" max="3" width="15.7109375" customWidth="1"/>
    <col min="4" max="4" width="18.5703125" customWidth="1"/>
    <col min="5" max="5" width="15.5703125" customWidth="1"/>
    <col min="6" max="6" width="17" customWidth="1"/>
    <col min="7" max="7" width="14.42578125" customWidth="1"/>
    <col min="8" max="8" width="13.5703125" customWidth="1"/>
    <col min="9" max="9" width="12.7109375" customWidth="1"/>
    <col min="10" max="34" width="10.7109375" customWidth="1"/>
  </cols>
  <sheetData>
    <row r="1" spans="1:34" ht="12.75" customHeight="1" thickBot="1">
      <c r="A1" s="1558" t="s">
        <v>975</v>
      </c>
      <c r="B1" s="1559"/>
      <c r="C1" s="1560"/>
      <c r="D1" s="102"/>
      <c r="E1" s="622"/>
      <c r="F1" s="103"/>
      <c r="G1" s="103"/>
      <c r="H1" s="103"/>
      <c r="I1" s="103"/>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row>
    <row r="2" spans="1:34" ht="12.75" customHeight="1" thickBot="1">
      <c r="A2" s="23"/>
      <c r="B2" s="23"/>
      <c r="C2" s="46"/>
      <c r="D2" s="27"/>
      <c r="E2" s="27"/>
      <c r="F2" s="7"/>
      <c r="G2" s="78"/>
      <c r="H2" s="7"/>
      <c r="I2" s="7"/>
      <c r="J2" s="9"/>
      <c r="K2" s="9"/>
      <c r="L2" s="9"/>
      <c r="M2" s="9"/>
      <c r="N2" s="9"/>
      <c r="O2" s="9"/>
      <c r="P2" s="9"/>
      <c r="Q2" s="9"/>
      <c r="R2" s="9"/>
      <c r="S2" s="9"/>
      <c r="T2" s="9"/>
      <c r="U2" s="9"/>
      <c r="V2" s="9"/>
      <c r="W2" s="9"/>
      <c r="X2" s="9"/>
      <c r="Y2" s="9"/>
      <c r="Z2" s="9"/>
      <c r="AA2" s="9"/>
      <c r="AB2" s="9"/>
      <c r="AC2" s="9"/>
      <c r="AD2" s="9"/>
      <c r="AE2" s="9"/>
      <c r="AF2" s="9"/>
      <c r="AG2" s="9"/>
      <c r="AH2" s="9"/>
    </row>
    <row r="3" spans="1:34" ht="13.5" customHeight="1">
      <c r="A3" s="1383" t="s">
        <v>889</v>
      </c>
      <c r="B3" s="1499"/>
      <c r="C3" s="1518">
        <v>1301</v>
      </c>
      <c r="D3" s="29"/>
      <c r="E3" s="29"/>
      <c r="F3" s="105"/>
      <c r="G3" s="105"/>
      <c r="H3" s="105"/>
      <c r="I3" s="105"/>
      <c r="J3" s="9"/>
      <c r="K3" s="9"/>
      <c r="L3" s="9"/>
      <c r="M3" s="9"/>
      <c r="N3" s="9"/>
      <c r="O3" s="9"/>
      <c r="P3" s="9"/>
      <c r="Q3" s="9"/>
      <c r="R3" s="9"/>
      <c r="S3" s="9"/>
      <c r="T3" s="9"/>
      <c r="U3" s="9"/>
      <c r="V3" s="9"/>
      <c r="W3" s="9"/>
      <c r="X3" s="9"/>
      <c r="Y3" s="9"/>
      <c r="Z3" s="9"/>
      <c r="AA3" s="9"/>
      <c r="AB3" s="9"/>
      <c r="AC3" s="9"/>
      <c r="AD3" s="9"/>
      <c r="AE3" s="9"/>
      <c r="AF3" s="9"/>
      <c r="AG3" s="9"/>
      <c r="AH3" s="9"/>
    </row>
    <row r="4" spans="1:34" ht="13.5" customHeight="1" thickBot="1">
      <c r="A4" s="1388"/>
      <c r="B4" s="1331"/>
      <c r="C4" s="1519"/>
      <c r="D4" s="107"/>
      <c r="E4" s="29"/>
      <c r="F4" s="105"/>
      <c r="G4" s="105"/>
      <c r="H4" s="105"/>
      <c r="I4" s="105"/>
      <c r="J4" s="9"/>
      <c r="K4" s="9"/>
      <c r="L4" s="9"/>
      <c r="M4" s="9"/>
      <c r="N4" s="9"/>
      <c r="O4" s="9"/>
      <c r="P4" s="9"/>
      <c r="Q4" s="9"/>
      <c r="R4" s="9"/>
      <c r="S4" s="9"/>
      <c r="T4" s="9"/>
      <c r="U4" s="9"/>
      <c r="V4" s="9"/>
      <c r="W4" s="9"/>
      <c r="X4" s="9"/>
      <c r="Y4" s="9"/>
      <c r="Z4" s="9"/>
      <c r="AA4" s="9"/>
      <c r="AB4" s="9"/>
      <c r="AC4" s="9"/>
      <c r="AD4" s="9"/>
      <c r="AE4" s="9"/>
      <c r="AF4" s="9"/>
      <c r="AG4" s="9"/>
      <c r="AH4" s="9"/>
    </row>
    <row r="5" spans="1:34" ht="13.5" customHeight="1">
      <c r="A5" s="1122" t="s">
        <v>675</v>
      </c>
      <c r="B5" s="1137"/>
      <c r="C5" s="1183"/>
      <c r="D5" s="27"/>
      <c r="J5" s="9"/>
      <c r="K5" s="9"/>
      <c r="L5" s="9"/>
      <c r="M5" s="9"/>
      <c r="N5" s="9"/>
      <c r="O5" s="9"/>
      <c r="P5" s="9"/>
      <c r="Q5" s="9"/>
      <c r="R5" s="9"/>
      <c r="S5" s="9"/>
      <c r="T5" s="9"/>
      <c r="U5" s="9"/>
      <c r="V5" s="9"/>
      <c r="W5" s="9"/>
      <c r="X5" s="9"/>
      <c r="Y5" s="9"/>
      <c r="Z5" s="9"/>
      <c r="AA5" s="9"/>
      <c r="AB5" s="9"/>
      <c r="AC5" s="9"/>
      <c r="AD5" s="9"/>
      <c r="AE5" s="9"/>
      <c r="AF5" s="9"/>
      <c r="AG5" s="9"/>
      <c r="AH5" s="9"/>
    </row>
    <row r="6" spans="1:34" ht="13.5" customHeight="1">
      <c r="A6" s="1028" t="s">
        <v>732</v>
      </c>
      <c r="B6" s="808"/>
      <c r="C6" s="1184"/>
      <c r="D6" s="27"/>
      <c r="J6" s="9"/>
      <c r="K6" s="9"/>
      <c r="L6" s="9"/>
      <c r="M6" s="9"/>
      <c r="N6" s="9"/>
      <c r="O6" s="9"/>
      <c r="P6" s="9"/>
      <c r="Q6" s="9"/>
      <c r="R6" s="9"/>
      <c r="S6" s="9"/>
      <c r="T6" s="9"/>
      <c r="U6" s="9"/>
      <c r="V6" s="9"/>
      <c r="W6" s="9"/>
      <c r="X6" s="9"/>
      <c r="Y6" s="9"/>
      <c r="Z6" s="9"/>
      <c r="AA6" s="9"/>
      <c r="AB6" s="9"/>
      <c r="AC6" s="9"/>
      <c r="AD6" s="9"/>
      <c r="AE6" s="9"/>
      <c r="AF6" s="9"/>
      <c r="AG6" s="9"/>
      <c r="AH6" s="9"/>
    </row>
    <row r="7" spans="1:34" ht="13.5" customHeight="1">
      <c r="A7" s="1028" t="s">
        <v>733</v>
      </c>
      <c r="B7" s="808"/>
      <c r="C7" s="1184"/>
      <c r="D7" s="27"/>
      <c r="J7" s="9"/>
      <c r="K7" s="9"/>
      <c r="L7" s="9"/>
      <c r="M7" s="9"/>
      <c r="N7" s="9"/>
      <c r="O7" s="9"/>
      <c r="P7" s="9"/>
      <c r="Q7" s="9"/>
      <c r="R7" s="9"/>
      <c r="S7" s="9"/>
      <c r="T7" s="9"/>
      <c r="U7" s="9"/>
      <c r="V7" s="9"/>
      <c r="W7" s="9"/>
      <c r="X7" s="9"/>
      <c r="Y7" s="9"/>
      <c r="Z7" s="9"/>
      <c r="AA7" s="9"/>
      <c r="AB7" s="9"/>
      <c r="AC7" s="9"/>
      <c r="AD7" s="9"/>
      <c r="AE7" s="9"/>
      <c r="AF7" s="9"/>
      <c r="AG7" s="9"/>
      <c r="AH7" s="9"/>
    </row>
    <row r="8" spans="1:34" ht="13.5" customHeight="1" thickBot="1">
      <c r="A8" s="1125" t="s">
        <v>59</v>
      </c>
      <c r="B8" s="982"/>
      <c r="C8" s="1184"/>
      <c r="D8" s="27"/>
      <c r="E8" s="990"/>
      <c r="F8" s="990"/>
      <c r="G8" s="990"/>
      <c r="H8" s="990"/>
      <c r="J8" s="9"/>
      <c r="K8" s="9"/>
      <c r="L8" s="9"/>
      <c r="M8" s="9"/>
      <c r="N8" s="9"/>
      <c r="O8" s="9"/>
      <c r="P8" s="9"/>
      <c r="Q8" s="9"/>
      <c r="R8" s="9"/>
      <c r="S8" s="9"/>
      <c r="T8" s="9"/>
      <c r="U8" s="9"/>
      <c r="V8" s="9"/>
      <c r="W8" s="9"/>
      <c r="X8" s="9"/>
      <c r="Y8" s="9"/>
      <c r="Z8" s="9"/>
      <c r="AA8" s="9"/>
      <c r="AB8" s="9"/>
      <c r="AC8" s="9"/>
      <c r="AD8" s="9"/>
      <c r="AE8" s="9"/>
      <c r="AF8" s="9"/>
      <c r="AG8" s="9"/>
      <c r="AH8" s="9"/>
    </row>
    <row r="9" spans="1:34" ht="13.5" customHeight="1" thickBot="1">
      <c r="A9" s="1171" t="s">
        <v>78</v>
      </c>
      <c r="B9" s="1186"/>
      <c r="C9" s="1515">
        <f>C11+C34+C60+C82+C89</f>
        <v>1371155219.5337501</v>
      </c>
      <c r="D9" s="1040"/>
      <c r="E9" s="990"/>
      <c r="F9" s="990"/>
      <c r="G9" s="990"/>
      <c r="H9" s="990"/>
      <c r="J9" s="9"/>
      <c r="K9" s="9"/>
      <c r="L9" s="9"/>
      <c r="M9" s="9"/>
      <c r="N9" s="9"/>
      <c r="O9" s="9"/>
      <c r="P9" s="9"/>
      <c r="Q9" s="9"/>
      <c r="R9" s="9"/>
      <c r="S9" s="9"/>
      <c r="T9" s="9"/>
      <c r="U9" s="9"/>
      <c r="V9" s="9"/>
      <c r="W9" s="9"/>
      <c r="X9" s="9"/>
      <c r="Y9" s="9"/>
      <c r="Z9" s="9"/>
      <c r="AA9" s="9"/>
      <c r="AB9" s="9"/>
      <c r="AC9" s="9"/>
      <c r="AD9" s="9"/>
      <c r="AE9" s="9"/>
      <c r="AF9" s="9"/>
      <c r="AG9" s="9"/>
      <c r="AH9" s="9"/>
    </row>
    <row r="10" spans="1:34" ht="13.5" customHeight="1" thickBot="1">
      <c r="A10" s="21"/>
      <c r="B10" s="21"/>
      <c r="C10" s="46"/>
      <c r="D10" s="27"/>
      <c r="E10" s="990"/>
      <c r="F10" s="990"/>
      <c r="G10" s="990"/>
      <c r="H10" s="990"/>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3.5" customHeight="1" thickBot="1">
      <c r="A11" s="1314" t="s">
        <v>2</v>
      </c>
      <c r="B11" s="1416"/>
      <c r="C11" s="1624">
        <f>C12+C19+C26</f>
        <v>1324950318.86375</v>
      </c>
      <c r="D11" s="1618"/>
      <c r="E11" s="1618"/>
      <c r="F11" s="1618"/>
      <c r="G11" s="1618"/>
      <c r="H11" s="1618"/>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row>
    <row r="12" spans="1:34" ht="12.75" customHeight="1">
      <c r="A12" s="48">
        <v>211101</v>
      </c>
      <c r="B12" s="22" t="s">
        <v>667</v>
      </c>
      <c r="C12" s="1622">
        <f>SUM(C13:C18)</f>
        <v>539129724.9937501</v>
      </c>
      <c r="D12" s="1623"/>
      <c r="E12" s="1623"/>
      <c r="F12" s="1623"/>
      <c r="G12" s="1623"/>
      <c r="H12" s="1623"/>
      <c r="I12" s="984"/>
      <c r="J12" s="986"/>
      <c r="K12" s="986"/>
      <c r="L12" s="986"/>
      <c r="M12" s="986"/>
      <c r="N12" s="986"/>
      <c r="O12" s="986"/>
      <c r="P12" s="986"/>
      <c r="Q12" s="986"/>
      <c r="R12" s="986"/>
      <c r="S12" s="986"/>
      <c r="T12" s="986"/>
      <c r="U12" s="986"/>
      <c r="V12" s="986"/>
      <c r="W12" s="986"/>
      <c r="X12" s="986"/>
      <c r="Y12" s="986"/>
      <c r="Z12" s="986"/>
      <c r="AA12" s="986"/>
      <c r="AB12" s="986"/>
      <c r="AC12" s="13"/>
      <c r="AD12" s="13"/>
      <c r="AE12" s="13"/>
      <c r="AF12" s="13"/>
      <c r="AG12" s="13"/>
      <c r="AH12" s="13"/>
    </row>
    <row r="13" spans="1:34" ht="12.75" customHeight="1">
      <c r="A13" s="33">
        <v>21110101</v>
      </c>
      <c r="B13" s="24" t="s">
        <v>810</v>
      </c>
      <c r="C13" s="809">
        <f>(779886793.46+86811638.45)/2</f>
        <v>433349215.95500004</v>
      </c>
      <c r="D13" s="1615"/>
      <c r="E13" s="1615"/>
      <c r="F13" s="1615"/>
      <c r="G13" s="1615"/>
      <c r="H13" s="1615"/>
      <c r="I13" s="984"/>
      <c r="J13" s="986"/>
      <c r="K13" s="986"/>
      <c r="L13" s="986"/>
      <c r="M13" s="986"/>
      <c r="N13" s="986"/>
      <c r="O13" s="986"/>
      <c r="P13" s="986"/>
      <c r="Q13" s="986"/>
      <c r="R13" s="986"/>
      <c r="S13" s="986"/>
      <c r="T13" s="986"/>
      <c r="U13" s="986"/>
      <c r="V13" s="986"/>
      <c r="W13" s="986"/>
      <c r="X13" s="986"/>
      <c r="Y13" s="986"/>
      <c r="Z13" s="986"/>
      <c r="AA13" s="986"/>
      <c r="AB13" s="986"/>
      <c r="AC13" s="13"/>
      <c r="AD13" s="13"/>
      <c r="AE13" s="13"/>
      <c r="AF13" s="13"/>
      <c r="AG13" s="13"/>
      <c r="AH13" s="13"/>
    </row>
    <row r="14" spans="1:34" ht="12.75" customHeight="1">
      <c r="A14" s="33">
        <v>21110102</v>
      </c>
      <c r="B14" s="24" t="s">
        <v>811</v>
      </c>
      <c r="C14" s="809">
        <f>(131270762.2575+25203378.9)/2</f>
        <v>78237070.578749999</v>
      </c>
      <c r="D14" s="1615"/>
      <c r="E14" s="1615"/>
      <c r="F14" s="1615"/>
      <c r="G14" s="1615"/>
      <c r="H14" s="1615"/>
      <c r="I14" s="984"/>
      <c r="J14" s="986"/>
      <c r="K14" s="986"/>
      <c r="L14" s="986"/>
      <c r="M14" s="986"/>
      <c r="N14" s="986"/>
      <c r="O14" s="986"/>
      <c r="P14" s="986"/>
      <c r="Q14" s="986"/>
      <c r="R14" s="986"/>
      <c r="S14" s="986"/>
      <c r="T14" s="986"/>
      <c r="U14" s="986"/>
      <c r="V14" s="986"/>
      <c r="W14" s="986"/>
      <c r="X14" s="986"/>
      <c r="Y14" s="986"/>
      <c r="Z14" s="986"/>
      <c r="AA14" s="986"/>
      <c r="AB14" s="986"/>
      <c r="AC14" s="13"/>
      <c r="AD14" s="13"/>
      <c r="AE14" s="13"/>
      <c r="AF14" s="13"/>
      <c r="AG14" s="13"/>
      <c r="AH14" s="13"/>
    </row>
    <row r="15" spans="1:34" ht="12.75" customHeight="1">
      <c r="A15" s="33">
        <v>21110103</v>
      </c>
      <c r="B15" s="24" t="s">
        <v>812</v>
      </c>
      <c r="C15" s="809">
        <f>24127516.92/2</f>
        <v>12063758.460000001</v>
      </c>
      <c r="D15" s="1615"/>
      <c r="E15" s="1615"/>
      <c r="F15" s="1617"/>
      <c r="G15" s="1615"/>
      <c r="H15" s="1615"/>
      <c r="I15" s="986"/>
      <c r="J15" s="986"/>
      <c r="K15" s="986"/>
      <c r="L15" s="986"/>
      <c r="M15" s="986"/>
      <c r="N15" s="986"/>
      <c r="O15" s="986"/>
      <c r="P15" s="986"/>
      <c r="Q15" s="986"/>
      <c r="R15" s="986"/>
      <c r="S15" s="986"/>
      <c r="T15" s="986"/>
      <c r="U15" s="986"/>
      <c r="V15" s="986"/>
      <c r="W15" s="986"/>
      <c r="X15" s="986"/>
      <c r="Y15" s="986"/>
      <c r="Z15" s="986"/>
      <c r="AA15" s="986"/>
      <c r="AB15" s="986"/>
      <c r="AC15" s="13"/>
      <c r="AD15" s="13"/>
      <c r="AE15" s="13"/>
      <c r="AF15" s="13"/>
      <c r="AG15" s="13"/>
      <c r="AH15" s="13"/>
    </row>
    <row r="16" spans="1:34" ht="12.75" customHeight="1">
      <c r="A16" s="33">
        <v>21110104</v>
      </c>
      <c r="B16" s="24" t="s">
        <v>813</v>
      </c>
      <c r="C16" s="809">
        <v>1</v>
      </c>
      <c r="D16" s="1619"/>
      <c r="E16" s="1619"/>
      <c r="F16" s="1620"/>
      <c r="G16" s="1621"/>
      <c r="H16" s="1620"/>
      <c r="I16" s="986"/>
      <c r="J16" s="986"/>
      <c r="K16" s="986"/>
      <c r="L16" s="986"/>
      <c r="M16" s="986"/>
      <c r="N16" s="986"/>
      <c r="O16" s="986"/>
      <c r="P16" s="986"/>
      <c r="Q16" s="986"/>
      <c r="R16" s="986"/>
      <c r="S16" s="986"/>
      <c r="T16" s="986"/>
      <c r="U16" s="986"/>
      <c r="V16" s="986"/>
      <c r="W16" s="986"/>
      <c r="X16" s="986"/>
      <c r="Y16" s="986"/>
      <c r="Z16" s="986"/>
      <c r="AA16" s="986"/>
      <c r="AB16" s="986"/>
      <c r="AC16" s="13"/>
      <c r="AD16" s="13"/>
      <c r="AE16" s="13"/>
      <c r="AF16" s="13"/>
      <c r="AG16" s="13"/>
      <c r="AH16" s="13"/>
    </row>
    <row r="17" spans="1:34" ht="12.75" customHeight="1">
      <c r="A17" s="33">
        <v>21110105</v>
      </c>
      <c r="B17" s="24" t="s">
        <v>814</v>
      </c>
      <c r="C17" s="24">
        <f>(8759358)/2</f>
        <v>4379679</v>
      </c>
      <c r="D17" s="993"/>
      <c r="E17" s="993"/>
      <c r="F17" s="986"/>
      <c r="G17" s="986"/>
      <c r="H17" s="994"/>
      <c r="I17" s="986"/>
      <c r="J17" s="986"/>
      <c r="K17" s="986"/>
      <c r="L17" s="986"/>
      <c r="M17" s="986"/>
      <c r="N17" s="986"/>
      <c r="O17" s="986"/>
      <c r="P17" s="986"/>
      <c r="Q17" s="986"/>
      <c r="R17" s="986"/>
      <c r="S17" s="986"/>
      <c r="T17" s="986"/>
      <c r="U17" s="986"/>
      <c r="V17" s="986"/>
      <c r="W17" s="986"/>
      <c r="X17" s="986"/>
      <c r="Y17" s="986"/>
      <c r="Z17" s="986"/>
      <c r="AA17" s="986"/>
      <c r="AB17" s="986"/>
      <c r="AC17" s="13"/>
      <c r="AD17" s="13"/>
      <c r="AE17" s="13"/>
      <c r="AF17" s="13"/>
      <c r="AG17" s="13"/>
      <c r="AH17" s="13"/>
    </row>
    <row r="18" spans="1:34" ht="12.75" customHeight="1">
      <c r="A18" s="33">
        <v>21110106</v>
      </c>
      <c r="B18" s="24" t="s">
        <v>815</v>
      </c>
      <c r="C18" s="24">
        <f>(5800000+6000000+1800000+1400000+1400000+2300000+3500000)/2</f>
        <v>11100000</v>
      </c>
      <c r="D18" s="993"/>
      <c r="E18" s="993"/>
      <c r="F18" s="986"/>
      <c r="G18" s="986"/>
      <c r="H18" s="986"/>
      <c r="I18" s="995"/>
      <c r="J18" s="995"/>
      <c r="K18" s="995"/>
      <c r="L18" s="995"/>
      <c r="M18" s="995"/>
      <c r="N18" s="995"/>
      <c r="O18" s="986"/>
      <c r="P18" s="986"/>
      <c r="Q18" s="986"/>
      <c r="R18" s="986"/>
      <c r="S18" s="986"/>
      <c r="T18" s="986"/>
      <c r="U18" s="986"/>
      <c r="V18" s="986"/>
      <c r="W18" s="986"/>
      <c r="X18" s="986"/>
      <c r="Y18" s="986"/>
      <c r="Z18" s="986"/>
      <c r="AA18" s="986"/>
      <c r="AB18" s="986"/>
      <c r="AC18" s="13"/>
      <c r="AD18" s="13"/>
      <c r="AE18" s="13"/>
      <c r="AF18" s="13"/>
      <c r="AG18" s="13"/>
      <c r="AH18" s="13"/>
    </row>
    <row r="19" spans="1:34" ht="12.75" customHeight="1">
      <c r="A19" s="48">
        <v>211102</v>
      </c>
      <c r="B19" s="26" t="s">
        <v>668</v>
      </c>
      <c r="C19" s="26">
        <f>SUM(C20:C25)</f>
        <v>223810198.82750002</v>
      </c>
      <c r="D19" s="993"/>
      <c r="E19" s="995"/>
      <c r="F19" s="995"/>
      <c r="G19" s="995"/>
      <c r="H19" s="995"/>
      <c r="I19" s="1002"/>
      <c r="J19" s="986"/>
      <c r="K19" s="986"/>
      <c r="L19" s="986"/>
      <c r="M19" s="986"/>
      <c r="N19" s="986"/>
      <c r="O19" s="986"/>
      <c r="P19" s="986"/>
      <c r="Q19" s="986"/>
      <c r="R19" s="986"/>
      <c r="S19" s="986"/>
      <c r="T19" s="986"/>
      <c r="U19" s="986"/>
      <c r="V19" s="986"/>
      <c r="W19" s="986"/>
      <c r="X19" s="986"/>
      <c r="Y19" s="986"/>
      <c r="Z19" s="986"/>
      <c r="AA19" s="986"/>
      <c r="AB19" s="986"/>
      <c r="AC19" s="13"/>
      <c r="AD19" s="13"/>
      <c r="AE19" s="13"/>
      <c r="AF19" s="13"/>
      <c r="AG19" s="13"/>
      <c r="AH19" s="13"/>
    </row>
    <row r="20" spans="1:34" ht="12.75" customHeight="1">
      <c r="A20" s="33">
        <v>21110201</v>
      </c>
      <c r="B20" s="24" t="s">
        <v>816</v>
      </c>
      <c r="C20" s="24">
        <f>(272809761.7525+86811638.45)/2</f>
        <v>179810700.10124999</v>
      </c>
      <c r="D20" s="993"/>
      <c r="E20" s="1001"/>
      <c r="F20" s="1001"/>
      <c r="G20" s="1002"/>
      <c r="H20" s="1002"/>
      <c r="I20" s="994"/>
      <c r="J20" s="994"/>
      <c r="K20" s="994"/>
      <c r="L20" s="994"/>
      <c r="M20" s="994"/>
      <c r="N20" s="994"/>
      <c r="O20" s="994"/>
      <c r="P20" s="994"/>
      <c r="Q20" s="994"/>
      <c r="R20" s="994"/>
      <c r="S20" s="994"/>
      <c r="T20" s="994"/>
      <c r="U20" s="994"/>
      <c r="V20" s="994"/>
      <c r="W20" s="994"/>
      <c r="X20" s="994"/>
      <c r="Y20" s="994"/>
      <c r="Z20" s="994"/>
      <c r="AA20" s="994"/>
      <c r="AB20" s="994"/>
      <c r="AC20" s="27"/>
      <c r="AD20" s="27"/>
      <c r="AE20" s="27"/>
      <c r="AF20" s="27"/>
      <c r="AG20" s="27"/>
      <c r="AH20" s="27"/>
    </row>
    <row r="21" spans="1:34" ht="12.75" customHeight="1">
      <c r="A21" s="33">
        <v>21110202</v>
      </c>
      <c r="B21" s="24" t="s">
        <v>817</v>
      </c>
      <c r="C21" s="24">
        <f>(45355629.6375+25203378.9)/2</f>
        <v>35279504.268749997</v>
      </c>
      <c r="D21" s="996"/>
      <c r="E21" s="984"/>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27"/>
      <c r="AD21" s="27"/>
      <c r="AE21" s="27"/>
      <c r="AF21" s="27"/>
      <c r="AG21" s="27"/>
      <c r="AH21" s="27"/>
    </row>
    <row r="22" spans="1:34" ht="12.75" customHeight="1">
      <c r="A22" s="33">
        <v>21110203</v>
      </c>
      <c r="B22" s="24" t="s">
        <v>818</v>
      </c>
      <c r="C22" s="24">
        <f>(8538025.9575)</f>
        <v>8538025.9574999996</v>
      </c>
      <c r="D22" s="996"/>
      <c r="E22" s="996"/>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27"/>
      <c r="AD22" s="27"/>
      <c r="AE22" s="27"/>
      <c r="AF22" s="27"/>
      <c r="AG22" s="27"/>
      <c r="AH22" s="27"/>
    </row>
    <row r="23" spans="1:34" ht="12.75" customHeight="1">
      <c r="A23" s="33">
        <v>21110204</v>
      </c>
      <c r="B23" s="24" t="s">
        <v>819</v>
      </c>
      <c r="C23" s="24">
        <v>1</v>
      </c>
      <c r="D23" s="996"/>
      <c r="E23" s="996"/>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27"/>
      <c r="AD23" s="27"/>
      <c r="AE23" s="27"/>
      <c r="AF23" s="27"/>
      <c r="AG23" s="27"/>
      <c r="AH23" s="27"/>
    </row>
    <row r="24" spans="1:34" ht="12.75" customHeight="1">
      <c r="A24" s="33">
        <v>21110205</v>
      </c>
      <c r="B24" s="24" t="s">
        <v>820</v>
      </c>
      <c r="C24" s="24">
        <f>363933/2</f>
        <v>181966.5</v>
      </c>
      <c r="D24" s="1003"/>
      <c r="E24" s="1003"/>
      <c r="F24" s="1003"/>
      <c r="G24" s="1003"/>
      <c r="H24" s="994"/>
      <c r="I24" s="998"/>
      <c r="J24" s="994"/>
      <c r="K24" s="994"/>
      <c r="L24" s="994"/>
      <c r="M24" s="994"/>
      <c r="N24" s="994"/>
      <c r="O24" s="994"/>
      <c r="P24" s="994"/>
      <c r="Q24" s="994"/>
      <c r="R24" s="994"/>
      <c r="S24" s="994"/>
      <c r="T24" s="994"/>
      <c r="U24" s="994"/>
      <c r="V24" s="994"/>
      <c r="W24" s="994"/>
      <c r="X24" s="994"/>
      <c r="Y24" s="994"/>
      <c r="Z24" s="994"/>
      <c r="AA24" s="994"/>
      <c r="AB24" s="994"/>
      <c r="AC24" s="27"/>
      <c r="AD24" s="27"/>
      <c r="AE24" s="27"/>
      <c r="AF24" s="27"/>
      <c r="AG24" s="27"/>
      <c r="AH24" s="27"/>
    </row>
    <row r="25" spans="1:34" ht="12.75" customHeight="1">
      <c r="A25" s="33">
        <v>21110206</v>
      </c>
      <c r="B25" s="24" t="s">
        <v>821</v>
      </c>
      <c r="C25" s="24">
        <v>1</v>
      </c>
      <c r="D25" s="994"/>
      <c r="E25" s="997"/>
      <c r="F25" s="998"/>
      <c r="G25" s="999"/>
      <c r="H25" s="999"/>
      <c r="I25" s="998"/>
      <c r="J25" s="986"/>
      <c r="K25" s="986"/>
      <c r="L25" s="986"/>
      <c r="M25" s="986"/>
      <c r="N25" s="986"/>
      <c r="O25" s="986"/>
      <c r="P25" s="986"/>
      <c r="Q25" s="986"/>
      <c r="R25" s="986"/>
      <c r="S25" s="986"/>
      <c r="T25" s="986"/>
      <c r="U25" s="986"/>
      <c r="V25" s="986"/>
      <c r="W25" s="986"/>
      <c r="X25" s="986"/>
      <c r="Y25" s="986"/>
      <c r="Z25" s="986"/>
      <c r="AA25" s="986"/>
      <c r="AB25" s="986"/>
      <c r="AC25" s="13"/>
      <c r="AD25" s="13"/>
      <c r="AE25" s="13"/>
      <c r="AF25" s="13"/>
      <c r="AG25" s="13"/>
      <c r="AH25" s="13"/>
    </row>
    <row r="26" spans="1:34" ht="12.75" customHeight="1">
      <c r="A26" s="48">
        <v>211103</v>
      </c>
      <c r="B26" s="26" t="s">
        <v>669</v>
      </c>
      <c r="C26" s="26">
        <f>SUM(C27:C32)</f>
        <v>562010395.04250002</v>
      </c>
      <c r="D26" s="986"/>
      <c r="E26" s="997"/>
      <c r="F26" s="998"/>
      <c r="G26" s="1000"/>
      <c r="H26" s="999"/>
      <c r="I26" s="998"/>
      <c r="J26" s="986"/>
      <c r="K26" s="986"/>
      <c r="L26" s="986"/>
      <c r="M26" s="986"/>
      <c r="N26" s="986"/>
      <c r="O26" s="986"/>
      <c r="P26" s="986"/>
      <c r="Q26" s="986"/>
      <c r="R26" s="986"/>
      <c r="S26" s="986"/>
      <c r="T26" s="986"/>
      <c r="U26" s="986"/>
      <c r="V26" s="986"/>
      <c r="W26" s="986"/>
      <c r="X26" s="986"/>
      <c r="Y26" s="986"/>
      <c r="Z26" s="986"/>
      <c r="AA26" s="986"/>
      <c r="AB26" s="986"/>
      <c r="AC26" s="13"/>
      <c r="AD26" s="13"/>
      <c r="AE26" s="13"/>
      <c r="AF26" s="13"/>
      <c r="AG26" s="13"/>
      <c r="AH26" s="13"/>
    </row>
    <row r="27" spans="1:34" ht="12.75" customHeight="1">
      <c r="A27" s="33">
        <v>21110301</v>
      </c>
      <c r="B27" s="24" t="s">
        <v>822</v>
      </c>
      <c r="C27" s="24">
        <f>(837547272.0225+86811638.45)/2</f>
        <v>462179455.23625004</v>
      </c>
      <c r="D27" s="993"/>
      <c r="E27" s="997"/>
      <c r="F27" s="998"/>
      <c r="G27" s="1000"/>
      <c r="H27" s="999"/>
      <c r="I27" s="998"/>
      <c r="J27" s="994"/>
      <c r="K27" s="994"/>
      <c r="L27" s="994"/>
      <c r="M27" s="994"/>
      <c r="N27" s="994"/>
      <c r="O27" s="994"/>
      <c r="P27" s="994"/>
      <c r="Q27" s="994"/>
      <c r="R27" s="994"/>
      <c r="S27" s="994"/>
      <c r="T27" s="994"/>
      <c r="U27" s="994"/>
      <c r="V27" s="994"/>
      <c r="W27" s="994"/>
      <c r="X27" s="994"/>
      <c r="Y27" s="994"/>
      <c r="Z27" s="994"/>
      <c r="AA27" s="994"/>
      <c r="AB27" s="994"/>
      <c r="AC27" s="27"/>
      <c r="AD27" s="27"/>
      <c r="AE27" s="27"/>
      <c r="AF27" s="27"/>
      <c r="AG27" s="27"/>
      <c r="AH27" s="27"/>
    </row>
    <row r="28" spans="1:34" ht="12.75" customHeight="1">
      <c r="A28" s="33">
        <v>21110302</v>
      </c>
      <c r="B28" s="24" t="s">
        <v>823</v>
      </c>
      <c r="C28" s="24">
        <f>(135333576.69+25203378.9)/2</f>
        <v>80268477.795000002</v>
      </c>
      <c r="D28" s="996"/>
      <c r="E28" s="997"/>
      <c r="F28" s="998"/>
      <c r="G28" s="1000"/>
      <c r="H28" s="999"/>
      <c r="I28" s="998"/>
      <c r="J28" s="994"/>
      <c r="K28" s="994"/>
      <c r="L28" s="994"/>
      <c r="M28" s="994"/>
      <c r="N28" s="994"/>
      <c r="O28" s="994"/>
      <c r="P28" s="994"/>
      <c r="Q28" s="994"/>
      <c r="R28" s="994"/>
      <c r="S28" s="994"/>
      <c r="T28" s="994"/>
      <c r="U28" s="994"/>
      <c r="V28" s="994"/>
      <c r="W28" s="994"/>
      <c r="X28" s="994"/>
      <c r="Y28" s="994"/>
      <c r="Z28" s="994"/>
      <c r="AA28" s="994"/>
      <c r="AB28" s="994"/>
      <c r="AC28" s="27"/>
      <c r="AD28" s="27"/>
      <c r="AE28" s="27"/>
      <c r="AF28" s="27"/>
      <c r="AG28" s="27"/>
      <c r="AH28" s="27"/>
    </row>
    <row r="29" spans="1:34" ht="12.75" customHeight="1">
      <c r="A29" s="33">
        <v>21110303</v>
      </c>
      <c r="B29" s="24" t="s">
        <v>824</v>
      </c>
      <c r="C29" s="24">
        <f>25633182.0225/2</f>
        <v>12816591.01125</v>
      </c>
      <c r="D29" s="996"/>
      <c r="E29" s="997"/>
      <c r="F29" s="999"/>
      <c r="G29" s="1000"/>
      <c r="H29" s="999"/>
      <c r="I29" s="1012"/>
      <c r="J29" s="994"/>
      <c r="K29" s="994"/>
      <c r="L29" s="994"/>
      <c r="M29" s="994"/>
      <c r="N29" s="994"/>
      <c r="O29" s="994"/>
      <c r="P29" s="994"/>
      <c r="Q29" s="994"/>
      <c r="R29" s="994"/>
      <c r="S29" s="994"/>
      <c r="T29" s="994"/>
      <c r="U29" s="994"/>
      <c r="V29" s="994"/>
      <c r="W29" s="994"/>
      <c r="X29" s="994"/>
      <c r="Y29" s="994"/>
      <c r="Z29" s="994"/>
      <c r="AA29" s="994"/>
      <c r="AB29" s="994"/>
      <c r="AC29" s="27"/>
      <c r="AD29" s="27"/>
      <c r="AE29" s="27"/>
      <c r="AF29" s="27"/>
      <c r="AG29" s="27"/>
      <c r="AH29" s="27"/>
    </row>
    <row r="30" spans="1:34" ht="12.75" customHeight="1">
      <c r="A30" s="33">
        <v>21110304</v>
      </c>
      <c r="B30" s="24" t="s">
        <v>825</v>
      </c>
      <c r="C30" s="24">
        <v>1</v>
      </c>
      <c r="D30" s="994"/>
      <c r="E30" s="997"/>
      <c r="F30" s="998"/>
      <c r="G30" s="1000"/>
      <c r="H30" s="999"/>
      <c r="I30" s="998"/>
      <c r="J30" s="986"/>
      <c r="K30" s="986"/>
      <c r="L30" s="986"/>
      <c r="M30" s="986"/>
      <c r="N30" s="986"/>
      <c r="O30" s="986"/>
      <c r="P30" s="986"/>
      <c r="Q30" s="986"/>
      <c r="R30" s="986"/>
      <c r="S30" s="986"/>
      <c r="T30" s="986"/>
      <c r="U30" s="986"/>
      <c r="V30" s="986"/>
      <c r="W30" s="986"/>
      <c r="X30" s="986"/>
      <c r="Y30" s="986"/>
      <c r="Z30" s="986"/>
      <c r="AA30" s="986"/>
      <c r="AB30" s="986"/>
      <c r="AC30" s="13"/>
      <c r="AD30" s="13"/>
      <c r="AE30" s="13"/>
      <c r="AF30" s="13"/>
      <c r="AG30" s="13"/>
      <c r="AH30" s="13"/>
    </row>
    <row r="31" spans="1:34" ht="12.75" customHeight="1">
      <c r="A31" s="33">
        <v>21110305</v>
      </c>
      <c r="B31" s="24" t="s">
        <v>826</v>
      </c>
      <c r="C31" s="24">
        <f>13491738/2</f>
        <v>6745869</v>
      </c>
      <c r="D31" s="993"/>
      <c r="E31" s="997"/>
      <c r="F31" s="998"/>
      <c r="G31" s="1000"/>
      <c r="H31" s="999"/>
      <c r="I31" s="986"/>
      <c r="J31" s="986"/>
      <c r="K31" s="986"/>
      <c r="L31" s="986"/>
      <c r="M31" s="986"/>
      <c r="N31" s="986"/>
      <c r="O31" s="986"/>
      <c r="P31" s="986"/>
      <c r="Q31" s="986"/>
      <c r="R31" s="986"/>
      <c r="S31" s="986"/>
      <c r="T31" s="986"/>
      <c r="U31" s="986"/>
      <c r="V31" s="986"/>
      <c r="W31" s="986"/>
      <c r="X31" s="986"/>
      <c r="Y31" s="986"/>
      <c r="Z31" s="986"/>
      <c r="AA31" s="986"/>
      <c r="AB31" s="986"/>
      <c r="AC31" s="13"/>
      <c r="AD31" s="13"/>
      <c r="AE31" s="13"/>
      <c r="AF31" s="13"/>
      <c r="AG31" s="13"/>
      <c r="AH31" s="13"/>
    </row>
    <row r="32" spans="1:34" ht="12.75" customHeight="1">
      <c r="A32" s="33">
        <v>21110306</v>
      </c>
      <c r="B32" s="24" t="s">
        <v>670</v>
      </c>
      <c r="C32" s="24">
        <v>1</v>
      </c>
      <c r="D32" s="993"/>
      <c r="E32" s="997"/>
      <c r="F32" s="986"/>
      <c r="G32" s="1013"/>
      <c r="H32" s="999"/>
      <c r="I32" s="986"/>
      <c r="J32" s="994"/>
      <c r="K32" s="994"/>
      <c r="L32" s="994"/>
      <c r="M32" s="994"/>
      <c r="N32" s="994"/>
      <c r="O32" s="994"/>
      <c r="P32" s="994"/>
      <c r="Q32" s="994"/>
      <c r="R32" s="994"/>
      <c r="S32" s="994"/>
      <c r="T32" s="994"/>
      <c r="U32" s="994"/>
      <c r="V32" s="994"/>
      <c r="W32" s="994"/>
      <c r="X32" s="994"/>
      <c r="Y32" s="994"/>
      <c r="Z32" s="994"/>
      <c r="AA32" s="994"/>
      <c r="AB32" s="994"/>
      <c r="AC32" s="27"/>
      <c r="AD32" s="27"/>
      <c r="AE32" s="27"/>
      <c r="AF32" s="27"/>
      <c r="AG32" s="27"/>
      <c r="AH32" s="27"/>
    </row>
    <row r="33" spans="1:34" ht="13.5" customHeight="1" thickBot="1">
      <c r="A33" s="23"/>
      <c r="B33" s="23"/>
      <c r="C33" s="24"/>
      <c r="D33" s="996"/>
      <c r="E33" s="997"/>
      <c r="F33" s="986"/>
      <c r="G33" s="994"/>
      <c r="H33" s="999"/>
      <c r="I33" s="986"/>
      <c r="J33" s="1014"/>
      <c r="K33" s="1014"/>
      <c r="L33" s="1014"/>
      <c r="M33" s="1014"/>
      <c r="N33" s="1014"/>
      <c r="O33" s="1014"/>
      <c r="P33" s="1014"/>
      <c r="Q33" s="1014"/>
      <c r="R33" s="1014"/>
      <c r="S33" s="1014"/>
      <c r="T33" s="1014"/>
      <c r="U33" s="1014"/>
      <c r="V33" s="1014"/>
      <c r="W33" s="1014"/>
      <c r="X33" s="1014"/>
      <c r="Y33" s="1014"/>
      <c r="Z33" s="1014"/>
      <c r="AA33" s="1014"/>
      <c r="AB33" s="1014"/>
      <c r="AC33" s="79"/>
      <c r="AD33" s="79"/>
      <c r="AE33" s="79"/>
      <c r="AF33" s="79"/>
      <c r="AG33" s="79"/>
      <c r="AH33" s="79"/>
    </row>
    <row r="34" spans="1:34" ht="13.5" customHeight="1" thickBot="1">
      <c r="A34" s="1297" t="s">
        <v>9</v>
      </c>
      <c r="B34" s="1281"/>
      <c r="C34" s="62">
        <f>+C35+C37+C40+C44+C51+C54+C42</f>
        <v>31270353.649999999</v>
      </c>
      <c r="D34" s="994"/>
      <c r="E34" s="997"/>
      <c r="F34" s="986"/>
      <c r="G34" s="987"/>
      <c r="H34" s="999"/>
      <c r="I34" s="998"/>
      <c r="J34" s="1014"/>
      <c r="K34" s="1014"/>
      <c r="L34" s="1014"/>
      <c r="M34" s="1014"/>
      <c r="N34" s="1014"/>
      <c r="O34" s="1014"/>
      <c r="P34" s="1014"/>
      <c r="Q34" s="1014"/>
      <c r="R34" s="1014"/>
      <c r="S34" s="1014"/>
      <c r="T34" s="1014"/>
      <c r="U34" s="1014"/>
      <c r="V34" s="1014"/>
      <c r="W34" s="1014"/>
      <c r="X34" s="1014"/>
      <c r="Y34" s="1014"/>
      <c r="Z34" s="1014"/>
      <c r="AA34" s="1014"/>
      <c r="AB34" s="1014"/>
      <c r="AC34" s="79"/>
      <c r="AD34" s="79"/>
      <c r="AE34" s="79"/>
      <c r="AF34" s="79"/>
      <c r="AG34" s="79"/>
      <c r="AH34" s="79"/>
    </row>
    <row r="35" spans="1:34" ht="13.5" customHeight="1">
      <c r="A35" s="48">
        <v>211201</v>
      </c>
      <c r="B35" s="48" t="s">
        <v>459</v>
      </c>
      <c r="C35" s="49">
        <f>C36</f>
        <v>3138853.65</v>
      </c>
      <c r="D35" s="994"/>
      <c r="E35" s="994"/>
      <c r="F35" s="1015"/>
      <c r="G35" s="998"/>
      <c r="H35" s="998"/>
      <c r="I35" s="1017"/>
      <c r="J35" s="1018"/>
      <c r="K35" s="1018"/>
      <c r="L35" s="1018"/>
      <c r="M35" s="1018"/>
      <c r="N35" s="1018"/>
      <c r="O35" s="1018"/>
      <c r="P35" s="1018"/>
      <c r="Q35" s="1018"/>
      <c r="R35" s="1018"/>
      <c r="S35" s="1018"/>
      <c r="T35" s="1018"/>
      <c r="U35" s="1018"/>
      <c r="V35" s="1018"/>
      <c r="W35" s="1018"/>
      <c r="X35" s="1018"/>
      <c r="Y35" s="1018"/>
      <c r="Z35" s="1018"/>
      <c r="AA35" s="1018"/>
      <c r="AB35" s="1018"/>
      <c r="AC35" s="112"/>
      <c r="AD35" s="112"/>
      <c r="AE35" s="112"/>
      <c r="AF35" s="112"/>
      <c r="AG35" s="112"/>
      <c r="AH35" s="112"/>
    </row>
    <row r="36" spans="1:34" ht="13.5" customHeight="1">
      <c r="A36" s="33">
        <v>21120101</v>
      </c>
      <c r="B36" s="13" t="s">
        <v>460</v>
      </c>
      <c r="C36" s="24">
        <f>2962853.65+176000</f>
        <v>3138853.65</v>
      </c>
      <c r="D36" s="996"/>
      <c r="E36" s="996"/>
      <c r="F36" s="1016"/>
      <c r="G36" s="1017"/>
      <c r="H36" s="1017"/>
      <c r="I36" s="986"/>
      <c r="J36" s="986"/>
      <c r="K36" s="986"/>
      <c r="L36" s="986"/>
      <c r="M36" s="986"/>
      <c r="N36" s="986"/>
      <c r="O36" s="986"/>
      <c r="P36" s="986"/>
      <c r="Q36" s="986"/>
      <c r="R36" s="986"/>
      <c r="S36" s="986"/>
      <c r="T36" s="986"/>
      <c r="U36" s="986"/>
      <c r="V36" s="986"/>
      <c r="W36" s="986"/>
      <c r="X36" s="986"/>
      <c r="Y36" s="986"/>
      <c r="Z36" s="986"/>
      <c r="AA36" s="986"/>
      <c r="AB36" s="986"/>
      <c r="AC36" s="13"/>
      <c r="AD36" s="13"/>
      <c r="AE36" s="13"/>
      <c r="AF36" s="13"/>
      <c r="AG36" s="13"/>
      <c r="AH36" s="13"/>
    </row>
    <row r="37" spans="1:34" ht="13.5" customHeight="1">
      <c r="A37" s="48">
        <v>211203</v>
      </c>
      <c r="B37" s="15" t="s">
        <v>461</v>
      </c>
      <c r="C37" s="26">
        <f>SUM(C38:C39)</f>
        <v>500000</v>
      </c>
      <c r="D37" s="996"/>
      <c r="E37" s="99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13"/>
      <c r="AD37" s="13"/>
      <c r="AE37" s="13"/>
      <c r="AF37" s="13"/>
      <c r="AG37" s="13"/>
      <c r="AH37" s="13"/>
    </row>
    <row r="38" spans="1:34" ht="13.5" customHeight="1">
      <c r="A38" s="33">
        <v>21120301</v>
      </c>
      <c r="B38" s="13" t="s">
        <v>527</v>
      </c>
      <c r="C38" s="24">
        <v>120000</v>
      </c>
      <c r="D38" s="996"/>
      <c r="E38" s="99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13"/>
      <c r="AD38" s="13"/>
      <c r="AE38" s="13"/>
      <c r="AF38" s="13"/>
      <c r="AG38" s="13"/>
      <c r="AH38" s="13"/>
    </row>
    <row r="39" spans="1:34" ht="13.5" customHeight="1">
      <c r="A39" s="33">
        <v>21120302</v>
      </c>
      <c r="B39" s="13" t="s">
        <v>462</v>
      </c>
      <c r="C39" s="24">
        <v>380000</v>
      </c>
      <c r="D39" s="1019"/>
      <c r="E39" s="987"/>
      <c r="F39" s="986"/>
      <c r="G39" s="986"/>
      <c r="H39" s="986"/>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row>
    <row r="40" spans="1:34" ht="13.5" customHeight="1">
      <c r="A40" s="48">
        <v>211204</v>
      </c>
      <c r="B40" s="15" t="s">
        <v>463</v>
      </c>
      <c r="C40" s="26">
        <f>C41</f>
        <v>3187000</v>
      </c>
      <c r="D40" s="107"/>
      <c r="E40" s="107"/>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row>
    <row r="41" spans="1:34" ht="13.5" customHeight="1">
      <c r="A41" s="33">
        <v>21120401</v>
      </c>
      <c r="B41" s="24" t="s">
        <v>464</v>
      </c>
      <c r="C41" s="24">
        <f>2000000+1187000</f>
        <v>3187000</v>
      </c>
      <c r="D41" s="107"/>
      <c r="E41" s="107"/>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row>
    <row r="42" spans="1:34" ht="13.5" customHeight="1">
      <c r="A42" s="48">
        <v>211205</v>
      </c>
      <c r="B42" s="26" t="s">
        <v>465</v>
      </c>
      <c r="C42" s="26">
        <f>C43</f>
        <v>10550500</v>
      </c>
      <c r="D42" s="107"/>
      <c r="E42" s="107"/>
      <c r="F42" s="13"/>
      <c r="G42" s="13"/>
      <c r="H42" s="13"/>
      <c r="I42" s="38"/>
      <c r="J42" s="38"/>
      <c r="K42" s="38"/>
      <c r="L42" s="38"/>
      <c r="M42" s="38"/>
      <c r="N42" s="38"/>
      <c r="O42" s="38"/>
      <c r="P42" s="38"/>
      <c r="Q42" s="38"/>
      <c r="R42" s="38"/>
      <c r="S42" s="38"/>
      <c r="T42" s="38"/>
      <c r="U42" s="38"/>
      <c r="V42" s="38"/>
      <c r="W42" s="38"/>
      <c r="X42" s="38"/>
      <c r="Y42" s="23"/>
      <c r="Z42" s="23"/>
      <c r="AA42" s="23"/>
      <c r="AB42" s="23"/>
      <c r="AC42" s="23"/>
      <c r="AD42" s="23"/>
      <c r="AE42" s="23"/>
      <c r="AF42" s="23"/>
      <c r="AG42" s="23"/>
      <c r="AH42" s="23"/>
    </row>
    <row r="43" spans="1:34" ht="13.5" customHeight="1">
      <c r="A43" s="33">
        <v>21120501</v>
      </c>
      <c r="B43" s="24" t="s">
        <v>466</v>
      </c>
      <c r="C43" s="24">
        <f>550500+10000000</f>
        <v>10550500</v>
      </c>
      <c r="D43" s="37"/>
      <c r="E43" s="38"/>
      <c r="F43" s="38"/>
      <c r="G43" s="39"/>
      <c r="H43" s="38"/>
      <c r="I43" s="38"/>
      <c r="J43" s="38"/>
      <c r="K43" s="38"/>
      <c r="L43" s="38"/>
      <c r="M43" s="38"/>
      <c r="N43" s="38"/>
      <c r="O43" s="38"/>
      <c r="P43" s="38"/>
      <c r="Q43" s="38"/>
      <c r="R43" s="38"/>
      <c r="S43" s="38"/>
      <c r="T43" s="38"/>
      <c r="U43" s="38"/>
      <c r="V43" s="38"/>
      <c r="W43" s="38"/>
      <c r="X43" s="38"/>
      <c r="Y43" s="23"/>
      <c r="Z43" s="23"/>
      <c r="AA43" s="23"/>
      <c r="AB43" s="23"/>
      <c r="AC43" s="23"/>
      <c r="AD43" s="23"/>
      <c r="AE43" s="23"/>
      <c r="AF43" s="23"/>
      <c r="AG43" s="23"/>
      <c r="AH43" s="23"/>
    </row>
    <row r="44" spans="1:34" ht="13.5" customHeight="1">
      <c r="A44" s="48">
        <v>211207</v>
      </c>
      <c r="B44" s="26" t="s">
        <v>467</v>
      </c>
      <c r="C44" s="26">
        <f>SUM(C45:C50)</f>
        <v>3030000</v>
      </c>
      <c r="D44" s="37"/>
      <c r="E44" s="38"/>
      <c r="F44" s="38"/>
      <c r="G44" s="39"/>
      <c r="H44" s="38"/>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34" ht="13.5" customHeight="1">
      <c r="A45" s="33">
        <v>21120702</v>
      </c>
      <c r="B45" s="24" t="s">
        <v>468</v>
      </c>
      <c r="C45" s="24">
        <f>1000000+50000</f>
        <v>1050000</v>
      </c>
      <c r="D45" s="107"/>
      <c r="E45" s="107"/>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row>
    <row r="46" spans="1:34" ht="13.5" customHeight="1">
      <c r="A46" s="33">
        <v>21120704</v>
      </c>
      <c r="B46" s="24" t="s">
        <v>469</v>
      </c>
      <c r="C46" s="24">
        <f>1000000+500000</f>
        <v>1500000</v>
      </c>
      <c r="D46" s="107"/>
      <c r="E46" s="107"/>
      <c r="F46" s="35"/>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row>
    <row r="47" spans="1:34" ht="13.5" customHeight="1">
      <c r="A47" s="33">
        <v>21120708</v>
      </c>
      <c r="B47" s="13" t="s">
        <v>470</v>
      </c>
      <c r="C47" s="24">
        <v>50000</v>
      </c>
      <c r="D47" s="107"/>
      <c r="E47" s="107"/>
      <c r="F47" s="35"/>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row>
    <row r="48" spans="1:34" ht="13.5" customHeight="1">
      <c r="A48" s="33">
        <v>21120709</v>
      </c>
      <c r="B48" s="24" t="s">
        <v>471</v>
      </c>
      <c r="C48" s="24">
        <v>30000</v>
      </c>
      <c r="D48" s="107"/>
      <c r="E48" s="107"/>
      <c r="F48" s="35"/>
      <c r="G48" s="23"/>
      <c r="H48" s="23"/>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1:34" ht="13.5" customHeight="1">
      <c r="A49" s="33">
        <v>21120710</v>
      </c>
      <c r="B49" s="24" t="s">
        <v>472</v>
      </c>
      <c r="C49" s="24">
        <v>320000</v>
      </c>
      <c r="D49" s="107"/>
      <c r="E49" s="107"/>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ht="13.5" customHeight="1">
      <c r="A50" s="33">
        <v>21120711</v>
      </c>
      <c r="B50" s="24" t="s">
        <v>473</v>
      </c>
      <c r="C50" s="24">
        <v>80000</v>
      </c>
      <c r="D50" s="107"/>
      <c r="E50" s="107"/>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1:34" ht="13.5" customHeight="1">
      <c r="A51" s="48">
        <v>211208</v>
      </c>
      <c r="B51" s="26" t="s">
        <v>474</v>
      </c>
      <c r="C51" s="26">
        <f>+SUM(C52:C53)</f>
        <v>918000</v>
      </c>
      <c r="D51" s="107"/>
      <c r="E51" s="107"/>
      <c r="F51" s="8"/>
      <c r="G51" s="8"/>
      <c r="H51" s="8"/>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row>
    <row r="52" spans="1:34" ht="13.5" customHeight="1">
      <c r="A52" s="33">
        <v>21120801</v>
      </c>
      <c r="B52" s="13" t="s">
        <v>475</v>
      </c>
      <c r="C52" s="24">
        <v>320000</v>
      </c>
      <c r="D52" s="107"/>
      <c r="E52" s="107"/>
      <c r="F52" s="35"/>
      <c r="G52" s="23"/>
      <c r="H52" s="23"/>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ht="13.5" customHeight="1">
      <c r="A53" s="33">
        <v>21120805</v>
      </c>
      <c r="B53" s="24" t="s">
        <v>476</v>
      </c>
      <c r="C53" s="24">
        <v>598000</v>
      </c>
      <c r="D53" s="107"/>
      <c r="E53" s="107"/>
      <c r="F53" s="8"/>
      <c r="G53" s="8"/>
      <c r="H53" s="8"/>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row>
    <row r="54" spans="1:34" ht="13.5" customHeight="1">
      <c r="A54" s="48">
        <v>211209</v>
      </c>
      <c r="B54" s="26" t="s">
        <v>477</v>
      </c>
      <c r="C54" s="16">
        <f>+SUM(C55:C58)</f>
        <v>9946000</v>
      </c>
      <c r="D54" s="107"/>
      <c r="E54" s="107"/>
      <c r="F54" s="35"/>
      <c r="G54" s="23"/>
      <c r="H54" s="23"/>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ht="13.5" customHeight="1">
      <c r="A55" s="33">
        <v>21120901</v>
      </c>
      <c r="B55" s="24" t="s">
        <v>478</v>
      </c>
      <c r="C55" s="24">
        <f>1000000+88000</f>
        <v>1088000</v>
      </c>
      <c r="D55" s="107"/>
      <c r="E55" s="107"/>
      <c r="F55" s="8"/>
      <c r="G55" s="8"/>
      <c r="H55" s="8"/>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1:34" ht="13.5" customHeight="1">
      <c r="A56" s="33">
        <v>21120905</v>
      </c>
      <c r="B56" s="24" t="s">
        <v>525</v>
      </c>
      <c r="C56" s="24">
        <v>260000</v>
      </c>
      <c r="D56" s="107"/>
      <c r="E56" s="107"/>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1:34" ht="13.5" customHeight="1">
      <c r="A57" s="33">
        <v>21120906</v>
      </c>
      <c r="B57" s="24" t="s">
        <v>479</v>
      </c>
      <c r="C57" s="24">
        <f>48000+8500000</f>
        <v>8548000</v>
      </c>
      <c r="D57" s="107"/>
      <c r="E57" s="107"/>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1:34" ht="13.5" customHeight="1">
      <c r="A58" s="33">
        <v>21120907</v>
      </c>
      <c r="B58" s="13" t="s">
        <v>480</v>
      </c>
      <c r="C58" s="14">
        <v>50000</v>
      </c>
      <c r="D58" s="107"/>
      <c r="E58" s="107"/>
      <c r="F58" s="9"/>
      <c r="G58" s="13"/>
      <c r="H58" s="13"/>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ht="13.5" customHeight="1" thickBot="1">
      <c r="A59" s="23"/>
      <c r="B59" s="8"/>
      <c r="C59" s="24"/>
      <c r="D59" s="107"/>
      <c r="E59" s="107"/>
      <c r="F59" s="8"/>
      <c r="G59" s="8"/>
      <c r="H59" s="8"/>
      <c r="I59" s="7"/>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3.5" customHeight="1" thickBot="1">
      <c r="A60" s="1298" t="s">
        <v>4</v>
      </c>
      <c r="B60" s="1281"/>
      <c r="C60" s="64">
        <f>C61+C64+C68+C71+C73+C75</f>
        <v>13731750.949999999</v>
      </c>
      <c r="D60" s="107"/>
      <c r="E60" s="107"/>
      <c r="F60" s="7"/>
      <c r="G60" s="7"/>
      <c r="H60" s="7"/>
      <c r="I60" s="7"/>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3.5" customHeight="1">
      <c r="A61" s="22">
        <v>211302</v>
      </c>
      <c r="B61" s="48" t="s">
        <v>481</v>
      </c>
      <c r="C61" s="49">
        <f>+SUM(C62:C63)</f>
        <v>479000</v>
      </c>
      <c r="D61" s="107"/>
      <c r="E61" s="107"/>
      <c r="F61" s="7"/>
      <c r="G61" s="108"/>
      <c r="H61" s="7"/>
      <c r="I61" s="111"/>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row>
    <row r="62" spans="1:34" ht="13.5" customHeight="1">
      <c r="A62" s="33">
        <v>21130203</v>
      </c>
      <c r="B62" s="13" t="s">
        <v>555</v>
      </c>
      <c r="C62" s="114">
        <v>100000</v>
      </c>
      <c r="D62" s="107"/>
      <c r="E62" s="107"/>
      <c r="F62" s="111"/>
      <c r="G62" s="110"/>
      <c r="H62" s="111"/>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row>
    <row r="63" spans="1:34" ht="13.5" customHeight="1">
      <c r="A63" s="40">
        <v>21130204</v>
      </c>
      <c r="B63" s="13" t="s">
        <v>483</v>
      </c>
      <c r="C63" s="24">
        <v>379000</v>
      </c>
      <c r="D63" s="115"/>
      <c r="E63" s="116"/>
      <c r="F63" s="117"/>
      <c r="G63" s="33"/>
      <c r="H63" s="92"/>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1:34" ht="13.5" customHeight="1">
      <c r="A64" s="22">
        <v>211303</v>
      </c>
      <c r="B64" s="15" t="s">
        <v>484</v>
      </c>
      <c r="C64" s="26">
        <f>SUM(C65:C67)</f>
        <v>770000</v>
      </c>
      <c r="D64" s="107"/>
      <c r="E64" s="107"/>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1:34" ht="13.5" customHeight="1">
      <c r="A65" s="40">
        <v>21130302</v>
      </c>
      <c r="B65" s="13" t="s">
        <v>520</v>
      </c>
      <c r="C65" s="24">
        <v>60000</v>
      </c>
      <c r="D65" s="107"/>
      <c r="E65" s="107"/>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row>
    <row r="66" spans="1:34" ht="13.5" customHeight="1">
      <c r="A66" s="33">
        <v>21130304</v>
      </c>
      <c r="B66" s="23" t="s">
        <v>486</v>
      </c>
      <c r="C66" s="24">
        <v>650000</v>
      </c>
      <c r="D66" s="107"/>
      <c r="E66" s="107"/>
      <c r="F66" s="13"/>
      <c r="G66" s="13"/>
      <c r="H66" s="13"/>
    </row>
    <row r="67" spans="1:34" ht="13.5" customHeight="1">
      <c r="A67" s="40">
        <v>21130307</v>
      </c>
      <c r="B67" s="13" t="s">
        <v>488</v>
      </c>
      <c r="C67" s="24">
        <v>60000</v>
      </c>
      <c r="D67" s="6"/>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1:34" ht="13.5" customHeight="1">
      <c r="A68" s="48">
        <v>211305</v>
      </c>
      <c r="B68" s="15" t="s">
        <v>489</v>
      </c>
      <c r="C68" s="26">
        <f>SUM(C69:C70)</f>
        <v>159000</v>
      </c>
      <c r="D68" s="107"/>
      <c r="E68" s="107"/>
      <c r="F68" s="14"/>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row>
    <row r="69" spans="1:34" ht="13.5" customHeight="1">
      <c r="A69" s="33">
        <v>21130501</v>
      </c>
      <c r="B69" s="13" t="s">
        <v>490</v>
      </c>
      <c r="C69" s="14">
        <v>9000</v>
      </c>
      <c r="D69" s="107"/>
      <c r="E69" s="107"/>
      <c r="F69" s="13"/>
      <c r="G69" s="13"/>
      <c r="H69" s="13"/>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1:34" ht="13.5" customHeight="1">
      <c r="A70" s="33">
        <v>21130502</v>
      </c>
      <c r="B70" s="24" t="s">
        <v>491</v>
      </c>
      <c r="C70" s="14">
        <v>150000</v>
      </c>
      <c r="D70" s="107"/>
      <c r="E70" s="107"/>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1:34" ht="13.5" customHeight="1">
      <c r="A71" s="48">
        <v>211306</v>
      </c>
      <c r="B71" s="26" t="s">
        <v>492</v>
      </c>
      <c r="C71" s="16">
        <f>C72</f>
        <v>40000</v>
      </c>
      <c r="D71" s="107"/>
      <c r="E71" s="107"/>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1:34" ht="13.5" customHeight="1">
      <c r="A72" s="33">
        <v>21130607</v>
      </c>
      <c r="B72" s="24" t="s">
        <v>493</v>
      </c>
      <c r="C72" s="14">
        <v>40000</v>
      </c>
      <c r="D72" s="107"/>
      <c r="E72" s="107"/>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1:34" ht="13.5" customHeight="1">
      <c r="A73" s="48">
        <v>211307</v>
      </c>
      <c r="B73" s="26" t="s">
        <v>494</v>
      </c>
      <c r="C73" s="16">
        <f>C74</f>
        <v>350000</v>
      </c>
      <c r="D73" s="107"/>
      <c r="E73" s="107"/>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1:34" ht="13.5" customHeight="1">
      <c r="A74" s="33">
        <v>21130701</v>
      </c>
      <c r="B74" s="13" t="s">
        <v>495</v>
      </c>
      <c r="C74" s="14">
        <v>350000</v>
      </c>
      <c r="D74" s="107"/>
      <c r="E74" s="107"/>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1:34" ht="13.5" customHeight="1">
      <c r="A75" s="48">
        <v>211309</v>
      </c>
      <c r="B75" s="26" t="s">
        <v>496</v>
      </c>
      <c r="C75" s="16">
        <f>+SUM(C76:C80)</f>
        <v>11933750.949999999</v>
      </c>
      <c r="D75" s="107"/>
      <c r="E75" s="107"/>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1:34" ht="13.5" customHeight="1">
      <c r="A76" s="33">
        <v>21130901</v>
      </c>
      <c r="B76" s="24" t="s">
        <v>497</v>
      </c>
      <c r="C76" s="14">
        <f>544500+9176250.95</f>
        <v>9720750.9499999993</v>
      </c>
      <c r="D76" s="107"/>
      <c r="E76" s="107"/>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ht="13.5" customHeight="1">
      <c r="A77" s="33">
        <v>21130903</v>
      </c>
      <c r="B77" s="24" t="s">
        <v>498</v>
      </c>
      <c r="C77" s="14">
        <v>1687500</v>
      </c>
      <c r="D77" s="107"/>
      <c r="E77" s="107"/>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ht="13.5" customHeight="1">
      <c r="A78" s="33">
        <v>21130905</v>
      </c>
      <c r="B78" s="24" t="s">
        <v>532</v>
      </c>
      <c r="C78" s="24">
        <v>30000</v>
      </c>
      <c r="D78" s="107"/>
      <c r="E78" s="107"/>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ht="13.5" customHeight="1">
      <c r="A79" s="33">
        <v>21130906</v>
      </c>
      <c r="B79" s="13" t="s">
        <v>499</v>
      </c>
      <c r="C79" s="14">
        <v>95500</v>
      </c>
      <c r="D79" s="107"/>
      <c r="E79" s="10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ht="13.5" customHeight="1">
      <c r="A80" s="33">
        <v>21130908</v>
      </c>
      <c r="B80" s="24" t="s">
        <v>500</v>
      </c>
      <c r="C80" s="14">
        <v>400000</v>
      </c>
      <c r="D80" s="107"/>
      <c r="E80" s="107"/>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1:34" ht="13.5" customHeight="1" thickBot="1">
      <c r="A81" s="23"/>
      <c r="B81" s="23"/>
      <c r="C81" s="24"/>
      <c r="D81" s="107"/>
      <c r="E81" s="107"/>
      <c r="F81" s="8"/>
      <c r="G81" s="8"/>
      <c r="H81" s="8"/>
      <c r="I81" s="7"/>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3.5" customHeight="1" thickBot="1">
      <c r="A82" s="1287" t="s">
        <v>45</v>
      </c>
      <c r="B82" s="1281"/>
      <c r="C82" s="47">
        <f>C83+C85</f>
        <v>531796.07000000007</v>
      </c>
      <c r="D82" s="107"/>
      <c r="E82" s="107"/>
      <c r="F82" s="7"/>
      <c r="G82" s="7"/>
      <c r="H82" s="7"/>
      <c r="I82" s="7"/>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3.5" customHeight="1">
      <c r="A83" s="48">
        <v>211401</v>
      </c>
      <c r="B83" s="48" t="s">
        <v>501</v>
      </c>
      <c r="C83" s="49">
        <f>SUM(C84:C84)</f>
        <v>110000</v>
      </c>
      <c r="D83" s="107"/>
      <c r="E83" s="107"/>
      <c r="F83" s="7"/>
      <c r="G83" s="7"/>
      <c r="H83" s="108"/>
      <c r="I83" s="111"/>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row>
    <row r="84" spans="1:34" ht="13.5" customHeight="1">
      <c r="A84" s="33">
        <v>21140108</v>
      </c>
      <c r="B84" s="24" t="s">
        <v>502</v>
      </c>
      <c r="C84" s="24">
        <f>70000+40000</f>
        <v>110000</v>
      </c>
      <c r="D84" s="107"/>
      <c r="E84" s="107"/>
      <c r="F84" s="111"/>
      <c r="G84" s="111"/>
      <c r="H84" s="110"/>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row>
    <row r="85" spans="1:34" ht="13.5" customHeight="1">
      <c r="A85" s="48">
        <v>211402</v>
      </c>
      <c r="B85" s="21" t="s">
        <v>503</v>
      </c>
      <c r="C85" s="26">
        <f>SUM(C86:C87)</f>
        <v>421796.07</v>
      </c>
      <c r="D85" s="107"/>
      <c r="E85" s="107"/>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row>
    <row r="86" spans="1:34" ht="13.5" customHeight="1">
      <c r="A86" s="33">
        <v>21140204</v>
      </c>
      <c r="B86" s="24" t="s">
        <v>556</v>
      </c>
      <c r="C86" s="24">
        <f>50000+45000</f>
        <v>95000</v>
      </c>
      <c r="D86" s="107"/>
      <c r="E86" s="107"/>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row>
    <row r="87" spans="1:34" ht="13.5" customHeight="1">
      <c r="A87" s="33">
        <v>21140210</v>
      </c>
      <c r="B87" s="24" t="s">
        <v>504</v>
      </c>
      <c r="C87" s="24">
        <f>170000+156796.07</f>
        <v>326796.07</v>
      </c>
      <c r="D87" s="107"/>
      <c r="E87" s="107"/>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row>
    <row r="88" spans="1:34" ht="13.5" customHeight="1" thickBot="1">
      <c r="A88" s="23"/>
      <c r="B88" s="13"/>
      <c r="C88" s="14"/>
      <c r="D88" s="107"/>
      <c r="E88" s="107"/>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row>
    <row r="89" spans="1:34" ht="13.5" customHeight="1" thickBot="1">
      <c r="A89" s="1299" t="s">
        <v>48</v>
      </c>
      <c r="B89" s="1281"/>
      <c r="C89" s="65">
        <f>C90+C94</f>
        <v>671000</v>
      </c>
      <c r="D89" s="107"/>
      <c r="E89" s="107"/>
      <c r="F89" s="13"/>
      <c r="G89" s="13"/>
      <c r="H89" s="13"/>
      <c r="I89" s="7"/>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3.5" customHeight="1">
      <c r="A90" s="48">
        <v>221104</v>
      </c>
      <c r="B90" s="48" t="s">
        <v>510</v>
      </c>
      <c r="C90" s="49">
        <f>SUM(C91:C93)</f>
        <v>471000</v>
      </c>
      <c r="D90" s="107"/>
      <c r="E90" s="107"/>
      <c r="F90" s="7"/>
      <c r="G90" s="7"/>
      <c r="H90" s="7"/>
      <c r="I90" s="111"/>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row>
    <row r="91" spans="1:34" ht="13.5" customHeight="1">
      <c r="A91" s="33">
        <v>22110401</v>
      </c>
      <c r="B91" s="24" t="s">
        <v>511</v>
      </c>
      <c r="C91" s="24">
        <v>350000</v>
      </c>
      <c r="D91" s="107"/>
      <c r="E91" s="107"/>
      <c r="F91" s="111"/>
      <c r="G91" s="111"/>
      <c r="H91" s="111"/>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row>
    <row r="92" spans="1:34" ht="13.5" customHeight="1">
      <c r="A92" s="33">
        <v>22110404</v>
      </c>
      <c r="B92" s="13" t="s">
        <v>512</v>
      </c>
      <c r="C92" s="24">
        <v>21000</v>
      </c>
      <c r="D92" s="107"/>
      <c r="E92" s="107"/>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row>
    <row r="93" spans="1:34" ht="13.5" customHeight="1">
      <c r="A93" s="33">
        <v>22110409</v>
      </c>
      <c r="B93" s="24" t="s">
        <v>513</v>
      </c>
      <c r="C93" s="24">
        <v>100000</v>
      </c>
      <c r="D93" s="107"/>
      <c r="E93" s="107"/>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row>
    <row r="94" spans="1:34" ht="13.5" customHeight="1">
      <c r="A94" s="48">
        <v>221107</v>
      </c>
      <c r="B94" s="26" t="s">
        <v>514</v>
      </c>
      <c r="C94" s="26">
        <f>SUM(C95)</f>
        <v>200000</v>
      </c>
      <c r="D94" s="107"/>
      <c r="E94" s="107"/>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row>
    <row r="95" spans="1:34" ht="13.5" customHeight="1">
      <c r="A95" s="33">
        <v>22110702</v>
      </c>
      <c r="B95" s="24" t="s">
        <v>515</v>
      </c>
      <c r="C95" s="24">
        <v>200000</v>
      </c>
      <c r="D95" s="107"/>
      <c r="E95" s="107"/>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row>
    <row r="96" spans="1:34" ht="13.5" customHeight="1">
      <c r="A96" s="33"/>
      <c r="B96" s="23"/>
      <c r="C96" s="24"/>
      <c r="D96" s="107"/>
      <c r="E96" s="107"/>
      <c r="F96" s="13"/>
      <c r="G96" s="13"/>
      <c r="H96" s="13"/>
      <c r="I96" s="7"/>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4.25" customHeight="1" thickBot="1">
      <c r="A97" s="23"/>
      <c r="B97" s="24"/>
      <c r="C97" s="24"/>
      <c r="D97" s="27"/>
      <c r="E97" s="27"/>
      <c r="F97" s="7"/>
      <c r="G97" s="7"/>
      <c r="H97" s="7"/>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ht="13.5" customHeight="1">
      <c r="A98" s="1334" t="s">
        <v>738</v>
      </c>
      <c r="B98" s="1352"/>
      <c r="C98" s="1182">
        <v>1302</v>
      </c>
      <c r="D98" s="619"/>
      <c r="E98" s="619"/>
      <c r="F98" s="9"/>
      <c r="G98" s="9"/>
      <c r="H98" s="9"/>
      <c r="I98" s="7"/>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ht="13.5" customHeight="1" thickBot="1">
      <c r="A99" s="1363"/>
      <c r="B99" s="1364"/>
      <c r="C99" s="1514"/>
      <c r="D99" s="619"/>
      <c r="E99" s="619"/>
      <c r="F99" s="7"/>
      <c r="G99" s="7"/>
      <c r="H99" s="7"/>
    </row>
    <row r="100" spans="1:34" ht="13.5" customHeight="1">
      <c r="A100" s="1122" t="s">
        <v>675</v>
      </c>
      <c r="B100" s="808"/>
      <c r="C100" s="1184"/>
      <c r="D100" s="619"/>
      <c r="E100" s="619"/>
      <c r="I100" s="111"/>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row>
    <row r="101" spans="1:34" ht="13.5" customHeight="1">
      <c r="A101" s="1028" t="s">
        <v>732</v>
      </c>
      <c r="B101" s="808"/>
      <c r="C101" s="1184"/>
      <c r="D101" s="619"/>
      <c r="E101" s="619"/>
      <c r="F101" s="110"/>
      <c r="G101" s="111"/>
      <c r="H101" s="111"/>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row>
    <row r="102" spans="1:34" ht="13.5" customHeight="1">
      <c r="A102" s="1028" t="s">
        <v>733</v>
      </c>
      <c r="B102" s="808"/>
      <c r="C102" s="1184"/>
      <c r="D102" s="619"/>
      <c r="E102" s="619"/>
      <c r="F102" s="13"/>
      <c r="G102" s="13"/>
      <c r="H102" s="13"/>
    </row>
    <row r="103" spans="1:34" ht="13.5" customHeight="1" thickBot="1">
      <c r="A103" s="1125" t="s">
        <v>59</v>
      </c>
      <c r="B103" s="982"/>
      <c r="C103" s="1184"/>
      <c r="D103" s="619"/>
      <c r="E103" s="619"/>
    </row>
    <row r="104" spans="1:34" ht="13.5" customHeight="1" thickBot="1">
      <c r="A104" s="1171" t="s">
        <v>60</v>
      </c>
      <c r="B104" s="1186"/>
      <c r="C104" s="1218">
        <f>+C106+C134+C153</f>
        <v>679875594.72000003</v>
      </c>
      <c r="D104" s="619"/>
      <c r="E104" s="619"/>
    </row>
    <row r="105" spans="1:34" ht="13.5" customHeight="1" thickBot="1">
      <c r="A105" s="23"/>
      <c r="B105" s="23"/>
      <c r="C105" s="24"/>
      <c r="D105" s="619"/>
      <c r="E105" s="619"/>
    </row>
    <row r="106" spans="1:34" ht="13.5" customHeight="1" thickBot="1">
      <c r="A106" s="1297" t="s">
        <v>9</v>
      </c>
      <c r="B106" s="1281"/>
      <c r="C106" s="62">
        <f>C107+C109+C112+C115+C117+C120+C124+C128</f>
        <v>233704500</v>
      </c>
      <c r="D106" s="619"/>
      <c r="E106" s="619"/>
    </row>
    <row r="107" spans="1:34" ht="13.5" customHeight="1">
      <c r="A107" s="48">
        <v>211201</v>
      </c>
      <c r="B107" s="48" t="s">
        <v>459</v>
      </c>
      <c r="C107" s="49">
        <f>C108</f>
        <v>2259000</v>
      </c>
      <c r="D107" s="619"/>
      <c r="E107" s="619"/>
    </row>
    <row r="108" spans="1:34" ht="13.5" customHeight="1">
      <c r="A108" s="33">
        <v>21120101</v>
      </c>
      <c r="B108" s="23" t="s">
        <v>460</v>
      </c>
      <c r="C108" s="24">
        <v>2259000</v>
      </c>
      <c r="D108" s="619"/>
      <c r="E108" s="619"/>
    </row>
    <row r="109" spans="1:34" ht="13.5" customHeight="1">
      <c r="A109" s="48">
        <v>211202</v>
      </c>
      <c r="B109" s="21" t="s">
        <v>529</v>
      </c>
      <c r="C109" s="26">
        <f>C110+C111</f>
        <v>7646500</v>
      </c>
      <c r="D109" s="619"/>
      <c r="E109" s="619"/>
    </row>
    <row r="110" spans="1:34" ht="13.5" customHeight="1">
      <c r="A110" s="33">
        <v>21120201</v>
      </c>
      <c r="B110" s="23" t="s">
        <v>540</v>
      </c>
      <c r="C110" s="24">
        <v>273500</v>
      </c>
      <c r="D110" s="619"/>
      <c r="E110" s="619"/>
    </row>
    <row r="111" spans="1:34" ht="13.5" customHeight="1">
      <c r="A111" s="33">
        <v>21120203</v>
      </c>
      <c r="B111" s="23" t="s">
        <v>564</v>
      </c>
      <c r="C111" s="24">
        <v>7373000</v>
      </c>
      <c r="D111" s="619"/>
      <c r="E111" s="619"/>
    </row>
    <row r="112" spans="1:34" ht="13.5" customHeight="1">
      <c r="A112" s="48">
        <v>211203</v>
      </c>
      <c r="B112" s="21" t="s">
        <v>461</v>
      </c>
      <c r="C112" s="49">
        <f>C113+C114</f>
        <v>12931000</v>
      </c>
      <c r="D112" s="619"/>
      <c r="E112" s="619"/>
    </row>
    <row r="113" spans="1:34" ht="13.5" customHeight="1">
      <c r="A113" s="33">
        <v>21120302</v>
      </c>
      <c r="B113" s="23" t="s">
        <v>462</v>
      </c>
      <c r="C113" s="24">
        <v>11978000</v>
      </c>
      <c r="D113" s="619"/>
      <c r="E113" s="619"/>
    </row>
    <row r="114" spans="1:34" ht="13.5" customHeight="1">
      <c r="A114" s="33">
        <v>21120303</v>
      </c>
      <c r="B114" s="13" t="s">
        <v>533</v>
      </c>
      <c r="C114" s="24">
        <v>953000</v>
      </c>
      <c r="D114" s="619"/>
      <c r="E114" s="619"/>
    </row>
    <row r="115" spans="1:34" ht="13.5" customHeight="1">
      <c r="A115" s="48">
        <v>211204</v>
      </c>
      <c r="B115" s="21" t="s">
        <v>463</v>
      </c>
      <c r="C115" s="49">
        <f>C116</f>
        <v>2596000</v>
      </c>
      <c r="D115" s="619"/>
      <c r="E115" s="619"/>
    </row>
    <row r="116" spans="1:34" ht="13.5" customHeight="1">
      <c r="A116" s="33">
        <v>21120401</v>
      </c>
      <c r="B116" s="24" t="s">
        <v>464</v>
      </c>
      <c r="C116" s="24">
        <v>2596000</v>
      </c>
      <c r="D116" s="619"/>
      <c r="E116" s="619"/>
    </row>
    <row r="117" spans="1:34" ht="13.5" customHeight="1">
      <c r="A117" s="48">
        <v>211205</v>
      </c>
      <c r="B117" s="26" t="s">
        <v>465</v>
      </c>
      <c r="C117" s="26">
        <f>+SUM(C118:C119)</f>
        <v>149911500</v>
      </c>
      <c r="D117" s="619"/>
      <c r="E117" s="619"/>
    </row>
    <row r="118" spans="1:34" ht="13.5" customHeight="1">
      <c r="A118" s="33">
        <v>21120501</v>
      </c>
      <c r="B118" s="23" t="s">
        <v>466</v>
      </c>
      <c r="C118" s="24">
        <f>56595000+30000000</f>
        <v>86595000</v>
      </c>
      <c r="D118" s="619"/>
      <c r="E118" s="619"/>
    </row>
    <row r="119" spans="1:34" ht="13.5" customHeight="1">
      <c r="A119" s="33">
        <v>21120502</v>
      </c>
      <c r="B119" s="23" t="s">
        <v>580</v>
      </c>
      <c r="C119" s="24">
        <v>63316500</v>
      </c>
      <c r="D119" s="619"/>
      <c r="E119" s="619"/>
    </row>
    <row r="120" spans="1:34" ht="13.5" customHeight="1">
      <c r="A120" s="48">
        <v>211207</v>
      </c>
      <c r="B120" s="603" t="s">
        <v>467</v>
      </c>
      <c r="C120" s="26">
        <f>+SUM(C121:C123)</f>
        <v>19180500</v>
      </c>
      <c r="D120" s="619"/>
      <c r="E120" s="619"/>
    </row>
    <row r="121" spans="1:34" ht="13.5" customHeight="1">
      <c r="A121" s="33">
        <v>21120701</v>
      </c>
      <c r="B121" s="24" t="s">
        <v>541</v>
      </c>
      <c r="C121" s="24">
        <v>1207500</v>
      </c>
      <c r="D121" s="619"/>
      <c r="E121" s="619"/>
    </row>
    <row r="122" spans="1:34" ht="13.5" customHeight="1">
      <c r="A122" s="33">
        <v>21120704</v>
      </c>
      <c r="B122" s="24" t="s">
        <v>469</v>
      </c>
      <c r="C122" s="24">
        <v>17523500</v>
      </c>
      <c r="D122" s="619"/>
      <c r="E122" s="61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ht="13.5" customHeight="1">
      <c r="A123" s="33">
        <v>21120706</v>
      </c>
      <c r="B123" s="24" t="s">
        <v>542</v>
      </c>
      <c r="C123" s="24">
        <v>449500</v>
      </c>
      <c r="D123" s="619"/>
      <c r="E123" s="61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13.5" customHeight="1">
      <c r="A124" s="48">
        <v>211208</v>
      </c>
      <c r="B124" s="21" t="s">
        <v>474</v>
      </c>
      <c r="C124" s="26">
        <f>+SUM(C125:C127)</f>
        <v>37730000</v>
      </c>
      <c r="D124" s="619"/>
      <c r="E124" s="619"/>
      <c r="F124" s="9"/>
      <c r="G124" s="9"/>
      <c r="H124" s="9"/>
    </row>
    <row r="125" spans="1:34" ht="13.5" customHeight="1">
      <c r="A125" s="33">
        <v>21120803</v>
      </c>
      <c r="B125" s="24" t="s">
        <v>517</v>
      </c>
      <c r="C125" s="24">
        <v>1185500</v>
      </c>
      <c r="D125" s="619"/>
      <c r="E125" s="619"/>
    </row>
    <row r="126" spans="1:34" ht="13.5" customHeight="1">
      <c r="A126" s="33">
        <v>21120805</v>
      </c>
      <c r="B126" s="24" t="s">
        <v>476</v>
      </c>
      <c r="C126" s="24">
        <v>19968500</v>
      </c>
      <c r="D126" s="619"/>
      <c r="E126" s="619"/>
    </row>
    <row r="127" spans="1:34" ht="13.5" customHeight="1">
      <c r="A127" s="33">
        <v>21120806</v>
      </c>
      <c r="B127" s="13" t="s">
        <v>534</v>
      </c>
      <c r="C127" s="24">
        <v>16576000</v>
      </c>
      <c r="D127" s="619"/>
      <c r="E127" s="619"/>
    </row>
    <row r="128" spans="1:34" ht="13.5" customHeight="1">
      <c r="A128" s="48">
        <v>211209</v>
      </c>
      <c r="B128" s="26" t="s">
        <v>477</v>
      </c>
      <c r="C128" s="26">
        <f>+SUM(C129:C132)</f>
        <v>1450000</v>
      </c>
      <c r="D128" s="619"/>
      <c r="E128" s="619"/>
    </row>
    <row r="129" spans="1:5" ht="13.5" customHeight="1">
      <c r="A129" s="33">
        <v>21120901</v>
      </c>
      <c r="B129" s="24" t="s">
        <v>478</v>
      </c>
      <c r="C129" s="24">
        <v>16000</v>
      </c>
      <c r="D129" s="619"/>
      <c r="E129" s="619"/>
    </row>
    <row r="130" spans="1:5" ht="13.5" customHeight="1">
      <c r="A130" s="33">
        <v>21120903</v>
      </c>
      <c r="B130" s="24" t="s">
        <v>569</v>
      </c>
      <c r="C130" s="24">
        <v>1037500</v>
      </c>
      <c r="D130" s="619"/>
      <c r="E130" s="619"/>
    </row>
    <row r="131" spans="1:5" ht="13.5" customHeight="1">
      <c r="A131" s="40">
        <v>21120905</v>
      </c>
      <c r="B131" s="13" t="s">
        <v>525</v>
      </c>
      <c r="C131" s="14">
        <v>25000</v>
      </c>
      <c r="D131" s="619"/>
      <c r="E131" s="619"/>
    </row>
    <row r="132" spans="1:5" ht="13.5" customHeight="1">
      <c r="A132" s="33">
        <v>21120906</v>
      </c>
      <c r="B132" s="24" t="s">
        <v>479</v>
      </c>
      <c r="C132" s="24">
        <v>371500</v>
      </c>
      <c r="D132" s="619"/>
      <c r="E132" s="619"/>
    </row>
    <row r="133" spans="1:5" ht="13.5" customHeight="1" thickBot="1">
      <c r="A133" s="23"/>
      <c r="B133" s="24"/>
      <c r="C133" s="24"/>
      <c r="D133" s="619"/>
      <c r="E133" s="619"/>
    </row>
    <row r="134" spans="1:5" ht="13.5" customHeight="1" thickBot="1">
      <c r="A134" s="1298" t="s">
        <v>4</v>
      </c>
      <c r="B134" s="1281"/>
      <c r="C134" s="64">
        <f>C135+C138+C142+C145+C147</f>
        <v>403074000</v>
      </c>
      <c r="D134" s="619"/>
      <c r="E134" s="619"/>
    </row>
    <row r="135" spans="1:5" ht="13.5" customHeight="1">
      <c r="A135" s="48">
        <v>211302</v>
      </c>
      <c r="B135" s="48" t="s">
        <v>481</v>
      </c>
      <c r="C135" s="49">
        <f>+SUM(C136:C137)</f>
        <v>34889500</v>
      </c>
      <c r="D135" s="619"/>
      <c r="E135" s="619"/>
    </row>
    <row r="136" spans="1:5" ht="13.5" customHeight="1">
      <c r="A136" s="33">
        <v>21130201</v>
      </c>
      <c r="B136" s="33" t="s">
        <v>482</v>
      </c>
      <c r="C136" s="25">
        <v>33779500</v>
      </c>
      <c r="D136" s="619"/>
      <c r="E136" s="619"/>
    </row>
    <row r="137" spans="1:5" ht="13.5" customHeight="1">
      <c r="A137" s="33">
        <v>21130204</v>
      </c>
      <c r="B137" s="23" t="s">
        <v>483</v>
      </c>
      <c r="C137" s="24">
        <v>1110000</v>
      </c>
      <c r="D137" s="619"/>
      <c r="E137" s="619"/>
    </row>
    <row r="138" spans="1:5" ht="13.5" customHeight="1">
      <c r="A138" s="48">
        <v>211303</v>
      </c>
      <c r="B138" s="21" t="s">
        <v>484</v>
      </c>
      <c r="C138" s="26">
        <f>+SUM(C139:C141)</f>
        <v>18215500</v>
      </c>
      <c r="D138" s="619"/>
      <c r="E138" s="619"/>
    </row>
    <row r="139" spans="1:5" ht="13.5" customHeight="1">
      <c r="A139" s="33">
        <v>21130304</v>
      </c>
      <c r="B139" s="23" t="s">
        <v>486</v>
      </c>
      <c r="C139" s="24">
        <v>15045500</v>
      </c>
      <c r="D139" s="619"/>
      <c r="E139" s="619"/>
    </row>
    <row r="140" spans="1:5" ht="13.5" customHeight="1">
      <c r="A140" s="33">
        <v>21130305</v>
      </c>
      <c r="B140" s="23" t="s">
        <v>577</v>
      </c>
      <c r="C140" s="72">
        <v>1035000</v>
      </c>
      <c r="D140" s="619"/>
      <c r="E140" s="619"/>
    </row>
    <row r="141" spans="1:5" ht="13.5" customHeight="1">
      <c r="A141" s="33">
        <v>21130307</v>
      </c>
      <c r="B141" s="23" t="s">
        <v>488</v>
      </c>
      <c r="C141" s="24">
        <v>2135000</v>
      </c>
      <c r="D141" s="619"/>
      <c r="E141" s="619"/>
    </row>
    <row r="142" spans="1:5" ht="13.5" customHeight="1">
      <c r="A142" s="48">
        <v>211305</v>
      </c>
      <c r="B142" s="21" t="s">
        <v>489</v>
      </c>
      <c r="C142" s="26">
        <f>+SUM(C143:C144)</f>
        <v>28326500</v>
      </c>
      <c r="D142" s="619"/>
      <c r="E142" s="619"/>
    </row>
    <row r="143" spans="1:5" ht="13.5" customHeight="1">
      <c r="A143" s="33">
        <v>21130501</v>
      </c>
      <c r="B143" s="13" t="s">
        <v>490</v>
      </c>
      <c r="C143" s="24">
        <v>18500</v>
      </c>
      <c r="D143" s="619"/>
      <c r="E143" s="619"/>
    </row>
    <row r="144" spans="1:5" ht="13.5" customHeight="1">
      <c r="A144" s="33">
        <v>21130502</v>
      </c>
      <c r="B144" s="24" t="s">
        <v>491</v>
      </c>
      <c r="C144" s="51">
        <f>20000000+8308000</f>
        <v>28308000</v>
      </c>
      <c r="D144" s="619"/>
      <c r="E144" s="619"/>
    </row>
    <row r="145" spans="1:34" ht="13.5" customHeight="1">
      <c r="A145" s="48">
        <v>211306</v>
      </c>
      <c r="B145" s="26" t="s">
        <v>492</v>
      </c>
      <c r="C145" s="26">
        <f>C146</f>
        <v>16500</v>
      </c>
      <c r="D145" s="619"/>
      <c r="E145" s="619"/>
    </row>
    <row r="146" spans="1:34" ht="13.5" customHeight="1">
      <c r="A146" s="33">
        <v>21130607</v>
      </c>
      <c r="B146" s="24" t="s">
        <v>493</v>
      </c>
      <c r="C146" s="24">
        <v>16500</v>
      </c>
      <c r="D146" s="619"/>
      <c r="E146" s="619"/>
    </row>
    <row r="147" spans="1:34" ht="13.5" customHeight="1">
      <c r="A147" s="48">
        <v>211309</v>
      </c>
      <c r="B147" s="26" t="s">
        <v>496</v>
      </c>
      <c r="C147" s="26">
        <f>+SUM(C148:C151)</f>
        <v>321626000</v>
      </c>
      <c r="D147" s="619"/>
      <c r="E147" s="619"/>
    </row>
    <row r="148" spans="1:34" ht="13.5" customHeight="1">
      <c r="A148" s="33">
        <v>21130901</v>
      </c>
      <c r="B148" s="24" t="s">
        <v>497</v>
      </c>
      <c r="C148" s="51">
        <v>52680500</v>
      </c>
      <c r="D148" s="619"/>
      <c r="E148" s="619"/>
    </row>
    <row r="149" spans="1:34" ht="13.5" customHeight="1">
      <c r="A149" s="33">
        <v>21130903</v>
      </c>
      <c r="B149" s="24" t="s">
        <v>498</v>
      </c>
      <c r="C149" s="24">
        <v>14500</v>
      </c>
      <c r="D149" s="619"/>
      <c r="E149" s="619"/>
    </row>
    <row r="150" spans="1:34" ht="13.5" customHeight="1">
      <c r="A150" s="33">
        <v>21130907</v>
      </c>
      <c r="B150" s="24" t="s">
        <v>581</v>
      </c>
      <c r="C150" s="51">
        <v>246898500</v>
      </c>
      <c r="D150" s="619"/>
      <c r="E150" s="619"/>
    </row>
    <row r="151" spans="1:34" ht="13.5" customHeight="1">
      <c r="A151" s="33">
        <v>21130908</v>
      </c>
      <c r="B151" s="24" t="s">
        <v>500</v>
      </c>
      <c r="C151" s="24">
        <v>22032500</v>
      </c>
    </row>
    <row r="152" spans="1:34" ht="13.5" customHeight="1" thickBot="1">
      <c r="A152" s="23"/>
      <c r="B152" s="23"/>
      <c r="C152" s="24"/>
    </row>
    <row r="153" spans="1:34" ht="13.5" customHeight="1" thickBot="1">
      <c r="A153" s="1299" t="s">
        <v>48</v>
      </c>
      <c r="B153" s="1281"/>
      <c r="C153" s="65">
        <f>C156+C160+C164+C154</f>
        <v>43097094.719999999</v>
      </c>
    </row>
    <row r="154" spans="1:34" ht="13.5" customHeight="1">
      <c r="A154" s="48">
        <v>221103</v>
      </c>
      <c r="B154" s="26" t="s">
        <v>508</v>
      </c>
      <c r="C154" s="26">
        <f>SUM(C155)</f>
        <v>20000001</v>
      </c>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row>
    <row r="155" spans="1:34" ht="13.5" customHeight="1">
      <c r="A155" s="33">
        <v>22110301</v>
      </c>
      <c r="B155" s="24" t="s">
        <v>509</v>
      </c>
      <c r="C155" s="24">
        <f>20000000+1</f>
        <v>20000001</v>
      </c>
      <c r="D155" s="40"/>
      <c r="E155" s="14"/>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row>
    <row r="156" spans="1:34" ht="13.5" customHeight="1">
      <c r="A156" s="48">
        <v>221102</v>
      </c>
      <c r="B156" s="48" t="s">
        <v>543</v>
      </c>
      <c r="C156" s="49">
        <f>+SUM(C157:C159)</f>
        <v>17908593.719999999</v>
      </c>
      <c r="D156" s="40"/>
      <c r="E156" s="14"/>
      <c r="F156" s="13"/>
      <c r="G156" s="13"/>
      <c r="H156" s="13"/>
    </row>
    <row r="157" spans="1:34" ht="13.5" customHeight="1">
      <c r="A157" s="33">
        <v>22110202</v>
      </c>
      <c r="B157" s="23" t="s">
        <v>544</v>
      </c>
      <c r="C157" s="24">
        <f>5000000+276000</f>
        <v>5276000</v>
      </c>
    </row>
    <row r="158" spans="1:34" ht="13.5" customHeight="1">
      <c r="A158" s="33">
        <v>22110203</v>
      </c>
      <c r="B158" s="23" t="s">
        <v>582</v>
      </c>
      <c r="C158" s="24">
        <f>10927093.72+790000</f>
        <v>11717093.720000001</v>
      </c>
    </row>
    <row r="159" spans="1:34" ht="14.25" customHeight="1">
      <c r="A159" s="33">
        <v>22110205</v>
      </c>
      <c r="B159" s="23" t="s">
        <v>546</v>
      </c>
      <c r="C159" s="24">
        <v>915500</v>
      </c>
    </row>
    <row r="160" spans="1:34" ht="13.5" customHeight="1">
      <c r="A160" s="48">
        <v>221104</v>
      </c>
      <c r="B160" s="827" t="s">
        <v>510</v>
      </c>
      <c r="C160" s="26">
        <f>+SUM(C161:C163)</f>
        <v>2945000</v>
      </c>
    </row>
    <row r="161" spans="1:34" ht="13.5" customHeight="1">
      <c r="A161" s="33">
        <v>22110401</v>
      </c>
      <c r="B161" s="24" t="s">
        <v>511</v>
      </c>
      <c r="C161" s="24">
        <v>1998000</v>
      </c>
    </row>
    <row r="162" spans="1:34" ht="13.5" customHeight="1">
      <c r="A162" s="33">
        <v>22110404</v>
      </c>
      <c r="B162" s="24" t="s">
        <v>512</v>
      </c>
      <c r="C162" s="24">
        <v>820000</v>
      </c>
    </row>
    <row r="163" spans="1:34" ht="13.5" customHeight="1">
      <c r="A163" s="33">
        <v>22110409</v>
      </c>
      <c r="B163" s="24" t="s">
        <v>513</v>
      </c>
      <c r="C163" s="24">
        <v>127000</v>
      </c>
    </row>
    <row r="164" spans="1:34" ht="13.5" customHeight="1">
      <c r="A164" s="48">
        <v>221107</v>
      </c>
      <c r="B164" s="26" t="s">
        <v>514</v>
      </c>
      <c r="C164" s="26">
        <f>C165</f>
        <v>2243500</v>
      </c>
    </row>
    <row r="165" spans="1:34" ht="13.5" customHeight="1">
      <c r="A165" s="33">
        <v>22110702</v>
      </c>
      <c r="B165" s="24" t="s">
        <v>515</v>
      </c>
      <c r="C165" s="24">
        <f>2243500</f>
        <v>2243500</v>
      </c>
      <c r="D165" s="6"/>
      <c r="E165" s="6"/>
      <c r="F165" s="6"/>
    </row>
    <row r="166" spans="1:34" ht="13.5" customHeight="1">
      <c r="A166" s="23"/>
      <c r="B166" s="24"/>
      <c r="C166" s="24"/>
    </row>
    <row r="167" spans="1:34" ht="13.5" customHeight="1" thickBot="1">
      <c r="A167" s="23"/>
      <c r="B167" s="24"/>
      <c r="C167" s="24"/>
    </row>
    <row r="168" spans="1:34" ht="13.5" customHeight="1">
      <c r="A168" s="1334" t="s">
        <v>890</v>
      </c>
      <c r="B168" s="1336"/>
      <c r="C168" s="1518">
        <v>1303</v>
      </c>
      <c r="D168" s="619"/>
      <c r="E168" s="619"/>
      <c r="F168" s="9"/>
      <c r="G168" s="9"/>
      <c r="H168" s="9"/>
      <c r="I168" s="7"/>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13.5" customHeight="1" thickBot="1">
      <c r="A169" s="1363"/>
      <c r="B169" s="1304"/>
      <c r="C169" s="1519"/>
      <c r="D169" s="619"/>
      <c r="E169" s="619"/>
      <c r="F169" s="7"/>
      <c r="G169" s="7"/>
      <c r="H169" s="7"/>
    </row>
    <row r="170" spans="1:34" ht="13.5" customHeight="1">
      <c r="A170" s="1122" t="s">
        <v>675</v>
      </c>
      <c r="B170" s="808"/>
      <c r="C170" s="1184"/>
      <c r="D170" s="619"/>
      <c r="E170" s="619"/>
      <c r="I170" s="111"/>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row>
    <row r="171" spans="1:34" ht="13.5" customHeight="1">
      <c r="A171" s="1028" t="s">
        <v>732</v>
      </c>
      <c r="B171" s="808"/>
      <c r="C171" s="1184"/>
      <c r="D171" s="619"/>
      <c r="E171" s="619"/>
      <c r="F171" s="110"/>
      <c r="G171" s="111"/>
      <c r="H171" s="111"/>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row>
    <row r="172" spans="1:34" ht="13.5" customHeight="1">
      <c r="A172" s="1028" t="s">
        <v>733</v>
      </c>
      <c r="B172" s="808"/>
      <c r="C172" s="1184"/>
      <c r="D172" s="619"/>
      <c r="E172" s="619"/>
      <c r="F172" s="13"/>
      <c r="G172" s="13"/>
      <c r="H172" s="13"/>
    </row>
    <row r="173" spans="1:34" ht="13.5" customHeight="1" thickBot="1">
      <c r="A173" s="1125" t="s">
        <v>59</v>
      </c>
      <c r="B173" s="982"/>
      <c r="C173" s="1185"/>
      <c r="D173" s="619"/>
      <c r="E173" s="619"/>
    </row>
    <row r="174" spans="1:34" ht="13.5" customHeight="1" thickBot="1">
      <c r="A174" s="1171" t="s">
        <v>60</v>
      </c>
      <c r="B174" s="1186"/>
      <c r="C174" s="1221">
        <f>+C176+C198+C211</f>
        <v>65792500</v>
      </c>
      <c r="D174" s="619"/>
      <c r="E174" s="619"/>
    </row>
    <row r="175" spans="1:34" ht="13.5" customHeight="1" thickBot="1">
      <c r="A175" s="23"/>
      <c r="B175" s="23"/>
      <c r="C175" s="24"/>
    </row>
    <row r="176" spans="1:34" ht="13.5" customHeight="1" thickBot="1">
      <c r="A176" s="1297" t="s">
        <v>9</v>
      </c>
      <c r="B176" s="1281"/>
      <c r="C176" s="62">
        <f>C177+C179+C181+C184+C186+C188+C191+C193</f>
        <v>7502500</v>
      </c>
      <c r="D176" s="6"/>
    </row>
    <row r="177" spans="1:34" ht="13.5" customHeight="1">
      <c r="A177" s="48">
        <v>211201</v>
      </c>
      <c r="B177" s="48" t="s">
        <v>459</v>
      </c>
      <c r="C177" s="49">
        <f>C178</f>
        <v>612500</v>
      </c>
      <c r="D177" s="6"/>
    </row>
    <row r="178" spans="1:34" ht="13.5" customHeight="1">
      <c r="A178" s="33">
        <v>21120101</v>
      </c>
      <c r="B178" s="23" t="s">
        <v>460</v>
      </c>
      <c r="C178" s="24">
        <v>612500</v>
      </c>
      <c r="D178" s="6"/>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13.5" customHeight="1">
      <c r="A179" s="48">
        <v>211202</v>
      </c>
      <c r="B179" s="21" t="s">
        <v>529</v>
      </c>
      <c r="C179" s="26">
        <f>C180</f>
        <v>739000</v>
      </c>
      <c r="D179" s="6"/>
      <c r="E179" s="9"/>
      <c r="F179" s="9"/>
      <c r="G179" s="9"/>
      <c r="H179" s="9"/>
    </row>
    <row r="180" spans="1:34" ht="13.5" customHeight="1">
      <c r="A180" s="33">
        <v>21120203</v>
      </c>
      <c r="B180" s="23" t="s">
        <v>564</v>
      </c>
      <c r="C180" s="24">
        <f>500000+239000</f>
        <v>739000</v>
      </c>
      <c r="D180" s="6"/>
      <c r="F180" s="9"/>
      <c r="G180" s="9"/>
    </row>
    <row r="181" spans="1:34" ht="13.5" customHeight="1">
      <c r="A181" s="48">
        <v>211203</v>
      </c>
      <c r="B181" s="21" t="s">
        <v>461</v>
      </c>
      <c r="C181" s="49">
        <f>SUM(C182:C183)</f>
        <v>373000</v>
      </c>
      <c r="D181" s="6"/>
      <c r="F181" s="9"/>
      <c r="G181" s="9"/>
    </row>
    <row r="182" spans="1:34" ht="13.5" customHeight="1">
      <c r="A182" s="33">
        <v>21120302</v>
      </c>
      <c r="B182" s="23" t="s">
        <v>462</v>
      </c>
      <c r="C182" s="24">
        <v>135000</v>
      </c>
      <c r="D182" s="6"/>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row>
    <row r="183" spans="1:34" ht="13.5" customHeight="1">
      <c r="A183" s="33">
        <v>21120303</v>
      </c>
      <c r="B183" s="13" t="s">
        <v>533</v>
      </c>
      <c r="C183" s="24">
        <v>238000</v>
      </c>
      <c r="D183" s="6"/>
      <c r="E183" s="33"/>
      <c r="F183" s="4"/>
      <c r="G183" s="4"/>
      <c r="H183" s="4"/>
    </row>
    <row r="184" spans="1:34" ht="13.5" customHeight="1">
      <c r="A184" s="48">
        <v>211204</v>
      </c>
      <c r="B184" s="21" t="s">
        <v>463</v>
      </c>
      <c r="C184" s="49">
        <f>C185</f>
        <v>468000</v>
      </c>
      <c r="D184" s="6"/>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row>
    <row r="185" spans="1:34" ht="13.5" customHeight="1">
      <c r="A185" s="33">
        <v>21120401</v>
      </c>
      <c r="B185" s="24" t="s">
        <v>464</v>
      </c>
      <c r="C185" s="24">
        <v>468000</v>
      </c>
      <c r="D185" s="6"/>
      <c r="E185" s="30"/>
      <c r="F185" s="8"/>
      <c r="G185" s="8"/>
      <c r="H185" s="8"/>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ht="13.5" customHeight="1">
      <c r="A186" s="48">
        <v>211205</v>
      </c>
      <c r="B186" s="26" t="s">
        <v>465</v>
      </c>
      <c r="C186" s="26">
        <f>C187</f>
        <v>618500</v>
      </c>
      <c r="D186" s="6"/>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ht="13.5" customHeight="1">
      <c r="A187" s="33">
        <v>21120501</v>
      </c>
      <c r="B187" s="23" t="s">
        <v>466</v>
      </c>
      <c r="C187" s="24">
        <f>500000+118500</f>
        <v>618500</v>
      </c>
      <c r="D187" s="6"/>
      <c r="E187" s="9"/>
      <c r="F187" s="9"/>
      <c r="G187" s="9"/>
      <c r="H187" s="9"/>
    </row>
    <row r="188" spans="1:34" ht="13.5" customHeight="1">
      <c r="A188" s="48">
        <v>211207</v>
      </c>
      <c r="B188" s="603" t="s">
        <v>467</v>
      </c>
      <c r="C188" s="26">
        <f>+SUM(C189:C190)</f>
        <v>4072000</v>
      </c>
      <c r="D188" s="6"/>
    </row>
    <row r="189" spans="1:34" ht="13.5" customHeight="1">
      <c r="A189" s="33">
        <v>21120701</v>
      </c>
      <c r="B189" s="24" t="s">
        <v>541</v>
      </c>
      <c r="C189" s="24">
        <v>1500000</v>
      </c>
      <c r="D189" s="6"/>
    </row>
    <row r="190" spans="1:34" ht="13.5" customHeight="1">
      <c r="A190" s="33">
        <v>21120704</v>
      </c>
      <c r="B190" s="24" t="s">
        <v>469</v>
      </c>
      <c r="C190" s="24">
        <v>2572000</v>
      </c>
      <c r="D190" s="6"/>
    </row>
    <row r="191" spans="1:34" ht="13.5" customHeight="1">
      <c r="A191" s="48">
        <v>211208</v>
      </c>
      <c r="B191" s="21" t="s">
        <v>474</v>
      </c>
      <c r="C191" s="26">
        <f>+SUM(C192:C192)</f>
        <v>109500</v>
      </c>
      <c r="D191" s="6"/>
    </row>
    <row r="192" spans="1:34" ht="13.5" customHeight="1">
      <c r="A192" s="33">
        <v>21120805</v>
      </c>
      <c r="B192" s="24" t="s">
        <v>476</v>
      </c>
      <c r="C192" s="24">
        <f>70000+39500</f>
        <v>109500</v>
      </c>
      <c r="D192" s="6"/>
    </row>
    <row r="193" spans="1:34" ht="13.5" customHeight="1">
      <c r="A193" s="48">
        <v>211209</v>
      </c>
      <c r="B193" s="26" t="s">
        <v>477</v>
      </c>
      <c r="C193" s="26">
        <f>+SUM(C194:C196)</f>
        <v>510000</v>
      </c>
      <c r="D193" s="6"/>
      <c r="E193" s="21"/>
      <c r="F193" s="35"/>
      <c r="G193" s="126"/>
      <c r="H193" s="35"/>
    </row>
    <row r="194" spans="1:34" ht="13.5" customHeight="1">
      <c r="A194" s="33">
        <v>21120901</v>
      </c>
      <c r="B194" s="24" t="s">
        <v>478</v>
      </c>
      <c r="C194" s="24">
        <v>270000</v>
      </c>
      <c r="D194" s="6"/>
    </row>
    <row r="195" spans="1:34" ht="13.5" customHeight="1">
      <c r="A195" s="33">
        <v>21120903</v>
      </c>
      <c r="B195" s="24" t="s">
        <v>569</v>
      </c>
      <c r="C195" s="24">
        <v>200000</v>
      </c>
      <c r="D195" s="6"/>
    </row>
    <row r="196" spans="1:34" ht="13.5" customHeight="1">
      <c r="A196" s="33">
        <v>21120906</v>
      </c>
      <c r="B196" s="24" t="s">
        <v>479</v>
      </c>
      <c r="C196" s="24">
        <v>40000</v>
      </c>
      <c r="D196" s="6"/>
      <c r="E196" s="9"/>
    </row>
    <row r="197" spans="1:34" ht="13.5" customHeight="1" thickBot="1">
      <c r="A197" s="23"/>
      <c r="B197" s="24"/>
      <c r="C197" s="24"/>
      <c r="D197" s="6"/>
      <c r="E197" s="9"/>
    </row>
    <row r="198" spans="1:34" ht="13.5" customHeight="1" thickBot="1">
      <c r="A198" s="1298" t="s">
        <v>4</v>
      </c>
      <c r="B198" s="1281"/>
      <c r="C198" s="64">
        <f>C199+C201+C204+C207</f>
        <v>57460000</v>
      </c>
      <c r="D198" s="6"/>
      <c r="E198" s="9"/>
    </row>
    <row r="199" spans="1:34" ht="13.5" customHeight="1">
      <c r="A199" s="48">
        <v>211302</v>
      </c>
      <c r="B199" s="48" t="s">
        <v>481</v>
      </c>
      <c r="C199" s="49">
        <f>C200</f>
        <v>102500</v>
      </c>
      <c r="D199" s="6"/>
      <c r="E199" s="9"/>
    </row>
    <row r="200" spans="1:34" ht="13.5" customHeight="1">
      <c r="A200" s="33">
        <v>21130204</v>
      </c>
      <c r="B200" s="23" t="s">
        <v>483</v>
      </c>
      <c r="C200" s="24">
        <v>102500</v>
      </c>
      <c r="D200" s="6"/>
      <c r="E200" s="9"/>
      <c r="F200" s="9"/>
      <c r="G200" s="9"/>
    </row>
    <row r="201" spans="1:34" ht="13.5" customHeight="1">
      <c r="A201" s="48">
        <v>211303</v>
      </c>
      <c r="B201" s="21" t="s">
        <v>484</v>
      </c>
      <c r="C201" s="26">
        <f>C202+C203</f>
        <v>9475500</v>
      </c>
      <c r="D201" s="6"/>
      <c r="E201" s="9"/>
      <c r="F201" s="9"/>
      <c r="G201" s="9"/>
    </row>
    <row r="202" spans="1:34" ht="13.5" customHeight="1">
      <c r="A202" s="33">
        <v>21130304</v>
      </c>
      <c r="B202" s="23" t="s">
        <v>486</v>
      </c>
      <c r="C202" s="24">
        <v>4253500</v>
      </c>
      <c r="D202" s="6"/>
      <c r="E202" s="127"/>
      <c r="F202" s="9"/>
      <c r="G202" s="9"/>
    </row>
    <row r="203" spans="1:34" ht="13.5" customHeight="1">
      <c r="A203" s="33">
        <v>21130307</v>
      </c>
      <c r="B203" s="23" t="s">
        <v>488</v>
      </c>
      <c r="C203" s="24">
        <v>5222000</v>
      </c>
      <c r="D203" s="6"/>
      <c r="E203" s="9"/>
      <c r="F203" s="9"/>
    </row>
    <row r="204" spans="1:34" ht="13.5" customHeight="1">
      <c r="A204" s="48">
        <v>211305</v>
      </c>
      <c r="B204" s="21" t="s">
        <v>489</v>
      </c>
      <c r="C204" s="26">
        <f>SUM(C205:C206)</f>
        <v>6185000</v>
      </c>
      <c r="D204" s="6"/>
      <c r="E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ht="13.5" customHeight="1">
      <c r="A205" s="33">
        <v>21130501</v>
      </c>
      <c r="B205" s="13" t="s">
        <v>490</v>
      </c>
      <c r="C205" s="24">
        <v>2035000</v>
      </c>
      <c r="D205" s="6"/>
      <c r="E205" s="9"/>
      <c r="F205" s="9"/>
      <c r="G205" s="9"/>
      <c r="H205" s="9"/>
    </row>
    <row r="206" spans="1:34" ht="13.5" customHeight="1">
      <c r="A206" s="33">
        <v>21130502</v>
      </c>
      <c r="B206" s="24" t="s">
        <v>491</v>
      </c>
      <c r="C206" s="24">
        <v>4150000</v>
      </c>
      <c r="D206" s="6"/>
      <c r="E206" s="9"/>
    </row>
    <row r="207" spans="1:34" ht="13.5" customHeight="1">
      <c r="A207" s="48">
        <v>211309</v>
      </c>
      <c r="B207" s="26" t="s">
        <v>496</v>
      </c>
      <c r="C207" s="26">
        <f>C208+C209</f>
        <v>41697000</v>
      </c>
      <c r="D207" s="6"/>
    </row>
    <row r="208" spans="1:34" ht="13.5" customHeight="1">
      <c r="A208" s="33">
        <v>21130901</v>
      </c>
      <c r="B208" s="24" t="s">
        <v>497</v>
      </c>
      <c r="C208" s="51">
        <v>28716000</v>
      </c>
      <c r="D208" s="6"/>
      <c r="E208" s="9"/>
      <c r="F208" s="9"/>
    </row>
    <row r="209" spans="1:34" ht="14.25" customHeight="1">
      <c r="A209" s="33">
        <v>21130908</v>
      </c>
      <c r="B209" s="24" t="s">
        <v>500</v>
      </c>
      <c r="C209" s="24">
        <v>12981000</v>
      </c>
      <c r="D209" s="6"/>
      <c r="E209" s="9"/>
      <c r="F209" s="9"/>
    </row>
    <row r="210" spans="1:34" ht="13.5" customHeight="1" thickBot="1">
      <c r="A210" s="23"/>
      <c r="B210" s="23"/>
      <c r="C210" s="24"/>
      <c r="D210" s="6"/>
      <c r="E210" s="9"/>
      <c r="F210" s="9"/>
    </row>
    <row r="211" spans="1:34" ht="13.5" customHeight="1" thickBot="1">
      <c r="A211" s="1299" t="s">
        <v>48</v>
      </c>
      <c r="B211" s="1281"/>
      <c r="C211" s="65">
        <f>C212+C214+C217</f>
        <v>830000</v>
      </c>
      <c r="D211" s="6"/>
      <c r="E211" s="9"/>
      <c r="F211" s="9"/>
    </row>
    <row r="212" spans="1:34" ht="13.5" customHeight="1">
      <c r="A212" s="48">
        <v>221102</v>
      </c>
      <c r="B212" s="48" t="s">
        <v>543</v>
      </c>
      <c r="C212" s="49">
        <f>SUM(C213)</f>
        <v>350000</v>
      </c>
      <c r="D212" s="6"/>
      <c r="E212" s="9"/>
      <c r="F212" s="9"/>
    </row>
    <row r="213" spans="1:34" ht="13.5" customHeight="1">
      <c r="A213" s="33">
        <v>22110202</v>
      </c>
      <c r="B213" s="23" t="s">
        <v>544</v>
      </c>
      <c r="C213" s="24">
        <v>350000</v>
      </c>
      <c r="D213" s="6"/>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row>
    <row r="214" spans="1:34" ht="13.5" customHeight="1">
      <c r="A214" s="48">
        <v>221104</v>
      </c>
      <c r="B214" s="48" t="s">
        <v>510</v>
      </c>
      <c r="C214" s="26">
        <f>SUM(C215:C216)</f>
        <v>330000</v>
      </c>
      <c r="D214" s="6"/>
      <c r="E214" s="40"/>
      <c r="F214" s="13"/>
      <c r="G214" s="13"/>
      <c r="H214" s="13"/>
    </row>
    <row r="215" spans="1:34" ht="13.5" customHeight="1">
      <c r="A215" s="33">
        <v>22110401</v>
      </c>
      <c r="B215" s="24" t="s">
        <v>511</v>
      </c>
      <c r="C215" s="24">
        <v>150000</v>
      </c>
      <c r="D215" s="6"/>
    </row>
    <row r="216" spans="1:34" ht="13.5" customHeight="1">
      <c r="A216" s="33">
        <v>22110404</v>
      </c>
      <c r="B216" s="24" t="s">
        <v>512</v>
      </c>
      <c r="C216" s="24">
        <v>180000</v>
      </c>
      <c r="D216" s="6"/>
    </row>
    <row r="217" spans="1:34" ht="13.5" customHeight="1">
      <c r="A217" s="48">
        <v>221107</v>
      </c>
      <c r="B217" s="26" t="s">
        <v>514</v>
      </c>
      <c r="C217" s="26">
        <f>SUM(C218)</f>
        <v>150000</v>
      </c>
    </row>
    <row r="218" spans="1:34" ht="13.5" customHeight="1">
      <c r="A218" s="33">
        <v>22110702</v>
      </c>
      <c r="B218" s="24" t="s">
        <v>515</v>
      </c>
      <c r="C218" s="24">
        <v>150000</v>
      </c>
    </row>
    <row r="219" spans="1:34" ht="15" customHeight="1">
      <c r="A219" s="1050"/>
    </row>
    <row r="220" spans="1:34" ht="13.5" customHeight="1" thickBot="1">
      <c r="A220" s="23"/>
      <c r="B220" s="24"/>
      <c r="C220" s="24"/>
    </row>
    <row r="221" spans="1:34" ht="13.5" customHeight="1">
      <c r="A221" s="1063" t="s">
        <v>93</v>
      </c>
      <c r="B221" s="985"/>
      <c r="C221" s="1516">
        <v>1304</v>
      </c>
    </row>
    <row r="222" spans="1:34" ht="13.5" customHeight="1" thickBot="1">
      <c r="A222" s="1064"/>
      <c r="B222" s="1065"/>
      <c r="C222" s="1561"/>
    </row>
    <row r="223" spans="1:34" ht="13.5" customHeight="1">
      <c r="A223" s="1028" t="s">
        <v>675</v>
      </c>
      <c r="B223" s="808"/>
      <c r="C223" s="1184"/>
      <c r="D223" s="6"/>
    </row>
    <row r="224" spans="1:34" ht="13.5" customHeight="1">
      <c r="A224" s="1028" t="s">
        <v>732</v>
      </c>
      <c r="B224" s="808"/>
      <c r="C224" s="1184"/>
      <c r="D224" s="6"/>
      <c r="E224" s="621"/>
    </row>
    <row r="225" spans="1:34" ht="13.5" customHeight="1">
      <c r="A225" s="1028" t="s">
        <v>733</v>
      </c>
      <c r="B225" s="808"/>
      <c r="C225" s="1184"/>
      <c r="D225" s="6"/>
      <c r="E225" s="621"/>
    </row>
    <row r="226" spans="1:34" ht="13.5" customHeight="1" thickBot="1">
      <c r="A226" s="1125" t="s">
        <v>59</v>
      </c>
      <c r="B226" s="808"/>
      <c r="C226" s="1184"/>
      <c r="D226" s="6"/>
    </row>
    <row r="227" spans="1:34" ht="13.5" customHeight="1" thickBot="1">
      <c r="A227" s="1171" t="s">
        <v>78</v>
      </c>
      <c r="B227" s="1186"/>
      <c r="C227" s="1033">
        <f>+C229+C246+C257</f>
        <v>10768800</v>
      </c>
      <c r="D227" s="6"/>
    </row>
    <row r="228" spans="1:34" ht="13.5" customHeight="1" thickBot="1">
      <c r="A228" s="23"/>
      <c r="B228" s="23"/>
      <c r="C228" s="24"/>
      <c r="D228" s="6"/>
    </row>
    <row r="229" spans="1:34" ht="13.5" customHeight="1" thickBot="1">
      <c r="A229" s="1297" t="s">
        <v>9</v>
      </c>
      <c r="B229" s="1281"/>
      <c r="C229" s="62">
        <f>C230+C232+C234+C237+C242</f>
        <v>5420000</v>
      </c>
      <c r="D229" s="6"/>
    </row>
    <row r="230" spans="1:34" ht="13.5" customHeight="1">
      <c r="A230" s="48">
        <v>211202</v>
      </c>
      <c r="B230" s="48" t="s">
        <v>529</v>
      </c>
      <c r="C230" s="49">
        <f>SUM(C231)</f>
        <v>50000</v>
      </c>
      <c r="D230" s="6"/>
    </row>
    <row r="231" spans="1:34" ht="13.5" customHeight="1">
      <c r="A231" s="33">
        <v>21120203</v>
      </c>
      <c r="B231" s="13" t="s">
        <v>564</v>
      </c>
      <c r="C231" s="24">
        <v>50000</v>
      </c>
      <c r="D231" s="6"/>
    </row>
    <row r="232" spans="1:34" ht="13.5" customHeight="1">
      <c r="A232" s="48">
        <v>211204</v>
      </c>
      <c r="B232" s="15" t="s">
        <v>463</v>
      </c>
      <c r="C232" s="26">
        <f>SUM(C233)</f>
        <v>30000</v>
      </c>
      <c r="D232" s="6"/>
    </row>
    <row r="233" spans="1:34" ht="13.5" customHeight="1">
      <c r="A233" s="33">
        <v>21120401</v>
      </c>
      <c r="B233" s="24" t="s">
        <v>464</v>
      </c>
      <c r="C233" s="24">
        <v>30000</v>
      </c>
      <c r="D233" s="6"/>
    </row>
    <row r="234" spans="1:34" ht="13.5" customHeight="1">
      <c r="A234" s="48">
        <v>211205</v>
      </c>
      <c r="B234" s="26" t="s">
        <v>465</v>
      </c>
      <c r="C234" s="26">
        <f>SUM(C235:C236)</f>
        <v>2215000</v>
      </c>
      <c r="D234" s="6"/>
      <c r="F234" s="9"/>
      <c r="G234" s="9"/>
    </row>
    <row r="235" spans="1:34" ht="13.5" customHeight="1">
      <c r="A235" s="33">
        <v>21120501</v>
      </c>
      <c r="B235" s="23" t="s">
        <v>466</v>
      </c>
      <c r="C235" s="24">
        <f>2000000+200000</f>
        <v>2200000</v>
      </c>
      <c r="D235" s="6"/>
      <c r="F235" s="9"/>
      <c r="G235" s="9"/>
    </row>
    <row r="236" spans="1:34" ht="13.5" customHeight="1">
      <c r="A236" s="33">
        <v>21120502</v>
      </c>
      <c r="B236" s="13" t="s">
        <v>580</v>
      </c>
      <c r="C236" s="24">
        <v>15000</v>
      </c>
      <c r="D236" s="6"/>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ht="13.5" customHeight="1">
      <c r="A237" s="48">
        <v>211207</v>
      </c>
      <c r="B237" s="26" t="s">
        <v>467</v>
      </c>
      <c r="C237" s="26">
        <f>SUM(C238:C241)</f>
        <v>565000</v>
      </c>
      <c r="D237" s="6"/>
      <c r="E237" s="33"/>
      <c r="F237" s="4"/>
      <c r="G237" s="4"/>
      <c r="H237" s="4"/>
    </row>
    <row r="238" spans="1:34" ht="13.5" customHeight="1">
      <c r="A238" s="33">
        <v>21120701</v>
      </c>
      <c r="B238" s="13" t="s">
        <v>541</v>
      </c>
      <c r="C238" s="24">
        <f>25000+500000</f>
        <v>525000</v>
      </c>
      <c r="D238" s="6"/>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ht="13.5" customHeight="1">
      <c r="A239" s="33">
        <v>21120704</v>
      </c>
      <c r="B239" s="13" t="s">
        <v>469</v>
      </c>
      <c r="C239" s="24">
        <v>20000</v>
      </c>
      <c r="D239" s="6"/>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ht="13.5" customHeight="1">
      <c r="A240" s="33">
        <v>21120705</v>
      </c>
      <c r="B240" s="13" t="s">
        <v>583</v>
      </c>
      <c r="C240" s="24">
        <v>10000</v>
      </c>
      <c r="D240" s="6"/>
      <c r="E240" s="9"/>
      <c r="F240" s="9"/>
      <c r="G240" s="9"/>
      <c r="H240" s="9"/>
    </row>
    <row r="241" spans="1:34" ht="13.5" customHeight="1">
      <c r="A241" s="33">
        <v>21120706</v>
      </c>
      <c r="B241" s="13" t="s">
        <v>542</v>
      </c>
      <c r="C241" s="24">
        <v>10000</v>
      </c>
      <c r="D241" s="6"/>
    </row>
    <row r="242" spans="1:34" ht="13.5" customHeight="1">
      <c r="A242" s="48">
        <v>211209</v>
      </c>
      <c r="B242" s="26" t="s">
        <v>477</v>
      </c>
      <c r="C242" s="26">
        <f>SUM(C243:C244)</f>
        <v>2560000</v>
      </c>
      <c r="D242" s="6"/>
    </row>
    <row r="243" spans="1:34" ht="13.5" customHeight="1">
      <c r="A243" s="33">
        <v>21120903</v>
      </c>
      <c r="B243" s="24" t="s">
        <v>569</v>
      </c>
      <c r="C243" s="24">
        <f>10000+2500000</f>
        <v>2510000</v>
      </c>
      <c r="D243" s="6"/>
    </row>
    <row r="244" spans="1:34" ht="13.5" customHeight="1">
      <c r="A244" s="33">
        <v>21120906</v>
      </c>
      <c r="B244" s="13" t="s">
        <v>479</v>
      </c>
      <c r="C244" s="24">
        <v>50000</v>
      </c>
      <c r="D244" s="6"/>
    </row>
    <row r="245" spans="1:34" ht="13.5" customHeight="1" thickBot="1">
      <c r="A245" s="23"/>
      <c r="B245" s="13"/>
      <c r="C245" s="24"/>
      <c r="D245" s="6"/>
    </row>
    <row r="246" spans="1:34" ht="13.5" customHeight="1" thickBot="1">
      <c r="A246" s="1298" t="s">
        <v>4</v>
      </c>
      <c r="B246" s="1281"/>
      <c r="C246" s="64">
        <f>C247+C251</f>
        <v>5230000</v>
      </c>
      <c r="D246" s="6"/>
    </row>
    <row r="247" spans="1:34" ht="13.5" customHeight="1">
      <c r="A247" s="22">
        <v>211303</v>
      </c>
      <c r="B247" s="15" t="s">
        <v>484</v>
      </c>
      <c r="C247" s="49">
        <f>SUM(C248:C250)</f>
        <v>80000</v>
      </c>
      <c r="D247" s="6"/>
    </row>
    <row r="248" spans="1:34" ht="13.5" customHeight="1">
      <c r="A248" s="33">
        <v>21130304</v>
      </c>
      <c r="B248" s="13" t="s">
        <v>486</v>
      </c>
      <c r="C248" s="24">
        <v>25000</v>
      </c>
      <c r="D248" s="6"/>
      <c r="E248" s="9"/>
    </row>
    <row r="249" spans="1:34" ht="13.5" customHeight="1">
      <c r="A249" s="33">
        <v>21130305</v>
      </c>
      <c r="B249" s="13" t="s">
        <v>577</v>
      </c>
      <c r="C249" s="24">
        <v>30000</v>
      </c>
      <c r="D249" s="6"/>
      <c r="E249" s="9"/>
    </row>
    <row r="250" spans="1:34" ht="13.5" customHeight="1">
      <c r="A250" s="33">
        <v>21130307</v>
      </c>
      <c r="B250" s="13" t="s">
        <v>488</v>
      </c>
      <c r="C250" s="24">
        <v>25000</v>
      </c>
      <c r="D250" s="6"/>
      <c r="E250" s="9"/>
      <c r="F250" s="9"/>
      <c r="G250" s="9"/>
    </row>
    <row r="251" spans="1:34" ht="13.5" customHeight="1">
      <c r="A251" s="48">
        <v>211309</v>
      </c>
      <c r="B251" s="26" t="s">
        <v>496</v>
      </c>
      <c r="C251" s="26">
        <f>SUM(C252:C255)</f>
        <v>5150000</v>
      </c>
      <c r="D251" s="6"/>
      <c r="E251" s="9"/>
      <c r="F251" s="9"/>
      <c r="G251" s="9"/>
    </row>
    <row r="252" spans="1:34" ht="13.5" customHeight="1">
      <c r="A252" s="33">
        <v>21130901</v>
      </c>
      <c r="B252" s="13" t="s">
        <v>497</v>
      </c>
      <c r="C252" s="24">
        <f>4000000+40000</f>
        <v>4040000</v>
      </c>
      <c r="D252" s="6"/>
      <c r="E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ht="13.5" customHeight="1">
      <c r="A253" s="33">
        <v>21130903</v>
      </c>
      <c r="B253" s="13" t="s">
        <v>498</v>
      </c>
      <c r="C253" s="24">
        <v>30000</v>
      </c>
      <c r="D253" s="6"/>
      <c r="E253" s="9"/>
      <c r="F253" s="9"/>
      <c r="G253" s="9"/>
      <c r="H253" s="9"/>
    </row>
    <row r="254" spans="1:34" ht="13.5" customHeight="1">
      <c r="A254" s="33">
        <v>21130907</v>
      </c>
      <c r="B254" s="13" t="s">
        <v>581</v>
      </c>
      <c r="C254" s="24">
        <v>1020000</v>
      </c>
      <c r="D254" s="6"/>
      <c r="E254" s="9"/>
    </row>
    <row r="255" spans="1:34" ht="13.5" customHeight="1">
      <c r="A255" s="33">
        <v>21130908</v>
      </c>
      <c r="B255" s="23" t="s">
        <v>500</v>
      </c>
      <c r="C255" s="24">
        <v>60000</v>
      </c>
      <c r="D255" s="6"/>
    </row>
    <row r="256" spans="1:34" ht="13.5" customHeight="1" thickBot="1">
      <c r="A256" s="33"/>
      <c r="B256" s="13"/>
      <c r="C256" s="24"/>
      <c r="D256" s="6"/>
      <c r="E256" s="9"/>
      <c r="F256" s="9"/>
    </row>
    <row r="257" spans="1:34" ht="13.5" customHeight="1" thickBot="1">
      <c r="A257" s="1299" t="s">
        <v>48</v>
      </c>
      <c r="B257" s="1281"/>
      <c r="C257" s="65">
        <f>C258+C262</f>
        <v>118800</v>
      </c>
      <c r="D257" s="6"/>
      <c r="E257" s="9"/>
      <c r="F257" s="9"/>
    </row>
    <row r="258" spans="1:34" ht="13.5" customHeight="1">
      <c r="A258" s="48">
        <v>221102</v>
      </c>
      <c r="B258" s="48" t="s">
        <v>543</v>
      </c>
      <c r="C258" s="49">
        <f>SUM(C259:C261)</f>
        <v>78800</v>
      </c>
      <c r="D258" s="6"/>
      <c r="E258" s="9"/>
      <c r="F258" s="9"/>
    </row>
    <row r="259" spans="1:34" ht="13.5" customHeight="1">
      <c r="A259" s="33">
        <v>22110202</v>
      </c>
      <c r="B259" s="13" t="s">
        <v>544</v>
      </c>
      <c r="C259" s="24">
        <v>28000</v>
      </c>
      <c r="D259" s="6"/>
    </row>
    <row r="260" spans="1:34" ht="13.5" customHeight="1">
      <c r="A260" s="33">
        <v>22110204</v>
      </c>
      <c r="B260" s="13" t="s">
        <v>545</v>
      </c>
      <c r="C260" s="24">
        <v>24600</v>
      </c>
      <c r="D260" s="6"/>
    </row>
    <row r="261" spans="1:34" ht="13.5" customHeight="1">
      <c r="A261" s="33">
        <v>22110205</v>
      </c>
      <c r="B261" s="13" t="s">
        <v>546</v>
      </c>
      <c r="C261" s="24">
        <v>26200</v>
      </c>
      <c r="D261" s="6"/>
    </row>
    <row r="262" spans="1:34" ht="13.5" customHeight="1">
      <c r="A262" s="48">
        <v>221107</v>
      </c>
      <c r="B262" s="26" t="s">
        <v>514</v>
      </c>
      <c r="C262" s="26">
        <f>+C263</f>
        <v>40000</v>
      </c>
      <c r="I262" s="9"/>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row>
    <row r="263" spans="1:34" ht="13.5" customHeight="1">
      <c r="A263" s="33">
        <v>22110702</v>
      </c>
      <c r="B263" s="13" t="s">
        <v>515</v>
      </c>
      <c r="C263" s="24">
        <v>40000</v>
      </c>
      <c r="D263" s="27"/>
      <c r="E263" s="27"/>
      <c r="F263" s="9"/>
      <c r="G263" s="9"/>
      <c r="H263" s="9"/>
      <c r="I263" s="9"/>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row>
    <row r="264" spans="1:34" ht="13.5" customHeight="1">
      <c r="A264" s="23"/>
      <c r="B264" s="13"/>
      <c r="C264" s="24"/>
      <c r="D264" s="27"/>
      <c r="E264" s="27"/>
      <c r="F264" s="9"/>
      <c r="G264" s="9"/>
      <c r="H264" s="9"/>
      <c r="I264" s="9"/>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row>
    <row r="265" spans="1:34" ht="14.25" thickBot="1">
      <c r="D265" s="27"/>
      <c r="E265" s="27"/>
      <c r="F265" s="9"/>
      <c r="G265" s="9"/>
      <c r="H265" s="9"/>
    </row>
    <row r="266" spans="1:34" ht="12.75" customHeight="1">
      <c r="A266" s="1334" t="s">
        <v>773</v>
      </c>
      <c r="B266" s="1336"/>
      <c r="C266" s="1518">
        <v>1305</v>
      </c>
    </row>
    <row r="267" spans="1:34" ht="13.5" thickBot="1">
      <c r="A267" s="1363"/>
      <c r="B267" s="1304"/>
      <c r="C267" s="1519"/>
      <c r="D267" s="831"/>
    </row>
    <row r="268" spans="1:34" ht="13.5">
      <c r="A268" s="1122" t="s">
        <v>675</v>
      </c>
      <c r="B268" s="1137"/>
      <c r="C268" s="1183"/>
      <c r="D268" s="246"/>
    </row>
    <row r="269" spans="1:34" ht="13.5">
      <c r="A269" s="1028" t="s">
        <v>732</v>
      </c>
      <c r="B269" s="808"/>
      <c r="C269" s="1184"/>
    </row>
    <row r="270" spans="1:34" ht="13.5">
      <c r="A270" s="1028" t="s">
        <v>733</v>
      </c>
      <c r="B270" s="808"/>
      <c r="C270" s="1184"/>
    </row>
    <row r="271" spans="1:34" ht="14.25" thickBot="1">
      <c r="A271" s="1125" t="s">
        <v>59</v>
      </c>
      <c r="B271" s="982"/>
      <c r="C271" s="1185"/>
    </row>
    <row r="272" spans="1:34" ht="14.25" thickBot="1">
      <c r="A272" s="1171" t="s">
        <v>60</v>
      </c>
      <c r="B272" s="1186"/>
      <c r="C272" s="1173">
        <f>(C274+C289+C301)</f>
        <v>5225500</v>
      </c>
    </row>
    <row r="273" spans="1:3" ht="14.25" thickBot="1">
      <c r="A273" s="23"/>
      <c r="B273" s="23"/>
      <c r="C273" s="24"/>
    </row>
    <row r="274" spans="1:3" ht="14.25" thickBot="1">
      <c r="A274" s="1297" t="s">
        <v>9</v>
      </c>
      <c r="B274" s="1281"/>
      <c r="C274" s="62">
        <f>C275+C277+C279+C281+C284</f>
        <v>813000</v>
      </c>
    </row>
    <row r="275" spans="1:3" ht="13.5">
      <c r="A275" s="48">
        <v>211201</v>
      </c>
      <c r="B275" s="48" t="s">
        <v>459</v>
      </c>
      <c r="C275" s="49">
        <f>SUM(C276)</f>
        <v>265000</v>
      </c>
    </row>
    <row r="276" spans="1:3" ht="13.5">
      <c r="A276" s="33">
        <v>21120101</v>
      </c>
      <c r="B276" s="13" t="s">
        <v>460</v>
      </c>
      <c r="C276" s="24">
        <f>135000+130000</f>
        <v>265000</v>
      </c>
    </row>
    <row r="277" spans="1:3" ht="13.5">
      <c r="A277" s="48">
        <v>211203</v>
      </c>
      <c r="B277" s="15" t="s">
        <v>461</v>
      </c>
      <c r="C277" s="26">
        <f>SUM(C278)</f>
        <v>60000</v>
      </c>
    </row>
    <row r="278" spans="1:3" ht="13.5">
      <c r="A278" s="33">
        <v>21120302</v>
      </c>
      <c r="B278" s="13" t="s">
        <v>462</v>
      </c>
      <c r="C278" s="24">
        <v>60000</v>
      </c>
    </row>
    <row r="279" spans="1:3" ht="13.5">
      <c r="A279" s="48">
        <v>211204</v>
      </c>
      <c r="B279" s="15" t="s">
        <v>463</v>
      </c>
      <c r="C279" s="26">
        <f>SUM(C280)</f>
        <v>140000</v>
      </c>
    </row>
    <row r="280" spans="1:3" ht="13.5">
      <c r="A280" s="33">
        <v>21120401</v>
      </c>
      <c r="B280" s="13" t="s">
        <v>464</v>
      </c>
      <c r="C280" s="24">
        <f>80000+60000</f>
        <v>140000</v>
      </c>
    </row>
    <row r="281" spans="1:3" ht="13.5">
      <c r="A281" s="48">
        <v>211208</v>
      </c>
      <c r="B281" s="15" t="s">
        <v>474</v>
      </c>
      <c r="C281" s="26">
        <f>SUM(C282:C283)</f>
        <v>100000</v>
      </c>
    </row>
    <row r="282" spans="1:3" ht="13.5">
      <c r="A282" s="33">
        <v>21120801</v>
      </c>
      <c r="B282" s="13" t="s">
        <v>475</v>
      </c>
      <c r="C282" s="24">
        <v>50000</v>
      </c>
    </row>
    <row r="283" spans="1:3" ht="13.5">
      <c r="A283" s="33">
        <v>21120805</v>
      </c>
      <c r="B283" s="13" t="s">
        <v>476</v>
      </c>
      <c r="C283" s="24">
        <v>50000</v>
      </c>
    </row>
    <row r="284" spans="1:3" ht="13.5">
      <c r="A284" s="48">
        <v>211209</v>
      </c>
      <c r="B284" s="26" t="s">
        <v>477</v>
      </c>
      <c r="C284" s="26">
        <f>SUM(C285:C287)</f>
        <v>248000</v>
      </c>
    </row>
    <row r="285" spans="1:3" ht="13.5">
      <c r="A285" s="33">
        <v>21120901</v>
      </c>
      <c r="B285" s="13" t="s">
        <v>478</v>
      </c>
      <c r="C285" s="24">
        <v>38000</v>
      </c>
    </row>
    <row r="286" spans="1:3" ht="13.5">
      <c r="A286" s="33">
        <v>21120905</v>
      </c>
      <c r="B286" s="13" t="s">
        <v>525</v>
      </c>
      <c r="C286" s="24">
        <v>120000</v>
      </c>
    </row>
    <row r="287" spans="1:3" ht="13.5">
      <c r="A287" s="33">
        <v>21120906</v>
      </c>
      <c r="B287" s="13" t="s">
        <v>479</v>
      </c>
      <c r="C287" s="24">
        <v>90000</v>
      </c>
    </row>
    <row r="288" spans="1:3" ht="14.25" thickBot="1">
      <c r="A288" s="23"/>
      <c r="B288" s="13"/>
      <c r="C288" s="24"/>
    </row>
    <row r="289" spans="1:3" ht="14.25" thickBot="1">
      <c r="A289" s="1298" t="s">
        <v>4</v>
      </c>
      <c r="B289" s="1281"/>
      <c r="C289" s="64">
        <f>C290+C292+C294+C296</f>
        <v>4252500</v>
      </c>
    </row>
    <row r="290" spans="1:3" ht="13.5">
      <c r="A290" s="22">
        <v>211302</v>
      </c>
      <c r="B290" s="48" t="s">
        <v>481</v>
      </c>
      <c r="C290" s="26">
        <f>C291</f>
        <v>86000</v>
      </c>
    </row>
    <row r="291" spans="1:3" ht="13.5">
      <c r="A291" s="33">
        <v>21130204</v>
      </c>
      <c r="B291" s="24" t="s">
        <v>483</v>
      </c>
      <c r="C291" s="24">
        <v>86000</v>
      </c>
    </row>
    <row r="292" spans="1:3" ht="13.5">
      <c r="A292" s="22">
        <v>211305</v>
      </c>
      <c r="B292" s="15" t="s">
        <v>489</v>
      </c>
      <c r="C292" s="49">
        <f>C293</f>
        <v>1568500</v>
      </c>
    </row>
    <row r="293" spans="1:3" ht="13.5">
      <c r="A293" s="40">
        <v>21130502</v>
      </c>
      <c r="B293" s="13" t="s">
        <v>491</v>
      </c>
      <c r="C293" s="24">
        <v>1568500</v>
      </c>
    </row>
    <row r="294" spans="1:3" ht="13.5">
      <c r="A294" s="22">
        <v>211307</v>
      </c>
      <c r="B294" s="15" t="s">
        <v>494</v>
      </c>
      <c r="C294" s="26">
        <f>C295</f>
        <v>90000</v>
      </c>
    </row>
    <row r="295" spans="1:3" ht="13.5">
      <c r="A295" s="40">
        <v>21130704</v>
      </c>
      <c r="B295" s="13" t="s">
        <v>537</v>
      </c>
      <c r="C295" s="24">
        <v>90000</v>
      </c>
    </row>
    <row r="296" spans="1:3" ht="13.5">
      <c r="A296" s="48">
        <v>211309</v>
      </c>
      <c r="B296" s="21" t="s">
        <v>496</v>
      </c>
      <c r="C296" s="49">
        <f>+SUM(C297:C299)</f>
        <v>2508000</v>
      </c>
    </row>
    <row r="297" spans="1:3" ht="13.5">
      <c r="A297" s="33">
        <v>21130901</v>
      </c>
      <c r="B297" s="23" t="s">
        <v>497</v>
      </c>
      <c r="C297" s="24">
        <v>2108000</v>
      </c>
    </row>
    <row r="298" spans="1:3" ht="13.5">
      <c r="A298" s="33">
        <v>21130903</v>
      </c>
      <c r="B298" s="23" t="s">
        <v>498</v>
      </c>
      <c r="C298" s="24">
        <f>135000+15000</f>
        <v>150000</v>
      </c>
    </row>
    <row r="299" spans="1:3" ht="13.5">
      <c r="A299" s="33">
        <v>21130908</v>
      </c>
      <c r="B299" s="24" t="s">
        <v>500</v>
      </c>
      <c r="C299" s="24">
        <v>250000</v>
      </c>
    </row>
    <row r="300" spans="1:3" ht="14.25" thickBot="1">
      <c r="A300" s="23"/>
      <c r="B300" s="23"/>
      <c r="C300" s="24"/>
    </row>
    <row r="301" spans="1:3" ht="14.25" thickBot="1">
      <c r="A301" s="1299" t="s">
        <v>48</v>
      </c>
      <c r="B301" s="1281"/>
      <c r="C301" s="65">
        <f>C302+C304</f>
        <v>160000</v>
      </c>
    </row>
    <row r="302" spans="1:3" ht="13.5">
      <c r="A302" s="48">
        <v>221104</v>
      </c>
      <c r="B302" s="48" t="s">
        <v>510</v>
      </c>
      <c r="C302" s="49">
        <f>SUM(C303)</f>
        <v>80000</v>
      </c>
    </row>
    <row r="303" spans="1:3" ht="13.5">
      <c r="A303" s="33">
        <v>22110401</v>
      </c>
      <c r="B303" s="13" t="s">
        <v>511</v>
      </c>
      <c r="C303" s="24">
        <v>80000</v>
      </c>
    </row>
    <row r="304" spans="1:3" ht="13.5">
      <c r="A304" s="48">
        <v>221107</v>
      </c>
      <c r="B304" s="26" t="s">
        <v>514</v>
      </c>
      <c r="C304" s="26">
        <f>SUM(C305)</f>
        <v>80000</v>
      </c>
    </row>
    <row r="305" spans="1:24" ht="13.5">
      <c r="A305" s="33">
        <v>22110702</v>
      </c>
      <c r="B305" s="13" t="s">
        <v>515</v>
      </c>
      <c r="C305" s="24">
        <v>80000</v>
      </c>
    </row>
    <row r="306" spans="1:24" ht="13.5">
      <c r="A306" s="40"/>
      <c r="B306" s="14"/>
      <c r="C306" s="14"/>
    </row>
    <row r="307" spans="1:24" ht="12.75" customHeight="1" thickBot="1"/>
    <row r="308" spans="1:24" ht="13.5" customHeight="1">
      <c r="A308" s="1334" t="s">
        <v>774</v>
      </c>
      <c r="B308" s="1336"/>
      <c r="C308" s="1161" t="s">
        <v>730</v>
      </c>
      <c r="I308" s="4"/>
      <c r="J308" s="4"/>
      <c r="K308" s="4"/>
      <c r="L308" s="4"/>
      <c r="M308" s="4"/>
      <c r="N308" s="4"/>
      <c r="O308" s="4"/>
      <c r="P308" s="4"/>
      <c r="Q308" s="4"/>
      <c r="R308" s="4"/>
      <c r="S308" s="4"/>
      <c r="T308" s="4"/>
      <c r="U308" s="4"/>
      <c r="V308" s="4"/>
      <c r="W308" s="4"/>
      <c r="X308" s="4"/>
    </row>
    <row r="309" spans="1:24" ht="12.75" customHeight="1" thickBot="1">
      <c r="A309" s="1363"/>
      <c r="B309" s="1304"/>
      <c r="C309" s="1490"/>
      <c r="D309" s="28"/>
      <c r="E309" s="8"/>
      <c r="F309" s="8"/>
      <c r="G309" s="8"/>
      <c r="H309" s="4"/>
      <c r="I309" s="4"/>
      <c r="J309" s="4"/>
      <c r="K309" s="4"/>
      <c r="L309" s="4"/>
      <c r="M309" s="4"/>
      <c r="N309" s="4"/>
      <c r="O309" s="4"/>
      <c r="P309" s="4"/>
      <c r="Q309" s="4"/>
      <c r="R309" s="4"/>
      <c r="S309" s="4"/>
      <c r="T309" s="4"/>
      <c r="U309" s="4"/>
      <c r="V309" s="4"/>
      <c r="W309" s="4"/>
      <c r="X309" s="4"/>
    </row>
    <row r="310" spans="1:24" ht="12.75" customHeight="1">
      <c r="A310" s="1094" t="s">
        <v>675</v>
      </c>
      <c r="B310" s="1095"/>
      <c r="C310" s="1096"/>
      <c r="D310" s="40"/>
      <c r="E310" s="8"/>
      <c r="F310" s="8"/>
      <c r="G310" s="8"/>
      <c r="H310" s="4"/>
      <c r="I310" s="4"/>
      <c r="J310" s="4"/>
      <c r="K310" s="4"/>
      <c r="L310" s="4"/>
      <c r="M310" s="4"/>
      <c r="N310" s="4"/>
      <c r="O310" s="4"/>
      <c r="P310" s="4"/>
      <c r="Q310" s="4"/>
      <c r="R310" s="4"/>
      <c r="S310" s="4"/>
      <c r="T310" s="4"/>
      <c r="U310" s="4"/>
      <c r="V310" s="4"/>
      <c r="W310" s="4"/>
      <c r="X310" s="4"/>
    </row>
    <row r="311" spans="1:24" ht="12.75" customHeight="1">
      <c r="A311" s="1028" t="s">
        <v>732</v>
      </c>
      <c r="B311" s="986"/>
      <c r="C311" s="1098"/>
      <c r="D311" s="40"/>
      <c r="E311" s="13"/>
      <c r="F311" s="13"/>
      <c r="G311" s="13"/>
      <c r="H311" s="4"/>
      <c r="I311" s="4"/>
      <c r="J311" s="4"/>
      <c r="K311" s="4"/>
      <c r="L311" s="4"/>
      <c r="M311" s="4"/>
      <c r="N311" s="4"/>
      <c r="O311" s="4"/>
      <c r="P311" s="4"/>
      <c r="Q311" s="4"/>
      <c r="R311" s="4"/>
      <c r="S311" s="4"/>
      <c r="T311" s="4"/>
      <c r="U311" s="4"/>
      <c r="V311" s="4"/>
      <c r="W311" s="4"/>
      <c r="X311" s="4"/>
    </row>
    <row r="312" spans="1:24" ht="12.75" customHeight="1">
      <c r="A312" s="1028" t="s">
        <v>733</v>
      </c>
      <c r="B312" s="986"/>
      <c r="C312" s="1098"/>
      <c r="D312" s="40"/>
      <c r="E312" s="13"/>
      <c r="F312" s="13"/>
      <c r="G312" s="13"/>
      <c r="H312" s="4"/>
      <c r="I312" s="4"/>
      <c r="J312" s="4"/>
      <c r="K312" s="4"/>
      <c r="L312" s="4"/>
      <c r="M312" s="4"/>
      <c r="N312" s="4"/>
      <c r="O312" s="4"/>
      <c r="P312" s="4"/>
      <c r="Q312" s="4"/>
      <c r="R312" s="4"/>
      <c r="S312" s="4"/>
      <c r="T312" s="4"/>
      <c r="U312" s="4"/>
      <c r="V312" s="4"/>
      <c r="W312" s="4"/>
      <c r="X312" s="4"/>
    </row>
    <row r="313" spans="1:24" ht="12.75" customHeight="1" thickBot="1">
      <c r="A313" s="1150" t="s">
        <v>122</v>
      </c>
      <c r="B313" s="1151"/>
      <c r="C313" s="1098"/>
      <c r="D313" s="40"/>
      <c r="E313" s="13"/>
      <c r="F313" s="13"/>
      <c r="G313" s="13"/>
      <c r="H313" s="4"/>
      <c r="I313" s="4"/>
      <c r="J313" s="4"/>
      <c r="K313" s="4"/>
      <c r="L313" s="4"/>
      <c r="M313" s="4"/>
      <c r="N313" s="4"/>
      <c r="O313" s="4"/>
      <c r="P313" s="4"/>
      <c r="Q313" s="4"/>
      <c r="R313" s="4"/>
      <c r="S313" s="4"/>
      <c r="T313" s="4"/>
      <c r="U313" s="4"/>
      <c r="V313" s="4"/>
      <c r="W313" s="4"/>
      <c r="X313" s="4"/>
    </row>
    <row r="314" spans="1:24" ht="12.75" customHeight="1" thickBot="1">
      <c r="A314" s="1158" t="s">
        <v>1</v>
      </c>
      <c r="B314" s="1159"/>
      <c r="C314" s="1156">
        <f>+C316+C332+C348+C353</f>
        <v>6956000</v>
      </c>
      <c r="D314" s="40"/>
      <c r="E314" s="13"/>
      <c r="F314" s="13"/>
      <c r="G314" s="13"/>
      <c r="H314" s="4"/>
      <c r="I314" s="4"/>
      <c r="J314" s="4"/>
      <c r="K314" s="4"/>
      <c r="L314" s="4"/>
      <c r="M314" s="4"/>
      <c r="N314" s="4"/>
      <c r="O314" s="4"/>
      <c r="P314" s="4"/>
      <c r="Q314" s="4"/>
      <c r="R314" s="4"/>
      <c r="S314" s="4"/>
      <c r="T314" s="4"/>
      <c r="U314" s="4"/>
      <c r="V314" s="4"/>
      <c r="W314" s="4"/>
      <c r="X314" s="4"/>
    </row>
    <row r="315" spans="1:24" ht="12.75" customHeight="1" thickBot="1">
      <c r="A315" s="15"/>
      <c r="B315" s="15"/>
      <c r="C315" s="16"/>
      <c r="D315" s="50"/>
      <c r="E315" s="50"/>
      <c r="F315" s="13"/>
      <c r="G315" s="13"/>
      <c r="H315" s="4"/>
      <c r="I315" s="4"/>
      <c r="J315" s="4"/>
      <c r="K315" s="4"/>
      <c r="L315" s="4"/>
      <c r="M315" s="4"/>
      <c r="N315" s="4"/>
      <c r="O315" s="4"/>
      <c r="P315" s="4"/>
      <c r="Q315" s="4"/>
      <c r="R315" s="4"/>
      <c r="S315" s="4"/>
      <c r="T315" s="4"/>
      <c r="U315" s="4"/>
      <c r="V315" s="4"/>
      <c r="W315" s="4"/>
      <c r="X315" s="4"/>
    </row>
    <row r="316" spans="1:24" ht="12.75" customHeight="1" thickBot="1">
      <c r="A316" s="1280" t="s">
        <v>9</v>
      </c>
      <c r="B316" s="1281"/>
      <c r="C316" s="31">
        <f>(C317+C319+C321+C323+C325+C327)</f>
        <v>675500</v>
      </c>
      <c r="D316" s="40"/>
      <c r="E316" s="13"/>
      <c r="F316" s="13"/>
      <c r="G316" s="13"/>
      <c r="H316" s="4"/>
      <c r="I316" s="4"/>
      <c r="J316" s="4"/>
      <c r="K316" s="4"/>
      <c r="L316" s="4"/>
      <c r="M316" s="4"/>
      <c r="N316" s="4"/>
      <c r="O316" s="4"/>
      <c r="P316" s="4"/>
      <c r="Q316" s="4"/>
      <c r="R316" s="4"/>
      <c r="S316" s="4"/>
      <c r="T316" s="4"/>
      <c r="U316" s="4"/>
      <c r="V316" s="4"/>
      <c r="W316" s="4"/>
      <c r="X316" s="4"/>
    </row>
    <row r="317" spans="1:24" ht="12.75" customHeight="1">
      <c r="A317" s="48">
        <v>211201</v>
      </c>
      <c r="B317" s="48" t="s">
        <v>459</v>
      </c>
      <c r="C317" s="82">
        <f>SUM(C318)</f>
        <v>59500</v>
      </c>
      <c r="D317" s="40"/>
      <c r="E317" s="8"/>
      <c r="F317" s="8"/>
      <c r="G317" s="8"/>
      <c r="H317" s="4"/>
      <c r="I317" s="4"/>
      <c r="J317" s="4"/>
      <c r="K317" s="4"/>
      <c r="L317" s="4"/>
      <c r="M317" s="4"/>
      <c r="N317" s="4"/>
      <c r="O317" s="4"/>
      <c r="P317" s="4"/>
      <c r="Q317" s="4"/>
      <c r="R317" s="4"/>
      <c r="S317" s="4"/>
      <c r="T317" s="4"/>
      <c r="U317" s="4"/>
      <c r="V317" s="4"/>
      <c r="W317" s="4"/>
      <c r="X317" s="4"/>
    </row>
    <row r="318" spans="1:24" ht="12.75" customHeight="1">
      <c r="A318" s="33">
        <v>21120101</v>
      </c>
      <c r="B318" s="13" t="s">
        <v>460</v>
      </c>
      <c r="C318" s="14">
        <v>59500</v>
      </c>
      <c r="D318" s="40"/>
      <c r="E318" s="84"/>
      <c r="F318" s="84"/>
      <c r="G318" s="84"/>
      <c r="H318" s="4"/>
      <c r="I318" s="4"/>
      <c r="J318" s="4"/>
      <c r="K318" s="4"/>
      <c r="L318" s="4"/>
      <c r="M318" s="4"/>
      <c r="N318" s="4"/>
      <c r="O318" s="4"/>
      <c r="P318" s="4"/>
      <c r="Q318" s="4"/>
      <c r="R318" s="4"/>
      <c r="S318" s="4"/>
      <c r="T318" s="4"/>
      <c r="U318" s="4"/>
      <c r="V318" s="4"/>
      <c r="W318" s="4"/>
      <c r="X318" s="4"/>
    </row>
    <row r="319" spans="1:24" ht="12.75" customHeight="1">
      <c r="A319" s="48">
        <v>211203</v>
      </c>
      <c r="B319" s="15" t="s">
        <v>461</v>
      </c>
      <c r="C319" s="16">
        <f>C320</f>
        <v>64000</v>
      </c>
      <c r="D319" s="40"/>
      <c r="E319" s="8"/>
      <c r="F319" s="8"/>
      <c r="G319" s="8"/>
      <c r="H319" s="4"/>
      <c r="I319" s="4"/>
      <c r="J319" s="4"/>
      <c r="K319" s="4"/>
      <c r="L319" s="4"/>
      <c r="M319" s="4"/>
      <c r="N319" s="4"/>
      <c r="O319" s="4"/>
      <c r="P319" s="4"/>
      <c r="Q319" s="4"/>
      <c r="R319" s="4"/>
      <c r="S319" s="4"/>
      <c r="T319" s="4"/>
      <c r="U319" s="4"/>
      <c r="V319" s="4"/>
      <c r="W319" s="4"/>
      <c r="X319" s="4"/>
    </row>
    <row r="320" spans="1:24" ht="12.75" customHeight="1">
      <c r="A320" s="33">
        <v>21120302</v>
      </c>
      <c r="B320" s="13" t="s">
        <v>462</v>
      </c>
      <c r="C320" s="24">
        <v>64000</v>
      </c>
      <c r="D320" s="40"/>
      <c r="E320" s="8"/>
      <c r="F320" s="8"/>
      <c r="G320" s="8"/>
      <c r="H320" s="4"/>
      <c r="I320" s="4"/>
      <c r="J320" s="4"/>
      <c r="K320" s="4"/>
      <c r="L320" s="4"/>
      <c r="M320" s="4"/>
      <c r="N320" s="4"/>
      <c r="O320" s="4"/>
      <c r="P320" s="4"/>
      <c r="Q320" s="4"/>
      <c r="R320" s="4"/>
      <c r="S320" s="4"/>
      <c r="T320" s="4"/>
      <c r="U320" s="4"/>
      <c r="V320" s="4"/>
      <c r="W320" s="4"/>
      <c r="X320" s="4"/>
    </row>
    <row r="321" spans="1:24" ht="12.75" customHeight="1">
      <c r="A321" s="48">
        <v>211204</v>
      </c>
      <c r="B321" s="15" t="s">
        <v>463</v>
      </c>
      <c r="C321" s="26">
        <f>C322</f>
        <v>90000</v>
      </c>
      <c r="D321" s="32"/>
      <c r="E321" s="26"/>
      <c r="F321" s="13"/>
      <c r="G321" s="13"/>
      <c r="H321" s="4"/>
      <c r="I321" s="4"/>
      <c r="J321" s="4"/>
      <c r="K321" s="4"/>
      <c r="L321" s="4"/>
      <c r="M321" s="4"/>
      <c r="N321" s="4"/>
      <c r="O321" s="4"/>
      <c r="P321" s="4"/>
      <c r="Q321" s="4"/>
      <c r="R321" s="4"/>
      <c r="S321" s="4"/>
      <c r="T321" s="4"/>
      <c r="U321" s="4"/>
      <c r="V321" s="4"/>
      <c r="W321" s="4"/>
      <c r="X321" s="4"/>
    </row>
    <row r="322" spans="1:24" ht="12.75" customHeight="1">
      <c r="A322" s="33">
        <v>21120401</v>
      </c>
      <c r="B322" s="13" t="s">
        <v>464</v>
      </c>
      <c r="C322" s="14">
        <v>90000</v>
      </c>
      <c r="D322" s="32"/>
      <c r="E322" s="26"/>
      <c r="F322" s="13"/>
      <c r="G322" s="13"/>
      <c r="H322" s="4"/>
      <c r="I322" s="4"/>
      <c r="J322" s="4"/>
      <c r="K322" s="4"/>
      <c r="L322" s="4"/>
      <c r="M322" s="4"/>
      <c r="N322" s="4"/>
      <c r="O322" s="4"/>
      <c r="P322" s="4"/>
      <c r="Q322" s="4"/>
      <c r="R322" s="4"/>
      <c r="S322" s="4"/>
      <c r="T322" s="4"/>
      <c r="U322" s="4"/>
      <c r="V322" s="4"/>
      <c r="W322" s="4"/>
      <c r="X322" s="4"/>
    </row>
    <row r="323" spans="1:24" ht="12.75" customHeight="1">
      <c r="A323" s="48">
        <v>211205</v>
      </c>
      <c r="B323" s="26" t="s">
        <v>465</v>
      </c>
      <c r="C323" s="16">
        <f>C324</f>
        <v>22000</v>
      </c>
      <c r="D323" s="14"/>
      <c r="E323" s="30"/>
      <c r="F323" s="8"/>
      <c r="G323" s="8"/>
      <c r="H323" s="4"/>
      <c r="I323" s="4"/>
      <c r="J323" s="4"/>
      <c r="K323" s="4"/>
      <c r="L323" s="4"/>
      <c r="M323" s="4"/>
      <c r="N323" s="4"/>
      <c r="O323" s="4"/>
      <c r="P323" s="4"/>
      <c r="Q323" s="4"/>
      <c r="R323" s="4"/>
      <c r="S323" s="4"/>
      <c r="T323" s="4"/>
      <c r="U323" s="4"/>
      <c r="V323" s="4"/>
      <c r="W323" s="4"/>
      <c r="X323" s="4"/>
    </row>
    <row r="324" spans="1:24" ht="13.5">
      <c r="A324" s="33">
        <v>21120501</v>
      </c>
      <c r="B324" s="13" t="s">
        <v>466</v>
      </c>
      <c r="C324" s="14">
        <v>22000</v>
      </c>
      <c r="D324" s="14"/>
      <c r="E324" s="30"/>
      <c r="F324" s="8"/>
      <c r="G324" s="8"/>
      <c r="H324" s="4"/>
      <c r="I324" s="4"/>
      <c r="J324" s="4"/>
      <c r="K324" s="4"/>
      <c r="L324" s="4"/>
      <c r="M324" s="4"/>
      <c r="N324" s="4"/>
      <c r="O324" s="4"/>
      <c r="P324" s="4"/>
      <c r="Q324" s="4"/>
      <c r="R324" s="4"/>
      <c r="S324" s="4"/>
      <c r="T324" s="4"/>
      <c r="U324" s="4"/>
      <c r="V324" s="4"/>
      <c r="W324" s="4"/>
      <c r="X324" s="4"/>
    </row>
    <row r="325" spans="1:24" ht="12.75" customHeight="1">
      <c r="A325" s="48">
        <v>211208</v>
      </c>
      <c r="B325" s="15" t="s">
        <v>474</v>
      </c>
      <c r="C325" s="16">
        <f>C326</f>
        <v>150000</v>
      </c>
      <c r="D325" s="14"/>
      <c r="E325" s="30"/>
      <c r="F325" s="8"/>
      <c r="G325" s="8"/>
      <c r="H325" s="4"/>
      <c r="I325" s="4"/>
      <c r="J325" s="4"/>
      <c r="K325" s="4"/>
      <c r="L325" s="4"/>
      <c r="M325" s="4"/>
      <c r="N325" s="4"/>
      <c r="O325" s="4"/>
      <c r="P325" s="4"/>
      <c r="Q325" s="4"/>
      <c r="R325" s="4"/>
      <c r="S325" s="4"/>
      <c r="T325" s="4"/>
      <c r="U325" s="4"/>
      <c r="V325" s="4"/>
      <c r="W325" s="4"/>
      <c r="X325" s="4"/>
    </row>
    <row r="326" spans="1:24" ht="12.75" customHeight="1">
      <c r="A326" s="33">
        <v>21120805</v>
      </c>
      <c r="B326" s="13" t="s">
        <v>476</v>
      </c>
      <c r="C326" s="14">
        <v>150000</v>
      </c>
      <c r="D326" s="13"/>
      <c r="E326" s="30"/>
      <c r="F326" s="8"/>
      <c r="G326" s="8"/>
      <c r="H326" s="4"/>
      <c r="I326" s="4"/>
      <c r="J326" s="4"/>
      <c r="K326" s="4"/>
      <c r="L326" s="4"/>
      <c r="M326" s="4"/>
      <c r="N326" s="4"/>
      <c r="O326" s="4"/>
      <c r="P326" s="4"/>
      <c r="Q326" s="4"/>
      <c r="R326" s="4"/>
      <c r="S326" s="4"/>
      <c r="T326" s="4"/>
      <c r="U326" s="4"/>
      <c r="V326" s="4"/>
      <c r="W326" s="4"/>
      <c r="X326" s="4"/>
    </row>
    <row r="327" spans="1:24" ht="12.75" customHeight="1">
      <c r="A327" s="48">
        <v>211209</v>
      </c>
      <c r="B327" s="26" t="s">
        <v>477</v>
      </c>
      <c r="C327" s="16">
        <f>SUM(C328:C330)</f>
        <v>290000</v>
      </c>
      <c r="D327" s="40"/>
      <c r="E327" s="8"/>
      <c r="F327" s="8"/>
      <c r="G327" s="8"/>
      <c r="H327" s="4"/>
      <c r="I327" s="4"/>
      <c r="J327" s="4"/>
      <c r="K327" s="4"/>
      <c r="L327" s="4"/>
      <c r="M327" s="4"/>
      <c r="N327" s="4"/>
      <c r="O327" s="4"/>
      <c r="P327" s="4"/>
      <c r="Q327" s="4"/>
      <c r="R327" s="4"/>
      <c r="S327" s="4"/>
      <c r="T327" s="4"/>
      <c r="U327" s="4"/>
      <c r="V327" s="4"/>
      <c r="W327" s="4"/>
      <c r="X327" s="4"/>
    </row>
    <row r="328" spans="1:24" ht="13.5" customHeight="1">
      <c r="A328" s="33">
        <v>21120901</v>
      </c>
      <c r="B328" s="13" t="s">
        <v>478</v>
      </c>
      <c r="C328" s="24">
        <v>90000</v>
      </c>
      <c r="D328" s="40"/>
      <c r="E328" s="8"/>
      <c r="F328" s="8"/>
      <c r="G328" s="8"/>
      <c r="H328" s="4"/>
      <c r="I328" s="13"/>
      <c r="J328" s="13"/>
      <c r="K328" s="13"/>
      <c r="L328" s="13"/>
      <c r="M328" s="13"/>
      <c r="N328" s="13"/>
      <c r="O328" s="13"/>
      <c r="P328" s="13"/>
      <c r="Q328" s="13"/>
      <c r="R328" s="13"/>
      <c r="S328" s="13"/>
      <c r="T328" s="13"/>
      <c r="U328" s="13"/>
      <c r="V328" s="13"/>
      <c r="W328" s="13"/>
      <c r="X328" s="13"/>
    </row>
    <row r="329" spans="1:24" ht="12.75" customHeight="1">
      <c r="A329" s="33">
        <v>21120906</v>
      </c>
      <c r="B329" s="13" t="s">
        <v>479</v>
      </c>
      <c r="C329" s="14">
        <v>60000</v>
      </c>
      <c r="D329" s="33"/>
      <c r="E329" s="27"/>
      <c r="F329" s="13"/>
      <c r="G329" s="13"/>
      <c r="H329" s="13"/>
      <c r="I329" s="4"/>
      <c r="J329" s="4"/>
      <c r="K329" s="4"/>
      <c r="L329" s="4"/>
      <c r="M329" s="4"/>
      <c r="N329" s="4"/>
      <c r="O329" s="4"/>
      <c r="P329" s="4"/>
      <c r="Q329" s="4"/>
      <c r="R329" s="4"/>
      <c r="S329" s="4"/>
      <c r="T329" s="4"/>
      <c r="U329" s="4"/>
      <c r="V329" s="4"/>
      <c r="W329" s="4"/>
      <c r="X329" s="4"/>
    </row>
    <row r="330" spans="1:24" ht="12.75" customHeight="1">
      <c r="A330" s="33">
        <v>21120907</v>
      </c>
      <c r="B330" s="13" t="s">
        <v>480</v>
      </c>
      <c r="C330" s="24">
        <v>140000</v>
      </c>
      <c r="D330" s="40"/>
      <c r="E330" s="8"/>
      <c r="F330" s="8"/>
      <c r="G330" s="8"/>
      <c r="H330" s="4"/>
      <c r="I330" s="4"/>
      <c r="J330" s="4"/>
      <c r="K330" s="4"/>
      <c r="L330" s="4"/>
      <c r="M330" s="4"/>
      <c r="N330" s="4"/>
      <c r="O330" s="4"/>
      <c r="P330" s="4"/>
      <c r="Q330" s="4"/>
      <c r="R330" s="4"/>
      <c r="S330" s="4"/>
      <c r="T330" s="4"/>
      <c r="U330" s="4"/>
      <c r="V330" s="4"/>
      <c r="W330" s="4"/>
      <c r="X330" s="4"/>
    </row>
    <row r="331" spans="1:24" ht="12.75" customHeight="1" thickBot="1">
      <c r="A331" s="23"/>
      <c r="B331" s="13"/>
      <c r="C331" s="14"/>
      <c r="D331" s="123"/>
      <c r="E331" s="274"/>
      <c r="F331" s="4"/>
      <c r="G331" s="4"/>
      <c r="H331" s="4"/>
      <c r="I331" s="4"/>
      <c r="J331" s="4"/>
      <c r="K331" s="4"/>
      <c r="L331" s="4"/>
      <c r="M331" s="4"/>
      <c r="N331" s="4"/>
      <c r="O331" s="4"/>
      <c r="P331" s="4"/>
      <c r="Q331" s="4"/>
      <c r="R331" s="4"/>
      <c r="S331" s="4"/>
      <c r="T331" s="4"/>
      <c r="U331" s="4"/>
      <c r="V331" s="4"/>
      <c r="W331" s="4"/>
      <c r="X331" s="4"/>
    </row>
    <row r="332" spans="1:24" ht="12.75" customHeight="1" thickBot="1">
      <c r="A332" s="1282" t="s">
        <v>4</v>
      </c>
      <c r="B332" s="1281"/>
      <c r="C332" s="41">
        <f>C333+C335+C337+C340+C342</f>
        <v>3533500</v>
      </c>
      <c r="D332" s="40"/>
      <c r="E332" s="8"/>
      <c r="F332" s="8"/>
      <c r="G332" s="8"/>
      <c r="H332" s="4"/>
      <c r="I332" s="4"/>
      <c r="J332" s="4"/>
      <c r="K332" s="4"/>
      <c r="L332" s="4"/>
      <c r="M332" s="4"/>
      <c r="N332" s="4"/>
      <c r="O332" s="4"/>
      <c r="P332" s="4"/>
      <c r="Q332" s="4"/>
      <c r="R332" s="4"/>
      <c r="S332" s="4"/>
      <c r="T332" s="4"/>
      <c r="U332" s="4"/>
      <c r="V332" s="4"/>
      <c r="W332" s="4"/>
      <c r="X332" s="4"/>
    </row>
    <row r="333" spans="1:24" ht="12.75" customHeight="1">
      <c r="A333" s="22">
        <v>211302</v>
      </c>
      <c r="B333" s="48" t="s">
        <v>481</v>
      </c>
      <c r="C333" s="82">
        <f>SUM(C334)</f>
        <v>43000</v>
      </c>
      <c r="D333" s="40"/>
      <c r="E333" s="8"/>
      <c r="F333" s="8"/>
      <c r="G333" s="8"/>
      <c r="H333" s="4"/>
      <c r="I333" s="4"/>
      <c r="J333" s="4"/>
      <c r="K333" s="4"/>
      <c r="L333" s="4"/>
      <c r="M333" s="4"/>
      <c r="N333" s="4"/>
      <c r="O333" s="4"/>
      <c r="P333" s="4"/>
      <c r="Q333" s="4"/>
      <c r="R333" s="4"/>
      <c r="S333" s="4"/>
      <c r="T333" s="4"/>
      <c r="U333" s="4"/>
      <c r="V333" s="4"/>
      <c r="W333" s="4"/>
      <c r="X333" s="4"/>
    </row>
    <row r="334" spans="1:24" ht="12.75" customHeight="1">
      <c r="A334" s="40">
        <v>21130204</v>
      </c>
      <c r="B334" s="13" t="s">
        <v>483</v>
      </c>
      <c r="C334" s="14">
        <v>43000</v>
      </c>
      <c r="D334" s="40"/>
      <c r="E334" s="84"/>
      <c r="F334" s="84"/>
      <c r="G334" s="84"/>
      <c r="H334" s="4"/>
      <c r="I334" s="4"/>
      <c r="J334" s="4"/>
      <c r="K334" s="4"/>
      <c r="L334" s="4"/>
      <c r="M334" s="4"/>
      <c r="N334" s="4"/>
      <c r="O334" s="4"/>
      <c r="P334" s="4"/>
      <c r="Q334" s="4"/>
      <c r="R334" s="4"/>
      <c r="S334" s="4"/>
      <c r="T334" s="4"/>
      <c r="U334" s="4"/>
      <c r="V334" s="4"/>
      <c r="W334" s="4"/>
      <c r="X334" s="4"/>
    </row>
    <row r="335" spans="1:24" ht="12.75" customHeight="1">
      <c r="A335" s="22">
        <v>211303</v>
      </c>
      <c r="B335" s="15" t="s">
        <v>484</v>
      </c>
      <c r="C335" s="26">
        <f>C336</f>
        <v>42000</v>
      </c>
      <c r="D335" s="40"/>
      <c r="E335" s="8"/>
      <c r="F335" s="8"/>
      <c r="G335" s="8"/>
      <c r="H335" s="4"/>
      <c r="I335" s="4"/>
      <c r="J335" s="4"/>
      <c r="K335" s="4"/>
      <c r="L335" s="4"/>
      <c r="M335" s="4"/>
      <c r="N335" s="4"/>
      <c r="O335" s="4"/>
      <c r="P335" s="4"/>
      <c r="Q335" s="4"/>
      <c r="R335" s="4"/>
      <c r="S335" s="4"/>
      <c r="T335" s="4"/>
      <c r="U335" s="4"/>
      <c r="V335" s="4"/>
      <c r="W335" s="4"/>
      <c r="X335" s="4"/>
    </row>
    <row r="336" spans="1:24" ht="12.75" customHeight="1">
      <c r="A336" s="40">
        <v>21130307</v>
      </c>
      <c r="B336" s="13" t="s">
        <v>488</v>
      </c>
      <c r="C336" s="24">
        <v>42000</v>
      </c>
      <c r="D336" s="40"/>
      <c r="E336" s="14"/>
      <c r="F336" s="13"/>
      <c r="G336" s="13"/>
      <c r="H336" s="4"/>
      <c r="I336" s="4"/>
      <c r="J336" s="4"/>
      <c r="K336" s="4"/>
      <c r="L336" s="4"/>
      <c r="M336" s="4"/>
      <c r="N336" s="4"/>
      <c r="O336" s="4"/>
      <c r="P336" s="4"/>
      <c r="Q336" s="4"/>
      <c r="R336" s="4"/>
      <c r="S336" s="4"/>
      <c r="T336" s="4"/>
      <c r="U336" s="4"/>
      <c r="V336" s="4"/>
      <c r="W336" s="4"/>
      <c r="X336" s="4"/>
    </row>
    <row r="337" spans="1:24" ht="12.75" customHeight="1">
      <c r="A337" s="48">
        <v>211305</v>
      </c>
      <c r="B337" s="15" t="s">
        <v>489</v>
      </c>
      <c r="C337" s="16">
        <f>+SUM(C338:C339)</f>
        <v>2618500</v>
      </c>
      <c r="D337" s="40"/>
      <c r="E337" s="14"/>
      <c r="F337" s="14"/>
      <c r="G337" s="13"/>
      <c r="H337" s="4"/>
      <c r="I337" s="4"/>
      <c r="J337" s="4"/>
      <c r="K337" s="4"/>
      <c r="L337" s="4"/>
      <c r="M337" s="4"/>
      <c r="N337" s="4"/>
      <c r="O337" s="4"/>
      <c r="P337" s="4"/>
      <c r="Q337" s="4"/>
      <c r="R337" s="4"/>
      <c r="S337" s="4"/>
      <c r="T337" s="4"/>
      <c r="U337" s="4"/>
      <c r="V337" s="4"/>
      <c r="W337" s="4"/>
      <c r="X337" s="4"/>
    </row>
    <row r="338" spans="1:24" ht="12.75" customHeight="1">
      <c r="A338" s="40">
        <v>21130501</v>
      </c>
      <c r="B338" s="13" t="s">
        <v>490</v>
      </c>
      <c r="C338" s="14">
        <v>22000</v>
      </c>
      <c r="D338" s="40"/>
      <c r="E338" s="8"/>
      <c r="F338" s="8"/>
      <c r="G338" s="8"/>
      <c r="H338" s="4"/>
      <c r="I338" s="4"/>
      <c r="J338" s="4"/>
      <c r="K338" s="4"/>
      <c r="L338" s="4"/>
      <c r="M338" s="4"/>
      <c r="N338" s="4"/>
      <c r="O338" s="4"/>
      <c r="P338" s="4"/>
      <c r="Q338" s="4"/>
      <c r="R338" s="4"/>
      <c r="S338" s="4"/>
      <c r="T338" s="4"/>
      <c r="U338" s="4"/>
      <c r="V338" s="4"/>
      <c r="W338" s="4"/>
      <c r="X338" s="4"/>
    </row>
    <row r="339" spans="1:24" ht="12.75" customHeight="1">
      <c r="A339" s="40">
        <v>21130502</v>
      </c>
      <c r="B339" s="13" t="s">
        <v>491</v>
      </c>
      <c r="C339" s="14">
        <v>2596500</v>
      </c>
      <c r="D339" s="40"/>
      <c r="E339" s="8"/>
      <c r="F339" s="8"/>
      <c r="G339" s="8"/>
      <c r="H339" s="4"/>
      <c r="I339" s="4"/>
      <c r="J339" s="4"/>
      <c r="K339" s="4"/>
      <c r="L339" s="4"/>
      <c r="M339" s="4"/>
      <c r="N339" s="4"/>
      <c r="O339" s="4"/>
      <c r="P339" s="4"/>
      <c r="Q339" s="4"/>
      <c r="R339" s="4"/>
      <c r="S339" s="4"/>
      <c r="T339" s="4"/>
      <c r="U339" s="4"/>
      <c r="V339" s="4"/>
      <c r="W339" s="4"/>
      <c r="X339" s="4"/>
    </row>
    <row r="340" spans="1:24" ht="12.75" customHeight="1">
      <c r="A340" s="48">
        <v>211307</v>
      </c>
      <c r="B340" s="26" t="s">
        <v>494</v>
      </c>
      <c r="C340" s="16">
        <f>C341</f>
        <v>75000</v>
      </c>
      <c r="D340" s="30"/>
      <c r="E340" s="8"/>
      <c r="F340" s="8"/>
      <c r="G340" s="8"/>
      <c r="H340" s="4"/>
      <c r="I340" s="4"/>
      <c r="J340" s="4"/>
      <c r="K340" s="4"/>
      <c r="L340" s="4"/>
      <c r="M340" s="4"/>
      <c r="N340" s="4"/>
      <c r="O340" s="4"/>
      <c r="P340" s="4"/>
      <c r="Q340" s="4"/>
      <c r="R340" s="4"/>
      <c r="S340" s="4"/>
      <c r="T340" s="4"/>
      <c r="U340" s="4"/>
      <c r="V340" s="4"/>
      <c r="W340" s="4"/>
      <c r="X340" s="4"/>
    </row>
    <row r="341" spans="1:24" ht="12.75" customHeight="1">
      <c r="A341" s="33">
        <v>21130701</v>
      </c>
      <c r="B341" s="13" t="s">
        <v>495</v>
      </c>
      <c r="C341" s="14">
        <v>75000</v>
      </c>
      <c r="D341" s="30"/>
      <c r="E341" s="8"/>
      <c r="F341" s="8"/>
      <c r="G341" s="8"/>
      <c r="H341" s="4"/>
      <c r="I341" s="4"/>
      <c r="J341" s="4"/>
      <c r="K341" s="4"/>
      <c r="L341" s="4"/>
      <c r="M341" s="4"/>
      <c r="N341" s="4"/>
      <c r="O341" s="4"/>
      <c r="P341" s="4"/>
      <c r="Q341" s="4"/>
      <c r="R341" s="4"/>
      <c r="S341" s="4"/>
      <c r="T341" s="4"/>
      <c r="U341" s="4"/>
      <c r="V341" s="4"/>
      <c r="W341" s="4"/>
      <c r="X341" s="4"/>
    </row>
    <row r="342" spans="1:24" ht="12.75" customHeight="1">
      <c r="A342" s="48">
        <v>211309</v>
      </c>
      <c r="B342" s="15" t="s">
        <v>496</v>
      </c>
      <c r="C342" s="16">
        <f>+SUM(C343:C346)</f>
        <v>755000</v>
      </c>
      <c r="D342" s="85"/>
      <c r="E342" s="86"/>
      <c r="F342" s="14"/>
      <c r="G342" s="8"/>
      <c r="H342" s="4"/>
      <c r="I342" s="4"/>
      <c r="J342" s="4"/>
      <c r="K342" s="4"/>
      <c r="L342" s="4"/>
      <c r="M342" s="4"/>
      <c r="N342" s="4"/>
      <c r="O342" s="4"/>
      <c r="P342" s="4"/>
      <c r="Q342" s="4"/>
      <c r="R342" s="4"/>
      <c r="S342" s="4"/>
      <c r="T342" s="4"/>
      <c r="U342" s="4"/>
      <c r="V342" s="4"/>
      <c r="W342" s="4"/>
      <c r="X342" s="4"/>
    </row>
    <row r="343" spans="1:24" ht="12.75" customHeight="1">
      <c r="A343" s="33">
        <v>21130901</v>
      </c>
      <c r="B343" s="13" t="s">
        <v>497</v>
      </c>
      <c r="C343" s="14">
        <v>30000</v>
      </c>
      <c r="D343" s="30"/>
      <c r="E343" s="8"/>
      <c r="F343" s="40"/>
      <c r="G343" s="8"/>
      <c r="H343" s="4"/>
      <c r="I343" s="4"/>
      <c r="J343" s="4"/>
      <c r="K343" s="4"/>
      <c r="L343" s="4"/>
      <c r="M343" s="4"/>
      <c r="N343" s="4"/>
      <c r="O343" s="4"/>
      <c r="P343" s="4"/>
      <c r="Q343" s="4"/>
      <c r="R343" s="4"/>
      <c r="S343" s="4"/>
      <c r="T343" s="4"/>
      <c r="U343" s="4"/>
      <c r="V343" s="4"/>
      <c r="W343" s="4"/>
      <c r="X343" s="4"/>
    </row>
    <row r="344" spans="1:24" ht="12.75" customHeight="1">
      <c r="A344" s="33">
        <v>21130903</v>
      </c>
      <c r="B344" s="13" t="s">
        <v>498</v>
      </c>
      <c r="C344" s="14">
        <v>25000</v>
      </c>
      <c r="D344" s="8"/>
      <c r="E344" s="8"/>
      <c r="F344" s="8"/>
      <c r="G344" s="8"/>
      <c r="H344" s="4"/>
      <c r="I344" s="4"/>
      <c r="J344" s="4"/>
      <c r="K344" s="4"/>
      <c r="L344" s="4"/>
      <c r="M344" s="4"/>
      <c r="N344" s="4"/>
      <c r="O344" s="4"/>
      <c r="P344" s="4"/>
      <c r="Q344" s="4"/>
      <c r="R344" s="4"/>
      <c r="S344" s="4"/>
      <c r="T344" s="4"/>
      <c r="U344" s="4"/>
      <c r="V344" s="4"/>
      <c r="W344" s="4"/>
      <c r="X344" s="4"/>
    </row>
    <row r="345" spans="1:24" ht="12.75" customHeight="1">
      <c r="A345" s="40">
        <v>21130906</v>
      </c>
      <c r="B345" s="13" t="s">
        <v>499</v>
      </c>
      <c r="C345" s="14">
        <v>580000</v>
      </c>
      <c r="D345" s="40"/>
      <c r="E345" s="30"/>
      <c r="F345" s="8"/>
      <c r="G345" s="8"/>
      <c r="H345" s="4"/>
      <c r="I345" s="4"/>
      <c r="J345" s="4"/>
      <c r="K345" s="4"/>
      <c r="L345" s="4"/>
      <c r="M345" s="4"/>
      <c r="N345" s="4"/>
      <c r="O345" s="4"/>
      <c r="P345" s="4"/>
      <c r="Q345" s="4"/>
      <c r="R345" s="4"/>
      <c r="S345" s="4"/>
      <c r="T345" s="4"/>
      <c r="U345" s="4"/>
      <c r="V345" s="4"/>
      <c r="W345" s="4"/>
      <c r="X345" s="4"/>
    </row>
    <row r="346" spans="1:24" ht="12.75" customHeight="1">
      <c r="A346" s="33">
        <v>21130908</v>
      </c>
      <c r="B346" s="24" t="s">
        <v>500</v>
      </c>
      <c r="C346" s="24">
        <v>120000</v>
      </c>
      <c r="D346" s="40"/>
      <c r="E346" s="8"/>
      <c r="F346" s="14"/>
      <c r="G346" s="8"/>
      <c r="H346" s="4"/>
    </row>
    <row r="347" spans="1:24" ht="12.75" customHeight="1" thickBot="1">
      <c r="A347" s="13"/>
      <c r="B347" s="33"/>
      <c r="C347" s="14"/>
      <c r="I347" s="4"/>
      <c r="J347" s="4"/>
      <c r="K347" s="4"/>
      <c r="L347" s="4"/>
      <c r="M347" s="4"/>
      <c r="N347" s="4"/>
      <c r="O347" s="4"/>
      <c r="P347" s="4"/>
      <c r="Q347" s="4"/>
      <c r="R347" s="4"/>
      <c r="S347" s="4"/>
      <c r="T347" s="4"/>
      <c r="U347" s="4"/>
      <c r="V347" s="4"/>
      <c r="W347" s="4"/>
      <c r="X347" s="4"/>
    </row>
    <row r="348" spans="1:24" ht="12.75" customHeight="1" thickBot="1">
      <c r="A348" s="1315" t="s">
        <v>45</v>
      </c>
      <c r="B348" s="1281"/>
      <c r="C348" s="87">
        <f>C349</f>
        <v>2560000</v>
      </c>
      <c r="D348" s="40"/>
      <c r="E348" s="8"/>
      <c r="F348" s="8"/>
      <c r="G348" s="8"/>
      <c r="H348" s="4"/>
      <c r="I348" s="4"/>
      <c r="J348" s="4"/>
      <c r="K348" s="4"/>
      <c r="L348" s="4"/>
      <c r="M348" s="4"/>
      <c r="N348" s="4"/>
      <c r="O348" s="4"/>
      <c r="P348" s="4"/>
      <c r="Q348" s="4"/>
      <c r="R348" s="4"/>
      <c r="S348" s="4"/>
      <c r="T348" s="4"/>
      <c r="U348" s="4"/>
      <c r="V348" s="4"/>
      <c r="W348" s="4"/>
      <c r="X348" s="4"/>
    </row>
    <row r="349" spans="1:24" ht="12.75" customHeight="1">
      <c r="A349" s="22">
        <v>211402</v>
      </c>
      <c r="B349" s="22" t="s">
        <v>503</v>
      </c>
      <c r="C349" s="82">
        <f>SUM(C350:C351)</f>
        <v>2560000</v>
      </c>
      <c r="D349" s="40"/>
      <c r="E349" s="8"/>
      <c r="F349" s="8"/>
      <c r="G349" s="8"/>
      <c r="H349" s="4"/>
      <c r="I349" s="4"/>
      <c r="J349" s="4"/>
      <c r="K349" s="4"/>
      <c r="L349" s="4"/>
      <c r="M349" s="4"/>
      <c r="N349" s="4"/>
      <c r="O349" s="4"/>
      <c r="P349" s="4"/>
      <c r="Q349" s="4"/>
      <c r="R349" s="4"/>
      <c r="S349" s="4"/>
      <c r="T349" s="4"/>
      <c r="U349" s="4"/>
      <c r="V349" s="4"/>
      <c r="W349" s="4"/>
      <c r="X349" s="4"/>
    </row>
    <row r="350" spans="1:24" ht="12.75" customHeight="1">
      <c r="A350" s="40">
        <v>21140205</v>
      </c>
      <c r="B350" s="40" t="s">
        <v>653</v>
      </c>
      <c r="C350" s="14">
        <v>1360000</v>
      </c>
      <c r="D350" s="40"/>
      <c r="E350" s="84"/>
      <c r="F350" s="84"/>
      <c r="G350" s="84"/>
      <c r="H350" s="4"/>
      <c r="I350" s="4"/>
      <c r="J350" s="4"/>
      <c r="K350" s="4"/>
      <c r="L350" s="4"/>
      <c r="M350" s="4"/>
      <c r="N350" s="4"/>
      <c r="O350" s="4"/>
      <c r="P350" s="4"/>
      <c r="Q350" s="4"/>
      <c r="R350" s="4"/>
      <c r="S350" s="4"/>
      <c r="T350" s="4"/>
      <c r="U350" s="4"/>
      <c r="V350" s="4"/>
      <c r="W350" s="4"/>
      <c r="X350" s="4"/>
    </row>
    <row r="351" spans="1:24" ht="12.75" customHeight="1">
      <c r="A351" s="40">
        <v>21140213</v>
      </c>
      <c r="B351" s="13" t="s">
        <v>504</v>
      </c>
      <c r="C351" s="14">
        <v>1200000</v>
      </c>
      <c r="D351" s="40"/>
      <c r="E351" s="84"/>
      <c r="F351" s="84"/>
      <c r="G351" s="84"/>
      <c r="H351" s="4"/>
      <c r="I351" s="4"/>
      <c r="J351" s="4"/>
      <c r="K351" s="4"/>
      <c r="L351" s="4"/>
      <c r="M351" s="4"/>
      <c r="N351" s="4"/>
      <c r="O351" s="4"/>
      <c r="P351" s="4"/>
      <c r="Q351" s="4"/>
      <c r="R351" s="4"/>
      <c r="S351" s="4"/>
      <c r="T351" s="4"/>
      <c r="U351" s="4"/>
      <c r="V351" s="4"/>
      <c r="W351" s="4"/>
      <c r="X351" s="4"/>
    </row>
    <row r="352" spans="1:24" ht="12.75" customHeight="1" thickBot="1">
      <c r="A352" s="40"/>
      <c r="B352" s="13"/>
      <c r="C352" s="14"/>
      <c r="D352" s="40"/>
      <c r="E352" s="8"/>
      <c r="F352" s="8"/>
      <c r="G352" s="8"/>
      <c r="H352" s="4"/>
      <c r="I352" s="4"/>
      <c r="J352" s="4"/>
      <c r="K352" s="4"/>
      <c r="L352" s="4"/>
      <c r="M352" s="4"/>
      <c r="N352" s="4"/>
      <c r="O352" s="4"/>
      <c r="P352" s="4"/>
      <c r="Q352" s="4"/>
      <c r="R352" s="4"/>
      <c r="S352" s="4"/>
      <c r="T352" s="4"/>
      <c r="U352" s="4"/>
      <c r="V352" s="4"/>
      <c r="W352" s="4"/>
      <c r="X352" s="4"/>
    </row>
    <row r="353" spans="1:24" ht="12.75" customHeight="1" thickBot="1">
      <c r="A353" s="1283" t="s">
        <v>48</v>
      </c>
      <c r="B353" s="1281"/>
      <c r="C353" s="52">
        <f>(C354+C358)</f>
        <v>187000</v>
      </c>
      <c r="D353" s="40"/>
      <c r="E353" s="8"/>
      <c r="F353" s="8"/>
      <c r="G353" s="8"/>
      <c r="H353" s="4"/>
      <c r="I353" s="4"/>
      <c r="J353" s="4"/>
      <c r="K353" s="4"/>
      <c r="L353" s="4"/>
      <c r="M353" s="4"/>
      <c r="N353" s="4"/>
      <c r="O353" s="4"/>
      <c r="P353" s="4"/>
      <c r="Q353" s="4"/>
      <c r="R353" s="4"/>
      <c r="S353" s="4"/>
      <c r="T353" s="4"/>
      <c r="U353" s="4"/>
      <c r="V353" s="4"/>
      <c r="W353" s="4"/>
      <c r="X353" s="4"/>
    </row>
    <row r="354" spans="1:24" ht="12.75" customHeight="1">
      <c r="A354" s="48">
        <v>221104</v>
      </c>
      <c r="B354" s="827" t="s">
        <v>510</v>
      </c>
      <c r="C354" s="16">
        <f>SUM(C355:C357)</f>
        <v>167000</v>
      </c>
      <c r="D354" s="40"/>
      <c r="E354" s="8"/>
      <c r="F354" s="8"/>
      <c r="G354" s="8"/>
      <c r="H354" s="4"/>
      <c r="I354" s="4"/>
      <c r="J354" s="4"/>
      <c r="K354" s="4"/>
      <c r="L354" s="4"/>
      <c r="M354" s="4"/>
      <c r="N354" s="4"/>
      <c r="O354" s="4"/>
      <c r="P354" s="4"/>
      <c r="Q354" s="4"/>
      <c r="R354" s="4"/>
      <c r="S354" s="4"/>
      <c r="T354" s="4"/>
      <c r="U354" s="4"/>
      <c r="V354" s="4"/>
      <c r="W354" s="4"/>
      <c r="X354" s="4"/>
    </row>
    <row r="355" spans="1:24" ht="12.75" customHeight="1">
      <c r="A355" s="33">
        <v>22110401</v>
      </c>
      <c r="B355" s="13" t="s">
        <v>511</v>
      </c>
      <c r="C355" s="14">
        <v>80000</v>
      </c>
      <c r="D355" s="40"/>
      <c r="E355" s="8"/>
      <c r="F355" s="8"/>
      <c r="G355" s="8"/>
      <c r="H355" s="4"/>
      <c r="I355" s="4"/>
      <c r="J355" s="4"/>
      <c r="K355" s="4"/>
      <c r="L355" s="4"/>
      <c r="M355" s="4"/>
      <c r="N355" s="4"/>
      <c r="O355" s="4"/>
      <c r="P355" s="4"/>
      <c r="Q355" s="4"/>
      <c r="R355" s="4"/>
      <c r="S355" s="4"/>
      <c r="T355" s="4"/>
      <c r="U355" s="4"/>
      <c r="V355" s="4"/>
      <c r="W355" s="4"/>
      <c r="X355" s="4"/>
    </row>
    <row r="356" spans="1:24" ht="12.75" customHeight="1">
      <c r="A356" s="33">
        <v>22110404</v>
      </c>
      <c r="B356" s="13" t="s">
        <v>512</v>
      </c>
      <c r="C356" s="14">
        <v>45000</v>
      </c>
      <c r="D356" s="40"/>
      <c r="E356" s="8"/>
      <c r="F356" s="8"/>
      <c r="G356" s="8"/>
      <c r="H356" s="4"/>
      <c r="I356" s="4"/>
      <c r="J356" s="4"/>
      <c r="K356" s="4"/>
      <c r="L356" s="4"/>
      <c r="M356" s="4"/>
      <c r="N356" s="4"/>
      <c r="O356" s="4"/>
      <c r="P356" s="4"/>
      <c r="Q356" s="4"/>
      <c r="R356" s="4"/>
      <c r="S356" s="4"/>
      <c r="T356" s="4"/>
      <c r="U356" s="4"/>
      <c r="V356" s="4"/>
      <c r="W356" s="4"/>
      <c r="X356" s="4"/>
    </row>
    <row r="357" spans="1:24" ht="13.5" customHeight="1">
      <c r="A357" s="33">
        <v>22110409</v>
      </c>
      <c r="B357" s="24" t="s">
        <v>513</v>
      </c>
      <c r="C357" s="24">
        <v>42000</v>
      </c>
      <c r="D357" s="40"/>
      <c r="E357" s="8"/>
      <c r="F357" s="8"/>
      <c r="G357" s="8"/>
      <c r="H357" s="4"/>
      <c r="I357" s="13"/>
      <c r="J357" s="13"/>
      <c r="K357" s="13"/>
      <c r="L357" s="13"/>
      <c r="M357" s="13"/>
      <c r="N357" s="13"/>
      <c r="O357" s="13"/>
      <c r="P357" s="13"/>
      <c r="Q357" s="13"/>
      <c r="R357" s="13"/>
      <c r="S357" s="13"/>
      <c r="T357" s="13"/>
      <c r="U357" s="13"/>
      <c r="V357" s="13"/>
      <c r="W357" s="13"/>
      <c r="X357" s="13"/>
    </row>
    <row r="358" spans="1:24" ht="12.75" customHeight="1">
      <c r="A358" s="48">
        <v>221107</v>
      </c>
      <c r="B358" s="26" t="s">
        <v>514</v>
      </c>
      <c r="C358" s="16">
        <f>SUM(C359)</f>
        <v>20000</v>
      </c>
      <c r="D358" s="40"/>
      <c r="E358" s="14"/>
      <c r="F358" s="13"/>
      <c r="G358" s="13"/>
      <c r="H358" s="13"/>
      <c r="I358" s="4"/>
      <c r="J358" s="4"/>
      <c r="K358" s="4"/>
      <c r="L358" s="4"/>
      <c r="M358" s="4"/>
      <c r="N358" s="4"/>
      <c r="O358" s="4"/>
      <c r="P358" s="4"/>
      <c r="Q358" s="4"/>
      <c r="R358" s="4"/>
      <c r="S358" s="4"/>
      <c r="T358" s="4"/>
      <c r="U358" s="4"/>
      <c r="V358" s="4"/>
      <c r="W358" s="4"/>
      <c r="X358" s="4"/>
    </row>
    <row r="359" spans="1:24" ht="12.75" customHeight="1">
      <c r="A359" s="33">
        <v>22110702</v>
      </c>
      <c r="B359" s="13" t="s">
        <v>515</v>
      </c>
      <c r="C359" s="14">
        <v>20000</v>
      </c>
      <c r="D359" s="40"/>
      <c r="E359" s="8"/>
      <c r="F359" s="8"/>
      <c r="G359" s="8"/>
      <c r="H359" s="4"/>
      <c r="I359" s="4"/>
      <c r="J359" s="4"/>
      <c r="K359" s="4"/>
      <c r="L359" s="4"/>
      <c r="M359" s="4"/>
      <c r="N359" s="4"/>
      <c r="O359" s="4"/>
      <c r="P359" s="4"/>
      <c r="Q359" s="4"/>
      <c r="R359" s="4"/>
      <c r="S359" s="4"/>
      <c r="T359" s="4"/>
      <c r="U359" s="4"/>
      <c r="V359" s="4"/>
      <c r="W359" s="4"/>
      <c r="X359" s="4"/>
    </row>
    <row r="360" spans="1:24" ht="15" customHeight="1">
      <c r="D360" s="40"/>
      <c r="E360" s="8"/>
      <c r="F360" s="8"/>
      <c r="G360" s="8"/>
      <c r="H360" s="4"/>
    </row>
    <row r="361" spans="1:24" ht="13.5" customHeight="1" thickBot="1">
      <c r="A361" s="23"/>
      <c r="B361" s="23"/>
      <c r="C361" s="24"/>
      <c r="I361" s="45"/>
      <c r="J361" s="45"/>
      <c r="K361" s="45"/>
      <c r="L361" s="45"/>
      <c r="M361" s="35"/>
      <c r="N361" s="35"/>
      <c r="O361" s="35"/>
      <c r="P361" s="35"/>
      <c r="Q361" s="35"/>
      <c r="R361" s="35"/>
      <c r="S361" s="35"/>
      <c r="T361" s="35"/>
      <c r="U361" s="35"/>
      <c r="V361" s="35"/>
      <c r="W361" s="35"/>
      <c r="X361" s="35"/>
    </row>
    <row r="362" spans="1:24" ht="13.5" customHeight="1">
      <c r="A362" s="1321" t="s">
        <v>891</v>
      </c>
      <c r="B362" s="1322"/>
      <c r="C362" s="1570" t="s">
        <v>731</v>
      </c>
      <c r="D362" s="45"/>
      <c r="E362" s="45"/>
      <c r="F362" s="45"/>
      <c r="G362" s="45"/>
      <c r="H362" s="45"/>
      <c r="I362" s="45"/>
      <c r="J362" s="45"/>
      <c r="K362" s="45"/>
      <c r="L362" s="45"/>
      <c r="M362" s="35"/>
      <c r="N362" s="35"/>
      <c r="O362" s="35"/>
      <c r="P362" s="35"/>
      <c r="Q362" s="35"/>
      <c r="R362" s="35"/>
      <c r="S362" s="35"/>
      <c r="T362" s="35"/>
      <c r="U362" s="35"/>
      <c r="V362" s="35"/>
      <c r="W362" s="35"/>
      <c r="X362" s="35"/>
    </row>
    <row r="363" spans="1:24" ht="13.5" customHeight="1" thickBot="1">
      <c r="A363" s="1323"/>
      <c r="B363" s="1324"/>
      <c r="C363" s="1571"/>
      <c r="D363" s="45"/>
      <c r="E363" s="45"/>
      <c r="F363" s="45"/>
      <c r="G363" s="45"/>
      <c r="H363" s="45"/>
      <c r="I363" s="45"/>
      <c r="J363" s="45"/>
      <c r="K363" s="45"/>
      <c r="L363" s="45"/>
      <c r="M363" s="35"/>
      <c r="N363" s="35"/>
      <c r="O363" s="35"/>
      <c r="P363" s="35"/>
      <c r="Q363" s="35"/>
      <c r="R363" s="35"/>
      <c r="S363" s="35"/>
      <c r="T363" s="35"/>
      <c r="U363" s="35"/>
      <c r="V363" s="35"/>
      <c r="W363" s="35"/>
      <c r="X363" s="35"/>
    </row>
    <row r="364" spans="1:24" ht="12.75" customHeight="1">
      <c r="A364" s="1564" t="s">
        <v>671</v>
      </c>
      <c r="B364" s="810"/>
      <c r="C364" s="1565"/>
      <c r="D364" s="45"/>
      <c r="E364" s="45"/>
      <c r="F364" s="45"/>
      <c r="G364" s="45"/>
      <c r="H364" s="45"/>
      <c r="I364" s="45"/>
      <c r="J364" s="45"/>
      <c r="K364" s="45"/>
      <c r="L364" s="45"/>
      <c r="M364" s="35"/>
      <c r="N364" s="35"/>
      <c r="O364" s="35"/>
      <c r="P364" s="35"/>
      <c r="Q364" s="35"/>
      <c r="R364" s="35"/>
      <c r="S364" s="35"/>
      <c r="T364" s="35"/>
      <c r="U364" s="35"/>
      <c r="V364" s="35"/>
      <c r="W364" s="35"/>
      <c r="X364" s="35"/>
    </row>
    <row r="365" spans="1:24" ht="12.75" customHeight="1">
      <c r="A365" s="1028" t="s">
        <v>732</v>
      </c>
      <c r="B365" s="810"/>
      <c r="C365" s="1565"/>
      <c r="D365" s="45"/>
      <c r="E365" s="45"/>
      <c r="F365" s="45"/>
      <c r="G365" s="45"/>
      <c r="H365" s="45"/>
      <c r="I365" s="45"/>
      <c r="J365" s="45"/>
      <c r="K365" s="45"/>
      <c r="L365" s="45"/>
      <c r="M365" s="35"/>
      <c r="N365" s="35"/>
      <c r="O365" s="35"/>
      <c r="P365" s="35"/>
      <c r="Q365" s="35"/>
      <c r="R365" s="35"/>
      <c r="S365" s="35"/>
      <c r="T365" s="35"/>
      <c r="U365" s="35"/>
      <c r="V365" s="35"/>
      <c r="W365" s="35"/>
      <c r="X365" s="35"/>
    </row>
    <row r="366" spans="1:24" ht="12.75" customHeight="1">
      <c r="A366" s="1028" t="s">
        <v>733</v>
      </c>
      <c r="B366" s="1566"/>
      <c r="C366" s="1565"/>
      <c r="D366" s="45"/>
      <c r="E366" s="45"/>
      <c r="F366" s="45"/>
      <c r="G366" s="45"/>
      <c r="H366" s="45"/>
      <c r="I366" s="45"/>
      <c r="J366" s="45"/>
      <c r="K366" s="45"/>
      <c r="L366" s="45"/>
      <c r="M366" s="35"/>
      <c r="N366" s="35"/>
      <c r="O366" s="35"/>
      <c r="P366" s="35"/>
      <c r="Q366" s="35"/>
      <c r="R366" s="35"/>
      <c r="S366" s="35"/>
      <c r="T366" s="35"/>
      <c r="U366" s="35"/>
      <c r="V366" s="35"/>
      <c r="W366" s="35"/>
      <c r="X366" s="35"/>
    </row>
    <row r="367" spans="1:24" ht="12.75" customHeight="1" thickBot="1">
      <c r="A367" s="1567" t="s">
        <v>59</v>
      </c>
      <c r="B367" s="811"/>
      <c r="C367" s="1568"/>
      <c r="D367" s="45"/>
      <c r="E367" s="45"/>
      <c r="F367" s="45"/>
      <c r="G367" s="45"/>
      <c r="H367" s="45"/>
      <c r="I367" s="45"/>
      <c r="J367" s="45"/>
      <c r="K367" s="45"/>
      <c r="L367" s="45"/>
      <c r="M367" s="35"/>
      <c r="N367" s="35"/>
      <c r="O367" s="35"/>
      <c r="P367" s="35"/>
      <c r="Q367" s="35"/>
      <c r="R367" s="35"/>
      <c r="S367" s="35"/>
      <c r="T367" s="35"/>
      <c r="U367" s="35"/>
      <c r="V367" s="35"/>
      <c r="W367" s="35"/>
      <c r="X367" s="35"/>
    </row>
    <row r="368" spans="1:24" ht="12.75" customHeight="1" thickBot="1">
      <c r="A368" s="1562" t="s">
        <v>1</v>
      </c>
      <c r="B368" s="1563"/>
      <c r="C368" s="1569">
        <f>C370+C387+C408+C404</f>
        <v>52750000</v>
      </c>
      <c r="D368" s="45"/>
      <c r="E368" s="45"/>
      <c r="F368" s="45"/>
      <c r="G368" s="45"/>
      <c r="H368" s="45"/>
      <c r="I368" s="45"/>
      <c r="J368" s="45"/>
      <c r="K368" s="45"/>
      <c r="L368" s="45"/>
      <c r="M368" s="35"/>
      <c r="N368" s="35"/>
      <c r="O368" s="35"/>
      <c r="P368" s="35"/>
      <c r="Q368" s="35"/>
      <c r="R368" s="35"/>
      <c r="S368" s="35"/>
      <c r="T368" s="35"/>
      <c r="U368" s="35"/>
      <c r="V368" s="35"/>
      <c r="W368" s="35"/>
      <c r="X368" s="35"/>
    </row>
    <row r="369" spans="1:24" ht="12.75" customHeight="1" thickBot="1">
      <c r="A369" s="812"/>
      <c r="B369" s="812"/>
      <c r="C369" s="813"/>
      <c r="D369" s="45"/>
      <c r="E369" s="45"/>
      <c r="F369" s="45"/>
      <c r="G369" s="45"/>
      <c r="H369" s="45"/>
      <c r="I369" s="45"/>
      <c r="J369" s="45"/>
      <c r="K369" s="45"/>
      <c r="L369" s="45"/>
      <c r="M369" s="35"/>
      <c r="N369" s="35"/>
      <c r="O369" s="35"/>
      <c r="P369" s="35"/>
      <c r="Q369" s="35"/>
      <c r="R369" s="35"/>
      <c r="S369" s="35"/>
      <c r="T369" s="35"/>
      <c r="U369" s="35"/>
      <c r="V369" s="35"/>
      <c r="W369" s="35"/>
      <c r="X369" s="35"/>
    </row>
    <row r="370" spans="1:24" ht="12.75" customHeight="1" thickBot="1">
      <c r="A370" s="1329" t="s">
        <v>9</v>
      </c>
      <c r="B370" s="1320"/>
      <c r="C370" s="814">
        <f>+C371+C373+C377+C384+C381</f>
        <v>10840000</v>
      </c>
      <c r="D370" s="45"/>
      <c r="E370" s="45"/>
      <c r="F370" s="45"/>
      <c r="G370" s="45"/>
      <c r="H370" s="45"/>
      <c r="I370" s="45"/>
      <c r="J370" s="45"/>
      <c r="K370" s="45"/>
      <c r="L370" s="45"/>
      <c r="M370" s="35"/>
      <c r="N370" s="35"/>
      <c r="O370" s="35"/>
      <c r="P370" s="35"/>
      <c r="Q370" s="35"/>
      <c r="R370" s="35"/>
      <c r="S370" s="35"/>
      <c r="T370" s="35"/>
      <c r="U370" s="35"/>
      <c r="V370" s="35"/>
      <c r="W370" s="35"/>
      <c r="X370" s="35"/>
    </row>
    <row r="371" spans="1:24" ht="12.75" customHeight="1">
      <c r="A371" s="821">
        <v>211201</v>
      </c>
      <c r="B371" s="815" t="s">
        <v>114</v>
      </c>
      <c r="C371" s="816">
        <f>SUM(C372)</f>
        <v>300000</v>
      </c>
      <c r="D371" s="45"/>
      <c r="E371" s="45"/>
      <c r="F371" s="45"/>
      <c r="G371" s="45"/>
      <c r="H371" s="45"/>
      <c r="I371" s="91"/>
      <c r="J371" s="91"/>
      <c r="K371" s="91"/>
      <c r="L371" s="91"/>
      <c r="M371" s="92"/>
      <c r="N371" s="92"/>
      <c r="O371" s="92"/>
      <c r="P371" s="92"/>
      <c r="Q371" s="92"/>
      <c r="R371" s="92"/>
      <c r="S371" s="92"/>
      <c r="T371" s="92"/>
      <c r="U371" s="92"/>
      <c r="V371" s="92"/>
      <c r="W371" s="92"/>
      <c r="X371" s="92"/>
    </row>
    <row r="372" spans="1:24" ht="12.75" customHeight="1">
      <c r="A372" s="798">
        <v>21120101</v>
      </c>
      <c r="B372" s="769" t="s">
        <v>10</v>
      </c>
      <c r="C372" s="785">
        <v>300000</v>
      </c>
      <c r="D372" s="91"/>
      <c r="E372" s="91"/>
      <c r="F372" s="91"/>
      <c r="G372" s="91"/>
      <c r="H372" s="91"/>
      <c r="I372" s="45"/>
      <c r="J372" s="45"/>
      <c r="K372" s="45"/>
      <c r="L372" s="45"/>
      <c r="M372" s="35"/>
      <c r="N372" s="35"/>
      <c r="O372" s="35"/>
      <c r="P372" s="35"/>
      <c r="Q372" s="35"/>
      <c r="R372" s="35"/>
      <c r="S372" s="35"/>
      <c r="T372" s="35"/>
      <c r="U372" s="35"/>
      <c r="V372" s="35"/>
      <c r="W372" s="35"/>
      <c r="X372" s="35"/>
    </row>
    <row r="373" spans="1:24" ht="12.75" customHeight="1">
      <c r="A373" s="821">
        <v>211202</v>
      </c>
      <c r="B373" s="812" t="s">
        <v>67</v>
      </c>
      <c r="C373" s="817">
        <f>SUM(C374:C376)</f>
        <v>3840000</v>
      </c>
      <c r="D373" s="45"/>
      <c r="E373" s="45"/>
      <c r="F373" s="45"/>
      <c r="G373" s="45"/>
      <c r="H373" s="45"/>
      <c r="I373" s="45"/>
      <c r="J373" s="45"/>
      <c r="K373" s="45"/>
      <c r="L373" s="45"/>
      <c r="M373" s="35"/>
      <c r="N373" s="35"/>
      <c r="O373" s="35"/>
      <c r="P373" s="35"/>
      <c r="Q373" s="35"/>
      <c r="R373" s="35"/>
      <c r="S373" s="35"/>
      <c r="T373" s="35"/>
      <c r="U373" s="35"/>
      <c r="V373" s="35"/>
      <c r="W373" s="35"/>
      <c r="X373" s="35"/>
    </row>
    <row r="374" spans="1:24" ht="12.75" customHeight="1">
      <c r="A374" s="798">
        <v>21120201</v>
      </c>
      <c r="B374" s="769" t="s">
        <v>450</v>
      </c>
      <c r="C374" s="818">
        <v>2040000</v>
      </c>
      <c r="D374" s="45"/>
      <c r="E374" s="45"/>
      <c r="F374" s="45"/>
      <c r="G374" s="45"/>
      <c r="H374" s="45"/>
      <c r="I374" s="45"/>
      <c r="J374" s="45"/>
      <c r="K374" s="45"/>
      <c r="L374" s="45"/>
      <c r="M374" s="35"/>
      <c r="N374" s="35"/>
      <c r="O374" s="35"/>
      <c r="P374" s="35"/>
      <c r="Q374" s="35"/>
      <c r="R374" s="35"/>
      <c r="S374" s="35"/>
      <c r="T374" s="35"/>
      <c r="U374" s="35"/>
      <c r="V374" s="35"/>
      <c r="W374" s="35"/>
      <c r="X374" s="35"/>
    </row>
    <row r="375" spans="1:24" ht="12.75" customHeight="1">
      <c r="A375" s="798">
        <v>21120202</v>
      </c>
      <c r="B375" s="769" t="s">
        <v>68</v>
      </c>
      <c r="C375" s="818">
        <v>1000000</v>
      </c>
      <c r="D375" s="45"/>
      <c r="E375" s="45"/>
      <c r="F375" s="45"/>
      <c r="G375" s="45"/>
      <c r="H375" s="45"/>
      <c r="I375" s="45"/>
      <c r="J375" s="45"/>
      <c r="K375" s="45"/>
      <c r="L375" s="45"/>
      <c r="M375" s="35"/>
      <c r="N375" s="35"/>
      <c r="O375" s="35"/>
      <c r="P375" s="35"/>
      <c r="Q375" s="35"/>
      <c r="R375" s="35"/>
      <c r="S375" s="35"/>
      <c r="T375" s="35"/>
      <c r="U375" s="35"/>
      <c r="V375" s="35"/>
      <c r="W375" s="35"/>
      <c r="X375" s="35"/>
    </row>
    <row r="376" spans="1:24" ht="12.75" customHeight="1">
      <c r="A376" s="798">
        <v>21120203</v>
      </c>
      <c r="B376" s="759" t="s">
        <v>83</v>
      </c>
      <c r="C376" s="768">
        <v>800000</v>
      </c>
      <c r="D376" s="45"/>
      <c r="E376" s="45"/>
      <c r="F376" s="45"/>
      <c r="G376" s="45"/>
      <c r="H376" s="45"/>
      <c r="I376" s="45"/>
      <c r="J376" s="45"/>
      <c r="K376" s="45"/>
      <c r="L376" s="45"/>
      <c r="M376" s="35"/>
      <c r="N376" s="35"/>
      <c r="O376" s="35"/>
      <c r="P376" s="35"/>
      <c r="Q376" s="35"/>
      <c r="R376" s="35"/>
      <c r="S376" s="35"/>
      <c r="T376" s="35"/>
      <c r="U376" s="35"/>
      <c r="V376" s="35"/>
      <c r="W376" s="35"/>
      <c r="X376" s="35"/>
    </row>
    <row r="377" spans="1:24" ht="12.75" customHeight="1">
      <c r="A377" s="821">
        <v>211206</v>
      </c>
      <c r="B377" s="812" t="s">
        <v>84</v>
      </c>
      <c r="C377" s="819">
        <f>SUM(C378:C380)</f>
        <v>4300000</v>
      </c>
      <c r="D377" s="45"/>
      <c r="E377" s="45"/>
      <c r="F377" s="45"/>
      <c r="G377" s="45"/>
      <c r="H377" s="45"/>
      <c r="I377" s="45"/>
      <c r="J377" s="45"/>
      <c r="K377" s="45"/>
      <c r="L377" s="45"/>
      <c r="M377" s="35"/>
      <c r="N377" s="35"/>
      <c r="O377" s="35"/>
      <c r="P377" s="35"/>
      <c r="Q377" s="35"/>
      <c r="R377" s="35"/>
      <c r="S377" s="35"/>
      <c r="T377" s="35"/>
      <c r="U377" s="35"/>
      <c r="V377" s="35"/>
      <c r="W377" s="35"/>
      <c r="X377" s="35"/>
    </row>
    <row r="378" spans="1:24" ht="12.75" customHeight="1">
      <c r="A378" s="798">
        <v>21120601</v>
      </c>
      <c r="B378" s="769" t="s">
        <v>116</v>
      </c>
      <c r="C378" s="818">
        <v>1500000</v>
      </c>
      <c r="D378" s="45"/>
      <c r="E378" s="45"/>
      <c r="F378" s="45"/>
      <c r="G378" s="45"/>
      <c r="H378" s="45"/>
      <c r="I378" s="45"/>
      <c r="J378" s="45"/>
      <c r="K378" s="45"/>
      <c r="L378" s="45"/>
      <c r="M378" s="35"/>
      <c r="N378" s="35"/>
      <c r="O378" s="35"/>
      <c r="P378" s="35"/>
      <c r="Q378" s="35"/>
      <c r="R378" s="35"/>
      <c r="S378" s="35"/>
      <c r="T378" s="35"/>
      <c r="U378" s="35"/>
      <c r="V378" s="35"/>
      <c r="W378" s="35"/>
      <c r="X378" s="35"/>
    </row>
    <row r="379" spans="1:24" ht="12.75" customHeight="1">
      <c r="A379" s="798">
        <v>21120602</v>
      </c>
      <c r="B379" s="769" t="s">
        <v>85</v>
      </c>
      <c r="C379" s="818">
        <v>2000000</v>
      </c>
      <c r="D379" s="45"/>
      <c r="E379" s="45"/>
      <c r="F379" s="45"/>
      <c r="G379" s="45"/>
      <c r="H379" s="45"/>
      <c r="I379" s="45"/>
      <c r="J379" s="45"/>
      <c r="K379" s="45"/>
      <c r="L379" s="45"/>
      <c r="M379" s="35"/>
      <c r="N379" s="35"/>
      <c r="O379" s="35"/>
      <c r="P379" s="35"/>
      <c r="Q379" s="35"/>
      <c r="R379" s="35"/>
      <c r="S379" s="35"/>
      <c r="T379" s="35"/>
      <c r="U379" s="35"/>
      <c r="V379" s="35"/>
      <c r="W379" s="35"/>
      <c r="X379" s="35"/>
    </row>
    <row r="380" spans="1:24" ht="12.75" customHeight="1">
      <c r="A380" s="798">
        <v>21120604</v>
      </c>
      <c r="B380" s="769" t="s">
        <v>117</v>
      </c>
      <c r="C380" s="818">
        <v>800000</v>
      </c>
      <c r="D380" s="45"/>
      <c r="E380" s="45"/>
      <c r="F380" s="45"/>
      <c r="G380" s="45"/>
      <c r="H380" s="45"/>
      <c r="I380" s="45"/>
      <c r="J380" s="45"/>
      <c r="K380" s="45"/>
      <c r="L380" s="45"/>
      <c r="M380" s="35"/>
      <c r="N380" s="35"/>
      <c r="O380" s="35"/>
      <c r="P380" s="35"/>
      <c r="Q380" s="35"/>
      <c r="R380" s="35"/>
      <c r="S380" s="35"/>
      <c r="T380" s="35"/>
      <c r="U380" s="35"/>
      <c r="V380" s="35"/>
      <c r="W380" s="35"/>
      <c r="X380" s="35"/>
    </row>
    <row r="381" spans="1:24" ht="12.75" customHeight="1">
      <c r="A381" s="821">
        <v>211207</v>
      </c>
      <c r="B381" s="782" t="s">
        <v>13</v>
      </c>
      <c r="C381" s="782">
        <f>SUM(C382:C383)</f>
        <v>2200000</v>
      </c>
      <c r="D381" s="45"/>
      <c r="E381" s="45"/>
      <c r="F381" s="45"/>
      <c r="G381" s="45"/>
      <c r="H381" s="45"/>
      <c r="I381" s="45"/>
      <c r="J381" s="45"/>
      <c r="K381" s="45"/>
      <c r="L381" s="45"/>
      <c r="M381" s="35"/>
      <c r="N381" s="35"/>
      <c r="O381" s="35"/>
      <c r="P381" s="35"/>
      <c r="Q381" s="35"/>
      <c r="R381" s="35"/>
      <c r="S381" s="35"/>
      <c r="T381" s="35"/>
      <c r="U381" s="35"/>
      <c r="V381" s="35"/>
      <c r="W381" s="35"/>
      <c r="X381" s="35"/>
    </row>
    <row r="382" spans="1:24" ht="12.75" customHeight="1">
      <c r="A382" s="798">
        <v>21120701</v>
      </c>
      <c r="B382" s="768" t="s">
        <v>73</v>
      </c>
      <c r="C382" s="768">
        <v>1500000</v>
      </c>
      <c r="D382" s="45"/>
      <c r="E382" s="45"/>
      <c r="F382" s="45"/>
      <c r="G382" s="45"/>
      <c r="H382" s="45"/>
      <c r="I382" s="45"/>
      <c r="J382" s="45"/>
      <c r="K382" s="45"/>
      <c r="L382" s="45"/>
      <c r="M382" s="35"/>
      <c r="N382" s="35"/>
      <c r="O382" s="35"/>
      <c r="P382" s="35"/>
      <c r="Q382" s="35"/>
      <c r="R382" s="35"/>
      <c r="S382" s="35"/>
      <c r="T382" s="35"/>
      <c r="U382" s="35"/>
      <c r="V382" s="35"/>
      <c r="W382" s="35"/>
      <c r="X382" s="35"/>
    </row>
    <row r="383" spans="1:24" ht="12.75" customHeight="1">
      <c r="A383" s="798">
        <v>21120704</v>
      </c>
      <c r="B383" s="768" t="s">
        <v>14</v>
      </c>
      <c r="C383" s="768">
        <v>700000</v>
      </c>
      <c r="D383" s="45"/>
      <c r="E383" s="45"/>
      <c r="F383" s="45"/>
      <c r="G383" s="45"/>
      <c r="H383" s="45"/>
      <c r="I383" s="45"/>
      <c r="J383" s="45"/>
      <c r="K383" s="45"/>
      <c r="L383" s="45"/>
      <c r="M383" s="35"/>
      <c r="N383" s="35"/>
      <c r="O383" s="35"/>
      <c r="P383" s="35"/>
      <c r="Q383" s="35"/>
      <c r="R383" s="35"/>
      <c r="S383" s="35"/>
      <c r="T383" s="35"/>
      <c r="U383" s="35"/>
      <c r="V383" s="35"/>
      <c r="W383" s="35"/>
      <c r="X383" s="35"/>
    </row>
    <row r="384" spans="1:24" ht="12.75" customHeight="1">
      <c r="A384" s="821">
        <v>211209</v>
      </c>
      <c r="B384" s="812" t="s">
        <v>54</v>
      </c>
      <c r="C384" s="819">
        <f>SUM(C385:C385)</f>
        <v>200000</v>
      </c>
      <c r="D384" s="45"/>
      <c r="E384" s="45"/>
      <c r="F384" s="45"/>
      <c r="G384" s="45"/>
      <c r="H384" s="45"/>
      <c r="I384" s="45"/>
      <c r="J384" s="45"/>
      <c r="K384" s="45"/>
      <c r="L384" s="45"/>
      <c r="M384" s="35"/>
      <c r="N384" s="35"/>
      <c r="O384" s="35"/>
      <c r="P384" s="35"/>
      <c r="Q384" s="35"/>
      <c r="R384" s="35"/>
      <c r="S384" s="35"/>
      <c r="T384" s="35"/>
      <c r="U384" s="35"/>
      <c r="V384" s="35"/>
      <c r="W384" s="35"/>
      <c r="X384" s="35"/>
    </row>
    <row r="385" spans="1:24" ht="12.75" customHeight="1">
      <c r="A385" s="798">
        <v>21120906</v>
      </c>
      <c r="B385" s="768" t="s">
        <v>54</v>
      </c>
      <c r="C385" s="818">
        <v>200000</v>
      </c>
      <c r="D385" s="45"/>
      <c r="E385" s="45"/>
      <c r="F385" s="45"/>
      <c r="G385" s="45"/>
      <c r="H385" s="45"/>
      <c r="I385" s="45"/>
      <c r="J385" s="45"/>
      <c r="K385" s="45"/>
      <c r="L385" s="45"/>
      <c r="M385" s="35"/>
      <c r="N385" s="35"/>
      <c r="O385" s="35"/>
      <c r="P385" s="35"/>
      <c r="Q385" s="35"/>
      <c r="R385" s="35"/>
      <c r="S385" s="35"/>
      <c r="T385" s="35"/>
      <c r="U385" s="35"/>
      <c r="V385" s="35"/>
      <c r="W385" s="35"/>
      <c r="X385" s="35"/>
    </row>
    <row r="386" spans="1:24" ht="12.75" customHeight="1" thickBot="1">
      <c r="A386" s="759"/>
      <c r="B386" s="768"/>
      <c r="C386" s="768"/>
      <c r="D386" s="45"/>
      <c r="E386" s="45"/>
      <c r="F386" s="45"/>
      <c r="G386" s="45"/>
      <c r="H386" s="45"/>
      <c r="I386" s="45"/>
      <c r="J386" s="45"/>
      <c r="K386" s="45"/>
      <c r="L386" s="45"/>
      <c r="M386" s="35"/>
      <c r="N386" s="35"/>
      <c r="O386" s="35"/>
      <c r="P386" s="35"/>
      <c r="Q386" s="35"/>
      <c r="R386" s="35"/>
      <c r="S386" s="35"/>
      <c r="T386" s="35"/>
      <c r="U386" s="35"/>
      <c r="V386" s="35"/>
      <c r="W386" s="35"/>
      <c r="X386" s="35"/>
    </row>
    <row r="387" spans="1:24" ht="12.75" customHeight="1" thickBot="1">
      <c r="A387" s="1327" t="s">
        <v>4</v>
      </c>
      <c r="B387" s="1320"/>
      <c r="C387" s="820">
        <f>C392+C395+C398+C400+C388+C390</f>
        <v>16810000</v>
      </c>
      <c r="D387" s="45"/>
      <c r="E387" s="45"/>
      <c r="F387" s="45"/>
      <c r="G387" s="45"/>
      <c r="H387" s="45"/>
      <c r="I387" s="45"/>
      <c r="J387" s="45"/>
      <c r="K387" s="45"/>
      <c r="L387" s="45"/>
      <c r="M387" s="35"/>
      <c r="N387" s="35"/>
      <c r="O387" s="35"/>
      <c r="P387" s="35"/>
      <c r="Q387" s="35"/>
      <c r="R387" s="35"/>
      <c r="S387" s="35"/>
      <c r="T387" s="35"/>
      <c r="U387" s="35"/>
      <c r="V387" s="35"/>
      <c r="W387" s="35"/>
      <c r="X387" s="35"/>
    </row>
    <row r="388" spans="1:24" ht="12.75" customHeight="1">
      <c r="A388" s="821">
        <v>211301</v>
      </c>
      <c r="B388" s="821" t="s">
        <v>56</v>
      </c>
      <c r="C388" s="805">
        <f>SUM(C389)</f>
        <v>200000</v>
      </c>
      <c r="D388" s="45"/>
      <c r="E388" s="45"/>
      <c r="F388" s="45"/>
      <c r="G388" s="45"/>
      <c r="H388" s="45"/>
      <c r="I388" s="45"/>
      <c r="J388" s="45"/>
      <c r="K388" s="45"/>
      <c r="L388" s="45"/>
      <c r="M388" s="35"/>
      <c r="N388" s="35"/>
      <c r="O388" s="35"/>
      <c r="P388" s="35"/>
      <c r="Q388" s="35"/>
      <c r="R388" s="35"/>
      <c r="S388" s="35"/>
      <c r="T388" s="35"/>
      <c r="U388" s="35"/>
      <c r="V388" s="35"/>
      <c r="W388" s="35"/>
      <c r="X388" s="35"/>
    </row>
    <row r="389" spans="1:24" ht="12.75" customHeight="1">
      <c r="A389" s="798">
        <v>21130201</v>
      </c>
      <c r="B389" s="798" t="s">
        <v>103</v>
      </c>
      <c r="C389" s="773">
        <v>200000</v>
      </c>
      <c r="D389" s="45"/>
      <c r="E389" s="45"/>
      <c r="F389" s="45"/>
      <c r="G389" s="45"/>
      <c r="H389" s="45"/>
      <c r="I389" s="45"/>
      <c r="J389" s="45"/>
      <c r="K389" s="45"/>
      <c r="L389" s="45"/>
      <c r="M389" s="35"/>
      <c r="N389" s="35"/>
      <c r="O389" s="35"/>
      <c r="P389" s="35"/>
      <c r="Q389" s="35"/>
      <c r="R389" s="35"/>
      <c r="S389" s="35"/>
      <c r="T389" s="35"/>
      <c r="U389" s="35"/>
      <c r="V389" s="35"/>
      <c r="W389" s="35"/>
      <c r="X389" s="35"/>
    </row>
    <row r="390" spans="1:24" ht="12.75" customHeight="1">
      <c r="A390" s="821">
        <v>211302</v>
      </c>
      <c r="B390" s="821" t="s">
        <v>26</v>
      </c>
      <c r="C390" s="782">
        <f>SUM(C391)</f>
        <v>500000</v>
      </c>
      <c r="D390" s="45"/>
      <c r="E390" s="45"/>
      <c r="F390" s="45"/>
      <c r="G390" s="45"/>
      <c r="H390" s="45"/>
      <c r="I390" s="45"/>
      <c r="J390" s="45"/>
      <c r="K390" s="45"/>
      <c r="L390" s="45"/>
      <c r="M390" s="35"/>
      <c r="N390" s="35"/>
      <c r="O390" s="35"/>
      <c r="P390" s="35"/>
      <c r="Q390" s="35"/>
      <c r="R390" s="35"/>
      <c r="S390" s="35"/>
      <c r="T390" s="35"/>
      <c r="U390" s="35"/>
      <c r="V390" s="35"/>
      <c r="W390" s="35"/>
      <c r="X390" s="35"/>
    </row>
    <row r="391" spans="1:24" ht="12.75" customHeight="1">
      <c r="A391" s="798">
        <v>21130204</v>
      </c>
      <c r="B391" s="768" t="s">
        <v>28</v>
      </c>
      <c r="C391" s="768">
        <v>500000</v>
      </c>
      <c r="D391" s="45"/>
      <c r="E391" s="45"/>
      <c r="F391" s="45"/>
      <c r="G391" s="45"/>
      <c r="H391" s="45"/>
      <c r="I391" s="45"/>
      <c r="J391" s="45"/>
      <c r="K391" s="45"/>
      <c r="L391" s="45"/>
      <c r="M391" s="35"/>
      <c r="N391" s="35"/>
      <c r="O391" s="35"/>
      <c r="P391" s="35"/>
      <c r="Q391" s="35"/>
      <c r="R391" s="35"/>
      <c r="S391" s="35"/>
      <c r="T391" s="35"/>
      <c r="U391" s="35"/>
      <c r="V391" s="35"/>
      <c r="W391" s="35"/>
      <c r="X391" s="35"/>
    </row>
    <row r="392" spans="1:24" ht="12.75" customHeight="1">
      <c r="A392" s="815">
        <v>211303</v>
      </c>
      <c r="B392" s="812" t="s">
        <v>115</v>
      </c>
      <c r="C392" s="816">
        <f>SUM(C393:C394)</f>
        <v>960000</v>
      </c>
      <c r="D392" s="45"/>
      <c r="E392" s="45"/>
      <c r="F392" s="45"/>
      <c r="G392" s="45"/>
      <c r="H392" s="45"/>
      <c r="I392" s="91"/>
      <c r="J392" s="91"/>
      <c r="K392" s="91"/>
      <c r="L392" s="91"/>
      <c r="M392" s="92"/>
      <c r="N392" s="92"/>
      <c r="O392" s="92"/>
      <c r="P392" s="92"/>
      <c r="Q392" s="92"/>
      <c r="R392" s="92"/>
      <c r="S392" s="92"/>
      <c r="T392" s="92"/>
      <c r="U392" s="92"/>
      <c r="V392" s="92"/>
      <c r="W392" s="92"/>
      <c r="X392" s="92"/>
    </row>
    <row r="393" spans="1:24" ht="12.75" customHeight="1">
      <c r="A393" s="798">
        <v>21130304</v>
      </c>
      <c r="B393" s="759" t="s">
        <v>74</v>
      </c>
      <c r="C393" s="768">
        <v>800000</v>
      </c>
      <c r="D393" s="91"/>
      <c r="E393" s="91"/>
      <c r="F393" s="91"/>
      <c r="G393" s="91"/>
      <c r="H393" s="91"/>
      <c r="I393" s="91"/>
      <c r="J393" s="91"/>
      <c r="K393" s="91"/>
      <c r="L393" s="91"/>
      <c r="M393" s="92"/>
      <c r="N393" s="92"/>
      <c r="O393" s="92"/>
      <c r="P393" s="92"/>
      <c r="Q393" s="92"/>
      <c r="R393" s="92"/>
      <c r="S393" s="92"/>
      <c r="T393" s="92"/>
      <c r="U393" s="92"/>
      <c r="V393" s="92"/>
      <c r="W393" s="92"/>
      <c r="X393" s="92"/>
    </row>
    <row r="394" spans="1:24" ht="12.75" customHeight="1">
      <c r="A394" s="1051">
        <v>21130307</v>
      </c>
      <c r="B394" s="769" t="s">
        <v>34</v>
      </c>
      <c r="C394" s="818">
        <v>160000</v>
      </c>
      <c r="D394" s="91"/>
      <c r="E394" s="91"/>
      <c r="F394" s="91"/>
      <c r="G394" s="91"/>
      <c r="H394" s="91"/>
      <c r="I394" s="45"/>
      <c r="J394" s="45"/>
      <c r="K394" s="45"/>
      <c r="L394" s="45"/>
      <c r="M394" s="35"/>
      <c r="N394" s="35"/>
      <c r="O394" s="35"/>
      <c r="P394" s="35"/>
      <c r="Q394" s="35"/>
      <c r="R394" s="35"/>
      <c r="S394" s="35"/>
      <c r="T394" s="35"/>
      <c r="U394" s="35"/>
      <c r="V394" s="35"/>
      <c r="W394" s="35"/>
      <c r="X394" s="35"/>
    </row>
    <row r="395" spans="1:24" ht="12.75" customHeight="1">
      <c r="A395" s="821">
        <v>211305</v>
      </c>
      <c r="B395" s="812" t="s">
        <v>36</v>
      </c>
      <c r="C395" s="819">
        <f>SUM(C396:C397)</f>
        <v>7800000</v>
      </c>
      <c r="D395" s="45"/>
      <c r="E395" s="45"/>
      <c r="F395" s="45"/>
      <c r="G395" s="45"/>
      <c r="H395" s="45"/>
      <c r="I395" s="45"/>
      <c r="J395" s="45"/>
      <c r="K395" s="45"/>
      <c r="L395" s="45"/>
      <c r="M395" s="35"/>
      <c r="N395" s="35"/>
      <c r="O395" s="35"/>
      <c r="P395" s="35"/>
      <c r="Q395" s="35"/>
      <c r="R395" s="35"/>
      <c r="S395" s="35"/>
      <c r="T395" s="35"/>
      <c r="U395" s="35"/>
      <c r="V395" s="35"/>
      <c r="W395" s="35"/>
      <c r="X395" s="35"/>
    </row>
    <row r="396" spans="1:24" ht="12.75" customHeight="1">
      <c r="A396" s="798">
        <v>21130501</v>
      </c>
      <c r="B396" s="769" t="s">
        <v>37</v>
      </c>
      <c r="C396" s="818">
        <v>500000</v>
      </c>
      <c r="D396" s="45"/>
      <c r="E396" s="45"/>
      <c r="F396" s="45"/>
      <c r="G396" s="45"/>
      <c r="H396" s="45"/>
      <c r="I396" s="45"/>
      <c r="J396" s="45"/>
      <c r="K396" s="45"/>
      <c r="L396" s="45"/>
      <c r="M396" s="35"/>
      <c r="N396" s="35"/>
      <c r="O396" s="35"/>
      <c r="P396" s="35"/>
      <c r="Q396" s="35"/>
      <c r="R396" s="35"/>
      <c r="S396" s="35"/>
      <c r="T396" s="35"/>
      <c r="U396" s="35"/>
      <c r="V396" s="35"/>
      <c r="W396" s="35"/>
      <c r="X396" s="35"/>
    </row>
    <row r="397" spans="1:24" ht="12.75" customHeight="1">
      <c r="A397" s="1051">
        <v>21130502</v>
      </c>
      <c r="B397" s="769" t="s">
        <v>38</v>
      </c>
      <c r="C397" s="818">
        <v>7300000</v>
      </c>
      <c r="D397" s="45"/>
      <c r="E397" s="45"/>
      <c r="F397" s="45"/>
      <c r="G397" s="45"/>
      <c r="H397" s="45"/>
      <c r="I397" s="45"/>
      <c r="J397" s="45"/>
      <c r="K397" s="45"/>
      <c r="L397" s="45"/>
      <c r="M397" s="35"/>
      <c r="N397" s="35"/>
      <c r="O397" s="35"/>
      <c r="P397" s="35"/>
      <c r="Q397" s="35"/>
      <c r="R397" s="35"/>
      <c r="S397" s="35"/>
      <c r="T397" s="35"/>
      <c r="U397" s="35"/>
      <c r="V397" s="35"/>
      <c r="W397" s="35"/>
      <c r="X397" s="35"/>
    </row>
    <row r="398" spans="1:24" ht="12.75" customHeight="1">
      <c r="A398" s="821">
        <v>211306</v>
      </c>
      <c r="B398" s="782" t="s">
        <v>39</v>
      </c>
      <c r="C398" s="819">
        <f>SUM(C399:C399)</f>
        <v>350000</v>
      </c>
      <c r="D398" s="45"/>
      <c r="E398" s="45"/>
      <c r="F398" s="45"/>
      <c r="G398" s="45"/>
      <c r="H398" s="45"/>
      <c r="I398" s="45"/>
      <c r="J398" s="45"/>
      <c r="K398" s="45"/>
      <c r="L398" s="45"/>
      <c r="M398" s="35"/>
      <c r="N398" s="35"/>
      <c r="O398" s="35"/>
      <c r="P398" s="35"/>
      <c r="Q398" s="35"/>
      <c r="R398" s="35"/>
      <c r="S398" s="35"/>
      <c r="T398" s="35"/>
      <c r="U398" s="35"/>
      <c r="V398" s="35"/>
      <c r="W398" s="35"/>
      <c r="X398" s="35"/>
    </row>
    <row r="399" spans="1:24" ht="12.75" customHeight="1">
      <c r="A399" s="798">
        <v>21130604</v>
      </c>
      <c r="B399" s="769" t="s">
        <v>72</v>
      </c>
      <c r="C399" s="818">
        <v>350000</v>
      </c>
      <c r="D399" s="45"/>
      <c r="E399" s="45"/>
      <c r="F399" s="45"/>
      <c r="G399" s="45"/>
      <c r="H399" s="45"/>
      <c r="I399" s="35"/>
      <c r="J399" s="35"/>
      <c r="K399" s="35"/>
      <c r="L399" s="35"/>
      <c r="M399" s="35"/>
      <c r="N399" s="35"/>
      <c r="O399" s="35"/>
      <c r="P399" s="35"/>
      <c r="Q399" s="35"/>
      <c r="R399" s="35"/>
      <c r="S399" s="35"/>
      <c r="T399" s="35"/>
      <c r="U399" s="35"/>
      <c r="V399" s="35"/>
      <c r="W399" s="35"/>
      <c r="X399" s="35"/>
    </row>
    <row r="400" spans="1:24" ht="12.75" customHeight="1">
      <c r="A400" s="821">
        <v>211309</v>
      </c>
      <c r="B400" s="782" t="s">
        <v>41</v>
      </c>
      <c r="C400" s="819">
        <f>SUM(C401:C402)</f>
        <v>7000000</v>
      </c>
      <c r="D400" s="35"/>
      <c r="E400" s="35"/>
      <c r="F400" s="35"/>
      <c r="G400" s="35"/>
      <c r="H400" s="35"/>
      <c r="I400" s="24"/>
      <c r="J400" s="24"/>
      <c r="K400" s="24"/>
      <c r="L400" s="24"/>
      <c r="M400" s="35"/>
      <c r="N400" s="35"/>
      <c r="O400" s="35"/>
      <c r="P400" s="35"/>
      <c r="Q400" s="35"/>
      <c r="R400" s="35"/>
      <c r="S400" s="35"/>
      <c r="T400" s="35"/>
      <c r="U400" s="35"/>
      <c r="V400" s="35"/>
      <c r="W400" s="35"/>
      <c r="X400" s="35"/>
    </row>
    <row r="401" spans="1:24" ht="12.75" customHeight="1">
      <c r="A401" s="1051">
        <v>21130901</v>
      </c>
      <c r="B401" s="769" t="s">
        <v>41</v>
      </c>
      <c r="C401" s="818">
        <v>6500000</v>
      </c>
      <c r="D401" s="24"/>
      <c r="E401" s="24"/>
      <c r="F401" s="24"/>
      <c r="G401" s="24"/>
      <c r="H401" s="24"/>
      <c r="I401" s="24"/>
      <c r="J401" s="24"/>
      <c r="K401" s="24"/>
      <c r="L401" s="24"/>
      <c r="M401" s="35"/>
      <c r="N401" s="35"/>
      <c r="O401" s="35"/>
      <c r="P401" s="35"/>
      <c r="Q401" s="35"/>
      <c r="R401" s="35"/>
      <c r="S401" s="35"/>
      <c r="T401" s="35"/>
      <c r="U401" s="35"/>
      <c r="V401" s="35"/>
      <c r="W401" s="35"/>
      <c r="X401" s="35"/>
    </row>
    <row r="402" spans="1:24" ht="12.75" customHeight="1">
      <c r="A402" s="798">
        <v>21130908</v>
      </c>
      <c r="B402" s="768" t="s">
        <v>44</v>
      </c>
      <c r="C402" s="818">
        <v>500000</v>
      </c>
      <c r="D402" s="24"/>
      <c r="E402" s="24"/>
      <c r="F402" s="24"/>
      <c r="G402" s="24"/>
      <c r="H402" s="24"/>
      <c r="I402" s="24"/>
      <c r="J402" s="24"/>
      <c r="K402" s="24"/>
      <c r="L402" s="24"/>
      <c r="M402" s="35"/>
      <c r="N402" s="35"/>
      <c r="O402" s="35"/>
      <c r="P402" s="35"/>
      <c r="Q402" s="35"/>
      <c r="R402" s="35"/>
      <c r="S402" s="35"/>
      <c r="T402" s="35"/>
      <c r="U402" s="35"/>
      <c r="V402" s="35"/>
      <c r="W402" s="35"/>
      <c r="X402" s="35"/>
    </row>
    <row r="403" spans="1:24" ht="12.75" customHeight="1" thickBot="1">
      <c r="A403" s="759"/>
      <c r="B403" s="768"/>
      <c r="C403" s="822"/>
      <c r="D403" s="24"/>
      <c r="E403" s="24"/>
      <c r="F403" s="24"/>
      <c r="G403" s="24"/>
      <c r="H403" s="24"/>
      <c r="I403" s="24"/>
      <c r="J403" s="24"/>
      <c r="K403" s="24"/>
      <c r="L403" s="24"/>
      <c r="M403" s="35"/>
      <c r="N403" s="35"/>
      <c r="O403" s="35"/>
      <c r="P403" s="35"/>
      <c r="Q403" s="35"/>
      <c r="R403" s="35"/>
      <c r="S403" s="35"/>
      <c r="T403" s="35"/>
      <c r="U403" s="35"/>
      <c r="V403" s="35"/>
      <c r="W403" s="35"/>
      <c r="X403" s="35"/>
    </row>
    <row r="404" spans="1:24" ht="12.75" customHeight="1" thickBot="1">
      <c r="A404" s="1328" t="s">
        <v>45</v>
      </c>
      <c r="B404" s="1320"/>
      <c r="C404" s="823">
        <f>C405</f>
        <v>24000000</v>
      </c>
      <c r="D404" s="24"/>
      <c r="E404" s="24"/>
      <c r="F404" s="24"/>
      <c r="G404" s="24"/>
      <c r="H404" s="24"/>
      <c r="I404" s="24"/>
      <c r="J404" s="24"/>
      <c r="K404" s="24"/>
      <c r="L404" s="24"/>
      <c r="M404" s="35"/>
      <c r="N404" s="35"/>
      <c r="O404" s="35"/>
      <c r="P404" s="35"/>
      <c r="Q404" s="35"/>
      <c r="R404" s="35"/>
      <c r="S404" s="35"/>
      <c r="T404" s="35"/>
      <c r="U404" s="35"/>
      <c r="V404" s="35"/>
      <c r="W404" s="35"/>
      <c r="X404" s="35"/>
    </row>
    <row r="405" spans="1:24" ht="12.75" customHeight="1">
      <c r="A405" s="815">
        <v>211402</v>
      </c>
      <c r="B405" s="815" t="s">
        <v>46</v>
      </c>
      <c r="C405" s="824">
        <f>SUM(C406:C406)</f>
        <v>24000000</v>
      </c>
      <c r="D405" s="24"/>
      <c r="E405" s="24"/>
      <c r="F405" s="24"/>
      <c r="G405" s="24"/>
      <c r="H405" s="24"/>
      <c r="I405" s="45"/>
      <c r="J405" s="45"/>
      <c r="K405" s="45"/>
      <c r="L405" s="45"/>
      <c r="M405" s="35"/>
      <c r="N405" s="35"/>
      <c r="O405" s="35"/>
      <c r="P405" s="35"/>
      <c r="Q405" s="35"/>
      <c r="R405" s="35"/>
      <c r="S405" s="35"/>
      <c r="T405" s="35"/>
      <c r="U405" s="35"/>
      <c r="V405" s="35"/>
      <c r="W405" s="35"/>
      <c r="X405" s="35"/>
    </row>
    <row r="406" spans="1:24" ht="12.75" customHeight="1">
      <c r="A406" s="1051">
        <v>21140213</v>
      </c>
      <c r="B406" s="769" t="s">
        <v>47</v>
      </c>
      <c r="C406" s="822">
        <f>20000000+4000000</f>
        <v>24000000</v>
      </c>
      <c r="D406" s="45"/>
      <c r="E406" s="45"/>
      <c r="F406" s="45"/>
      <c r="G406" s="45"/>
      <c r="H406" s="45"/>
      <c r="I406" s="45"/>
      <c r="J406" s="45"/>
      <c r="K406" s="45"/>
      <c r="L406" s="45"/>
      <c r="M406" s="35"/>
      <c r="N406" s="35"/>
      <c r="O406" s="35"/>
      <c r="P406" s="35"/>
      <c r="Q406" s="35"/>
      <c r="R406" s="35"/>
      <c r="S406" s="35"/>
      <c r="T406" s="35"/>
      <c r="U406" s="35"/>
      <c r="V406" s="35"/>
      <c r="W406" s="35"/>
      <c r="X406" s="35"/>
    </row>
    <row r="407" spans="1:24" ht="12.75" customHeight="1" thickBot="1">
      <c r="A407" s="769"/>
      <c r="B407" s="769"/>
      <c r="C407" s="822"/>
      <c r="D407" s="45"/>
      <c r="E407" s="45"/>
      <c r="F407" s="45"/>
      <c r="G407" s="45"/>
      <c r="H407" s="45"/>
      <c r="I407" s="45"/>
      <c r="J407" s="45"/>
      <c r="K407" s="45"/>
      <c r="L407" s="45"/>
      <c r="M407" s="35"/>
      <c r="N407" s="35"/>
      <c r="O407" s="35"/>
      <c r="P407" s="35"/>
      <c r="Q407" s="35"/>
      <c r="R407" s="35"/>
      <c r="S407" s="35"/>
      <c r="T407" s="35"/>
      <c r="U407" s="35"/>
      <c r="V407" s="35"/>
      <c r="W407" s="35"/>
      <c r="X407" s="35"/>
    </row>
    <row r="408" spans="1:24" ht="12.75" customHeight="1" thickBot="1">
      <c r="A408" s="1319" t="s">
        <v>48</v>
      </c>
      <c r="B408" s="1320"/>
      <c r="C408" s="825">
        <f>C409+C412</f>
        <v>1100000</v>
      </c>
      <c r="D408" s="45"/>
      <c r="E408" s="45"/>
      <c r="F408" s="45"/>
      <c r="G408" s="45"/>
      <c r="H408" s="45"/>
      <c r="I408" s="45"/>
      <c r="J408" s="45"/>
      <c r="K408" s="45"/>
      <c r="L408" s="45"/>
      <c r="M408" s="93"/>
      <c r="N408" s="93"/>
      <c r="O408" s="93"/>
      <c r="P408" s="93"/>
      <c r="Q408" s="93"/>
      <c r="R408" s="93"/>
      <c r="S408" s="93"/>
      <c r="T408" s="93"/>
      <c r="U408" s="93"/>
      <c r="V408" s="93"/>
      <c r="W408" s="93"/>
      <c r="X408" s="93"/>
    </row>
    <row r="409" spans="1:24" ht="12.75" customHeight="1">
      <c r="A409" s="821">
        <v>221102</v>
      </c>
      <c r="B409" s="815" t="s">
        <v>75</v>
      </c>
      <c r="C409" s="824">
        <f>SUM(C410:C411)</f>
        <v>900000</v>
      </c>
      <c r="D409" s="45"/>
      <c r="E409" s="45"/>
      <c r="F409" s="45"/>
      <c r="G409" s="45"/>
      <c r="H409" s="45"/>
      <c r="I409" s="45"/>
      <c r="J409" s="45"/>
      <c r="K409" s="45"/>
      <c r="L409" s="45"/>
      <c r="M409" s="93"/>
      <c r="N409" s="93"/>
      <c r="O409" s="93"/>
      <c r="P409" s="93"/>
      <c r="Q409" s="93"/>
      <c r="R409" s="93"/>
      <c r="S409" s="93"/>
      <c r="T409" s="93"/>
      <c r="U409" s="93"/>
      <c r="V409" s="93"/>
      <c r="W409" s="93"/>
      <c r="X409" s="93"/>
    </row>
    <row r="410" spans="1:24" ht="12.75" customHeight="1">
      <c r="A410" s="798">
        <v>22110201</v>
      </c>
      <c r="B410" s="768" t="s">
        <v>86</v>
      </c>
      <c r="C410" s="768">
        <v>550000</v>
      </c>
      <c r="D410" s="45"/>
      <c r="E410" s="45"/>
      <c r="F410" s="45"/>
      <c r="G410" s="45"/>
      <c r="H410" s="45"/>
      <c r="I410" s="45"/>
      <c r="J410" s="45"/>
      <c r="K410" s="45"/>
      <c r="L410" s="45"/>
      <c r="M410" s="93"/>
      <c r="N410" s="93"/>
      <c r="O410" s="93"/>
      <c r="P410" s="93"/>
      <c r="Q410" s="93"/>
      <c r="R410" s="93"/>
      <c r="S410" s="93"/>
      <c r="T410" s="93"/>
      <c r="U410" s="93"/>
      <c r="V410" s="93"/>
      <c r="W410" s="93"/>
      <c r="X410" s="93"/>
    </row>
    <row r="411" spans="1:24" ht="12.75" customHeight="1">
      <c r="A411" s="798">
        <v>22110202</v>
      </c>
      <c r="B411" s="759" t="s">
        <v>76</v>
      </c>
      <c r="C411" s="768">
        <v>350000</v>
      </c>
      <c r="D411" s="45"/>
      <c r="E411" s="45"/>
      <c r="F411" s="45"/>
      <c r="G411" s="45"/>
      <c r="H411" s="45"/>
      <c r="I411" s="45"/>
      <c r="J411" s="45"/>
      <c r="K411" s="45"/>
      <c r="L411" s="45"/>
      <c r="M411" s="93"/>
      <c r="N411" s="93"/>
      <c r="O411" s="93"/>
      <c r="P411" s="93"/>
      <c r="Q411" s="93"/>
      <c r="R411" s="93"/>
      <c r="S411" s="93"/>
      <c r="T411" s="93"/>
      <c r="U411" s="93"/>
      <c r="V411" s="93"/>
      <c r="W411" s="93"/>
      <c r="X411" s="93"/>
    </row>
    <row r="412" spans="1:24" ht="12.75" customHeight="1">
      <c r="A412" s="821">
        <v>221107</v>
      </c>
      <c r="B412" s="782" t="s">
        <v>118</v>
      </c>
      <c r="C412" s="782">
        <f>SUM(C413)</f>
        <v>200000</v>
      </c>
      <c r="D412" s="45"/>
      <c r="E412" s="45"/>
      <c r="F412" s="45"/>
      <c r="G412" s="45"/>
      <c r="H412" s="45"/>
      <c r="I412" s="91"/>
      <c r="J412" s="91"/>
      <c r="K412" s="91"/>
      <c r="L412" s="91"/>
      <c r="M412" s="92"/>
      <c r="N412" s="92"/>
      <c r="O412" s="92"/>
      <c r="P412" s="92"/>
      <c r="Q412" s="92"/>
      <c r="R412" s="92"/>
      <c r="S412" s="92"/>
      <c r="T412" s="92"/>
      <c r="U412" s="92"/>
      <c r="V412" s="92"/>
      <c r="W412" s="92"/>
      <c r="X412" s="92"/>
    </row>
    <row r="413" spans="1:24" ht="12.75" customHeight="1">
      <c r="A413" s="798">
        <v>22110702</v>
      </c>
      <c r="B413" s="768" t="s">
        <v>50</v>
      </c>
      <c r="C413" s="768">
        <v>200000</v>
      </c>
      <c r="D413" s="91"/>
      <c r="E413" s="91"/>
      <c r="F413" s="91"/>
      <c r="G413" s="91"/>
      <c r="H413" s="91"/>
      <c r="I413" s="45"/>
      <c r="J413" s="45"/>
      <c r="K413" s="45"/>
      <c r="L413" s="45"/>
      <c r="M413" s="35"/>
      <c r="N413" s="35"/>
      <c r="O413" s="35"/>
      <c r="P413" s="35"/>
      <c r="Q413" s="35"/>
      <c r="R413" s="35"/>
      <c r="S413" s="35"/>
      <c r="T413" s="35"/>
      <c r="U413" s="35"/>
      <c r="V413" s="35"/>
      <c r="W413" s="35"/>
      <c r="X413" s="35"/>
    </row>
    <row r="414" spans="1:24" ht="12.75" customHeight="1">
      <c r="D414" s="45"/>
      <c r="E414" s="45"/>
      <c r="F414" s="45"/>
      <c r="G414" s="45"/>
      <c r="H414" s="45"/>
      <c r="I414" s="45"/>
      <c r="J414" s="45"/>
      <c r="K414" s="45"/>
      <c r="L414" s="45"/>
      <c r="M414" s="35"/>
      <c r="N414" s="35"/>
      <c r="O414" s="35"/>
      <c r="P414" s="35"/>
      <c r="Q414" s="35"/>
      <c r="R414" s="35"/>
      <c r="S414" s="35"/>
      <c r="T414" s="35"/>
      <c r="U414" s="35"/>
      <c r="V414" s="35"/>
      <c r="W414" s="35"/>
      <c r="X414" s="35"/>
    </row>
    <row r="415" spans="1:24" ht="12.75" customHeight="1">
      <c r="D415" s="45"/>
      <c r="E415" s="45"/>
      <c r="F415" s="45"/>
      <c r="G415" s="45"/>
      <c r="H415" s="45"/>
      <c r="I415" s="45"/>
      <c r="J415" s="45"/>
      <c r="K415" s="45"/>
      <c r="L415" s="45"/>
      <c r="M415" s="35"/>
      <c r="N415" s="35"/>
      <c r="O415" s="35"/>
      <c r="P415" s="35"/>
      <c r="Q415" s="35"/>
      <c r="R415" s="35"/>
      <c r="S415" s="35"/>
      <c r="T415" s="35"/>
      <c r="U415" s="35"/>
      <c r="V415" s="35"/>
      <c r="W415" s="35"/>
      <c r="X415" s="35"/>
    </row>
    <row r="416" spans="1:24" ht="12.75" customHeight="1">
      <c r="D416" s="45"/>
      <c r="E416" s="45"/>
      <c r="F416" s="45"/>
      <c r="G416" s="45"/>
      <c r="H416" s="45"/>
      <c r="I416" s="45"/>
      <c r="J416" s="45"/>
      <c r="K416" s="45"/>
      <c r="L416" s="45"/>
      <c r="M416" s="35"/>
      <c r="N416" s="35"/>
      <c r="O416" s="35"/>
      <c r="P416" s="35"/>
      <c r="Q416" s="35"/>
      <c r="R416" s="35"/>
      <c r="S416" s="35"/>
      <c r="T416" s="35"/>
      <c r="U416" s="35"/>
      <c r="V416" s="35"/>
      <c r="W416" s="35"/>
      <c r="X416" s="35"/>
    </row>
    <row r="417" spans="4:24" ht="12.75" customHeight="1">
      <c r="D417" s="45"/>
      <c r="E417" s="45"/>
      <c r="F417" s="45"/>
      <c r="G417" s="45"/>
      <c r="H417" s="45"/>
      <c r="I417" s="45"/>
      <c r="J417" s="45"/>
      <c r="K417" s="45"/>
      <c r="L417" s="45"/>
      <c r="M417" s="35"/>
      <c r="N417" s="35"/>
      <c r="O417" s="35"/>
      <c r="P417" s="35"/>
      <c r="Q417" s="35"/>
      <c r="R417" s="35"/>
      <c r="S417" s="35"/>
      <c r="T417" s="35"/>
      <c r="U417" s="35"/>
      <c r="V417" s="35"/>
      <c r="W417" s="35"/>
      <c r="X417" s="35"/>
    </row>
    <row r="418" spans="4:24" ht="15" customHeight="1">
      <c r="D418" s="45"/>
      <c r="E418" s="45"/>
      <c r="F418" s="45"/>
      <c r="G418" s="45"/>
      <c r="H418" s="45"/>
    </row>
    <row r="494" spans="1:3" ht="15" customHeight="1">
      <c r="A494" s="131"/>
      <c r="B494" s="131"/>
      <c r="C494" s="132"/>
    </row>
    <row r="495" spans="1:3" ht="15" customHeight="1">
      <c r="A495" s="131"/>
      <c r="B495" s="131"/>
      <c r="C495" s="132"/>
    </row>
    <row r="496" spans="1:3" ht="15" customHeight="1">
      <c r="A496" s="131"/>
      <c r="B496" s="131"/>
      <c r="C496" s="132"/>
    </row>
    <row r="497" spans="1:3" ht="15" customHeight="1">
      <c r="A497" s="131"/>
      <c r="B497" s="131"/>
      <c r="C497" s="132"/>
    </row>
    <row r="498" spans="1:3" ht="15" customHeight="1">
      <c r="A498" s="131"/>
      <c r="B498" s="131"/>
      <c r="C498" s="132"/>
    </row>
    <row r="499" spans="1:3" ht="15" customHeight="1">
      <c r="A499" s="131"/>
      <c r="B499" s="131"/>
      <c r="C499" s="132"/>
    </row>
    <row r="500" spans="1:3" ht="15" customHeight="1">
      <c r="A500" s="131"/>
      <c r="B500" s="131"/>
      <c r="C500" s="132"/>
    </row>
    <row r="501" spans="1:3" ht="15" customHeight="1">
      <c r="A501" s="131"/>
      <c r="B501" s="131"/>
      <c r="C501" s="132"/>
    </row>
    <row r="502" spans="1:3" ht="15" customHeight="1">
      <c r="A502" s="131"/>
      <c r="B502" s="131"/>
      <c r="C502" s="132"/>
    </row>
    <row r="503" spans="1:3" ht="15" customHeight="1">
      <c r="A503" s="131"/>
      <c r="B503" s="131"/>
      <c r="C503" s="132"/>
    </row>
    <row r="504" spans="1:3" ht="15" customHeight="1">
      <c r="A504" s="131"/>
      <c r="B504" s="131"/>
      <c r="C504" s="132"/>
    </row>
    <row r="505" spans="1:3" ht="15" customHeight="1">
      <c r="A505" s="131"/>
      <c r="B505" s="131"/>
      <c r="C505" s="132"/>
    </row>
    <row r="506" spans="1:3" ht="15" customHeight="1">
      <c r="A506" s="131"/>
      <c r="B506" s="131"/>
      <c r="C506" s="132"/>
    </row>
    <row r="507" spans="1:3" ht="15" customHeight="1">
      <c r="A507" s="131"/>
      <c r="B507" s="131"/>
      <c r="C507" s="132"/>
    </row>
    <row r="508" spans="1:3" ht="15" customHeight="1">
      <c r="A508" s="131"/>
      <c r="B508" s="131"/>
      <c r="C508" s="132"/>
    </row>
    <row r="509" spans="1:3" ht="15" customHeight="1">
      <c r="A509" s="131"/>
      <c r="B509" s="131"/>
      <c r="C509" s="132"/>
    </row>
    <row r="510" spans="1:3" ht="15" customHeight="1">
      <c r="A510" s="131"/>
      <c r="B510" s="131"/>
      <c r="C510" s="132"/>
    </row>
    <row r="511" spans="1:3" ht="15" customHeight="1">
      <c r="A511" s="131"/>
      <c r="B511" s="131"/>
      <c r="C511" s="132"/>
    </row>
    <row r="512" spans="1:3" ht="15" customHeight="1">
      <c r="A512" s="131"/>
      <c r="B512" s="131"/>
      <c r="C512" s="132"/>
    </row>
    <row r="513" spans="1:3" ht="15" customHeight="1">
      <c r="A513" s="131"/>
      <c r="B513" s="131"/>
      <c r="C513" s="132"/>
    </row>
    <row r="514" spans="1:3" ht="15" customHeight="1">
      <c r="A514" s="131"/>
      <c r="B514" s="131"/>
      <c r="C514" s="132"/>
    </row>
    <row r="515" spans="1:3" ht="15" customHeight="1">
      <c r="A515" s="131"/>
      <c r="B515" s="131"/>
      <c r="C515" s="132"/>
    </row>
    <row r="516" spans="1:3" ht="15" customHeight="1">
      <c r="A516" s="131"/>
      <c r="B516" s="131"/>
      <c r="C516" s="132"/>
    </row>
    <row r="517" spans="1:3" ht="15" customHeight="1">
      <c r="A517" s="131"/>
      <c r="B517" s="131"/>
      <c r="C517" s="132"/>
    </row>
    <row r="518" spans="1:3" ht="15" customHeight="1">
      <c r="A518" s="131"/>
      <c r="B518" s="131"/>
      <c r="C518" s="132"/>
    </row>
    <row r="519" spans="1:3" ht="15" customHeight="1">
      <c r="A519" s="131"/>
      <c r="B519" s="131"/>
      <c r="C519" s="132"/>
    </row>
    <row r="520" spans="1:3" ht="15" customHeight="1">
      <c r="A520" s="131"/>
      <c r="B520" s="131"/>
      <c r="C520" s="132"/>
    </row>
    <row r="521" spans="1:3" ht="15" customHeight="1">
      <c r="A521" s="131"/>
      <c r="B521" s="131"/>
      <c r="C521" s="132"/>
    </row>
    <row r="522" spans="1:3" ht="15" customHeight="1">
      <c r="A522" s="131"/>
      <c r="B522" s="131"/>
      <c r="C522" s="132"/>
    </row>
    <row r="523" spans="1:3" ht="15" customHeight="1">
      <c r="A523" s="131"/>
      <c r="B523" s="131"/>
      <c r="C523" s="132"/>
    </row>
    <row r="524" spans="1:3" ht="15" customHeight="1">
      <c r="A524" s="131"/>
      <c r="B524" s="131"/>
      <c r="C524" s="132"/>
    </row>
    <row r="525" spans="1:3" ht="15" customHeight="1">
      <c r="A525" s="131"/>
      <c r="B525" s="131"/>
      <c r="C525" s="132"/>
    </row>
    <row r="526" spans="1:3" ht="15" customHeight="1">
      <c r="A526" s="131"/>
      <c r="B526" s="131"/>
      <c r="C526" s="132"/>
    </row>
    <row r="527" spans="1:3" ht="15" customHeight="1">
      <c r="A527" s="131"/>
      <c r="B527" s="131"/>
      <c r="C527" s="132"/>
    </row>
    <row r="528" spans="1:3" ht="15" customHeight="1">
      <c r="A528" s="131"/>
      <c r="B528" s="131"/>
      <c r="C528" s="132"/>
    </row>
    <row r="529" spans="1:3" ht="15" customHeight="1">
      <c r="A529" s="131"/>
      <c r="B529" s="131"/>
      <c r="C529" s="132"/>
    </row>
    <row r="530" spans="1:3" ht="15" customHeight="1">
      <c r="A530" s="131"/>
      <c r="B530" s="131"/>
      <c r="C530" s="132"/>
    </row>
    <row r="531" spans="1:3" ht="15" customHeight="1">
      <c r="A531" s="131"/>
      <c r="B531" s="131"/>
      <c r="C531" s="132"/>
    </row>
    <row r="532" spans="1:3" ht="15" customHeight="1">
      <c r="A532" s="131"/>
      <c r="B532" s="131"/>
      <c r="C532" s="132"/>
    </row>
    <row r="533" spans="1:3" ht="15" customHeight="1">
      <c r="A533" s="131"/>
      <c r="B533" s="131"/>
      <c r="C533" s="132"/>
    </row>
    <row r="534" spans="1:3" ht="15" customHeight="1">
      <c r="A534" s="131"/>
      <c r="B534" s="131"/>
      <c r="C534" s="132"/>
    </row>
    <row r="535" spans="1:3" ht="15" customHeight="1">
      <c r="A535" s="131"/>
      <c r="B535" s="131"/>
      <c r="C535" s="132"/>
    </row>
    <row r="536" spans="1:3" ht="15" customHeight="1">
      <c r="A536" s="131"/>
      <c r="B536" s="131"/>
      <c r="C536" s="132"/>
    </row>
    <row r="537" spans="1:3" ht="15" customHeight="1">
      <c r="A537" s="131"/>
      <c r="B537" s="131"/>
      <c r="C537" s="132"/>
    </row>
    <row r="538" spans="1:3" ht="15" customHeight="1">
      <c r="A538" s="131"/>
      <c r="B538" s="131"/>
      <c r="C538" s="132"/>
    </row>
    <row r="539" spans="1:3" ht="15" customHeight="1">
      <c r="A539" s="131"/>
      <c r="B539" s="131"/>
      <c r="C539" s="132"/>
    </row>
    <row r="540" spans="1:3" ht="15" customHeight="1">
      <c r="A540" s="131"/>
      <c r="B540" s="131"/>
      <c r="C540" s="132"/>
    </row>
    <row r="541" spans="1:3" ht="15" customHeight="1">
      <c r="A541" s="131"/>
      <c r="B541" s="131"/>
      <c r="C541" s="132"/>
    </row>
    <row r="542" spans="1:3" ht="15" customHeight="1">
      <c r="A542" s="131"/>
      <c r="B542" s="131"/>
      <c r="C542" s="132"/>
    </row>
    <row r="543" spans="1:3" ht="15" customHeight="1">
      <c r="A543" s="131"/>
      <c r="B543" s="131"/>
      <c r="C543" s="132"/>
    </row>
    <row r="544" spans="1:3" ht="15" customHeight="1">
      <c r="A544" s="131"/>
      <c r="B544" s="131"/>
      <c r="C544" s="132"/>
    </row>
    <row r="545" spans="1:34" ht="15" customHeight="1">
      <c r="A545" s="131"/>
      <c r="B545" s="131"/>
      <c r="C545" s="132"/>
    </row>
    <row r="546" spans="1:34" ht="15" customHeight="1">
      <c r="A546" s="131"/>
      <c r="B546" s="131"/>
      <c r="C546" s="132"/>
    </row>
    <row r="547" spans="1:34" ht="15" customHeight="1">
      <c r="A547" s="131"/>
      <c r="B547" s="131"/>
      <c r="C547" s="132"/>
    </row>
    <row r="548" spans="1:34" ht="15" customHeight="1">
      <c r="A548" s="131"/>
      <c r="B548" s="131"/>
      <c r="C548" s="132"/>
    </row>
    <row r="549" spans="1:34" ht="15" customHeight="1">
      <c r="A549" s="131"/>
      <c r="B549" s="131"/>
      <c r="C549" s="132"/>
    </row>
    <row r="550" spans="1:34" ht="15" customHeight="1">
      <c r="A550" s="131"/>
      <c r="B550" s="131"/>
      <c r="C550" s="132"/>
    </row>
    <row r="551" spans="1:34" ht="15" customHeight="1">
      <c r="A551" s="131"/>
      <c r="B551" s="131"/>
      <c r="C551" s="132"/>
    </row>
    <row r="552" spans="1:34" ht="13.5" customHeight="1">
      <c r="A552" s="131"/>
      <c r="B552" s="131"/>
      <c r="C552" s="132"/>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row>
    <row r="553" spans="1:34" ht="13.5" customHeight="1">
      <c r="A553" s="131"/>
      <c r="B553" s="131"/>
      <c r="C553" s="132"/>
      <c r="D553" s="27"/>
      <c r="E553" s="27"/>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row>
    <row r="554" spans="1:34" ht="13.5" customHeight="1">
      <c r="A554" s="131"/>
      <c r="B554" s="131"/>
      <c r="C554" s="132"/>
      <c r="D554" s="27"/>
      <c r="E554" s="27"/>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row>
    <row r="555" spans="1:34" ht="13.5" customHeight="1">
      <c r="A555" s="131"/>
      <c r="B555" s="131"/>
      <c r="C555" s="132"/>
      <c r="D555" s="27"/>
      <c r="E555" s="27"/>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row>
    <row r="556" spans="1:34" ht="13.5" customHeight="1">
      <c r="A556" s="131"/>
      <c r="B556" s="131"/>
      <c r="C556" s="132"/>
      <c r="D556" s="27"/>
      <c r="E556" s="27"/>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row>
    <row r="557" spans="1:34" ht="13.5" customHeight="1">
      <c r="A557" s="131"/>
      <c r="B557" s="131"/>
      <c r="C557" s="132"/>
      <c r="D557" s="27"/>
      <c r="E557" s="27"/>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row>
    <row r="558" spans="1:34" ht="13.5" customHeight="1">
      <c r="A558" s="131"/>
      <c r="B558" s="131"/>
      <c r="C558" s="132"/>
      <c r="D558" s="27"/>
      <c r="E558" s="27"/>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row>
    <row r="559" spans="1:34" ht="13.5" customHeight="1">
      <c r="A559" s="131"/>
      <c r="B559" s="131"/>
      <c r="C559" s="132"/>
      <c r="D559" s="27"/>
      <c r="E559" s="27"/>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row>
    <row r="560" spans="1:34" ht="13.5" customHeight="1">
      <c r="A560" s="131"/>
      <c r="B560" s="131"/>
      <c r="C560" s="132"/>
      <c r="D560" s="27"/>
      <c r="E560" s="27"/>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row>
    <row r="561" spans="1:34" ht="13.5" customHeight="1">
      <c r="A561" s="131"/>
      <c r="B561" s="131"/>
      <c r="C561" s="132"/>
      <c r="D561" s="27"/>
      <c r="E561" s="27"/>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row>
    <row r="562" spans="1:34" ht="13.5" customHeight="1">
      <c r="A562" s="131"/>
      <c r="B562" s="131"/>
      <c r="C562" s="132"/>
      <c r="D562" s="27"/>
      <c r="E562" s="27"/>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c r="AG562" s="133"/>
      <c r="AH562" s="133"/>
    </row>
    <row r="563" spans="1:34" ht="13.5" customHeight="1">
      <c r="A563" s="131"/>
      <c r="B563" s="131"/>
      <c r="C563" s="132"/>
      <c r="D563" s="27"/>
      <c r="E563" s="27"/>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c r="AG563" s="133"/>
      <c r="AH563" s="133"/>
    </row>
    <row r="564" spans="1:34" ht="13.5" customHeight="1">
      <c r="A564" s="131"/>
      <c r="B564" s="131"/>
      <c r="C564" s="132"/>
      <c r="D564" s="27"/>
      <c r="E564" s="27"/>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c r="AG564" s="133"/>
      <c r="AH564" s="133"/>
    </row>
    <row r="565" spans="1:34" ht="13.5" customHeight="1">
      <c r="A565" s="131"/>
      <c r="B565" s="131"/>
      <c r="C565" s="132"/>
      <c r="D565" s="27"/>
      <c r="E565" s="27"/>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row>
    <row r="566" spans="1:34" ht="13.5" customHeight="1">
      <c r="A566" s="131"/>
      <c r="B566" s="131"/>
      <c r="C566" s="132"/>
      <c r="D566" s="27"/>
      <c r="E566" s="27"/>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row>
    <row r="567" spans="1:34" ht="13.5" customHeight="1">
      <c r="A567" s="131"/>
      <c r="B567" s="131"/>
      <c r="C567" s="132"/>
      <c r="D567" s="27"/>
      <c r="E567" s="27"/>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row>
    <row r="568" spans="1:34" ht="13.5" customHeight="1">
      <c r="A568" s="131"/>
      <c r="B568" s="131"/>
      <c r="C568" s="132"/>
      <c r="D568" s="27"/>
      <c r="E568" s="27"/>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row>
    <row r="569" spans="1:34" ht="13.5" customHeight="1">
      <c r="A569" s="131"/>
      <c r="B569" s="131"/>
      <c r="C569" s="132"/>
      <c r="D569" s="27"/>
      <c r="E569" s="27"/>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row>
    <row r="570" spans="1:34" ht="13.5" customHeight="1">
      <c r="A570" s="131"/>
      <c r="B570" s="131"/>
      <c r="C570" s="132"/>
      <c r="D570" s="27"/>
      <c r="E570" s="27"/>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row>
    <row r="571" spans="1:34" ht="13.5" customHeight="1">
      <c r="A571" s="131"/>
      <c r="B571" s="131"/>
      <c r="C571" s="132"/>
      <c r="D571" s="27"/>
      <c r="E571" s="27"/>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row>
    <row r="572" spans="1:34" ht="13.5" customHeight="1">
      <c r="A572" s="131"/>
      <c r="B572" s="131"/>
      <c r="C572" s="132"/>
      <c r="D572" s="27"/>
      <c r="E572" s="27"/>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row>
    <row r="573" spans="1:34" ht="13.5" customHeight="1">
      <c r="A573" s="131"/>
      <c r="B573" s="131"/>
      <c r="C573" s="132"/>
      <c r="D573" s="27"/>
      <c r="E573" s="27"/>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row>
    <row r="574" spans="1:34" ht="13.5" customHeight="1">
      <c r="A574" s="131"/>
      <c r="B574" s="131"/>
      <c r="C574" s="132"/>
      <c r="D574" s="27"/>
      <c r="E574" s="27"/>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row>
    <row r="575" spans="1:34" ht="13.5" customHeight="1">
      <c r="A575" s="131"/>
      <c r="B575" s="131"/>
      <c r="C575" s="132"/>
      <c r="D575" s="27"/>
      <c r="E575" s="27"/>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row>
    <row r="576" spans="1:34" ht="13.5" customHeight="1">
      <c r="A576" s="131"/>
      <c r="B576" s="131"/>
      <c r="C576" s="132"/>
      <c r="D576" s="27"/>
      <c r="E576" s="27"/>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row>
    <row r="577" spans="1:34" ht="13.5" customHeight="1">
      <c r="A577" s="131"/>
      <c r="B577" s="131"/>
      <c r="C577" s="132"/>
      <c r="D577" s="27"/>
      <c r="E577" s="27"/>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row>
    <row r="578" spans="1:34" ht="13.5" customHeight="1">
      <c r="A578" s="131"/>
      <c r="B578" s="131"/>
      <c r="C578" s="132"/>
      <c r="D578" s="27"/>
      <c r="E578" s="27"/>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row>
    <row r="579" spans="1:34" ht="13.5" customHeight="1">
      <c r="A579" s="131"/>
      <c r="B579" s="131"/>
      <c r="C579" s="132"/>
      <c r="D579" s="27"/>
      <c r="E579" s="27"/>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row>
    <row r="580" spans="1:34" ht="13.5" customHeight="1">
      <c r="A580" s="131"/>
      <c r="B580" s="131"/>
      <c r="C580" s="132"/>
      <c r="D580" s="27"/>
      <c r="E580" s="27"/>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row>
    <row r="581" spans="1:34" ht="13.5" customHeight="1">
      <c r="A581" s="131"/>
      <c r="B581" s="131"/>
      <c r="C581" s="132"/>
      <c r="D581" s="27"/>
      <c r="E581" s="27"/>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row>
    <row r="582" spans="1:34" ht="13.5" customHeight="1">
      <c r="A582" s="131"/>
      <c r="B582" s="131"/>
      <c r="C582" s="132"/>
      <c r="D582" s="27"/>
      <c r="E582" s="27"/>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row>
    <row r="583" spans="1:34" ht="13.5" customHeight="1">
      <c r="A583" s="131"/>
      <c r="B583" s="131"/>
      <c r="C583" s="132"/>
      <c r="D583" s="27"/>
      <c r="E583" s="27"/>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row>
    <row r="584" spans="1:34" ht="13.5" customHeight="1">
      <c r="A584" s="131"/>
      <c r="B584" s="131"/>
      <c r="C584" s="132"/>
      <c r="D584" s="27"/>
      <c r="E584" s="27"/>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row>
    <row r="585" spans="1:34" ht="13.5" customHeight="1">
      <c r="A585" s="131"/>
      <c r="B585" s="131"/>
      <c r="C585" s="132"/>
      <c r="D585" s="27"/>
      <c r="E585" s="27"/>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row>
    <row r="586" spans="1:34" ht="13.5" customHeight="1">
      <c r="A586" s="131"/>
      <c r="B586" s="131"/>
      <c r="C586" s="132"/>
      <c r="D586" s="27"/>
      <c r="E586" s="27"/>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row>
    <row r="587" spans="1:34" ht="13.5" customHeight="1">
      <c r="A587" s="131"/>
      <c r="B587" s="131"/>
      <c r="C587" s="132"/>
      <c r="D587" s="27"/>
      <c r="E587" s="27"/>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row>
    <row r="588" spans="1:34" ht="13.5" customHeight="1">
      <c r="A588" s="131"/>
      <c r="B588" s="131"/>
      <c r="C588" s="132"/>
      <c r="D588" s="27"/>
      <c r="E588" s="27"/>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row>
    <row r="589" spans="1:34" ht="13.5" customHeight="1">
      <c r="A589" s="131"/>
      <c r="B589" s="131"/>
      <c r="C589" s="132"/>
      <c r="D589" s="27"/>
      <c r="E589" s="27"/>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row>
    <row r="590" spans="1:34" ht="13.5" customHeight="1">
      <c r="A590" s="131"/>
      <c r="B590" s="131"/>
      <c r="C590" s="132"/>
      <c r="D590" s="27"/>
      <c r="E590" s="27"/>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row>
    <row r="591" spans="1:34" ht="13.5" customHeight="1">
      <c r="A591" s="131"/>
      <c r="B591" s="131"/>
      <c r="C591" s="132"/>
      <c r="D591" s="27"/>
      <c r="E591" s="27"/>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row>
    <row r="592" spans="1:34" ht="13.5" customHeight="1">
      <c r="A592" s="131"/>
      <c r="B592" s="131"/>
      <c r="C592" s="132"/>
      <c r="D592" s="27"/>
      <c r="E592" s="27"/>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row>
    <row r="593" spans="1:34" ht="13.5" customHeight="1">
      <c r="A593" s="131"/>
      <c r="B593" s="131"/>
      <c r="C593" s="132"/>
      <c r="D593" s="27"/>
      <c r="E593" s="27"/>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row>
    <row r="594" spans="1:34" ht="13.5" customHeight="1">
      <c r="A594" s="131"/>
      <c r="B594" s="131"/>
      <c r="C594" s="132"/>
      <c r="D594" s="27"/>
      <c r="E594" s="27"/>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row>
    <row r="595" spans="1:34" ht="13.5" customHeight="1">
      <c r="A595" s="131"/>
      <c r="B595" s="131"/>
      <c r="C595" s="132"/>
      <c r="D595" s="27"/>
      <c r="E595" s="27"/>
      <c r="F595" s="133"/>
      <c r="G595" s="133"/>
      <c r="H595" s="133"/>
      <c r="I595" s="133"/>
      <c r="J595" s="133"/>
      <c r="K595" s="133"/>
      <c r="L595" s="133"/>
      <c r="M595" s="133"/>
      <c r="N595" s="133"/>
      <c r="O595" s="133"/>
      <c r="P595" s="133"/>
      <c r="Q595" s="133"/>
      <c r="R595" s="133"/>
      <c r="S595" s="133"/>
      <c r="T595" s="133"/>
      <c r="U595" s="133"/>
      <c r="V595" s="133"/>
      <c r="W595" s="133"/>
      <c r="X595" s="133"/>
      <c r="Y595" s="133"/>
      <c r="Z595" s="133"/>
      <c r="AA595" s="133"/>
      <c r="AB595" s="133"/>
      <c r="AC595" s="133"/>
      <c r="AD595" s="133"/>
      <c r="AE595" s="133"/>
      <c r="AF595" s="133"/>
      <c r="AG595" s="133"/>
      <c r="AH595" s="133"/>
    </row>
    <row r="596" spans="1:34" ht="13.5" customHeight="1">
      <c r="A596" s="131"/>
      <c r="B596" s="131"/>
      <c r="C596" s="132"/>
      <c r="D596" s="27"/>
      <c r="E596" s="27"/>
      <c r="F596" s="133"/>
      <c r="G596" s="133"/>
      <c r="H596" s="133"/>
      <c r="I596" s="133"/>
      <c r="J596" s="133"/>
      <c r="K596" s="133"/>
      <c r="L596" s="133"/>
      <c r="M596" s="133"/>
      <c r="N596" s="133"/>
      <c r="O596" s="133"/>
      <c r="P596" s="133"/>
      <c r="Q596" s="133"/>
      <c r="R596" s="133"/>
      <c r="S596" s="133"/>
      <c r="T596" s="133"/>
      <c r="U596" s="133"/>
      <c r="V596" s="133"/>
      <c r="W596" s="133"/>
      <c r="X596" s="133"/>
      <c r="Y596" s="133"/>
      <c r="Z596" s="133"/>
      <c r="AA596" s="133"/>
      <c r="AB596" s="133"/>
      <c r="AC596" s="133"/>
      <c r="AD596" s="133"/>
      <c r="AE596" s="133"/>
      <c r="AF596" s="133"/>
      <c r="AG596" s="133"/>
      <c r="AH596" s="133"/>
    </row>
    <row r="597" spans="1:34" ht="13.5" customHeight="1">
      <c r="A597" s="131"/>
      <c r="B597" s="131"/>
      <c r="C597" s="132"/>
      <c r="D597" s="27"/>
      <c r="E597" s="27"/>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c r="AB597" s="133"/>
      <c r="AC597" s="133"/>
      <c r="AD597" s="133"/>
      <c r="AE597" s="133"/>
      <c r="AF597" s="133"/>
      <c r="AG597" s="133"/>
      <c r="AH597" s="133"/>
    </row>
    <row r="598" spans="1:34" ht="13.5" customHeight="1">
      <c r="A598" s="131"/>
      <c r="B598" s="131"/>
      <c r="C598" s="132"/>
      <c r="D598" s="27"/>
      <c r="E598" s="27"/>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row>
    <row r="599" spans="1:34" ht="13.5" customHeight="1">
      <c r="A599" s="131"/>
      <c r="B599" s="131"/>
      <c r="C599" s="132"/>
      <c r="D599" s="27"/>
      <c r="E599" s="27"/>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row>
    <row r="600" spans="1:34" ht="13.5" customHeight="1">
      <c r="A600" s="131"/>
      <c r="B600" s="131"/>
      <c r="C600" s="132"/>
      <c r="D600" s="27"/>
      <c r="E600" s="27"/>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row>
    <row r="601" spans="1:34" ht="13.5" customHeight="1">
      <c r="A601" s="131"/>
      <c r="B601" s="131"/>
      <c r="C601" s="132"/>
      <c r="D601" s="27"/>
      <c r="E601" s="27"/>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row>
    <row r="602" spans="1:34" ht="13.5" customHeight="1">
      <c r="A602" s="131"/>
      <c r="B602" s="131"/>
      <c r="C602" s="132"/>
      <c r="D602" s="27"/>
      <c r="E602" s="27"/>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row>
    <row r="603" spans="1:34" ht="13.5" customHeight="1">
      <c r="A603" s="131"/>
      <c r="B603" s="131"/>
      <c r="C603" s="132"/>
      <c r="D603" s="27"/>
      <c r="E603" s="27"/>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row>
    <row r="604" spans="1:34" ht="13.5" customHeight="1">
      <c r="A604" s="131"/>
      <c r="B604" s="131"/>
      <c r="C604" s="132"/>
      <c r="D604" s="27"/>
      <c r="E604" s="27"/>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row>
    <row r="605" spans="1:34" ht="13.5" customHeight="1">
      <c r="A605" s="131"/>
      <c r="B605" s="131"/>
      <c r="C605" s="132"/>
      <c r="D605" s="27"/>
      <c r="E605" s="27"/>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row>
    <row r="606" spans="1:34" ht="13.5" customHeight="1">
      <c r="A606" s="131"/>
      <c r="B606" s="131"/>
      <c r="C606" s="132"/>
      <c r="D606" s="27"/>
      <c r="E606" s="27"/>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row>
    <row r="607" spans="1:34" ht="13.5" customHeight="1">
      <c r="A607" s="131"/>
      <c r="B607" s="131"/>
      <c r="C607" s="132"/>
      <c r="D607" s="27"/>
      <c r="E607" s="27"/>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row>
    <row r="608" spans="1:34" ht="13.5" customHeight="1">
      <c r="A608" s="131"/>
      <c r="B608" s="131"/>
      <c r="C608" s="132"/>
      <c r="D608" s="27"/>
      <c r="E608" s="27"/>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row>
    <row r="609" spans="1:34" ht="13.5" customHeight="1">
      <c r="A609" s="131"/>
      <c r="B609" s="131"/>
      <c r="C609" s="132"/>
      <c r="D609" s="27"/>
      <c r="E609" s="27"/>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row>
    <row r="610" spans="1:34" ht="13.5" customHeight="1">
      <c r="A610" s="131"/>
      <c r="B610" s="131"/>
      <c r="C610" s="132"/>
      <c r="D610" s="27"/>
      <c r="E610" s="27"/>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row>
    <row r="611" spans="1:34" ht="13.5" customHeight="1">
      <c r="A611" s="131"/>
      <c r="B611" s="131"/>
      <c r="C611" s="132"/>
      <c r="D611" s="27"/>
      <c r="E611" s="27"/>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row>
    <row r="612" spans="1:34" ht="13.5" customHeight="1">
      <c r="A612" s="131"/>
      <c r="B612" s="131"/>
      <c r="C612" s="132"/>
      <c r="D612" s="27"/>
      <c r="E612" s="27"/>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row>
    <row r="613" spans="1:34" ht="13.5" customHeight="1">
      <c r="A613" s="131"/>
      <c r="B613" s="131"/>
      <c r="C613" s="132"/>
      <c r="D613" s="27"/>
      <c r="E613" s="27"/>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row>
    <row r="614" spans="1:34" ht="13.5" customHeight="1">
      <c r="A614" s="131"/>
      <c r="B614" s="131"/>
      <c r="C614" s="132"/>
      <c r="D614" s="27"/>
      <c r="E614" s="27"/>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row>
    <row r="615" spans="1:34" ht="13.5" customHeight="1">
      <c r="A615" s="131"/>
      <c r="B615" s="131"/>
      <c r="C615" s="132"/>
      <c r="D615" s="27"/>
      <c r="E615" s="27"/>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row>
    <row r="616" spans="1:34" ht="13.5" customHeight="1">
      <c r="A616" s="131"/>
      <c r="B616" s="131"/>
      <c r="C616" s="132"/>
      <c r="D616" s="27"/>
      <c r="E616" s="27"/>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row>
    <row r="617" spans="1:34" ht="13.5" customHeight="1">
      <c r="A617" s="131"/>
      <c r="B617" s="131"/>
      <c r="C617" s="132"/>
      <c r="D617" s="27"/>
      <c r="E617" s="27"/>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row>
    <row r="618" spans="1:34" ht="13.5" customHeight="1">
      <c r="A618" s="131"/>
      <c r="B618" s="131"/>
      <c r="C618" s="132"/>
      <c r="D618" s="27"/>
      <c r="E618" s="27"/>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row>
    <row r="619" spans="1:34" ht="13.5" customHeight="1">
      <c r="A619" s="131"/>
      <c r="B619" s="131"/>
      <c r="C619" s="132"/>
      <c r="D619" s="27"/>
      <c r="E619" s="27"/>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row>
    <row r="620" spans="1:34" ht="13.5" customHeight="1">
      <c r="A620" s="131"/>
      <c r="B620" s="131"/>
      <c r="C620" s="132"/>
      <c r="D620" s="27"/>
      <c r="E620" s="27"/>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row>
    <row r="621" spans="1:34" ht="13.5" customHeight="1">
      <c r="A621" s="131"/>
      <c r="B621" s="131"/>
      <c r="C621" s="132"/>
      <c r="D621" s="27"/>
      <c r="E621" s="27"/>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row>
    <row r="622" spans="1:34" ht="13.5" customHeight="1">
      <c r="A622" s="131"/>
      <c r="B622" s="131"/>
      <c r="C622" s="132"/>
      <c r="D622" s="27"/>
      <c r="E622" s="27"/>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row>
    <row r="623" spans="1:34" ht="13.5" customHeight="1">
      <c r="A623" s="131"/>
      <c r="B623" s="131"/>
      <c r="C623" s="132"/>
      <c r="D623" s="27"/>
      <c r="E623" s="27"/>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row>
    <row r="624" spans="1:34" ht="13.5" customHeight="1">
      <c r="A624" s="131"/>
      <c r="B624" s="131"/>
      <c r="C624" s="132"/>
      <c r="D624" s="27"/>
      <c r="E624" s="27"/>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row>
    <row r="625" spans="1:34" ht="13.5" customHeight="1">
      <c r="A625" s="131"/>
      <c r="B625" s="131"/>
      <c r="C625" s="132"/>
      <c r="D625" s="27"/>
      <c r="E625" s="27"/>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row>
    <row r="626" spans="1:34" ht="13.5" customHeight="1">
      <c r="A626" s="131"/>
      <c r="B626" s="131"/>
      <c r="C626" s="132"/>
      <c r="D626" s="27"/>
      <c r="E626" s="27"/>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row>
    <row r="627" spans="1:34" ht="13.5" customHeight="1">
      <c r="A627" s="131"/>
      <c r="B627" s="131"/>
      <c r="C627" s="132"/>
      <c r="D627" s="27"/>
      <c r="E627" s="27"/>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row>
    <row r="628" spans="1:34" ht="13.5" customHeight="1">
      <c r="A628" s="131"/>
      <c r="B628" s="131"/>
      <c r="C628" s="132"/>
      <c r="D628" s="27"/>
      <c r="E628" s="27"/>
      <c r="F628" s="133"/>
      <c r="G628" s="133"/>
      <c r="H628" s="133"/>
      <c r="I628" s="133"/>
      <c r="J628" s="133"/>
      <c r="K628" s="133"/>
      <c r="L628" s="133"/>
      <c r="M628" s="133"/>
      <c r="N628" s="133"/>
      <c r="O628" s="133"/>
      <c r="P628" s="133"/>
      <c r="Q628" s="133"/>
      <c r="R628" s="133"/>
      <c r="S628" s="133"/>
      <c r="T628" s="133"/>
      <c r="U628" s="133"/>
      <c r="V628" s="133"/>
      <c r="W628" s="133"/>
      <c r="X628" s="133"/>
      <c r="Y628" s="133"/>
      <c r="Z628" s="133"/>
      <c r="AA628" s="133"/>
      <c r="AB628" s="133"/>
      <c r="AC628" s="133"/>
      <c r="AD628" s="133"/>
      <c r="AE628" s="133"/>
      <c r="AF628" s="133"/>
      <c r="AG628" s="133"/>
      <c r="AH628" s="133"/>
    </row>
    <row r="629" spans="1:34" ht="13.5" customHeight="1">
      <c r="A629" s="131"/>
      <c r="B629" s="131"/>
      <c r="C629" s="132"/>
      <c r="D629" s="27"/>
      <c r="E629" s="27"/>
      <c r="F629" s="133"/>
      <c r="G629" s="133"/>
      <c r="H629" s="133"/>
      <c r="I629" s="133"/>
      <c r="J629" s="133"/>
      <c r="K629" s="133"/>
      <c r="L629" s="133"/>
      <c r="M629" s="133"/>
      <c r="N629" s="133"/>
      <c r="O629" s="133"/>
      <c r="P629" s="133"/>
      <c r="Q629" s="133"/>
      <c r="R629" s="133"/>
      <c r="S629" s="133"/>
      <c r="T629" s="133"/>
      <c r="U629" s="133"/>
      <c r="V629" s="133"/>
      <c r="W629" s="133"/>
      <c r="X629" s="133"/>
      <c r="Y629" s="133"/>
      <c r="Z629" s="133"/>
      <c r="AA629" s="133"/>
      <c r="AB629" s="133"/>
      <c r="AC629" s="133"/>
      <c r="AD629" s="133"/>
      <c r="AE629" s="133"/>
      <c r="AF629" s="133"/>
      <c r="AG629" s="133"/>
      <c r="AH629" s="133"/>
    </row>
    <row r="630" spans="1:34" ht="13.5" customHeight="1">
      <c r="A630" s="131"/>
      <c r="B630" s="131"/>
      <c r="C630" s="132"/>
      <c r="D630" s="27"/>
      <c r="E630" s="27"/>
      <c r="F630" s="133"/>
      <c r="G630" s="133"/>
      <c r="H630" s="133"/>
      <c r="I630" s="133"/>
      <c r="J630" s="133"/>
      <c r="K630" s="133"/>
      <c r="L630" s="133"/>
      <c r="M630" s="133"/>
      <c r="N630" s="133"/>
      <c r="O630" s="133"/>
      <c r="P630" s="133"/>
      <c r="Q630" s="133"/>
      <c r="R630" s="133"/>
      <c r="S630" s="133"/>
      <c r="T630" s="133"/>
      <c r="U630" s="133"/>
      <c r="V630" s="133"/>
      <c r="W630" s="133"/>
      <c r="X630" s="133"/>
      <c r="Y630" s="133"/>
      <c r="Z630" s="133"/>
      <c r="AA630" s="133"/>
      <c r="AB630" s="133"/>
      <c r="AC630" s="133"/>
      <c r="AD630" s="133"/>
      <c r="AE630" s="133"/>
      <c r="AF630" s="133"/>
      <c r="AG630" s="133"/>
      <c r="AH630" s="133"/>
    </row>
    <row r="631" spans="1:34" ht="13.5" customHeight="1">
      <c r="A631" s="131"/>
      <c r="B631" s="131"/>
      <c r="C631" s="132"/>
      <c r="D631" s="27"/>
      <c r="E631" s="27"/>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row>
    <row r="632" spans="1:34" ht="13.5" customHeight="1">
      <c r="A632" s="131"/>
      <c r="B632" s="131"/>
      <c r="C632" s="132"/>
      <c r="D632" s="27"/>
      <c r="E632" s="27"/>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row>
    <row r="633" spans="1:34" ht="13.5" customHeight="1">
      <c r="A633" s="131"/>
      <c r="B633" s="131"/>
      <c r="C633" s="132"/>
      <c r="D633" s="27"/>
      <c r="E633" s="27"/>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row>
    <row r="634" spans="1:34" ht="13.5" customHeight="1">
      <c r="A634" s="131"/>
      <c r="B634" s="131"/>
      <c r="C634" s="132"/>
      <c r="D634" s="27"/>
      <c r="E634" s="27"/>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row>
    <row r="635" spans="1:34" ht="13.5" customHeight="1">
      <c r="A635" s="131"/>
      <c r="B635" s="131"/>
      <c r="C635" s="132"/>
      <c r="D635" s="27"/>
      <c r="E635" s="27"/>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row>
    <row r="636" spans="1:34" ht="13.5" customHeight="1">
      <c r="A636" s="131"/>
      <c r="B636" s="131"/>
      <c r="C636" s="132"/>
      <c r="D636" s="27"/>
      <c r="E636" s="27"/>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row>
    <row r="637" spans="1:34" ht="13.5" customHeight="1">
      <c r="A637" s="131"/>
      <c r="B637" s="131"/>
      <c r="C637" s="132"/>
      <c r="D637" s="27"/>
      <c r="E637" s="27"/>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row>
    <row r="638" spans="1:34" ht="13.5" customHeight="1">
      <c r="A638" s="131"/>
      <c r="B638" s="131"/>
      <c r="C638" s="132"/>
      <c r="D638" s="27"/>
      <c r="E638" s="27"/>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row>
    <row r="639" spans="1:34" ht="13.5" customHeight="1">
      <c r="A639" s="131"/>
      <c r="B639" s="131"/>
      <c r="C639" s="132"/>
      <c r="D639" s="27"/>
      <c r="E639" s="27"/>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row>
    <row r="640" spans="1:34" ht="13.5" customHeight="1">
      <c r="A640" s="131"/>
      <c r="B640" s="131"/>
      <c r="C640" s="132"/>
      <c r="D640" s="27"/>
      <c r="E640" s="27"/>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row>
    <row r="641" spans="1:34" ht="13.5" customHeight="1">
      <c r="A641" s="131"/>
      <c r="B641" s="131"/>
      <c r="C641" s="132"/>
      <c r="D641" s="27"/>
      <c r="E641" s="27"/>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row>
    <row r="642" spans="1:34" ht="13.5" customHeight="1">
      <c r="A642" s="131"/>
      <c r="B642" s="131"/>
      <c r="C642" s="132"/>
      <c r="D642" s="27"/>
      <c r="E642" s="27"/>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row>
    <row r="643" spans="1:34" ht="13.5" customHeight="1">
      <c r="A643" s="131"/>
      <c r="B643" s="131"/>
      <c r="C643" s="132"/>
      <c r="D643" s="27"/>
      <c r="E643" s="27"/>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row>
    <row r="644" spans="1:34" ht="13.5" customHeight="1">
      <c r="A644" s="131"/>
      <c r="B644" s="131"/>
      <c r="C644" s="132"/>
      <c r="D644" s="27"/>
      <c r="E644" s="27"/>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row>
    <row r="645" spans="1:34" ht="13.5" customHeight="1">
      <c r="A645" s="131"/>
      <c r="B645" s="131"/>
      <c r="C645" s="132"/>
      <c r="D645" s="27"/>
      <c r="E645" s="27"/>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row>
    <row r="646" spans="1:34" ht="13.5" customHeight="1">
      <c r="A646" s="131"/>
      <c r="B646" s="131"/>
      <c r="C646" s="132"/>
      <c r="D646" s="27"/>
      <c r="E646" s="27"/>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row>
    <row r="647" spans="1:34" ht="13.5" customHeight="1">
      <c r="A647" s="131"/>
      <c r="B647" s="131"/>
      <c r="C647" s="132"/>
      <c r="D647" s="27"/>
      <c r="E647" s="27"/>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row>
    <row r="648" spans="1:34" ht="13.5" customHeight="1">
      <c r="A648" s="131"/>
      <c r="B648" s="131"/>
      <c r="C648" s="132"/>
      <c r="D648" s="27"/>
      <c r="E648" s="27"/>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row>
    <row r="649" spans="1:34" ht="13.5" customHeight="1">
      <c r="A649" s="131"/>
      <c r="B649" s="131"/>
      <c r="C649" s="132"/>
      <c r="D649" s="27"/>
      <c r="E649" s="27"/>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row>
    <row r="650" spans="1:34" ht="13.5" customHeight="1">
      <c r="A650" s="131"/>
      <c r="B650" s="131"/>
      <c r="C650" s="132"/>
      <c r="D650" s="27"/>
      <c r="E650" s="27"/>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row>
    <row r="651" spans="1:34" ht="13.5" customHeight="1">
      <c r="A651" s="131"/>
      <c r="B651" s="131"/>
      <c r="C651" s="132"/>
      <c r="D651" s="27"/>
      <c r="E651" s="27"/>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row>
    <row r="652" spans="1:34" ht="13.5" customHeight="1">
      <c r="A652" s="131"/>
      <c r="B652" s="131"/>
      <c r="C652" s="132"/>
      <c r="D652" s="27"/>
      <c r="E652" s="27"/>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row>
    <row r="653" spans="1:34" ht="13.5" customHeight="1">
      <c r="A653" s="131"/>
      <c r="B653" s="131"/>
      <c r="C653" s="132"/>
      <c r="D653" s="27"/>
      <c r="E653" s="27"/>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row>
    <row r="654" spans="1:34" ht="13.5" customHeight="1">
      <c r="A654" s="131"/>
      <c r="B654" s="131"/>
      <c r="C654" s="132"/>
      <c r="D654" s="27"/>
      <c r="E654" s="27"/>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row>
    <row r="655" spans="1:34" ht="13.5" customHeight="1">
      <c r="A655" s="131"/>
      <c r="B655" s="131"/>
      <c r="C655" s="132"/>
      <c r="D655" s="27"/>
      <c r="E655" s="27"/>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row>
    <row r="656" spans="1:34" ht="13.5" customHeight="1">
      <c r="A656" s="131"/>
      <c r="B656" s="131"/>
      <c r="C656" s="132"/>
      <c r="D656" s="27"/>
      <c r="E656" s="27"/>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row>
    <row r="657" spans="1:34" ht="13.5" customHeight="1">
      <c r="A657" s="131"/>
      <c r="B657" s="131"/>
      <c r="C657" s="132"/>
      <c r="D657" s="27"/>
      <c r="E657" s="27"/>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row>
    <row r="658" spans="1:34" ht="13.5" customHeight="1">
      <c r="A658" s="131"/>
      <c r="B658" s="131"/>
      <c r="C658" s="132"/>
      <c r="D658" s="27"/>
      <c r="E658" s="27"/>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row>
    <row r="659" spans="1:34" ht="13.5" customHeight="1">
      <c r="A659" s="131"/>
      <c r="B659" s="131"/>
      <c r="C659" s="132"/>
      <c r="D659" s="27"/>
      <c r="E659" s="27"/>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row>
    <row r="660" spans="1:34" ht="13.5" customHeight="1">
      <c r="A660" s="131"/>
      <c r="B660" s="131"/>
      <c r="C660" s="132"/>
      <c r="D660" s="27"/>
      <c r="E660" s="27"/>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row>
    <row r="661" spans="1:34" ht="13.5" customHeight="1">
      <c r="A661" s="131"/>
      <c r="B661" s="131"/>
      <c r="C661" s="132"/>
      <c r="D661" s="27"/>
      <c r="E661" s="27"/>
      <c r="F661" s="133"/>
      <c r="G661" s="133"/>
      <c r="H661" s="133"/>
      <c r="I661" s="133"/>
      <c r="J661" s="133"/>
      <c r="K661" s="133"/>
      <c r="L661" s="133"/>
      <c r="M661" s="133"/>
      <c r="N661" s="133"/>
      <c r="O661" s="133"/>
      <c r="P661" s="133"/>
      <c r="Q661" s="133"/>
      <c r="R661" s="133"/>
      <c r="S661" s="133"/>
      <c r="T661" s="133"/>
      <c r="U661" s="133"/>
      <c r="V661" s="133"/>
      <c r="W661" s="133"/>
      <c r="X661" s="133"/>
      <c r="Y661" s="133"/>
      <c r="Z661" s="133"/>
      <c r="AA661" s="133"/>
      <c r="AB661" s="133"/>
      <c r="AC661" s="133"/>
      <c r="AD661" s="133"/>
      <c r="AE661" s="133"/>
      <c r="AF661" s="133"/>
      <c r="AG661" s="133"/>
      <c r="AH661" s="133"/>
    </row>
    <row r="662" spans="1:34" ht="13.5" customHeight="1">
      <c r="A662" s="131"/>
      <c r="B662" s="131"/>
      <c r="C662" s="132"/>
      <c r="D662" s="27"/>
      <c r="E662" s="27"/>
      <c r="F662" s="133"/>
      <c r="G662" s="133"/>
      <c r="H662" s="133"/>
      <c r="I662" s="133"/>
      <c r="J662" s="133"/>
      <c r="K662" s="133"/>
      <c r="L662" s="133"/>
      <c r="M662" s="133"/>
      <c r="N662" s="133"/>
      <c r="O662" s="133"/>
      <c r="P662" s="133"/>
      <c r="Q662" s="133"/>
      <c r="R662" s="133"/>
      <c r="S662" s="133"/>
      <c r="T662" s="133"/>
      <c r="U662" s="133"/>
      <c r="V662" s="133"/>
      <c r="W662" s="133"/>
      <c r="X662" s="133"/>
      <c r="Y662" s="133"/>
      <c r="Z662" s="133"/>
      <c r="AA662" s="133"/>
      <c r="AB662" s="133"/>
      <c r="AC662" s="133"/>
      <c r="AD662" s="133"/>
      <c r="AE662" s="133"/>
      <c r="AF662" s="133"/>
      <c r="AG662" s="133"/>
      <c r="AH662" s="133"/>
    </row>
    <row r="663" spans="1:34" ht="13.5" customHeight="1">
      <c r="A663" s="131"/>
      <c r="B663" s="131"/>
      <c r="C663" s="132"/>
      <c r="D663" s="27"/>
      <c r="E663" s="27"/>
      <c r="F663" s="133"/>
      <c r="G663" s="133"/>
      <c r="H663" s="133"/>
      <c r="I663" s="133"/>
      <c r="J663" s="133"/>
      <c r="K663" s="133"/>
      <c r="L663" s="133"/>
      <c r="M663" s="133"/>
      <c r="N663" s="133"/>
      <c r="O663" s="133"/>
      <c r="P663" s="133"/>
      <c r="Q663" s="133"/>
      <c r="R663" s="133"/>
      <c r="S663" s="133"/>
      <c r="T663" s="133"/>
      <c r="U663" s="133"/>
      <c r="V663" s="133"/>
      <c r="W663" s="133"/>
      <c r="X663" s="133"/>
      <c r="Y663" s="133"/>
      <c r="Z663" s="133"/>
      <c r="AA663" s="133"/>
      <c r="AB663" s="133"/>
      <c r="AC663" s="133"/>
      <c r="AD663" s="133"/>
      <c r="AE663" s="133"/>
      <c r="AF663" s="133"/>
      <c r="AG663" s="133"/>
      <c r="AH663" s="133"/>
    </row>
    <row r="664" spans="1:34" ht="13.5" customHeight="1">
      <c r="A664" s="131"/>
      <c r="B664" s="131"/>
      <c r="C664" s="132"/>
      <c r="D664" s="27"/>
      <c r="E664" s="27"/>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row>
    <row r="665" spans="1:34" ht="13.5" customHeight="1">
      <c r="A665" s="131"/>
      <c r="B665" s="131"/>
      <c r="C665" s="132"/>
      <c r="D665" s="27"/>
      <c r="E665" s="27"/>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row>
    <row r="666" spans="1:34" ht="13.5" customHeight="1">
      <c r="A666" s="131"/>
      <c r="B666" s="131"/>
      <c r="C666" s="132"/>
      <c r="D666" s="27"/>
      <c r="E666" s="27"/>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row>
    <row r="667" spans="1:34" ht="13.5" customHeight="1">
      <c r="A667" s="131"/>
      <c r="B667" s="131"/>
      <c r="C667" s="132"/>
      <c r="D667" s="27"/>
      <c r="E667" s="27"/>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row>
    <row r="668" spans="1:34" ht="13.5" customHeight="1">
      <c r="A668" s="131"/>
      <c r="B668" s="131"/>
      <c r="C668" s="132"/>
      <c r="D668" s="27"/>
      <c r="E668" s="27"/>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row>
    <row r="669" spans="1:34" ht="13.5" customHeight="1">
      <c r="A669" s="131"/>
      <c r="B669" s="131"/>
      <c r="C669" s="132"/>
      <c r="D669" s="27"/>
      <c r="E669" s="27"/>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row>
    <row r="670" spans="1:34" ht="13.5" customHeight="1">
      <c r="A670" s="131"/>
      <c r="B670" s="131"/>
      <c r="C670" s="132"/>
      <c r="D670" s="27"/>
      <c r="E670" s="27"/>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row>
    <row r="671" spans="1:34" ht="13.5" customHeight="1">
      <c r="A671" s="131"/>
      <c r="B671" s="131"/>
      <c r="C671" s="132"/>
      <c r="D671" s="27"/>
      <c r="E671" s="27"/>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row>
    <row r="672" spans="1:34" ht="13.5" customHeight="1">
      <c r="A672" s="131"/>
      <c r="B672" s="131"/>
      <c r="C672" s="132"/>
      <c r="D672" s="27"/>
      <c r="E672" s="27"/>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row>
    <row r="673" spans="1:34" ht="13.5" customHeight="1">
      <c r="A673" s="131"/>
      <c r="B673" s="131"/>
      <c r="C673" s="132"/>
      <c r="D673" s="27"/>
      <c r="E673" s="27"/>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row>
    <row r="674" spans="1:34" ht="13.5" customHeight="1">
      <c r="A674" s="131"/>
      <c r="B674" s="131"/>
      <c r="C674" s="132"/>
      <c r="D674" s="27"/>
      <c r="E674" s="27"/>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row>
    <row r="675" spans="1:34" ht="13.5" customHeight="1">
      <c r="A675" s="131"/>
      <c r="B675" s="131"/>
      <c r="C675" s="132"/>
      <c r="D675" s="27"/>
      <c r="E675" s="27"/>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row>
    <row r="676" spans="1:34" ht="13.5" customHeight="1">
      <c r="A676" s="131"/>
      <c r="B676" s="131"/>
      <c r="C676" s="132"/>
      <c r="D676" s="27"/>
      <c r="E676" s="27"/>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row>
    <row r="677" spans="1:34" ht="13.5" customHeight="1">
      <c r="A677" s="131"/>
      <c r="B677" s="131"/>
      <c r="C677" s="132"/>
      <c r="D677" s="27"/>
      <c r="E677" s="27"/>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row>
    <row r="678" spans="1:34" ht="13.5" customHeight="1">
      <c r="A678" s="131"/>
      <c r="B678" s="131"/>
      <c r="C678" s="132"/>
      <c r="D678" s="27"/>
      <c r="E678" s="27"/>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row>
    <row r="679" spans="1:34" ht="13.5" customHeight="1">
      <c r="A679" s="131"/>
      <c r="B679" s="131"/>
      <c r="C679" s="132"/>
      <c r="D679" s="27"/>
      <c r="E679" s="27"/>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row>
    <row r="680" spans="1:34" ht="13.5" customHeight="1">
      <c r="A680" s="131"/>
      <c r="B680" s="131"/>
      <c r="C680" s="132"/>
      <c r="D680" s="27"/>
      <c r="E680" s="27"/>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row>
    <row r="681" spans="1:34" ht="13.5" customHeight="1">
      <c r="A681" s="131"/>
      <c r="B681" s="131"/>
      <c r="C681" s="132"/>
      <c r="D681" s="27"/>
      <c r="E681" s="27"/>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row>
    <row r="682" spans="1:34" ht="13.5" customHeight="1">
      <c r="A682" s="131"/>
      <c r="B682" s="131"/>
      <c r="C682" s="132"/>
      <c r="D682" s="27"/>
      <c r="E682" s="27"/>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row>
    <row r="683" spans="1:34" ht="13.5" customHeight="1">
      <c r="A683" s="131"/>
      <c r="B683" s="131"/>
      <c r="C683" s="132"/>
      <c r="D683" s="27"/>
      <c r="E683" s="27"/>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row>
    <row r="684" spans="1:34" ht="13.5" customHeight="1">
      <c r="A684" s="131"/>
      <c r="B684" s="131"/>
      <c r="C684" s="132"/>
      <c r="D684" s="27"/>
      <c r="E684" s="27"/>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row>
    <row r="685" spans="1:34" ht="13.5" customHeight="1">
      <c r="A685" s="131"/>
      <c r="B685" s="131"/>
      <c r="C685" s="132"/>
      <c r="D685" s="27"/>
      <c r="E685" s="27"/>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row>
    <row r="686" spans="1:34" ht="13.5" customHeight="1">
      <c r="A686" s="131"/>
      <c r="B686" s="131"/>
      <c r="C686" s="132"/>
      <c r="D686" s="27"/>
      <c r="E686" s="27"/>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row>
    <row r="687" spans="1:34" ht="13.5" customHeight="1">
      <c r="A687" s="131"/>
      <c r="B687" s="131"/>
      <c r="C687" s="132"/>
      <c r="D687" s="27"/>
      <c r="E687" s="27"/>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row>
    <row r="688" spans="1:34" ht="13.5" customHeight="1">
      <c r="A688" s="131"/>
      <c r="B688" s="131"/>
      <c r="C688" s="132"/>
      <c r="D688" s="27"/>
      <c r="E688" s="27"/>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row>
    <row r="689" spans="1:34" ht="13.5" customHeight="1">
      <c r="A689" s="131"/>
      <c r="B689" s="131"/>
      <c r="C689" s="132"/>
      <c r="D689" s="27"/>
      <c r="E689" s="27"/>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row>
    <row r="690" spans="1:34" ht="13.5" customHeight="1">
      <c r="A690" s="131"/>
      <c r="B690" s="131"/>
      <c r="C690" s="132"/>
      <c r="D690" s="27"/>
      <c r="E690" s="27"/>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row>
    <row r="691" spans="1:34" ht="13.5" customHeight="1">
      <c r="A691" s="131"/>
      <c r="B691" s="131"/>
      <c r="C691" s="132"/>
      <c r="D691" s="27"/>
      <c r="E691" s="27"/>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row>
    <row r="692" spans="1:34" ht="13.5" customHeight="1">
      <c r="A692" s="131"/>
      <c r="B692" s="131"/>
      <c r="C692" s="132"/>
      <c r="D692" s="27"/>
      <c r="E692" s="27"/>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row>
    <row r="693" spans="1:34" ht="13.5" customHeight="1">
      <c r="A693" s="131"/>
      <c r="B693" s="131"/>
      <c r="C693" s="132"/>
      <c r="D693" s="27"/>
      <c r="E693" s="27"/>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row>
    <row r="694" spans="1:34" ht="13.5" customHeight="1">
      <c r="D694" s="27"/>
      <c r="E694" s="27"/>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c r="AB694" s="133"/>
      <c r="AC694" s="133"/>
      <c r="AD694" s="133"/>
      <c r="AE694" s="133"/>
      <c r="AF694" s="133"/>
      <c r="AG694" s="133"/>
      <c r="AH694" s="133"/>
    </row>
    <row r="695" spans="1:34" ht="13.5" customHeight="1">
      <c r="D695" s="27"/>
      <c r="E695" s="27"/>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row>
    <row r="696" spans="1:34" ht="13.5" customHeight="1">
      <c r="D696" s="27"/>
      <c r="E696" s="27"/>
      <c r="F696" s="133"/>
      <c r="G696" s="133"/>
      <c r="H696" s="133"/>
      <c r="I696" s="133"/>
      <c r="J696" s="133"/>
      <c r="K696" s="133"/>
      <c r="L696" s="133"/>
      <c r="M696" s="133"/>
      <c r="N696" s="133"/>
      <c r="O696" s="133"/>
      <c r="P696" s="133"/>
      <c r="Q696" s="133"/>
      <c r="R696" s="133"/>
      <c r="S696" s="133"/>
      <c r="T696" s="133"/>
      <c r="U696" s="133"/>
      <c r="V696" s="133"/>
      <c r="W696" s="133"/>
      <c r="X696" s="133"/>
      <c r="Y696" s="133"/>
      <c r="Z696" s="133"/>
      <c r="AA696" s="133"/>
      <c r="AB696" s="133"/>
      <c r="AC696" s="133"/>
      <c r="AD696" s="133"/>
      <c r="AE696" s="133"/>
      <c r="AF696" s="133"/>
      <c r="AG696" s="133"/>
      <c r="AH696" s="133"/>
    </row>
    <row r="697" spans="1:34" ht="13.5" customHeight="1">
      <c r="D697" s="27"/>
      <c r="E697" s="27"/>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row>
    <row r="698" spans="1:34" ht="13.5" customHeight="1">
      <c r="D698" s="27"/>
      <c r="E698" s="27"/>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row>
    <row r="699" spans="1:34" ht="13.5" customHeight="1">
      <c r="D699" s="27"/>
      <c r="E699" s="27"/>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row>
    <row r="700" spans="1:34" ht="13.5" customHeight="1">
      <c r="D700" s="27"/>
      <c r="E700" s="27"/>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row>
    <row r="701" spans="1:34" ht="13.5" customHeight="1">
      <c r="D701" s="27"/>
      <c r="E701" s="27"/>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row>
    <row r="702" spans="1:34" ht="13.5" customHeight="1">
      <c r="D702" s="27"/>
      <c r="E702" s="27"/>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row>
    <row r="703" spans="1:34" ht="13.5" customHeight="1">
      <c r="D703" s="27"/>
      <c r="E703" s="27"/>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row>
    <row r="704" spans="1:34" ht="13.5" customHeight="1">
      <c r="D704" s="27"/>
      <c r="E704" s="27"/>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row>
    <row r="705" spans="4:34" ht="13.5" customHeight="1">
      <c r="D705" s="27"/>
      <c r="E705" s="27"/>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row>
    <row r="706" spans="4:34" ht="13.5" customHeight="1">
      <c r="D706" s="27"/>
      <c r="E706" s="27"/>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row>
    <row r="707" spans="4:34" ht="13.5" customHeight="1">
      <c r="D707" s="27"/>
      <c r="E707" s="27"/>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row>
    <row r="708" spans="4:34" ht="13.5" customHeight="1">
      <c r="D708" s="27"/>
      <c r="E708" s="27"/>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row>
    <row r="709" spans="4:34" ht="13.5" customHeight="1">
      <c r="D709" s="27"/>
      <c r="E709" s="27"/>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row>
    <row r="710" spans="4:34" ht="13.5" customHeight="1">
      <c r="D710" s="27"/>
      <c r="E710" s="27"/>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row>
    <row r="711" spans="4:34" ht="13.5" customHeight="1">
      <c r="D711" s="27"/>
      <c r="E711" s="27"/>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row>
    <row r="712" spans="4:34" ht="13.5" customHeight="1">
      <c r="D712" s="27"/>
      <c r="E712" s="27"/>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row>
    <row r="713" spans="4:34" ht="13.5" customHeight="1">
      <c r="D713" s="27"/>
      <c r="E713" s="27"/>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row>
    <row r="714" spans="4:34" ht="13.5" customHeight="1">
      <c r="D714" s="27"/>
      <c r="E714" s="27"/>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row>
    <row r="715" spans="4:34" ht="13.5" customHeight="1">
      <c r="D715" s="27"/>
      <c r="E715" s="27"/>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row>
    <row r="716" spans="4:34" ht="13.5" customHeight="1">
      <c r="D716" s="27"/>
      <c r="E716" s="27"/>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row>
    <row r="717" spans="4:34" ht="13.5" customHeight="1">
      <c r="D717" s="27"/>
      <c r="E717" s="27"/>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row>
    <row r="718" spans="4:34" ht="13.5" customHeight="1">
      <c r="D718" s="27"/>
      <c r="E718" s="27"/>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row>
    <row r="719" spans="4:34" ht="13.5" customHeight="1">
      <c r="D719" s="27"/>
      <c r="E719" s="27"/>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row>
    <row r="720" spans="4:34" ht="13.5" customHeight="1">
      <c r="D720" s="27"/>
      <c r="E720" s="27"/>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row>
    <row r="721" spans="4:34" ht="13.5" customHeight="1">
      <c r="D721" s="27"/>
      <c r="E721" s="27"/>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row>
    <row r="722" spans="4:34" ht="13.5" customHeight="1">
      <c r="D722" s="27"/>
      <c r="E722" s="27"/>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row>
    <row r="723" spans="4:34" ht="13.5" customHeight="1">
      <c r="D723" s="27"/>
      <c r="E723" s="27"/>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row>
    <row r="724" spans="4:34" ht="13.5" customHeight="1">
      <c r="D724" s="27"/>
      <c r="E724" s="27"/>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row>
    <row r="725" spans="4:34" ht="13.5" customHeight="1">
      <c r="D725" s="27"/>
      <c r="E725" s="27"/>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row>
    <row r="726" spans="4:34" ht="13.5" customHeight="1">
      <c r="D726" s="27"/>
      <c r="E726" s="27"/>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row>
    <row r="727" spans="4:34" ht="13.5" customHeight="1">
      <c r="D727" s="27"/>
      <c r="E727" s="27"/>
      <c r="F727" s="133"/>
      <c r="G727" s="133"/>
      <c r="H727" s="133"/>
      <c r="I727" s="133"/>
      <c r="J727" s="133"/>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row>
    <row r="728" spans="4:34" ht="13.5" customHeight="1">
      <c r="D728" s="27"/>
      <c r="E728" s="27"/>
      <c r="F728" s="133"/>
      <c r="G728" s="133"/>
      <c r="H728" s="133"/>
      <c r="I728" s="133"/>
      <c r="J728" s="133"/>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row>
    <row r="729" spans="4:34" ht="13.5" customHeight="1">
      <c r="D729" s="27"/>
      <c r="E729" s="27"/>
      <c r="F729" s="133"/>
      <c r="G729" s="133"/>
      <c r="H729" s="133"/>
      <c r="I729" s="133"/>
      <c r="J729" s="133"/>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row>
    <row r="730" spans="4:34" ht="13.5" customHeight="1">
      <c r="D730" s="27"/>
      <c r="E730" s="27"/>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row>
    <row r="731" spans="4:34" ht="13.5" customHeight="1">
      <c r="D731" s="27"/>
      <c r="E731" s="27"/>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row>
    <row r="732" spans="4:34" ht="13.5" customHeight="1">
      <c r="D732" s="27"/>
      <c r="E732" s="27"/>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row>
    <row r="733" spans="4:34" ht="13.5" customHeight="1">
      <c r="D733" s="27"/>
      <c r="E733" s="27"/>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row>
    <row r="734" spans="4:34" ht="13.5" customHeight="1">
      <c r="D734" s="27"/>
      <c r="E734" s="27"/>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row>
    <row r="735" spans="4:34" ht="13.5" customHeight="1">
      <c r="D735" s="27"/>
      <c r="E735" s="27"/>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row>
    <row r="736" spans="4:34" ht="13.5" customHeight="1">
      <c r="D736" s="27"/>
      <c r="E736" s="27"/>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row>
    <row r="737" spans="4:34" ht="13.5" customHeight="1">
      <c r="D737" s="27"/>
      <c r="E737" s="27"/>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row>
    <row r="738" spans="4:34" ht="13.5" customHeight="1">
      <c r="D738" s="27"/>
      <c r="E738" s="27"/>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row>
    <row r="739" spans="4:34" ht="13.5" customHeight="1">
      <c r="D739" s="27"/>
      <c r="E739" s="27"/>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row>
    <row r="740" spans="4:34" ht="13.5" customHeight="1">
      <c r="D740" s="27"/>
      <c r="E740" s="27"/>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row>
    <row r="741" spans="4:34" ht="13.5" customHeight="1">
      <c r="D741" s="27"/>
      <c r="E741" s="27"/>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row>
    <row r="742" spans="4:34" ht="13.5" customHeight="1">
      <c r="D742" s="27"/>
      <c r="E742" s="27"/>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row>
    <row r="743" spans="4:34" ht="13.5" customHeight="1">
      <c r="D743" s="27"/>
      <c r="E743" s="27"/>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row>
    <row r="744" spans="4:34" ht="13.5" customHeight="1">
      <c r="D744" s="27"/>
      <c r="E744" s="27"/>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row>
    <row r="745" spans="4:34" ht="13.5" customHeight="1">
      <c r="D745" s="27"/>
      <c r="E745" s="27"/>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row>
    <row r="746" spans="4:34" ht="13.5" customHeight="1">
      <c r="D746" s="27"/>
      <c r="E746" s="27"/>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row>
    <row r="747" spans="4:34" ht="13.5" customHeight="1">
      <c r="D747" s="27"/>
      <c r="E747" s="27"/>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row>
    <row r="748" spans="4:34" ht="13.5" customHeight="1">
      <c r="D748" s="27"/>
      <c r="E748" s="27"/>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row>
    <row r="749" spans="4:34" ht="13.5" customHeight="1">
      <c r="D749" s="27"/>
      <c r="E749" s="27"/>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row>
    <row r="750" spans="4:34" ht="13.5" customHeight="1">
      <c r="D750" s="27"/>
      <c r="E750" s="27"/>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row>
    <row r="751" spans="4:34" ht="13.5" customHeight="1">
      <c r="D751" s="27"/>
      <c r="E751" s="27"/>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row>
    <row r="752" spans="4:34" ht="15" customHeight="1">
      <c r="D752" s="27"/>
      <c r="E752" s="27"/>
      <c r="F752" s="133"/>
      <c r="G752" s="133"/>
      <c r="H752" s="133"/>
    </row>
  </sheetData>
  <mergeCells count="31">
    <mergeCell ref="A308:B309"/>
    <mergeCell ref="A362:B363"/>
    <mergeCell ref="A11:B11"/>
    <mergeCell ref="A34:B34"/>
    <mergeCell ref="A60:B60"/>
    <mergeCell ref="A82:B82"/>
    <mergeCell ref="A89:B89"/>
    <mergeCell ref="A3:B4"/>
    <mergeCell ref="A98:B99"/>
    <mergeCell ref="A332:B332"/>
    <mergeCell ref="A316:B316"/>
    <mergeCell ref="A408:B408"/>
    <mergeCell ref="A387:B387"/>
    <mergeCell ref="A404:B404"/>
    <mergeCell ref="A370:B370"/>
    <mergeCell ref="A348:B348"/>
    <mergeCell ref="A353:B353"/>
    <mergeCell ref="A246:B246"/>
    <mergeCell ref="A257:B257"/>
    <mergeCell ref="A274:B274"/>
    <mergeCell ref="A289:B289"/>
    <mergeCell ref="A301:B301"/>
    <mergeCell ref="A266:B267"/>
    <mergeCell ref="A198:B198"/>
    <mergeCell ref="A211:B211"/>
    <mergeCell ref="A229:B229"/>
    <mergeCell ref="A153:B153"/>
    <mergeCell ref="A176:B176"/>
    <mergeCell ref="A168:B169"/>
    <mergeCell ref="A106:B106"/>
    <mergeCell ref="A134:B134"/>
  </mergeCells>
  <printOptions horizontalCentered="1"/>
  <pageMargins left="0.78740157480314965" right="0.59055118110236227" top="0.78740157480314965" bottom="0.78740157480314965" header="0" footer="0"/>
  <pageSetup paperSize="9" orientation="portrait" r:id="rId1"/>
  <headerFooter>
    <oddHeader>&amp;L&amp;"Arial Narrow,Negrita"MUNICIPALIDAD DE VILLA MARÍA&amp;R&amp;"Arial Narrow,Negrita"PRESUPUESTO 2024</oddHeader>
    <oddFooter>&amp;R&amp;"Arial Narrow,Normal"&amp;P</oddFooter>
  </headerFooter>
  <rowBreaks count="3" manualBreakCount="3">
    <brk id="220" max="2" man="1"/>
    <brk id="273" max="2" man="1"/>
    <brk id="328" max="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20</vt:i4>
      </vt:variant>
    </vt:vector>
  </HeadingPairs>
  <TitlesOfParts>
    <vt:vector size="43" baseType="lpstr">
      <vt:lpstr>Hoja1</vt:lpstr>
      <vt:lpstr>GRAFICO PRESUPUESTO ABIERTO</vt:lpstr>
      <vt:lpstr>INGRESOS 2024</vt:lpstr>
      <vt:lpstr>cuadro</vt:lpstr>
      <vt:lpstr>RECURSOS 2024</vt:lpstr>
      <vt:lpstr>D.E.M. 2024</vt:lpstr>
      <vt:lpstr>UNIDAD INTENDENCIA 2024</vt:lpstr>
      <vt:lpstr>GOBIERNO Y CULTURA 2024</vt:lpstr>
      <vt:lpstr>Prevención, Segur y Conviv 2024</vt:lpstr>
      <vt:lpstr>ECONOMIA 2024</vt:lpstr>
      <vt:lpstr>EDUCACION E IGUALDAD 2024</vt:lpstr>
      <vt:lpstr>DESARROLLO URBANO 2024</vt:lpstr>
      <vt:lpstr>SALUD 2024</vt:lpstr>
      <vt:lpstr>ASESORIA LETRADA 2024</vt:lpstr>
      <vt:lpstr>JUSTICIA DE FALTAS 2024</vt:lpstr>
      <vt:lpstr>Concejo Deliberante </vt:lpstr>
      <vt:lpstr>Trib-ctas </vt:lpstr>
      <vt:lpstr>Auditoria</vt:lpstr>
      <vt:lpstr>Ente Control SM </vt:lpstr>
      <vt:lpstr>CAM</vt:lpstr>
      <vt:lpstr>JUSTICIA ELECTORAL</vt:lpstr>
      <vt:lpstr>T-Admis-Conc-</vt:lpstr>
      <vt:lpstr>T-Reclam-Apelac</vt:lpstr>
      <vt:lpstr>'ASESORIA LETRADA 2024'!Área_de_impresión</vt:lpstr>
      <vt:lpstr>Auditoria!Área_de_impresión</vt:lpstr>
      <vt:lpstr>CAM!Área_de_impresión</vt:lpstr>
      <vt:lpstr>'Concejo Deliberante '!Área_de_impresión</vt:lpstr>
      <vt:lpstr>'D.E.M. 2024'!Área_de_impresión</vt:lpstr>
      <vt:lpstr>'DESARROLLO URBANO 2024'!Área_de_impresión</vt:lpstr>
      <vt:lpstr>'ECONOMIA 2024'!Área_de_impresión</vt:lpstr>
      <vt:lpstr>'EDUCACION E IGUALDAD 2024'!Área_de_impresión</vt:lpstr>
      <vt:lpstr>'Ente Control SM '!Área_de_impresión</vt:lpstr>
      <vt:lpstr>'GOBIERNO Y CULTURA 2024'!Área_de_impresión</vt:lpstr>
      <vt:lpstr>'INGRESOS 2024'!Área_de_impresión</vt:lpstr>
      <vt:lpstr>'JUSTICIA DE FALTAS 2024'!Área_de_impresión</vt:lpstr>
      <vt:lpstr>'JUSTICIA ELECTORAL'!Área_de_impresión</vt:lpstr>
      <vt:lpstr>'Prevención, Segur y Conviv 2024'!Área_de_impresión</vt:lpstr>
      <vt:lpstr>'RECURSOS 2024'!Área_de_impresión</vt:lpstr>
      <vt:lpstr>'SALUD 2024'!Área_de_impresión</vt:lpstr>
      <vt:lpstr>'T-Admis-Conc-'!Área_de_impresión</vt:lpstr>
      <vt:lpstr>'T-Reclam-Apelac'!Área_de_impresión</vt:lpstr>
      <vt:lpstr>'Trib-ctas '!Área_de_impresión</vt:lpstr>
      <vt:lpstr>'UNIDAD INTENDENCIA 2024'!Área_de_impresión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20323487104</dc:creator>
  <cp:lastModifiedBy>Usuario</cp:lastModifiedBy>
  <cp:lastPrinted>2024-05-21T15:37:21Z</cp:lastPrinted>
  <dcterms:created xsi:type="dcterms:W3CDTF">2020-10-05T10:28:21Z</dcterms:created>
  <dcterms:modified xsi:type="dcterms:W3CDTF">2024-05-21T15:39:15Z</dcterms:modified>
</cp:coreProperties>
</file>